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ingAny\Transfer Entropy\EyeHeadDirc\"/>
    </mc:Choice>
  </mc:AlternateContent>
  <xr:revisionPtr revIDLastSave="0" documentId="8_{30D4345A-1F44-47C8-ADB1-B354FFEF4617}" xr6:coauthVersionLast="45" xr6:coauthVersionMax="45" xr10:uidLastSave="{00000000-0000-0000-0000-000000000000}"/>
  <bookViews>
    <workbookView xWindow="1152" yWindow="1152" windowWidth="17280" windowHeight="8964"/>
  </bookViews>
  <sheets>
    <sheet name="TxtToExcel_Tem_Tx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  <c r="B2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A433" i="1"/>
  <c r="B433" i="1"/>
  <c r="A434" i="1"/>
  <c r="B434" i="1"/>
  <c r="A435" i="1"/>
  <c r="B435" i="1"/>
  <c r="A436" i="1"/>
  <c r="B436" i="1"/>
  <c r="A437" i="1"/>
  <c r="B437" i="1"/>
  <c r="A438" i="1"/>
  <c r="B438" i="1"/>
  <c r="A439" i="1"/>
  <c r="B439" i="1"/>
  <c r="A440" i="1"/>
  <c r="B440" i="1"/>
  <c r="A441" i="1"/>
  <c r="B441" i="1"/>
  <c r="A442" i="1"/>
  <c r="B442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9" i="1"/>
  <c r="B449" i="1"/>
  <c r="A450" i="1"/>
  <c r="B450" i="1"/>
  <c r="A451" i="1"/>
  <c r="B451" i="1"/>
  <c r="A452" i="1"/>
  <c r="B452" i="1"/>
  <c r="A453" i="1"/>
  <c r="B453" i="1"/>
  <c r="A454" i="1"/>
  <c r="B454" i="1"/>
  <c r="A455" i="1"/>
  <c r="B455" i="1"/>
  <c r="A456" i="1"/>
  <c r="B456" i="1"/>
  <c r="A457" i="1"/>
  <c r="B457" i="1"/>
  <c r="A458" i="1"/>
  <c r="B458" i="1"/>
  <c r="A459" i="1"/>
  <c r="B459" i="1"/>
  <c r="A460" i="1"/>
  <c r="B460" i="1"/>
  <c r="A461" i="1"/>
  <c r="B461" i="1"/>
  <c r="A462" i="1"/>
  <c r="B462" i="1"/>
  <c r="A463" i="1"/>
  <c r="B463" i="1"/>
  <c r="A464" i="1"/>
  <c r="B464" i="1"/>
  <c r="A465" i="1"/>
  <c r="B465" i="1"/>
  <c r="A466" i="1"/>
  <c r="B466" i="1"/>
  <c r="A467" i="1"/>
  <c r="B467" i="1"/>
  <c r="A468" i="1"/>
  <c r="B468" i="1"/>
  <c r="A469" i="1"/>
  <c r="B469" i="1"/>
  <c r="A470" i="1"/>
  <c r="B470" i="1"/>
  <c r="A471" i="1"/>
  <c r="B471" i="1"/>
  <c r="A472" i="1"/>
  <c r="B472" i="1"/>
  <c r="A473" i="1"/>
  <c r="B473" i="1"/>
  <c r="A474" i="1"/>
  <c r="B474" i="1"/>
  <c r="A475" i="1"/>
  <c r="B475" i="1"/>
  <c r="A476" i="1"/>
  <c r="B476" i="1"/>
  <c r="A477" i="1"/>
  <c r="B477" i="1"/>
  <c r="A478" i="1"/>
  <c r="B478" i="1"/>
  <c r="A479" i="1"/>
  <c r="B479" i="1"/>
  <c r="A480" i="1"/>
  <c r="B480" i="1"/>
  <c r="A481" i="1"/>
  <c r="B481" i="1"/>
  <c r="A482" i="1"/>
  <c r="B482" i="1"/>
  <c r="A483" i="1"/>
  <c r="B483" i="1"/>
  <c r="A484" i="1"/>
  <c r="B484" i="1"/>
  <c r="A485" i="1"/>
  <c r="B485" i="1"/>
  <c r="A486" i="1"/>
  <c r="B486" i="1"/>
  <c r="A487" i="1"/>
  <c r="B487" i="1"/>
  <c r="A488" i="1"/>
  <c r="B488" i="1"/>
  <c r="A489" i="1"/>
  <c r="B489" i="1"/>
  <c r="A490" i="1"/>
  <c r="B490" i="1"/>
  <c r="A491" i="1"/>
  <c r="B491" i="1"/>
  <c r="A492" i="1"/>
  <c r="B492" i="1"/>
  <c r="A493" i="1"/>
  <c r="B493" i="1"/>
  <c r="A494" i="1"/>
  <c r="B494" i="1"/>
  <c r="A495" i="1"/>
  <c r="B495" i="1"/>
  <c r="A496" i="1"/>
  <c r="B496" i="1"/>
  <c r="A497" i="1"/>
  <c r="B497" i="1"/>
  <c r="A498" i="1"/>
  <c r="B498" i="1"/>
  <c r="A499" i="1"/>
  <c r="B499" i="1"/>
  <c r="A500" i="1"/>
  <c r="B500" i="1"/>
  <c r="A501" i="1"/>
  <c r="B501" i="1"/>
  <c r="A502" i="1"/>
  <c r="B502" i="1"/>
  <c r="A503" i="1"/>
  <c r="B503" i="1"/>
  <c r="A504" i="1"/>
  <c r="B504" i="1"/>
  <c r="A505" i="1"/>
  <c r="B505" i="1"/>
  <c r="A506" i="1"/>
  <c r="B506" i="1"/>
  <c r="A507" i="1"/>
  <c r="B507" i="1"/>
  <c r="A508" i="1"/>
  <c r="B508" i="1"/>
  <c r="A509" i="1"/>
  <c r="B509" i="1"/>
  <c r="A510" i="1"/>
  <c r="B510" i="1"/>
  <c r="A511" i="1"/>
  <c r="B511" i="1"/>
  <c r="A512" i="1"/>
  <c r="B512" i="1"/>
  <c r="A513" i="1"/>
  <c r="B513" i="1"/>
  <c r="A514" i="1"/>
  <c r="B514" i="1"/>
  <c r="A515" i="1"/>
  <c r="B515" i="1"/>
  <c r="A516" i="1"/>
  <c r="B516" i="1"/>
  <c r="A517" i="1"/>
  <c r="B517" i="1"/>
  <c r="A518" i="1"/>
  <c r="B518" i="1"/>
  <c r="A519" i="1"/>
  <c r="B519" i="1"/>
  <c r="A520" i="1"/>
  <c r="B520" i="1"/>
  <c r="A521" i="1"/>
  <c r="B521" i="1"/>
  <c r="A522" i="1"/>
  <c r="B522" i="1"/>
  <c r="A523" i="1"/>
  <c r="B523" i="1"/>
  <c r="A524" i="1"/>
  <c r="B524" i="1"/>
  <c r="A525" i="1"/>
  <c r="B525" i="1"/>
  <c r="A526" i="1"/>
  <c r="B526" i="1"/>
  <c r="A527" i="1"/>
  <c r="B527" i="1"/>
  <c r="A528" i="1"/>
  <c r="B528" i="1"/>
  <c r="A529" i="1"/>
  <c r="B529" i="1"/>
  <c r="A530" i="1"/>
  <c r="B530" i="1"/>
  <c r="A531" i="1"/>
  <c r="B531" i="1"/>
  <c r="A532" i="1"/>
  <c r="B532" i="1"/>
  <c r="A533" i="1"/>
  <c r="B533" i="1"/>
  <c r="A534" i="1"/>
  <c r="B534" i="1"/>
  <c r="A535" i="1"/>
  <c r="B535" i="1"/>
  <c r="A536" i="1"/>
  <c r="B536" i="1"/>
  <c r="A537" i="1"/>
  <c r="B537" i="1"/>
  <c r="A538" i="1"/>
  <c r="B538" i="1"/>
  <c r="A539" i="1"/>
  <c r="B539" i="1"/>
  <c r="A540" i="1"/>
  <c r="B540" i="1"/>
  <c r="A541" i="1"/>
  <c r="B541" i="1"/>
  <c r="A542" i="1"/>
  <c r="B542" i="1"/>
  <c r="A543" i="1"/>
  <c r="B543" i="1"/>
  <c r="A544" i="1"/>
  <c r="B544" i="1"/>
  <c r="A545" i="1"/>
  <c r="B545" i="1"/>
  <c r="A546" i="1"/>
  <c r="B546" i="1"/>
  <c r="A547" i="1"/>
  <c r="B547" i="1"/>
  <c r="A548" i="1"/>
  <c r="B548" i="1"/>
  <c r="A549" i="1"/>
  <c r="B549" i="1"/>
  <c r="A550" i="1"/>
  <c r="B550" i="1"/>
  <c r="A551" i="1"/>
  <c r="B551" i="1"/>
  <c r="A552" i="1"/>
  <c r="B552" i="1"/>
  <c r="A553" i="1"/>
  <c r="B553" i="1"/>
  <c r="A554" i="1"/>
  <c r="B554" i="1"/>
  <c r="A555" i="1"/>
  <c r="B555" i="1"/>
  <c r="A556" i="1"/>
  <c r="B556" i="1"/>
  <c r="A557" i="1"/>
  <c r="B557" i="1"/>
  <c r="A558" i="1"/>
  <c r="B558" i="1"/>
  <c r="A559" i="1"/>
  <c r="B559" i="1"/>
  <c r="A560" i="1"/>
  <c r="B560" i="1"/>
  <c r="A561" i="1"/>
  <c r="B561" i="1"/>
  <c r="A562" i="1"/>
  <c r="B562" i="1"/>
  <c r="A563" i="1"/>
  <c r="B563" i="1"/>
  <c r="A564" i="1"/>
  <c r="B564" i="1"/>
  <c r="A565" i="1"/>
  <c r="B565" i="1"/>
  <c r="A566" i="1"/>
  <c r="B566" i="1"/>
  <c r="A567" i="1"/>
  <c r="B567" i="1"/>
  <c r="A568" i="1"/>
  <c r="B568" i="1"/>
  <c r="A569" i="1"/>
  <c r="B569" i="1"/>
  <c r="A570" i="1"/>
  <c r="B570" i="1"/>
  <c r="A571" i="1"/>
  <c r="B571" i="1"/>
  <c r="A572" i="1"/>
  <c r="B572" i="1"/>
  <c r="A573" i="1"/>
  <c r="B573" i="1"/>
  <c r="A574" i="1"/>
  <c r="B574" i="1"/>
  <c r="A575" i="1"/>
  <c r="B575" i="1"/>
  <c r="A576" i="1"/>
  <c r="B576" i="1"/>
  <c r="A577" i="1"/>
  <c r="B577" i="1"/>
  <c r="A578" i="1"/>
  <c r="B578" i="1"/>
  <c r="A579" i="1"/>
  <c r="B579" i="1"/>
  <c r="A580" i="1"/>
  <c r="B580" i="1"/>
  <c r="A581" i="1"/>
  <c r="B581" i="1"/>
  <c r="A582" i="1"/>
  <c r="B582" i="1"/>
  <c r="A583" i="1"/>
  <c r="B583" i="1"/>
  <c r="A584" i="1"/>
  <c r="B584" i="1"/>
  <c r="A585" i="1"/>
  <c r="B585" i="1"/>
  <c r="A586" i="1"/>
  <c r="B586" i="1"/>
  <c r="A587" i="1"/>
  <c r="B587" i="1"/>
  <c r="A588" i="1"/>
  <c r="B588" i="1"/>
  <c r="A589" i="1"/>
  <c r="B589" i="1"/>
  <c r="A590" i="1"/>
  <c r="B590" i="1"/>
  <c r="A591" i="1"/>
  <c r="B591" i="1"/>
  <c r="A592" i="1"/>
  <c r="B592" i="1"/>
  <c r="A593" i="1"/>
  <c r="B593" i="1"/>
  <c r="A594" i="1"/>
  <c r="B594" i="1"/>
  <c r="A595" i="1"/>
  <c r="B595" i="1"/>
  <c r="A596" i="1"/>
  <c r="B596" i="1"/>
  <c r="A597" i="1"/>
  <c r="B597" i="1"/>
  <c r="A598" i="1"/>
  <c r="B598" i="1"/>
  <c r="A599" i="1"/>
  <c r="B599" i="1"/>
  <c r="A600" i="1"/>
  <c r="B600" i="1"/>
  <c r="A601" i="1"/>
  <c r="B601" i="1"/>
  <c r="A602" i="1"/>
  <c r="B602" i="1"/>
  <c r="A603" i="1"/>
  <c r="B603" i="1"/>
  <c r="A604" i="1"/>
  <c r="B604" i="1"/>
  <c r="A605" i="1"/>
  <c r="B605" i="1"/>
  <c r="A606" i="1"/>
  <c r="B606" i="1"/>
  <c r="A607" i="1"/>
  <c r="B607" i="1"/>
  <c r="A608" i="1"/>
  <c r="B608" i="1"/>
  <c r="A609" i="1"/>
  <c r="B609" i="1"/>
  <c r="A610" i="1"/>
  <c r="B610" i="1"/>
  <c r="A611" i="1"/>
  <c r="B611" i="1"/>
  <c r="A612" i="1"/>
  <c r="B612" i="1"/>
  <c r="A613" i="1"/>
  <c r="B613" i="1"/>
  <c r="A614" i="1"/>
  <c r="B614" i="1"/>
  <c r="A615" i="1"/>
  <c r="B615" i="1"/>
  <c r="A616" i="1"/>
  <c r="B616" i="1"/>
  <c r="A617" i="1"/>
  <c r="B617" i="1"/>
  <c r="A618" i="1"/>
  <c r="B618" i="1"/>
  <c r="A619" i="1"/>
  <c r="B619" i="1"/>
  <c r="A620" i="1"/>
  <c r="B620" i="1"/>
  <c r="A621" i="1"/>
  <c r="B621" i="1"/>
  <c r="A622" i="1"/>
  <c r="B622" i="1"/>
  <c r="A623" i="1"/>
  <c r="B623" i="1"/>
  <c r="A624" i="1"/>
  <c r="B624" i="1"/>
  <c r="A625" i="1"/>
  <c r="B625" i="1"/>
  <c r="A626" i="1"/>
  <c r="B626" i="1"/>
  <c r="A627" i="1"/>
  <c r="B627" i="1"/>
  <c r="A628" i="1"/>
  <c r="B628" i="1"/>
  <c r="A629" i="1"/>
  <c r="B629" i="1"/>
  <c r="A630" i="1"/>
  <c r="B630" i="1"/>
  <c r="A631" i="1"/>
  <c r="B631" i="1"/>
  <c r="A632" i="1"/>
  <c r="B632" i="1"/>
  <c r="A633" i="1"/>
  <c r="B633" i="1"/>
  <c r="A634" i="1"/>
  <c r="B634" i="1"/>
  <c r="A635" i="1"/>
  <c r="B635" i="1"/>
  <c r="A636" i="1"/>
  <c r="B636" i="1"/>
  <c r="A637" i="1"/>
  <c r="B637" i="1"/>
  <c r="A638" i="1"/>
  <c r="B638" i="1"/>
  <c r="A639" i="1"/>
  <c r="B639" i="1"/>
  <c r="A640" i="1"/>
  <c r="B640" i="1"/>
  <c r="A641" i="1"/>
  <c r="B641" i="1"/>
  <c r="A642" i="1"/>
  <c r="B642" i="1"/>
  <c r="A643" i="1"/>
  <c r="B643" i="1"/>
  <c r="A644" i="1"/>
  <c r="B644" i="1"/>
  <c r="A645" i="1"/>
  <c r="B645" i="1"/>
  <c r="A646" i="1"/>
  <c r="B646" i="1"/>
  <c r="A647" i="1"/>
  <c r="B647" i="1"/>
  <c r="A648" i="1"/>
  <c r="B648" i="1"/>
  <c r="A649" i="1"/>
  <c r="B649" i="1"/>
  <c r="A650" i="1"/>
  <c r="B650" i="1"/>
  <c r="A651" i="1"/>
  <c r="B651" i="1"/>
  <c r="A652" i="1"/>
  <c r="B652" i="1"/>
  <c r="A653" i="1"/>
  <c r="B653" i="1"/>
  <c r="A654" i="1"/>
  <c r="B654" i="1"/>
  <c r="A655" i="1"/>
  <c r="B655" i="1"/>
  <c r="A656" i="1"/>
  <c r="B656" i="1"/>
  <c r="A657" i="1"/>
  <c r="B657" i="1"/>
  <c r="A658" i="1"/>
  <c r="B658" i="1"/>
  <c r="A659" i="1"/>
  <c r="B659" i="1"/>
  <c r="A660" i="1"/>
  <c r="B660" i="1"/>
  <c r="A661" i="1"/>
  <c r="B661" i="1"/>
  <c r="A662" i="1"/>
  <c r="B662" i="1"/>
  <c r="A663" i="1"/>
  <c r="B663" i="1"/>
  <c r="A664" i="1"/>
  <c r="B664" i="1"/>
  <c r="A665" i="1"/>
  <c r="B665" i="1"/>
  <c r="A666" i="1"/>
  <c r="B666" i="1"/>
  <c r="A667" i="1"/>
  <c r="B667" i="1"/>
  <c r="A668" i="1"/>
  <c r="B668" i="1"/>
  <c r="A669" i="1"/>
  <c r="B669" i="1"/>
  <c r="A670" i="1"/>
  <c r="B670" i="1"/>
  <c r="A671" i="1"/>
  <c r="B671" i="1"/>
  <c r="A672" i="1"/>
  <c r="B672" i="1"/>
  <c r="A673" i="1"/>
  <c r="B673" i="1"/>
  <c r="A674" i="1"/>
  <c r="B674" i="1"/>
  <c r="A675" i="1"/>
  <c r="B675" i="1"/>
  <c r="A676" i="1"/>
  <c r="B676" i="1"/>
  <c r="A677" i="1"/>
  <c r="B677" i="1"/>
  <c r="A678" i="1"/>
  <c r="B678" i="1"/>
  <c r="A679" i="1"/>
  <c r="B679" i="1"/>
  <c r="A680" i="1"/>
  <c r="B680" i="1"/>
  <c r="A681" i="1"/>
  <c r="B681" i="1"/>
  <c r="A682" i="1"/>
  <c r="B682" i="1"/>
  <c r="A683" i="1"/>
  <c r="B683" i="1"/>
  <c r="A684" i="1"/>
  <c r="B684" i="1"/>
  <c r="A685" i="1"/>
  <c r="B685" i="1"/>
  <c r="A686" i="1"/>
  <c r="B686" i="1"/>
  <c r="A687" i="1"/>
  <c r="B687" i="1"/>
  <c r="A688" i="1"/>
  <c r="B688" i="1"/>
  <c r="A689" i="1"/>
  <c r="B689" i="1"/>
  <c r="A690" i="1"/>
  <c r="B690" i="1"/>
  <c r="A691" i="1"/>
  <c r="B691" i="1"/>
  <c r="A692" i="1"/>
  <c r="B692" i="1"/>
  <c r="A693" i="1"/>
  <c r="B693" i="1"/>
  <c r="A694" i="1"/>
  <c r="B694" i="1"/>
  <c r="A695" i="1"/>
  <c r="B695" i="1"/>
  <c r="A696" i="1"/>
  <c r="B696" i="1"/>
  <c r="A697" i="1"/>
  <c r="B697" i="1"/>
  <c r="A698" i="1"/>
  <c r="B698" i="1"/>
  <c r="A699" i="1"/>
  <c r="B699" i="1"/>
  <c r="A700" i="1"/>
  <c r="B700" i="1"/>
  <c r="A701" i="1"/>
  <c r="B701" i="1"/>
  <c r="A702" i="1"/>
  <c r="B702" i="1"/>
  <c r="A703" i="1"/>
  <c r="B703" i="1"/>
  <c r="A704" i="1"/>
  <c r="B704" i="1"/>
  <c r="A705" i="1"/>
  <c r="B705" i="1"/>
  <c r="A706" i="1"/>
  <c r="B706" i="1"/>
  <c r="A707" i="1"/>
  <c r="B707" i="1"/>
  <c r="A708" i="1"/>
  <c r="B708" i="1"/>
  <c r="A709" i="1"/>
  <c r="B709" i="1"/>
  <c r="A710" i="1"/>
  <c r="B710" i="1"/>
  <c r="A711" i="1"/>
  <c r="B711" i="1"/>
  <c r="A712" i="1"/>
  <c r="B712" i="1"/>
  <c r="A713" i="1"/>
  <c r="B713" i="1"/>
  <c r="A714" i="1"/>
  <c r="B714" i="1"/>
  <c r="A715" i="1"/>
  <c r="B715" i="1"/>
  <c r="A716" i="1"/>
  <c r="B716" i="1"/>
  <c r="A717" i="1"/>
  <c r="B717" i="1"/>
  <c r="A718" i="1"/>
  <c r="B718" i="1"/>
  <c r="A719" i="1"/>
  <c r="B719" i="1"/>
  <c r="A720" i="1"/>
  <c r="B720" i="1"/>
  <c r="A721" i="1"/>
  <c r="B721" i="1"/>
  <c r="A722" i="1"/>
  <c r="B722" i="1"/>
  <c r="A723" i="1"/>
  <c r="B723" i="1"/>
  <c r="A724" i="1"/>
  <c r="B724" i="1"/>
  <c r="A725" i="1"/>
  <c r="B725" i="1"/>
  <c r="A726" i="1"/>
  <c r="B726" i="1"/>
  <c r="A727" i="1"/>
  <c r="B727" i="1"/>
  <c r="A728" i="1"/>
  <c r="B728" i="1"/>
  <c r="A729" i="1"/>
  <c r="B729" i="1"/>
  <c r="A730" i="1"/>
  <c r="B730" i="1"/>
  <c r="A731" i="1"/>
  <c r="B731" i="1"/>
  <c r="A732" i="1"/>
  <c r="B732" i="1"/>
  <c r="A733" i="1"/>
  <c r="B733" i="1"/>
  <c r="A734" i="1"/>
  <c r="B734" i="1"/>
  <c r="A735" i="1"/>
  <c r="B735" i="1"/>
  <c r="A736" i="1"/>
  <c r="B736" i="1"/>
  <c r="A737" i="1"/>
  <c r="B737" i="1"/>
  <c r="A738" i="1"/>
  <c r="B738" i="1"/>
  <c r="A739" i="1"/>
  <c r="B739" i="1"/>
  <c r="A740" i="1"/>
  <c r="B740" i="1"/>
  <c r="A741" i="1"/>
  <c r="B741" i="1"/>
  <c r="A742" i="1"/>
  <c r="B742" i="1"/>
  <c r="A743" i="1"/>
  <c r="B743" i="1"/>
  <c r="A744" i="1"/>
  <c r="B744" i="1"/>
  <c r="A745" i="1"/>
  <c r="B745" i="1"/>
  <c r="A746" i="1"/>
  <c r="B746" i="1"/>
  <c r="A747" i="1"/>
  <c r="B747" i="1"/>
  <c r="A748" i="1"/>
  <c r="B748" i="1"/>
  <c r="A749" i="1"/>
  <c r="B749" i="1"/>
  <c r="A750" i="1"/>
  <c r="B750" i="1"/>
  <c r="A751" i="1"/>
  <c r="B751" i="1"/>
  <c r="A752" i="1"/>
  <c r="B752" i="1"/>
  <c r="A753" i="1"/>
  <c r="B753" i="1"/>
  <c r="A754" i="1"/>
  <c r="B754" i="1"/>
  <c r="A755" i="1"/>
  <c r="B755" i="1"/>
  <c r="A756" i="1"/>
  <c r="B756" i="1"/>
  <c r="A757" i="1"/>
  <c r="B757" i="1"/>
  <c r="A758" i="1"/>
  <c r="B758" i="1"/>
  <c r="A759" i="1"/>
  <c r="B759" i="1"/>
  <c r="A760" i="1"/>
  <c r="B760" i="1"/>
  <c r="A761" i="1"/>
  <c r="B761" i="1"/>
  <c r="A762" i="1"/>
  <c r="B762" i="1"/>
  <c r="A763" i="1"/>
  <c r="B763" i="1"/>
  <c r="A764" i="1"/>
  <c r="B764" i="1"/>
  <c r="A765" i="1"/>
  <c r="B765" i="1"/>
  <c r="A766" i="1"/>
  <c r="B766" i="1"/>
  <c r="A767" i="1"/>
  <c r="B767" i="1"/>
  <c r="A768" i="1"/>
  <c r="B768" i="1"/>
  <c r="A769" i="1"/>
  <c r="B769" i="1"/>
  <c r="A770" i="1"/>
  <c r="B770" i="1"/>
  <c r="A771" i="1"/>
  <c r="B771" i="1"/>
  <c r="A772" i="1"/>
  <c r="B772" i="1"/>
  <c r="A773" i="1"/>
  <c r="B773" i="1"/>
  <c r="A774" i="1"/>
  <c r="B774" i="1"/>
  <c r="A775" i="1"/>
  <c r="B775" i="1"/>
  <c r="A776" i="1"/>
  <c r="B776" i="1"/>
  <c r="A777" i="1"/>
  <c r="B777" i="1"/>
  <c r="A778" i="1"/>
  <c r="B778" i="1"/>
  <c r="A779" i="1"/>
  <c r="B779" i="1"/>
  <c r="A780" i="1"/>
  <c r="B780" i="1"/>
  <c r="A781" i="1"/>
  <c r="B781" i="1"/>
  <c r="A782" i="1"/>
  <c r="B782" i="1"/>
  <c r="A783" i="1"/>
  <c r="B783" i="1"/>
  <c r="A784" i="1"/>
  <c r="B784" i="1"/>
  <c r="A785" i="1"/>
  <c r="B785" i="1"/>
  <c r="A786" i="1"/>
  <c r="B786" i="1"/>
  <c r="A787" i="1"/>
  <c r="B787" i="1"/>
  <c r="A788" i="1"/>
  <c r="B788" i="1"/>
  <c r="A789" i="1"/>
  <c r="B789" i="1"/>
  <c r="A790" i="1"/>
  <c r="B790" i="1"/>
  <c r="A791" i="1"/>
  <c r="B791" i="1"/>
  <c r="A792" i="1"/>
  <c r="B792" i="1"/>
  <c r="A793" i="1"/>
  <c r="B793" i="1"/>
  <c r="A794" i="1"/>
  <c r="B794" i="1"/>
  <c r="A795" i="1"/>
  <c r="B795" i="1"/>
  <c r="A796" i="1"/>
  <c r="B796" i="1"/>
  <c r="A797" i="1"/>
  <c r="B797" i="1"/>
  <c r="A798" i="1"/>
  <c r="B798" i="1"/>
  <c r="A799" i="1"/>
  <c r="B799" i="1"/>
  <c r="A800" i="1"/>
  <c r="B800" i="1"/>
  <c r="A801" i="1"/>
  <c r="B801" i="1"/>
  <c r="A802" i="1"/>
  <c r="B802" i="1"/>
  <c r="A803" i="1"/>
  <c r="B803" i="1"/>
  <c r="A804" i="1"/>
  <c r="B804" i="1"/>
  <c r="A805" i="1"/>
  <c r="B805" i="1"/>
  <c r="A806" i="1"/>
  <c r="B806" i="1"/>
  <c r="A807" i="1"/>
  <c r="B807" i="1"/>
  <c r="A808" i="1"/>
  <c r="B808" i="1"/>
  <c r="A809" i="1"/>
  <c r="B809" i="1"/>
  <c r="A810" i="1"/>
  <c r="B810" i="1"/>
  <c r="A811" i="1"/>
  <c r="B811" i="1"/>
  <c r="A812" i="1"/>
  <c r="B812" i="1"/>
  <c r="A813" i="1"/>
  <c r="B813" i="1"/>
  <c r="A814" i="1"/>
  <c r="B814" i="1"/>
  <c r="A815" i="1"/>
  <c r="B815" i="1"/>
  <c r="A816" i="1"/>
  <c r="B816" i="1"/>
  <c r="A817" i="1"/>
  <c r="B817" i="1"/>
  <c r="A818" i="1"/>
  <c r="B818" i="1"/>
  <c r="A819" i="1"/>
  <c r="B819" i="1"/>
  <c r="A820" i="1"/>
  <c r="B820" i="1"/>
  <c r="A821" i="1"/>
  <c r="B821" i="1"/>
  <c r="A822" i="1"/>
  <c r="B822" i="1"/>
  <c r="A823" i="1"/>
  <c r="B823" i="1"/>
  <c r="A824" i="1"/>
  <c r="B824" i="1"/>
  <c r="A825" i="1"/>
  <c r="B825" i="1"/>
  <c r="A826" i="1"/>
  <c r="B826" i="1"/>
  <c r="A827" i="1"/>
  <c r="B827" i="1"/>
  <c r="A828" i="1"/>
  <c r="B828" i="1"/>
  <c r="A829" i="1"/>
  <c r="B829" i="1"/>
  <c r="A830" i="1"/>
  <c r="B830" i="1"/>
  <c r="A831" i="1"/>
  <c r="B831" i="1"/>
  <c r="A832" i="1"/>
  <c r="B832" i="1"/>
  <c r="A833" i="1"/>
  <c r="B833" i="1"/>
  <c r="A834" i="1"/>
  <c r="B834" i="1"/>
  <c r="A835" i="1"/>
  <c r="B835" i="1"/>
  <c r="A836" i="1"/>
  <c r="B836" i="1"/>
  <c r="A837" i="1"/>
  <c r="B837" i="1"/>
  <c r="A838" i="1"/>
  <c r="B838" i="1"/>
  <c r="A839" i="1"/>
  <c r="B839" i="1"/>
  <c r="A840" i="1"/>
  <c r="B840" i="1"/>
  <c r="A841" i="1"/>
  <c r="B841" i="1"/>
  <c r="A842" i="1"/>
  <c r="B842" i="1"/>
  <c r="A843" i="1"/>
  <c r="B843" i="1"/>
  <c r="A844" i="1"/>
  <c r="B844" i="1"/>
  <c r="A845" i="1"/>
  <c r="B845" i="1"/>
  <c r="A846" i="1"/>
  <c r="B846" i="1"/>
  <c r="A847" i="1"/>
  <c r="B847" i="1"/>
  <c r="A848" i="1"/>
  <c r="B848" i="1"/>
  <c r="A849" i="1"/>
  <c r="B849" i="1"/>
  <c r="A850" i="1"/>
  <c r="B850" i="1"/>
  <c r="A851" i="1"/>
  <c r="B851" i="1"/>
  <c r="A852" i="1"/>
  <c r="B852" i="1"/>
  <c r="A853" i="1"/>
  <c r="B853" i="1"/>
  <c r="A854" i="1"/>
  <c r="B854" i="1"/>
  <c r="A855" i="1"/>
  <c r="B855" i="1"/>
  <c r="A856" i="1"/>
  <c r="B856" i="1"/>
  <c r="A857" i="1"/>
  <c r="B857" i="1"/>
  <c r="A858" i="1"/>
  <c r="B858" i="1"/>
  <c r="A859" i="1"/>
  <c r="B859" i="1"/>
  <c r="A860" i="1"/>
  <c r="B860" i="1"/>
  <c r="A861" i="1"/>
  <c r="B861" i="1"/>
  <c r="A862" i="1"/>
  <c r="B862" i="1"/>
  <c r="A863" i="1"/>
  <c r="B863" i="1"/>
  <c r="A864" i="1"/>
  <c r="B864" i="1"/>
  <c r="A865" i="1"/>
  <c r="B865" i="1"/>
  <c r="A866" i="1"/>
  <c r="B866" i="1"/>
  <c r="A867" i="1"/>
  <c r="B867" i="1"/>
  <c r="A868" i="1"/>
  <c r="B868" i="1"/>
  <c r="A869" i="1"/>
  <c r="B869" i="1"/>
  <c r="A870" i="1"/>
  <c r="B870" i="1"/>
  <c r="A871" i="1"/>
  <c r="B871" i="1"/>
  <c r="A872" i="1"/>
  <c r="B872" i="1"/>
  <c r="A873" i="1"/>
  <c r="B873" i="1"/>
  <c r="A874" i="1"/>
  <c r="B874" i="1"/>
  <c r="A875" i="1"/>
  <c r="B875" i="1"/>
  <c r="A876" i="1"/>
  <c r="B876" i="1"/>
  <c r="A877" i="1"/>
  <c r="B877" i="1"/>
  <c r="A878" i="1"/>
  <c r="B878" i="1"/>
  <c r="A879" i="1"/>
  <c r="B879" i="1"/>
  <c r="A880" i="1"/>
  <c r="B880" i="1"/>
  <c r="A881" i="1"/>
  <c r="B881" i="1"/>
  <c r="A882" i="1"/>
  <c r="B882" i="1"/>
  <c r="A883" i="1"/>
  <c r="B883" i="1"/>
  <c r="A884" i="1"/>
  <c r="B884" i="1"/>
  <c r="A885" i="1"/>
  <c r="B885" i="1"/>
  <c r="A886" i="1"/>
  <c r="B886" i="1"/>
  <c r="A887" i="1"/>
  <c r="B887" i="1"/>
  <c r="A888" i="1"/>
  <c r="B888" i="1"/>
  <c r="A889" i="1"/>
  <c r="B889" i="1"/>
  <c r="A890" i="1"/>
  <c r="B890" i="1"/>
  <c r="A891" i="1"/>
  <c r="B891" i="1"/>
  <c r="A892" i="1"/>
  <c r="B892" i="1"/>
  <c r="A893" i="1"/>
  <c r="B893" i="1"/>
  <c r="A894" i="1"/>
  <c r="B894" i="1"/>
  <c r="A895" i="1"/>
  <c r="B895" i="1"/>
  <c r="A896" i="1"/>
  <c r="B896" i="1"/>
  <c r="A897" i="1"/>
  <c r="B897" i="1"/>
  <c r="A898" i="1"/>
  <c r="B898" i="1"/>
  <c r="A899" i="1"/>
  <c r="B899" i="1"/>
  <c r="A900" i="1"/>
  <c r="B900" i="1"/>
  <c r="A901" i="1"/>
  <c r="B901" i="1"/>
  <c r="A902" i="1"/>
  <c r="B902" i="1"/>
  <c r="A903" i="1"/>
  <c r="B903" i="1"/>
  <c r="A904" i="1"/>
  <c r="B904" i="1"/>
  <c r="A905" i="1"/>
  <c r="B905" i="1"/>
  <c r="A906" i="1"/>
  <c r="B906" i="1"/>
  <c r="A907" i="1"/>
  <c r="B907" i="1"/>
  <c r="A908" i="1"/>
  <c r="B908" i="1"/>
  <c r="A909" i="1"/>
  <c r="B909" i="1"/>
  <c r="A910" i="1"/>
  <c r="B910" i="1"/>
  <c r="A911" i="1"/>
  <c r="B911" i="1"/>
  <c r="A912" i="1"/>
  <c r="B912" i="1"/>
  <c r="A913" i="1"/>
  <c r="B913" i="1"/>
  <c r="A914" i="1"/>
  <c r="B914" i="1"/>
  <c r="A915" i="1"/>
  <c r="B915" i="1"/>
  <c r="A916" i="1"/>
  <c r="B916" i="1"/>
  <c r="A917" i="1"/>
  <c r="B917" i="1"/>
  <c r="A918" i="1"/>
  <c r="B918" i="1"/>
  <c r="A919" i="1"/>
  <c r="B919" i="1"/>
  <c r="A920" i="1"/>
  <c r="B920" i="1"/>
  <c r="A921" i="1"/>
  <c r="B921" i="1"/>
  <c r="A922" i="1"/>
  <c r="B922" i="1"/>
  <c r="A923" i="1"/>
  <c r="B923" i="1"/>
  <c r="A924" i="1"/>
  <c r="B924" i="1"/>
  <c r="A925" i="1"/>
  <c r="B925" i="1"/>
  <c r="A926" i="1"/>
  <c r="B926" i="1"/>
  <c r="A927" i="1"/>
  <c r="B927" i="1"/>
  <c r="A928" i="1"/>
  <c r="B928" i="1"/>
  <c r="A929" i="1"/>
  <c r="B929" i="1"/>
  <c r="A930" i="1"/>
  <c r="B930" i="1"/>
  <c r="A931" i="1"/>
  <c r="B931" i="1"/>
  <c r="A932" i="1"/>
  <c r="B932" i="1"/>
  <c r="A933" i="1"/>
  <c r="B933" i="1"/>
  <c r="A934" i="1"/>
  <c r="B934" i="1"/>
  <c r="A935" i="1"/>
  <c r="B935" i="1"/>
  <c r="A936" i="1"/>
  <c r="B936" i="1"/>
  <c r="A937" i="1"/>
  <c r="B937" i="1"/>
  <c r="A938" i="1"/>
  <c r="B938" i="1"/>
  <c r="A939" i="1"/>
  <c r="B939" i="1"/>
  <c r="A940" i="1"/>
  <c r="B940" i="1"/>
  <c r="A941" i="1"/>
  <c r="B941" i="1"/>
  <c r="A942" i="1"/>
  <c r="B942" i="1"/>
  <c r="A943" i="1"/>
  <c r="B943" i="1"/>
  <c r="A944" i="1"/>
  <c r="B944" i="1"/>
  <c r="A945" i="1"/>
  <c r="B945" i="1"/>
  <c r="A946" i="1"/>
  <c r="B946" i="1"/>
  <c r="A947" i="1"/>
  <c r="B947" i="1"/>
  <c r="A948" i="1"/>
  <c r="B948" i="1"/>
  <c r="A949" i="1"/>
  <c r="B949" i="1"/>
  <c r="A950" i="1"/>
  <c r="B950" i="1"/>
  <c r="A951" i="1"/>
  <c r="B951" i="1"/>
  <c r="A952" i="1"/>
  <c r="B952" i="1"/>
  <c r="A953" i="1"/>
  <c r="B953" i="1"/>
  <c r="A954" i="1"/>
  <c r="B954" i="1"/>
  <c r="A955" i="1"/>
  <c r="B955" i="1"/>
  <c r="A956" i="1"/>
  <c r="B956" i="1"/>
  <c r="A957" i="1"/>
  <c r="B957" i="1"/>
  <c r="A958" i="1"/>
  <c r="B958" i="1"/>
  <c r="A959" i="1"/>
  <c r="B959" i="1"/>
  <c r="A960" i="1"/>
  <c r="B960" i="1"/>
  <c r="A961" i="1"/>
  <c r="B961" i="1"/>
  <c r="A962" i="1"/>
  <c r="B962" i="1"/>
  <c r="A963" i="1"/>
  <c r="B963" i="1"/>
  <c r="A964" i="1"/>
  <c r="B964" i="1"/>
  <c r="A965" i="1"/>
  <c r="B965" i="1"/>
  <c r="A966" i="1"/>
  <c r="B966" i="1"/>
  <c r="A967" i="1"/>
  <c r="B967" i="1"/>
  <c r="A968" i="1"/>
  <c r="B968" i="1"/>
  <c r="A969" i="1"/>
  <c r="B969" i="1"/>
  <c r="A970" i="1"/>
  <c r="B970" i="1"/>
  <c r="A971" i="1"/>
  <c r="B971" i="1"/>
  <c r="A972" i="1"/>
  <c r="B972" i="1"/>
  <c r="A973" i="1"/>
  <c r="B973" i="1"/>
  <c r="A974" i="1"/>
  <c r="B974" i="1"/>
  <c r="A975" i="1"/>
  <c r="B975" i="1"/>
  <c r="A976" i="1"/>
  <c r="B976" i="1"/>
  <c r="A977" i="1"/>
  <c r="B977" i="1"/>
  <c r="A978" i="1"/>
  <c r="B978" i="1"/>
  <c r="A979" i="1"/>
  <c r="B979" i="1"/>
  <c r="A980" i="1"/>
  <c r="B980" i="1"/>
  <c r="A981" i="1"/>
  <c r="B981" i="1"/>
  <c r="A982" i="1"/>
  <c r="B982" i="1"/>
  <c r="A983" i="1"/>
  <c r="B983" i="1"/>
  <c r="A984" i="1"/>
  <c r="B984" i="1"/>
  <c r="A985" i="1"/>
  <c r="B985" i="1"/>
  <c r="A986" i="1"/>
  <c r="B986" i="1"/>
  <c r="A987" i="1"/>
  <c r="B987" i="1"/>
  <c r="A988" i="1"/>
  <c r="B988" i="1"/>
  <c r="A989" i="1"/>
  <c r="B989" i="1"/>
  <c r="A990" i="1"/>
  <c r="B990" i="1"/>
  <c r="A991" i="1"/>
  <c r="B991" i="1"/>
  <c r="A992" i="1"/>
  <c r="B992" i="1"/>
  <c r="A993" i="1"/>
  <c r="B993" i="1"/>
  <c r="A994" i="1"/>
  <c r="B994" i="1"/>
  <c r="A995" i="1"/>
  <c r="B995" i="1"/>
  <c r="A996" i="1"/>
  <c r="B996" i="1"/>
  <c r="A997" i="1"/>
  <c r="B997" i="1"/>
  <c r="A998" i="1"/>
  <c r="B998" i="1"/>
  <c r="A999" i="1"/>
  <c r="B999" i="1"/>
  <c r="A1000" i="1"/>
  <c r="B1000" i="1"/>
  <c r="A1001" i="1"/>
  <c r="B1001" i="1"/>
  <c r="A1002" i="1"/>
  <c r="B1002" i="1"/>
  <c r="A1003" i="1"/>
  <c r="B1003" i="1"/>
  <c r="A1004" i="1"/>
  <c r="B1004" i="1"/>
  <c r="A1005" i="1"/>
  <c r="B1005" i="1"/>
  <c r="A1006" i="1"/>
  <c r="B1006" i="1"/>
  <c r="A1007" i="1"/>
  <c r="B1007" i="1"/>
  <c r="A1008" i="1"/>
  <c r="B1008" i="1"/>
  <c r="A1009" i="1"/>
  <c r="B1009" i="1"/>
  <c r="A1010" i="1"/>
  <c r="B1010" i="1"/>
  <c r="A1011" i="1"/>
  <c r="B1011" i="1"/>
  <c r="A1012" i="1"/>
  <c r="B1012" i="1"/>
  <c r="A1013" i="1"/>
  <c r="B1013" i="1"/>
  <c r="A1014" i="1"/>
  <c r="B1014" i="1"/>
  <c r="A1015" i="1"/>
  <c r="B1015" i="1"/>
  <c r="A1016" i="1"/>
  <c r="B1016" i="1"/>
  <c r="A1017" i="1"/>
  <c r="B1017" i="1"/>
  <c r="A1018" i="1"/>
  <c r="B1018" i="1"/>
  <c r="A1019" i="1"/>
  <c r="B1019" i="1"/>
  <c r="A1020" i="1"/>
  <c r="B1020" i="1"/>
  <c r="A1021" i="1"/>
  <c r="B1021" i="1"/>
  <c r="A1022" i="1"/>
  <c r="B1022" i="1"/>
  <c r="A1023" i="1"/>
  <c r="B1023" i="1"/>
  <c r="A1024" i="1"/>
  <c r="B1024" i="1"/>
  <c r="A1025" i="1"/>
  <c r="B1025" i="1"/>
  <c r="A1026" i="1"/>
  <c r="B1026" i="1"/>
  <c r="A1027" i="1"/>
  <c r="B1027" i="1"/>
  <c r="A1028" i="1"/>
  <c r="B1028" i="1"/>
  <c r="A1029" i="1"/>
  <c r="B1029" i="1"/>
  <c r="A1030" i="1"/>
  <c r="B1030" i="1"/>
  <c r="A1031" i="1"/>
  <c r="B1031" i="1"/>
  <c r="A1032" i="1"/>
  <c r="B1032" i="1"/>
  <c r="A1033" i="1"/>
  <c r="B1033" i="1"/>
  <c r="A1034" i="1"/>
  <c r="B1034" i="1"/>
  <c r="A1035" i="1"/>
  <c r="B1035" i="1"/>
  <c r="A1036" i="1"/>
  <c r="B1036" i="1"/>
  <c r="A1037" i="1"/>
  <c r="B1037" i="1"/>
  <c r="A1038" i="1"/>
  <c r="B1038" i="1"/>
  <c r="A1039" i="1"/>
  <c r="B1039" i="1"/>
  <c r="A1040" i="1"/>
  <c r="B1040" i="1"/>
  <c r="A1041" i="1"/>
  <c r="B1041" i="1"/>
  <c r="A1042" i="1"/>
  <c r="B1042" i="1"/>
  <c r="A1043" i="1"/>
  <c r="B1043" i="1"/>
  <c r="A1044" i="1"/>
  <c r="B1044" i="1"/>
  <c r="A1045" i="1"/>
  <c r="B1045" i="1"/>
  <c r="A1046" i="1"/>
  <c r="B1046" i="1"/>
  <c r="A1047" i="1"/>
  <c r="B1047" i="1"/>
  <c r="A1048" i="1"/>
  <c r="B1048" i="1"/>
  <c r="A1049" i="1"/>
  <c r="B1049" i="1"/>
  <c r="A1050" i="1"/>
  <c r="B1050" i="1"/>
  <c r="A1051" i="1"/>
  <c r="B1051" i="1"/>
  <c r="A1052" i="1"/>
  <c r="B1052" i="1"/>
  <c r="A1053" i="1"/>
  <c r="B1053" i="1"/>
  <c r="A1054" i="1"/>
  <c r="B1054" i="1"/>
  <c r="A1055" i="1"/>
  <c r="B1055" i="1"/>
  <c r="A1056" i="1"/>
  <c r="B1056" i="1"/>
  <c r="A1057" i="1"/>
  <c r="B1057" i="1"/>
  <c r="A1058" i="1"/>
  <c r="B1058" i="1"/>
  <c r="A1059" i="1"/>
  <c r="B1059" i="1"/>
  <c r="A1060" i="1"/>
  <c r="B1060" i="1"/>
  <c r="A1061" i="1"/>
  <c r="B1061" i="1"/>
  <c r="A1062" i="1"/>
  <c r="B1062" i="1"/>
  <c r="A1063" i="1"/>
  <c r="B1063" i="1"/>
  <c r="A1064" i="1"/>
  <c r="B1064" i="1"/>
  <c r="A1065" i="1"/>
  <c r="B1065" i="1"/>
  <c r="A1066" i="1"/>
  <c r="B1066" i="1"/>
  <c r="A1067" i="1"/>
  <c r="B1067" i="1"/>
  <c r="A1068" i="1"/>
  <c r="B1068" i="1"/>
  <c r="A1069" i="1"/>
  <c r="B1069" i="1"/>
  <c r="A1070" i="1"/>
  <c r="B1070" i="1"/>
  <c r="A1071" i="1"/>
  <c r="B1071" i="1"/>
  <c r="A1072" i="1"/>
  <c r="B1072" i="1"/>
  <c r="A1073" i="1"/>
  <c r="B1073" i="1"/>
  <c r="A1074" i="1"/>
  <c r="B1074" i="1"/>
  <c r="A1075" i="1"/>
  <c r="B1075" i="1"/>
  <c r="A1076" i="1"/>
  <c r="B1076" i="1"/>
  <c r="A1077" i="1"/>
  <c r="B1077" i="1"/>
  <c r="A1078" i="1"/>
  <c r="B1078" i="1"/>
  <c r="A1079" i="1"/>
  <c r="B1079" i="1"/>
  <c r="A1080" i="1"/>
  <c r="B1080" i="1"/>
  <c r="A1081" i="1"/>
  <c r="B1081" i="1"/>
  <c r="A1082" i="1"/>
  <c r="B1082" i="1"/>
  <c r="A1083" i="1"/>
  <c r="B1083" i="1"/>
  <c r="A1084" i="1"/>
  <c r="B1084" i="1"/>
  <c r="A1085" i="1"/>
  <c r="B1085" i="1"/>
  <c r="A1086" i="1"/>
  <c r="B1086" i="1"/>
  <c r="A1087" i="1"/>
  <c r="B1087" i="1"/>
  <c r="A1088" i="1"/>
  <c r="B1088" i="1"/>
  <c r="A1089" i="1"/>
  <c r="B1089" i="1"/>
  <c r="A1090" i="1"/>
  <c r="B1090" i="1"/>
  <c r="A1091" i="1"/>
  <c r="B1091" i="1"/>
  <c r="A1092" i="1"/>
  <c r="B1092" i="1"/>
  <c r="A1093" i="1"/>
  <c r="B1093" i="1"/>
  <c r="A1094" i="1"/>
  <c r="B1094" i="1"/>
  <c r="A1095" i="1"/>
  <c r="B1095" i="1"/>
  <c r="A1096" i="1"/>
  <c r="B1096" i="1"/>
  <c r="A1097" i="1"/>
  <c r="B1097" i="1"/>
  <c r="A1098" i="1"/>
  <c r="B1098" i="1"/>
  <c r="A1099" i="1"/>
  <c r="B1099" i="1"/>
  <c r="A1100" i="1"/>
  <c r="B1100" i="1"/>
  <c r="A1101" i="1"/>
  <c r="B1101" i="1"/>
  <c r="A1102" i="1"/>
  <c r="B1102" i="1"/>
  <c r="A1103" i="1"/>
  <c r="B1103" i="1"/>
  <c r="A1104" i="1"/>
  <c r="B1104" i="1"/>
  <c r="A1105" i="1"/>
  <c r="B1105" i="1"/>
  <c r="A1106" i="1"/>
  <c r="B1106" i="1"/>
  <c r="A1107" i="1"/>
  <c r="B1107" i="1"/>
  <c r="A1108" i="1"/>
  <c r="B1108" i="1"/>
  <c r="A1109" i="1"/>
  <c r="B1109" i="1"/>
  <c r="A1110" i="1"/>
  <c r="B1110" i="1"/>
  <c r="A1111" i="1"/>
  <c r="B1111" i="1"/>
  <c r="A1112" i="1"/>
  <c r="B1112" i="1"/>
  <c r="A1113" i="1"/>
  <c r="B1113" i="1"/>
  <c r="A1114" i="1"/>
  <c r="B1114" i="1"/>
  <c r="A1115" i="1"/>
  <c r="B1115" i="1"/>
  <c r="A1116" i="1"/>
  <c r="B1116" i="1"/>
  <c r="A1117" i="1"/>
  <c r="B1117" i="1"/>
  <c r="A1118" i="1"/>
  <c r="B1118" i="1"/>
  <c r="A1119" i="1"/>
  <c r="B1119" i="1"/>
  <c r="A1120" i="1"/>
  <c r="B1120" i="1"/>
  <c r="A1121" i="1"/>
  <c r="B1121" i="1"/>
  <c r="A1122" i="1"/>
  <c r="B1122" i="1"/>
  <c r="A1123" i="1"/>
  <c r="B1123" i="1"/>
  <c r="A1124" i="1"/>
  <c r="B1124" i="1"/>
  <c r="A1125" i="1"/>
  <c r="B1125" i="1"/>
  <c r="A1126" i="1"/>
  <c r="B1126" i="1"/>
  <c r="A1127" i="1"/>
  <c r="B1127" i="1"/>
  <c r="A1128" i="1"/>
  <c r="B1128" i="1"/>
  <c r="A1129" i="1"/>
  <c r="B1129" i="1"/>
  <c r="A1130" i="1"/>
  <c r="B1130" i="1"/>
  <c r="A1131" i="1"/>
  <c r="B1131" i="1"/>
  <c r="A1132" i="1"/>
  <c r="B1132" i="1"/>
  <c r="A1133" i="1"/>
  <c r="B1133" i="1"/>
  <c r="A1134" i="1"/>
  <c r="B1134" i="1"/>
  <c r="A1135" i="1"/>
  <c r="B1135" i="1"/>
  <c r="A1136" i="1"/>
  <c r="B1136" i="1"/>
  <c r="A1137" i="1"/>
  <c r="B1137" i="1"/>
  <c r="A1138" i="1"/>
  <c r="B1138" i="1"/>
  <c r="A1139" i="1"/>
  <c r="B1139" i="1"/>
  <c r="A1140" i="1"/>
  <c r="B1140" i="1"/>
  <c r="A1141" i="1"/>
  <c r="B1141" i="1"/>
  <c r="A1142" i="1"/>
  <c r="B1142" i="1"/>
  <c r="A1143" i="1"/>
  <c r="B1143" i="1"/>
  <c r="A1144" i="1"/>
  <c r="B1144" i="1"/>
  <c r="A1145" i="1"/>
  <c r="B1145" i="1"/>
  <c r="A1146" i="1"/>
  <c r="B1146" i="1"/>
  <c r="A1147" i="1"/>
  <c r="B1147" i="1"/>
  <c r="A1148" i="1"/>
  <c r="B1148" i="1"/>
  <c r="A1149" i="1"/>
  <c r="B1149" i="1"/>
  <c r="A1150" i="1"/>
  <c r="B1150" i="1"/>
  <c r="A1151" i="1"/>
  <c r="B1151" i="1"/>
  <c r="A1152" i="1"/>
  <c r="B1152" i="1"/>
  <c r="A1153" i="1"/>
  <c r="B1153" i="1"/>
  <c r="A1154" i="1"/>
  <c r="B1154" i="1"/>
  <c r="A1155" i="1"/>
  <c r="B1155" i="1"/>
  <c r="A1156" i="1"/>
  <c r="B1156" i="1"/>
  <c r="A1157" i="1"/>
  <c r="B1157" i="1"/>
  <c r="A1158" i="1"/>
  <c r="B1158" i="1"/>
  <c r="A1159" i="1"/>
  <c r="B1159" i="1"/>
  <c r="A1160" i="1"/>
  <c r="B1160" i="1"/>
  <c r="A1161" i="1"/>
  <c r="B1161" i="1"/>
  <c r="A1162" i="1"/>
  <c r="B1162" i="1"/>
  <c r="A1163" i="1"/>
  <c r="B1163" i="1"/>
  <c r="A1164" i="1"/>
  <c r="B1164" i="1"/>
  <c r="A1165" i="1"/>
  <c r="B1165" i="1"/>
  <c r="A1166" i="1"/>
  <c r="B1166" i="1"/>
  <c r="A1167" i="1"/>
  <c r="B1167" i="1"/>
  <c r="A1168" i="1"/>
  <c r="B1168" i="1"/>
  <c r="A1169" i="1"/>
  <c r="B1169" i="1"/>
  <c r="A1170" i="1"/>
  <c r="B1170" i="1"/>
  <c r="A1171" i="1"/>
  <c r="B1171" i="1"/>
  <c r="A1172" i="1"/>
  <c r="B1172" i="1"/>
  <c r="A1173" i="1"/>
  <c r="B1173" i="1"/>
  <c r="A1174" i="1"/>
  <c r="B1174" i="1"/>
  <c r="A1175" i="1"/>
  <c r="B1175" i="1"/>
  <c r="A1176" i="1"/>
  <c r="B1176" i="1"/>
  <c r="A1177" i="1"/>
  <c r="B1177" i="1"/>
  <c r="A1178" i="1"/>
  <c r="B1178" i="1"/>
  <c r="A1179" i="1"/>
  <c r="B1179" i="1"/>
  <c r="A1180" i="1"/>
  <c r="B1180" i="1"/>
  <c r="A1181" i="1"/>
  <c r="B1181" i="1"/>
  <c r="A1182" i="1"/>
  <c r="B1182" i="1"/>
  <c r="A1183" i="1"/>
  <c r="B1183" i="1"/>
  <c r="A1184" i="1"/>
  <c r="B1184" i="1"/>
  <c r="A1185" i="1"/>
  <c r="B1185" i="1"/>
  <c r="A1186" i="1"/>
  <c r="B1186" i="1"/>
  <c r="A1187" i="1"/>
  <c r="B1187" i="1"/>
  <c r="A1188" i="1"/>
  <c r="B1188" i="1"/>
  <c r="A1189" i="1"/>
  <c r="B1189" i="1"/>
  <c r="A1190" i="1"/>
  <c r="B1190" i="1"/>
  <c r="A1191" i="1"/>
  <c r="B1191" i="1"/>
  <c r="A1192" i="1"/>
  <c r="B1192" i="1"/>
  <c r="A1193" i="1"/>
  <c r="B1193" i="1"/>
  <c r="A1194" i="1"/>
  <c r="B1194" i="1"/>
  <c r="A1195" i="1"/>
  <c r="B1195" i="1"/>
  <c r="A1196" i="1"/>
  <c r="B1196" i="1"/>
  <c r="A1197" i="1"/>
  <c r="B1197" i="1"/>
  <c r="A1198" i="1"/>
  <c r="B1198" i="1"/>
  <c r="A1199" i="1"/>
  <c r="B1199" i="1"/>
  <c r="A1200" i="1"/>
  <c r="B1200" i="1"/>
  <c r="A1201" i="1"/>
  <c r="B1201" i="1"/>
  <c r="A1202" i="1"/>
  <c r="B1202" i="1"/>
  <c r="A1203" i="1"/>
  <c r="B1203" i="1"/>
  <c r="A1204" i="1"/>
  <c r="B1204" i="1"/>
  <c r="A1205" i="1"/>
  <c r="B1205" i="1"/>
  <c r="A1206" i="1"/>
  <c r="B1206" i="1"/>
  <c r="A1207" i="1"/>
  <c r="B1207" i="1"/>
  <c r="A1208" i="1"/>
  <c r="B1208" i="1"/>
  <c r="A1209" i="1"/>
  <c r="B1209" i="1"/>
  <c r="A1210" i="1"/>
  <c r="B1210" i="1"/>
  <c r="A1211" i="1"/>
  <c r="B1211" i="1"/>
  <c r="A1212" i="1"/>
  <c r="B1212" i="1"/>
  <c r="A1213" i="1"/>
  <c r="B1213" i="1"/>
  <c r="A1214" i="1"/>
  <c r="B1214" i="1"/>
  <c r="A1215" i="1"/>
  <c r="B1215" i="1"/>
  <c r="A1216" i="1"/>
  <c r="B1216" i="1"/>
  <c r="A1217" i="1"/>
  <c r="B1217" i="1"/>
  <c r="A1218" i="1"/>
  <c r="B1218" i="1"/>
  <c r="A1219" i="1"/>
  <c r="B1219" i="1"/>
  <c r="A1220" i="1"/>
  <c r="B1220" i="1"/>
  <c r="A1221" i="1"/>
  <c r="B1221" i="1"/>
  <c r="A1222" i="1"/>
  <c r="B1222" i="1"/>
  <c r="A1223" i="1"/>
  <c r="B1223" i="1"/>
  <c r="A1224" i="1"/>
  <c r="B1224" i="1"/>
  <c r="A1225" i="1"/>
  <c r="B1225" i="1"/>
  <c r="A1226" i="1"/>
  <c r="B1226" i="1"/>
  <c r="A1227" i="1"/>
  <c r="B1227" i="1"/>
  <c r="A1228" i="1"/>
  <c r="B1228" i="1"/>
  <c r="A1229" i="1"/>
  <c r="B1229" i="1"/>
  <c r="A1230" i="1"/>
  <c r="B1230" i="1"/>
  <c r="A1231" i="1"/>
  <c r="B1231" i="1"/>
  <c r="A1232" i="1"/>
  <c r="B1232" i="1"/>
  <c r="A1233" i="1"/>
  <c r="B1233" i="1"/>
  <c r="A1234" i="1"/>
  <c r="B1234" i="1"/>
  <c r="A1235" i="1"/>
  <c r="B1235" i="1"/>
  <c r="A1236" i="1"/>
  <c r="B1236" i="1"/>
  <c r="A1237" i="1"/>
  <c r="B1237" i="1"/>
  <c r="A1238" i="1"/>
  <c r="B1238" i="1"/>
  <c r="A1239" i="1"/>
  <c r="B1239" i="1"/>
  <c r="A1240" i="1"/>
  <c r="B1240" i="1"/>
  <c r="A1241" i="1"/>
  <c r="B1241" i="1"/>
  <c r="A1242" i="1"/>
  <c r="B1242" i="1"/>
  <c r="A1243" i="1"/>
  <c r="B1243" i="1"/>
  <c r="A1244" i="1"/>
  <c r="B1244" i="1"/>
  <c r="A1245" i="1"/>
  <c r="B1245" i="1"/>
  <c r="A1246" i="1"/>
  <c r="B1246" i="1"/>
  <c r="A1247" i="1"/>
  <c r="B1247" i="1"/>
  <c r="A1248" i="1"/>
  <c r="B1248" i="1"/>
  <c r="A1249" i="1"/>
  <c r="B1249" i="1"/>
  <c r="A1250" i="1"/>
  <c r="B1250" i="1"/>
  <c r="A1251" i="1"/>
  <c r="B1251" i="1"/>
  <c r="A1252" i="1"/>
  <c r="B1252" i="1"/>
  <c r="A1253" i="1"/>
  <c r="B1253" i="1"/>
  <c r="A1254" i="1"/>
  <c r="B1254" i="1"/>
  <c r="A1255" i="1"/>
  <c r="B1255" i="1"/>
  <c r="A1256" i="1"/>
  <c r="B1256" i="1"/>
  <c r="A1257" i="1"/>
  <c r="B1257" i="1"/>
  <c r="A1258" i="1"/>
  <c r="B1258" i="1"/>
  <c r="A1259" i="1"/>
  <c r="B1259" i="1"/>
  <c r="A1260" i="1"/>
  <c r="B1260" i="1"/>
  <c r="A1261" i="1"/>
  <c r="B1261" i="1"/>
  <c r="A1262" i="1"/>
  <c r="B1262" i="1"/>
  <c r="A1263" i="1"/>
  <c r="B1263" i="1"/>
  <c r="A1264" i="1"/>
  <c r="B1264" i="1"/>
  <c r="A1265" i="1"/>
  <c r="B1265" i="1"/>
  <c r="A1266" i="1"/>
  <c r="B1266" i="1"/>
  <c r="A1267" i="1"/>
  <c r="B1267" i="1"/>
  <c r="A1268" i="1"/>
  <c r="B1268" i="1"/>
  <c r="A1269" i="1"/>
  <c r="B1269" i="1"/>
  <c r="A1270" i="1"/>
  <c r="B1270" i="1"/>
  <c r="A1271" i="1"/>
  <c r="B1271" i="1"/>
  <c r="A1272" i="1"/>
  <c r="B1272" i="1"/>
  <c r="A1273" i="1"/>
  <c r="B1273" i="1"/>
  <c r="A1274" i="1"/>
  <c r="B1274" i="1"/>
  <c r="A1275" i="1"/>
  <c r="B1275" i="1"/>
  <c r="A1276" i="1"/>
  <c r="B1276" i="1"/>
  <c r="A1277" i="1"/>
  <c r="B1277" i="1"/>
  <c r="A1278" i="1"/>
  <c r="B1278" i="1"/>
  <c r="A1279" i="1"/>
  <c r="B1279" i="1"/>
  <c r="A1280" i="1"/>
  <c r="B1280" i="1"/>
  <c r="A1281" i="1"/>
  <c r="B1281" i="1"/>
  <c r="A1282" i="1"/>
  <c r="B1282" i="1"/>
  <c r="A1283" i="1"/>
  <c r="B1283" i="1"/>
  <c r="A1284" i="1"/>
  <c r="B1284" i="1"/>
  <c r="A1285" i="1"/>
  <c r="B1285" i="1"/>
  <c r="A1286" i="1"/>
  <c r="B1286" i="1"/>
  <c r="A1287" i="1"/>
  <c r="B1287" i="1"/>
  <c r="A1288" i="1"/>
  <c r="B1288" i="1"/>
  <c r="A1289" i="1"/>
  <c r="B1289" i="1"/>
  <c r="A1290" i="1"/>
  <c r="B1290" i="1"/>
  <c r="A1291" i="1"/>
  <c r="B1291" i="1"/>
  <c r="A1292" i="1"/>
  <c r="B1292" i="1"/>
  <c r="A1293" i="1"/>
  <c r="B1293" i="1"/>
  <c r="A1294" i="1"/>
  <c r="B1294" i="1"/>
  <c r="A1295" i="1"/>
  <c r="B1295" i="1"/>
  <c r="A1296" i="1"/>
  <c r="B1296" i="1"/>
  <c r="A1297" i="1"/>
  <c r="B1297" i="1"/>
  <c r="A1298" i="1"/>
  <c r="B1298" i="1"/>
  <c r="A1299" i="1"/>
  <c r="B1299" i="1"/>
  <c r="A1300" i="1"/>
  <c r="B1300" i="1"/>
  <c r="A1301" i="1"/>
  <c r="B1301" i="1"/>
  <c r="A1302" i="1"/>
  <c r="B1302" i="1"/>
  <c r="A1303" i="1"/>
  <c r="B1303" i="1"/>
  <c r="A1304" i="1"/>
  <c r="B1304" i="1"/>
  <c r="A1305" i="1"/>
  <c r="B1305" i="1"/>
  <c r="A1306" i="1"/>
  <c r="B1306" i="1"/>
  <c r="A1307" i="1"/>
  <c r="B1307" i="1"/>
  <c r="A1308" i="1"/>
  <c r="B1308" i="1"/>
  <c r="A1309" i="1"/>
  <c r="B1309" i="1"/>
  <c r="A1310" i="1"/>
  <c r="B1310" i="1"/>
  <c r="A1311" i="1"/>
  <c r="B1311" i="1"/>
  <c r="A1312" i="1"/>
  <c r="B1312" i="1"/>
  <c r="A1313" i="1"/>
  <c r="B1313" i="1"/>
  <c r="A1314" i="1"/>
  <c r="B1314" i="1"/>
  <c r="A1315" i="1"/>
  <c r="B1315" i="1"/>
  <c r="A1316" i="1"/>
  <c r="B1316" i="1"/>
  <c r="A1317" i="1"/>
  <c r="B1317" i="1"/>
  <c r="A1318" i="1"/>
  <c r="B1318" i="1"/>
  <c r="A1319" i="1"/>
  <c r="B1319" i="1"/>
  <c r="A1320" i="1"/>
  <c r="B1320" i="1"/>
  <c r="A1321" i="1"/>
  <c r="B1321" i="1"/>
  <c r="A1322" i="1"/>
  <c r="B1322" i="1"/>
  <c r="A1323" i="1"/>
  <c r="B1323" i="1"/>
  <c r="A1324" i="1"/>
  <c r="B1324" i="1"/>
  <c r="A1325" i="1"/>
  <c r="B1325" i="1"/>
  <c r="A1326" i="1"/>
  <c r="B1326" i="1"/>
  <c r="A1327" i="1"/>
  <c r="B1327" i="1"/>
  <c r="A1328" i="1"/>
  <c r="B1328" i="1"/>
  <c r="A1329" i="1"/>
  <c r="B1329" i="1"/>
  <c r="A1330" i="1"/>
  <c r="B1330" i="1"/>
  <c r="A1331" i="1"/>
  <c r="B1331" i="1"/>
  <c r="A1332" i="1"/>
  <c r="B1332" i="1"/>
  <c r="A1333" i="1"/>
  <c r="B1333" i="1"/>
  <c r="A1334" i="1"/>
  <c r="B1334" i="1"/>
  <c r="A1335" i="1"/>
  <c r="B1335" i="1"/>
  <c r="A1336" i="1"/>
  <c r="B1336" i="1"/>
  <c r="A1337" i="1"/>
  <c r="B1337" i="1"/>
  <c r="A1338" i="1"/>
  <c r="B1338" i="1"/>
  <c r="A1339" i="1"/>
  <c r="B1339" i="1"/>
  <c r="A1340" i="1"/>
  <c r="B1340" i="1"/>
  <c r="A1341" i="1"/>
  <c r="B1341" i="1"/>
  <c r="A1342" i="1"/>
  <c r="B1342" i="1"/>
  <c r="A1343" i="1"/>
  <c r="B1343" i="1"/>
  <c r="A1344" i="1"/>
  <c r="B1344" i="1"/>
  <c r="A1345" i="1"/>
  <c r="B1345" i="1"/>
  <c r="A1346" i="1"/>
  <c r="B1346" i="1"/>
  <c r="A1347" i="1"/>
  <c r="B1347" i="1"/>
  <c r="A1348" i="1"/>
  <c r="B1348" i="1"/>
  <c r="A1349" i="1"/>
  <c r="B1349" i="1"/>
  <c r="A1350" i="1"/>
  <c r="B1350" i="1"/>
  <c r="A1351" i="1"/>
  <c r="B1351" i="1"/>
  <c r="A1352" i="1"/>
  <c r="B1352" i="1"/>
  <c r="A1353" i="1"/>
  <c r="B1353" i="1"/>
  <c r="A1354" i="1"/>
  <c r="B1354" i="1"/>
  <c r="A1355" i="1"/>
  <c r="B1355" i="1"/>
  <c r="A1356" i="1"/>
  <c r="B1356" i="1"/>
  <c r="A1357" i="1"/>
  <c r="B1357" i="1"/>
  <c r="A1358" i="1"/>
  <c r="B1358" i="1"/>
  <c r="A1359" i="1"/>
  <c r="B1359" i="1"/>
  <c r="A1360" i="1"/>
  <c r="B1360" i="1"/>
  <c r="A1361" i="1"/>
  <c r="B1361" i="1"/>
  <c r="A1362" i="1"/>
  <c r="B1362" i="1"/>
  <c r="A1363" i="1"/>
  <c r="B1363" i="1"/>
  <c r="A1364" i="1"/>
  <c r="B1364" i="1"/>
  <c r="A1365" i="1"/>
  <c r="B1365" i="1"/>
  <c r="A1366" i="1"/>
  <c r="B1366" i="1"/>
  <c r="A1367" i="1"/>
  <c r="B1367" i="1"/>
  <c r="A1368" i="1"/>
  <c r="B1368" i="1"/>
  <c r="A1369" i="1"/>
  <c r="B1369" i="1"/>
  <c r="A1370" i="1"/>
  <c r="B1370" i="1"/>
  <c r="A1371" i="1"/>
  <c r="B1371" i="1"/>
  <c r="A1372" i="1"/>
  <c r="B1372" i="1"/>
  <c r="A1373" i="1"/>
  <c r="B1373" i="1"/>
  <c r="A1374" i="1"/>
  <c r="B1374" i="1"/>
  <c r="A1375" i="1"/>
  <c r="B1375" i="1"/>
  <c r="A1376" i="1"/>
  <c r="B1376" i="1"/>
  <c r="A1377" i="1"/>
  <c r="B1377" i="1"/>
  <c r="A1378" i="1"/>
  <c r="B1378" i="1"/>
  <c r="A1379" i="1"/>
  <c r="B1379" i="1"/>
  <c r="A1380" i="1"/>
  <c r="B1380" i="1"/>
  <c r="A1381" i="1"/>
  <c r="B1381" i="1"/>
  <c r="A1382" i="1"/>
  <c r="B1382" i="1"/>
  <c r="A1383" i="1"/>
  <c r="B1383" i="1"/>
  <c r="A1384" i="1"/>
  <c r="B1384" i="1"/>
  <c r="A1385" i="1"/>
  <c r="B1385" i="1"/>
  <c r="A1386" i="1"/>
  <c r="B1386" i="1"/>
  <c r="A1387" i="1"/>
  <c r="B1387" i="1"/>
  <c r="A1388" i="1"/>
  <c r="B1388" i="1"/>
  <c r="A1389" i="1"/>
  <c r="B1389" i="1"/>
  <c r="A1390" i="1"/>
  <c r="B1390" i="1"/>
  <c r="A1391" i="1"/>
  <c r="B1391" i="1"/>
  <c r="A1392" i="1"/>
  <c r="B1392" i="1"/>
  <c r="A1393" i="1"/>
  <c r="B1393" i="1"/>
  <c r="A1394" i="1"/>
  <c r="B1394" i="1"/>
  <c r="A1395" i="1"/>
  <c r="B1395" i="1"/>
  <c r="A1396" i="1"/>
  <c r="B1396" i="1"/>
  <c r="A1397" i="1"/>
  <c r="B1397" i="1"/>
  <c r="A1398" i="1"/>
  <c r="B1398" i="1"/>
  <c r="A1399" i="1"/>
  <c r="B1399" i="1"/>
  <c r="A1400" i="1"/>
  <c r="B1400" i="1"/>
  <c r="A1401" i="1"/>
  <c r="B1401" i="1"/>
  <c r="A1402" i="1"/>
  <c r="B1402" i="1"/>
  <c r="A1403" i="1"/>
  <c r="B1403" i="1"/>
  <c r="A1404" i="1"/>
  <c r="B1404" i="1"/>
  <c r="A1405" i="1"/>
  <c r="B1405" i="1"/>
  <c r="A1406" i="1"/>
  <c r="B1406" i="1"/>
  <c r="A1407" i="1"/>
  <c r="B1407" i="1"/>
  <c r="A1408" i="1"/>
  <c r="B1408" i="1"/>
  <c r="A1409" i="1"/>
  <c r="B1409" i="1"/>
  <c r="A1410" i="1"/>
  <c r="B1410" i="1"/>
  <c r="A1411" i="1"/>
  <c r="B1411" i="1"/>
  <c r="A1412" i="1"/>
  <c r="B1412" i="1"/>
  <c r="A1413" i="1"/>
  <c r="B1413" i="1"/>
  <c r="A1414" i="1"/>
  <c r="B1414" i="1"/>
  <c r="A1415" i="1"/>
  <c r="B1415" i="1"/>
  <c r="A1416" i="1"/>
  <c r="B1416" i="1"/>
  <c r="A1417" i="1"/>
  <c r="B1417" i="1"/>
  <c r="A1418" i="1"/>
  <c r="B1418" i="1"/>
  <c r="A1419" i="1"/>
  <c r="B1419" i="1"/>
  <c r="A1420" i="1"/>
  <c r="B1420" i="1"/>
  <c r="A1421" i="1"/>
  <c r="B1421" i="1"/>
  <c r="A1422" i="1"/>
  <c r="B1422" i="1"/>
  <c r="A1423" i="1"/>
  <c r="B1423" i="1"/>
  <c r="A1424" i="1"/>
  <c r="B1424" i="1"/>
  <c r="A1425" i="1"/>
  <c r="B1425" i="1"/>
  <c r="A1426" i="1"/>
  <c r="B1426" i="1"/>
  <c r="A1427" i="1"/>
  <c r="B1427" i="1"/>
  <c r="A1428" i="1"/>
  <c r="B1428" i="1"/>
  <c r="A1429" i="1"/>
  <c r="B1429" i="1"/>
  <c r="A1430" i="1"/>
  <c r="B1430" i="1"/>
  <c r="A1431" i="1"/>
  <c r="B1431" i="1"/>
  <c r="A1432" i="1"/>
  <c r="B1432" i="1"/>
  <c r="A1433" i="1"/>
  <c r="B1433" i="1"/>
  <c r="A1434" i="1"/>
  <c r="B1434" i="1"/>
  <c r="A1435" i="1"/>
  <c r="B1435" i="1"/>
  <c r="A1436" i="1"/>
  <c r="B1436" i="1"/>
  <c r="A1437" i="1"/>
  <c r="B1437" i="1"/>
  <c r="A1438" i="1"/>
  <c r="B1438" i="1"/>
  <c r="A1439" i="1"/>
  <c r="B1439" i="1"/>
  <c r="A1440" i="1"/>
  <c r="B1440" i="1"/>
  <c r="A1441" i="1"/>
  <c r="B1441" i="1"/>
  <c r="A1442" i="1"/>
  <c r="B1442" i="1"/>
  <c r="A1443" i="1"/>
  <c r="B1443" i="1"/>
  <c r="A1444" i="1"/>
  <c r="B1444" i="1"/>
  <c r="A1445" i="1"/>
  <c r="B1445" i="1"/>
  <c r="A1446" i="1"/>
  <c r="B1446" i="1"/>
  <c r="A1447" i="1"/>
  <c r="B1447" i="1"/>
  <c r="A1448" i="1"/>
  <c r="B1448" i="1"/>
  <c r="A1449" i="1"/>
  <c r="B1449" i="1"/>
  <c r="A1450" i="1"/>
  <c r="B1450" i="1"/>
  <c r="A1451" i="1"/>
  <c r="B1451" i="1"/>
  <c r="A1452" i="1"/>
  <c r="B1452" i="1"/>
  <c r="A1453" i="1"/>
  <c r="B1453" i="1"/>
  <c r="A1454" i="1"/>
  <c r="B1454" i="1"/>
  <c r="A1455" i="1"/>
  <c r="B1455" i="1"/>
  <c r="A1456" i="1"/>
  <c r="B1456" i="1"/>
  <c r="A1457" i="1"/>
  <c r="B1457" i="1"/>
  <c r="A1458" i="1"/>
  <c r="B1458" i="1"/>
  <c r="A1459" i="1"/>
  <c r="B1459" i="1"/>
  <c r="A1460" i="1"/>
  <c r="B1460" i="1"/>
  <c r="A1461" i="1"/>
  <c r="B1461" i="1"/>
  <c r="A1462" i="1"/>
  <c r="B1462" i="1"/>
  <c r="A1463" i="1"/>
  <c r="B1463" i="1"/>
  <c r="A1464" i="1"/>
  <c r="B1464" i="1"/>
  <c r="A1465" i="1"/>
  <c r="B1465" i="1"/>
  <c r="A1466" i="1"/>
  <c r="B1466" i="1"/>
  <c r="A1467" i="1"/>
  <c r="B1467" i="1"/>
  <c r="A1468" i="1"/>
  <c r="B1468" i="1"/>
  <c r="A1469" i="1"/>
  <c r="B1469" i="1"/>
  <c r="A1470" i="1"/>
  <c r="B1470" i="1"/>
  <c r="A1471" i="1"/>
  <c r="B1471" i="1"/>
  <c r="A1472" i="1"/>
  <c r="B1472" i="1"/>
  <c r="A1473" i="1"/>
  <c r="B1473" i="1"/>
  <c r="A1474" i="1"/>
  <c r="B1474" i="1"/>
  <c r="A1475" i="1"/>
  <c r="B1475" i="1"/>
  <c r="A1476" i="1"/>
  <c r="B1476" i="1"/>
  <c r="A1477" i="1"/>
  <c r="B1477" i="1"/>
  <c r="A1478" i="1"/>
  <c r="B1478" i="1"/>
  <c r="A1479" i="1"/>
  <c r="B1479" i="1"/>
  <c r="A1480" i="1"/>
  <c r="B1480" i="1"/>
  <c r="A1481" i="1"/>
  <c r="B1481" i="1"/>
  <c r="A1482" i="1"/>
  <c r="B1482" i="1"/>
  <c r="A1483" i="1"/>
  <c r="B1483" i="1"/>
  <c r="A1484" i="1"/>
  <c r="B1484" i="1"/>
  <c r="A1485" i="1"/>
  <c r="B1485" i="1"/>
  <c r="A1486" i="1"/>
  <c r="B1486" i="1"/>
  <c r="A1487" i="1"/>
  <c r="B1487" i="1"/>
  <c r="A1488" i="1"/>
  <c r="B1488" i="1"/>
  <c r="A1489" i="1"/>
  <c r="B1489" i="1"/>
  <c r="A1490" i="1"/>
  <c r="B1490" i="1"/>
  <c r="A1491" i="1"/>
  <c r="B1491" i="1"/>
  <c r="A1492" i="1"/>
  <c r="B1492" i="1"/>
  <c r="A1493" i="1"/>
  <c r="B1493" i="1"/>
  <c r="A1494" i="1"/>
  <c r="B1494" i="1"/>
  <c r="A1495" i="1"/>
  <c r="B1495" i="1"/>
  <c r="A1496" i="1"/>
  <c r="B1496" i="1"/>
  <c r="A1497" i="1"/>
  <c r="B1497" i="1"/>
  <c r="A1498" i="1"/>
  <c r="B1498" i="1"/>
  <c r="A1499" i="1"/>
  <c r="B1499" i="1"/>
  <c r="A1500" i="1"/>
  <c r="B1500" i="1"/>
  <c r="A1501" i="1"/>
  <c r="B1501" i="1"/>
  <c r="A1502" i="1"/>
  <c r="B1502" i="1"/>
  <c r="A1503" i="1"/>
  <c r="B1503" i="1"/>
  <c r="A1504" i="1"/>
  <c r="B1504" i="1"/>
  <c r="A1505" i="1"/>
  <c r="B1505" i="1"/>
  <c r="A1506" i="1"/>
  <c r="B1506" i="1"/>
  <c r="A1507" i="1"/>
  <c r="B1507" i="1"/>
  <c r="A1508" i="1"/>
  <c r="B1508" i="1"/>
  <c r="A1509" i="1"/>
  <c r="B1509" i="1"/>
  <c r="A1510" i="1"/>
  <c r="B1510" i="1"/>
  <c r="A1511" i="1"/>
  <c r="B1511" i="1"/>
  <c r="A1512" i="1"/>
  <c r="B1512" i="1"/>
  <c r="A1513" i="1"/>
  <c r="B1513" i="1"/>
  <c r="A1514" i="1"/>
  <c r="B1514" i="1"/>
  <c r="A1515" i="1"/>
  <c r="B1515" i="1"/>
  <c r="A1516" i="1"/>
  <c r="B1516" i="1"/>
  <c r="A1517" i="1"/>
  <c r="B1517" i="1"/>
  <c r="A1518" i="1"/>
  <c r="B1518" i="1"/>
  <c r="A1519" i="1"/>
  <c r="B1519" i="1"/>
  <c r="A1520" i="1"/>
  <c r="B1520" i="1"/>
  <c r="A1521" i="1"/>
  <c r="B1521" i="1"/>
  <c r="A1522" i="1"/>
  <c r="B1522" i="1"/>
  <c r="A1523" i="1"/>
  <c r="B1523" i="1"/>
  <c r="A1524" i="1"/>
  <c r="B1524" i="1"/>
  <c r="A1525" i="1"/>
  <c r="B1525" i="1"/>
  <c r="A1526" i="1"/>
  <c r="B1526" i="1"/>
  <c r="A1527" i="1"/>
  <c r="B1527" i="1"/>
  <c r="A1528" i="1"/>
  <c r="B1528" i="1"/>
  <c r="A1529" i="1"/>
  <c r="B1529" i="1"/>
  <c r="A1530" i="1"/>
  <c r="B1530" i="1"/>
  <c r="A1531" i="1"/>
  <c r="B1531" i="1"/>
  <c r="A1532" i="1"/>
  <c r="B1532" i="1"/>
  <c r="A1533" i="1"/>
  <c r="B1533" i="1"/>
  <c r="A1534" i="1"/>
  <c r="B1534" i="1"/>
  <c r="A1535" i="1"/>
  <c r="B1535" i="1"/>
  <c r="A1536" i="1"/>
  <c r="B1536" i="1"/>
  <c r="A1537" i="1"/>
  <c r="B1537" i="1"/>
  <c r="A1538" i="1"/>
  <c r="B1538" i="1"/>
  <c r="A1539" i="1"/>
  <c r="B1539" i="1"/>
  <c r="A1540" i="1"/>
  <c r="B1540" i="1"/>
  <c r="A1541" i="1"/>
  <c r="B1541" i="1"/>
  <c r="A1542" i="1"/>
  <c r="B1542" i="1"/>
  <c r="A1543" i="1"/>
  <c r="B1543" i="1"/>
  <c r="A1544" i="1"/>
  <c r="B1544" i="1"/>
  <c r="A1545" i="1"/>
  <c r="B1545" i="1"/>
  <c r="A1546" i="1"/>
  <c r="B1546" i="1"/>
  <c r="A1547" i="1"/>
  <c r="B1547" i="1"/>
  <c r="A1548" i="1"/>
  <c r="B1548" i="1"/>
  <c r="A1549" i="1"/>
  <c r="B1549" i="1"/>
  <c r="A1550" i="1"/>
  <c r="B1550" i="1"/>
  <c r="A1551" i="1"/>
  <c r="B1551" i="1"/>
  <c r="A1552" i="1"/>
  <c r="B1552" i="1"/>
  <c r="A1553" i="1"/>
  <c r="B1553" i="1"/>
  <c r="A1554" i="1"/>
  <c r="B1554" i="1"/>
  <c r="A1555" i="1"/>
  <c r="B1555" i="1"/>
  <c r="A1556" i="1"/>
  <c r="B1556" i="1"/>
  <c r="A1557" i="1"/>
  <c r="B1557" i="1"/>
  <c r="A1558" i="1"/>
  <c r="B1558" i="1"/>
  <c r="A1559" i="1"/>
  <c r="B1559" i="1"/>
  <c r="A1560" i="1"/>
  <c r="B1560" i="1"/>
  <c r="A1561" i="1"/>
  <c r="B1561" i="1"/>
  <c r="A1562" i="1"/>
  <c r="B1562" i="1"/>
  <c r="A1563" i="1"/>
  <c r="B1563" i="1"/>
  <c r="A1564" i="1"/>
  <c r="B1564" i="1"/>
  <c r="A1565" i="1"/>
  <c r="B1565" i="1"/>
  <c r="A1566" i="1"/>
  <c r="B1566" i="1"/>
  <c r="A1567" i="1"/>
  <c r="B1567" i="1"/>
  <c r="A1568" i="1"/>
  <c r="B1568" i="1"/>
  <c r="A1569" i="1"/>
  <c r="B1569" i="1"/>
  <c r="A1570" i="1"/>
  <c r="B1570" i="1"/>
  <c r="A1571" i="1"/>
  <c r="B1571" i="1"/>
  <c r="A1572" i="1"/>
  <c r="B1572" i="1"/>
  <c r="A1573" i="1"/>
  <c r="B1573" i="1"/>
  <c r="A1574" i="1"/>
  <c r="B1574" i="1"/>
  <c r="A1575" i="1"/>
  <c r="B1575" i="1"/>
  <c r="A1576" i="1"/>
  <c r="B1576" i="1"/>
  <c r="A1577" i="1"/>
  <c r="B1577" i="1"/>
  <c r="A1578" i="1"/>
  <c r="B1578" i="1"/>
  <c r="A1579" i="1"/>
  <c r="B1579" i="1"/>
  <c r="A1580" i="1"/>
  <c r="B1580" i="1"/>
  <c r="A1581" i="1"/>
  <c r="B1581" i="1"/>
  <c r="A1582" i="1"/>
  <c r="B1582" i="1"/>
  <c r="A1583" i="1"/>
  <c r="B1583" i="1"/>
  <c r="A1584" i="1"/>
  <c r="B1584" i="1"/>
  <c r="A1585" i="1"/>
  <c r="B1585" i="1"/>
  <c r="A1586" i="1"/>
  <c r="B1586" i="1"/>
  <c r="A1587" i="1"/>
  <c r="B1587" i="1"/>
  <c r="A1588" i="1"/>
  <c r="B1588" i="1"/>
  <c r="A1589" i="1"/>
  <c r="B1589" i="1"/>
  <c r="A1590" i="1"/>
  <c r="B1590" i="1"/>
  <c r="A1591" i="1"/>
  <c r="B1591" i="1"/>
  <c r="A1592" i="1"/>
  <c r="B1592" i="1"/>
  <c r="A1593" i="1"/>
  <c r="B1593" i="1"/>
  <c r="A1594" i="1"/>
  <c r="B1594" i="1"/>
  <c r="A1595" i="1"/>
  <c r="B1595" i="1"/>
  <c r="A1596" i="1"/>
  <c r="B1596" i="1"/>
  <c r="A1597" i="1"/>
  <c r="B1597" i="1"/>
  <c r="A1598" i="1"/>
  <c r="B1598" i="1"/>
  <c r="A1599" i="1"/>
  <c r="B1599" i="1"/>
  <c r="A1600" i="1"/>
  <c r="B1600" i="1"/>
  <c r="A1601" i="1"/>
  <c r="B1601" i="1"/>
  <c r="A1602" i="1"/>
  <c r="B1602" i="1"/>
  <c r="A1603" i="1"/>
  <c r="B1603" i="1"/>
  <c r="A1604" i="1"/>
  <c r="B1604" i="1"/>
  <c r="A1605" i="1"/>
  <c r="B1605" i="1"/>
  <c r="A1606" i="1"/>
  <c r="B1606" i="1"/>
  <c r="A1607" i="1"/>
  <c r="B1607" i="1"/>
  <c r="A1608" i="1"/>
  <c r="B1608" i="1"/>
  <c r="A1609" i="1"/>
  <c r="B1609" i="1"/>
  <c r="A1610" i="1"/>
  <c r="B1610" i="1"/>
  <c r="A1611" i="1"/>
  <c r="B1611" i="1"/>
  <c r="A1612" i="1"/>
  <c r="B1612" i="1"/>
  <c r="A1613" i="1"/>
  <c r="B1613" i="1"/>
  <c r="A1614" i="1"/>
  <c r="B1614" i="1"/>
  <c r="A1615" i="1"/>
  <c r="B1615" i="1"/>
  <c r="A1616" i="1"/>
  <c r="B1616" i="1"/>
  <c r="A1617" i="1"/>
  <c r="B1617" i="1"/>
  <c r="A1618" i="1"/>
  <c r="B1618" i="1"/>
  <c r="A1619" i="1"/>
  <c r="B1619" i="1"/>
  <c r="A1620" i="1"/>
  <c r="B1620" i="1"/>
  <c r="A1621" i="1"/>
  <c r="B1621" i="1"/>
  <c r="A1622" i="1"/>
  <c r="B1622" i="1"/>
  <c r="A1623" i="1"/>
  <c r="B1623" i="1"/>
  <c r="A1624" i="1"/>
  <c r="B1624" i="1"/>
  <c r="A1625" i="1"/>
  <c r="B1625" i="1"/>
  <c r="A1626" i="1"/>
  <c r="B1626" i="1"/>
  <c r="A1627" i="1"/>
  <c r="B1627" i="1"/>
  <c r="A1628" i="1"/>
  <c r="B1628" i="1"/>
  <c r="A1629" i="1"/>
  <c r="B1629" i="1"/>
  <c r="A1630" i="1"/>
  <c r="B1630" i="1"/>
  <c r="A1631" i="1"/>
  <c r="B1631" i="1"/>
  <c r="A1632" i="1"/>
  <c r="B1632" i="1"/>
  <c r="A1633" i="1"/>
  <c r="B1633" i="1"/>
  <c r="A1634" i="1"/>
  <c r="B1634" i="1"/>
  <c r="A1635" i="1"/>
  <c r="B1635" i="1"/>
  <c r="A1636" i="1"/>
  <c r="B1636" i="1"/>
  <c r="A1637" i="1"/>
  <c r="B1637" i="1"/>
  <c r="A1638" i="1"/>
  <c r="B1638" i="1"/>
  <c r="A1639" i="1"/>
  <c r="B1639" i="1"/>
  <c r="A1640" i="1"/>
  <c r="B1640" i="1"/>
  <c r="A1641" i="1"/>
  <c r="B1641" i="1"/>
  <c r="A1642" i="1"/>
  <c r="B1642" i="1"/>
  <c r="A1643" i="1"/>
  <c r="B1643" i="1"/>
  <c r="A1644" i="1"/>
  <c r="B1644" i="1"/>
  <c r="A1645" i="1"/>
  <c r="B1645" i="1"/>
  <c r="A1646" i="1"/>
  <c r="B1646" i="1"/>
  <c r="A1647" i="1"/>
  <c r="B1647" i="1"/>
  <c r="A1648" i="1"/>
  <c r="B1648" i="1"/>
  <c r="A1649" i="1"/>
  <c r="B1649" i="1"/>
  <c r="A1650" i="1"/>
  <c r="B1650" i="1"/>
  <c r="A1651" i="1"/>
  <c r="B1651" i="1"/>
  <c r="A1652" i="1"/>
  <c r="B1652" i="1"/>
  <c r="A1653" i="1"/>
  <c r="B1653" i="1"/>
  <c r="A1654" i="1"/>
  <c r="B1654" i="1"/>
  <c r="A1655" i="1"/>
  <c r="B1655" i="1"/>
  <c r="A1656" i="1"/>
  <c r="B1656" i="1"/>
  <c r="A1657" i="1"/>
  <c r="B1657" i="1"/>
  <c r="A1658" i="1"/>
  <c r="B1658" i="1"/>
  <c r="A1659" i="1"/>
  <c r="B1659" i="1"/>
  <c r="A1660" i="1"/>
  <c r="B1660" i="1"/>
  <c r="A1661" i="1"/>
  <c r="B1661" i="1"/>
  <c r="A1662" i="1"/>
  <c r="B1662" i="1"/>
  <c r="A1663" i="1"/>
  <c r="B1663" i="1"/>
  <c r="A1664" i="1"/>
  <c r="B1664" i="1"/>
  <c r="A1665" i="1"/>
  <c r="B1665" i="1"/>
  <c r="A1666" i="1"/>
  <c r="B1666" i="1"/>
  <c r="A1667" i="1"/>
  <c r="B1667" i="1"/>
  <c r="A1668" i="1"/>
  <c r="B1668" i="1"/>
  <c r="A1669" i="1"/>
  <c r="B1669" i="1"/>
  <c r="A1670" i="1"/>
  <c r="B1670" i="1"/>
  <c r="A1671" i="1"/>
  <c r="B1671" i="1"/>
  <c r="A1672" i="1"/>
  <c r="B1672" i="1"/>
  <c r="A1673" i="1"/>
  <c r="B1673" i="1"/>
  <c r="A1674" i="1"/>
  <c r="B1674" i="1"/>
  <c r="A1675" i="1"/>
  <c r="B1675" i="1"/>
  <c r="A1676" i="1"/>
  <c r="B1676" i="1"/>
  <c r="A1677" i="1"/>
  <c r="B1677" i="1"/>
  <c r="A1678" i="1"/>
  <c r="B1678" i="1"/>
  <c r="A1679" i="1"/>
  <c r="B1679" i="1"/>
  <c r="A1680" i="1"/>
  <c r="B1680" i="1"/>
  <c r="A1681" i="1"/>
  <c r="B1681" i="1"/>
  <c r="A1682" i="1"/>
  <c r="B1682" i="1"/>
  <c r="A1683" i="1"/>
  <c r="B1683" i="1"/>
  <c r="A1684" i="1"/>
  <c r="B1684" i="1"/>
  <c r="A1685" i="1"/>
  <c r="B1685" i="1"/>
  <c r="A1686" i="1"/>
  <c r="B1686" i="1"/>
  <c r="A1687" i="1"/>
  <c r="B1687" i="1"/>
  <c r="A1688" i="1"/>
  <c r="B1688" i="1"/>
  <c r="A1689" i="1"/>
  <c r="B1689" i="1"/>
  <c r="A1690" i="1"/>
  <c r="B1690" i="1"/>
  <c r="A1691" i="1"/>
  <c r="B1691" i="1"/>
  <c r="A1692" i="1"/>
  <c r="B1692" i="1"/>
  <c r="A1693" i="1"/>
  <c r="B1693" i="1"/>
  <c r="A1694" i="1"/>
  <c r="B1694" i="1"/>
  <c r="A1695" i="1"/>
  <c r="B1695" i="1"/>
  <c r="A1696" i="1"/>
  <c r="B1696" i="1"/>
  <c r="A1697" i="1"/>
  <c r="B1697" i="1"/>
  <c r="A1698" i="1"/>
  <c r="B1698" i="1"/>
  <c r="A1699" i="1"/>
  <c r="B1699" i="1"/>
  <c r="A1700" i="1"/>
  <c r="B1700" i="1"/>
  <c r="A1701" i="1"/>
  <c r="B1701" i="1"/>
  <c r="A1702" i="1"/>
  <c r="B1702" i="1"/>
  <c r="A1703" i="1"/>
  <c r="B1703" i="1"/>
  <c r="A1704" i="1"/>
  <c r="B1704" i="1"/>
  <c r="A1705" i="1"/>
  <c r="B1705" i="1"/>
  <c r="A1706" i="1"/>
  <c r="B1706" i="1"/>
  <c r="A1707" i="1"/>
  <c r="B1707" i="1"/>
  <c r="A1708" i="1"/>
  <c r="B1708" i="1"/>
  <c r="A1709" i="1"/>
  <c r="B1709" i="1"/>
  <c r="A1710" i="1"/>
  <c r="B1710" i="1"/>
  <c r="A1711" i="1"/>
  <c r="B1711" i="1"/>
  <c r="A1712" i="1"/>
  <c r="B1712" i="1"/>
  <c r="A1713" i="1"/>
  <c r="B1713" i="1"/>
  <c r="A1714" i="1"/>
  <c r="B1714" i="1"/>
  <c r="A1715" i="1"/>
  <c r="B1715" i="1"/>
  <c r="A1716" i="1"/>
  <c r="B1716" i="1"/>
  <c r="A1717" i="1"/>
  <c r="B1717" i="1"/>
  <c r="A1718" i="1"/>
  <c r="B1718" i="1"/>
  <c r="A1719" i="1"/>
  <c r="B1719" i="1"/>
  <c r="A1720" i="1"/>
  <c r="B1720" i="1"/>
  <c r="A1721" i="1"/>
  <c r="B1721" i="1"/>
  <c r="A1722" i="1"/>
  <c r="B1722" i="1"/>
  <c r="A1723" i="1"/>
  <c r="B1723" i="1"/>
  <c r="A1724" i="1"/>
  <c r="B1724" i="1"/>
  <c r="A1725" i="1"/>
  <c r="B1725" i="1"/>
  <c r="A1726" i="1"/>
  <c r="B1726" i="1"/>
  <c r="A1727" i="1"/>
  <c r="B1727" i="1"/>
  <c r="A1728" i="1"/>
  <c r="B1728" i="1"/>
  <c r="A1729" i="1"/>
  <c r="B1729" i="1"/>
  <c r="A1730" i="1"/>
  <c r="B1730" i="1"/>
  <c r="A1731" i="1"/>
  <c r="B1731" i="1"/>
  <c r="A1732" i="1"/>
  <c r="B1732" i="1"/>
  <c r="A1733" i="1"/>
  <c r="B1733" i="1"/>
  <c r="A1734" i="1"/>
  <c r="B1734" i="1"/>
  <c r="A1735" i="1"/>
  <c r="B1735" i="1"/>
  <c r="A1736" i="1"/>
  <c r="B1736" i="1"/>
  <c r="A1737" i="1"/>
  <c r="B1737" i="1"/>
  <c r="A1738" i="1"/>
  <c r="B1738" i="1"/>
  <c r="A1739" i="1"/>
  <c r="B1739" i="1"/>
  <c r="A1740" i="1"/>
  <c r="B1740" i="1"/>
  <c r="A1741" i="1"/>
  <c r="B1741" i="1"/>
  <c r="A1742" i="1"/>
  <c r="B1742" i="1"/>
  <c r="A1743" i="1"/>
  <c r="B1743" i="1"/>
  <c r="A1744" i="1"/>
  <c r="B1744" i="1"/>
  <c r="A1745" i="1"/>
  <c r="B1745" i="1"/>
  <c r="A1746" i="1"/>
  <c r="B1746" i="1"/>
  <c r="A1747" i="1"/>
  <c r="B1747" i="1"/>
  <c r="A1748" i="1"/>
  <c r="B1748" i="1"/>
  <c r="A1749" i="1"/>
  <c r="B1749" i="1"/>
  <c r="A1750" i="1"/>
  <c r="B1750" i="1"/>
  <c r="A1751" i="1"/>
  <c r="B1751" i="1"/>
  <c r="A1752" i="1"/>
  <c r="B1752" i="1"/>
  <c r="A1753" i="1"/>
  <c r="B1753" i="1"/>
  <c r="A1754" i="1"/>
  <c r="B1754" i="1"/>
  <c r="A1755" i="1"/>
  <c r="B1755" i="1"/>
  <c r="A1756" i="1"/>
  <c r="B1756" i="1"/>
  <c r="A1757" i="1"/>
  <c r="B1757" i="1"/>
  <c r="A1758" i="1"/>
  <c r="B1758" i="1"/>
  <c r="A1759" i="1"/>
  <c r="B1759" i="1"/>
  <c r="A1760" i="1"/>
  <c r="B1760" i="1"/>
  <c r="A1761" i="1"/>
  <c r="B1761" i="1"/>
  <c r="A1762" i="1"/>
  <c r="B1762" i="1"/>
  <c r="A1763" i="1"/>
  <c r="B1763" i="1"/>
  <c r="A1764" i="1"/>
  <c r="B1764" i="1"/>
  <c r="A1765" i="1"/>
  <c r="B1765" i="1"/>
  <c r="A1766" i="1"/>
  <c r="B1766" i="1"/>
  <c r="A1767" i="1"/>
  <c r="B1767" i="1"/>
  <c r="A1768" i="1"/>
  <c r="B1768" i="1"/>
  <c r="A1769" i="1"/>
  <c r="B1769" i="1"/>
  <c r="A1770" i="1"/>
  <c r="B1770" i="1"/>
  <c r="A1771" i="1"/>
  <c r="B1771" i="1"/>
  <c r="A1772" i="1"/>
  <c r="B1772" i="1"/>
  <c r="A1773" i="1"/>
  <c r="B1773" i="1"/>
  <c r="A1774" i="1"/>
  <c r="B1774" i="1"/>
  <c r="A1775" i="1"/>
  <c r="B1775" i="1"/>
  <c r="A1776" i="1"/>
  <c r="B1776" i="1"/>
  <c r="A1777" i="1"/>
  <c r="B1777" i="1"/>
  <c r="A1778" i="1"/>
  <c r="B1778" i="1"/>
  <c r="A1779" i="1"/>
  <c r="B1779" i="1"/>
  <c r="A1780" i="1"/>
  <c r="B1780" i="1"/>
  <c r="A1781" i="1"/>
  <c r="B1781" i="1"/>
  <c r="A1782" i="1"/>
  <c r="B1782" i="1"/>
  <c r="A1783" i="1"/>
  <c r="B1783" i="1"/>
  <c r="A1784" i="1"/>
  <c r="B1784" i="1"/>
  <c r="A1785" i="1"/>
  <c r="B1785" i="1"/>
  <c r="A1786" i="1"/>
  <c r="B1786" i="1"/>
  <c r="A1787" i="1"/>
  <c r="B1787" i="1"/>
  <c r="A1788" i="1"/>
  <c r="B1788" i="1"/>
  <c r="A1789" i="1"/>
  <c r="B1789" i="1"/>
  <c r="A1790" i="1"/>
  <c r="B1790" i="1"/>
  <c r="A1791" i="1"/>
  <c r="B1791" i="1"/>
  <c r="A1792" i="1"/>
  <c r="B1792" i="1"/>
  <c r="A1793" i="1"/>
  <c r="B1793" i="1"/>
  <c r="A1794" i="1"/>
  <c r="B1794" i="1"/>
  <c r="A1795" i="1"/>
  <c r="B1795" i="1"/>
  <c r="A1796" i="1"/>
  <c r="B1796" i="1"/>
  <c r="A1797" i="1"/>
  <c r="B1797" i="1"/>
  <c r="A1798" i="1"/>
  <c r="B1798" i="1"/>
  <c r="A1799" i="1"/>
  <c r="B1799" i="1"/>
  <c r="A1800" i="1"/>
  <c r="B1800" i="1"/>
  <c r="A1801" i="1"/>
  <c r="B1801" i="1"/>
  <c r="A1802" i="1"/>
  <c r="B1802" i="1"/>
  <c r="A1803" i="1"/>
  <c r="B1803" i="1"/>
  <c r="A1804" i="1"/>
  <c r="B1804" i="1"/>
  <c r="A1805" i="1"/>
  <c r="B1805" i="1"/>
  <c r="A1806" i="1"/>
  <c r="B1806" i="1"/>
  <c r="A1807" i="1"/>
  <c r="B1807" i="1"/>
  <c r="A1808" i="1"/>
  <c r="B1808" i="1"/>
  <c r="A1809" i="1"/>
  <c r="B1809" i="1"/>
  <c r="A1810" i="1"/>
  <c r="B1810" i="1"/>
  <c r="A1811" i="1"/>
  <c r="B1811" i="1"/>
  <c r="A1812" i="1"/>
  <c r="B1812" i="1"/>
  <c r="A1813" i="1"/>
  <c r="B1813" i="1"/>
  <c r="A1814" i="1"/>
  <c r="B1814" i="1"/>
  <c r="A1815" i="1"/>
  <c r="B1815" i="1"/>
  <c r="A1816" i="1"/>
  <c r="B1816" i="1"/>
  <c r="A1817" i="1"/>
  <c r="B1817" i="1"/>
  <c r="A1818" i="1"/>
  <c r="B1818" i="1"/>
  <c r="A1819" i="1"/>
  <c r="B1819" i="1"/>
  <c r="A1820" i="1"/>
  <c r="B1820" i="1"/>
  <c r="A1821" i="1"/>
  <c r="B1821" i="1"/>
  <c r="A1822" i="1"/>
  <c r="B1822" i="1"/>
  <c r="A1823" i="1"/>
  <c r="B1823" i="1"/>
  <c r="A1824" i="1"/>
  <c r="B1824" i="1"/>
  <c r="A1825" i="1"/>
  <c r="B1825" i="1"/>
  <c r="A1826" i="1"/>
  <c r="B1826" i="1"/>
  <c r="A1827" i="1"/>
  <c r="B1827" i="1"/>
  <c r="A1828" i="1"/>
  <c r="B1828" i="1"/>
  <c r="A1829" i="1"/>
  <c r="B1829" i="1"/>
  <c r="A1830" i="1"/>
  <c r="B1830" i="1"/>
  <c r="A1831" i="1"/>
  <c r="B1831" i="1"/>
  <c r="A1832" i="1"/>
  <c r="B1832" i="1"/>
  <c r="A1833" i="1"/>
  <c r="B1833" i="1"/>
  <c r="A1834" i="1"/>
  <c r="B1834" i="1"/>
  <c r="A1835" i="1"/>
  <c r="B1835" i="1"/>
  <c r="A1836" i="1"/>
  <c r="B1836" i="1"/>
  <c r="A1837" i="1"/>
  <c r="B1837" i="1"/>
  <c r="A1838" i="1"/>
  <c r="B1838" i="1"/>
  <c r="A1839" i="1"/>
  <c r="B1839" i="1"/>
  <c r="A1840" i="1"/>
  <c r="B1840" i="1"/>
  <c r="A1841" i="1"/>
  <c r="B1841" i="1"/>
  <c r="A1842" i="1"/>
  <c r="B1842" i="1"/>
  <c r="A1843" i="1"/>
  <c r="B1843" i="1"/>
  <c r="A1844" i="1"/>
  <c r="B1844" i="1"/>
  <c r="A1845" i="1"/>
  <c r="B1845" i="1"/>
  <c r="A1846" i="1"/>
  <c r="B1846" i="1"/>
  <c r="A1847" i="1"/>
  <c r="B1847" i="1"/>
  <c r="A1848" i="1"/>
  <c r="B1848" i="1"/>
  <c r="A1849" i="1"/>
  <c r="B1849" i="1"/>
  <c r="A1850" i="1"/>
  <c r="B1850" i="1"/>
  <c r="A1851" i="1"/>
  <c r="B1851" i="1"/>
  <c r="A1852" i="1"/>
  <c r="B1852" i="1"/>
  <c r="A1853" i="1"/>
  <c r="B1853" i="1"/>
  <c r="A1854" i="1"/>
  <c r="B1854" i="1"/>
  <c r="A1855" i="1"/>
  <c r="B1855" i="1"/>
  <c r="A1856" i="1"/>
  <c r="B1856" i="1"/>
  <c r="A1857" i="1"/>
  <c r="B1857" i="1"/>
  <c r="A1858" i="1"/>
  <c r="B1858" i="1"/>
  <c r="A1859" i="1"/>
  <c r="B1859" i="1"/>
  <c r="A1860" i="1"/>
  <c r="B1860" i="1"/>
  <c r="A1861" i="1"/>
  <c r="B1861" i="1"/>
  <c r="A1862" i="1"/>
  <c r="B1862" i="1"/>
  <c r="A1863" i="1"/>
  <c r="B1863" i="1"/>
  <c r="A1864" i="1"/>
  <c r="B1864" i="1"/>
  <c r="A1865" i="1"/>
  <c r="B1865" i="1"/>
  <c r="A1866" i="1"/>
  <c r="B1866" i="1"/>
  <c r="A1867" i="1"/>
  <c r="B1867" i="1"/>
  <c r="A1868" i="1"/>
  <c r="B1868" i="1"/>
  <c r="A1869" i="1"/>
  <c r="B1869" i="1"/>
  <c r="A1870" i="1"/>
  <c r="B1870" i="1"/>
  <c r="A1871" i="1"/>
  <c r="B1871" i="1"/>
  <c r="A1872" i="1"/>
  <c r="B1872" i="1"/>
  <c r="A1873" i="1"/>
  <c r="B1873" i="1"/>
  <c r="A1874" i="1"/>
  <c r="B1874" i="1"/>
  <c r="A1875" i="1"/>
  <c r="B1875" i="1"/>
  <c r="A1876" i="1"/>
  <c r="B1876" i="1"/>
  <c r="A1877" i="1"/>
  <c r="B1877" i="1"/>
  <c r="A1878" i="1"/>
  <c r="B1878" i="1"/>
  <c r="A1879" i="1"/>
  <c r="B1879" i="1"/>
  <c r="A1880" i="1"/>
  <c r="B1880" i="1"/>
  <c r="A1881" i="1"/>
  <c r="B1881" i="1"/>
  <c r="A1882" i="1"/>
  <c r="B1882" i="1"/>
  <c r="A1883" i="1"/>
  <c r="B1883" i="1"/>
  <c r="A1884" i="1"/>
  <c r="B1884" i="1"/>
  <c r="A1885" i="1"/>
  <c r="B1885" i="1"/>
  <c r="A1886" i="1"/>
  <c r="B1886" i="1"/>
  <c r="A1887" i="1"/>
  <c r="B1887" i="1"/>
  <c r="A1888" i="1"/>
  <c r="B1888" i="1"/>
  <c r="A1889" i="1"/>
  <c r="B1889" i="1"/>
  <c r="A1890" i="1"/>
  <c r="B1890" i="1"/>
  <c r="A1891" i="1"/>
  <c r="B1891" i="1"/>
  <c r="A1892" i="1"/>
  <c r="B1892" i="1"/>
  <c r="A1893" i="1"/>
  <c r="B1893" i="1"/>
  <c r="A1894" i="1"/>
  <c r="B1894" i="1"/>
  <c r="A1895" i="1"/>
  <c r="B1895" i="1"/>
  <c r="A1896" i="1"/>
  <c r="B1896" i="1"/>
  <c r="A1897" i="1"/>
  <c r="B1897" i="1"/>
  <c r="A1898" i="1"/>
  <c r="B1898" i="1"/>
  <c r="A1899" i="1"/>
  <c r="B1899" i="1"/>
  <c r="A1900" i="1"/>
  <c r="B1900" i="1"/>
  <c r="A1901" i="1"/>
  <c r="B1901" i="1"/>
  <c r="A1902" i="1"/>
  <c r="B1902" i="1"/>
  <c r="A1903" i="1"/>
  <c r="B1903" i="1"/>
  <c r="A1904" i="1"/>
  <c r="B1904" i="1"/>
  <c r="A1905" i="1"/>
  <c r="B1905" i="1"/>
  <c r="A1906" i="1"/>
  <c r="B1906" i="1"/>
  <c r="A1907" i="1"/>
  <c r="B1907" i="1"/>
  <c r="A1908" i="1"/>
  <c r="B1908" i="1"/>
  <c r="A1909" i="1"/>
  <c r="B1909" i="1"/>
  <c r="A1910" i="1"/>
  <c r="B1910" i="1"/>
  <c r="A1911" i="1"/>
  <c r="B1911" i="1"/>
  <c r="A1912" i="1"/>
  <c r="B1912" i="1"/>
  <c r="A1913" i="1"/>
  <c r="B1913" i="1"/>
  <c r="A1914" i="1"/>
  <c r="B1914" i="1"/>
  <c r="A1915" i="1"/>
  <c r="B1915" i="1"/>
  <c r="A1916" i="1"/>
  <c r="B1916" i="1"/>
  <c r="A1917" i="1"/>
  <c r="B1917" i="1"/>
  <c r="A1918" i="1"/>
  <c r="B1918" i="1"/>
  <c r="A1919" i="1"/>
  <c r="B1919" i="1"/>
  <c r="A1920" i="1"/>
  <c r="B1920" i="1"/>
  <c r="A1921" i="1"/>
  <c r="B1921" i="1"/>
  <c r="A1922" i="1"/>
  <c r="B1922" i="1"/>
  <c r="A1923" i="1"/>
  <c r="B1923" i="1"/>
  <c r="A1924" i="1"/>
  <c r="B1924" i="1"/>
  <c r="A1925" i="1"/>
  <c r="B1925" i="1"/>
  <c r="A1926" i="1"/>
  <c r="B1926" i="1"/>
  <c r="A1927" i="1"/>
  <c r="B1927" i="1"/>
  <c r="A1928" i="1"/>
  <c r="B1928" i="1"/>
  <c r="A1929" i="1"/>
  <c r="B1929" i="1"/>
  <c r="A1930" i="1"/>
  <c r="B1930" i="1"/>
  <c r="A1931" i="1"/>
  <c r="B1931" i="1"/>
  <c r="A1932" i="1"/>
  <c r="B1932" i="1"/>
  <c r="A1933" i="1"/>
  <c r="B1933" i="1"/>
  <c r="A1934" i="1"/>
  <c r="B1934" i="1"/>
  <c r="A1935" i="1"/>
  <c r="B1935" i="1"/>
  <c r="A1936" i="1"/>
  <c r="B1936" i="1"/>
  <c r="A1937" i="1"/>
  <c r="B1937" i="1"/>
  <c r="A1938" i="1"/>
  <c r="B1938" i="1"/>
  <c r="A1939" i="1"/>
  <c r="B1939" i="1"/>
  <c r="A1940" i="1"/>
  <c r="B1940" i="1"/>
  <c r="A1941" i="1"/>
  <c r="B1941" i="1"/>
  <c r="A1942" i="1"/>
  <c r="B1942" i="1"/>
  <c r="A1943" i="1"/>
  <c r="B1943" i="1"/>
  <c r="A1944" i="1"/>
  <c r="B1944" i="1"/>
  <c r="A1945" i="1"/>
  <c r="B1945" i="1"/>
  <c r="A1946" i="1"/>
  <c r="B1946" i="1"/>
  <c r="A1947" i="1"/>
  <c r="B1947" i="1"/>
  <c r="A1948" i="1"/>
  <c r="B1948" i="1"/>
  <c r="A1949" i="1"/>
  <c r="B1949" i="1"/>
  <c r="A1950" i="1"/>
  <c r="B1950" i="1"/>
  <c r="A1951" i="1"/>
  <c r="B1951" i="1"/>
  <c r="A1952" i="1"/>
  <c r="B1952" i="1"/>
  <c r="A1953" i="1"/>
  <c r="B1953" i="1"/>
  <c r="A1954" i="1"/>
  <c r="B1954" i="1"/>
  <c r="A1955" i="1"/>
  <c r="B1955" i="1"/>
  <c r="A1956" i="1"/>
  <c r="B1956" i="1"/>
  <c r="A1957" i="1"/>
  <c r="B1957" i="1"/>
  <c r="A1958" i="1"/>
  <c r="B1958" i="1"/>
  <c r="A1959" i="1"/>
  <c r="B1959" i="1"/>
  <c r="A1960" i="1"/>
  <c r="B1960" i="1"/>
  <c r="A1961" i="1"/>
  <c r="B1961" i="1"/>
  <c r="A1962" i="1"/>
  <c r="B1962" i="1"/>
  <c r="A1963" i="1"/>
  <c r="B1963" i="1"/>
  <c r="A1964" i="1"/>
  <c r="B1964" i="1"/>
  <c r="A1965" i="1"/>
  <c r="B1965" i="1"/>
  <c r="A1966" i="1"/>
  <c r="B1966" i="1"/>
  <c r="A1967" i="1"/>
  <c r="B1967" i="1"/>
  <c r="A1968" i="1"/>
  <c r="B1968" i="1"/>
  <c r="A1969" i="1"/>
  <c r="B1969" i="1"/>
  <c r="A1970" i="1"/>
  <c r="B1970" i="1"/>
  <c r="A1971" i="1"/>
  <c r="B1971" i="1"/>
  <c r="A1972" i="1"/>
  <c r="B1972" i="1"/>
  <c r="A1973" i="1"/>
  <c r="B1973" i="1"/>
  <c r="A1974" i="1"/>
  <c r="B1974" i="1"/>
  <c r="A1975" i="1"/>
  <c r="B1975" i="1"/>
  <c r="A1976" i="1"/>
  <c r="B1976" i="1"/>
  <c r="A1977" i="1"/>
  <c r="B1977" i="1"/>
  <c r="A1978" i="1"/>
  <c r="B1978" i="1"/>
  <c r="A1979" i="1"/>
  <c r="B1979" i="1"/>
  <c r="A1980" i="1"/>
  <c r="B1980" i="1"/>
  <c r="A1981" i="1"/>
  <c r="B1981" i="1"/>
  <c r="A1982" i="1"/>
  <c r="B1982" i="1"/>
  <c r="A1983" i="1"/>
  <c r="B1983" i="1"/>
  <c r="A1984" i="1"/>
  <c r="B1984" i="1"/>
  <c r="A1985" i="1"/>
  <c r="B1985" i="1"/>
  <c r="A1986" i="1"/>
  <c r="B1986" i="1"/>
  <c r="A1987" i="1"/>
  <c r="B1987" i="1"/>
  <c r="A1988" i="1"/>
  <c r="B1988" i="1"/>
  <c r="A1989" i="1"/>
  <c r="B1989" i="1"/>
  <c r="A1990" i="1"/>
  <c r="B1990" i="1"/>
  <c r="A1991" i="1"/>
  <c r="B1991" i="1"/>
  <c r="A1992" i="1"/>
  <c r="B1992" i="1"/>
  <c r="A1993" i="1"/>
  <c r="B1993" i="1"/>
  <c r="A1994" i="1"/>
  <c r="B1994" i="1"/>
  <c r="A1995" i="1"/>
  <c r="B1995" i="1"/>
  <c r="A1996" i="1"/>
  <c r="B1996" i="1"/>
  <c r="A1997" i="1"/>
  <c r="B1997" i="1"/>
  <c r="A1998" i="1"/>
  <c r="B1998" i="1"/>
  <c r="A1999" i="1"/>
  <c r="B1999" i="1"/>
  <c r="A2000" i="1"/>
  <c r="B2000" i="1"/>
  <c r="A2001" i="1"/>
  <c r="B2001" i="1"/>
  <c r="A2002" i="1"/>
  <c r="B2002" i="1"/>
  <c r="A2003" i="1"/>
  <c r="B2003" i="1"/>
  <c r="A2004" i="1"/>
  <c r="B2004" i="1"/>
  <c r="A2005" i="1"/>
  <c r="B2005" i="1"/>
  <c r="A2006" i="1"/>
  <c r="B2006" i="1"/>
  <c r="A2007" i="1"/>
  <c r="B2007" i="1"/>
  <c r="A2008" i="1"/>
  <c r="B2008" i="1"/>
  <c r="A2009" i="1"/>
  <c r="B2009" i="1"/>
  <c r="A2010" i="1"/>
  <c r="B2010" i="1"/>
  <c r="A2011" i="1"/>
  <c r="B2011" i="1"/>
  <c r="A2012" i="1"/>
  <c r="B2012" i="1"/>
  <c r="A2013" i="1"/>
  <c r="B2013" i="1"/>
  <c r="A2014" i="1"/>
  <c r="B2014" i="1"/>
  <c r="A2015" i="1"/>
  <c r="B2015" i="1"/>
  <c r="A2016" i="1"/>
  <c r="B2016" i="1"/>
  <c r="A2017" i="1"/>
  <c r="B2017" i="1"/>
  <c r="A2018" i="1"/>
  <c r="B2018" i="1"/>
  <c r="A2019" i="1"/>
  <c r="B2019" i="1"/>
  <c r="A2020" i="1"/>
  <c r="B2020" i="1"/>
  <c r="A2021" i="1"/>
  <c r="B2021" i="1"/>
  <c r="A2022" i="1"/>
  <c r="B2022" i="1"/>
  <c r="A2023" i="1"/>
  <c r="B2023" i="1"/>
  <c r="A2024" i="1"/>
  <c r="B2024" i="1"/>
  <c r="A2025" i="1"/>
  <c r="B2025" i="1"/>
  <c r="A2026" i="1"/>
  <c r="B2026" i="1"/>
  <c r="A2027" i="1"/>
  <c r="B2027" i="1"/>
  <c r="A2028" i="1"/>
  <c r="B2028" i="1"/>
  <c r="A2029" i="1"/>
  <c r="B2029" i="1"/>
  <c r="A2030" i="1"/>
  <c r="B2030" i="1"/>
  <c r="A2031" i="1"/>
  <c r="B2031" i="1"/>
  <c r="A2032" i="1"/>
  <c r="B2032" i="1"/>
  <c r="A2033" i="1"/>
  <c r="B2033" i="1"/>
  <c r="A2034" i="1"/>
  <c r="B2034" i="1"/>
  <c r="A2035" i="1"/>
  <c r="B2035" i="1"/>
  <c r="A2036" i="1"/>
  <c r="B2036" i="1"/>
  <c r="A2037" i="1"/>
  <c r="B2037" i="1"/>
  <c r="A2038" i="1"/>
  <c r="B2038" i="1"/>
  <c r="A2039" i="1"/>
  <c r="B2039" i="1"/>
  <c r="A2040" i="1"/>
  <c r="B2040" i="1"/>
  <c r="A2041" i="1"/>
  <c r="B2041" i="1"/>
  <c r="A2042" i="1"/>
  <c r="B2042" i="1"/>
  <c r="A2043" i="1"/>
  <c r="B2043" i="1"/>
  <c r="A2044" i="1"/>
  <c r="B2044" i="1"/>
  <c r="A2045" i="1"/>
  <c r="B2045" i="1"/>
  <c r="A2046" i="1"/>
  <c r="B2046" i="1"/>
  <c r="A2047" i="1"/>
  <c r="B2047" i="1"/>
  <c r="A2048" i="1"/>
  <c r="B2048" i="1"/>
  <c r="A2049" i="1"/>
  <c r="B2049" i="1"/>
  <c r="A2050" i="1"/>
  <c r="B2050" i="1"/>
  <c r="A2051" i="1"/>
  <c r="B2051" i="1"/>
  <c r="A2052" i="1"/>
  <c r="B2052" i="1"/>
  <c r="A2053" i="1"/>
  <c r="B2053" i="1"/>
  <c r="A2054" i="1"/>
  <c r="B2054" i="1"/>
  <c r="A2055" i="1"/>
  <c r="B2055" i="1"/>
  <c r="A2056" i="1"/>
  <c r="B2056" i="1"/>
  <c r="A2057" i="1"/>
  <c r="B2057" i="1"/>
  <c r="A2058" i="1"/>
  <c r="B2058" i="1"/>
  <c r="A2059" i="1"/>
  <c r="B2059" i="1"/>
  <c r="A2060" i="1"/>
  <c r="B2060" i="1"/>
  <c r="A2061" i="1"/>
  <c r="B2061" i="1"/>
  <c r="A2062" i="1"/>
  <c r="B2062" i="1"/>
  <c r="A2063" i="1"/>
  <c r="B2063" i="1"/>
  <c r="A2064" i="1"/>
  <c r="B2064" i="1"/>
  <c r="A2065" i="1"/>
  <c r="B2065" i="1"/>
  <c r="A2066" i="1"/>
  <c r="B2066" i="1"/>
  <c r="A2067" i="1"/>
  <c r="B2067" i="1"/>
  <c r="A2068" i="1"/>
  <c r="B2068" i="1"/>
  <c r="A2069" i="1"/>
  <c r="B2069" i="1"/>
  <c r="A2070" i="1"/>
  <c r="B2070" i="1"/>
  <c r="A2071" i="1"/>
  <c r="B2071" i="1"/>
  <c r="A2072" i="1"/>
  <c r="B2072" i="1"/>
  <c r="A2073" i="1"/>
  <c r="B2073" i="1"/>
  <c r="A2074" i="1"/>
  <c r="B2074" i="1"/>
  <c r="A2075" i="1"/>
  <c r="B2075" i="1"/>
  <c r="A2076" i="1"/>
  <c r="B2076" i="1"/>
  <c r="A2077" i="1"/>
  <c r="B2077" i="1"/>
  <c r="A2078" i="1"/>
  <c r="B2078" i="1"/>
  <c r="A2079" i="1"/>
  <c r="B2079" i="1"/>
  <c r="A2080" i="1"/>
  <c r="B2080" i="1"/>
  <c r="A2081" i="1"/>
  <c r="B2081" i="1"/>
  <c r="A2082" i="1"/>
  <c r="B2082" i="1"/>
  <c r="A2083" i="1"/>
  <c r="B2083" i="1"/>
  <c r="A2084" i="1"/>
  <c r="B2084" i="1"/>
  <c r="A2085" i="1"/>
  <c r="B2085" i="1"/>
  <c r="A2086" i="1"/>
  <c r="B2086" i="1"/>
  <c r="A2087" i="1"/>
  <c r="B2087" i="1"/>
  <c r="A2088" i="1"/>
  <c r="B2088" i="1"/>
  <c r="A2089" i="1"/>
  <c r="B2089" i="1"/>
  <c r="A2090" i="1"/>
  <c r="B2090" i="1"/>
  <c r="A2091" i="1"/>
  <c r="B2091" i="1"/>
  <c r="A2092" i="1"/>
  <c r="B2092" i="1"/>
  <c r="A2093" i="1"/>
  <c r="B2093" i="1"/>
  <c r="A2094" i="1"/>
  <c r="B2094" i="1"/>
  <c r="A2095" i="1"/>
  <c r="B2095" i="1"/>
  <c r="A2096" i="1"/>
  <c r="B2096" i="1"/>
  <c r="A2097" i="1"/>
  <c r="B2097" i="1"/>
  <c r="A2098" i="1"/>
  <c r="B2098" i="1"/>
  <c r="A2099" i="1"/>
  <c r="B2099" i="1"/>
  <c r="A2100" i="1"/>
  <c r="B2100" i="1"/>
  <c r="A2101" i="1"/>
  <c r="B2101" i="1"/>
  <c r="A2102" i="1"/>
  <c r="B2102" i="1"/>
  <c r="A2103" i="1"/>
  <c r="B2103" i="1"/>
  <c r="A2104" i="1"/>
  <c r="B2104" i="1"/>
  <c r="A2105" i="1"/>
  <c r="B2105" i="1"/>
  <c r="A2106" i="1"/>
  <c r="B2106" i="1"/>
  <c r="A2107" i="1"/>
  <c r="B2107" i="1"/>
  <c r="A2108" i="1"/>
  <c r="B2108" i="1"/>
  <c r="A2109" i="1"/>
  <c r="B2109" i="1"/>
  <c r="A2110" i="1"/>
  <c r="B2110" i="1"/>
  <c r="A2111" i="1"/>
  <c r="B2111" i="1"/>
  <c r="A2112" i="1"/>
  <c r="B2112" i="1"/>
  <c r="A2113" i="1"/>
  <c r="B2113" i="1"/>
  <c r="A2114" i="1"/>
  <c r="B2114" i="1"/>
  <c r="A2115" i="1"/>
  <c r="B2115" i="1"/>
  <c r="A2116" i="1"/>
  <c r="B2116" i="1"/>
  <c r="A2117" i="1"/>
  <c r="B2117" i="1"/>
  <c r="A2118" i="1"/>
  <c r="B2118" i="1"/>
  <c r="A2119" i="1"/>
  <c r="B2119" i="1"/>
  <c r="A2120" i="1"/>
  <c r="B2120" i="1"/>
  <c r="A2121" i="1"/>
  <c r="B2121" i="1"/>
  <c r="A2122" i="1"/>
  <c r="B2122" i="1"/>
  <c r="A2123" i="1"/>
  <c r="B2123" i="1"/>
  <c r="A2124" i="1"/>
  <c r="B2124" i="1"/>
  <c r="A2125" i="1"/>
  <c r="B2125" i="1"/>
  <c r="A2126" i="1"/>
  <c r="B2126" i="1"/>
  <c r="A2127" i="1"/>
  <c r="B2127" i="1"/>
  <c r="A2128" i="1"/>
  <c r="B2128" i="1"/>
  <c r="A2129" i="1"/>
  <c r="B2129" i="1"/>
  <c r="A2130" i="1"/>
  <c r="B2130" i="1"/>
  <c r="A2131" i="1"/>
  <c r="B2131" i="1"/>
  <c r="A2132" i="1"/>
  <c r="B2132" i="1"/>
  <c r="A2133" i="1"/>
  <c r="B2133" i="1"/>
  <c r="A2134" i="1"/>
  <c r="B2134" i="1"/>
  <c r="A2135" i="1"/>
  <c r="B2135" i="1"/>
  <c r="A2136" i="1"/>
  <c r="B2136" i="1"/>
  <c r="A2137" i="1"/>
  <c r="B2137" i="1"/>
  <c r="A2138" i="1"/>
  <c r="B2138" i="1"/>
  <c r="A2139" i="1"/>
  <c r="B2139" i="1"/>
  <c r="A2140" i="1"/>
  <c r="B2140" i="1"/>
  <c r="A2141" i="1"/>
  <c r="B2141" i="1"/>
  <c r="A2142" i="1"/>
  <c r="B2142" i="1"/>
  <c r="A2143" i="1"/>
  <c r="B2143" i="1"/>
  <c r="A2144" i="1"/>
  <c r="B2144" i="1"/>
  <c r="A2145" i="1"/>
  <c r="B2145" i="1"/>
  <c r="A2146" i="1"/>
  <c r="B2146" i="1"/>
  <c r="A2147" i="1"/>
  <c r="B2147" i="1"/>
  <c r="A2148" i="1"/>
  <c r="B2148" i="1"/>
  <c r="A2149" i="1"/>
  <c r="B2149" i="1"/>
  <c r="A2150" i="1"/>
  <c r="B2150" i="1"/>
  <c r="A2151" i="1"/>
  <c r="B2151" i="1"/>
  <c r="A2152" i="1"/>
  <c r="B2152" i="1"/>
  <c r="A2153" i="1"/>
  <c r="B2153" i="1"/>
  <c r="A2154" i="1"/>
  <c r="B2154" i="1"/>
  <c r="A2155" i="1"/>
  <c r="B2155" i="1"/>
  <c r="A2156" i="1"/>
  <c r="B2156" i="1"/>
  <c r="A2157" i="1"/>
  <c r="B2157" i="1"/>
  <c r="A2158" i="1"/>
  <c r="B2158" i="1"/>
  <c r="A2159" i="1"/>
  <c r="B2159" i="1"/>
  <c r="A2160" i="1"/>
  <c r="B2160" i="1"/>
  <c r="A2161" i="1"/>
  <c r="B2161" i="1"/>
  <c r="A2162" i="1"/>
  <c r="B2162" i="1"/>
  <c r="A2163" i="1"/>
  <c r="B2163" i="1"/>
  <c r="A2164" i="1"/>
  <c r="B2164" i="1"/>
  <c r="A2165" i="1"/>
  <c r="B2165" i="1"/>
  <c r="A2166" i="1"/>
  <c r="B2166" i="1"/>
  <c r="A2167" i="1"/>
  <c r="B2167" i="1"/>
  <c r="A2168" i="1"/>
  <c r="B2168" i="1"/>
  <c r="A2169" i="1"/>
  <c r="B2169" i="1"/>
  <c r="A2170" i="1"/>
  <c r="B2170" i="1"/>
  <c r="A2171" i="1"/>
  <c r="B2171" i="1"/>
  <c r="A2172" i="1"/>
  <c r="B2172" i="1"/>
  <c r="A2173" i="1"/>
  <c r="B2173" i="1"/>
  <c r="A2174" i="1"/>
  <c r="B2174" i="1"/>
  <c r="A2175" i="1"/>
  <c r="B2175" i="1"/>
  <c r="A2176" i="1"/>
  <c r="B2176" i="1"/>
  <c r="A2177" i="1"/>
  <c r="B2177" i="1"/>
  <c r="A2178" i="1"/>
  <c r="B2178" i="1"/>
  <c r="A2179" i="1"/>
  <c r="B2179" i="1"/>
  <c r="A2180" i="1"/>
  <c r="B2180" i="1"/>
  <c r="A2181" i="1"/>
  <c r="B2181" i="1"/>
  <c r="A2182" i="1"/>
  <c r="B2182" i="1"/>
  <c r="A2183" i="1"/>
  <c r="B2183" i="1"/>
  <c r="A2184" i="1"/>
  <c r="B2184" i="1"/>
  <c r="A2185" i="1"/>
  <c r="B2185" i="1"/>
  <c r="A2186" i="1"/>
  <c r="B2186" i="1"/>
  <c r="A2187" i="1"/>
  <c r="B2187" i="1"/>
  <c r="A2188" i="1"/>
  <c r="B2188" i="1"/>
  <c r="A2189" i="1"/>
  <c r="B2189" i="1"/>
  <c r="A2190" i="1"/>
  <c r="B2190" i="1"/>
  <c r="A2191" i="1"/>
  <c r="B2191" i="1"/>
  <c r="A2192" i="1"/>
  <c r="B2192" i="1"/>
  <c r="A2193" i="1"/>
  <c r="B2193" i="1"/>
  <c r="A2194" i="1"/>
  <c r="B2194" i="1"/>
  <c r="A2195" i="1"/>
  <c r="B2195" i="1"/>
  <c r="A2196" i="1"/>
  <c r="B2196" i="1"/>
  <c r="A2197" i="1"/>
  <c r="B2197" i="1"/>
  <c r="A2198" i="1"/>
  <c r="B2198" i="1"/>
  <c r="A2199" i="1"/>
  <c r="B2199" i="1"/>
  <c r="A2200" i="1"/>
  <c r="B2200" i="1"/>
  <c r="A2201" i="1"/>
  <c r="B2201" i="1"/>
  <c r="A2202" i="1"/>
  <c r="B2202" i="1"/>
  <c r="A2203" i="1"/>
  <c r="B2203" i="1"/>
  <c r="A2204" i="1"/>
  <c r="B2204" i="1"/>
  <c r="A2205" i="1"/>
  <c r="B2205" i="1"/>
  <c r="A2206" i="1"/>
  <c r="B2206" i="1"/>
  <c r="A2207" i="1"/>
  <c r="B2207" i="1"/>
  <c r="A2208" i="1"/>
  <c r="B2208" i="1"/>
  <c r="A2209" i="1"/>
  <c r="B2209" i="1"/>
  <c r="A2210" i="1"/>
  <c r="B2210" i="1"/>
  <c r="A2211" i="1"/>
  <c r="B2211" i="1"/>
  <c r="A2212" i="1"/>
  <c r="B2212" i="1"/>
  <c r="A2213" i="1"/>
  <c r="B2213" i="1"/>
  <c r="A2214" i="1"/>
  <c r="B2214" i="1"/>
  <c r="A2215" i="1"/>
  <c r="B2215" i="1"/>
  <c r="A2216" i="1"/>
  <c r="B2216" i="1"/>
  <c r="A2217" i="1"/>
  <c r="B2217" i="1"/>
  <c r="A2218" i="1"/>
  <c r="B2218" i="1"/>
  <c r="A2219" i="1"/>
  <c r="B2219" i="1"/>
  <c r="A2220" i="1"/>
  <c r="B2220" i="1"/>
  <c r="A2221" i="1"/>
  <c r="B2221" i="1"/>
  <c r="A2222" i="1"/>
  <c r="B2222" i="1"/>
  <c r="A2223" i="1"/>
  <c r="B2223" i="1"/>
  <c r="A2224" i="1"/>
  <c r="B2224" i="1"/>
  <c r="A2225" i="1"/>
  <c r="B2225" i="1"/>
  <c r="A2226" i="1"/>
  <c r="B2226" i="1"/>
  <c r="A2227" i="1"/>
  <c r="B2227" i="1"/>
  <c r="A2228" i="1"/>
  <c r="B2228" i="1"/>
  <c r="A2229" i="1"/>
  <c r="B2229" i="1"/>
  <c r="A2230" i="1"/>
  <c r="B2230" i="1"/>
  <c r="A2231" i="1"/>
  <c r="B2231" i="1"/>
  <c r="A2232" i="1"/>
  <c r="B2232" i="1"/>
  <c r="A2233" i="1"/>
  <c r="B2233" i="1"/>
  <c r="A2234" i="1"/>
  <c r="B2234" i="1"/>
  <c r="A2235" i="1"/>
  <c r="B2235" i="1"/>
  <c r="A2236" i="1"/>
  <c r="B2236" i="1"/>
  <c r="A2237" i="1"/>
  <c r="B2237" i="1"/>
  <c r="A2238" i="1"/>
  <c r="B2238" i="1"/>
  <c r="A2239" i="1"/>
  <c r="B2239" i="1"/>
  <c r="A2240" i="1"/>
  <c r="B2240" i="1"/>
  <c r="A2241" i="1"/>
  <c r="B2241" i="1"/>
  <c r="A2242" i="1"/>
  <c r="B2242" i="1"/>
  <c r="A2243" i="1"/>
  <c r="B2243" i="1"/>
  <c r="A2244" i="1"/>
  <c r="B2244" i="1"/>
  <c r="A2245" i="1"/>
  <c r="B2245" i="1"/>
  <c r="A2246" i="1"/>
  <c r="B2246" i="1"/>
  <c r="A2247" i="1"/>
  <c r="B2247" i="1"/>
  <c r="A2248" i="1"/>
  <c r="B2248" i="1"/>
  <c r="A2249" i="1"/>
  <c r="B2249" i="1"/>
  <c r="A2250" i="1"/>
  <c r="B2250" i="1"/>
  <c r="A2251" i="1"/>
  <c r="B2251" i="1"/>
  <c r="A2252" i="1"/>
  <c r="B2252" i="1"/>
  <c r="A2253" i="1"/>
  <c r="B2253" i="1"/>
  <c r="A2254" i="1"/>
  <c r="B2254" i="1"/>
  <c r="A2255" i="1"/>
  <c r="B2255" i="1"/>
  <c r="A2256" i="1"/>
  <c r="B2256" i="1"/>
  <c r="A2257" i="1"/>
  <c r="B2257" i="1"/>
  <c r="A2258" i="1"/>
  <c r="B2258" i="1"/>
  <c r="A2259" i="1"/>
  <c r="B2259" i="1"/>
  <c r="A2260" i="1"/>
  <c r="B2260" i="1"/>
  <c r="A2261" i="1"/>
  <c r="B2261" i="1"/>
  <c r="A2262" i="1"/>
  <c r="B2262" i="1"/>
  <c r="A2263" i="1"/>
  <c r="B2263" i="1"/>
  <c r="A2264" i="1"/>
  <c r="B2264" i="1"/>
  <c r="A2265" i="1"/>
  <c r="B2265" i="1"/>
  <c r="A2266" i="1"/>
  <c r="B2266" i="1"/>
  <c r="A2267" i="1"/>
  <c r="B2267" i="1"/>
  <c r="A2268" i="1"/>
  <c r="B2268" i="1"/>
  <c r="A2269" i="1"/>
  <c r="B2269" i="1"/>
  <c r="A2270" i="1"/>
  <c r="B2270" i="1"/>
  <c r="A2271" i="1"/>
  <c r="B2271" i="1"/>
  <c r="A2272" i="1"/>
  <c r="B2272" i="1"/>
  <c r="A2273" i="1"/>
  <c r="B2273" i="1"/>
  <c r="A2274" i="1"/>
  <c r="B2274" i="1"/>
  <c r="A2275" i="1"/>
  <c r="B2275" i="1"/>
  <c r="A2276" i="1"/>
  <c r="B2276" i="1"/>
  <c r="A2277" i="1"/>
  <c r="B2277" i="1"/>
  <c r="A2278" i="1"/>
  <c r="B2278" i="1"/>
  <c r="A2279" i="1"/>
  <c r="B2279" i="1"/>
  <c r="A2280" i="1"/>
  <c r="B2280" i="1"/>
  <c r="A2281" i="1"/>
  <c r="B2281" i="1"/>
  <c r="A2282" i="1"/>
  <c r="B2282" i="1"/>
  <c r="A2283" i="1"/>
  <c r="B2283" i="1"/>
  <c r="A2284" i="1"/>
  <c r="B2284" i="1"/>
  <c r="A2285" i="1"/>
  <c r="B2285" i="1"/>
  <c r="A2286" i="1"/>
  <c r="B2286" i="1"/>
  <c r="A2287" i="1"/>
  <c r="B2287" i="1"/>
  <c r="A2288" i="1"/>
  <c r="B2288" i="1"/>
  <c r="A2289" i="1"/>
  <c r="B2289" i="1"/>
  <c r="A2290" i="1"/>
  <c r="B2290" i="1"/>
  <c r="A2291" i="1"/>
  <c r="B2291" i="1"/>
  <c r="A2292" i="1"/>
  <c r="B2292" i="1"/>
  <c r="A2293" i="1"/>
  <c r="B2293" i="1"/>
  <c r="A2294" i="1"/>
  <c r="B2294" i="1"/>
  <c r="A2295" i="1"/>
  <c r="B2295" i="1"/>
  <c r="A2296" i="1"/>
  <c r="B2296" i="1"/>
  <c r="A2297" i="1"/>
  <c r="B2297" i="1"/>
  <c r="A2298" i="1"/>
  <c r="B2298" i="1"/>
  <c r="A2299" i="1"/>
  <c r="B2299" i="1"/>
  <c r="A2300" i="1"/>
  <c r="B2300" i="1"/>
  <c r="A2301" i="1"/>
  <c r="B2301" i="1"/>
  <c r="A2302" i="1"/>
  <c r="B2302" i="1"/>
  <c r="A2303" i="1"/>
  <c r="B2303" i="1"/>
  <c r="A2304" i="1"/>
  <c r="B2304" i="1"/>
  <c r="A2305" i="1"/>
  <c r="B2305" i="1"/>
  <c r="A2306" i="1"/>
  <c r="B2306" i="1"/>
  <c r="A2307" i="1"/>
  <c r="B2307" i="1"/>
  <c r="A2308" i="1"/>
  <c r="B2308" i="1"/>
  <c r="A2309" i="1"/>
  <c r="B2309" i="1"/>
  <c r="A2310" i="1"/>
  <c r="B2310" i="1"/>
  <c r="A2311" i="1"/>
  <c r="B2311" i="1"/>
  <c r="A2312" i="1"/>
  <c r="B2312" i="1"/>
  <c r="A2313" i="1"/>
  <c r="B2313" i="1"/>
  <c r="A2314" i="1"/>
  <c r="B2314" i="1"/>
  <c r="A2315" i="1"/>
  <c r="B2315" i="1"/>
  <c r="A2316" i="1"/>
  <c r="B2316" i="1"/>
  <c r="A2317" i="1"/>
  <c r="B2317" i="1"/>
  <c r="A2318" i="1"/>
  <c r="B2318" i="1"/>
  <c r="A2319" i="1"/>
  <c r="B2319" i="1"/>
  <c r="A2320" i="1"/>
  <c r="B2320" i="1"/>
  <c r="A2321" i="1"/>
  <c r="B2321" i="1"/>
  <c r="A2322" i="1"/>
  <c r="B2322" i="1"/>
  <c r="A2323" i="1"/>
  <c r="B2323" i="1"/>
  <c r="A2324" i="1"/>
  <c r="B2324" i="1"/>
  <c r="A2325" i="1"/>
  <c r="B2325" i="1"/>
  <c r="A2326" i="1"/>
  <c r="B2326" i="1"/>
  <c r="A2327" i="1"/>
  <c r="B2327" i="1"/>
  <c r="A2328" i="1"/>
  <c r="B2328" i="1"/>
  <c r="A2329" i="1"/>
  <c r="B2329" i="1"/>
  <c r="A2330" i="1"/>
  <c r="B2330" i="1"/>
  <c r="A2331" i="1"/>
  <c r="B2331" i="1"/>
  <c r="A2332" i="1"/>
  <c r="B2332" i="1"/>
  <c r="A2333" i="1"/>
  <c r="B2333" i="1"/>
  <c r="A2334" i="1"/>
  <c r="B2334" i="1"/>
  <c r="A2335" i="1"/>
  <c r="B2335" i="1"/>
  <c r="A2336" i="1"/>
  <c r="B2336" i="1"/>
  <c r="A2337" i="1"/>
  <c r="B2337" i="1"/>
  <c r="A2338" i="1"/>
  <c r="B2338" i="1"/>
  <c r="A2339" i="1"/>
  <c r="B2339" i="1"/>
  <c r="A2340" i="1"/>
  <c r="B2340" i="1"/>
  <c r="A2341" i="1"/>
  <c r="B2341" i="1"/>
  <c r="A2342" i="1"/>
  <c r="B2342" i="1"/>
  <c r="A2343" i="1"/>
  <c r="B2343" i="1"/>
  <c r="A2344" i="1"/>
  <c r="B2344" i="1"/>
  <c r="A2345" i="1"/>
  <c r="B2345" i="1"/>
  <c r="A2346" i="1"/>
  <c r="B2346" i="1"/>
  <c r="A2347" i="1"/>
  <c r="B2347" i="1"/>
  <c r="A2348" i="1"/>
  <c r="B2348" i="1"/>
  <c r="A2349" i="1"/>
  <c r="B2349" i="1"/>
  <c r="A2350" i="1"/>
  <c r="B2350" i="1"/>
  <c r="A2351" i="1"/>
  <c r="B2351" i="1"/>
  <c r="A2352" i="1"/>
  <c r="B2352" i="1"/>
  <c r="A2353" i="1"/>
  <c r="B2353" i="1"/>
  <c r="A2354" i="1"/>
  <c r="B2354" i="1"/>
  <c r="A2355" i="1"/>
  <c r="B2355" i="1"/>
  <c r="A2356" i="1"/>
  <c r="B2356" i="1"/>
  <c r="A2357" i="1"/>
  <c r="B2357" i="1"/>
  <c r="A2358" i="1"/>
  <c r="B2358" i="1"/>
  <c r="A2359" i="1"/>
  <c r="B2359" i="1"/>
  <c r="A2360" i="1"/>
  <c r="B2360" i="1"/>
  <c r="A2361" i="1"/>
  <c r="B2361" i="1"/>
  <c r="A2362" i="1"/>
  <c r="B2362" i="1"/>
  <c r="A2363" i="1"/>
  <c r="B2363" i="1"/>
  <c r="A2364" i="1"/>
  <c r="B2364" i="1"/>
  <c r="A2365" i="1"/>
  <c r="B2365" i="1"/>
  <c r="A2366" i="1"/>
  <c r="B2366" i="1"/>
  <c r="A2367" i="1"/>
  <c r="B2367" i="1"/>
  <c r="A2368" i="1"/>
  <c r="B2368" i="1"/>
  <c r="A2369" i="1"/>
  <c r="B2369" i="1"/>
  <c r="A2370" i="1"/>
  <c r="B2370" i="1"/>
  <c r="A2371" i="1"/>
  <c r="B2371" i="1"/>
  <c r="A2372" i="1"/>
  <c r="B2372" i="1"/>
  <c r="A2373" i="1"/>
  <c r="B2373" i="1"/>
  <c r="A2374" i="1"/>
  <c r="B2374" i="1"/>
  <c r="A2375" i="1"/>
  <c r="B2375" i="1"/>
  <c r="A2376" i="1"/>
  <c r="B2376" i="1"/>
  <c r="A2377" i="1"/>
  <c r="B2377" i="1"/>
  <c r="A2378" i="1"/>
  <c r="B2378" i="1"/>
  <c r="A2379" i="1"/>
  <c r="B2379" i="1"/>
  <c r="A2380" i="1"/>
  <c r="B2380" i="1"/>
  <c r="A2381" i="1"/>
  <c r="B2381" i="1"/>
  <c r="A2382" i="1"/>
  <c r="B2382" i="1"/>
  <c r="A2383" i="1"/>
  <c r="B2383" i="1"/>
  <c r="A2384" i="1"/>
  <c r="B2384" i="1"/>
  <c r="A2385" i="1"/>
  <c r="B2385" i="1"/>
  <c r="A2386" i="1"/>
  <c r="B2386" i="1"/>
  <c r="A2387" i="1"/>
  <c r="B2387" i="1"/>
  <c r="A2388" i="1"/>
  <c r="B2388" i="1"/>
  <c r="A2389" i="1"/>
  <c r="B2389" i="1"/>
  <c r="A2390" i="1"/>
  <c r="B2390" i="1"/>
  <c r="A2391" i="1"/>
  <c r="B2391" i="1"/>
  <c r="A2392" i="1"/>
  <c r="B2392" i="1"/>
  <c r="A2393" i="1"/>
  <c r="B2393" i="1"/>
  <c r="A2394" i="1"/>
  <c r="B2394" i="1"/>
  <c r="A2395" i="1"/>
  <c r="B2395" i="1"/>
  <c r="A2396" i="1"/>
  <c r="B2396" i="1"/>
  <c r="A2397" i="1"/>
  <c r="B2397" i="1"/>
  <c r="A2398" i="1"/>
  <c r="B2398" i="1"/>
  <c r="A2399" i="1"/>
  <c r="B2399" i="1"/>
  <c r="A2400" i="1"/>
  <c r="B2400" i="1"/>
  <c r="A2401" i="1"/>
  <c r="B2401" i="1"/>
  <c r="A2402" i="1"/>
  <c r="B2402" i="1"/>
  <c r="A2403" i="1"/>
  <c r="B2403" i="1"/>
  <c r="A2404" i="1"/>
  <c r="B2404" i="1"/>
  <c r="A2405" i="1"/>
  <c r="B2405" i="1"/>
  <c r="A2406" i="1"/>
  <c r="B2406" i="1"/>
  <c r="A2407" i="1"/>
  <c r="B2407" i="1"/>
  <c r="A2408" i="1"/>
  <c r="B2408" i="1"/>
  <c r="A2409" i="1"/>
  <c r="B2409" i="1"/>
  <c r="A2410" i="1"/>
  <c r="B2410" i="1"/>
  <c r="A2411" i="1"/>
  <c r="B2411" i="1"/>
  <c r="A2412" i="1"/>
  <c r="B2412" i="1"/>
  <c r="A2413" i="1"/>
  <c r="B2413" i="1"/>
  <c r="A2414" i="1"/>
  <c r="B2414" i="1"/>
  <c r="A2415" i="1"/>
  <c r="B2415" i="1"/>
  <c r="A2416" i="1"/>
  <c r="B2416" i="1"/>
  <c r="A2417" i="1"/>
  <c r="B2417" i="1"/>
  <c r="A2418" i="1"/>
  <c r="B2418" i="1"/>
  <c r="A2419" i="1"/>
  <c r="B2419" i="1"/>
  <c r="A2420" i="1"/>
  <c r="B2420" i="1"/>
  <c r="A2421" i="1"/>
  <c r="B2421" i="1"/>
  <c r="A2422" i="1"/>
  <c r="B2422" i="1"/>
  <c r="A2423" i="1"/>
  <c r="B2423" i="1"/>
  <c r="A2424" i="1"/>
  <c r="B2424" i="1"/>
  <c r="A2425" i="1"/>
  <c r="B2425" i="1"/>
  <c r="A2426" i="1"/>
  <c r="B2426" i="1"/>
  <c r="A2427" i="1"/>
  <c r="B2427" i="1"/>
  <c r="A2428" i="1"/>
  <c r="B2428" i="1"/>
  <c r="A2429" i="1"/>
  <c r="B2429" i="1"/>
  <c r="A2430" i="1"/>
  <c r="B2430" i="1"/>
  <c r="A2431" i="1"/>
  <c r="B2431" i="1"/>
  <c r="A2432" i="1"/>
  <c r="B2432" i="1"/>
  <c r="A2433" i="1"/>
  <c r="B2433" i="1"/>
  <c r="A2434" i="1"/>
  <c r="B2434" i="1"/>
  <c r="A2435" i="1"/>
  <c r="B2435" i="1"/>
  <c r="A2436" i="1"/>
  <c r="B2436" i="1"/>
  <c r="A2437" i="1"/>
  <c r="B2437" i="1"/>
  <c r="A2438" i="1"/>
  <c r="B2438" i="1"/>
  <c r="A2439" i="1"/>
  <c r="B2439" i="1"/>
  <c r="A2440" i="1"/>
  <c r="B2440" i="1"/>
  <c r="A2441" i="1"/>
  <c r="B2441" i="1"/>
  <c r="A2442" i="1"/>
  <c r="B2442" i="1"/>
  <c r="A2443" i="1"/>
  <c r="B2443" i="1"/>
  <c r="A2444" i="1"/>
  <c r="B2444" i="1"/>
  <c r="A2445" i="1"/>
  <c r="B2445" i="1"/>
  <c r="A2446" i="1"/>
  <c r="B2446" i="1"/>
  <c r="A2447" i="1"/>
  <c r="B2447" i="1"/>
  <c r="A2448" i="1"/>
  <c r="B2448" i="1"/>
  <c r="A2449" i="1"/>
  <c r="B2449" i="1"/>
  <c r="A2450" i="1"/>
  <c r="B2450" i="1"/>
  <c r="A2451" i="1"/>
  <c r="B2451" i="1"/>
  <c r="A2452" i="1"/>
  <c r="B2452" i="1"/>
  <c r="A2453" i="1"/>
  <c r="B2453" i="1"/>
  <c r="A2454" i="1"/>
  <c r="B2454" i="1"/>
  <c r="A2455" i="1"/>
  <c r="B2455" i="1"/>
  <c r="A2456" i="1"/>
  <c r="B2456" i="1"/>
  <c r="A2457" i="1"/>
  <c r="B2457" i="1"/>
  <c r="A2458" i="1"/>
  <c r="B2458" i="1"/>
  <c r="A2459" i="1"/>
  <c r="B2459" i="1"/>
  <c r="A2460" i="1"/>
  <c r="B2460" i="1"/>
  <c r="A2461" i="1"/>
  <c r="B2461" i="1"/>
  <c r="A2462" i="1"/>
  <c r="B2462" i="1"/>
  <c r="A2463" i="1"/>
  <c r="B2463" i="1"/>
  <c r="A2464" i="1"/>
  <c r="B2464" i="1"/>
  <c r="A2465" i="1"/>
  <c r="B2465" i="1"/>
  <c r="A2466" i="1"/>
  <c r="B2466" i="1"/>
  <c r="A2467" i="1"/>
  <c r="B2467" i="1"/>
  <c r="A2468" i="1"/>
  <c r="B2468" i="1"/>
  <c r="A2469" i="1"/>
  <c r="B2469" i="1"/>
  <c r="A2470" i="1"/>
  <c r="B2470" i="1"/>
  <c r="A2471" i="1"/>
  <c r="B2471" i="1"/>
  <c r="A2472" i="1"/>
  <c r="B2472" i="1"/>
  <c r="A2473" i="1"/>
  <c r="B2473" i="1"/>
  <c r="A2474" i="1"/>
  <c r="B2474" i="1"/>
  <c r="A2475" i="1"/>
  <c r="B2475" i="1"/>
  <c r="A2476" i="1"/>
  <c r="B2476" i="1"/>
  <c r="A2477" i="1"/>
  <c r="B2477" i="1"/>
  <c r="A2478" i="1"/>
  <c r="B2478" i="1"/>
  <c r="A2479" i="1"/>
  <c r="B2479" i="1"/>
  <c r="A2480" i="1"/>
  <c r="B2480" i="1"/>
  <c r="A2481" i="1"/>
  <c r="B2481" i="1"/>
  <c r="A2482" i="1"/>
  <c r="B2482" i="1"/>
  <c r="A2483" i="1"/>
  <c r="B2483" i="1"/>
  <c r="A2484" i="1"/>
  <c r="B2484" i="1"/>
  <c r="A2485" i="1"/>
  <c r="B2485" i="1"/>
  <c r="A2486" i="1"/>
  <c r="B2486" i="1"/>
  <c r="A2487" i="1"/>
  <c r="B2487" i="1"/>
  <c r="A2488" i="1"/>
  <c r="B2488" i="1"/>
  <c r="A2489" i="1"/>
  <c r="B2489" i="1"/>
  <c r="A2490" i="1"/>
  <c r="B2490" i="1"/>
  <c r="A2491" i="1"/>
  <c r="B2491" i="1"/>
  <c r="A2492" i="1"/>
  <c r="B2492" i="1"/>
  <c r="A2493" i="1"/>
  <c r="B2493" i="1"/>
  <c r="A2494" i="1"/>
  <c r="B2494" i="1"/>
  <c r="A2495" i="1"/>
  <c r="B2495" i="1"/>
  <c r="A2496" i="1"/>
  <c r="B2496" i="1"/>
  <c r="A2497" i="1"/>
  <c r="B2497" i="1"/>
  <c r="A2498" i="1"/>
  <c r="B2498" i="1"/>
  <c r="A2499" i="1"/>
  <c r="B2499" i="1"/>
  <c r="A2500" i="1"/>
  <c r="B2500" i="1"/>
  <c r="A2501" i="1"/>
  <c r="B2501" i="1"/>
  <c r="A2502" i="1"/>
  <c r="B2502" i="1"/>
  <c r="A2503" i="1"/>
  <c r="B2503" i="1"/>
  <c r="A2504" i="1"/>
  <c r="B2504" i="1"/>
  <c r="A2505" i="1"/>
  <c r="B2505" i="1"/>
  <c r="A2506" i="1"/>
  <c r="B2506" i="1"/>
  <c r="A2507" i="1"/>
  <c r="B2507" i="1"/>
  <c r="A2508" i="1"/>
  <c r="B2508" i="1"/>
  <c r="A2509" i="1"/>
  <c r="B2509" i="1"/>
  <c r="A2510" i="1"/>
  <c r="B2510" i="1"/>
  <c r="A2511" i="1"/>
  <c r="B2511" i="1"/>
  <c r="A2512" i="1"/>
  <c r="B2512" i="1"/>
  <c r="A2513" i="1"/>
  <c r="B2513" i="1"/>
  <c r="A2514" i="1"/>
  <c r="B2514" i="1"/>
  <c r="A2515" i="1"/>
  <c r="B2515" i="1"/>
  <c r="A2516" i="1"/>
  <c r="B2516" i="1"/>
  <c r="A2517" i="1"/>
  <c r="B2517" i="1"/>
  <c r="A2518" i="1"/>
  <c r="B2518" i="1"/>
  <c r="A2519" i="1"/>
  <c r="B2519" i="1"/>
  <c r="A2520" i="1"/>
  <c r="B2520" i="1"/>
  <c r="A2521" i="1"/>
  <c r="B2521" i="1"/>
  <c r="A2522" i="1"/>
  <c r="B2522" i="1"/>
  <c r="A2523" i="1"/>
  <c r="B2523" i="1"/>
  <c r="A2524" i="1"/>
  <c r="B2524" i="1"/>
  <c r="A2525" i="1"/>
  <c r="B2525" i="1"/>
  <c r="A2526" i="1"/>
  <c r="B2526" i="1"/>
  <c r="A2527" i="1"/>
  <c r="B2527" i="1"/>
  <c r="A2528" i="1"/>
  <c r="B2528" i="1"/>
  <c r="A2529" i="1"/>
  <c r="B2529" i="1"/>
  <c r="A2530" i="1"/>
  <c r="B2530" i="1"/>
  <c r="A2531" i="1"/>
  <c r="B2531" i="1"/>
  <c r="A2532" i="1"/>
  <c r="B2532" i="1"/>
  <c r="A2533" i="1"/>
  <c r="B2533" i="1"/>
  <c r="A2534" i="1"/>
  <c r="B2534" i="1"/>
  <c r="A2535" i="1"/>
  <c r="B2535" i="1"/>
  <c r="A2536" i="1"/>
  <c r="B2536" i="1"/>
  <c r="A2537" i="1"/>
  <c r="B2537" i="1"/>
  <c r="A2538" i="1"/>
  <c r="B2538" i="1"/>
  <c r="A2539" i="1"/>
  <c r="B2539" i="1"/>
  <c r="A2540" i="1"/>
  <c r="B2540" i="1"/>
  <c r="A2541" i="1"/>
  <c r="B2541" i="1"/>
  <c r="A2542" i="1"/>
  <c r="B2542" i="1"/>
  <c r="A2543" i="1"/>
  <c r="B2543" i="1"/>
  <c r="A2544" i="1"/>
  <c r="B2544" i="1"/>
  <c r="A2545" i="1"/>
  <c r="B2545" i="1"/>
  <c r="A2546" i="1"/>
  <c r="B2546" i="1"/>
  <c r="A2547" i="1"/>
  <c r="B2547" i="1"/>
  <c r="A2548" i="1"/>
  <c r="B2548" i="1"/>
  <c r="A2549" i="1"/>
  <c r="B2549" i="1"/>
  <c r="A2550" i="1"/>
  <c r="B2550" i="1"/>
  <c r="A2551" i="1"/>
  <c r="B2551" i="1"/>
  <c r="A2552" i="1"/>
  <c r="B2552" i="1"/>
  <c r="A2553" i="1"/>
  <c r="B2553" i="1"/>
  <c r="A2554" i="1"/>
  <c r="B2554" i="1"/>
  <c r="A2555" i="1"/>
  <c r="B2555" i="1"/>
  <c r="A2556" i="1"/>
  <c r="B2556" i="1"/>
  <c r="A2557" i="1"/>
  <c r="B2557" i="1"/>
  <c r="A2558" i="1"/>
  <c r="B2558" i="1"/>
  <c r="A2559" i="1"/>
  <c r="B2559" i="1"/>
  <c r="A2560" i="1"/>
  <c r="B2560" i="1"/>
  <c r="A2561" i="1"/>
  <c r="B2561" i="1"/>
  <c r="A2562" i="1"/>
  <c r="B2562" i="1"/>
  <c r="A2563" i="1"/>
  <c r="B2563" i="1"/>
  <c r="A2564" i="1"/>
  <c r="B2564" i="1"/>
  <c r="A2565" i="1"/>
  <c r="B2565" i="1"/>
  <c r="A2566" i="1"/>
  <c r="B2566" i="1"/>
  <c r="A2567" i="1"/>
  <c r="B2567" i="1"/>
  <c r="A2568" i="1"/>
  <c r="B2568" i="1"/>
  <c r="A2569" i="1"/>
  <c r="B2569" i="1"/>
  <c r="A2570" i="1"/>
  <c r="B2570" i="1"/>
  <c r="A2571" i="1"/>
  <c r="B2571" i="1"/>
  <c r="A2572" i="1"/>
  <c r="B2572" i="1"/>
  <c r="A2573" i="1"/>
  <c r="B2573" i="1"/>
  <c r="A2574" i="1"/>
  <c r="B2574" i="1"/>
  <c r="A2575" i="1"/>
  <c r="B2575" i="1"/>
  <c r="A2576" i="1"/>
  <c r="B2576" i="1"/>
  <c r="A2577" i="1"/>
  <c r="B2577" i="1"/>
  <c r="A2578" i="1"/>
  <c r="B2578" i="1"/>
  <c r="A2579" i="1"/>
  <c r="B2579" i="1"/>
  <c r="A2580" i="1"/>
  <c r="B2580" i="1"/>
  <c r="A2581" i="1"/>
  <c r="B2581" i="1"/>
  <c r="A2582" i="1"/>
  <c r="B2582" i="1"/>
  <c r="A2583" i="1"/>
  <c r="B2583" i="1"/>
  <c r="A2584" i="1"/>
  <c r="B2584" i="1"/>
  <c r="A2585" i="1"/>
  <c r="B2585" i="1"/>
  <c r="A2586" i="1"/>
  <c r="B2586" i="1"/>
  <c r="A2587" i="1"/>
  <c r="B2587" i="1"/>
  <c r="A2588" i="1"/>
  <c r="B2588" i="1"/>
  <c r="A2589" i="1"/>
  <c r="B2589" i="1"/>
  <c r="A2590" i="1"/>
  <c r="B2590" i="1"/>
  <c r="A2591" i="1"/>
  <c r="B2591" i="1"/>
  <c r="A2592" i="1"/>
  <c r="B2592" i="1"/>
  <c r="A2593" i="1"/>
  <c r="B2593" i="1"/>
  <c r="A2594" i="1"/>
  <c r="B2594" i="1"/>
  <c r="A2595" i="1"/>
  <c r="B2595" i="1"/>
  <c r="A2596" i="1"/>
  <c r="B2596" i="1"/>
  <c r="A2597" i="1"/>
  <c r="B2597" i="1"/>
  <c r="A2598" i="1"/>
  <c r="B2598" i="1"/>
  <c r="A2599" i="1"/>
  <c r="B2599" i="1"/>
  <c r="A2600" i="1"/>
  <c r="B2600" i="1"/>
  <c r="A2601" i="1"/>
  <c r="B2601" i="1"/>
  <c r="A2602" i="1"/>
  <c r="B2602" i="1"/>
  <c r="A2603" i="1"/>
  <c r="B2603" i="1"/>
  <c r="A2604" i="1"/>
  <c r="B2604" i="1"/>
  <c r="A2605" i="1"/>
  <c r="B2605" i="1"/>
  <c r="A2606" i="1"/>
  <c r="B2606" i="1"/>
  <c r="A2607" i="1"/>
  <c r="B2607" i="1"/>
  <c r="A2608" i="1"/>
  <c r="B2608" i="1"/>
  <c r="A2609" i="1"/>
  <c r="B2609" i="1"/>
  <c r="A2610" i="1"/>
  <c r="B2610" i="1"/>
  <c r="A2611" i="1"/>
  <c r="B2611" i="1"/>
  <c r="A2612" i="1"/>
  <c r="B2612" i="1"/>
  <c r="A2613" i="1"/>
  <c r="B2613" i="1"/>
  <c r="A2614" i="1"/>
  <c r="B2614" i="1"/>
  <c r="A2615" i="1"/>
  <c r="B2615" i="1"/>
  <c r="A2616" i="1"/>
  <c r="B2616" i="1"/>
  <c r="A2617" i="1"/>
  <c r="B2617" i="1"/>
  <c r="A2618" i="1"/>
  <c r="B2618" i="1"/>
  <c r="A2619" i="1"/>
  <c r="B2619" i="1"/>
  <c r="A2620" i="1"/>
  <c r="B2620" i="1"/>
  <c r="A2621" i="1"/>
  <c r="B2621" i="1"/>
  <c r="A2622" i="1"/>
  <c r="B2622" i="1"/>
  <c r="A2623" i="1"/>
  <c r="B2623" i="1"/>
  <c r="A2624" i="1"/>
  <c r="B2624" i="1"/>
  <c r="A2625" i="1"/>
  <c r="B2625" i="1"/>
  <c r="A2626" i="1"/>
  <c r="B2626" i="1"/>
  <c r="A2627" i="1"/>
  <c r="B2627" i="1"/>
  <c r="A2628" i="1"/>
  <c r="B2628" i="1"/>
  <c r="A2629" i="1"/>
  <c r="B2629" i="1"/>
  <c r="A2630" i="1"/>
  <c r="B2630" i="1"/>
  <c r="A2631" i="1"/>
  <c r="B2631" i="1"/>
  <c r="A2632" i="1"/>
  <c r="B2632" i="1"/>
  <c r="A2633" i="1"/>
  <c r="B2633" i="1"/>
  <c r="A2634" i="1"/>
  <c r="B2634" i="1"/>
  <c r="A2635" i="1"/>
  <c r="B2635" i="1"/>
  <c r="A2636" i="1"/>
  <c r="B2636" i="1"/>
  <c r="A2637" i="1"/>
  <c r="B2637" i="1"/>
  <c r="A2638" i="1"/>
  <c r="B2638" i="1"/>
  <c r="A2639" i="1"/>
  <c r="B2639" i="1"/>
  <c r="A2640" i="1"/>
  <c r="B2640" i="1"/>
  <c r="A2641" i="1"/>
  <c r="B2641" i="1"/>
  <c r="A2642" i="1"/>
  <c r="B2642" i="1"/>
  <c r="A2643" i="1"/>
  <c r="B2643" i="1"/>
  <c r="A2644" i="1"/>
  <c r="B2644" i="1"/>
  <c r="A2645" i="1"/>
  <c r="B2645" i="1"/>
  <c r="A2646" i="1"/>
  <c r="B2646" i="1"/>
  <c r="A2647" i="1"/>
  <c r="B2647" i="1"/>
  <c r="A2648" i="1"/>
  <c r="B2648" i="1"/>
  <c r="A2649" i="1"/>
  <c r="B2649" i="1"/>
  <c r="A2650" i="1"/>
  <c r="B2650" i="1"/>
  <c r="A2651" i="1"/>
  <c r="B2651" i="1"/>
  <c r="A2652" i="1"/>
  <c r="B2652" i="1"/>
  <c r="A2653" i="1"/>
  <c r="B2653" i="1"/>
  <c r="A2654" i="1"/>
  <c r="B2654" i="1"/>
  <c r="A2655" i="1"/>
  <c r="B2655" i="1"/>
  <c r="A2656" i="1"/>
  <c r="B2656" i="1"/>
  <c r="A2657" i="1"/>
  <c r="B2657" i="1"/>
  <c r="A2658" i="1"/>
  <c r="B2658" i="1"/>
  <c r="A2659" i="1"/>
  <c r="B2659" i="1"/>
  <c r="A2660" i="1"/>
  <c r="B2660" i="1"/>
  <c r="A2661" i="1"/>
  <c r="B2661" i="1"/>
  <c r="A2662" i="1"/>
  <c r="B2662" i="1"/>
  <c r="A2663" i="1"/>
  <c r="B2663" i="1"/>
  <c r="A2664" i="1"/>
  <c r="B2664" i="1"/>
  <c r="A2665" i="1"/>
  <c r="B2665" i="1"/>
  <c r="A2666" i="1"/>
  <c r="B2666" i="1"/>
  <c r="A2667" i="1"/>
  <c r="B2667" i="1"/>
  <c r="A2668" i="1"/>
  <c r="B2668" i="1"/>
  <c r="A2669" i="1"/>
  <c r="B2669" i="1"/>
  <c r="A2670" i="1"/>
  <c r="B2670" i="1"/>
  <c r="A2671" i="1"/>
  <c r="B2671" i="1"/>
  <c r="A2672" i="1"/>
  <c r="B2672" i="1"/>
  <c r="A2673" i="1"/>
  <c r="B2673" i="1"/>
  <c r="A2674" i="1"/>
  <c r="B2674" i="1"/>
  <c r="A2675" i="1"/>
  <c r="B2675" i="1"/>
  <c r="A2676" i="1"/>
  <c r="B2676" i="1"/>
  <c r="A2677" i="1"/>
  <c r="B2677" i="1"/>
  <c r="A2678" i="1"/>
  <c r="B2678" i="1"/>
  <c r="A2679" i="1"/>
  <c r="B2679" i="1"/>
  <c r="A2680" i="1"/>
  <c r="B2680" i="1"/>
  <c r="A2681" i="1"/>
  <c r="B2681" i="1"/>
  <c r="A2682" i="1"/>
  <c r="B2682" i="1"/>
  <c r="A2683" i="1"/>
  <c r="B2683" i="1"/>
  <c r="A2684" i="1"/>
  <c r="B2684" i="1"/>
  <c r="A2685" i="1"/>
  <c r="B2685" i="1"/>
  <c r="A2686" i="1"/>
  <c r="B2686" i="1"/>
  <c r="A2687" i="1"/>
  <c r="B2687" i="1"/>
  <c r="A2688" i="1"/>
  <c r="B2688" i="1"/>
  <c r="A2689" i="1"/>
  <c r="B2689" i="1"/>
  <c r="A2690" i="1"/>
  <c r="B2690" i="1"/>
  <c r="A2691" i="1"/>
  <c r="B2691" i="1"/>
  <c r="A2692" i="1"/>
  <c r="B2692" i="1"/>
  <c r="A2693" i="1"/>
  <c r="B2693" i="1"/>
  <c r="A2694" i="1"/>
  <c r="B2694" i="1"/>
  <c r="A2695" i="1"/>
  <c r="B2695" i="1"/>
  <c r="A2696" i="1"/>
  <c r="B2696" i="1"/>
  <c r="A2697" i="1"/>
  <c r="B2697" i="1"/>
  <c r="A2698" i="1"/>
  <c r="B2698" i="1"/>
  <c r="A2699" i="1"/>
  <c r="B2699" i="1"/>
  <c r="A2700" i="1"/>
  <c r="B2700" i="1"/>
  <c r="A2701" i="1"/>
  <c r="B2701" i="1"/>
  <c r="A2702" i="1"/>
  <c r="B2702" i="1"/>
  <c r="A2703" i="1"/>
  <c r="B2703" i="1"/>
  <c r="A2704" i="1"/>
  <c r="B2704" i="1"/>
  <c r="A2705" i="1"/>
  <c r="B2705" i="1"/>
  <c r="A2706" i="1"/>
  <c r="B2706" i="1"/>
  <c r="A2707" i="1"/>
  <c r="B2707" i="1"/>
  <c r="A2708" i="1"/>
  <c r="B2708" i="1"/>
  <c r="A2709" i="1"/>
  <c r="B2709" i="1"/>
  <c r="A2710" i="1"/>
  <c r="B2710" i="1"/>
  <c r="A2711" i="1"/>
  <c r="B2711" i="1"/>
  <c r="A2712" i="1"/>
  <c r="B2712" i="1"/>
  <c r="A2713" i="1"/>
  <c r="B2713" i="1"/>
  <c r="A2714" i="1"/>
  <c r="B2714" i="1"/>
  <c r="A2715" i="1"/>
  <c r="B2715" i="1"/>
  <c r="A2716" i="1"/>
  <c r="B2716" i="1"/>
  <c r="A2717" i="1"/>
  <c r="B2717" i="1"/>
  <c r="A2718" i="1"/>
  <c r="B2718" i="1"/>
  <c r="A2719" i="1"/>
  <c r="B2719" i="1"/>
  <c r="A2720" i="1"/>
  <c r="B2720" i="1"/>
  <c r="A2721" i="1"/>
  <c r="B2721" i="1"/>
  <c r="A2722" i="1"/>
  <c r="B2722" i="1"/>
  <c r="A2723" i="1"/>
  <c r="B2723" i="1"/>
  <c r="A2724" i="1"/>
  <c r="B2724" i="1"/>
  <c r="A2725" i="1"/>
  <c r="B2725" i="1"/>
  <c r="A2726" i="1"/>
  <c r="B2726" i="1"/>
  <c r="A2727" i="1"/>
  <c r="B2727" i="1"/>
  <c r="A2728" i="1"/>
  <c r="B2728" i="1"/>
  <c r="A2729" i="1"/>
  <c r="B2729" i="1"/>
  <c r="A2730" i="1"/>
  <c r="B2730" i="1"/>
  <c r="A2731" i="1"/>
  <c r="B2731" i="1"/>
  <c r="A2732" i="1"/>
  <c r="B2732" i="1"/>
  <c r="A2733" i="1"/>
  <c r="B2733" i="1"/>
  <c r="A2734" i="1"/>
  <c r="B2734" i="1"/>
  <c r="A2735" i="1"/>
  <c r="B2735" i="1"/>
  <c r="A2736" i="1"/>
  <c r="B2736" i="1"/>
  <c r="A2737" i="1"/>
  <c r="B2737" i="1"/>
  <c r="A2738" i="1"/>
  <c r="B2738" i="1"/>
  <c r="A2739" i="1"/>
  <c r="B2739" i="1"/>
  <c r="A2740" i="1"/>
  <c r="B2740" i="1"/>
  <c r="A2741" i="1"/>
  <c r="B2741" i="1"/>
  <c r="A2742" i="1"/>
  <c r="B2742" i="1"/>
  <c r="A2743" i="1"/>
  <c r="B2743" i="1"/>
  <c r="A2744" i="1"/>
  <c r="B2744" i="1"/>
  <c r="A2745" i="1"/>
  <c r="B2745" i="1"/>
  <c r="A2746" i="1"/>
  <c r="B2746" i="1"/>
  <c r="A2747" i="1"/>
  <c r="B2747" i="1"/>
  <c r="A2748" i="1"/>
  <c r="B2748" i="1"/>
  <c r="A2749" i="1"/>
  <c r="B2749" i="1"/>
  <c r="A2750" i="1"/>
  <c r="B2750" i="1"/>
  <c r="A2751" i="1"/>
  <c r="B2751" i="1"/>
  <c r="A2752" i="1"/>
  <c r="B2752" i="1"/>
  <c r="A2753" i="1"/>
  <c r="B2753" i="1"/>
  <c r="A2754" i="1"/>
  <c r="B2754" i="1"/>
  <c r="A2755" i="1"/>
  <c r="B2755" i="1"/>
  <c r="A2756" i="1"/>
  <c r="B2756" i="1"/>
  <c r="A2757" i="1"/>
  <c r="B2757" i="1"/>
  <c r="A2758" i="1"/>
  <c r="B2758" i="1"/>
  <c r="A2759" i="1"/>
  <c r="B2759" i="1"/>
  <c r="A2760" i="1"/>
  <c r="B2760" i="1"/>
  <c r="A2761" i="1"/>
  <c r="B2761" i="1"/>
  <c r="A2762" i="1"/>
  <c r="B2762" i="1"/>
  <c r="A2763" i="1"/>
  <c r="B2763" i="1"/>
  <c r="A2764" i="1"/>
  <c r="B2764" i="1"/>
  <c r="A2765" i="1"/>
  <c r="B2765" i="1"/>
  <c r="A2766" i="1"/>
  <c r="B2766" i="1"/>
  <c r="A2767" i="1"/>
  <c r="B2767" i="1"/>
  <c r="A2768" i="1"/>
  <c r="B2768" i="1"/>
  <c r="A2769" i="1"/>
  <c r="B2769" i="1"/>
  <c r="A2770" i="1"/>
  <c r="B2770" i="1"/>
  <c r="A2771" i="1"/>
  <c r="B2771" i="1"/>
  <c r="A2772" i="1"/>
  <c r="B2772" i="1"/>
  <c r="A2773" i="1"/>
  <c r="B2773" i="1"/>
  <c r="A2774" i="1"/>
  <c r="B2774" i="1"/>
  <c r="A2775" i="1"/>
  <c r="B2775" i="1"/>
  <c r="A2776" i="1"/>
  <c r="B2776" i="1"/>
  <c r="A2777" i="1"/>
  <c r="B2777" i="1"/>
  <c r="A2778" i="1"/>
  <c r="B2778" i="1"/>
  <c r="A2779" i="1"/>
  <c r="B2779" i="1"/>
  <c r="A2780" i="1"/>
  <c r="B2780" i="1"/>
  <c r="A2781" i="1"/>
  <c r="B2781" i="1"/>
  <c r="A2782" i="1"/>
  <c r="B2782" i="1"/>
  <c r="A2783" i="1"/>
  <c r="B2783" i="1"/>
  <c r="A2784" i="1"/>
  <c r="B2784" i="1"/>
  <c r="A2785" i="1"/>
  <c r="B2785" i="1"/>
  <c r="A2786" i="1"/>
  <c r="B2786" i="1"/>
  <c r="A2787" i="1"/>
  <c r="B2787" i="1"/>
  <c r="A2788" i="1"/>
  <c r="B2788" i="1"/>
  <c r="A2789" i="1"/>
  <c r="B2789" i="1"/>
  <c r="A2790" i="1"/>
  <c r="B2790" i="1"/>
  <c r="A2791" i="1"/>
  <c r="B2791" i="1"/>
  <c r="A2792" i="1"/>
  <c r="B2792" i="1"/>
  <c r="A2793" i="1"/>
  <c r="B2793" i="1"/>
  <c r="A2794" i="1"/>
  <c r="B2794" i="1"/>
  <c r="A2795" i="1"/>
  <c r="B2795" i="1"/>
  <c r="A2796" i="1"/>
  <c r="B2796" i="1"/>
  <c r="A2797" i="1"/>
  <c r="B2797" i="1"/>
  <c r="A2798" i="1"/>
  <c r="B2798" i="1"/>
  <c r="A2799" i="1"/>
  <c r="B2799" i="1"/>
  <c r="A2800" i="1"/>
  <c r="B2800" i="1"/>
  <c r="A2801" i="1"/>
  <c r="B2801" i="1"/>
  <c r="A2802" i="1"/>
  <c r="B2802" i="1"/>
  <c r="A2803" i="1"/>
  <c r="B2803" i="1"/>
  <c r="A2804" i="1"/>
  <c r="B2804" i="1"/>
  <c r="A2805" i="1"/>
  <c r="B2805" i="1"/>
  <c r="A2806" i="1"/>
  <c r="B2806" i="1"/>
  <c r="A2807" i="1"/>
  <c r="B2807" i="1"/>
  <c r="A2808" i="1"/>
  <c r="B2808" i="1"/>
  <c r="A2809" i="1"/>
  <c r="B2809" i="1"/>
  <c r="A2810" i="1"/>
  <c r="B2810" i="1"/>
  <c r="A2811" i="1"/>
  <c r="B2811" i="1"/>
  <c r="A2812" i="1"/>
  <c r="B2812" i="1"/>
  <c r="A2813" i="1"/>
  <c r="B2813" i="1"/>
  <c r="A2814" i="1"/>
  <c r="B2814" i="1"/>
  <c r="A2815" i="1"/>
  <c r="B2815" i="1"/>
  <c r="A2816" i="1"/>
  <c r="B2816" i="1"/>
  <c r="A2817" i="1"/>
  <c r="B2817" i="1"/>
  <c r="A2818" i="1"/>
  <c r="B2818" i="1"/>
  <c r="A2819" i="1"/>
  <c r="B2819" i="1"/>
  <c r="A2820" i="1"/>
  <c r="B2820" i="1"/>
  <c r="A2821" i="1"/>
  <c r="B2821" i="1"/>
  <c r="A2822" i="1"/>
  <c r="B2822" i="1"/>
  <c r="A2823" i="1"/>
  <c r="B2823" i="1"/>
  <c r="A2824" i="1"/>
  <c r="B2824" i="1"/>
  <c r="A2825" i="1"/>
  <c r="B2825" i="1"/>
  <c r="A2826" i="1"/>
  <c r="B2826" i="1"/>
  <c r="A2827" i="1"/>
  <c r="B2827" i="1"/>
  <c r="A2828" i="1"/>
  <c r="B2828" i="1"/>
  <c r="A2829" i="1"/>
  <c r="B2829" i="1"/>
  <c r="A2830" i="1"/>
  <c r="B2830" i="1"/>
  <c r="A2831" i="1"/>
  <c r="B2831" i="1"/>
  <c r="A2832" i="1"/>
  <c r="B2832" i="1"/>
  <c r="A2833" i="1"/>
  <c r="B2833" i="1"/>
  <c r="A2834" i="1"/>
  <c r="B2834" i="1"/>
  <c r="A2835" i="1"/>
  <c r="B2835" i="1"/>
  <c r="A2836" i="1"/>
  <c r="B2836" i="1"/>
  <c r="A2837" i="1"/>
  <c r="B2837" i="1"/>
  <c r="A2838" i="1"/>
  <c r="B2838" i="1"/>
  <c r="A2839" i="1"/>
  <c r="B2839" i="1"/>
  <c r="A2840" i="1"/>
  <c r="B2840" i="1"/>
  <c r="A2841" i="1"/>
  <c r="B2841" i="1"/>
  <c r="A2842" i="1"/>
  <c r="B2842" i="1"/>
  <c r="A2843" i="1"/>
  <c r="B2843" i="1"/>
  <c r="A2844" i="1"/>
  <c r="B2844" i="1"/>
  <c r="A2845" i="1"/>
  <c r="B2845" i="1"/>
  <c r="A2846" i="1"/>
  <c r="B2846" i="1"/>
  <c r="A2847" i="1"/>
  <c r="B2847" i="1"/>
  <c r="A2848" i="1"/>
  <c r="B2848" i="1"/>
  <c r="A2849" i="1"/>
  <c r="B2849" i="1"/>
  <c r="A2850" i="1"/>
  <c r="B2850" i="1"/>
  <c r="A2851" i="1"/>
  <c r="B2851" i="1"/>
  <c r="A2852" i="1"/>
  <c r="B2852" i="1"/>
  <c r="A2853" i="1"/>
  <c r="B2853" i="1"/>
  <c r="A2854" i="1"/>
  <c r="B2854" i="1"/>
  <c r="A2855" i="1"/>
  <c r="B2855" i="1"/>
  <c r="A2856" i="1"/>
  <c r="B2856" i="1"/>
  <c r="A2857" i="1"/>
  <c r="B2857" i="1"/>
  <c r="A2858" i="1"/>
  <c r="B2858" i="1"/>
  <c r="A2859" i="1"/>
  <c r="B2859" i="1"/>
  <c r="A2860" i="1"/>
  <c r="B2860" i="1"/>
  <c r="A2861" i="1"/>
  <c r="B2861" i="1"/>
  <c r="A2862" i="1"/>
  <c r="B2862" i="1"/>
  <c r="A2863" i="1"/>
  <c r="B2863" i="1"/>
  <c r="A2864" i="1"/>
  <c r="B2864" i="1"/>
  <c r="A2865" i="1"/>
  <c r="B2865" i="1"/>
  <c r="A2866" i="1"/>
  <c r="B2866" i="1"/>
  <c r="A2867" i="1"/>
  <c r="B2867" i="1"/>
  <c r="A2868" i="1"/>
  <c r="B2868" i="1"/>
  <c r="A2869" i="1"/>
  <c r="B2869" i="1"/>
  <c r="A2870" i="1"/>
  <c r="B2870" i="1"/>
  <c r="A2871" i="1"/>
  <c r="B2871" i="1"/>
  <c r="A2872" i="1"/>
  <c r="B2872" i="1"/>
  <c r="A2873" i="1"/>
  <c r="B2873" i="1"/>
  <c r="A2874" i="1"/>
  <c r="B2874" i="1"/>
  <c r="A2875" i="1"/>
  <c r="B2875" i="1"/>
  <c r="A2876" i="1"/>
  <c r="B2876" i="1"/>
  <c r="A2877" i="1"/>
  <c r="B2877" i="1"/>
  <c r="A2878" i="1"/>
  <c r="B2878" i="1"/>
  <c r="A2879" i="1"/>
  <c r="B2879" i="1"/>
  <c r="A2880" i="1"/>
  <c r="B2880" i="1"/>
  <c r="A2881" i="1"/>
  <c r="B2881" i="1"/>
  <c r="A2882" i="1"/>
  <c r="B2882" i="1"/>
  <c r="A2883" i="1"/>
  <c r="B2883" i="1"/>
  <c r="A2884" i="1"/>
  <c r="B2884" i="1"/>
  <c r="A2885" i="1"/>
  <c r="B2885" i="1"/>
  <c r="A2886" i="1"/>
  <c r="B2886" i="1"/>
  <c r="A2887" i="1"/>
  <c r="B2887" i="1"/>
  <c r="A2888" i="1"/>
  <c r="B2888" i="1"/>
  <c r="A2889" i="1"/>
  <c r="B2889" i="1"/>
  <c r="A2890" i="1"/>
  <c r="B2890" i="1"/>
  <c r="A2891" i="1"/>
  <c r="B2891" i="1"/>
  <c r="A2892" i="1"/>
  <c r="B2892" i="1"/>
  <c r="A2893" i="1"/>
  <c r="B2893" i="1"/>
  <c r="A2894" i="1"/>
  <c r="B2894" i="1"/>
  <c r="A2895" i="1"/>
  <c r="B2895" i="1"/>
  <c r="A2896" i="1"/>
  <c r="B2896" i="1"/>
  <c r="A2897" i="1"/>
  <c r="B2897" i="1"/>
  <c r="A2898" i="1"/>
  <c r="B2898" i="1"/>
  <c r="A2899" i="1"/>
  <c r="B2899" i="1"/>
  <c r="A2900" i="1"/>
  <c r="B2900" i="1"/>
  <c r="A2901" i="1"/>
  <c r="B2901" i="1"/>
  <c r="A2902" i="1"/>
  <c r="B2902" i="1"/>
  <c r="A2903" i="1"/>
  <c r="B2903" i="1"/>
  <c r="A2904" i="1"/>
  <c r="B2904" i="1"/>
  <c r="A2905" i="1"/>
  <c r="B2905" i="1"/>
  <c r="A2906" i="1"/>
  <c r="B2906" i="1"/>
  <c r="A2907" i="1"/>
  <c r="B2907" i="1"/>
  <c r="A2908" i="1"/>
  <c r="B2908" i="1"/>
  <c r="A2909" i="1"/>
  <c r="B2909" i="1"/>
  <c r="A2910" i="1"/>
  <c r="B2910" i="1"/>
  <c r="A2911" i="1"/>
  <c r="B2911" i="1"/>
  <c r="A2912" i="1"/>
  <c r="B2912" i="1"/>
  <c r="A2913" i="1"/>
  <c r="B2913" i="1"/>
  <c r="A2914" i="1"/>
  <c r="B2914" i="1"/>
  <c r="A2915" i="1"/>
  <c r="B2915" i="1"/>
  <c r="A2916" i="1"/>
  <c r="B2916" i="1"/>
  <c r="A2917" i="1"/>
  <c r="B2917" i="1"/>
  <c r="A2918" i="1"/>
  <c r="B2918" i="1"/>
  <c r="A2919" i="1"/>
  <c r="B2919" i="1"/>
  <c r="A2920" i="1"/>
  <c r="B2920" i="1"/>
  <c r="A2921" i="1"/>
  <c r="B2921" i="1"/>
  <c r="A2922" i="1"/>
  <c r="B2922" i="1"/>
  <c r="A2923" i="1"/>
  <c r="B2923" i="1"/>
  <c r="A2924" i="1"/>
  <c r="B2924" i="1"/>
  <c r="A2925" i="1"/>
  <c r="B2925" i="1"/>
  <c r="A2926" i="1"/>
  <c r="B2926" i="1"/>
  <c r="A2927" i="1"/>
  <c r="B2927" i="1"/>
  <c r="A2928" i="1"/>
  <c r="B2928" i="1"/>
  <c r="A2929" i="1"/>
  <c r="B2929" i="1"/>
  <c r="A2930" i="1"/>
  <c r="B2930" i="1"/>
  <c r="A2931" i="1"/>
  <c r="B2931" i="1"/>
  <c r="A2932" i="1"/>
  <c r="B2932" i="1"/>
  <c r="A2933" i="1"/>
  <c r="B2933" i="1"/>
  <c r="A2934" i="1"/>
  <c r="B2934" i="1"/>
  <c r="A2935" i="1"/>
  <c r="B2935" i="1"/>
  <c r="A2936" i="1"/>
  <c r="B2936" i="1"/>
  <c r="A2937" i="1"/>
  <c r="B2937" i="1"/>
  <c r="A2938" i="1"/>
  <c r="B2938" i="1"/>
  <c r="A2939" i="1"/>
  <c r="B2939" i="1"/>
  <c r="A2940" i="1"/>
  <c r="B2940" i="1"/>
  <c r="A2941" i="1"/>
  <c r="B2941" i="1"/>
  <c r="A2942" i="1"/>
  <c r="B2942" i="1"/>
  <c r="A2943" i="1"/>
  <c r="B2943" i="1"/>
  <c r="A2944" i="1"/>
  <c r="B2944" i="1"/>
  <c r="A2945" i="1"/>
  <c r="B2945" i="1"/>
  <c r="A2946" i="1"/>
  <c r="B2946" i="1"/>
  <c r="A2947" i="1"/>
  <c r="B2947" i="1"/>
  <c r="A2948" i="1"/>
  <c r="B2948" i="1"/>
  <c r="A2949" i="1"/>
  <c r="B2949" i="1"/>
  <c r="A2950" i="1"/>
  <c r="B2950" i="1"/>
  <c r="A2951" i="1"/>
  <c r="B2951" i="1"/>
  <c r="A2952" i="1"/>
  <c r="B2952" i="1"/>
  <c r="A2953" i="1"/>
  <c r="B2953" i="1"/>
  <c r="A2954" i="1"/>
  <c r="B2954" i="1"/>
  <c r="A2955" i="1"/>
  <c r="B2955" i="1"/>
  <c r="A2956" i="1"/>
  <c r="B2956" i="1"/>
  <c r="A2957" i="1"/>
  <c r="B2957" i="1"/>
  <c r="A2958" i="1"/>
  <c r="B2958" i="1"/>
  <c r="A2959" i="1"/>
  <c r="B2959" i="1"/>
  <c r="A2960" i="1"/>
  <c r="B2960" i="1"/>
  <c r="A2961" i="1"/>
  <c r="B2961" i="1"/>
  <c r="A2962" i="1"/>
  <c r="B2962" i="1"/>
  <c r="A2963" i="1"/>
  <c r="B2963" i="1"/>
  <c r="A2964" i="1"/>
  <c r="B2964" i="1"/>
  <c r="A2965" i="1"/>
  <c r="B2965" i="1"/>
  <c r="A2966" i="1"/>
  <c r="B2966" i="1"/>
  <c r="A2967" i="1"/>
  <c r="B2967" i="1"/>
  <c r="A2968" i="1"/>
  <c r="B2968" i="1"/>
  <c r="A2969" i="1"/>
  <c r="B2969" i="1"/>
  <c r="A2970" i="1"/>
  <c r="B2970" i="1"/>
  <c r="A2971" i="1"/>
  <c r="B2971" i="1"/>
  <c r="A2972" i="1"/>
  <c r="B2972" i="1"/>
  <c r="A2973" i="1"/>
  <c r="B2973" i="1"/>
  <c r="A2974" i="1"/>
  <c r="B2974" i="1"/>
  <c r="A2975" i="1"/>
  <c r="B2975" i="1"/>
  <c r="A2976" i="1"/>
  <c r="B2976" i="1"/>
  <c r="A2977" i="1"/>
  <c r="B2977" i="1"/>
  <c r="A2978" i="1"/>
  <c r="B2978" i="1"/>
  <c r="A2979" i="1"/>
  <c r="B2979" i="1"/>
  <c r="A2980" i="1"/>
  <c r="B2980" i="1"/>
  <c r="A2981" i="1"/>
  <c r="B2981" i="1"/>
  <c r="A2982" i="1"/>
  <c r="B2982" i="1"/>
  <c r="A2983" i="1"/>
  <c r="B2983" i="1"/>
  <c r="A2984" i="1"/>
  <c r="B2984" i="1"/>
  <c r="A2985" i="1"/>
  <c r="B2985" i="1"/>
  <c r="A2986" i="1"/>
  <c r="B2986" i="1"/>
  <c r="A2987" i="1"/>
  <c r="B2987" i="1"/>
  <c r="A2988" i="1"/>
  <c r="B2988" i="1"/>
  <c r="A2989" i="1"/>
  <c r="B2989" i="1"/>
  <c r="A2990" i="1"/>
  <c r="B2990" i="1"/>
  <c r="A2991" i="1"/>
  <c r="B2991" i="1"/>
  <c r="A2992" i="1"/>
  <c r="B2992" i="1"/>
  <c r="A2993" i="1"/>
  <c r="B2993" i="1"/>
  <c r="A2994" i="1"/>
  <c r="B2994" i="1"/>
  <c r="A2995" i="1"/>
  <c r="B2995" i="1"/>
  <c r="A2996" i="1"/>
  <c r="B2996" i="1"/>
  <c r="A2997" i="1"/>
  <c r="B2997" i="1"/>
  <c r="A2998" i="1"/>
  <c r="B2998" i="1"/>
  <c r="A2999" i="1"/>
  <c r="B2999" i="1"/>
  <c r="A3000" i="1"/>
  <c r="B3000" i="1"/>
  <c r="A3001" i="1"/>
  <c r="B3001" i="1"/>
  <c r="A3002" i="1"/>
  <c r="B3002" i="1"/>
  <c r="A3003" i="1"/>
  <c r="B3003" i="1"/>
  <c r="A3004" i="1"/>
  <c r="B3004" i="1"/>
  <c r="A3005" i="1"/>
  <c r="B3005" i="1"/>
  <c r="A3006" i="1"/>
  <c r="B3006" i="1"/>
  <c r="A3007" i="1"/>
  <c r="B3007" i="1"/>
  <c r="A3008" i="1"/>
  <c r="B3008" i="1"/>
  <c r="A3009" i="1"/>
  <c r="B3009" i="1"/>
  <c r="A3010" i="1"/>
  <c r="B3010" i="1"/>
  <c r="A3011" i="1"/>
  <c r="B3011" i="1"/>
  <c r="A3012" i="1"/>
  <c r="B3012" i="1"/>
  <c r="A3013" i="1"/>
  <c r="B3013" i="1"/>
  <c r="A3014" i="1"/>
  <c r="B3014" i="1"/>
  <c r="A3015" i="1"/>
  <c r="B3015" i="1"/>
  <c r="A3016" i="1"/>
  <c r="B3016" i="1"/>
  <c r="A3017" i="1"/>
  <c r="B3017" i="1"/>
  <c r="A3018" i="1"/>
  <c r="B3018" i="1"/>
  <c r="A3019" i="1"/>
  <c r="B3019" i="1"/>
  <c r="A3020" i="1"/>
  <c r="B3020" i="1"/>
  <c r="A3021" i="1"/>
  <c r="B3021" i="1"/>
  <c r="A3022" i="1"/>
  <c r="B3022" i="1"/>
  <c r="A3023" i="1"/>
  <c r="B3023" i="1"/>
  <c r="A3024" i="1"/>
  <c r="B3024" i="1"/>
  <c r="A3025" i="1"/>
  <c r="B3025" i="1"/>
  <c r="A3026" i="1"/>
  <c r="B3026" i="1"/>
  <c r="A3027" i="1"/>
  <c r="B3027" i="1"/>
  <c r="A3028" i="1"/>
  <c r="B3028" i="1"/>
  <c r="A3029" i="1"/>
  <c r="B3029" i="1"/>
  <c r="A3030" i="1"/>
  <c r="B3030" i="1"/>
  <c r="A3031" i="1"/>
  <c r="B3031" i="1"/>
  <c r="A3032" i="1"/>
  <c r="B3032" i="1"/>
  <c r="A3033" i="1"/>
  <c r="B3033" i="1"/>
  <c r="A3034" i="1"/>
  <c r="B3034" i="1"/>
  <c r="A3035" i="1"/>
  <c r="B3035" i="1"/>
  <c r="A3036" i="1"/>
  <c r="B3036" i="1"/>
  <c r="A3037" i="1"/>
  <c r="B3037" i="1"/>
  <c r="A3038" i="1"/>
  <c r="B3038" i="1"/>
  <c r="A3039" i="1"/>
  <c r="B3039" i="1"/>
  <c r="A3040" i="1"/>
  <c r="B3040" i="1"/>
  <c r="A3041" i="1"/>
  <c r="B3041" i="1"/>
  <c r="A3042" i="1"/>
  <c r="B3042" i="1"/>
  <c r="A3043" i="1"/>
  <c r="B3043" i="1"/>
  <c r="A3044" i="1"/>
  <c r="B3044" i="1"/>
  <c r="A3045" i="1"/>
  <c r="B3045" i="1"/>
  <c r="A3046" i="1"/>
  <c r="B3046" i="1"/>
  <c r="A3047" i="1"/>
  <c r="B3047" i="1"/>
  <c r="A3048" i="1"/>
  <c r="B3048" i="1"/>
  <c r="A3049" i="1"/>
  <c r="B3049" i="1"/>
  <c r="A3050" i="1"/>
  <c r="B3050" i="1"/>
  <c r="A3051" i="1"/>
  <c r="B3051" i="1"/>
  <c r="A3052" i="1"/>
  <c r="B3052" i="1"/>
  <c r="A3053" i="1"/>
  <c r="B3053" i="1"/>
  <c r="A3054" i="1"/>
  <c r="B3054" i="1"/>
  <c r="A3055" i="1"/>
  <c r="B3055" i="1"/>
  <c r="A3056" i="1"/>
  <c r="B3056" i="1"/>
  <c r="A3057" i="1"/>
  <c r="B3057" i="1"/>
  <c r="A3058" i="1"/>
  <c r="B3058" i="1"/>
  <c r="A3059" i="1"/>
  <c r="B3059" i="1"/>
  <c r="A3060" i="1"/>
  <c r="B3060" i="1"/>
  <c r="A3061" i="1"/>
  <c r="B3061" i="1"/>
  <c r="A3062" i="1"/>
  <c r="B3062" i="1"/>
  <c r="A3063" i="1"/>
  <c r="B3063" i="1"/>
  <c r="A3064" i="1"/>
  <c r="B3064" i="1"/>
  <c r="A3065" i="1"/>
  <c r="B3065" i="1"/>
  <c r="A3066" i="1"/>
  <c r="B3066" i="1"/>
  <c r="A3067" i="1"/>
  <c r="B3067" i="1"/>
  <c r="A3068" i="1"/>
  <c r="B3068" i="1"/>
  <c r="A3069" i="1"/>
  <c r="B3069" i="1"/>
  <c r="A3070" i="1"/>
  <c r="B3070" i="1"/>
  <c r="A3071" i="1"/>
  <c r="B3071" i="1"/>
  <c r="A3072" i="1"/>
  <c r="B3072" i="1"/>
  <c r="A3073" i="1"/>
  <c r="B3073" i="1"/>
  <c r="A3074" i="1"/>
  <c r="B3074" i="1"/>
  <c r="A3075" i="1"/>
  <c r="B3075" i="1"/>
  <c r="A3076" i="1"/>
  <c r="B3076" i="1"/>
  <c r="A3077" i="1"/>
  <c r="B3077" i="1"/>
  <c r="A3078" i="1"/>
  <c r="B3078" i="1"/>
  <c r="A3079" i="1"/>
  <c r="B3079" i="1"/>
  <c r="A3080" i="1"/>
  <c r="B3080" i="1"/>
  <c r="A3081" i="1"/>
  <c r="B3081" i="1"/>
  <c r="A3082" i="1"/>
  <c r="B3082" i="1"/>
  <c r="A3083" i="1"/>
  <c r="B3083" i="1"/>
  <c r="A3084" i="1"/>
  <c r="B3084" i="1"/>
  <c r="A3085" i="1"/>
  <c r="B3085" i="1"/>
  <c r="A3086" i="1"/>
  <c r="B3086" i="1"/>
  <c r="A3087" i="1"/>
  <c r="B3087" i="1"/>
  <c r="A3088" i="1"/>
  <c r="B3088" i="1"/>
  <c r="A3089" i="1"/>
  <c r="B3089" i="1"/>
  <c r="A3090" i="1"/>
  <c r="B3090" i="1"/>
  <c r="A3091" i="1"/>
  <c r="B3091" i="1"/>
  <c r="A3092" i="1"/>
  <c r="B3092" i="1"/>
  <c r="A3093" i="1"/>
  <c r="B3093" i="1"/>
  <c r="A3094" i="1"/>
  <c r="B3094" i="1"/>
  <c r="A3095" i="1"/>
  <c r="B3095" i="1"/>
  <c r="A3096" i="1"/>
  <c r="B3096" i="1"/>
  <c r="A3097" i="1"/>
  <c r="B3097" i="1"/>
  <c r="A3098" i="1"/>
  <c r="B3098" i="1"/>
  <c r="A3099" i="1"/>
  <c r="B3099" i="1"/>
  <c r="A3100" i="1"/>
  <c r="B3100" i="1"/>
  <c r="A3101" i="1"/>
  <c r="B3101" i="1"/>
  <c r="A3102" i="1"/>
  <c r="B3102" i="1"/>
  <c r="A3103" i="1"/>
  <c r="B3103" i="1"/>
  <c r="A3104" i="1"/>
  <c r="B3104" i="1"/>
  <c r="A3105" i="1"/>
  <c r="B3105" i="1"/>
  <c r="A3106" i="1"/>
  <c r="B3106" i="1"/>
  <c r="A3107" i="1"/>
  <c r="B3107" i="1"/>
  <c r="A3108" i="1"/>
  <c r="B3108" i="1"/>
  <c r="A3109" i="1"/>
  <c r="B3109" i="1"/>
  <c r="A3110" i="1"/>
  <c r="B3110" i="1"/>
  <c r="A3111" i="1"/>
  <c r="B3111" i="1"/>
  <c r="A3112" i="1"/>
  <c r="B3112" i="1"/>
  <c r="A3113" i="1"/>
  <c r="B3113" i="1"/>
  <c r="A3114" i="1"/>
  <c r="B3114" i="1"/>
  <c r="A3115" i="1"/>
  <c r="B3115" i="1"/>
  <c r="A3116" i="1"/>
  <c r="B3116" i="1"/>
  <c r="A3117" i="1"/>
  <c r="B3117" i="1"/>
  <c r="A3118" i="1"/>
  <c r="B3118" i="1"/>
  <c r="A3119" i="1"/>
  <c r="B3119" i="1"/>
  <c r="A3120" i="1"/>
  <c r="B3120" i="1"/>
  <c r="A3121" i="1"/>
  <c r="B3121" i="1"/>
  <c r="A3122" i="1"/>
  <c r="B3122" i="1"/>
  <c r="A3123" i="1"/>
  <c r="B3123" i="1"/>
  <c r="A3124" i="1"/>
  <c r="B3124" i="1"/>
  <c r="A3125" i="1"/>
  <c r="B3125" i="1"/>
  <c r="A3126" i="1"/>
  <c r="B3126" i="1"/>
  <c r="A3127" i="1"/>
  <c r="B3127" i="1"/>
  <c r="A3128" i="1"/>
  <c r="B3128" i="1"/>
  <c r="A3129" i="1"/>
  <c r="B3129" i="1"/>
  <c r="A3130" i="1"/>
  <c r="B3130" i="1"/>
  <c r="A3131" i="1"/>
  <c r="B3131" i="1"/>
  <c r="A3132" i="1"/>
  <c r="B3132" i="1"/>
  <c r="A3133" i="1"/>
  <c r="B3133" i="1"/>
  <c r="A3134" i="1"/>
  <c r="B3134" i="1"/>
  <c r="A3135" i="1"/>
  <c r="B3135" i="1"/>
  <c r="A3136" i="1"/>
  <c r="B3136" i="1"/>
  <c r="A3137" i="1"/>
  <c r="B3137" i="1"/>
  <c r="A3138" i="1"/>
  <c r="B3138" i="1"/>
  <c r="A3139" i="1"/>
  <c r="B3139" i="1"/>
  <c r="A3140" i="1"/>
  <c r="B3140" i="1"/>
  <c r="A3141" i="1"/>
  <c r="B3141" i="1"/>
  <c r="A3142" i="1"/>
  <c r="B3142" i="1"/>
  <c r="A3143" i="1"/>
  <c r="B3143" i="1"/>
  <c r="A3144" i="1"/>
  <c r="B3144" i="1"/>
  <c r="A3145" i="1"/>
  <c r="B3145" i="1"/>
  <c r="A3146" i="1"/>
  <c r="B3146" i="1"/>
  <c r="A3147" i="1"/>
  <c r="B3147" i="1"/>
  <c r="A3148" i="1"/>
  <c r="B3148" i="1"/>
  <c r="A3149" i="1"/>
  <c r="B3149" i="1"/>
  <c r="A3150" i="1"/>
  <c r="B3150" i="1"/>
  <c r="A3151" i="1"/>
  <c r="B3151" i="1"/>
  <c r="A3152" i="1"/>
  <c r="B3152" i="1"/>
  <c r="A3153" i="1"/>
  <c r="B3153" i="1"/>
  <c r="A3154" i="1"/>
  <c r="B3154" i="1"/>
  <c r="A3155" i="1"/>
  <c r="B3155" i="1"/>
  <c r="A3156" i="1"/>
  <c r="B3156" i="1"/>
  <c r="A3157" i="1"/>
  <c r="B3157" i="1"/>
  <c r="A3158" i="1"/>
  <c r="B3158" i="1"/>
  <c r="A3159" i="1"/>
  <c r="B3159" i="1"/>
  <c r="A3160" i="1"/>
  <c r="B3160" i="1"/>
  <c r="A3161" i="1"/>
  <c r="B3161" i="1"/>
  <c r="A3162" i="1"/>
  <c r="B3162" i="1"/>
  <c r="A3163" i="1"/>
  <c r="B3163" i="1"/>
  <c r="A3164" i="1"/>
  <c r="B3164" i="1"/>
  <c r="A3165" i="1"/>
  <c r="B3165" i="1"/>
  <c r="A3166" i="1"/>
  <c r="B3166" i="1"/>
  <c r="A3167" i="1"/>
  <c r="B3167" i="1"/>
  <c r="A3168" i="1"/>
  <c r="B3168" i="1"/>
  <c r="A3169" i="1"/>
  <c r="B3169" i="1"/>
  <c r="A3170" i="1"/>
  <c r="B3170" i="1"/>
  <c r="A3171" i="1"/>
  <c r="B3171" i="1"/>
  <c r="A3172" i="1"/>
  <c r="B3172" i="1"/>
  <c r="A3173" i="1"/>
  <c r="B3173" i="1"/>
  <c r="A3174" i="1"/>
  <c r="B3174" i="1"/>
  <c r="A3175" i="1"/>
  <c r="B3175" i="1"/>
  <c r="A3176" i="1"/>
  <c r="B3176" i="1"/>
  <c r="A3177" i="1"/>
  <c r="B3177" i="1"/>
  <c r="A3178" i="1"/>
  <c r="B3178" i="1"/>
  <c r="A3179" i="1"/>
  <c r="B3179" i="1"/>
  <c r="A3180" i="1"/>
  <c r="B3180" i="1"/>
  <c r="A3181" i="1"/>
  <c r="B3181" i="1"/>
  <c r="A3182" i="1"/>
  <c r="B3182" i="1"/>
  <c r="A3183" i="1"/>
  <c r="B3183" i="1"/>
  <c r="A3184" i="1"/>
  <c r="B3184" i="1"/>
  <c r="A3185" i="1"/>
  <c r="B3185" i="1"/>
  <c r="A3186" i="1"/>
  <c r="B3186" i="1"/>
  <c r="A3187" i="1"/>
  <c r="B3187" i="1"/>
  <c r="A3188" i="1"/>
  <c r="B3188" i="1"/>
  <c r="A3189" i="1"/>
  <c r="B3189" i="1"/>
  <c r="A3190" i="1"/>
  <c r="B3190" i="1"/>
  <c r="A3191" i="1"/>
  <c r="B3191" i="1"/>
  <c r="A3192" i="1"/>
  <c r="B3192" i="1"/>
  <c r="A3193" i="1"/>
  <c r="B3193" i="1"/>
  <c r="A3194" i="1"/>
  <c r="B3194" i="1"/>
  <c r="A3195" i="1"/>
  <c r="B3195" i="1"/>
  <c r="A3196" i="1"/>
  <c r="B3196" i="1"/>
  <c r="A3197" i="1"/>
  <c r="B3197" i="1"/>
  <c r="A3198" i="1"/>
  <c r="B3198" i="1"/>
  <c r="A3199" i="1"/>
  <c r="B3199" i="1"/>
  <c r="A3200" i="1"/>
  <c r="B3200" i="1"/>
  <c r="A3201" i="1"/>
  <c r="B3201" i="1"/>
  <c r="A3202" i="1"/>
  <c r="B3202" i="1"/>
  <c r="A3203" i="1"/>
  <c r="B3203" i="1"/>
  <c r="A3204" i="1"/>
  <c r="B3204" i="1"/>
  <c r="A3205" i="1"/>
  <c r="B3205" i="1"/>
  <c r="A3206" i="1"/>
  <c r="B3206" i="1"/>
  <c r="A3207" i="1"/>
  <c r="B3207" i="1"/>
  <c r="A3208" i="1"/>
  <c r="B3208" i="1"/>
  <c r="A3209" i="1"/>
  <c r="B3209" i="1"/>
  <c r="A3210" i="1"/>
  <c r="B3210" i="1"/>
  <c r="A3211" i="1"/>
  <c r="B3211" i="1"/>
  <c r="A3212" i="1"/>
  <c r="B3212" i="1"/>
  <c r="A3213" i="1"/>
  <c r="B3213" i="1"/>
  <c r="A3214" i="1"/>
  <c r="B3214" i="1"/>
  <c r="A3215" i="1"/>
  <c r="B3215" i="1"/>
  <c r="A3216" i="1"/>
  <c r="B3216" i="1"/>
  <c r="A3217" i="1"/>
  <c r="B3217" i="1"/>
  <c r="A3218" i="1"/>
  <c r="B3218" i="1"/>
  <c r="A3219" i="1"/>
  <c r="B3219" i="1"/>
  <c r="A3220" i="1"/>
  <c r="B3220" i="1"/>
  <c r="A3221" i="1"/>
  <c r="B3221" i="1"/>
  <c r="A3222" i="1"/>
  <c r="B3222" i="1"/>
  <c r="A3223" i="1"/>
  <c r="B3223" i="1"/>
  <c r="A3224" i="1"/>
  <c r="B3224" i="1"/>
  <c r="A3225" i="1"/>
  <c r="B3225" i="1"/>
  <c r="A3226" i="1"/>
  <c r="B3226" i="1"/>
  <c r="A3227" i="1"/>
  <c r="B3227" i="1"/>
  <c r="A3228" i="1"/>
  <c r="B3228" i="1"/>
  <c r="A3229" i="1"/>
  <c r="B3229" i="1"/>
  <c r="A3230" i="1"/>
  <c r="B3230" i="1"/>
  <c r="A3231" i="1"/>
  <c r="B3231" i="1"/>
  <c r="A3232" i="1"/>
  <c r="B3232" i="1"/>
  <c r="A3233" i="1"/>
  <c r="B3233" i="1"/>
  <c r="A3234" i="1"/>
  <c r="B3234" i="1"/>
  <c r="A3235" i="1"/>
  <c r="B3235" i="1"/>
  <c r="A3236" i="1"/>
  <c r="B3236" i="1"/>
  <c r="A3237" i="1"/>
  <c r="B3237" i="1"/>
  <c r="A3238" i="1"/>
  <c r="B3238" i="1"/>
  <c r="A3239" i="1"/>
  <c r="B3239" i="1"/>
  <c r="A3240" i="1"/>
  <c r="B3240" i="1"/>
  <c r="A3241" i="1"/>
  <c r="B3241" i="1"/>
  <c r="A3242" i="1"/>
  <c r="B3242" i="1"/>
  <c r="A3243" i="1"/>
  <c r="B3243" i="1"/>
  <c r="A3244" i="1"/>
  <c r="B3244" i="1"/>
  <c r="A3245" i="1"/>
  <c r="B3245" i="1"/>
  <c r="A3246" i="1"/>
  <c r="B3246" i="1"/>
  <c r="A3247" i="1"/>
  <c r="B3247" i="1"/>
  <c r="A3248" i="1"/>
  <c r="B3248" i="1"/>
  <c r="A3249" i="1"/>
  <c r="B3249" i="1"/>
  <c r="A3250" i="1"/>
  <c r="B3250" i="1"/>
  <c r="A3251" i="1"/>
  <c r="B3251" i="1"/>
  <c r="A3252" i="1"/>
  <c r="B3252" i="1"/>
  <c r="A3253" i="1"/>
  <c r="B3253" i="1"/>
  <c r="A3254" i="1"/>
  <c r="B3254" i="1"/>
  <c r="A3255" i="1"/>
  <c r="B3255" i="1"/>
  <c r="A3256" i="1"/>
  <c r="B3256" i="1"/>
  <c r="A3257" i="1"/>
  <c r="B3257" i="1"/>
  <c r="A3258" i="1"/>
  <c r="B3258" i="1"/>
  <c r="A3259" i="1"/>
  <c r="B3259" i="1"/>
  <c r="A3260" i="1"/>
  <c r="B3260" i="1"/>
  <c r="A3261" i="1"/>
  <c r="B3261" i="1"/>
  <c r="A3262" i="1"/>
  <c r="B3262" i="1"/>
  <c r="A3263" i="1"/>
  <c r="B3263" i="1"/>
  <c r="A3264" i="1"/>
  <c r="B3264" i="1"/>
  <c r="A3265" i="1"/>
  <c r="B3265" i="1"/>
  <c r="A3266" i="1"/>
  <c r="B3266" i="1"/>
  <c r="A3267" i="1"/>
  <c r="B3267" i="1"/>
  <c r="A3268" i="1"/>
  <c r="B3268" i="1"/>
  <c r="A3269" i="1"/>
  <c r="B3269" i="1"/>
  <c r="A3270" i="1"/>
  <c r="B3270" i="1"/>
  <c r="A3271" i="1"/>
  <c r="B3271" i="1"/>
  <c r="A3272" i="1"/>
  <c r="B3272" i="1"/>
  <c r="A3273" i="1"/>
  <c r="B3273" i="1"/>
  <c r="A3274" i="1"/>
  <c r="B3274" i="1"/>
  <c r="A3275" i="1"/>
  <c r="B3275" i="1"/>
  <c r="A3276" i="1"/>
  <c r="B3276" i="1"/>
  <c r="A3277" i="1"/>
  <c r="B3277" i="1"/>
  <c r="A3278" i="1"/>
  <c r="B3278" i="1"/>
  <c r="A3279" i="1"/>
  <c r="B3279" i="1"/>
  <c r="A3280" i="1"/>
  <c r="B3280" i="1"/>
  <c r="A3281" i="1"/>
  <c r="B3281" i="1"/>
  <c r="A3282" i="1"/>
  <c r="B3282" i="1"/>
  <c r="A3283" i="1"/>
  <c r="B3283" i="1"/>
  <c r="A3284" i="1"/>
  <c r="B3284" i="1"/>
  <c r="A3285" i="1"/>
  <c r="B3285" i="1"/>
  <c r="A3286" i="1"/>
  <c r="B3286" i="1"/>
  <c r="A3287" i="1"/>
  <c r="B3287" i="1"/>
  <c r="A3288" i="1"/>
  <c r="B3288" i="1"/>
  <c r="A3289" i="1"/>
  <c r="B3289" i="1"/>
  <c r="A3290" i="1"/>
  <c r="B3290" i="1"/>
  <c r="A3291" i="1"/>
  <c r="B3291" i="1"/>
  <c r="A3292" i="1"/>
  <c r="B3292" i="1"/>
  <c r="A3293" i="1"/>
  <c r="B3293" i="1"/>
  <c r="A3294" i="1"/>
  <c r="B3294" i="1"/>
  <c r="A3295" i="1"/>
  <c r="B3295" i="1"/>
  <c r="A3296" i="1"/>
  <c r="B3296" i="1"/>
  <c r="A3297" i="1"/>
  <c r="B3297" i="1"/>
  <c r="A3298" i="1"/>
  <c r="B3298" i="1"/>
  <c r="A3299" i="1"/>
  <c r="B3299" i="1"/>
  <c r="A3300" i="1"/>
  <c r="B3300" i="1"/>
  <c r="A3301" i="1"/>
  <c r="B3301" i="1"/>
  <c r="A3302" i="1"/>
  <c r="B3302" i="1"/>
  <c r="A3303" i="1"/>
  <c r="B3303" i="1"/>
  <c r="A3304" i="1"/>
  <c r="B3304" i="1"/>
  <c r="A3305" i="1"/>
  <c r="B3305" i="1"/>
  <c r="A3306" i="1"/>
  <c r="B3306" i="1"/>
  <c r="A3307" i="1"/>
  <c r="B3307" i="1"/>
  <c r="A3308" i="1"/>
  <c r="B3308" i="1"/>
  <c r="A3309" i="1"/>
  <c r="B3309" i="1"/>
  <c r="A3310" i="1"/>
  <c r="B3310" i="1"/>
  <c r="A3311" i="1"/>
  <c r="B3311" i="1"/>
  <c r="A3312" i="1"/>
  <c r="B3312" i="1"/>
  <c r="A3313" i="1"/>
  <c r="B3313" i="1"/>
  <c r="A3314" i="1"/>
  <c r="B3314" i="1"/>
  <c r="A3315" i="1"/>
  <c r="B3315" i="1"/>
  <c r="A3316" i="1"/>
  <c r="B3316" i="1"/>
  <c r="A3317" i="1"/>
  <c r="B3317" i="1"/>
  <c r="A3318" i="1"/>
  <c r="B3318" i="1"/>
  <c r="A3319" i="1"/>
  <c r="B3319" i="1"/>
  <c r="A3320" i="1"/>
  <c r="B3320" i="1"/>
  <c r="A3321" i="1"/>
  <c r="B3321" i="1"/>
  <c r="A3322" i="1"/>
  <c r="B3322" i="1"/>
  <c r="A3323" i="1"/>
  <c r="B3323" i="1"/>
  <c r="A3324" i="1"/>
  <c r="B3324" i="1"/>
  <c r="A3325" i="1"/>
  <c r="B3325" i="1"/>
  <c r="A3326" i="1"/>
  <c r="B3326" i="1"/>
  <c r="A3327" i="1"/>
  <c r="B3327" i="1"/>
  <c r="A3328" i="1"/>
  <c r="B3328" i="1"/>
  <c r="A3329" i="1"/>
  <c r="B3329" i="1"/>
  <c r="A3330" i="1"/>
  <c r="B3330" i="1"/>
  <c r="A3331" i="1"/>
  <c r="B3331" i="1"/>
  <c r="A3332" i="1"/>
  <c r="B3332" i="1"/>
  <c r="A3333" i="1"/>
  <c r="B3333" i="1"/>
  <c r="A3334" i="1"/>
  <c r="B3334" i="1"/>
  <c r="A3335" i="1"/>
  <c r="B3335" i="1"/>
  <c r="A3336" i="1"/>
  <c r="B3336" i="1"/>
  <c r="A3337" i="1"/>
  <c r="B3337" i="1"/>
  <c r="A3338" i="1"/>
  <c r="B3338" i="1"/>
  <c r="A3339" i="1"/>
  <c r="B3339" i="1"/>
  <c r="A3340" i="1"/>
  <c r="B3340" i="1"/>
  <c r="A3341" i="1"/>
  <c r="B3341" i="1"/>
  <c r="A3342" i="1"/>
  <c r="B3342" i="1"/>
  <c r="A3343" i="1"/>
  <c r="B3343" i="1"/>
  <c r="A3344" i="1"/>
  <c r="B3344" i="1"/>
  <c r="A3345" i="1"/>
  <c r="B3345" i="1"/>
  <c r="A3346" i="1"/>
  <c r="B3346" i="1"/>
  <c r="A3347" i="1"/>
  <c r="B3347" i="1"/>
  <c r="A3348" i="1"/>
  <c r="B3348" i="1"/>
  <c r="A3349" i="1"/>
  <c r="B3349" i="1"/>
  <c r="A3350" i="1"/>
  <c r="B3350" i="1"/>
  <c r="A3351" i="1"/>
  <c r="B3351" i="1"/>
  <c r="A3352" i="1"/>
  <c r="B3352" i="1"/>
  <c r="A3353" i="1"/>
  <c r="B3353" i="1"/>
  <c r="A3354" i="1"/>
  <c r="B3354" i="1"/>
  <c r="A3355" i="1"/>
  <c r="B3355" i="1"/>
  <c r="A3356" i="1"/>
  <c r="B3356" i="1"/>
  <c r="A3357" i="1"/>
  <c r="B3357" i="1"/>
  <c r="A3358" i="1"/>
  <c r="B3358" i="1"/>
  <c r="A3359" i="1"/>
  <c r="B3359" i="1"/>
  <c r="A3360" i="1"/>
  <c r="B3360" i="1"/>
  <c r="A3361" i="1"/>
  <c r="B3361" i="1"/>
  <c r="A3362" i="1"/>
  <c r="B3362" i="1"/>
  <c r="A3363" i="1"/>
  <c r="B3363" i="1"/>
  <c r="A3364" i="1"/>
  <c r="B3364" i="1"/>
  <c r="A3365" i="1"/>
  <c r="B3365" i="1"/>
  <c r="A3366" i="1"/>
  <c r="B3366" i="1"/>
  <c r="A3367" i="1"/>
  <c r="B3367" i="1"/>
  <c r="A3368" i="1"/>
  <c r="B3368" i="1"/>
  <c r="A3369" i="1"/>
  <c r="B3369" i="1"/>
  <c r="A3370" i="1"/>
  <c r="B3370" i="1"/>
  <c r="A3371" i="1"/>
  <c r="B3371" i="1"/>
  <c r="A3372" i="1"/>
  <c r="B3372" i="1"/>
  <c r="A3373" i="1"/>
  <c r="B3373" i="1"/>
  <c r="A3374" i="1"/>
  <c r="B3374" i="1"/>
  <c r="A3375" i="1"/>
  <c r="B3375" i="1"/>
  <c r="A3376" i="1"/>
  <c r="B3376" i="1"/>
  <c r="A3377" i="1"/>
  <c r="B3377" i="1"/>
  <c r="A3378" i="1"/>
  <c r="B3378" i="1"/>
  <c r="A3379" i="1"/>
  <c r="B3379" i="1"/>
  <c r="A3380" i="1"/>
  <c r="B3380" i="1"/>
  <c r="A3381" i="1"/>
  <c r="B3381" i="1"/>
  <c r="A3382" i="1"/>
  <c r="B3382" i="1"/>
  <c r="A3383" i="1"/>
  <c r="B3383" i="1"/>
  <c r="A3384" i="1"/>
  <c r="B3384" i="1"/>
  <c r="A3385" i="1"/>
  <c r="B3385" i="1"/>
  <c r="A3386" i="1"/>
  <c r="B3386" i="1"/>
  <c r="A3387" i="1"/>
  <c r="B3387" i="1"/>
  <c r="A3388" i="1"/>
  <c r="B3388" i="1"/>
  <c r="A3389" i="1"/>
  <c r="B3389" i="1"/>
  <c r="A3390" i="1"/>
  <c r="B3390" i="1"/>
  <c r="A3391" i="1"/>
  <c r="B3391" i="1"/>
  <c r="A3392" i="1"/>
  <c r="B3392" i="1"/>
  <c r="A3393" i="1"/>
  <c r="B3393" i="1"/>
  <c r="A3394" i="1"/>
  <c r="B3394" i="1"/>
  <c r="A3395" i="1"/>
  <c r="B3395" i="1"/>
  <c r="A3396" i="1"/>
  <c r="B3396" i="1"/>
  <c r="A3397" i="1"/>
  <c r="B3397" i="1"/>
  <c r="A3398" i="1"/>
  <c r="B3398" i="1"/>
  <c r="A3399" i="1"/>
  <c r="B3399" i="1"/>
  <c r="A3400" i="1"/>
  <c r="B3400" i="1"/>
  <c r="A3401" i="1"/>
  <c r="B3401" i="1"/>
  <c r="A3402" i="1"/>
  <c r="B3402" i="1"/>
  <c r="A3403" i="1"/>
  <c r="B3403" i="1"/>
  <c r="A3404" i="1"/>
  <c r="B3404" i="1"/>
  <c r="A3405" i="1"/>
  <c r="B3405" i="1"/>
  <c r="A3406" i="1"/>
  <c r="B3406" i="1"/>
  <c r="A3407" i="1"/>
  <c r="B3407" i="1"/>
  <c r="A3408" i="1"/>
  <c r="B3408" i="1"/>
  <c r="A3409" i="1"/>
  <c r="B3409" i="1"/>
  <c r="A3410" i="1"/>
  <c r="B3410" i="1"/>
  <c r="A3411" i="1"/>
  <c r="B3411" i="1"/>
  <c r="A3412" i="1"/>
  <c r="B3412" i="1"/>
  <c r="A3413" i="1"/>
  <c r="B3413" i="1"/>
  <c r="A3414" i="1"/>
  <c r="B3414" i="1"/>
  <c r="A3415" i="1"/>
  <c r="B3415" i="1"/>
  <c r="A3416" i="1"/>
  <c r="B3416" i="1"/>
  <c r="A3417" i="1"/>
  <c r="B3417" i="1"/>
  <c r="A3418" i="1"/>
  <c r="B3418" i="1"/>
  <c r="A3419" i="1"/>
  <c r="B3419" i="1"/>
  <c r="A3420" i="1"/>
  <c r="B3420" i="1"/>
  <c r="A3421" i="1"/>
  <c r="B3421" i="1"/>
  <c r="A3422" i="1"/>
  <c r="B3422" i="1"/>
  <c r="A3423" i="1"/>
  <c r="B3423" i="1"/>
  <c r="A3424" i="1"/>
  <c r="B3424" i="1"/>
  <c r="A3425" i="1"/>
  <c r="B3425" i="1"/>
  <c r="A3426" i="1"/>
  <c r="B3426" i="1"/>
  <c r="A3427" i="1"/>
  <c r="B3427" i="1"/>
  <c r="A3428" i="1"/>
  <c r="B3428" i="1"/>
  <c r="A3429" i="1"/>
  <c r="B3429" i="1"/>
  <c r="A3430" i="1"/>
  <c r="B3430" i="1"/>
  <c r="A3431" i="1"/>
  <c r="B3431" i="1"/>
  <c r="A3432" i="1"/>
  <c r="B3432" i="1"/>
  <c r="A3433" i="1"/>
  <c r="B3433" i="1"/>
  <c r="A3434" i="1"/>
  <c r="B3434" i="1"/>
  <c r="A3435" i="1"/>
  <c r="B3435" i="1"/>
  <c r="A3436" i="1"/>
  <c r="B3436" i="1"/>
  <c r="A3437" i="1"/>
  <c r="B3437" i="1"/>
  <c r="A3438" i="1"/>
  <c r="B3438" i="1"/>
  <c r="A3439" i="1"/>
  <c r="B3439" i="1"/>
  <c r="A3440" i="1"/>
  <c r="B3440" i="1"/>
  <c r="A3441" i="1"/>
  <c r="B3441" i="1"/>
  <c r="A3442" i="1"/>
  <c r="B3442" i="1"/>
  <c r="A3443" i="1"/>
  <c r="B3443" i="1"/>
  <c r="A3444" i="1"/>
  <c r="B3444" i="1"/>
  <c r="A3445" i="1"/>
  <c r="B3445" i="1"/>
  <c r="A3446" i="1"/>
  <c r="B3446" i="1"/>
  <c r="A3447" i="1"/>
  <c r="B3447" i="1"/>
  <c r="A3448" i="1"/>
  <c r="B3448" i="1"/>
  <c r="A3449" i="1"/>
  <c r="B3449" i="1"/>
  <c r="A3450" i="1"/>
  <c r="B3450" i="1"/>
  <c r="A3451" i="1"/>
  <c r="B3451" i="1"/>
  <c r="A3452" i="1"/>
  <c r="B3452" i="1"/>
  <c r="A3453" i="1"/>
  <c r="B3453" i="1"/>
  <c r="A3454" i="1"/>
  <c r="B3454" i="1"/>
  <c r="A3455" i="1"/>
  <c r="B3455" i="1"/>
  <c r="A3456" i="1"/>
  <c r="B3456" i="1"/>
  <c r="A3457" i="1"/>
  <c r="B3457" i="1"/>
  <c r="A3458" i="1"/>
  <c r="B3458" i="1"/>
  <c r="A3459" i="1"/>
  <c r="B3459" i="1"/>
  <c r="A3460" i="1"/>
  <c r="B3460" i="1"/>
  <c r="A3461" i="1"/>
  <c r="B3461" i="1"/>
  <c r="A3462" i="1"/>
  <c r="B3462" i="1"/>
  <c r="A3463" i="1"/>
  <c r="B3463" i="1"/>
  <c r="A3464" i="1"/>
  <c r="B3464" i="1"/>
  <c r="A3465" i="1"/>
  <c r="B3465" i="1"/>
  <c r="A3466" i="1"/>
  <c r="B3466" i="1"/>
  <c r="A3467" i="1"/>
  <c r="B3467" i="1"/>
  <c r="A3468" i="1"/>
  <c r="B3468" i="1"/>
  <c r="A3469" i="1"/>
  <c r="B3469" i="1"/>
  <c r="A3470" i="1"/>
  <c r="B3470" i="1"/>
  <c r="A3471" i="1"/>
  <c r="B3471" i="1"/>
  <c r="A3472" i="1"/>
  <c r="B3472" i="1"/>
  <c r="A3473" i="1"/>
  <c r="B3473" i="1"/>
  <c r="A3474" i="1"/>
  <c r="B3474" i="1"/>
  <c r="A3475" i="1"/>
  <c r="B3475" i="1"/>
  <c r="A3476" i="1"/>
  <c r="B3476" i="1"/>
  <c r="A3477" i="1"/>
  <c r="B3477" i="1"/>
  <c r="A3478" i="1"/>
  <c r="B3478" i="1"/>
  <c r="A3479" i="1"/>
  <c r="B3479" i="1"/>
  <c r="A3480" i="1"/>
  <c r="B3480" i="1"/>
  <c r="A3481" i="1"/>
  <c r="B3481" i="1"/>
  <c r="A3482" i="1"/>
  <c r="B3482" i="1"/>
  <c r="A3483" i="1"/>
  <c r="B3483" i="1"/>
  <c r="A3484" i="1"/>
  <c r="B3484" i="1"/>
  <c r="A3485" i="1"/>
  <c r="B3485" i="1"/>
  <c r="A3486" i="1"/>
  <c r="B3486" i="1"/>
  <c r="A3487" i="1"/>
  <c r="B3487" i="1"/>
  <c r="A3488" i="1"/>
  <c r="B3488" i="1"/>
  <c r="A3489" i="1"/>
  <c r="B3489" i="1"/>
  <c r="A3490" i="1"/>
  <c r="B3490" i="1"/>
  <c r="A3491" i="1"/>
  <c r="B3491" i="1"/>
  <c r="A3492" i="1"/>
  <c r="B3492" i="1"/>
  <c r="A3493" i="1"/>
  <c r="B3493" i="1"/>
  <c r="A3494" i="1"/>
  <c r="B3494" i="1"/>
  <c r="A3495" i="1"/>
  <c r="B3495" i="1"/>
  <c r="A3496" i="1"/>
  <c r="B3496" i="1"/>
  <c r="A3497" i="1"/>
  <c r="B3497" i="1"/>
  <c r="A3498" i="1"/>
  <c r="B3498" i="1"/>
  <c r="A3499" i="1"/>
  <c r="B3499" i="1"/>
  <c r="A3500" i="1"/>
  <c r="B3500" i="1"/>
  <c r="A3501" i="1"/>
  <c r="B3501" i="1"/>
  <c r="A3502" i="1"/>
  <c r="B3502" i="1"/>
  <c r="A3503" i="1"/>
  <c r="B3503" i="1"/>
  <c r="A3504" i="1"/>
  <c r="B3504" i="1"/>
  <c r="A3505" i="1"/>
  <c r="B3505" i="1"/>
  <c r="A3506" i="1"/>
  <c r="B3506" i="1"/>
  <c r="A3507" i="1"/>
  <c r="B3507" i="1"/>
  <c r="A3508" i="1"/>
  <c r="B3508" i="1"/>
  <c r="A3509" i="1"/>
  <c r="B3509" i="1"/>
  <c r="A3510" i="1"/>
  <c r="B3510" i="1"/>
  <c r="A3511" i="1"/>
  <c r="B3511" i="1"/>
  <c r="A3512" i="1"/>
  <c r="B3512" i="1"/>
  <c r="A3513" i="1"/>
  <c r="B3513" i="1"/>
  <c r="A3514" i="1"/>
  <c r="B3514" i="1"/>
  <c r="A3515" i="1"/>
  <c r="B3515" i="1"/>
  <c r="A3516" i="1"/>
  <c r="B3516" i="1"/>
  <c r="A3517" i="1"/>
  <c r="B3517" i="1"/>
  <c r="A3518" i="1"/>
  <c r="B3518" i="1"/>
  <c r="A3519" i="1"/>
  <c r="B3519" i="1"/>
  <c r="A3520" i="1"/>
  <c r="B3520" i="1"/>
  <c r="A3521" i="1"/>
  <c r="B3521" i="1"/>
  <c r="A3522" i="1"/>
  <c r="B3522" i="1"/>
  <c r="A3523" i="1"/>
  <c r="B3523" i="1"/>
  <c r="A3524" i="1"/>
  <c r="B3524" i="1"/>
  <c r="A3525" i="1"/>
  <c r="B3525" i="1"/>
  <c r="A3526" i="1"/>
  <c r="B3526" i="1"/>
  <c r="A3527" i="1"/>
  <c r="B3527" i="1"/>
  <c r="A3528" i="1"/>
  <c r="B3528" i="1"/>
  <c r="A3529" i="1"/>
  <c r="B3529" i="1"/>
  <c r="A3530" i="1"/>
  <c r="B3530" i="1"/>
  <c r="A3531" i="1"/>
  <c r="B3531" i="1"/>
  <c r="A3532" i="1"/>
  <c r="B3532" i="1"/>
  <c r="A3533" i="1"/>
  <c r="B3533" i="1"/>
  <c r="A3534" i="1"/>
  <c r="B3534" i="1"/>
  <c r="A3535" i="1"/>
  <c r="B3535" i="1"/>
  <c r="A3536" i="1"/>
  <c r="B3536" i="1"/>
  <c r="A3537" i="1"/>
  <c r="B3537" i="1"/>
  <c r="A3538" i="1"/>
  <c r="B3538" i="1"/>
  <c r="A3539" i="1"/>
  <c r="B3539" i="1"/>
  <c r="A3540" i="1"/>
  <c r="B3540" i="1"/>
  <c r="A3541" i="1"/>
  <c r="B3541" i="1"/>
  <c r="A3542" i="1"/>
  <c r="B3542" i="1"/>
  <c r="A3543" i="1"/>
  <c r="B3543" i="1"/>
  <c r="A3544" i="1"/>
  <c r="B3544" i="1"/>
  <c r="A3545" i="1"/>
  <c r="B3545" i="1"/>
  <c r="A3546" i="1"/>
  <c r="B3546" i="1"/>
  <c r="A3547" i="1"/>
  <c r="B3547" i="1"/>
  <c r="A3548" i="1"/>
  <c r="B3548" i="1"/>
  <c r="A3549" i="1"/>
  <c r="B3549" i="1"/>
  <c r="A3550" i="1"/>
  <c r="B3550" i="1"/>
  <c r="A3551" i="1"/>
  <c r="B3551" i="1"/>
  <c r="A3552" i="1"/>
  <c r="B3552" i="1"/>
  <c r="A3553" i="1"/>
  <c r="B3553" i="1"/>
  <c r="A3554" i="1"/>
  <c r="B3554" i="1"/>
  <c r="A3555" i="1"/>
  <c r="B3555" i="1"/>
  <c r="A3556" i="1"/>
  <c r="B3556" i="1"/>
  <c r="A3557" i="1"/>
  <c r="B3557" i="1"/>
  <c r="A3558" i="1"/>
  <c r="B3558" i="1"/>
  <c r="A3559" i="1"/>
  <c r="B3559" i="1"/>
  <c r="A3560" i="1"/>
  <c r="B3560" i="1"/>
  <c r="A3561" i="1"/>
  <c r="B3561" i="1"/>
  <c r="A3562" i="1"/>
  <c r="B3562" i="1"/>
  <c r="A3563" i="1"/>
  <c r="B3563" i="1"/>
  <c r="A3564" i="1"/>
  <c r="B3564" i="1"/>
  <c r="A3565" i="1"/>
  <c r="B3565" i="1"/>
  <c r="A3566" i="1"/>
  <c r="B3566" i="1"/>
  <c r="A3567" i="1"/>
  <c r="B3567" i="1"/>
  <c r="A3568" i="1"/>
  <c r="B3568" i="1"/>
  <c r="A3569" i="1"/>
  <c r="B3569" i="1"/>
  <c r="A3570" i="1"/>
  <c r="B3570" i="1"/>
  <c r="A3571" i="1"/>
  <c r="B3571" i="1"/>
  <c r="A3572" i="1"/>
  <c r="B3572" i="1"/>
  <c r="A3573" i="1"/>
  <c r="B3573" i="1"/>
  <c r="A3574" i="1"/>
  <c r="B3574" i="1"/>
  <c r="A3575" i="1"/>
  <c r="B3575" i="1"/>
  <c r="A3576" i="1"/>
  <c r="B3576" i="1"/>
  <c r="A3577" i="1"/>
  <c r="B3577" i="1"/>
  <c r="A3578" i="1"/>
  <c r="B3578" i="1"/>
  <c r="A3579" i="1"/>
  <c r="B3579" i="1"/>
  <c r="A3580" i="1"/>
  <c r="B3580" i="1"/>
  <c r="A3581" i="1"/>
  <c r="B3581" i="1"/>
  <c r="A3582" i="1"/>
  <c r="B3582" i="1"/>
  <c r="A3583" i="1"/>
  <c r="B3583" i="1"/>
  <c r="A3584" i="1"/>
  <c r="B3584" i="1"/>
  <c r="A3585" i="1"/>
  <c r="B3585" i="1"/>
  <c r="A3586" i="1"/>
  <c r="B3586" i="1"/>
  <c r="A3587" i="1"/>
  <c r="B3587" i="1"/>
  <c r="A3588" i="1"/>
  <c r="B3588" i="1"/>
  <c r="A3589" i="1"/>
  <c r="B3589" i="1"/>
  <c r="A3590" i="1"/>
  <c r="B3590" i="1"/>
  <c r="A3591" i="1"/>
  <c r="B3591" i="1"/>
  <c r="A3592" i="1"/>
  <c r="B3592" i="1"/>
  <c r="A3593" i="1"/>
  <c r="B3593" i="1"/>
  <c r="A3594" i="1"/>
  <c r="B3594" i="1"/>
  <c r="A3595" i="1"/>
  <c r="B3595" i="1"/>
  <c r="A3596" i="1"/>
  <c r="B3596" i="1"/>
  <c r="A3597" i="1"/>
  <c r="B3597" i="1"/>
  <c r="A3598" i="1"/>
  <c r="B3598" i="1"/>
  <c r="A3599" i="1"/>
  <c r="B3599" i="1"/>
  <c r="A3600" i="1"/>
  <c r="B3600" i="1"/>
  <c r="A3601" i="1"/>
  <c r="B3601" i="1"/>
  <c r="A3602" i="1"/>
  <c r="B3602" i="1"/>
  <c r="A3603" i="1"/>
  <c r="B3603" i="1"/>
  <c r="A3604" i="1"/>
  <c r="B3604" i="1"/>
  <c r="A3605" i="1"/>
  <c r="B3605" i="1"/>
  <c r="A3606" i="1"/>
  <c r="B3606" i="1"/>
  <c r="A3607" i="1"/>
  <c r="B3607" i="1"/>
  <c r="A3608" i="1"/>
  <c r="B3608" i="1"/>
  <c r="A3609" i="1"/>
  <c r="B3609" i="1"/>
  <c r="A3610" i="1"/>
  <c r="B3610" i="1"/>
  <c r="A3611" i="1"/>
  <c r="B3611" i="1"/>
  <c r="A3612" i="1"/>
  <c r="B3612" i="1"/>
  <c r="A3613" i="1"/>
  <c r="B3613" i="1"/>
  <c r="A3614" i="1"/>
  <c r="B3614" i="1"/>
  <c r="A3615" i="1"/>
  <c r="B3615" i="1"/>
  <c r="A3616" i="1"/>
  <c r="B3616" i="1"/>
  <c r="A3617" i="1"/>
  <c r="B3617" i="1"/>
  <c r="A3618" i="1"/>
  <c r="B3618" i="1"/>
  <c r="A3619" i="1"/>
  <c r="B3619" i="1"/>
  <c r="A3620" i="1"/>
  <c r="B3620" i="1"/>
  <c r="A3621" i="1"/>
  <c r="B3621" i="1"/>
  <c r="A3622" i="1"/>
  <c r="B3622" i="1"/>
  <c r="A3623" i="1"/>
  <c r="B3623" i="1"/>
  <c r="A3624" i="1"/>
  <c r="B3624" i="1"/>
  <c r="A3625" i="1"/>
  <c r="B3625" i="1"/>
  <c r="A3626" i="1"/>
  <c r="B3626" i="1"/>
  <c r="A3627" i="1"/>
  <c r="B3627" i="1"/>
  <c r="A3628" i="1"/>
  <c r="B3628" i="1"/>
  <c r="A3629" i="1"/>
  <c r="B3629" i="1"/>
  <c r="A3630" i="1"/>
  <c r="B3630" i="1"/>
  <c r="A3631" i="1"/>
  <c r="B3631" i="1"/>
  <c r="A3632" i="1"/>
  <c r="B3632" i="1"/>
  <c r="A3633" i="1"/>
  <c r="B3633" i="1"/>
  <c r="A3634" i="1"/>
  <c r="B3634" i="1"/>
  <c r="A3635" i="1"/>
  <c r="B3635" i="1"/>
  <c r="A3636" i="1"/>
  <c r="B3636" i="1"/>
  <c r="A3637" i="1"/>
  <c r="B3637" i="1"/>
  <c r="A3638" i="1"/>
  <c r="B3638" i="1"/>
  <c r="A3639" i="1"/>
  <c r="B3639" i="1"/>
  <c r="A3640" i="1"/>
  <c r="B3640" i="1"/>
  <c r="A3641" i="1"/>
  <c r="B3641" i="1"/>
  <c r="A3642" i="1"/>
  <c r="B3642" i="1"/>
  <c r="A3643" i="1"/>
  <c r="B3643" i="1"/>
  <c r="A3644" i="1"/>
  <c r="B3644" i="1"/>
  <c r="A3645" i="1"/>
  <c r="B3645" i="1"/>
  <c r="A3646" i="1"/>
  <c r="B3646" i="1"/>
  <c r="A3647" i="1"/>
  <c r="B3647" i="1"/>
  <c r="A3648" i="1"/>
  <c r="B3648" i="1"/>
  <c r="A3649" i="1"/>
  <c r="B3649" i="1"/>
  <c r="A3650" i="1"/>
  <c r="B3650" i="1"/>
  <c r="A3651" i="1"/>
  <c r="B3651" i="1"/>
  <c r="A3652" i="1"/>
  <c r="B3652" i="1"/>
  <c r="A3653" i="1"/>
  <c r="B3653" i="1"/>
  <c r="A3654" i="1"/>
  <c r="B3654" i="1"/>
  <c r="A3655" i="1"/>
  <c r="B3655" i="1"/>
  <c r="A3656" i="1"/>
  <c r="B3656" i="1"/>
  <c r="A3657" i="1"/>
  <c r="B3657" i="1"/>
  <c r="A3658" i="1"/>
  <c r="B3658" i="1"/>
  <c r="A3659" i="1"/>
  <c r="B3659" i="1"/>
  <c r="A3660" i="1"/>
  <c r="B3660" i="1"/>
  <c r="A3661" i="1"/>
  <c r="B3661" i="1"/>
  <c r="A3662" i="1"/>
  <c r="B3662" i="1"/>
  <c r="A3663" i="1"/>
  <c r="B3663" i="1"/>
  <c r="A3664" i="1"/>
  <c r="B3664" i="1"/>
  <c r="A3665" i="1"/>
  <c r="B3665" i="1"/>
  <c r="A3666" i="1"/>
  <c r="B3666" i="1"/>
  <c r="A3667" i="1"/>
  <c r="B3667" i="1"/>
  <c r="A3668" i="1"/>
  <c r="B3668" i="1"/>
  <c r="A3669" i="1"/>
  <c r="B3669" i="1"/>
  <c r="A3670" i="1"/>
  <c r="B3670" i="1"/>
  <c r="A3671" i="1"/>
  <c r="B3671" i="1"/>
  <c r="A3672" i="1"/>
  <c r="B3672" i="1"/>
  <c r="A3673" i="1"/>
  <c r="B3673" i="1"/>
  <c r="A3674" i="1"/>
  <c r="B3674" i="1"/>
  <c r="A3675" i="1"/>
  <c r="B3675" i="1"/>
  <c r="A3676" i="1"/>
  <c r="B3676" i="1"/>
  <c r="A3677" i="1"/>
  <c r="B3677" i="1"/>
  <c r="A3678" i="1"/>
  <c r="B3678" i="1"/>
  <c r="A3679" i="1"/>
  <c r="B3679" i="1"/>
  <c r="A3680" i="1"/>
  <c r="B3680" i="1"/>
  <c r="A3681" i="1"/>
  <c r="B3681" i="1"/>
  <c r="A3682" i="1"/>
  <c r="B3682" i="1"/>
  <c r="A3683" i="1"/>
  <c r="B3683" i="1"/>
  <c r="A3684" i="1"/>
  <c r="B3684" i="1"/>
  <c r="A3685" i="1"/>
  <c r="B3685" i="1"/>
  <c r="A3686" i="1"/>
  <c r="B3686" i="1"/>
  <c r="A3687" i="1"/>
  <c r="B3687" i="1"/>
  <c r="A3688" i="1"/>
  <c r="B3688" i="1"/>
  <c r="A3689" i="1"/>
  <c r="B3689" i="1"/>
  <c r="A3690" i="1"/>
  <c r="B3690" i="1"/>
  <c r="A3691" i="1"/>
  <c r="B3691" i="1"/>
  <c r="A3692" i="1"/>
  <c r="B3692" i="1"/>
  <c r="A3693" i="1"/>
  <c r="B3693" i="1"/>
  <c r="A3694" i="1"/>
  <c r="B3694" i="1"/>
  <c r="A3695" i="1"/>
  <c r="B3695" i="1"/>
  <c r="A3696" i="1"/>
  <c r="B3696" i="1"/>
  <c r="A3697" i="1"/>
  <c r="B3697" i="1"/>
  <c r="A3698" i="1"/>
  <c r="B3698" i="1"/>
  <c r="A3699" i="1"/>
  <c r="B3699" i="1"/>
  <c r="A3700" i="1"/>
  <c r="B3700" i="1"/>
  <c r="A3701" i="1"/>
  <c r="B3701" i="1"/>
  <c r="A3702" i="1"/>
  <c r="B3702" i="1"/>
  <c r="A3703" i="1"/>
  <c r="B3703" i="1"/>
  <c r="A3704" i="1"/>
  <c r="B3704" i="1"/>
  <c r="A3705" i="1"/>
  <c r="B3705" i="1"/>
  <c r="A3706" i="1"/>
  <c r="B3706" i="1"/>
  <c r="A3707" i="1"/>
  <c r="B3707" i="1"/>
  <c r="A3708" i="1"/>
  <c r="B3708" i="1"/>
  <c r="A3709" i="1"/>
  <c r="B3709" i="1"/>
  <c r="A3710" i="1"/>
  <c r="B3710" i="1"/>
  <c r="A3711" i="1"/>
  <c r="B3711" i="1"/>
  <c r="A3712" i="1"/>
  <c r="B3712" i="1"/>
  <c r="A3713" i="1"/>
  <c r="B3713" i="1"/>
  <c r="A3714" i="1"/>
  <c r="B3714" i="1"/>
  <c r="A3715" i="1"/>
  <c r="B3715" i="1"/>
  <c r="A3716" i="1"/>
  <c r="B3716" i="1"/>
  <c r="A3717" i="1"/>
  <c r="B3717" i="1"/>
  <c r="A3718" i="1"/>
  <c r="B3718" i="1"/>
  <c r="A3719" i="1"/>
  <c r="B3719" i="1"/>
  <c r="A3720" i="1"/>
  <c r="B3720" i="1"/>
  <c r="A3721" i="1"/>
  <c r="B3721" i="1"/>
  <c r="A3722" i="1"/>
  <c r="B3722" i="1"/>
  <c r="A3723" i="1"/>
  <c r="B3723" i="1"/>
  <c r="A3724" i="1"/>
  <c r="B3724" i="1"/>
  <c r="A3725" i="1"/>
  <c r="B3725" i="1"/>
  <c r="A3726" i="1"/>
  <c r="B3726" i="1"/>
  <c r="A3727" i="1"/>
  <c r="B3727" i="1"/>
  <c r="A3728" i="1"/>
  <c r="B3728" i="1"/>
  <c r="A3729" i="1"/>
  <c r="B3729" i="1"/>
  <c r="A3730" i="1"/>
  <c r="B3730" i="1"/>
  <c r="A3731" i="1"/>
  <c r="B3731" i="1"/>
  <c r="A3732" i="1"/>
  <c r="B3732" i="1"/>
  <c r="A3733" i="1"/>
  <c r="B3733" i="1"/>
  <c r="A3734" i="1"/>
  <c r="B3734" i="1"/>
  <c r="A3735" i="1"/>
  <c r="B3735" i="1"/>
  <c r="A3736" i="1"/>
  <c r="B3736" i="1"/>
  <c r="A3737" i="1"/>
  <c r="B3737" i="1"/>
  <c r="A3738" i="1"/>
  <c r="B3738" i="1"/>
  <c r="A3739" i="1"/>
  <c r="B3739" i="1"/>
  <c r="A3740" i="1"/>
  <c r="B3740" i="1"/>
  <c r="A3741" i="1"/>
  <c r="B3741" i="1"/>
  <c r="A3742" i="1"/>
  <c r="B3742" i="1"/>
  <c r="A3743" i="1"/>
  <c r="B3743" i="1"/>
  <c r="A3744" i="1"/>
  <c r="B3744" i="1"/>
  <c r="A3745" i="1"/>
  <c r="B3745" i="1"/>
  <c r="A3746" i="1"/>
  <c r="B3746" i="1"/>
  <c r="A3747" i="1"/>
  <c r="B3747" i="1"/>
  <c r="A3748" i="1"/>
  <c r="B3748" i="1"/>
  <c r="A3749" i="1"/>
  <c r="B3749" i="1"/>
  <c r="A3750" i="1"/>
  <c r="B3750" i="1"/>
  <c r="A3751" i="1"/>
  <c r="B3751" i="1"/>
  <c r="A3752" i="1"/>
  <c r="B3752" i="1"/>
  <c r="A3753" i="1"/>
  <c r="B3753" i="1"/>
  <c r="A3754" i="1"/>
  <c r="B3754" i="1"/>
  <c r="A3755" i="1"/>
  <c r="B3755" i="1"/>
  <c r="A3756" i="1"/>
  <c r="B3756" i="1"/>
  <c r="A3757" i="1"/>
  <c r="B3757" i="1"/>
  <c r="A3758" i="1"/>
  <c r="B3758" i="1"/>
  <c r="A3759" i="1"/>
  <c r="B3759" i="1"/>
  <c r="A3760" i="1"/>
  <c r="B3760" i="1"/>
  <c r="A3761" i="1"/>
  <c r="B3761" i="1"/>
  <c r="A3762" i="1"/>
  <c r="B3762" i="1"/>
  <c r="A3763" i="1"/>
  <c r="B3763" i="1"/>
  <c r="A3764" i="1"/>
  <c r="B3764" i="1"/>
  <c r="A3765" i="1"/>
  <c r="B3765" i="1"/>
  <c r="A3766" i="1"/>
  <c r="B3766" i="1"/>
  <c r="A3767" i="1"/>
  <c r="B3767" i="1"/>
  <c r="A3768" i="1"/>
  <c r="B3768" i="1"/>
  <c r="A3769" i="1"/>
  <c r="B3769" i="1"/>
  <c r="A3770" i="1"/>
  <c r="B3770" i="1"/>
  <c r="A3771" i="1"/>
  <c r="B3771" i="1"/>
  <c r="A3772" i="1"/>
  <c r="B3772" i="1"/>
  <c r="A3773" i="1"/>
  <c r="B3773" i="1"/>
  <c r="A3774" i="1"/>
  <c r="B3774" i="1"/>
  <c r="A3775" i="1"/>
  <c r="B3775" i="1"/>
  <c r="A3776" i="1"/>
  <c r="B3776" i="1"/>
  <c r="A3777" i="1"/>
  <c r="B3777" i="1"/>
  <c r="A3778" i="1"/>
  <c r="B3778" i="1"/>
  <c r="A3779" i="1"/>
  <c r="B3779" i="1"/>
  <c r="A3780" i="1"/>
  <c r="B3780" i="1"/>
  <c r="A3781" i="1"/>
  <c r="B3781" i="1"/>
  <c r="A3782" i="1"/>
  <c r="B3782" i="1"/>
  <c r="A3783" i="1"/>
  <c r="B3783" i="1"/>
  <c r="A3784" i="1"/>
  <c r="B3784" i="1"/>
  <c r="A3785" i="1"/>
  <c r="B3785" i="1"/>
  <c r="A3786" i="1"/>
  <c r="B3786" i="1"/>
  <c r="A3787" i="1"/>
  <c r="B3787" i="1"/>
  <c r="A3788" i="1"/>
  <c r="B3788" i="1"/>
  <c r="A3789" i="1"/>
  <c r="B3789" i="1"/>
  <c r="A3790" i="1"/>
  <c r="B3790" i="1"/>
  <c r="A3791" i="1"/>
  <c r="B3791" i="1"/>
  <c r="A3792" i="1"/>
  <c r="B3792" i="1"/>
  <c r="A3793" i="1"/>
  <c r="B3793" i="1"/>
  <c r="A3794" i="1"/>
  <c r="B3794" i="1"/>
  <c r="A3795" i="1"/>
  <c r="B3795" i="1"/>
  <c r="A3796" i="1"/>
  <c r="B3796" i="1"/>
  <c r="A3797" i="1"/>
  <c r="B3797" i="1"/>
  <c r="A3798" i="1"/>
  <c r="B3798" i="1"/>
  <c r="A3799" i="1"/>
  <c r="B3799" i="1"/>
  <c r="A3800" i="1"/>
  <c r="B3800" i="1"/>
  <c r="A3801" i="1"/>
  <c r="B3801" i="1"/>
  <c r="A3802" i="1"/>
  <c r="B3802" i="1"/>
  <c r="A3803" i="1"/>
  <c r="B3803" i="1"/>
  <c r="A3804" i="1"/>
  <c r="B3804" i="1"/>
  <c r="A3805" i="1"/>
  <c r="B3805" i="1"/>
  <c r="A3806" i="1"/>
  <c r="B3806" i="1"/>
  <c r="A3807" i="1"/>
  <c r="B3807" i="1"/>
  <c r="A3808" i="1"/>
  <c r="B3808" i="1"/>
  <c r="A3809" i="1"/>
  <c r="B3809" i="1"/>
  <c r="A3810" i="1"/>
  <c r="B3810" i="1"/>
  <c r="A3811" i="1"/>
  <c r="B3811" i="1"/>
  <c r="A3812" i="1"/>
  <c r="B3812" i="1"/>
  <c r="A3813" i="1"/>
  <c r="B3813" i="1"/>
  <c r="A3814" i="1"/>
  <c r="B3814" i="1"/>
  <c r="A3815" i="1"/>
  <c r="B3815" i="1"/>
  <c r="A3816" i="1"/>
  <c r="B3816" i="1"/>
  <c r="A3817" i="1"/>
  <c r="B3817" i="1"/>
  <c r="A3818" i="1"/>
  <c r="B3818" i="1"/>
  <c r="A3819" i="1"/>
  <c r="B3819" i="1"/>
  <c r="A3820" i="1"/>
  <c r="B3820" i="1"/>
  <c r="A3821" i="1"/>
  <c r="B3821" i="1"/>
  <c r="A3822" i="1"/>
  <c r="B3822" i="1"/>
  <c r="A3823" i="1"/>
  <c r="B3823" i="1"/>
  <c r="A3824" i="1"/>
  <c r="B3824" i="1"/>
  <c r="A3825" i="1"/>
  <c r="B3825" i="1"/>
  <c r="A3826" i="1"/>
  <c r="B3826" i="1"/>
  <c r="A3827" i="1"/>
  <c r="B3827" i="1"/>
  <c r="A3828" i="1"/>
  <c r="B3828" i="1"/>
  <c r="A3829" i="1"/>
  <c r="B3829" i="1"/>
  <c r="A3830" i="1"/>
  <c r="B3830" i="1"/>
  <c r="A3831" i="1"/>
  <c r="B3831" i="1"/>
  <c r="A3832" i="1"/>
  <c r="B3832" i="1"/>
  <c r="A3833" i="1"/>
  <c r="B3833" i="1"/>
  <c r="A3834" i="1"/>
  <c r="B3834" i="1"/>
  <c r="A3835" i="1"/>
  <c r="B3835" i="1"/>
  <c r="A3836" i="1"/>
  <c r="B3836" i="1"/>
  <c r="A3837" i="1"/>
  <c r="B3837" i="1"/>
  <c r="A3838" i="1"/>
  <c r="B3838" i="1"/>
  <c r="A3839" i="1"/>
  <c r="B3839" i="1"/>
  <c r="A3840" i="1"/>
  <c r="B3840" i="1"/>
  <c r="A3841" i="1"/>
  <c r="B3841" i="1"/>
  <c r="A3842" i="1"/>
  <c r="B3842" i="1"/>
  <c r="A3843" i="1"/>
  <c r="B3843" i="1"/>
  <c r="A3844" i="1"/>
  <c r="B3844" i="1"/>
  <c r="A3845" i="1"/>
  <c r="B3845" i="1"/>
  <c r="A3846" i="1"/>
  <c r="B3846" i="1"/>
  <c r="A3847" i="1"/>
  <c r="B3847" i="1"/>
  <c r="A3848" i="1"/>
  <c r="B3848" i="1"/>
  <c r="A3849" i="1"/>
  <c r="B3849" i="1"/>
  <c r="A3850" i="1"/>
  <c r="B3850" i="1"/>
  <c r="A3851" i="1"/>
  <c r="B3851" i="1"/>
  <c r="A3852" i="1"/>
  <c r="B3852" i="1"/>
  <c r="A3853" i="1"/>
  <c r="B3853" i="1"/>
  <c r="A3854" i="1"/>
  <c r="B3854" i="1"/>
  <c r="A3855" i="1"/>
  <c r="B3855" i="1"/>
  <c r="A3856" i="1"/>
  <c r="B3856" i="1"/>
  <c r="A3857" i="1"/>
  <c r="B3857" i="1"/>
  <c r="A3858" i="1"/>
  <c r="B3858" i="1"/>
  <c r="A3859" i="1"/>
  <c r="B3859" i="1"/>
  <c r="A3860" i="1"/>
  <c r="B3860" i="1"/>
  <c r="A3861" i="1"/>
  <c r="B3861" i="1"/>
  <c r="A3862" i="1"/>
  <c r="B3862" i="1"/>
  <c r="A3863" i="1"/>
  <c r="B3863" i="1"/>
  <c r="A3864" i="1"/>
  <c r="B3864" i="1"/>
  <c r="A3865" i="1"/>
  <c r="B3865" i="1"/>
  <c r="A3866" i="1"/>
  <c r="B3866" i="1"/>
  <c r="A3867" i="1"/>
  <c r="B3867" i="1"/>
  <c r="A3868" i="1"/>
  <c r="B3868" i="1"/>
  <c r="A3869" i="1"/>
  <c r="B3869" i="1"/>
  <c r="A3870" i="1"/>
  <c r="B3870" i="1"/>
  <c r="A3871" i="1"/>
  <c r="B3871" i="1"/>
  <c r="A3872" i="1"/>
  <c r="B3872" i="1"/>
  <c r="A3873" i="1"/>
  <c r="B3873" i="1"/>
  <c r="A3874" i="1"/>
  <c r="B3874" i="1"/>
  <c r="A3875" i="1"/>
  <c r="B3875" i="1"/>
  <c r="A3876" i="1"/>
  <c r="B3876" i="1"/>
  <c r="A3877" i="1"/>
  <c r="B3877" i="1"/>
  <c r="A3878" i="1"/>
  <c r="B3878" i="1"/>
  <c r="A3879" i="1"/>
  <c r="B3879" i="1"/>
  <c r="A3880" i="1"/>
  <c r="B3880" i="1"/>
  <c r="A3881" i="1"/>
  <c r="B3881" i="1"/>
  <c r="A3882" i="1"/>
  <c r="B3882" i="1"/>
  <c r="A3883" i="1"/>
  <c r="B3883" i="1"/>
  <c r="A3884" i="1"/>
  <c r="B3884" i="1"/>
  <c r="A3885" i="1"/>
  <c r="B3885" i="1"/>
  <c r="A3886" i="1"/>
  <c r="B3886" i="1"/>
  <c r="A3887" i="1"/>
  <c r="B3887" i="1"/>
  <c r="A3888" i="1"/>
  <c r="B3888" i="1"/>
  <c r="A3889" i="1"/>
  <c r="B3889" i="1"/>
  <c r="A3890" i="1"/>
  <c r="B3890" i="1"/>
  <c r="A3891" i="1"/>
  <c r="B3891" i="1"/>
  <c r="A3892" i="1"/>
  <c r="B3892" i="1"/>
  <c r="A3893" i="1"/>
  <c r="B3893" i="1"/>
  <c r="A3894" i="1"/>
  <c r="B3894" i="1"/>
  <c r="A3895" i="1"/>
  <c r="B3895" i="1"/>
  <c r="A3896" i="1"/>
  <c r="B3896" i="1"/>
  <c r="A3897" i="1"/>
  <c r="B3897" i="1"/>
  <c r="A3898" i="1"/>
  <c r="B3898" i="1"/>
  <c r="A3899" i="1"/>
  <c r="B3899" i="1"/>
  <c r="A3900" i="1"/>
  <c r="B3900" i="1"/>
  <c r="A3901" i="1"/>
  <c r="B3901" i="1"/>
  <c r="A3902" i="1"/>
  <c r="B3902" i="1"/>
  <c r="A3903" i="1"/>
  <c r="B3903" i="1"/>
  <c r="A3904" i="1"/>
  <c r="B3904" i="1"/>
  <c r="A3905" i="1"/>
  <c r="B3905" i="1"/>
  <c r="A3906" i="1"/>
  <c r="B3906" i="1"/>
  <c r="A3907" i="1"/>
  <c r="B3907" i="1"/>
  <c r="A3908" i="1"/>
  <c r="B3908" i="1"/>
  <c r="A3909" i="1"/>
  <c r="B3909" i="1"/>
  <c r="A3910" i="1"/>
  <c r="B3910" i="1"/>
  <c r="A3911" i="1"/>
  <c r="B3911" i="1"/>
  <c r="A3912" i="1"/>
  <c r="B3912" i="1"/>
  <c r="A3913" i="1"/>
  <c r="B3913" i="1"/>
  <c r="A3914" i="1"/>
  <c r="B3914" i="1"/>
  <c r="A3915" i="1"/>
  <c r="B3915" i="1"/>
  <c r="A3916" i="1"/>
  <c r="B3916" i="1"/>
  <c r="A3917" i="1"/>
  <c r="B3917" i="1"/>
  <c r="A3918" i="1"/>
  <c r="B3918" i="1"/>
  <c r="A3919" i="1"/>
  <c r="B3919" i="1"/>
  <c r="A3920" i="1"/>
  <c r="B3920" i="1"/>
  <c r="A3921" i="1"/>
  <c r="B3921" i="1"/>
  <c r="A3922" i="1"/>
  <c r="B3922" i="1"/>
  <c r="A3923" i="1"/>
  <c r="B3923" i="1"/>
  <c r="A3924" i="1"/>
  <c r="B3924" i="1"/>
  <c r="A3925" i="1"/>
  <c r="B3925" i="1"/>
  <c r="A3926" i="1"/>
  <c r="B3926" i="1"/>
  <c r="A3927" i="1"/>
  <c r="B3927" i="1"/>
  <c r="A3928" i="1"/>
  <c r="B3928" i="1"/>
  <c r="A3929" i="1"/>
  <c r="B3929" i="1"/>
  <c r="A3930" i="1"/>
  <c r="B3930" i="1"/>
  <c r="A3931" i="1"/>
  <c r="B3931" i="1"/>
  <c r="A3932" i="1"/>
  <c r="B3932" i="1"/>
  <c r="A3933" i="1"/>
  <c r="B3933" i="1"/>
  <c r="A3934" i="1"/>
  <c r="B3934" i="1"/>
  <c r="A3935" i="1"/>
  <c r="B3935" i="1"/>
  <c r="A3936" i="1"/>
  <c r="B3936" i="1"/>
  <c r="A3937" i="1"/>
  <c r="B3937" i="1"/>
  <c r="A3938" i="1"/>
  <c r="B3938" i="1"/>
  <c r="A3939" i="1"/>
  <c r="B3939" i="1"/>
  <c r="A3940" i="1"/>
  <c r="B3940" i="1"/>
  <c r="A3941" i="1"/>
  <c r="B3941" i="1"/>
  <c r="A3942" i="1"/>
  <c r="B3942" i="1"/>
  <c r="A3943" i="1"/>
  <c r="B3943" i="1"/>
  <c r="A3944" i="1"/>
  <c r="B3944" i="1"/>
  <c r="A3945" i="1"/>
  <c r="B3945" i="1"/>
  <c r="A3946" i="1"/>
  <c r="B3946" i="1"/>
  <c r="A3947" i="1"/>
  <c r="B3947" i="1"/>
  <c r="A3948" i="1"/>
  <c r="B3948" i="1"/>
  <c r="A3949" i="1"/>
  <c r="B3949" i="1"/>
  <c r="A3950" i="1"/>
  <c r="B3950" i="1"/>
  <c r="A3951" i="1"/>
  <c r="B3951" i="1"/>
  <c r="A3952" i="1"/>
  <c r="B3952" i="1"/>
  <c r="A3953" i="1"/>
  <c r="B3953" i="1"/>
  <c r="A3954" i="1"/>
  <c r="B3954" i="1"/>
  <c r="A3955" i="1"/>
  <c r="B3955" i="1"/>
  <c r="A3956" i="1"/>
  <c r="B3956" i="1"/>
  <c r="A3957" i="1"/>
  <c r="B3957" i="1"/>
  <c r="A3958" i="1"/>
  <c r="B3958" i="1"/>
  <c r="A3959" i="1"/>
  <c r="B3959" i="1"/>
  <c r="A3960" i="1"/>
  <c r="B3960" i="1"/>
  <c r="A3961" i="1"/>
  <c r="B3961" i="1"/>
  <c r="A3962" i="1"/>
  <c r="B3962" i="1"/>
  <c r="A3963" i="1"/>
  <c r="B3963" i="1"/>
  <c r="A3964" i="1"/>
  <c r="B3964" i="1"/>
  <c r="A3965" i="1"/>
  <c r="B3965" i="1"/>
  <c r="A3966" i="1"/>
  <c r="B3966" i="1"/>
  <c r="A3967" i="1"/>
  <c r="B3967" i="1"/>
  <c r="A3968" i="1"/>
  <c r="B3968" i="1"/>
  <c r="A3969" i="1"/>
  <c r="B3969" i="1"/>
  <c r="A3970" i="1"/>
  <c r="B3970" i="1"/>
  <c r="A3971" i="1"/>
  <c r="B3971" i="1"/>
  <c r="A3972" i="1"/>
  <c r="B3972" i="1"/>
  <c r="A3973" i="1"/>
  <c r="B3973" i="1"/>
  <c r="A3974" i="1"/>
  <c r="B3974" i="1"/>
  <c r="A3975" i="1"/>
  <c r="B3975" i="1"/>
  <c r="A3976" i="1"/>
  <c r="B3976" i="1"/>
  <c r="A3977" i="1"/>
  <c r="B3977" i="1"/>
  <c r="A3978" i="1"/>
  <c r="B3978" i="1"/>
  <c r="A3979" i="1"/>
  <c r="B3979" i="1"/>
  <c r="A3980" i="1"/>
  <c r="B3980" i="1"/>
  <c r="A3981" i="1"/>
  <c r="B3981" i="1"/>
  <c r="A3982" i="1"/>
  <c r="B3982" i="1"/>
  <c r="A3983" i="1"/>
  <c r="B3983" i="1"/>
  <c r="A3984" i="1"/>
  <c r="B3984" i="1"/>
  <c r="A3985" i="1"/>
  <c r="B3985" i="1"/>
  <c r="A3986" i="1"/>
  <c r="B3986" i="1"/>
  <c r="A3987" i="1"/>
  <c r="B3987" i="1"/>
  <c r="A3988" i="1"/>
  <c r="B3988" i="1"/>
  <c r="A3989" i="1"/>
  <c r="B3989" i="1"/>
  <c r="A3990" i="1"/>
  <c r="B3990" i="1"/>
  <c r="A3991" i="1"/>
  <c r="B3991" i="1"/>
  <c r="A3992" i="1"/>
  <c r="B3992" i="1"/>
  <c r="A3993" i="1"/>
  <c r="B3993" i="1"/>
  <c r="A3994" i="1"/>
  <c r="B3994" i="1"/>
  <c r="A3995" i="1"/>
  <c r="B3995" i="1"/>
  <c r="A3996" i="1"/>
  <c r="B3996" i="1"/>
  <c r="A3997" i="1"/>
  <c r="B3997" i="1"/>
  <c r="A3998" i="1"/>
  <c r="B3998" i="1"/>
  <c r="A3999" i="1"/>
  <c r="B3999" i="1"/>
  <c r="A4000" i="1"/>
  <c r="B4000" i="1"/>
  <c r="A4001" i="1"/>
  <c r="B4001" i="1"/>
  <c r="A4002" i="1"/>
  <c r="B4002" i="1"/>
  <c r="A4003" i="1"/>
  <c r="B4003" i="1"/>
  <c r="A4004" i="1"/>
  <c r="B4004" i="1"/>
  <c r="A4005" i="1"/>
  <c r="B4005" i="1"/>
  <c r="A4006" i="1"/>
  <c r="B4006" i="1"/>
  <c r="A4007" i="1"/>
  <c r="B4007" i="1"/>
  <c r="A4008" i="1"/>
  <c r="B4008" i="1"/>
  <c r="A4009" i="1"/>
  <c r="B4009" i="1"/>
  <c r="A4010" i="1"/>
  <c r="B4010" i="1"/>
  <c r="A4011" i="1"/>
  <c r="B4011" i="1"/>
  <c r="A4012" i="1"/>
  <c r="B4012" i="1"/>
  <c r="A4013" i="1"/>
  <c r="B4013" i="1"/>
  <c r="A4014" i="1"/>
  <c r="B4014" i="1"/>
  <c r="A4015" i="1"/>
  <c r="B4015" i="1"/>
  <c r="A4016" i="1"/>
  <c r="B4016" i="1"/>
  <c r="A4017" i="1"/>
  <c r="B4017" i="1"/>
  <c r="A4018" i="1"/>
  <c r="B4018" i="1"/>
  <c r="A4019" i="1"/>
  <c r="B4019" i="1"/>
  <c r="A4020" i="1"/>
  <c r="B4020" i="1"/>
  <c r="A4021" i="1"/>
  <c r="B4021" i="1"/>
  <c r="A4022" i="1"/>
  <c r="B4022" i="1"/>
  <c r="A4023" i="1"/>
  <c r="B4023" i="1"/>
  <c r="A4024" i="1"/>
  <c r="B4024" i="1"/>
  <c r="A4025" i="1"/>
  <c r="B4025" i="1"/>
  <c r="A4026" i="1"/>
  <c r="B4026" i="1"/>
  <c r="A4027" i="1"/>
  <c r="B4027" i="1"/>
  <c r="A4028" i="1"/>
  <c r="B4028" i="1"/>
  <c r="A4029" i="1"/>
  <c r="B4029" i="1"/>
  <c r="A4030" i="1"/>
  <c r="B4030" i="1"/>
  <c r="A4031" i="1"/>
  <c r="B4031" i="1"/>
  <c r="A4032" i="1"/>
  <c r="B4032" i="1"/>
  <c r="A4033" i="1"/>
  <c r="B4033" i="1"/>
  <c r="A4034" i="1"/>
  <c r="B4034" i="1"/>
  <c r="A4035" i="1"/>
  <c r="B4035" i="1"/>
  <c r="A4036" i="1"/>
  <c r="B4036" i="1"/>
  <c r="A4037" i="1"/>
  <c r="B4037" i="1"/>
  <c r="A4038" i="1"/>
  <c r="B4038" i="1"/>
  <c r="A4039" i="1"/>
  <c r="B4039" i="1"/>
  <c r="A4040" i="1"/>
  <c r="B4040" i="1"/>
  <c r="A4041" i="1"/>
  <c r="B4041" i="1"/>
  <c r="A4042" i="1"/>
  <c r="B4042" i="1"/>
  <c r="A4043" i="1"/>
  <c r="B4043" i="1"/>
  <c r="A4044" i="1"/>
  <c r="B4044" i="1"/>
  <c r="A4045" i="1"/>
  <c r="B4045" i="1"/>
  <c r="A4046" i="1"/>
  <c r="B4046" i="1"/>
  <c r="A4047" i="1"/>
  <c r="B4047" i="1"/>
  <c r="A4048" i="1"/>
  <c r="B4048" i="1"/>
  <c r="A4049" i="1"/>
  <c r="B4049" i="1"/>
  <c r="A4050" i="1"/>
  <c r="B4050" i="1"/>
  <c r="A4051" i="1"/>
  <c r="B4051" i="1"/>
  <c r="A4052" i="1"/>
  <c r="B4052" i="1"/>
  <c r="A4053" i="1"/>
  <c r="B4053" i="1"/>
  <c r="A4054" i="1"/>
  <c r="B4054" i="1"/>
  <c r="A4055" i="1"/>
  <c r="B4055" i="1"/>
  <c r="A4056" i="1"/>
  <c r="B4056" i="1"/>
  <c r="A4057" i="1"/>
  <c r="B4057" i="1"/>
  <c r="A4058" i="1"/>
  <c r="B4058" i="1"/>
  <c r="A4059" i="1"/>
  <c r="B4059" i="1"/>
  <c r="A4060" i="1"/>
  <c r="B4060" i="1"/>
  <c r="A4061" i="1"/>
  <c r="B4061" i="1"/>
  <c r="A4062" i="1"/>
  <c r="B4062" i="1"/>
  <c r="A4063" i="1"/>
  <c r="B4063" i="1"/>
  <c r="A4064" i="1"/>
  <c r="B4064" i="1"/>
  <c r="A4065" i="1"/>
  <c r="B4065" i="1"/>
  <c r="A4066" i="1"/>
  <c r="B4066" i="1"/>
  <c r="A4067" i="1"/>
  <c r="B4067" i="1"/>
  <c r="A4068" i="1"/>
  <c r="B4068" i="1"/>
  <c r="A4069" i="1"/>
  <c r="B4069" i="1"/>
  <c r="A4070" i="1"/>
  <c r="B4070" i="1"/>
  <c r="A4071" i="1"/>
  <c r="B4071" i="1"/>
  <c r="A4072" i="1"/>
  <c r="B4072" i="1"/>
  <c r="A4073" i="1"/>
  <c r="B4073" i="1"/>
  <c r="A4074" i="1"/>
  <c r="B4074" i="1"/>
  <c r="A4075" i="1"/>
  <c r="B4075" i="1"/>
  <c r="A4076" i="1"/>
  <c r="B4076" i="1"/>
  <c r="A4077" i="1"/>
  <c r="B4077" i="1"/>
  <c r="A4078" i="1"/>
  <c r="B4078" i="1"/>
  <c r="A4079" i="1"/>
  <c r="B4079" i="1"/>
  <c r="A4080" i="1"/>
  <c r="B4080" i="1"/>
  <c r="A4081" i="1"/>
  <c r="B4081" i="1"/>
  <c r="A4082" i="1"/>
  <c r="B4082" i="1"/>
  <c r="A4083" i="1"/>
  <c r="B4083" i="1"/>
  <c r="A4084" i="1"/>
  <c r="B4084" i="1"/>
  <c r="A4085" i="1"/>
  <c r="B4085" i="1"/>
  <c r="A4086" i="1"/>
  <c r="B4086" i="1"/>
  <c r="A4087" i="1"/>
  <c r="B4087" i="1"/>
  <c r="A4088" i="1"/>
  <c r="B4088" i="1"/>
  <c r="A4089" i="1"/>
  <c r="B4089" i="1"/>
  <c r="A4090" i="1"/>
  <c r="B4090" i="1"/>
  <c r="A4091" i="1"/>
  <c r="B4091" i="1"/>
  <c r="A4092" i="1"/>
  <c r="B4092" i="1"/>
  <c r="A4093" i="1"/>
  <c r="B4093" i="1"/>
  <c r="A4094" i="1"/>
  <c r="B4094" i="1"/>
  <c r="A4095" i="1"/>
  <c r="B4095" i="1"/>
  <c r="A4096" i="1"/>
  <c r="B4096" i="1"/>
  <c r="A4097" i="1"/>
  <c r="B4097" i="1"/>
  <c r="A4098" i="1"/>
  <c r="B4098" i="1"/>
  <c r="A4099" i="1"/>
  <c r="B4099" i="1"/>
  <c r="A4100" i="1"/>
  <c r="B4100" i="1"/>
  <c r="A4101" i="1"/>
  <c r="B4101" i="1"/>
  <c r="A4102" i="1"/>
  <c r="B4102" i="1"/>
  <c r="A4103" i="1"/>
  <c r="B4103" i="1"/>
  <c r="A4104" i="1"/>
  <c r="B4104" i="1"/>
  <c r="A4105" i="1"/>
  <c r="B4105" i="1"/>
  <c r="A4106" i="1"/>
  <c r="B4106" i="1"/>
  <c r="A4107" i="1"/>
  <c r="B4107" i="1"/>
  <c r="A4108" i="1"/>
  <c r="B4108" i="1"/>
  <c r="A4109" i="1"/>
  <c r="B4109" i="1"/>
  <c r="A4110" i="1"/>
  <c r="B4110" i="1"/>
  <c r="A4111" i="1"/>
  <c r="B4111" i="1"/>
  <c r="A4112" i="1"/>
  <c r="B4112" i="1"/>
  <c r="A4113" i="1"/>
  <c r="B4113" i="1"/>
  <c r="A4114" i="1"/>
  <c r="B4114" i="1"/>
  <c r="A4115" i="1"/>
  <c r="B4115" i="1"/>
  <c r="A4116" i="1"/>
  <c r="B4116" i="1"/>
  <c r="A4117" i="1"/>
  <c r="B4117" i="1"/>
  <c r="A4118" i="1"/>
  <c r="B4118" i="1"/>
  <c r="A4119" i="1"/>
  <c r="B4119" i="1"/>
  <c r="A4120" i="1"/>
  <c r="B4120" i="1"/>
  <c r="A4121" i="1"/>
  <c r="B4121" i="1"/>
  <c r="A4122" i="1"/>
  <c r="B4122" i="1"/>
  <c r="A4123" i="1"/>
  <c r="B4123" i="1"/>
  <c r="A4124" i="1"/>
  <c r="B4124" i="1"/>
  <c r="A4125" i="1"/>
  <c r="B4125" i="1"/>
  <c r="A4126" i="1"/>
  <c r="B4126" i="1"/>
  <c r="A4127" i="1"/>
  <c r="B4127" i="1"/>
  <c r="A4128" i="1"/>
  <c r="B4128" i="1"/>
  <c r="A4129" i="1"/>
  <c r="B4129" i="1"/>
  <c r="A4130" i="1"/>
  <c r="B4130" i="1"/>
  <c r="A4131" i="1"/>
  <c r="B4131" i="1"/>
  <c r="A4132" i="1"/>
  <c r="B4132" i="1"/>
  <c r="A4133" i="1"/>
  <c r="B4133" i="1"/>
  <c r="A4134" i="1"/>
  <c r="B4134" i="1"/>
  <c r="A4135" i="1"/>
  <c r="B4135" i="1"/>
  <c r="A4136" i="1"/>
  <c r="B4136" i="1"/>
  <c r="A4137" i="1"/>
  <c r="B4137" i="1"/>
  <c r="A4138" i="1"/>
  <c r="B4138" i="1"/>
  <c r="A4139" i="1"/>
  <c r="B4139" i="1"/>
  <c r="A4140" i="1"/>
  <c r="B4140" i="1"/>
  <c r="A4141" i="1"/>
  <c r="B4141" i="1"/>
  <c r="A4142" i="1"/>
  <c r="B4142" i="1"/>
  <c r="A4143" i="1"/>
  <c r="B4143" i="1"/>
  <c r="A4144" i="1"/>
  <c r="B4144" i="1"/>
  <c r="A4145" i="1"/>
  <c r="B4145" i="1"/>
  <c r="A4146" i="1"/>
  <c r="B4146" i="1"/>
  <c r="A4147" i="1"/>
  <c r="B4147" i="1"/>
  <c r="A4148" i="1"/>
  <c r="B4148" i="1"/>
  <c r="A4149" i="1"/>
  <c r="B4149" i="1"/>
  <c r="A4150" i="1"/>
  <c r="B4150" i="1"/>
  <c r="A4151" i="1"/>
  <c r="B4151" i="1"/>
  <c r="A4152" i="1"/>
  <c r="B4152" i="1"/>
  <c r="A4153" i="1"/>
  <c r="B4153" i="1"/>
  <c r="A4154" i="1"/>
  <c r="B4154" i="1"/>
  <c r="A4155" i="1"/>
  <c r="B4155" i="1"/>
  <c r="A4156" i="1"/>
  <c r="B4156" i="1"/>
  <c r="A4157" i="1"/>
  <c r="B4157" i="1"/>
  <c r="A4158" i="1"/>
  <c r="B4158" i="1"/>
  <c r="A4159" i="1"/>
  <c r="B4159" i="1"/>
  <c r="A4160" i="1"/>
  <c r="B4160" i="1"/>
  <c r="A4161" i="1"/>
  <c r="B4161" i="1"/>
  <c r="A4162" i="1"/>
  <c r="B4162" i="1"/>
  <c r="A4163" i="1"/>
  <c r="B4163" i="1"/>
  <c r="A4164" i="1"/>
  <c r="B4164" i="1"/>
  <c r="A4165" i="1"/>
  <c r="B4165" i="1"/>
  <c r="A4166" i="1"/>
  <c r="B4166" i="1"/>
  <c r="A4167" i="1"/>
  <c r="B4167" i="1"/>
  <c r="A4168" i="1"/>
  <c r="B4168" i="1"/>
  <c r="A4169" i="1"/>
  <c r="B4169" i="1"/>
  <c r="A4170" i="1"/>
  <c r="B4170" i="1"/>
  <c r="A4171" i="1"/>
  <c r="B4171" i="1"/>
  <c r="A4172" i="1"/>
  <c r="B4172" i="1"/>
  <c r="A4173" i="1"/>
  <c r="B4173" i="1"/>
  <c r="A4174" i="1"/>
  <c r="B4174" i="1"/>
  <c r="A4175" i="1"/>
  <c r="B4175" i="1"/>
  <c r="A4176" i="1"/>
  <c r="B4176" i="1"/>
  <c r="A4177" i="1"/>
  <c r="B4177" i="1"/>
  <c r="A4178" i="1"/>
  <c r="B4178" i="1"/>
  <c r="A4179" i="1"/>
  <c r="B4179" i="1"/>
  <c r="A4180" i="1"/>
  <c r="B4180" i="1"/>
  <c r="A4181" i="1"/>
  <c r="B4181" i="1"/>
  <c r="A4182" i="1"/>
  <c r="B4182" i="1"/>
  <c r="A4183" i="1"/>
  <c r="B4183" i="1"/>
  <c r="A4184" i="1"/>
  <c r="B4184" i="1"/>
  <c r="A4185" i="1"/>
  <c r="B4185" i="1"/>
  <c r="A4186" i="1"/>
  <c r="B4186" i="1"/>
  <c r="A4187" i="1"/>
  <c r="B4187" i="1"/>
  <c r="A4188" i="1"/>
  <c r="B4188" i="1"/>
  <c r="A4189" i="1"/>
  <c r="B4189" i="1"/>
  <c r="A4190" i="1"/>
  <c r="B4190" i="1"/>
  <c r="A4191" i="1"/>
  <c r="B4191" i="1"/>
  <c r="A4192" i="1"/>
  <c r="B4192" i="1"/>
  <c r="A4193" i="1"/>
  <c r="B4193" i="1"/>
  <c r="A4194" i="1"/>
  <c r="B4194" i="1"/>
  <c r="A4195" i="1"/>
  <c r="B4195" i="1"/>
  <c r="A4196" i="1"/>
  <c r="B4196" i="1"/>
  <c r="A4197" i="1"/>
  <c r="B4197" i="1"/>
  <c r="A4198" i="1"/>
  <c r="B4198" i="1"/>
  <c r="A4199" i="1"/>
  <c r="B4199" i="1"/>
  <c r="A4200" i="1"/>
  <c r="B4200" i="1"/>
  <c r="A4201" i="1"/>
  <c r="B4201" i="1"/>
  <c r="A4202" i="1"/>
  <c r="B4202" i="1"/>
  <c r="A4203" i="1"/>
  <c r="B4203" i="1"/>
  <c r="A4204" i="1"/>
  <c r="B4204" i="1"/>
  <c r="A4205" i="1"/>
  <c r="B4205" i="1"/>
  <c r="A4206" i="1"/>
  <c r="B4206" i="1"/>
  <c r="A4207" i="1"/>
  <c r="B4207" i="1"/>
  <c r="A4208" i="1"/>
  <c r="B4208" i="1"/>
  <c r="A4209" i="1"/>
  <c r="B4209" i="1"/>
  <c r="A4210" i="1"/>
  <c r="B4210" i="1"/>
  <c r="A4211" i="1"/>
  <c r="B4211" i="1"/>
  <c r="A4212" i="1"/>
  <c r="B4212" i="1"/>
  <c r="A4213" i="1"/>
  <c r="B4213" i="1"/>
  <c r="A4214" i="1"/>
  <c r="B4214" i="1"/>
  <c r="A4215" i="1"/>
  <c r="B4215" i="1"/>
  <c r="A4216" i="1"/>
  <c r="B4216" i="1"/>
  <c r="A4217" i="1"/>
  <c r="B4217" i="1"/>
  <c r="A4218" i="1"/>
  <c r="B4218" i="1"/>
  <c r="A4219" i="1"/>
  <c r="B4219" i="1"/>
  <c r="A4220" i="1"/>
  <c r="B4220" i="1"/>
  <c r="A4221" i="1"/>
  <c r="B4221" i="1"/>
  <c r="A4222" i="1"/>
  <c r="B4222" i="1"/>
  <c r="A4223" i="1"/>
  <c r="B4223" i="1"/>
  <c r="A4224" i="1"/>
  <c r="B4224" i="1"/>
  <c r="A4225" i="1"/>
  <c r="B4225" i="1"/>
  <c r="A4226" i="1"/>
  <c r="B4226" i="1"/>
  <c r="A4227" i="1"/>
  <c r="B4227" i="1"/>
  <c r="A4228" i="1"/>
  <c r="B4228" i="1"/>
  <c r="A4229" i="1"/>
  <c r="B4229" i="1"/>
  <c r="A4230" i="1"/>
  <c r="B4230" i="1"/>
  <c r="A4231" i="1"/>
  <c r="B4231" i="1"/>
  <c r="A4232" i="1"/>
  <c r="B4232" i="1"/>
  <c r="A4233" i="1"/>
  <c r="B4233" i="1"/>
  <c r="A4234" i="1"/>
  <c r="B4234" i="1"/>
  <c r="A4235" i="1"/>
  <c r="B4235" i="1"/>
  <c r="A4236" i="1"/>
  <c r="B4236" i="1"/>
  <c r="A4237" i="1"/>
  <c r="B4237" i="1"/>
  <c r="A4238" i="1"/>
  <c r="B4238" i="1"/>
  <c r="A4239" i="1"/>
  <c r="B4239" i="1"/>
  <c r="A4240" i="1"/>
  <c r="B4240" i="1"/>
  <c r="A4241" i="1"/>
  <c r="B4241" i="1"/>
  <c r="A4242" i="1"/>
  <c r="B4242" i="1"/>
  <c r="A4243" i="1"/>
  <c r="B4243" i="1"/>
  <c r="A4244" i="1"/>
  <c r="B4244" i="1"/>
  <c r="A4245" i="1"/>
  <c r="B4245" i="1"/>
  <c r="A4246" i="1"/>
  <c r="B4246" i="1"/>
  <c r="A4247" i="1"/>
  <c r="B4247" i="1"/>
  <c r="A4248" i="1"/>
  <c r="B4248" i="1"/>
  <c r="A4249" i="1"/>
  <c r="B4249" i="1"/>
  <c r="A4250" i="1"/>
  <c r="B4250" i="1"/>
  <c r="A4251" i="1"/>
  <c r="B4251" i="1"/>
  <c r="A4252" i="1"/>
  <c r="B4252" i="1"/>
  <c r="A4253" i="1"/>
  <c r="B4253" i="1"/>
  <c r="A4254" i="1"/>
  <c r="B4254" i="1"/>
  <c r="A4255" i="1"/>
  <c r="B4255" i="1"/>
  <c r="A4256" i="1"/>
  <c r="B4256" i="1"/>
  <c r="A4257" i="1"/>
  <c r="B4257" i="1"/>
  <c r="A4258" i="1"/>
  <c r="B4258" i="1"/>
  <c r="A4259" i="1"/>
  <c r="B4259" i="1"/>
  <c r="A4260" i="1"/>
  <c r="B4260" i="1"/>
  <c r="A4261" i="1"/>
  <c r="B4261" i="1"/>
  <c r="A4262" i="1"/>
  <c r="B4262" i="1"/>
  <c r="A4263" i="1"/>
  <c r="B4263" i="1"/>
  <c r="A4264" i="1"/>
  <c r="B4264" i="1"/>
  <c r="A4265" i="1"/>
  <c r="B4265" i="1"/>
  <c r="A4266" i="1"/>
  <c r="B4266" i="1"/>
  <c r="A4267" i="1"/>
  <c r="B4267" i="1"/>
  <c r="A4268" i="1"/>
  <c r="B4268" i="1"/>
  <c r="A4269" i="1"/>
  <c r="B4269" i="1"/>
  <c r="A4270" i="1"/>
  <c r="B4270" i="1"/>
  <c r="A4271" i="1"/>
  <c r="B4271" i="1"/>
  <c r="A4272" i="1"/>
  <c r="B4272" i="1"/>
  <c r="A4273" i="1"/>
  <c r="B4273" i="1"/>
  <c r="A4274" i="1"/>
  <c r="B4274" i="1"/>
  <c r="A4275" i="1"/>
  <c r="B4275" i="1"/>
  <c r="A4276" i="1"/>
  <c r="B4276" i="1"/>
  <c r="A4277" i="1"/>
  <c r="B4277" i="1"/>
  <c r="A4278" i="1"/>
  <c r="B4278" i="1"/>
  <c r="A4279" i="1"/>
  <c r="B4279" i="1"/>
  <c r="A4280" i="1"/>
  <c r="B4280" i="1"/>
  <c r="A4281" i="1"/>
  <c r="B4281" i="1"/>
  <c r="A4282" i="1"/>
  <c r="B4282" i="1"/>
  <c r="A4283" i="1"/>
  <c r="B4283" i="1"/>
  <c r="A4284" i="1"/>
  <c r="B4284" i="1"/>
  <c r="A4285" i="1"/>
  <c r="B4285" i="1"/>
  <c r="A4286" i="1"/>
  <c r="B4286" i="1"/>
  <c r="A4287" i="1"/>
  <c r="B4287" i="1"/>
  <c r="A4288" i="1"/>
  <c r="B4288" i="1"/>
  <c r="A4289" i="1"/>
  <c r="B4289" i="1"/>
  <c r="A4290" i="1"/>
  <c r="B4290" i="1"/>
  <c r="A4291" i="1"/>
  <c r="B4291" i="1"/>
  <c r="A4292" i="1"/>
  <c r="B4292" i="1"/>
  <c r="A4293" i="1"/>
  <c r="B4293" i="1"/>
  <c r="A4294" i="1"/>
  <c r="B4294" i="1"/>
  <c r="A4295" i="1"/>
  <c r="B4295" i="1"/>
  <c r="A4296" i="1"/>
  <c r="B4296" i="1"/>
  <c r="A4297" i="1"/>
  <c r="B4297" i="1"/>
  <c r="A4298" i="1"/>
  <c r="B4298" i="1"/>
  <c r="A4299" i="1"/>
  <c r="B4299" i="1"/>
  <c r="A4300" i="1"/>
  <c r="B4300" i="1"/>
  <c r="A4301" i="1"/>
  <c r="B4301" i="1"/>
  <c r="A4302" i="1"/>
  <c r="B4302" i="1"/>
  <c r="A4303" i="1"/>
  <c r="B4303" i="1"/>
  <c r="A4304" i="1"/>
  <c r="B4304" i="1"/>
  <c r="A4305" i="1"/>
  <c r="B4305" i="1"/>
  <c r="A4306" i="1"/>
  <c r="B4306" i="1"/>
  <c r="A4307" i="1"/>
  <c r="B4307" i="1"/>
  <c r="A4308" i="1"/>
  <c r="B4308" i="1"/>
  <c r="A4309" i="1"/>
  <c r="B4309" i="1"/>
  <c r="A4310" i="1"/>
  <c r="B4310" i="1"/>
  <c r="A4311" i="1"/>
  <c r="B4311" i="1"/>
  <c r="A4312" i="1"/>
  <c r="B4312" i="1"/>
  <c r="A4313" i="1"/>
  <c r="B4313" i="1"/>
  <c r="A4314" i="1"/>
  <c r="B4314" i="1"/>
  <c r="A4315" i="1"/>
  <c r="B4315" i="1"/>
  <c r="A4316" i="1"/>
  <c r="B4316" i="1"/>
  <c r="A4317" i="1"/>
  <c r="B4317" i="1"/>
  <c r="A4318" i="1"/>
  <c r="B4318" i="1"/>
  <c r="A4319" i="1"/>
  <c r="B4319" i="1"/>
  <c r="A4320" i="1"/>
  <c r="B4320" i="1"/>
  <c r="A4321" i="1"/>
  <c r="B4321" i="1"/>
  <c r="A4322" i="1"/>
  <c r="B4322" i="1"/>
  <c r="A4323" i="1"/>
  <c r="B4323" i="1"/>
  <c r="A4324" i="1"/>
  <c r="B4324" i="1"/>
  <c r="A4325" i="1"/>
  <c r="B4325" i="1"/>
  <c r="A4326" i="1"/>
  <c r="B4326" i="1"/>
  <c r="A4327" i="1"/>
  <c r="B4327" i="1"/>
  <c r="A4328" i="1"/>
  <c r="B4328" i="1"/>
  <c r="A4329" i="1"/>
  <c r="B4329" i="1"/>
  <c r="A4330" i="1"/>
  <c r="B4330" i="1"/>
  <c r="A4331" i="1"/>
  <c r="B4331" i="1"/>
  <c r="A4332" i="1"/>
  <c r="B4332" i="1"/>
  <c r="A4333" i="1"/>
  <c r="B4333" i="1"/>
  <c r="A4334" i="1"/>
  <c r="B4334" i="1"/>
  <c r="A4335" i="1"/>
  <c r="B4335" i="1"/>
  <c r="A4336" i="1"/>
  <c r="B4336" i="1"/>
  <c r="A4337" i="1"/>
  <c r="B4337" i="1"/>
  <c r="A4338" i="1"/>
  <c r="B4338" i="1"/>
  <c r="A4339" i="1"/>
  <c r="B4339" i="1"/>
  <c r="A4340" i="1"/>
  <c r="B4340" i="1"/>
  <c r="A4341" i="1"/>
  <c r="B4341" i="1"/>
  <c r="A4342" i="1"/>
  <c r="B4342" i="1"/>
  <c r="A4343" i="1"/>
  <c r="B4343" i="1"/>
  <c r="A4344" i="1"/>
  <c r="B4344" i="1"/>
  <c r="A4345" i="1"/>
  <c r="B4345" i="1"/>
  <c r="A4346" i="1"/>
  <c r="B4346" i="1"/>
  <c r="A4347" i="1"/>
  <c r="B4347" i="1"/>
  <c r="A4348" i="1"/>
  <c r="B4348" i="1"/>
  <c r="A4349" i="1"/>
  <c r="B4349" i="1"/>
  <c r="A4350" i="1"/>
  <c r="B4350" i="1"/>
  <c r="A4351" i="1"/>
  <c r="B4351" i="1"/>
  <c r="A4352" i="1"/>
  <c r="B4352" i="1"/>
  <c r="A4353" i="1"/>
  <c r="B4353" i="1"/>
  <c r="A4354" i="1"/>
  <c r="B4354" i="1"/>
  <c r="A4355" i="1"/>
  <c r="B4355" i="1"/>
  <c r="A4356" i="1"/>
  <c r="B4356" i="1"/>
  <c r="A4357" i="1"/>
  <c r="B4357" i="1"/>
  <c r="A4358" i="1"/>
  <c r="B4358" i="1"/>
  <c r="A4359" i="1"/>
  <c r="B4359" i="1"/>
  <c r="A4360" i="1"/>
  <c r="B4360" i="1"/>
  <c r="A4361" i="1"/>
  <c r="B4361" i="1"/>
  <c r="A4362" i="1"/>
  <c r="B4362" i="1"/>
  <c r="A4363" i="1"/>
  <c r="B4363" i="1"/>
  <c r="A4364" i="1"/>
  <c r="B4364" i="1"/>
  <c r="A4365" i="1"/>
  <c r="B4365" i="1"/>
  <c r="A4366" i="1"/>
  <c r="B4366" i="1"/>
  <c r="A4367" i="1"/>
  <c r="B4367" i="1"/>
  <c r="A4368" i="1"/>
  <c r="B4368" i="1"/>
  <c r="A4369" i="1"/>
  <c r="B4369" i="1"/>
  <c r="A4370" i="1"/>
  <c r="B4370" i="1"/>
  <c r="A4371" i="1"/>
  <c r="B4371" i="1"/>
  <c r="A4372" i="1"/>
  <c r="B4372" i="1"/>
  <c r="A4373" i="1"/>
  <c r="B4373" i="1"/>
  <c r="A4374" i="1"/>
  <c r="B4374" i="1"/>
  <c r="A4375" i="1"/>
  <c r="B4375" i="1"/>
  <c r="A4376" i="1"/>
  <c r="B4376" i="1"/>
  <c r="A4377" i="1"/>
  <c r="B4377" i="1"/>
  <c r="A4378" i="1"/>
  <c r="B4378" i="1"/>
  <c r="A4379" i="1"/>
  <c r="B4379" i="1"/>
  <c r="A4380" i="1"/>
  <c r="B4380" i="1"/>
  <c r="A4381" i="1"/>
  <c r="B4381" i="1"/>
  <c r="A4382" i="1"/>
  <c r="B4382" i="1"/>
  <c r="A4383" i="1"/>
  <c r="B4383" i="1"/>
  <c r="A4384" i="1"/>
  <c r="B4384" i="1"/>
  <c r="A4385" i="1"/>
  <c r="B4385" i="1"/>
  <c r="A4386" i="1"/>
  <c r="B4386" i="1"/>
  <c r="A4387" i="1"/>
  <c r="B4387" i="1"/>
  <c r="A4388" i="1"/>
  <c r="B4388" i="1"/>
  <c r="A4389" i="1"/>
  <c r="B4389" i="1"/>
  <c r="A4390" i="1"/>
  <c r="B4390" i="1"/>
  <c r="A4391" i="1"/>
  <c r="B4391" i="1"/>
  <c r="A4392" i="1"/>
  <c r="B4392" i="1"/>
  <c r="A4393" i="1"/>
  <c r="B4393" i="1"/>
  <c r="A4394" i="1"/>
  <c r="B4394" i="1"/>
  <c r="A4395" i="1"/>
  <c r="B4395" i="1"/>
  <c r="A4396" i="1"/>
  <c r="B4396" i="1"/>
  <c r="A4397" i="1"/>
  <c r="B4397" i="1"/>
  <c r="A4398" i="1"/>
  <c r="B4398" i="1"/>
  <c r="A4399" i="1"/>
  <c r="B4399" i="1"/>
  <c r="A4400" i="1"/>
  <c r="B4400" i="1"/>
  <c r="A4401" i="1"/>
  <c r="B4401" i="1"/>
  <c r="A4402" i="1"/>
  <c r="B4402" i="1"/>
  <c r="A4403" i="1"/>
  <c r="B4403" i="1"/>
  <c r="A4404" i="1"/>
  <c r="B4404" i="1"/>
  <c r="A4405" i="1"/>
  <c r="B4405" i="1"/>
  <c r="A4406" i="1"/>
  <c r="B4406" i="1"/>
  <c r="A4407" i="1"/>
  <c r="B4407" i="1"/>
  <c r="A4408" i="1"/>
  <c r="B4408" i="1"/>
  <c r="A4409" i="1"/>
  <c r="B4409" i="1"/>
  <c r="A4410" i="1"/>
  <c r="B4410" i="1"/>
  <c r="A4411" i="1"/>
  <c r="B4411" i="1"/>
  <c r="A4412" i="1"/>
  <c r="B4412" i="1"/>
  <c r="A4413" i="1"/>
  <c r="B4413" i="1"/>
  <c r="A4414" i="1"/>
  <c r="B4414" i="1"/>
  <c r="A4415" i="1"/>
  <c r="B4415" i="1"/>
  <c r="A4416" i="1"/>
  <c r="B4416" i="1"/>
  <c r="A4417" i="1"/>
  <c r="B4417" i="1"/>
  <c r="A4418" i="1"/>
  <c r="B4418" i="1"/>
  <c r="A4419" i="1"/>
  <c r="B4419" i="1"/>
  <c r="A4420" i="1"/>
  <c r="B4420" i="1"/>
  <c r="A4421" i="1"/>
  <c r="B4421" i="1"/>
  <c r="A4422" i="1"/>
  <c r="B4422" i="1"/>
  <c r="A4423" i="1"/>
  <c r="B4423" i="1"/>
  <c r="A4424" i="1"/>
  <c r="B4424" i="1"/>
  <c r="A4425" i="1"/>
  <c r="B4425" i="1"/>
  <c r="A4426" i="1"/>
  <c r="B4426" i="1"/>
  <c r="A4427" i="1"/>
  <c r="B4427" i="1"/>
  <c r="A4428" i="1"/>
  <c r="B4428" i="1"/>
  <c r="A4429" i="1"/>
  <c r="B4429" i="1"/>
  <c r="A4430" i="1"/>
  <c r="B4430" i="1"/>
  <c r="A4431" i="1"/>
  <c r="B4431" i="1"/>
  <c r="A4432" i="1"/>
  <c r="B4432" i="1"/>
  <c r="A4433" i="1"/>
  <c r="B4433" i="1"/>
  <c r="A4434" i="1"/>
  <c r="B4434" i="1"/>
  <c r="A4435" i="1"/>
  <c r="B4435" i="1"/>
  <c r="A4436" i="1"/>
  <c r="B4436" i="1"/>
  <c r="A4437" i="1"/>
  <c r="B4437" i="1"/>
  <c r="A4438" i="1"/>
  <c r="B4438" i="1"/>
  <c r="A4439" i="1"/>
  <c r="B4439" i="1"/>
  <c r="A4440" i="1"/>
  <c r="B4440" i="1"/>
  <c r="A4441" i="1"/>
  <c r="B4441" i="1"/>
  <c r="A4442" i="1"/>
  <c r="B4442" i="1"/>
  <c r="A4443" i="1"/>
  <c r="B4443" i="1"/>
  <c r="A4444" i="1"/>
  <c r="B4444" i="1"/>
  <c r="A4445" i="1"/>
  <c r="B4445" i="1"/>
  <c r="A4446" i="1"/>
  <c r="B4446" i="1"/>
  <c r="A4447" i="1"/>
  <c r="B4447" i="1"/>
  <c r="A4448" i="1"/>
  <c r="B4448" i="1"/>
  <c r="A4449" i="1"/>
  <c r="B4449" i="1"/>
  <c r="A4450" i="1"/>
  <c r="B4450" i="1"/>
  <c r="A4451" i="1"/>
  <c r="B4451" i="1"/>
  <c r="A4452" i="1"/>
  <c r="B4452" i="1"/>
  <c r="A4453" i="1"/>
  <c r="B4453" i="1"/>
  <c r="A4454" i="1"/>
  <c r="B4454" i="1"/>
  <c r="A4455" i="1"/>
  <c r="B4455" i="1"/>
  <c r="A4456" i="1"/>
  <c r="B4456" i="1"/>
  <c r="A4457" i="1"/>
  <c r="B4457" i="1"/>
  <c r="A4458" i="1"/>
  <c r="B4458" i="1"/>
  <c r="A4459" i="1"/>
  <c r="B4459" i="1"/>
  <c r="A4460" i="1"/>
  <c r="B4460" i="1"/>
  <c r="A4461" i="1"/>
  <c r="B4461" i="1"/>
  <c r="A4462" i="1"/>
  <c r="B4462" i="1"/>
  <c r="A4463" i="1"/>
  <c r="B4463" i="1"/>
  <c r="A4464" i="1"/>
  <c r="B4464" i="1"/>
  <c r="A4465" i="1"/>
  <c r="B4465" i="1"/>
  <c r="A4466" i="1"/>
  <c r="B4466" i="1"/>
  <c r="A4467" i="1"/>
  <c r="B4467" i="1"/>
  <c r="A4468" i="1"/>
  <c r="B4468" i="1"/>
  <c r="A4469" i="1"/>
  <c r="B4469" i="1"/>
  <c r="A4470" i="1"/>
  <c r="B4470" i="1"/>
  <c r="A4471" i="1"/>
  <c r="B4471" i="1"/>
  <c r="A4472" i="1"/>
  <c r="B4472" i="1"/>
  <c r="A4473" i="1"/>
  <c r="B4473" i="1"/>
  <c r="A4474" i="1"/>
  <c r="B4474" i="1"/>
  <c r="A4475" i="1"/>
  <c r="B4475" i="1"/>
  <c r="A4476" i="1"/>
  <c r="B4476" i="1"/>
  <c r="A4477" i="1"/>
  <c r="B4477" i="1"/>
  <c r="A4478" i="1"/>
  <c r="B4478" i="1"/>
  <c r="A4479" i="1"/>
  <c r="B4479" i="1"/>
  <c r="A4480" i="1"/>
  <c r="B4480" i="1"/>
  <c r="A4481" i="1"/>
  <c r="B4481" i="1"/>
  <c r="A4482" i="1"/>
  <c r="B4482" i="1"/>
  <c r="A4483" i="1"/>
  <c r="B4483" i="1"/>
  <c r="A4484" i="1"/>
  <c r="B4484" i="1"/>
  <c r="A4485" i="1"/>
  <c r="B4485" i="1"/>
  <c r="A4486" i="1"/>
  <c r="B4486" i="1"/>
  <c r="A4487" i="1"/>
  <c r="B4487" i="1"/>
  <c r="A4488" i="1"/>
  <c r="B4488" i="1"/>
  <c r="A4489" i="1"/>
  <c r="B4489" i="1"/>
  <c r="A4490" i="1"/>
  <c r="B4490" i="1"/>
  <c r="A4491" i="1"/>
  <c r="B4491" i="1"/>
  <c r="A4492" i="1"/>
  <c r="B4492" i="1"/>
  <c r="A4493" i="1"/>
  <c r="B4493" i="1"/>
  <c r="A4494" i="1"/>
  <c r="B4494" i="1"/>
  <c r="A4495" i="1"/>
  <c r="B4495" i="1"/>
  <c r="A4496" i="1"/>
  <c r="B4496" i="1"/>
  <c r="A4497" i="1"/>
  <c r="B4497" i="1"/>
  <c r="A4498" i="1"/>
  <c r="B4498" i="1"/>
  <c r="A4499" i="1"/>
  <c r="B4499" i="1"/>
  <c r="A4500" i="1"/>
  <c r="B4500" i="1"/>
  <c r="A4501" i="1"/>
  <c r="B4501" i="1"/>
  <c r="A4502" i="1"/>
  <c r="B4502" i="1"/>
  <c r="A4503" i="1"/>
  <c r="B4503" i="1"/>
  <c r="A4504" i="1"/>
  <c r="B4504" i="1"/>
  <c r="A4505" i="1"/>
  <c r="B4505" i="1"/>
  <c r="A4506" i="1"/>
  <c r="B4506" i="1"/>
  <c r="A4507" i="1"/>
  <c r="B4507" i="1"/>
  <c r="A4508" i="1"/>
  <c r="B4508" i="1"/>
  <c r="A4509" i="1"/>
  <c r="B4509" i="1"/>
  <c r="A4510" i="1"/>
  <c r="B4510" i="1"/>
  <c r="A4511" i="1"/>
  <c r="B4511" i="1"/>
  <c r="A4512" i="1"/>
  <c r="B4512" i="1"/>
  <c r="A4513" i="1"/>
  <c r="B4513" i="1"/>
  <c r="A4514" i="1"/>
  <c r="B4514" i="1"/>
  <c r="A4515" i="1"/>
  <c r="B4515" i="1"/>
  <c r="A4516" i="1"/>
  <c r="B4516" i="1"/>
  <c r="A4517" i="1"/>
  <c r="B4517" i="1"/>
  <c r="A4518" i="1"/>
  <c r="B4518" i="1"/>
  <c r="A4519" i="1"/>
  <c r="B4519" i="1"/>
  <c r="A4520" i="1"/>
  <c r="B4520" i="1"/>
  <c r="A4521" i="1"/>
  <c r="B4521" i="1"/>
  <c r="A4522" i="1"/>
  <c r="B4522" i="1"/>
  <c r="A4523" i="1"/>
  <c r="B4523" i="1"/>
  <c r="A4524" i="1"/>
  <c r="B4524" i="1"/>
  <c r="A4525" i="1"/>
  <c r="B4525" i="1"/>
  <c r="A4526" i="1"/>
  <c r="B4526" i="1"/>
  <c r="A4527" i="1"/>
  <c r="B4527" i="1"/>
  <c r="A4528" i="1"/>
  <c r="B4528" i="1"/>
  <c r="A4529" i="1"/>
  <c r="B4529" i="1"/>
  <c r="A4530" i="1"/>
  <c r="B4530" i="1"/>
  <c r="A4531" i="1"/>
  <c r="B4531" i="1"/>
  <c r="A4532" i="1"/>
  <c r="B4532" i="1"/>
  <c r="A4533" i="1"/>
  <c r="B4533" i="1"/>
  <c r="A4534" i="1"/>
  <c r="B4534" i="1"/>
  <c r="A4535" i="1"/>
  <c r="B4535" i="1"/>
  <c r="A4536" i="1"/>
  <c r="B4536" i="1"/>
  <c r="A4537" i="1"/>
  <c r="B4537" i="1"/>
  <c r="A4538" i="1"/>
  <c r="B4538" i="1"/>
  <c r="A4539" i="1"/>
  <c r="B4539" i="1"/>
  <c r="A4540" i="1"/>
  <c r="B4540" i="1"/>
  <c r="A4541" i="1"/>
  <c r="B4541" i="1"/>
  <c r="A4542" i="1"/>
  <c r="B4542" i="1"/>
  <c r="A4543" i="1"/>
  <c r="B4543" i="1"/>
  <c r="A4544" i="1"/>
  <c r="B4544" i="1"/>
  <c r="A4545" i="1"/>
  <c r="B4545" i="1"/>
  <c r="A4546" i="1"/>
  <c r="B4546" i="1"/>
  <c r="A4547" i="1"/>
  <c r="B4547" i="1"/>
  <c r="A4548" i="1"/>
  <c r="B4548" i="1"/>
  <c r="A4549" i="1"/>
  <c r="B4549" i="1"/>
  <c r="A4550" i="1"/>
  <c r="B4550" i="1"/>
  <c r="A4551" i="1"/>
  <c r="B4551" i="1"/>
  <c r="A4552" i="1"/>
  <c r="B4552" i="1"/>
  <c r="A4553" i="1"/>
  <c r="B4553" i="1"/>
  <c r="A4554" i="1"/>
  <c r="B4554" i="1"/>
  <c r="A4555" i="1"/>
  <c r="B4555" i="1"/>
  <c r="A4556" i="1"/>
  <c r="B4556" i="1"/>
  <c r="A4557" i="1"/>
  <c r="B4557" i="1"/>
  <c r="A4558" i="1"/>
  <c r="B4558" i="1"/>
  <c r="A4559" i="1"/>
  <c r="B4559" i="1"/>
  <c r="A4560" i="1"/>
  <c r="B4560" i="1"/>
  <c r="A4561" i="1"/>
  <c r="B4561" i="1"/>
  <c r="A4562" i="1"/>
  <c r="B4562" i="1"/>
  <c r="A4563" i="1"/>
  <c r="B4563" i="1"/>
  <c r="A4564" i="1"/>
  <c r="B4564" i="1"/>
  <c r="A4565" i="1"/>
  <c r="B4565" i="1"/>
  <c r="A4566" i="1"/>
  <c r="B4566" i="1"/>
  <c r="A4567" i="1"/>
  <c r="B4567" i="1"/>
  <c r="A4568" i="1"/>
  <c r="B4568" i="1"/>
  <c r="A4569" i="1"/>
  <c r="B4569" i="1"/>
  <c r="A4570" i="1"/>
  <c r="B4570" i="1"/>
  <c r="A4571" i="1"/>
  <c r="B4571" i="1"/>
  <c r="A4572" i="1"/>
  <c r="B4572" i="1"/>
  <c r="A4573" i="1"/>
  <c r="B4573" i="1"/>
  <c r="A4574" i="1"/>
  <c r="B4574" i="1"/>
  <c r="A4575" i="1"/>
  <c r="B4575" i="1"/>
  <c r="A4576" i="1"/>
  <c r="B4576" i="1"/>
  <c r="A4577" i="1"/>
  <c r="B4577" i="1"/>
  <c r="A4578" i="1"/>
  <c r="B4578" i="1"/>
  <c r="A4579" i="1"/>
  <c r="B4579" i="1"/>
  <c r="A4580" i="1"/>
  <c r="B4580" i="1"/>
  <c r="A4581" i="1"/>
  <c r="B4581" i="1"/>
  <c r="A4582" i="1"/>
  <c r="B4582" i="1"/>
  <c r="A4583" i="1"/>
  <c r="B4583" i="1"/>
  <c r="A4584" i="1"/>
  <c r="B4584" i="1"/>
  <c r="A4585" i="1"/>
  <c r="B4585" i="1"/>
  <c r="A4586" i="1"/>
  <c r="B4586" i="1"/>
  <c r="A4587" i="1"/>
  <c r="B4587" i="1"/>
  <c r="A4588" i="1"/>
  <c r="B4588" i="1"/>
  <c r="A4589" i="1"/>
  <c r="B4589" i="1"/>
  <c r="A4590" i="1"/>
  <c r="B4590" i="1"/>
  <c r="A4591" i="1"/>
  <c r="B4591" i="1"/>
  <c r="A4592" i="1"/>
  <c r="B4592" i="1"/>
  <c r="A4593" i="1"/>
  <c r="B4593" i="1"/>
  <c r="A4594" i="1"/>
  <c r="B4594" i="1"/>
  <c r="A4595" i="1"/>
  <c r="B4595" i="1"/>
  <c r="A4596" i="1"/>
  <c r="B4596" i="1"/>
  <c r="A4597" i="1"/>
  <c r="B4597" i="1"/>
  <c r="A4598" i="1"/>
  <c r="B4598" i="1"/>
  <c r="A4599" i="1"/>
  <c r="B4599" i="1"/>
  <c r="A4600" i="1"/>
  <c r="B4600" i="1"/>
  <c r="A4601" i="1"/>
  <c r="B4601" i="1"/>
  <c r="A4602" i="1"/>
  <c r="B4602" i="1"/>
  <c r="A4603" i="1"/>
  <c r="B4603" i="1"/>
  <c r="A4604" i="1"/>
  <c r="B4604" i="1"/>
  <c r="A4605" i="1"/>
  <c r="B4605" i="1"/>
  <c r="A4606" i="1"/>
  <c r="B4606" i="1"/>
  <c r="A4607" i="1"/>
  <c r="B4607" i="1"/>
  <c r="A4608" i="1"/>
  <c r="B4608" i="1"/>
  <c r="A4609" i="1"/>
  <c r="B4609" i="1"/>
  <c r="A4610" i="1"/>
  <c r="B4610" i="1"/>
  <c r="A4611" i="1"/>
  <c r="B4611" i="1"/>
  <c r="A4612" i="1"/>
  <c r="B4612" i="1"/>
  <c r="A4613" i="1"/>
  <c r="B4613" i="1"/>
  <c r="A4614" i="1"/>
  <c r="B4614" i="1"/>
  <c r="A4615" i="1"/>
  <c r="B4615" i="1"/>
  <c r="A4616" i="1"/>
  <c r="B4616" i="1"/>
  <c r="A4617" i="1"/>
  <c r="B4617" i="1"/>
  <c r="A4618" i="1"/>
  <c r="B4618" i="1"/>
  <c r="A4619" i="1"/>
  <c r="B4619" i="1"/>
  <c r="A4620" i="1"/>
  <c r="B4620" i="1"/>
  <c r="A4621" i="1"/>
  <c r="B4621" i="1"/>
  <c r="A4622" i="1"/>
  <c r="B4622" i="1"/>
  <c r="A4623" i="1"/>
  <c r="B4623" i="1"/>
  <c r="A4624" i="1"/>
  <c r="B4624" i="1"/>
  <c r="A4625" i="1"/>
  <c r="B4625" i="1"/>
  <c r="A4626" i="1"/>
  <c r="B4626" i="1"/>
  <c r="A4627" i="1"/>
  <c r="B4627" i="1"/>
  <c r="A4628" i="1"/>
  <c r="B4628" i="1"/>
  <c r="A4629" i="1"/>
  <c r="B4629" i="1"/>
  <c r="A4630" i="1"/>
  <c r="B4630" i="1"/>
  <c r="A4631" i="1"/>
  <c r="B4631" i="1"/>
  <c r="A4632" i="1"/>
  <c r="B4632" i="1"/>
  <c r="A4633" i="1"/>
  <c r="B4633" i="1"/>
  <c r="A4634" i="1"/>
  <c r="B4634" i="1"/>
  <c r="A4635" i="1"/>
  <c r="B4635" i="1"/>
  <c r="A4636" i="1"/>
  <c r="B4636" i="1"/>
  <c r="A4637" i="1"/>
  <c r="B4637" i="1"/>
  <c r="A4638" i="1"/>
  <c r="B4638" i="1"/>
  <c r="A4639" i="1"/>
  <c r="B4639" i="1"/>
  <c r="A4640" i="1"/>
  <c r="B4640" i="1"/>
  <c r="A4641" i="1"/>
  <c r="B4641" i="1"/>
  <c r="A4642" i="1"/>
  <c r="B4642" i="1"/>
  <c r="A4643" i="1"/>
  <c r="B4643" i="1"/>
  <c r="A4644" i="1"/>
  <c r="B4644" i="1"/>
  <c r="A4645" i="1"/>
  <c r="B4645" i="1"/>
  <c r="A4646" i="1"/>
  <c r="B4646" i="1"/>
  <c r="A4647" i="1"/>
  <c r="B4647" i="1"/>
  <c r="A4648" i="1"/>
  <c r="B4648" i="1"/>
  <c r="A4649" i="1"/>
  <c r="B4649" i="1"/>
  <c r="A4650" i="1"/>
  <c r="B4650" i="1"/>
  <c r="A4651" i="1"/>
  <c r="B4651" i="1"/>
  <c r="A4652" i="1"/>
  <c r="B4652" i="1"/>
  <c r="A4653" i="1"/>
  <c r="B4653" i="1"/>
  <c r="A4654" i="1"/>
  <c r="B4654" i="1"/>
  <c r="A4655" i="1"/>
  <c r="B4655" i="1"/>
  <c r="A4656" i="1"/>
  <c r="B4656" i="1"/>
  <c r="A4657" i="1"/>
  <c r="B4657" i="1"/>
  <c r="A4658" i="1"/>
  <c r="B4658" i="1"/>
  <c r="A4659" i="1"/>
  <c r="B4659" i="1"/>
  <c r="A4660" i="1"/>
  <c r="B4660" i="1"/>
  <c r="A4661" i="1"/>
  <c r="B4661" i="1"/>
  <c r="A4662" i="1"/>
  <c r="B4662" i="1"/>
  <c r="A4663" i="1"/>
  <c r="B4663" i="1"/>
  <c r="A4664" i="1"/>
  <c r="B4664" i="1"/>
  <c r="A4665" i="1"/>
  <c r="B4665" i="1"/>
  <c r="A4666" i="1"/>
  <c r="B4666" i="1"/>
  <c r="A4667" i="1"/>
  <c r="B4667" i="1"/>
  <c r="A4668" i="1"/>
  <c r="B4668" i="1"/>
  <c r="A4669" i="1"/>
  <c r="B4669" i="1"/>
  <c r="A4670" i="1"/>
  <c r="B4670" i="1"/>
  <c r="A4671" i="1"/>
  <c r="B4671" i="1"/>
  <c r="A4672" i="1"/>
  <c r="B4672" i="1"/>
  <c r="A4673" i="1"/>
  <c r="B4673" i="1"/>
  <c r="A4674" i="1"/>
  <c r="B4674" i="1"/>
  <c r="A4675" i="1"/>
  <c r="B4675" i="1"/>
  <c r="A4676" i="1"/>
  <c r="B4676" i="1"/>
  <c r="A4677" i="1"/>
  <c r="B4677" i="1"/>
  <c r="A4678" i="1"/>
  <c r="B4678" i="1"/>
  <c r="A4679" i="1"/>
  <c r="B4679" i="1"/>
  <c r="A4680" i="1"/>
  <c r="B4680" i="1"/>
  <c r="A4681" i="1"/>
  <c r="B4681" i="1"/>
  <c r="A4682" i="1"/>
  <c r="B4682" i="1"/>
  <c r="A4683" i="1"/>
  <c r="B4683" i="1"/>
  <c r="A4684" i="1"/>
  <c r="B4684" i="1"/>
  <c r="A4685" i="1"/>
  <c r="B4685" i="1"/>
  <c r="A4686" i="1"/>
  <c r="B4686" i="1"/>
  <c r="A4687" i="1"/>
  <c r="B4687" i="1"/>
  <c r="A4688" i="1"/>
  <c r="B4688" i="1"/>
  <c r="A4689" i="1"/>
  <c r="B4689" i="1"/>
  <c r="A4690" i="1"/>
  <c r="B4690" i="1"/>
  <c r="A4691" i="1"/>
  <c r="B4691" i="1"/>
  <c r="A4692" i="1"/>
  <c r="B4692" i="1"/>
  <c r="A4693" i="1"/>
  <c r="B4693" i="1"/>
  <c r="A4694" i="1"/>
  <c r="B4694" i="1"/>
  <c r="A4695" i="1"/>
  <c r="B4695" i="1"/>
  <c r="A4696" i="1"/>
  <c r="B4696" i="1"/>
  <c r="A4697" i="1"/>
  <c r="B4697" i="1"/>
  <c r="A4698" i="1"/>
  <c r="B4698" i="1"/>
  <c r="A4699" i="1"/>
  <c r="B4699" i="1"/>
  <c r="A4700" i="1"/>
  <c r="B4700" i="1"/>
  <c r="A4701" i="1"/>
  <c r="B4701" i="1"/>
  <c r="A4702" i="1"/>
  <c r="B4702" i="1"/>
  <c r="A4703" i="1"/>
  <c r="B4703" i="1"/>
  <c r="A4704" i="1"/>
  <c r="B4704" i="1"/>
  <c r="A4705" i="1"/>
  <c r="B4705" i="1"/>
  <c r="A4706" i="1"/>
  <c r="B4706" i="1"/>
  <c r="A4707" i="1"/>
  <c r="B4707" i="1"/>
  <c r="A4708" i="1"/>
  <c r="B4708" i="1"/>
  <c r="A4709" i="1"/>
  <c r="B4709" i="1"/>
  <c r="A4710" i="1"/>
  <c r="B4710" i="1"/>
  <c r="A4711" i="1"/>
  <c r="B4711" i="1"/>
  <c r="A4712" i="1"/>
  <c r="B4712" i="1"/>
  <c r="A4713" i="1"/>
  <c r="B4713" i="1"/>
  <c r="A4714" i="1"/>
  <c r="B4714" i="1"/>
  <c r="A4715" i="1"/>
  <c r="B4715" i="1"/>
  <c r="A4716" i="1"/>
  <c r="B4716" i="1"/>
  <c r="A4717" i="1"/>
  <c r="B4717" i="1"/>
  <c r="A4718" i="1"/>
  <c r="B4718" i="1"/>
  <c r="A4719" i="1"/>
  <c r="B4719" i="1"/>
  <c r="A4720" i="1"/>
  <c r="B4720" i="1"/>
  <c r="A4721" i="1"/>
  <c r="B4721" i="1"/>
  <c r="A4722" i="1"/>
  <c r="B4722" i="1"/>
  <c r="A4723" i="1"/>
  <c r="B4723" i="1"/>
  <c r="A4724" i="1"/>
  <c r="B4724" i="1"/>
  <c r="A4725" i="1"/>
  <c r="B4725" i="1"/>
  <c r="A4726" i="1"/>
  <c r="B4726" i="1"/>
  <c r="A4727" i="1"/>
  <c r="B4727" i="1"/>
  <c r="A4728" i="1"/>
  <c r="B4728" i="1"/>
  <c r="A4729" i="1"/>
  <c r="B4729" i="1"/>
  <c r="A4730" i="1"/>
  <c r="B4730" i="1"/>
  <c r="A4731" i="1"/>
  <c r="B4731" i="1"/>
  <c r="A4732" i="1"/>
  <c r="B4732" i="1"/>
  <c r="A4733" i="1"/>
  <c r="B4733" i="1"/>
  <c r="A4734" i="1"/>
  <c r="B4734" i="1"/>
  <c r="A4735" i="1"/>
  <c r="B4735" i="1"/>
  <c r="A4736" i="1"/>
  <c r="B4736" i="1"/>
  <c r="A4737" i="1"/>
  <c r="B4737" i="1"/>
  <c r="A4738" i="1"/>
  <c r="B4738" i="1"/>
  <c r="A4739" i="1"/>
  <c r="B4739" i="1"/>
  <c r="A4740" i="1"/>
  <c r="B4740" i="1"/>
  <c r="A4741" i="1"/>
  <c r="B4741" i="1"/>
  <c r="A4742" i="1"/>
  <c r="B4742" i="1"/>
  <c r="A4743" i="1"/>
  <c r="B4743" i="1"/>
  <c r="A4744" i="1"/>
  <c r="B4744" i="1"/>
  <c r="A4745" i="1"/>
  <c r="B4745" i="1"/>
  <c r="A4746" i="1"/>
  <c r="B4746" i="1"/>
  <c r="A4747" i="1"/>
  <c r="B4747" i="1"/>
  <c r="A4748" i="1"/>
  <c r="B4748" i="1"/>
  <c r="A4749" i="1"/>
  <c r="B4749" i="1"/>
  <c r="A4750" i="1"/>
  <c r="B4750" i="1"/>
  <c r="A4751" i="1"/>
  <c r="B4751" i="1"/>
  <c r="A4752" i="1"/>
  <c r="B4752" i="1"/>
  <c r="A4753" i="1"/>
  <c r="B4753" i="1"/>
  <c r="A4754" i="1"/>
  <c r="B4754" i="1"/>
  <c r="A4755" i="1"/>
  <c r="B4755" i="1"/>
  <c r="A4756" i="1"/>
  <c r="B4756" i="1"/>
  <c r="A4757" i="1"/>
  <c r="B4757" i="1"/>
  <c r="A4758" i="1"/>
  <c r="B4758" i="1"/>
  <c r="A4759" i="1"/>
  <c r="B4759" i="1"/>
  <c r="A4760" i="1"/>
  <c r="B4760" i="1"/>
  <c r="A4761" i="1"/>
  <c r="B4761" i="1"/>
  <c r="A4762" i="1"/>
  <c r="B4762" i="1"/>
  <c r="A4763" i="1"/>
  <c r="B4763" i="1"/>
  <c r="A4764" i="1"/>
  <c r="B4764" i="1"/>
  <c r="A4765" i="1"/>
  <c r="B4765" i="1"/>
  <c r="A4766" i="1"/>
  <c r="B4766" i="1"/>
  <c r="A4767" i="1"/>
  <c r="B4767" i="1"/>
  <c r="A4768" i="1"/>
  <c r="B4768" i="1"/>
  <c r="A4769" i="1"/>
  <c r="B4769" i="1"/>
  <c r="A4770" i="1"/>
  <c r="B4770" i="1"/>
  <c r="A4771" i="1"/>
  <c r="B4771" i="1"/>
  <c r="A4772" i="1"/>
  <c r="B4772" i="1"/>
  <c r="A4773" i="1"/>
  <c r="B4773" i="1"/>
  <c r="A4774" i="1"/>
  <c r="B4774" i="1"/>
  <c r="A4775" i="1"/>
  <c r="B4775" i="1"/>
  <c r="A4776" i="1"/>
  <c r="B4776" i="1"/>
  <c r="A4777" i="1"/>
  <c r="B4777" i="1"/>
  <c r="A4778" i="1"/>
  <c r="B4778" i="1"/>
  <c r="A4779" i="1"/>
  <c r="B4779" i="1"/>
  <c r="A4780" i="1"/>
  <c r="B4780" i="1"/>
  <c r="A4781" i="1"/>
  <c r="B4781" i="1"/>
  <c r="A4782" i="1"/>
  <c r="B4782" i="1"/>
  <c r="A4783" i="1"/>
  <c r="B4783" i="1"/>
  <c r="A4784" i="1"/>
  <c r="B4784" i="1"/>
  <c r="A4785" i="1"/>
  <c r="B4785" i="1"/>
  <c r="A4786" i="1"/>
  <c r="B4786" i="1"/>
  <c r="A4787" i="1"/>
  <c r="B4787" i="1"/>
  <c r="A4788" i="1"/>
  <c r="B4788" i="1"/>
  <c r="A4789" i="1"/>
  <c r="B4789" i="1"/>
  <c r="A4790" i="1"/>
  <c r="B4790" i="1"/>
  <c r="A4791" i="1"/>
  <c r="B4791" i="1"/>
  <c r="A4792" i="1"/>
  <c r="B4792" i="1"/>
  <c r="A4793" i="1"/>
  <c r="B4793" i="1"/>
  <c r="A4794" i="1"/>
  <c r="B4794" i="1"/>
  <c r="A4795" i="1"/>
  <c r="B4795" i="1"/>
  <c r="A4796" i="1"/>
  <c r="B4796" i="1"/>
  <c r="A4797" i="1"/>
  <c r="B4797" i="1"/>
  <c r="A4798" i="1"/>
  <c r="B4798" i="1"/>
  <c r="A4799" i="1"/>
  <c r="B4799" i="1"/>
  <c r="A4800" i="1"/>
  <c r="B4800" i="1"/>
  <c r="A4801" i="1"/>
  <c r="B4801" i="1"/>
  <c r="A4802" i="1"/>
  <c r="B4802" i="1"/>
  <c r="A4803" i="1"/>
  <c r="B4803" i="1"/>
  <c r="A4804" i="1"/>
  <c r="B4804" i="1"/>
  <c r="A4805" i="1"/>
  <c r="B4805" i="1"/>
  <c r="A4806" i="1"/>
  <c r="B4806" i="1"/>
  <c r="A4807" i="1"/>
  <c r="B4807" i="1"/>
  <c r="A4808" i="1"/>
  <c r="B4808" i="1"/>
  <c r="A4809" i="1"/>
  <c r="B4809" i="1"/>
  <c r="A4810" i="1"/>
  <c r="B4810" i="1"/>
  <c r="A4811" i="1"/>
  <c r="B4811" i="1"/>
  <c r="A4812" i="1"/>
  <c r="B4812" i="1"/>
  <c r="A4813" i="1"/>
  <c r="B4813" i="1"/>
  <c r="A4814" i="1"/>
  <c r="B4814" i="1"/>
  <c r="A4815" i="1"/>
  <c r="B4815" i="1"/>
  <c r="A4816" i="1"/>
  <c r="B4816" i="1"/>
  <c r="A4817" i="1"/>
  <c r="B4817" i="1"/>
  <c r="A4818" i="1"/>
  <c r="B4818" i="1"/>
  <c r="A4819" i="1"/>
  <c r="B4819" i="1"/>
  <c r="A4820" i="1"/>
  <c r="B4820" i="1"/>
  <c r="A4821" i="1"/>
  <c r="B4821" i="1"/>
  <c r="A4822" i="1"/>
  <c r="B4822" i="1"/>
  <c r="A4823" i="1"/>
  <c r="B4823" i="1"/>
  <c r="A4824" i="1"/>
  <c r="B4824" i="1"/>
  <c r="A4825" i="1"/>
  <c r="B4825" i="1"/>
  <c r="A4826" i="1"/>
  <c r="B4826" i="1"/>
  <c r="A4827" i="1"/>
  <c r="B4827" i="1"/>
  <c r="A4828" i="1"/>
  <c r="B4828" i="1"/>
  <c r="A4829" i="1"/>
  <c r="B4829" i="1"/>
  <c r="A4830" i="1"/>
  <c r="B4830" i="1"/>
  <c r="A4831" i="1"/>
  <c r="B4831" i="1"/>
  <c r="A4832" i="1"/>
  <c r="B4832" i="1"/>
  <c r="A4833" i="1"/>
  <c r="B4833" i="1"/>
  <c r="A4834" i="1"/>
  <c r="B4834" i="1"/>
  <c r="A4835" i="1"/>
  <c r="B4835" i="1"/>
  <c r="A4836" i="1"/>
  <c r="B4836" i="1"/>
  <c r="A4837" i="1"/>
  <c r="B4837" i="1"/>
  <c r="A4838" i="1"/>
  <c r="B4838" i="1"/>
  <c r="A4839" i="1"/>
  <c r="B4839" i="1"/>
  <c r="A4840" i="1"/>
  <c r="B4840" i="1"/>
  <c r="A4841" i="1"/>
  <c r="B4841" i="1"/>
  <c r="A4842" i="1"/>
  <c r="B4842" i="1"/>
  <c r="A4843" i="1"/>
  <c r="B4843" i="1"/>
  <c r="A4844" i="1"/>
  <c r="B4844" i="1"/>
  <c r="A4845" i="1"/>
  <c r="B4845" i="1"/>
  <c r="A4846" i="1"/>
  <c r="B4846" i="1"/>
  <c r="A4847" i="1"/>
  <c r="B4847" i="1"/>
  <c r="A4848" i="1"/>
  <c r="B4848" i="1"/>
  <c r="A4849" i="1"/>
  <c r="B4849" i="1"/>
  <c r="A4850" i="1"/>
  <c r="B4850" i="1"/>
  <c r="A4851" i="1"/>
  <c r="B4851" i="1"/>
  <c r="A4852" i="1"/>
  <c r="B4852" i="1"/>
  <c r="A4853" i="1"/>
  <c r="B4853" i="1"/>
  <c r="A4854" i="1"/>
  <c r="B4854" i="1"/>
  <c r="A4855" i="1"/>
  <c r="B4855" i="1"/>
  <c r="A4856" i="1"/>
  <c r="B4856" i="1"/>
  <c r="A4857" i="1"/>
  <c r="B4857" i="1"/>
  <c r="A4858" i="1"/>
  <c r="B4858" i="1"/>
  <c r="A4859" i="1"/>
  <c r="B4859" i="1"/>
  <c r="A4860" i="1"/>
  <c r="B4860" i="1"/>
  <c r="A4861" i="1"/>
  <c r="B4861" i="1"/>
  <c r="A4862" i="1"/>
  <c r="B4862" i="1"/>
  <c r="A4863" i="1"/>
  <c r="B4863" i="1"/>
  <c r="A4864" i="1"/>
  <c r="B4864" i="1"/>
  <c r="A4865" i="1"/>
  <c r="B4865" i="1"/>
  <c r="A4866" i="1"/>
  <c r="B4866" i="1"/>
  <c r="A4867" i="1"/>
  <c r="B4867" i="1"/>
  <c r="A4868" i="1"/>
  <c r="B4868" i="1"/>
  <c r="A4869" i="1"/>
  <c r="B4869" i="1"/>
  <c r="A4870" i="1"/>
  <c r="B4870" i="1"/>
  <c r="A4871" i="1"/>
  <c r="B4871" i="1"/>
  <c r="A4872" i="1"/>
  <c r="B4872" i="1"/>
  <c r="A4873" i="1"/>
  <c r="B4873" i="1"/>
  <c r="A4874" i="1"/>
  <c r="B4874" i="1"/>
  <c r="A4875" i="1"/>
  <c r="B4875" i="1"/>
  <c r="A4876" i="1"/>
  <c r="B4876" i="1"/>
  <c r="A4877" i="1"/>
  <c r="B4877" i="1"/>
  <c r="A4878" i="1"/>
  <c r="B4878" i="1"/>
  <c r="A4879" i="1"/>
  <c r="B4879" i="1"/>
  <c r="A4880" i="1"/>
  <c r="B4880" i="1"/>
  <c r="A4881" i="1"/>
  <c r="B4881" i="1"/>
  <c r="A4882" i="1"/>
  <c r="B4882" i="1"/>
  <c r="A4883" i="1"/>
  <c r="B4883" i="1"/>
  <c r="A4884" i="1"/>
  <c r="B4884" i="1"/>
  <c r="A4885" i="1"/>
  <c r="B4885" i="1"/>
  <c r="A4886" i="1"/>
  <c r="B4886" i="1"/>
  <c r="A4887" i="1"/>
  <c r="B4887" i="1"/>
  <c r="A4888" i="1"/>
  <c r="B4888" i="1"/>
  <c r="A4889" i="1"/>
  <c r="B4889" i="1"/>
  <c r="A4890" i="1"/>
  <c r="B4890" i="1"/>
  <c r="A4891" i="1"/>
  <c r="B4891" i="1"/>
  <c r="A4892" i="1"/>
  <c r="B4892" i="1"/>
  <c r="A4893" i="1"/>
  <c r="B4893" i="1"/>
  <c r="A4894" i="1"/>
  <c r="B4894" i="1"/>
  <c r="A4895" i="1"/>
  <c r="B4895" i="1"/>
  <c r="A4896" i="1"/>
  <c r="B4896" i="1"/>
  <c r="A4897" i="1"/>
  <c r="B4897" i="1"/>
  <c r="A4898" i="1"/>
  <c r="B4898" i="1"/>
  <c r="A4899" i="1"/>
  <c r="B4899" i="1"/>
  <c r="A4900" i="1"/>
  <c r="B4900" i="1"/>
  <c r="A4901" i="1"/>
  <c r="B4901" i="1"/>
  <c r="A4902" i="1"/>
  <c r="B4902" i="1"/>
  <c r="A4903" i="1"/>
  <c r="B4903" i="1"/>
  <c r="A4904" i="1"/>
  <c r="B4904" i="1"/>
  <c r="A4905" i="1"/>
  <c r="B4905" i="1"/>
  <c r="A4906" i="1"/>
  <c r="B4906" i="1"/>
  <c r="A4907" i="1"/>
  <c r="B4907" i="1"/>
  <c r="A4908" i="1"/>
  <c r="B4908" i="1"/>
  <c r="A4909" i="1"/>
  <c r="B4909" i="1"/>
  <c r="A4910" i="1"/>
  <c r="B4910" i="1"/>
  <c r="A4911" i="1"/>
  <c r="B4911" i="1"/>
  <c r="A4912" i="1"/>
  <c r="B4912" i="1"/>
  <c r="A4913" i="1"/>
  <c r="B4913" i="1"/>
  <c r="A4914" i="1"/>
  <c r="B4914" i="1"/>
  <c r="A4915" i="1"/>
  <c r="B4915" i="1"/>
  <c r="A4916" i="1"/>
  <c r="B4916" i="1"/>
  <c r="A4917" i="1"/>
  <c r="B4917" i="1"/>
  <c r="A4918" i="1"/>
  <c r="B4918" i="1"/>
  <c r="A4919" i="1"/>
  <c r="B4919" i="1"/>
  <c r="A4920" i="1"/>
  <c r="B4920" i="1"/>
  <c r="A4921" i="1"/>
  <c r="B4921" i="1"/>
  <c r="A4922" i="1"/>
  <c r="B4922" i="1"/>
  <c r="A4923" i="1"/>
  <c r="B4923" i="1"/>
  <c r="A4924" i="1"/>
  <c r="B4924" i="1"/>
  <c r="A4925" i="1"/>
  <c r="B4925" i="1"/>
  <c r="A4926" i="1"/>
  <c r="B4926" i="1"/>
  <c r="A4927" i="1"/>
  <c r="B4927" i="1"/>
  <c r="A4928" i="1"/>
  <c r="B4928" i="1"/>
  <c r="A4929" i="1"/>
  <c r="B4929" i="1"/>
  <c r="A4930" i="1"/>
  <c r="B4930" i="1"/>
  <c r="A4931" i="1"/>
  <c r="B4931" i="1"/>
  <c r="A4932" i="1"/>
  <c r="B4932" i="1"/>
  <c r="A4933" i="1"/>
  <c r="B4933" i="1"/>
  <c r="A4934" i="1"/>
  <c r="B4934" i="1"/>
  <c r="A4935" i="1"/>
  <c r="B4935" i="1"/>
  <c r="A4936" i="1"/>
  <c r="B4936" i="1"/>
  <c r="A4937" i="1"/>
  <c r="B4937" i="1"/>
  <c r="A4938" i="1"/>
  <c r="B4938" i="1"/>
  <c r="A4939" i="1"/>
  <c r="B4939" i="1"/>
  <c r="A4940" i="1"/>
  <c r="B4940" i="1"/>
  <c r="A4941" i="1"/>
  <c r="B4941" i="1"/>
  <c r="A4942" i="1"/>
  <c r="B4942" i="1"/>
  <c r="A4943" i="1"/>
  <c r="B4943" i="1"/>
  <c r="A4944" i="1"/>
  <c r="B4944" i="1"/>
  <c r="A4945" i="1"/>
  <c r="B4945" i="1"/>
  <c r="A4946" i="1"/>
  <c r="B4946" i="1"/>
  <c r="A4947" i="1"/>
  <c r="B4947" i="1"/>
  <c r="A4948" i="1"/>
  <c r="B4948" i="1"/>
  <c r="A4949" i="1"/>
  <c r="B4949" i="1"/>
  <c r="A4950" i="1"/>
  <c r="B4950" i="1"/>
  <c r="A4951" i="1"/>
  <c r="B4951" i="1"/>
  <c r="A4952" i="1"/>
  <c r="B4952" i="1"/>
  <c r="A4953" i="1"/>
  <c r="B4953" i="1"/>
  <c r="A4954" i="1"/>
  <c r="B4954" i="1"/>
  <c r="A4955" i="1"/>
  <c r="B4955" i="1"/>
  <c r="A4956" i="1"/>
  <c r="B4956" i="1"/>
  <c r="A4957" i="1"/>
  <c r="B4957" i="1"/>
  <c r="A4958" i="1"/>
  <c r="B4958" i="1"/>
  <c r="A4959" i="1"/>
  <c r="B4959" i="1"/>
  <c r="A4960" i="1"/>
  <c r="B4960" i="1"/>
  <c r="A4961" i="1"/>
  <c r="B4961" i="1"/>
  <c r="A4962" i="1"/>
  <c r="B4962" i="1"/>
  <c r="A4963" i="1"/>
  <c r="B4963" i="1"/>
  <c r="A4964" i="1"/>
  <c r="B4964" i="1"/>
  <c r="A4965" i="1"/>
  <c r="B4965" i="1"/>
  <c r="A4966" i="1"/>
  <c r="B4966" i="1"/>
  <c r="A4967" i="1"/>
  <c r="B4967" i="1"/>
  <c r="A4968" i="1"/>
  <c r="B4968" i="1"/>
  <c r="A4969" i="1"/>
  <c r="B4969" i="1"/>
  <c r="A4970" i="1"/>
  <c r="B4970" i="1"/>
  <c r="A4971" i="1"/>
  <c r="B4971" i="1"/>
  <c r="A4972" i="1"/>
  <c r="B4972" i="1"/>
  <c r="A4973" i="1"/>
  <c r="B4973" i="1"/>
  <c r="A4974" i="1"/>
  <c r="B4974" i="1"/>
  <c r="A4975" i="1"/>
  <c r="B4975" i="1"/>
  <c r="A4976" i="1"/>
  <c r="B4976" i="1"/>
  <c r="A4977" i="1"/>
  <c r="B4977" i="1"/>
  <c r="A4978" i="1"/>
  <c r="B4978" i="1"/>
  <c r="A4979" i="1"/>
  <c r="B4979" i="1"/>
  <c r="A4980" i="1"/>
  <c r="B4980" i="1"/>
  <c r="A4981" i="1"/>
  <c r="B4981" i="1"/>
  <c r="A4982" i="1"/>
  <c r="B4982" i="1"/>
  <c r="A4983" i="1"/>
  <c r="B4983" i="1"/>
  <c r="A4984" i="1"/>
  <c r="B4984" i="1"/>
  <c r="A4985" i="1"/>
  <c r="B4985" i="1"/>
  <c r="A4986" i="1"/>
  <c r="B4986" i="1"/>
  <c r="A4987" i="1"/>
  <c r="B4987" i="1"/>
  <c r="A4988" i="1"/>
  <c r="B4988" i="1"/>
  <c r="A4989" i="1"/>
  <c r="B4989" i="1"/>
  <c r="A4990" i="1"/>
  <c r="B4990" i="1"/>
  <c r="A4991" i="1"/>
  <c r="B4991" i="1"/>
  <c r="A4992" i="1"/>
  <c r="B4992" i="1"/>
  <c r="A4993" i="1"/>
  <c r="B4993" i="1"/>
  <c r="A4994" i="1"/>
  <c r="B4994" i="1"/>
  <c r="A4995" i="1"/>
  <c r="B4995" i="1"/>
  <c r="A4996" i="1"/>
  <c r="B4996" i="1"/>
  <c r="A4997" i="1"/>
  <c r="B4997" i="1"/>
  <c r="A4998" i="1"/>
  <c r="B4998" i="1"/>
  <c r="A4999" i="1"/>
  <c r="B4999" i="1"/>
  <c r="A5000" i="1"/>
  <c r="B5000" i="1"/>
  <c r="A5001" i="1"/>
  <c r="B5001" i="1"/>
  <c r="A5002" i="1"/>
  <c r="B5002" i="1"/>
  <c r="A5003" i="1"/>
  <c r="B5003" i="1"/>
  <c r="A5004" i="1"/>
  <c r="B5004" i="1"/>
  <c r="A5005" i="1"/>
  <c r="B5005" i="1"/>
  <c r="A5006" i="1"/>
  <c r="B5006" i="1"/>
  <c r="A5007" i="1"/>
  <c r="B5007" i="1"/>
  <c r="A5008" i="1"/>
  <c r="B5008" i="1"/>
  <c r="A5009" i="1"/>
  <c r="B5009" i="1"/>
  <c r="A5010" i="1"/>
  <c r="B5010" i="1"/>
  <c r="A5011" i="1"/>
  <c r="B5011" i="1"/>
  <c r="A5012" i="1"/>
  <c r="B5012" i="1"/>
  <c r="A5013" i="1"/>
  <c r="B5013" i="1"/>
  <c r="A5014" i="1"/>
  <c r="B5014" i="1"/>
  <c r="A5015" i="1"/>
  <c r="B5015" i="1"/>
  <c r="A5016" i="1"/>
  <c r="B5016" i="1"/>
  <c r="A5017" i="1"/>
  <c r="B5017" i="1"/>
  <c r="A5018" i="1"/>
  <c r="B5018" i="1"/>
  <c r="A5019" i="1"/>
  <c r="B5019" i="1"/>
  <c r="A5020" i="1"/>
  <c r="B5020" i="1"/>
  <c r="A5021" i="1"/>
  <c r="B5021" i="1"/>
  <c r="A5022" i="1"/>
  <c r="B5022" i="1"/>
  <c r="A5023" i="1"/>
  <c r="B5023" i="1"/>
  <c r="A5024" i="1"/>
  <c r="B5024" i="1"/>
  <c r="A5025" i="1"/>
  <c r="B5025" i="1"/>
  <c r="A5026" i="1"/>
  <c r="B5026" i="1"/>
  <c r="A5027" i="1"/>
  <c r="B5027" i="1"/>
  <c r="A5028" i="1"/>
  <c r="B5028" i="1"/>
  <c r="A5029" i="1"/>
  <c r="B5029" i="1"/>
  <c r="A5030" i="1"/>
  <c r="B5030" i="1"/>
  <c r="A5031" i="1"/>
  <c r="B5031" i="1"/>
  <c r="A5032" i="1"/>
  <c r="B5032" i="1"/>
  <c r="A5033" i="1"/>
  <c r="B5033" i="1"/>
  <c r="A5034" i="1"/>
  <c r="B5034" i="1"/>
  <c r="A5035" i="1"/>
  <c r="B5035" i="1"/>
  <c r="A5036" i="1"/>
  <c r="B5036" i="1"/>
  <c r="A5037" i="1"/>
  <c r="B5037" i="1"/>
  <c r="A5038" i="1"/>
  <c r="B5038" i="1"/>
  <c r="A5039" i="1"/>
  <c r="B5039" i="1"/>
  <c r="A5040" i="1"/>
  <c r="B5040" i="1"/>
  <c r="A5041" i="1"/>
  <c r="B5041" i="1"/>
  <c r="A5042" i="1"/>
  <c r="B5042" i="1"/>
  <c r="A5043" i="1"/>
  <c r="B5043" i="1"/>
  <c r="A5044" i="1"/>
  <c r="B5044" i="1"/>
  <c r="A5045" i="1"/>
  <c r="B5045" i="1"/>
  <c r="A5046" i="1"/>
  <c r="B5046" i="1"/>
  <c r="A5047" i="1"/>
  <c r="B5047" i="1"/>
  <c r="A5048" i="1"/>
  <c r="B5048" i="1"/>
  <c r="A5049" i="1"/>
  <c r="B5049" i="1"/>
  <c r="A5050" i="1"/>
  <c r="B5050" i="1"/>
  <c r="A5051" i="1"/>
  <c r="B5051" i="1"/>
  <c r="A5052" i="1"/>
  <c r="B5052" i="1"/>
  <c r="A5053" i="1"/>
  <c r="B5053" i="1"/>
  <c r="A5054" i="1"/>
  <c r="B5054" i="1"/>
  <c r="A5055" i="1"/>
  <c r="B5055" i="1"/>
  <c r="A5056" i="1"/>
  <c r="B5056" i="1"/>
  <c r="A5057" i="1"/>
  <c r="B5057" i="1"/>
  <c r="A5058" i="1"/>
  <c r="B5058" i="1"/>
  <c r="A5059" i="1"/>
  <c r="B5059" i="1"/>
  <c r="A5060" i="1"/>
  <c r="B5060" i="1"/>
  <c r="A5061" i="1"/>
  <c r="B5061" i="1"/>
  <c r="A5062" i="1"/>
  <c r="B5062" i="1"/>
  <c r="A5063" i="1"/>
  <c r="B5063" i="1"/>
  <c r="A5064" i="1"/>
  <c r="B5064" i="1"/>
  <c r="A5065" i="1"/>
  <c r="B5065" i="1"/>
  <c r="A5066" i="1"/>
  <c r="B5066" i="1"/>
  <c r="A5067" i="1"/>
  <c r="B5067" i="1"/>
  <c r="A5068" i="1"/>
  <c r="B5068" i="1"/>
  <c r="A5069" i="1"/>
  <c r="B5069" i="1"/>
  <c r="A5070" i="1"/>
  <c r="B5070" i="1"/>
  <c r="A5071" i="1"/>
  <c r="B5071" i="1"/>
  <c r="A5072" i="1"/>
  <c r="B5072" i="1"/>
  <c r="A5073" i="1"/>
  <c r="B5073" i="1"/>
  <c r="A5074" i="1"/>
  <c r="B5074" i="1"/>
  <c r="A5075" i="1"/>
  <c r="B5075" i="1"/>
  <c r="A5076" i="1"/>
  <c r="B5076" i="1"/>
  <c r="A5077" i="1"/>
  <c r="B5077" i="1"/>
  <c r="A5078" i="1"/>
  <c r="B5078" i="1"/>
  <c r="A5079" i="1"/>
  <c r="B5079" i="1"/>
  <c r="A5080" i="1"/>
  <c r="B5080" i="1"/>
  <c r="A5081" i="1"/>
  <c r="B5081" i="1"/>
  <c r="A5082" i="1"/>
  <c r="B5082" i="1"/>
  <c r="A5083" i="1"/>
  <c r="B5083" i="1"/>
  <c r="A5084" i="1"/>
  <c r="B5084" i="1"/>
  <c r="A5085" i="1"/>
  <c r="B5085" i="1"/>
  <c r="A5086" i="1"/>
  <c r="B5086" i="1"/>
  <c r="A5087" i="1"/>
  <c r="B5087" i="1"/>
  <c r="A5088" i="1"/>
  <c r="B5088" i="1"/>
  <c r="A5089" i="1"/>
  <c r="B5089" i="1"/>
  <c r="A5090" i="1"/>
  <c r="B5090" i="1"/>
  <c r="A5091" i="1"/>
  <c r="B5091" i="1"/>
  <c r="A5092" i="1"/>
  <c r="B5092" i="1"/>
  <c r="A5093" i="1"/>
  <c r="B5093" i="1"/>
  <c r="A5094" i="1"/>
  <c r="B5094" i="1"/>
  <c r="A5095" i="1"/>
  <c r="B5095" i="1"/>
  <c r="A5096" i="1"/>
  <c r="B5096" i="1"/>
  <c r="A5097" i="1"/>
  <c r="B5097" i="1"/>
  <c r="A5098" i="1"/>
  <c r="B5098" i="1"/>
  <c r="A5099" i="1"/>
  <c r="B5099" i="1"/>
  <c r="A5100" i="1"/>
  <c r="B5100" i="1"/>
  <c r="A5101" i="1"/>
  <c r="B5101" i="1"/>
  <c r="A5102" i="1"/>
  <c r="B5102" i="1"/>
  <c r="A5103" i="1"/>
  <c r="B5103" i="1"/>
  <c r="A5104" i="1"/>
  <c r="B5104" i="1"/>
  <c r="A5105" i="1"/>
  <c r="B5105" i="1"/>
  <c r="A5106" i="1"/>
  <c r="B5106" i="1"/>
  <c r="A5107" i="1"/>
  <c r="B5107" i="1"/>
  <c r="A5108" i="1"/>
  <c r="B5108" i="1"/>
  <c r="A5109" i="1"/>
  <c r="B5109" i="1"/>
  <c r="A5110" i="1"/>
  <c r="B5110" i="1"/>
  <c r="A5111" i="1"/>
  <c r="B5111" i="1"/>
  <c r="A5112" i="1"/>
  <c r="B5112" i="1"/>
  <c r="A5113" i="1"/>
  <c r="B5113" i="1"/>
  <c r="A5114" i="1"/>
  <c r="B5114" i="1"/>
  <c r="A5115" i="1"/>
  <c r="B5115" i="1"/>
  <c r="A5116" i="1"/>
  <c r="B5116" i="1"/>
  <c r="A5117" i="1"/>
  <c r="B5117" i="1"/>
  <c r="A5118" i="1"/>
  <c r="B5118" i="1"/>
  <c r="A5119" i="1"/>
  <c r="B5119" i="1"/>
  <c r="A5120" i="1"/>
  <c r="B5120" i="1"/>
  <c r="A5121" i="1"/>
  <c r="B5121" i="1"/>
  <c r="A5122" i="1"/>
  <c r="B5122" i="1"/>
  <c r="A5123" i="1"/>
  <c r="B5123" i="1"/>
  <c r="A5124" i="1"/>
  <c r="B5124" i="1"/>
  <c r="A5125" i="1"/>
  <c r="B5125" i="1"/>
  <c r="A5126" i="1"/>
  <c r="B5126" i="1"/>
  <c r="A5127" i="1"/>
  <c r="B5127" i="1"/>
  <c r="A5128" i="1"/>
  <c r="B5128" i="1"/>
  <c r="A5129" i="1"/>
  <c r="B5129" i="1"/>
  <c r="A5130" i="1"/>
  <c r="B5130" i="1"/>
  <c r="A5131" i="1"/>
  <c r="B5131" i="1"/>
  <c r="A5132" i="1"/>
  <c r="B5132" i="1"/>
  <c r="A5133" i="1"/>
  <c r="B5133" i="1"/>
  <c r="A5134" i="1"/>
  <c r="B5134" i="1"/>
  <c r="A5135" i="1"/>
  <c r="B5135" i="1"/>
  <c r="A5136" i="1"/>
  <c r="B5136" i="1"/>
  <c r="A5137" i="1"/>
  <c r="B5137" i="1"/>
  <c r="A5138" i="1"/>
  <c r="B5138" i="1"/>
  <c r="A5139" i="1"/>
  <c r="B5139" i="1"/>
  <c r="A5140" i="1"/>
  <c r="B5140" i="1"/>
  <c r="A5141" i="1"/>
  <c r="B5141" i="1"/>
  <c r="A5142" i="1"/>
  <c r="B5142" i="1"/>
  <c r="A5143" i="1"/>
  <c r="B5143" i="1"/>
  <c r="A5144" i="1"/>
  <c r="B5144" i="1"/>
  <c r="A5145" i="1"/>
  <c r="B5145" i="1"/>
  <c r="A5146" i="1"/>
  <c r="B5146" i="1"/>
  <c r="A5147" i="1"/>
  <c r="B5147" i="1"/>
  <c r="A5148" i="1"/>
  <c r="B5148" i="1"/>
  <c r="A5149" i="1"/>
  <c r="B5149" i="1"/>
  <c r="A5150" i="1"/>
  <c r="B5150" i="1"/>
  <c r="A5151" i="1"/>
  <c r="B5151" i="1"/>
  <c r="A5152" i="1"/>
  <c r="B5152" i="1"/>
  <c r="A5153" i="1"/>
  <c r="B5153" i="1"/>
  <c r="A5154" i="1"/>
  <c r="B5154" i="1"/>
  <c r="A5155" i="1"/>
  <c r="B5155" i="1"/>
  <c r="A5156" i="1"/>
  <c r="B5156" i="1"/>
  <c r="A5157" i="1"/>
  <c r="B5157" i="1"/>
  <c r="A5158" i="1"/>
  <c r="B5158" i="1"/>
  <c r="A5159" i="1"/>
  <c r="B5159" i="1"/>
  <c r="A5160" i="1"/>
  <c r="B5160" i="1"/>
  <c r="A5161" i="1"/>
  <c r="B5161" i="1"/>
  <c r="A5162" i="1"/>
  <c r="B5162" i="1"/>
  <c r="A5163" i="1"/>
  <c r="B5163" i="1"/>
  <c r="A5164" i="1"/>
  <c r="B5164" i="1"/>
  <c r="A5165" i="1"/>
  <c r="B5165" i="1"/>
  <c r="A5166" i="1"/>
  <c r="B5166" i="1"/>
  <c r="A5167" i="1"/>
  <c r="B5167" i="1"/>
  <c r="A5168" i="1"/>
  <c r="B5168" i="1"/>
  <c r="A5169" i="1"/>
  <c r="B5169" i="1"/>
  <c r="A5170" i="1"/>
  <c r="B5170" i="1"/>
  <c r="A5171" i="1"/>
  <c r="B5171" i="1"/>
  <c r="A5172" i="1"/>
  <c r="B5172" i="1"/>
  <c r="A5173" i="1"/>
  <c r="B5173" i="1"/>
  <c r="A5174" i="1"/>
  <c r="B5174" i="1"/>
  <c r="A5175" i="1"/>
  <c r="B5175" i="1"/>
  <c r="A5176" i="1"/>
  <c r="B5176" i="1"/>
  <c r="A5177" i="1"/>
  <c r="B5177" i="1"/>
  <c r="A5178" i="1"/>
  <c r="B5178" i="1"/>
  <c r="A5179" i="1"/>
  <c r="B5179" i="1"/>
  <c r="A5180" i="1"/>
  <c r="B5180" i="1"/>
  <c r="A5181" i="1"/>
  <c r="B5181" i="1"/>
  <c r="A5182" i="1"/>
  <c r="B5182" i="1"/>
  <c r="A5183" i="1"/>
  <c r="B5183" i="1"/>
  <c r="A5184" i="1"/>
  <c r="B5184" i="1"/>
  <c r="A5185" i="1"/>
  <c r="B5185" i="1"/>
  <c r="A5186" i="1"/>
  <c r="B5186" i="1"/>
  <c r="A5187" i="1"/>
  <c r="B5187" i="1"/>
  <c r="A5188" i="1"/>
  <c r="B5188" i="1"/>
  <c r="A5189" i="1"/>
  <c r="B5189" i="1"/>
  <c r="A5190" i="1"/>
  <c r="B5190" i="1"/>
  <c r="A5191" i="1"/>
  <c r="B5191" i="1"/>
  <c r="A5192" i="1"/>
  <c r="B5192" i="1"/>
  <c r="A5193" i="1"/>
  <c r="B5193" i="1"/>
  <c r="A5194" i="1"/>
  <c r="B5194" i="1"/>
  <c r="A5195" i="1"/>
  <c r="B5195" i="1"/>
  <c r="A5196" i="1"/>
  <c r="B5196" i="1"/>
  <c r="A5197" i="1"/>
  <c r="B5197" i="1"/>
  <c r="A5198" i="1"/>
  <c r="B5198" i="1"/>
  <c r="A5199" i="1"/>
  <c r="B5199" i="1"/>
  <c r="A5200" i="1"/>
  <c r="B5200" i="1"/>
  <c r="A5201" i="1"/>
  <c r="B5201" i="1"/>
  <c r="A5202" i="1"/>
  <c r="B5202" i="1"/>
  <c r="A5203" i="1"/>
  <c r="B5203" i="1"/>
  <c r="A5204" i="1"/>
  <c r="B5204" i="1"/>
  <c r="A5205" i="1"/>
  <c r="B5205" i="1"/>
  <c r="A5206" i="1"/>
  <c r="B5206" i="1"/>
  <c r="A5207" i="1"/>
  <c r="B5207" i="1"/>
  <c r="A5208" i="1"/>
  <c r="B5208" i="1"/>
  <c r="A5209" i="1"/>
  <c r="B5209" i="1"/>
  <c r="A5210" i="1"/>
  <c r="B5210" i="1"/>
  <c r="A5211" i="1"/>
  <c r="B5211" i="1"/>
  <c r="A5212" i="1"/>
  <c r="B5212" i="1"/>
  <c r="A5213" i="1"/>
  <c r="B5213" i="1"/>
  <c r="A5214" i="1"/>
  <c r="B5214" i="1"/>
  <c r="A5215" i="1"/>
  <c r="B5215" i="1"/>
  <c r="A5216" i="1"/>
  <c r="B5216" i="1"/>
  <c r="A5217" i="1"/>
  <c r="B5217" i="1"/>
  <c r="A5218" i="1"/>
  <c r="B5218" i="1"/>
  <c r="A5219" i="1"/>
  <c r="B5219" i="1"/>
  <c r="A5220" i="1"/>
  <c r="B5220" i="1"/>
  <c r="A5221" i="1"/>
  <c r="B5221" i="1"/>
  <c r="A5222" i="1"/>
  <c r="B5222" i="1"/>
  <c r="A5223" i="1"/>
  <c r="B5223" i="1"/>
  <c r="A5224" i="1"/>
  <c r="B5224" i="1"/>
  <c r="A5225" i="1"/>
  <c r="B5225" i="1"/>
  <c r="A5226" i="1"/>
  <c r="B5226" i="1"/>
  <c r="A5227" i="1"/>
  <c r="B5227" i="1"/>
  <c r="A5228" i="1"/>
  <c r="B5228" i="1"/>
  <c r="A5229" i="1"/>
  <c r="B5229" i="1"/>
  <c r="A5230" i="1"/>
  <c r="B5230" i="1"/>
  <c r="A5231" i="1"/>
  <c r="B5231" i="1"/>
  <c r="A5232" i="1"/>
  <c r="B5232" i="1"/>
  <c r="A5233" i="1"/>
  <c r="B5233" i="1"/>
  <c r="A5234" i="1"/>
  <c r="B5234" i="1"/>
  <c r="A5235" i="1"/>
  <c r="B5235" i="1"/>
  <c r="A5236" i="1"/>
  <c r="B5236" i="1"/>
  <c r="A5237" i="1"/>
  <c r="B5237" i="1"/>
  <c r="A5238" i="1"/>
  <c r="B5238" i="1"/>
  <c r="A5239" i="1"/>
  <c r="B5239" i="1"/>
  <c r="A5240" i="1"/>
  <c r="B5240" i="1"/>
  <c r="A5241" i="1"/>
  <c r="B5241" i="1"/>
  <c r="A5242" i="1"/>
  <c r="B5242" i="1"/>
  <c r="A5243" i="1"/>
  <c r="B5243" i="1"/>
  <c r="A5244" i="1"/>
  <c r="B5244" i="1"/>
  <c r="A5245" i="1"/>
  <c r="B5245" i="1"/>
  <c r="A5246" i="1"/>
  <c r="B5246" i="1"/>
  <c r="A5247" i="1"/>
  <c r="B5247" i="1"/>
  <c r="A5248" i="1"/>
  <c r="B5248" i="1"/>
  <c r="A5249" i="1"/>
  <c r="B5249" i="1"/>
  <c r="A5250" i="1"/>
  <c r="B5250" i="1"/>
  <c r="A5251" i="1"/>
  <c r="B5251" i="1"/>
  <c r="A5252" i="1"/>
  <c r="B5252" i="1"/>
  <c r="A5253" i="1"/>
  <c r="B5253" i="1"/>
  <c r="A5254" i="1"/>
  <c r="B5254" i="1"/>
  <c r="A5255" i="1"/>
  <c r="B5255" i="1"/>
  <c r="A5256" i="1"/>
  <c r="B5256" i="1"/>
  <c r="A5257" i="1"/>
  <c r="B5257" i="1"/>
  <c r="A5258" i="1"/>
  <c r="B5258" i="1"/>
  <c r="A5259" i="1"/>
  <c r="B5259" i="1"/>
  <c r="A5260" i="1"/>
  <c r="B5260" i="1"/>
  <c r="A5261" i="1"/>
  <c r="B5261" i="1"/>
  <c r="A5262" i="1"/>
  <c r="B5262" i="1"/>
  <c r="A5263" i="1"/>
  <c r="B5263" i="1"/>
  <c r="A5264" i="1"/>
  <c r="B5264" i="1"/>
  <c r="A5265" i="1"/>
  <c r="B5265" i="1"/>
  <c r="A5266" i="1"/>
  <c r="B5266" i="1"/>
  <c r="A5267" i="1"/>
  <c r="B5267" i="1"/>
  <c r="A5268" i="1"/>
  <c r="B5268" i="1"/>
  <c r="A5269" i="1"/>
  <c r="B5269" i="1"/>
  <c r="A5270" i="1"/>
  <c r="B5270" i="1"/>
  <c r="A5271" i="1"/>
  <c r="B5271" i="1"/>
  <c r="A5272" i="1"/>
  <c r="B5272" i="1"/>
  <c r="A5273" i="1"/>
  <c r="B5273" i="1"/>
  <c r="A5274" i="1"/>
  <c r="B5274" i="1"/>
  <c r="A5275" i="1"/>
  <c r="B5275" i="1"/>
  <c r="A5276" i="1"/>
  <c r="B5276" i="1"/>
  <c r="A5277" i="1"/>
  <c r="B5277" i="1"/>
  <c r="A5278" i="1"/>
  <c r="B5278" i="1"/>
  <c r="A5279" i="1"/>
  <c r="B5279" i="1"/>
  <c r="A5280" i="1"/>
  <c r="B5280" i="1"/>
  <c r="A5281" i="1"/>
  <c r="B5281" i="1"/>
  <c r="A5282" i="1"/>
  <c r="B5282" i="1"/>
  <c r="A5283" i="1"/>
  <c r="B5283" i="1"/>
  <c r="A5284" i="1"/>
  <c r="B5284" i="1"/>
  <c r="A5285" i="1"/>
  <c r="B5285" i="1"/>
  <c r="A5286" i="1"/>
  <c r="B5286" i="1"/>
  <c r="A5287" i="1"/>
  <c r="B5287" i="1"/>
  <c r="A5288" i="1"/>
  <c r="B5288" i="1"/>
  <c r="A5289" i="1"/>
  <c r="B5289" i="1"/>
  <c r="A5290" i="1"/>
  <c r="B5290" i="1"/>
  <c r="A5291" i="1"/>
  <c r="B5291" i="1"/>
  <c r="A5292" i="1"/>
  <c r="B5292" i="1"/>
  <c r="A5293" i="1"/>
  <c r="B5293" i="1"/>
  <c r="A5294" i="1"/>
  <c r="B5294" i="1"/>
  <c r="A5295" i="1"/>
  <c r="B5295" i="1"/>
  <c r="A5296" i="1"/>
  <c r="B5296" i="1"/>
  <c r="A5297" i="1"/>
  <c r="B5297" i="1"/>
  <c r="A5298" i="1"/>
  <c r="B5298" i="1"/>
  <c r="A5299" i="1"/>
  <c r="B5299" i="1"/>
  <c r="A5300" i="1"/>
  <c r="B5300" i="1"/>
  <c r="A5301" i="1"/>
  <c r="B5301" i="1"/>
  <c r="A5302" i="1"/>
  <c r="B5302" i="1"/>
  <c r="A5303" i="1"/>
  <c r="B5303" i="1"/>
  <c r="A5304" i="1"/>
  <c r="B5304" i="1"/>
  <c r="A5305" i="1"/>
  <c r="B5305" i="1"/>
  <c r="A5306" i="1"/>
  <c r="B5306" i="1"/>
  <c r="A5307" i="1"/>
  <c r="B5307" i="1"/>
  <c r="A5308" i="1"/>
  <c r="B5308" i="1"/>
  <c r="A5309" i="1"/>
  <c r="B5309" i="1"/>
  <c r="A5310" i="1"/>
  <c r="B5310" i="1"/>
  <c r="A5311" i="1"/>
  <c r="B5311" i="1"/>
  <c r="A5312" i="1"/>
  <c r="B5312" i="1"/>
  <c r="A5313" i="1"/>
  <c r="B5313" i="1"/>
  <c r="A5314" i="1"/>
  <c r="B5314" i="1"/>
  <c r="A5315" i="1"/>
  <c r="B5315" i="1"/>
  <c r="A5316" i="1"/>
  <c r="B5316" i="1"/>
  <c r="A5317" i="1"/>
  <c r="B5317" i="1"/>
  <c r="A5318" i="1"/>
  <c r="B5318" i="1"/>
  <c r="A5319" i="1"/>
  <c r="B5319" i="1"/>
  <c r="A5320" i="1"/>
  <c r="B5320" i="1"/>
  <c r="A5321" i="1"/>
  <c r="B5321" i="1"/>
  <c r="A5322" i="1"/>
  <c r="B5322" i="1"/>
  <c r="A5323" i="1"/>
  <c r="B5323" i="1"/>
  <c r="A5324" i="1"/>
  <c r="B5324" i="1"/>
  <c r="A5325" i="1"/>
  <c r="B5325" i="1"/>
  <c r="A5326" i="1"/>
  <c r="B5326" i="1"/>
  <c r="A5327" i="1"/>
  <c r="B5327" i="1"/>
  <c r="A5328" i="1"/>
  <c r="B5328" i="1"/>
  <c r="A5329" i="1"/>
  <c r="B5329" i="1"/>
  <c r="A5330" i="1"/>
  <c r="B5330" i="1"/>
  <c r="A5331" i="1"/>
  <c r="B5331" i="1"/>
  <c r="A5332" i="1"/>
  <c r="B5332" i="1"/>
  <c r="A5333" i="1"/>
  <c r="B5333" i="1"/>
  <c r="A5334" i="1"/>
  <c r="B5334" i="1"/>
  <c r="A5335" i="1"/>
  <c r="B5335" i="1"/>
  <c r="A5336" i="1"/>
  <c r="B5336" i="1"/>
  <c r="A5337" i="1"/>
  <c r="B5337" i="1"/>
  <c r="A5338" i="1"/>
  <c r="B5338" i="1"/>
  <c r="A5339" i="1"/>
  <c r="B5339" i="1"/>
  <c r="A5340" i="1"/>
  <c r="B5340" i="1"/>
  <c r="A5341" i="1"/>
  <c r="B5341" i="1"/>
  <c r="A5342" i="1"/>
  <c r="B5342" i="1"/>
  <c r="A5343" i="1"/>
  <c r="B5343" i="1"/>
  <c r="A5344" i="1"/>
  <c r="B5344" i="1"/>
  <c r="A5345" i="1"/>
  <c r="B5345" i="1"/>
  <c r="A5346" i="1"/>
  <c r="B5346" i="1"/>
  <c r="A5347" i="1"/>
  <c r="B5347" i="1"/>
  <c r="A5348" i="1"/>
  <c r="B5348" i="1"/>
  <c r="A5349" i="1"/>
  <c r="B5349" i="1"/>
  <c r="A5350" i="1"/>
  <c r="B5350" i="1"/>
  <c r="A5351" i="1"/>
  <c r="B5351" i="1"/>
  <c r="A5352" i="1"/>
  <c r="B5352" i="1"/>
  <c r="A5353" i="1"/>
  <c r="B5353" i="1"/>
  <c r="A5354" i="1"/>
  <c r="B5354" i="1"/>
  <c r="A5355" i="1"/>
  <c r="B5355" i="1"/>
  <c r="A5356" i="1"/>
  <c r="B5356" i="1"/>
  <c r="A5357" i="1"/>
  <c r="B5357" i="1"/>
  <c r="A5358" i="1"/>
  <c r="B5358" i="1"/>
  <c r="A5359" i="1"/>
  <c r="B5359" i="1"/>
  <c r="A5360" i="1"/>
  <c r="B5360" i="1"/>
  <c r="A5361" i="1"/>
  <c r="B5361" i="1"/>
  <c r="A5362" i="1"/>
  <c r="B5362" i="1"/>
  <c r="A5363" i="1"/>
  <c r="B5363" i="1"/>
  <c r="A5364" i="1"/>
  <c r="B5364" i="1"/>
  <c r="A5365" i="1"/>
  <c r="B5365" i="1"/>
  <c r="A5366" i="1"/>
  <c r="B5366" i="1"/>
  <c r="A5367" i="1"/>
  <c r="B5367" i="1"/>
  <c r="A5368" i="1"/>
  <c r="B5368" i="1"/>
  <c r="A5369" i="1"/>
  <c r="B5369" i="1"/>
  <c r="A5370" i="1"/>
  <c r="B5370" i="1"/>
  <c r="A5371" i="1"/>
  <c r="B5371" i="1"/>
  <c r="A5372" i="1"/>
  <c r="B5372" i="1"/>
  <c r="A5373" i="1"/>
  <c r="B5373" i="1"/>
  <c r="A5374" i="1"/>
  <c r="B5374" i="1"/>
  <c r="A5375" i="1"/>
  <c r="B5375" i="1"/>
  <c r="A5376" i="1"/>
  <c r="B5376" i="1"/>
  <c r="A5377" i="1"/>
  <c r="B5377" i="1"/>
  <c r="A5378" i="1"/>
  <c r="B5378" i="1"/>
  <c r="A5379" i="1"/>
  <c r="B5379" i="1"/>
  <c r="A5380" i="1"/>
  <c r="B5380" i="1"/>
  <c r="A5381" i="1"/>
  <c r="B5381" i="1"/>
  <c r="A5382" i="1"/>
  <c r="B5382" i="1"/>
  <c r="A5383" i="1"/>
  <c r="B5383" i="1"/>
  <c r="A5384" i="1"/>
  <c r="B5384" i="1"/>
  <c r="A5385" i="1"/>
  <c r="B5385" i="1"/>
  <c r="A5386" i="1"/>
  <c r="B5386" i="1"/>
  <c r="A5387" i="1"/>
  <c r="B5387" i="1"/>
  <c r="A5388" i="1"/>
  <c r="B5388" i="1"/>
  <c r="A5389" i="1"/>
  <c r="B5389" i="1"/>
  <c r="A5390" i="1"/>
  <c r="B5390" i="1"/>
  <c r="A5391" i="1"/>
  <c r="B5391" i="1"/>
  <c r="A5392" i="1"/>
  <c r="B5392" i="1"/>
  <c r="A5393" i="1"/>
  <c r="B5393" i="1"/>
  <c r="A5394" i="1"/>
  <c r="B5394" i="1"/>
  <c r="A5395" i="1"/>
  <c r="B5395" i="1"/>
  <c r="A5396" i="1"/>
  <c r="B5396" i="1"/>
  <c r="A5397" i="1"/>
  <c r="B5397" i="1"/>
  <c r="A5398" i="1"/>
  <c r="B5398" i="1"/>
  <c r="A5399" i="1"/>
  <c r="B5399" i="1"/>
  <c r="A5400" i="1"/>
  <c r="B5400" i="1"/>
  <c r="A5401" i="1"/>
  <c r="B5401" i="1"/>
  <c r="A5402" i="1"/>
  <c r="B5402" i="1"/>
  <c r="A5403" i="1"/>
  <c r="B5403" i="1"/>
  <c r="A5404" i="1"/>
  <c r="B5404" i="1"/>
  <c r="A5405" i="1"/>
  <c r="B5405" i="1"/>
  <c r="A5406" i="1"/>
  <c r="B5406" i="1"/>
  <c r="A5407" i="1"/>
  <c r="B5407" i="1"/>
  <c r="A5408" i="1"/>
  <c r="B5408" i="1"/>
  <c r="A5409" i="1"/>
  <c r="B5409" i="1"/>
  <c r="A5410" i="1"/>
  <c r="B5410" i="1"/>
  <c r="A5411" i="1"/>
  <c r="B5411" i="1"/>
  <c r="A5412" i="1"/>
  <c r="B5412" i="1"/>
  <c r="A5413" i="1"/>
  <c r="B5413" i="1"/>
  <c r="A5414" i="1"/>
  <c r="B5414" i="1"/>
  <c r="A5415" i="1"/>
  <c r="B5415" i="1"/>
  <c r="A5416" i="1"/>
  <c r="B5416" i="1"/>
  <c r="A5417" i="1"/>
  <c r="B5417" i="1"/>
  <c r="A5418" i="1"/>
  <c r="B5418" i="1"/>
  <c r="A5419" i="1"/>
  <c r="B5419" i="1"/>
  <c r="A5420" i="1"/>
  <c r="B5420" i="1"/>
  <c r="A5421" i="1"/>
  <c r="B5421" i="1"/>
  <c r="A5422" i="1"/>
  <c r="B5422" i="1"/>
  <c r="A5423" i="1"/>
  <c r="B5423" i="1"/>
  <c r="A5424" i="1"/>
  <c r="B5424" i="1"/>
  <c r="A5425" i="1"/>
  <c r="B5425" i="1"/>
  <c r="A5426" i="1"/>
  <c r="B5426" i="1"/>
  <c r="A5427" i="1"/>
  <c r="B5427" i="1"/>
  <c r="A5428" i="1"/>
  <c r="B5428" i="1"/>
  <c r="A5429" i="1"/>
  <c r="B5429" i="1"/>
  <c r="A5430" i="1"/>
  <c r="B5430" i="1"/>
  <c r="A5431" i="1"/>
  <c r="B5431" i="1"/>
  <c r="A5432" i="1"/>
  <c r="B5432" i="1"/>
  <c r="A5433" i="1"/>
  <c r="B5433" i="1"/>
  <c r="A5434" i="1"/>
  <c r="B5434" i="1"/>
  <c r="A5435" i="1"/>
  <c r="B5435" i="1"/>
  <c r="A5436" i="1"/>
  <c r="B5436" i="1"/>
  <c r="A5437" i="1"/>
  <c r="B5437" i="1"/>
  <c r="A5438" i="1"/>
  <c r="B5438" i="1"/>
  <c r="A5439" i="1"/>
  <c r="B5439" i="1"/>
  <c r="A5440" i="1"/>
  <c r="B5440" i="1"/>
  <c r="A5441" i="1"/>
  <c r="B5441" i="1"/>
  <c r="A5442" i="1"/>
  <c r="B5442" i="1"/>
  <c r="A5443" i="1"/>
  <c r="B5443" i="1"/>
  <c r="A5444" i="1"/>
  <c r="B5444" i="1"/>
  <c r="A5445" i="1"/>
  <c r="B5445" i="1"/>
  <c r="A5446" i="1"/>
  <c r="B5446" i="1"/>
  <c r="A5447" i="1"/>
  <c r="B5447" i="1"/>
  <c r="A5448" i="1"/>
  <c r="B5448" i="1"/>
  <c r="A5449" i="1"/>
  <c r="B5449" i="1"/>
  <c r="A5450" i="1"/>
  <c r="B5450" i="1"/>
  <c r="A5451" i="1"/>
  <c r="B5451" i="1"/>
  <c r="A5452" i="1"/>
  <c r="B5452" i="1"/>
  <c r="A5453" i="1"/>
  <c r="B5453" i="1"/>
  <c r="A5454" i="1"/>
  <c r="B5454" i="1"/>
  <c r="A5455" i="1"/>
  <c r="B5455" i="1"/>
  <c r="A5456" i="1"/>
  <c r="B5456" i="1"/>
  <c r="A5457" i="1"/>
  <c r="B5457" i="1"/>
  <c r="A5458" i="1"/>
  <c r="B5458" i="1"/>
  <c r="A5459" i="1"/>
  <c r="B5459" i="1"/>
  <c r="A5460" i="1"/>
  <c r="B5460" i="1"/>
  <c r="A5461" i="1"/>
  <c r="B5461" i="1"/>
  <c r="A5462" i="1"/>
  <c r="B5462" i="1"/>
  <c r="A5463" i="1"/>
  <c r="B5463" i="1"/>
  <c r="A5464" i="1"/>
  <c r="B5464" i="1"/>
  <c r="A5465" i="1"/>
  <c r="B5465" i="1"/>
  <c r="A5466" i="1"/>
  <c r="B5466" i="1"/>
  <c r="A5467" i="1"/>
  <c r="B5467" i="1"/>
  <c r="A5468" i="1"/>
  <c r="B5468" i="1"/>
  <c r="A5469" i="1"/>
  <c r="B5469" i="1"/>
  <c r="A5470" i="1"/>
  <c r="B5470" i="1"/>
  <c r="A5471" i="1"/>
  <c r="B5471" i="1"/>
  <c r="A5472" i="1"/>
  <c r="B5472" i="1"/>
  <c r="A5473" i="1"/>
  <c r="B5473" i="1"/>
  <c r="A5474" i="1"/>
  <c r="B5474" i="1"/>
  <c r="A5475" i="1"/>
  <c r="B5475" i="1"/>
  <c r="A5476" i="1"/>
  <c r="B5476" i="1"/>
  <c r="A5477" i="1"/>
  <c r="B5477" i="1"/>
  <c r="A5478" i="1"/>
  <c r="B5478" i="1"/>
  <c r="A5479" i="1"/>
  <c r="B5479" i="1"/>
  <c r="A5480" i="1"/>
  <c r="B5480" i="1"/>
  <c r="A5481" i="1"/>
  <c r="B5481" i="1"/>
  <c r="A5482" i="1"/>
  <c r="B5482" i="1"/>
  <c r="A5483" i="1"/>
  <c r="B5483" i="1"/>
  <c r="A5484" i="1"/>
  <c r="B5484" i="1"/>
  <c r="A5485" i="1"/>
  <c r="B5485" i="1"/>
  <c r="A5486" i="1"/>
  <c r="B5486" i="1"/>
  <c r="A5487" i="1"/>
  <c r="B5487" i="1"/>
  <c r="A5488" i="1"/>
  <c r="B5488" i="1"/>
  <c r="A5489" i="1"/>
  <c r="B5489" i="1"/>
  <c r="A5490" i="1"/>
  <c r="B5490" i="1"/>
  <c r="A5491" i="1"/>
  <c r="B5491" i="1"/>
  <c r="A5492" i="1"/>
  <c r="B5492" i="1"/>
  <c r="A5493" i="1"/>
  <c r="B5493" i="1"/>
  <c r="A5494" i="1"/>
  <c r="B5494" i="1"/>
  <c r="A5495" i="1"/>
  <c r="B5495" i="1"/>
  <c r="A5496" i="1"/>
  <c r="B5496" i="1"/>
  <c r="A5497" i="1"/>
  <c r="B5497" i="1"/>
  <c r="A5498" i="1"/>
  <c r="B5498" i="1"/>
  <c r="A5499" i="1"/>
  <c r="B5499" i="1"/>
  <c r="A5500" i="1"/>
  <c r="B5500" i="1"/>
  <c r="A5501" i="1"/>
  <c r="B5501" i="1"/>
  <c r="A5502" i="1"/>
  <c r="B5502" i="1"/>
  <c r="A5503" i="1"/>
  <c r="B5503" i="1"/>
  <c r="A5504" i="1"/>
  <c r="B5504" i="1"/>
  <c r="A5505" i="1"/>
  <c r="B5505" i="1"/>
  <c r="A5506" i="1"/>
  <c r="B5506" i="1"/>
  <c r="A5507" i="1"/>
  <c r="B5507" i="1"/>
  <c r="A5508" i="1"/>
  <c r="B5508" i="1"/>
  <c r="A5509" i="1"/>
  <c r="B5509" i="1"/>
  <c r="A5510" i="1"/>
  <c r="B5510" i="1"/>
  <c r="A5511" i="1"/>
  <c r="B5511" i="1"/>
  <c r="A5512" i="1"/>
  <c r="B5512" i="1"/>
  <c r="A5513" i="1"/>
  <c r="B5513" i="1"/>
  <c r="A5514" i="1"/>
  <c r="B5514" i="1"/>
  <c r="A5515" i="1"/>
  <c r="B5515" i="1"/>
  <c r="A5516" i="1"/>
  <c r="B5516" i="1"/>
  <c r="A5517" i="1"/>
  <c r="B5517" i="1"/>
  <c r="A5518" i="1"/>
  <c r="B5518" i="1"/>
  <c r="A5519" i="1"/>
  <c r="B5519" i="1"/>
  <c r="A5520" i="1"/>
  <c r="B5520" i="1"/>
  <c r="A5521" i="1"/>
  <c r="B5521" i="1"/>
  <c r="A5522" i="1"/>
  <c r="B5522" i="1"/>
  <c r="A5523" i="1"/>
  <c r="B5523" i="1"/>
  <c r="A5524" i="1"/>
  <c r="B5524" i="1"/>
  <c r="A5525" i="1"/>
  <c r="B5525" i="1"/>
  <c r="A5526" i="1"/>
  <c r="B5526" i="1"/>
  <c r="A5527" i="1"/>
  <c r="B5527" i="1"/>
  <c r="A5528" i="1"/>
  <c r="B5528" i="1"/>
  <c r="A5529" i="1"/>
  <c r="B5529" i="1"/>
  <c r="A5530" i="1"/>
  <c r="B5530" i="1"/>
  <c r="A5531" i="1"/>
  <c r="B5531" i="1"/>
  <c r="A5532" i="1"/>
  <c r="B5532" i="1"/>
  <c r="A5533" i="1"/>
  <c r="B5533" i="1"/>
  <c r="A5534" i="1"/>
  <c r="B5534" i="1"/>
  <c r="A5535" i="1"/>
  <c r="B5535" i="1"/>
  <c r="A5536" i="1"/>
  <c r="B5536" i="1"/>
  <c r="A5537" i="1"/>
  <c r="B5537" i="1"/>
  <c r="A5538" i="1"/>
  <c r="B5538" i="1"/>
  <c r="A5539" i="1"/>
  <c r="B5539" i="1"/>
  <c r="A5540" i="1"/>
  <c r="B5540" i="1"/>
  <c r="A5541" i="1"/>
  <c r="B5541" i="1"/>
  <c r="A5542" i="1"/>
  <c r="B5542" i="1"/>
  <c r="A5543" i="1"/>
  <c r="B5543" i="1"/>
  <c r="A5544" i="1"/>
  <c r="B5544" i="1"/>
  <c r="A5545" i="1"/>
  <c r="B5545" i="1"/>
  <c r="A5546" i="1"/>
  <c r="B5546" i="1"/>
  <c r="A5547" i="1"/>
  <c r="B5547" i="1"/>
  <c r="A5548" i="1"/>
  <c r="B5548" i="1"/>
  <c r="A5549" i="1"/>
  <c r="B5549" i="1"/>
  <c r="A5550" i="1"/>
  <c r="B5550" i="1"/>
  <c r="A5551" i="1"/>
  <c r="B5551" i="1"/>
  <c r="A5552" i="1"/>
  <c r="B5552" i="1"/>
  <c r="A5553" i="1"/>
  <c r="B5553" i="1"/>
  <c r="A5554" i="1"/>
  <c r="B5554" i="1"/>
  <c r="A5555" i="1"/>
  <c r="B5555" i="1"/>
  <c r="A5556" i="1"/>
  <c r="B5556" i="1"/>
  <c r="A5557" i="1"/>
  <c r="B5557" i="1"/>
  <c r="A5558" i="1"/>
  <c r="B5558" i="1"/>
  <c r="A5559" i="1"/>
  <c r="B5559" i="1"/>
  <c r="A5560" i="1"/>
  <c r="B5560" i="1"/>
  <c r="A5561" i="1"/>
  <c r="B5561" i="1"/>
  <c r="A5562" i="1"/>
  <c r="B5562" i="1"/>
  <c r="A5563" i="1"/>
  <c r="B5563" i="1"/>
  <c r="A5564" i="1"/>
  <c r="B5564" i="1"/>
  <c r="A5565" i="1"/>
  <c r="B5565" i="1"/>
  <c r="A5566" i="1"/>
  <c r="B5566" i="1"/>
  <c r="A5567" i="1"/>
  <c r="B5567" i="1"/>
  <c r="A5568" i="1"/>
  <c r="B5568" i="1"/>
  <c r="A5569" i="1"/>
  <c r="B5569" i="1"/>
  <c r="A5570" i="1"/>
  <c r="B5570" i="1"/>
  <c r="A5571" i="1"/>
  <c r="B5571" i="1"/>
  <c r="A5572" i="1"/>
  <c r="B5572" i="1"/>
  <c r="A5573" i="1"/>
  <c r="B5573" i="1"/>
  <c r="A5574" i="1"/>
  <c r="B5574" i="1"/>
  <c r="A5575" i="1"/>
  <c r="B5575" i="1"/>
  <c r="A5576" i="1"/>
  <c r="B5576" i="1"/>
  <c r="A5577" i="1"/>
  <c r="B5577" i="1"/>
  <c r="A5578" i="1"/>
  <c r="B5578" i="1"/>
  <c r="A5579" i="1"/>
  <c r="B5579" i="1"/>
  <c r="A5580" i="1"/>
  <c r="B5580" i="1"/>
  <c r="A5581" i="1"/>
  <c r="B5581" i="1"/>
  <c r="A5582" i="1"/>
  <c r="B5582" i="1"/>
  <c r="A5583" i="1"/>
  <c r="B5583" i="1"/>
  <c r="A5584" i="1"/>
  <c r="B5584" i="1"/>
  <c r="A5585" i="1"/>
  <c r="B5585" i="1"/>
  <c r="A5586" i="1"/>
  <c r="B5586" i="1"/>
  <c r="A5587" i="1"/>
  <c r="B5587" i="1"/>
  <c r="A5588" i="1"/>
  <c r="B5588" i="1"/>
  <c r="A5589" i="1"/>
  <c r="B5589" i="1"/>
  <c r="A5590" i="1"/>
  <c r="B5590" i="1"/>
  <c r="A5591" i="1"/>
  <c r="B5591" i="1"/>
  <c r="A5592" i="1"/>
  <c r="B5592" i="1"/>
  <c r="A5593" i="1"/>
  <c r="B5593" i="1"/>
  <c r="A5594" i="1"/>
  <c r="B5594" i="1"/>
  <c r="A5595" i="1"/>
  <c r="B5595" i="1"/>
  <c r="A5596" i="1"/>
  <c r="B5596" i="1"/>
  <c r="A5597" i="1"/>
  <c r="B5597" i="1"/>
  <c r="A5598" i="1"/>
  <c r="B5598" i="1"/>
  <c r="A5599" i="1"/>
  <c r="B5599" i="1"/>
  <c r="A5600" i="1"/>
  <c r="B5600" i="1"/>
  <c r="A5601" i="1"/>
  <c r="B5601" i="1"/>
  <c r="A5602" i="1"/>
  <c r="B5602" i="1"/>
  <c r="A5603" i="1"/>
  <c r="B5603" i="1"/>
  <c r="A5604" i="1"/>
  <c r="B5604" i="1"/>
  <c r="A5605" i="1"/>
  <c r="B5605" i="1"/>
  <c r="A5606" i="1"/>
  <c r="B5606" i="1"/>
  <c r="A5607" i="1"/>
  <c r="B5607" i="1"/>
  <c r="A5608" i="1"/>
  <c r="B5608" i="1"/>
  <c r="A5609" i="1"/>
  <c r="B5609" i="1"/>
  <c r="A5610" i="1"/>
  <c r="B5610" i="1"/>
  <c r="A5611" i="1"/>
  <c r="B5611" i="1"/>
  <c r="A5612" i="1"/>
  <c r="B5612" i="1"/>
  <c r="A5613" i="1"/>
  <c r="B5613" i="1"/>
  <c r="A5614" i="1"/>
  <c r="B5614" i="1"/>
  <c r="A5615" i="1"/>
  <c r="B5615" i="1"/>
  <c r="A5616" i="1"/>
  <c r="B5616" i="1"/>
  <c r="A5617" i="1"/>
  <c r="B5617" i="1"/>
  <c r="A5618" i="1"/>
  <c r="B5618" i="1"/>
  <c r="A5619" i="1"/>
  <c r="B5619" i="1"/>
  <c r="A5620" i="1"/>
  <c r="B5620" i="1"/>
  <c r="A5621" i="1"/>
  <c r="B5621" i="1"/>
  <c r="A5622" i="1"/>
  <c r="B5622" i="1"/>
  <c r="A5623" i="1"/>
  <c r="B5623" i="1"/>
  <c r="A5624" i="1"/>
  <c r="B5624" i="1"/>
  <c r="A5625" i="1"/>
  <c r="B5625" i="1"/>
  <c r="A5626" i="1"/>
  <c r="B5626" i="1"/>
  <c r="A5627" i="1"/>
  <c r="B5627" i="1"/>
  <c r="A5628" i="1"/>
  <c r="B5628" i="1"/>
  <c r="A5629" i="1"/>
  <c r="B5629" i="1"/>
  <c r="A5630" i="1"/>
  <c r="B5630" i="1"/>
  <c r="A5631" i="1"/>
  <c r="B5631" i="1"/>
  <c r="A5632" i="1"/>
  <c r="B5632" i="1"/>
  <c r="A5633" i="1"/>
  <c r="B5633" i="1"/>
  <c r="A5634" i="1"/>
  <c r="B5634" i="1"/>
  <c r="A5635" i="1"/>
  <c r="B5635" i="1"/>
  <c r="A5636" i="1"/>
  <c r="B5636" i="1"/>
  <c r="A5637" i="1"/>
  <c r="B5637" i="1"/>
  <c r="A5638" i="1"/>
  <c r="B5638" i="1"/>
  <c r="A5639" i="1"/>
  <c r="B5639" i="1"/>
  <c r="A5640" i="1"/>
  <c r="B5640" i="1"/>
  <c r="A5641" i="1"/>
  <c r="B5641" i="1"/>
  <c r="A5642" i="1"/>
  <c r="B5642" i="1"/>
  <c r="A5643" i="1"/>
  <c r="B5643" i="1"/>
  <c r="A5644" i="1"/>
  <c r="B5644" i="1"/>
  <c r="A5645" i="1"/>
  <c r="B5645" i="1"/>
  <c r="A5646" i="1"/>
  <c r="B5646" i="1"/>
  <c r="A5647" i="1"/>
  <c r="B5647" i="1"/>
  <c r="A5648" i="1"/>
  <c r="B5648" i="1"/>
  <c r="A5649" i="1"/>
  <c r="B5649" i="1"/>
  <c r="A5650" i="1"/>
  <c r="B5650" i="1"/>
  <c r="A5651" i="1"/>
  <c r="B5651" i="1"/>
  <c r="A5652" i="1"/>
  <c r="B5652" i="1"/>
  <c r="A5653" i="1"/>
  <c r="B5653" i="1"/>
  <c r="A5654" i="1"/>
  <c r="B5654" i="1"/>
  <c r="A5655" i="1"/>
  <c r="B5655" i="1"/>
  <c r="A5656" i="1"/>
  <c r="B5656" i="1"/>
  <c r="A5657" i="1"/>
  <c r="B5657" i="1"/>
  <c r="A5658" i="1"/>
  <c r="B5658" i="1"/>
  <c r="A5659" i="1"/>
  <c r="B5659" i="1"/>
  <c r="A5660" i="1"/>
  <c r="B5660" i="1"/>
  <c r="A5661" i="1"/>
  <c r="B5661" i="1"/>
  <c r="A5662" i="1"/>
  <c r="B5662" i="1"/>
  <c r="A5663" i="1"/>
  <c r="B5663" i="1"/>
  <c r="A5664" i="1"/>
  <c r="B5664" i="1"/>
  <c r="A5665" i="1"/>
  <c r="B5665" i="1"/>
  <c r="A5666" i="1"/>
  <c r="B5666" i="1"/>
  <c r="A5667" i="1"/>
  <c r="B5667" i="1"/>
  <c r="A5668" i="1"/>
  <c r="B5668" i="1"/>
  <c r="A5669" i="1"/>
  <c r="B5669" i="1"/>
  <c r="A5670" i="1"/>
  <c r="B5670" i="1"/>
  <c r="A5671" i="1"/>
  <c r="B5671" i="1"/>
  <c r="A5672" i="1"/>
  <c r="B5672" i="1"/>
  <c r="A5673" i="1"/>
  <c r="B5673" i="1"/>
  <c r="A5674" i="1"/>
  <c r="B5674" i="1"/>
  <c r="A5675" i="1"/>
  <c r="B5675" i="1"/>
  <c r="A5676" i="1"/>
  <c r="B5676" i="1"/>
  <c r="A5677" i="1"/>
  <c r="B5677" i="1"/>
  <c r="A5678" i="1"/>
  <c r="B5678" i="1"/>
  <c r="A5679" i="1"/>
  <c r="B5679" i="1"/>
  <c r="A5680" i="1"/>
  <c r="B5680" i="1"/>
  <c r="A5681" i="1"/>
  <c r="B5681" i="1"/>
  <c r="A5682" i="1"/>
  <c r="B5682" i="1"/>
  <c r="A5683" i="1"/>
  <c r="B5683" i="1"/>
  <c r="A5684" i="1"/>
  <c r="B5684" i="1"/>
  <c r="A5685" i="1"/>
  <c r="B5685" i="1"/>
  <c r="A5686" i="1"/>
  <c r="B5686" i="1"/>
  <c r="A5687" i="1"/>
  <c r="B5687" i="1"/>
  <c r="A5688" i="1"/>
  <c r="B5688" i="1"/>
  <c r="A5689" i="1"/>
  <c r="B5689" i="1"/>
  <c r="A5690" i="1"/>
  <c r="B5690" i="1"/>
  <c r="A5691" i="1"/>
  <c r="B5691" i="1"/>
  <c r="A5692" i="1"/>
  <c r="B5692" i="1"/>
  <c r="A5693" i="1"/>
  <c r="B5693" i="1"/>
  <c r="A5694" i="1"/>
  <c r="B5694" i="1"/>
  <c r="A5695" i="1"/>
  <c r="B5695" i="1"/>
  <c r="A5696" i="1"/>
  <c r="B5696" i="1"/>
  <c r="A5697" i="1"/>
  <c r="B5697" i="1"/>
  <c r="A5698" i="1"/>
  <c r="B5698" i="1"/>
  <c r="A5699" i="1"/>
  <c r="B5699" i="1"/>
  <c r="A5700" i="1"/>
  <c r="B5700" i="1"/>
  <c r="A5701" i="1"/>
  <c r="B5701" i="1"/>
  <c r="A5702" i="1"/>
  <c r="B5702" i="1"/>
  <c r="A5703" i="1"/>
  <c r="B5703" i="1"/>
  <c r="A5704" i="1"/>
  <c r="B5704" i="1"/>
  <c r="A5705" i="1"/>
  <c r="B5705" i="1"/>
  <c r="A5706" i="1"/>
  <c r="B5706" i="1"/>
  <c r="A5707" i="1"/>
  <c r="B5707" i="1"/>
  <c r="A5708" i="1"/>
  <c r="B5708" i="1"/>
  <c r="A5709" i="1"/>
  <c r="B5709" i="1"/>
  <c r="A5710" i="1"/>
  <c r="B5710" i="1"/>
  <c r="A5711" i="1"/>
  <c r="B5711" i="1"/>
  <c r="A5712" i="1"/>
  <c r="B5712" i="1"/>
  <c r="A5713" i="1"/>
  <c r="B5713" i="1"/>
  <c r="A5714" i="1"/>
  <c r="B5714" i="1"/>
  <c r="A5715" i="1"/>
  <c r="B5715" i="1"/>
  <c r="A5716" i="1"/>
  <c r="B5716" i="1"/>
  <c r="A5717" i="1"/>
  <c r="B5717" i="1"/>
  <c r="A5718" i="1"/>
  <c r="B5718" i="1"/>
  <c r="A5719" i="1"/>
  <c r="B5719" i="1"/>
  <c r="A5720" i="1"/>
  <c r="B5720" i="1"/>
  <c r="A5721" i="1"/>
  <c r="B5721" i="1"/>
  <c r="A5722" i="1"/>
  <c r="B5722" i="1"/>
  <c r="A5723" i="1"/>
  <c r="B5723" i="1"/>
  <c r="A5724" i="1"/>
  <c r="B5724" i="1"/>
  <c r="A5725" i="1"/>
  <c r="B5725" i="1"/>
  <c r="A5726" i="1"/>
  <c r="B5726" i="1"/>
  <c r="A5727" i="1"/>
  <c r="B5727" i="1"/>
  <c r="A5728" i="1"/>
  <c r="B5728" i="1"/>
  <c r="A5729" i="1"/>
  <c r="B5729" i="1"/>
  <c r="A5730" i="1"/>
  <c r="B5730" i="1"/>
  <c r="A5731" i="1"/>
  <c r="B5731" i="1"/>
  <c r="A5732" i="1"/>
  <c r="B5732" i="1"/>
  <c r="A5733" i="1"/>
  <c r="B5733" i="1"/>
  <c r="A5734" i="1"/>
  <c r="B5734" i="1"/>
  <c r="A5735" i="1"/>
  <c r="B5735" i="1"/>
  <c r="A5736" i="1"/>
  <c r="B5736" i="1"/>
  <c r="A5737" i="1"/>
  <c r="B5737" i="1"/>
  <c r="A5738" i="1"/>
  <c r="B5738" i="1"/>
  <c r="A5739" i="1"/>
  <c r="B5739" i="1"/>
  <c r="A5740" i="1"/>
  <c r="B5740" i="1"/>
  <c r="A5741" i="1"/>
  <c r="B5741" i="1"/>
  <c r="A5742" i="1"/>
  <c r="B5742" i="1"/>
  <c r="A5743" i="1"/>
  <c r="B5743" i="1"/>
  <c r="A5744" i="1"/>
  <c r="B5744" i="1"/>
  <c r="A5745" i="1"/>
  <c r="B5745" i="1"/>
  <c r="A5746" i="1"/>
  <c r="B5746" i="1"/>
  <c r="A5747" i="1"/>
  <c r="B5747" i="1"/>
  <c r="A5748" i="1"/>
  <c r="B5748" i="1"/>
  <c r="A5749" i="1"/>
  <c r="B5749" i="1"/>
  <c r="A5750" i="1"/>
  <c r="B5750" i="1"/>
  <c r="A5751" i="1"/>
  <c r="B5751" i="1"/>
  <c r="A5752" i="1"/>
  <c r="B5752" i="1"/>
  <c r="A5753" i="1"/>
  <c r="B5753" i="1"/>
  <c r="A5754" i="1"/>
  <c r="B5754" i="1"/>
  <c r="A5755" i="1"/>
  <c r="B5755" i="1"/>
  <c r="A5756" i="1"/>
  <c r="B5756" i="1"/>
  <c r="A5757" i="1"/>
  <c r="B5757" i="1"/>
  <c r="A5758" i="1"/>
  <c r="B5758" i="1"/>
  <c r="A5759" i="1"/>
  <c r="B5759" i="1"/>
  <c r="A5760" i="1"/>
  <c r="B5760" i="1"/>
  <c r="A5761" i="1"/>
  <c r="B5761" i="1"/>
  <c r="A5762" i="1"/>
  <c r="B5762" i="1"/>
  <c r="A5763" i="1"/>
  <c r="B5763" i="1"/>
  <c r="A5764" i="1"/>
  <c r="B5764" i="1"/>
  <c r="A5765" i="1"/>
  <c r="B5765" i="1"/>
  <c r="A5766" i="1"/>
  <c r="B5766" i="1"/>
  <c r="A5767" i="1"/>
  <c r="B5767" i="1"/>
  <c r="A5768" i="1"/>
  <c r="B5768" i="1"/>
  <c r="A5769" i="1"/>
  <c r="B5769" i="1"/>
  <c r="A5770" i="1"/>
  <c r="B5770" i="1"/>
  <c r="A5771" i="1"/>
  <c r="B5771" i="1"/>
  <c r="A5772" i="1"/>
  <c r="B5772" i="1"/>
  <c r="A5773" i="1"/>
  <c r="B5773" i="1"/>
  <c r="A5774" i="1"/>
  <c r="B5774" i="1"/>
  <c r="A5775" i="1"/>
  <c r="B5775" i="1"/>
  <c r="A5776" i="1"/>
  <c r="B5776" i="1"/>
  <c r="A5777" i="1"/>
  <c r="B5777" i="1"/>
  <c r="A5778" i="1"/>
  <c r="B5778" i="1"/>
  <c r="A5779" i="1"/>
  <c r="B5779" i="1"/>
  <c r="A5780" i="1"/>
  <c r="B5780" i="1"/>
  <c r="A5781" i="1"/>
  <c r="B5781" i="1"/>
  <c r="A5782" i="1"/>
  <c r="B5782" i="1"/>
  <c r="A5783" i="1"/>
  <c r="B5783" i="1"/>
  <c r="A5784" i="1"/>
  <c r="B5784" i="1"/>
  <c r="A5785" i="1"/>
  <c r="B5785" i="1"/>
  <c r="A5786" i="1"/>
  <c r="B5786" i="1"/>
  <c r="A5787" i="1"/>
  <c r="B5787" i="1"/>
  <c r="A5788" i="1"/>
  <c r="B5788" i="1"/>
  <c r="A5789" i="1"/>
  <c r="B5789" i="1"/>
  <c r="A5790" i="1"/>
  <c r="B5790" i="1"/>
  <c r="A5791" i="1"/>
  <c r="B5791" i="1"/>
  <c r="A5792" i="1"/>
  <c r="B5792" i="1"/>
  <c r="A5793" i="1"/>
  <c r="B5793" i="1"/>
  <c r="A5794" i="1"/>
  <c r="B5794" i="1"/>
  <c r="A5795" i="1"/>
  <c r="B5795" i="1"/>
  <c r="A5796" i="1"/>
  <c r="B5796" i="1"/>
  <c r="A5797" i="1"/>
  <c r="B5797" i="1"/>
  <c r="A5798" i="1"/>
  <c r="B5798" i="1"/>
  <c r="A5799" i="1"/>
  <c r="B5799" i="1"/>
  <c r="A5800" i="1"/>
  <c r="B5800" i="1"/>
  <c r="A5801" i="1"/>
  <c r="B5801" i="1"/>
  <c r="A5802" i="1"/>
  <c r="B5802" i="1"/>
  <c r="A5803" i="1"/>
  <c r="B5803" i="1"/>
  <c r="A5804" i="1"/>
  <c r="B5804" i="1"/>
  <c r="A5805" i="1"/>
  <c r="B5805" i="1"/>
  <c r="A5806" i="1"/>
  <c r="B5806" i="1"/>
  <c r="A5807" i="1"/>
  <c r="B5807" i="1"/>
  <c r="A5808" i="1"/>
  <c r="B5808" i="1"/>
  <c r="A5809" i="1"/>
  <c r="B5809" i="1"/>
  <c r="A5810" i="1"/>
  <c r="B5810" i="1"/>
  <c r="A5811" i="1"/>
  <c r="B5811" i="1"/>
  <c r="A5812" i="1"/>
  <c r="B5812" i="1"/>
  <c r="A5813" i="1"/>
  <c r="B5813" i="1"/>
  <c r="A5814" i="1"/>
  <c r="B5814" i="1"/>
  <c r="A5815" i="1"/>
  <c r="B5815" i="1"/>
  <c r="A5816" i="1"/>
  <c r="B5816" i="1"/>
  <c r="A5817" i="1"/>
  <c r="B5817" i="1"/>
  <c r="A5818" i="1"/>
  <c r="B5818" i="1"/>
  <c r="A5819" i="1"/>
  <c r="B5819" i="1"/>
  <c r="A5820" i="1"/>
  <c r="B5820" i="1"/>
  <c r="A5821" i="1"/>
  <c r="B5821" i="1"/>
  <c r="A5822" i="1"/>
  <c r="B5822" i="1"/>
  <c r="A5823" i="1"/>
  <c r="B5823" i="1"/>
  <c r="A5824" i="1"/>
  <c r="B5824" i="1"/>
  <c r="A5825" i="1"/>
  <c r="B5825" i="1"/>
  <c r="A5826" i="1"/>
  <c r="B5826" i="1"/>
  <c r="A5827" i="1"/>
  <c r="B5827" i="1"/>
  <c r="A5828" i="1"/>
  <c r="B5828" i="1"/>
  <c r="A5829" i="1"/>
  <c r="B5829" i="1"/>
  <c r="A5830" i="1"/>
  <c r="B5830" i="1"/>
  <c r="A5831" i="1"/>
  <c r="B5831" i="1"/>
  <c r="A5832" i="1"/>
  <c r="B5832" i="1"/>
  <c r="A5833" i="1"/>
  <c r="B5833" i="1"/>
  <c r="A5834" i="1"/>
  <c r="B5834" i="1"/>
  <c r="A5835" i="1"/>
  <c r="B5835" i="1"/>
  <c r="A5836" i="1"/>
  <c r="B5836" i="1"/>
  <c r="A5837" i="1"/>
  <c r="B5837" i="1"/>
  <c r="A5838" i="1"/>
  <c r="B5838" i="1"/>
  <c r="A5839" i="1"/>
  <c r="B5839" i="1"/>
  <c r="A5840" i="1"/>
  <c r="B5840" i="1"/>
  <c r="A5841" i="1"/>
  <c r="B5841" i="1"/>
  <c r="A5842" i="1"/>
  <c r="B5842" i="1"/>
  <c r="A5843" i="1"/>
  <c r="B5843" i="1"/>
  <c r="A5844" i="1"/>
  <c r="B5844" i="1"/>
  <c r="A5845" i="1"/>
  <c r="B5845" i="1"/>
  <c r="A5846" i="1"/>
  <c r="B5846" i="1"/>
  <c r="A5847" i="1"/>
  <c r="B5847" i="1"/>
  <c r="A5848" i="1"/>
  <c r="B5848" i="1"/>
  <c r="A5849" i="1"/>
  <c r="B5849" i="1"/>
  <c r="A5850" i="1"/>
  <c r="B5850" i="1"/>
  <c r="A5851" i="1"/>
  <c r="B5851" i="1"/>
  <c r="A5852" i="1"/>
  <c r="B5852" i="1"/>
  <c r="A5853" i="1"/>
  <c r="B5853" i="1"/>
  <c r="A5854" i="1"/>
  <c r="B5854" i="1"/>
  <c r="A5855" i="1"/>
  <c r="B5855" i="1"/>
  <c r="A5856" i="1"/>
  <c r="B5856" i="1"/>
  <c r="A5857" i="1"/>
  <c r="B5857" i="1"/>
  <c r="A5858" i="1"/>
  <c r="B5858" i="1"/>
  <c r="A5859" i="1"/>
  <c r="B5859" i="1"/>
  <c r="A5860" i="1"/>
  <c r="B5860" i="1"/>
  <c r="A5861" i="1"/>
  <c r="B5861" i="1"/>
  <c r="A5862" i="1"/>
  <c r="B5862" i="1"/>
  <c r="A5863" i="1"/>
  <c r="B5863" i="1"/>
  <c r="A5864" i="1"/>
  <c r="B5864" i="1"/>
  <c r="A5865" i="1"/>
  <c r="B5865" i="1"/>
  <c r="A5866" i="1"/>
  <c r="B5866" i="1"/>
  <c r="A5867" i="1"/>
  <c r="B5867" i="1"/>
  <c r="A5868" i="1"/>
  <c r="B5868" i="1"/>
  <c r="A5869" i="1"/>
  <c r="B5869" i="1"/>
  <c r="A5870" i="1"/>
  <c r="B5870" i="1"/>
  <c r="A5871" i="1"/>
  <c r="B5871" i="1"/>
  <c r="A5872" i="1"/>
  <c r="B5872" i="1"/>
  <c r="A5873" i="1"/>
  <c r="B5873" i="1"/>
  <c r="A5874" i="1"/>
  <c r="B5874" i="1"/>
  <c r="A5875" i="1"/>
  <c r="B5875" i="1"/>
  <c r="A5876" i="1"/>
  <c r="B5876" i="1"/>
  <c r="A5877" i="1"/>
  <c r="B5877" i="1"/>
  <c r="A5878" i="1"/>
  <c r="B5878" i="1"/>
  <c r="A5879" i="1"/>
  <c r="B5879" i="1"/>
  <c r="A5880" i="1"/>
  <c r="B5880" i="1"/>
  <c r="A5881" i="1"/>
  <c r="B5881" i="1"/>
  <c r="A5882" i="1"/>
  <c r="B5882" i="1"/>
  <c r="A5883" i="1"/>
  <c r="B5883" i="1"/>
  <c r="A5884" i="1"/>
  <c r="B5884" i="1"/>
  <c r="A5885" i="1"/>
  <c r="B5885" i="1"/>
  <c r="A5886" i="1"/>
  <c r="B5886" i="1"/>
  <c r="A5887" i="1"/>
  <c r="B5887" i="1"/>
  <c r="A5888" i="1"/>
  <c r="B5888" i="1"/>
  <c r="A5889" i="1"/>
  <c r="B5889" i="1"/>
  <c r="A5890" i="1"/>
  <c r="B5890" i="1"/>
  <c r="A5891" i="1"/>
  <c r="B5891" i="1"/>
  <c r="A5892" i="1"/>
  <c r="B5892" i="1"/>
  <c r="A5893" i="1"/>
  <c r="B5893" i="1"/>
  <c r="A5894" i="1"/>
  <c r="B5894" i="1"/>
  <c r="A5895" i="1"/>
  <c r="B5895" i="1"/>
  <c r="A5896" i="1"/>
  <c r="B5896" i="1"/>
  <c r="A5897" i="1"/>
  <c r="B5897" i="1"/>
  <c r="A5898" i="1"/>
  <c r="B5898" i="1"/>
  <c r="A5899" i="1"/>
  <c r="B5899" i="1"/>
  <c r="A5900" i="1"/>
  <c r="B5900" i="1"/>
  <c r="A5901" i="1"/>
  <c r="B5901" i="1"/>
  <c r="A5902" i="1"/>
  <c r="B5902" i="1"/>
  <c r="A5903" i="1"/>
  <c r="B5903" i="1"/>
  <c r="A5904" i="1"/>
  <c r="B5904" i="1"/>
  <c r="A5905" i="1"/>
  <c r="B5905" i="1"/>
  <c r="A5906" i="1"/>
  <c r="B5906" i="1"/>
  <c r="A5907" i="1"/>
  <c r="B5907" i="1"/>
  <c r="A5908" i="1"/>
  <c r="B5908" i="1"/>
  <c r="A5909" i="1"/>
  <c r="B5909" i="1"/>
  <c r="A5910" i="1"/>
  <c r="B5910" i="1"/>
  <c r="A5911" i="1"/>
  <c r="B5911" i="1"/>
  <c r="A5912" i="1"/>
  <c r="B5912" i="1"/>
  <c r="A5913" i="1"/>
  <c r="B5913" i="1"/>
  <c r="A5914" i="1"/>
  <c r="B5914" i="1"/>
  <c r="A5915" i="1"/>
  <c r="B5915" i="1"/>
  <c r="A5916" i="1"/>
  <c r="B5916" i="1"/>
  <c r="A5917" i="1"/>
  <c r="B5917" i="1"/>
  <c r="A5918" i="1"/>
  <c r="B5918" i="1"/>
  <c r="A5919" i="1"/>
  <c r="B5919" i="1"/>
  <c r="A5920" i="1"/>
  <c r="B5920" i="1"/>
  <c r="A5921" i="1"/>
  <c r="B5921" i="1"/>
  <c r="A5922" i="1"/>
  <c r="B5922" i="1"/>
  <c r="A5923" i="1"/>
  <c r="B5923" i="1"/>
  <c r="A5924" i="1"/>
  <c r="B5924" i="1"/>
  <c r="A5925" i="1"/>
  <c r="B5925" i="1"/>
  <c r="A5926" i="1"/>
  <c r="B5926" i="1"/>
  <c r="A5927" i="1"/>
  <c r="B5927" i="1"/>
  <c r="A5928" i="1"/>
  <c r="B5928" i="1"/>
  <c r="A5929" i="1"/>
  <c r="B5929" i="1"/>
  <c r="A5930" i="1"/>
  <c r="B5930" i="1"/>
  <c r="A5931" i="1"/>
  <c r="B5931" i="1"/>
  <c r="A5932" i="1"/>
  <c r="B5932" i="1"/>
  <c r="A5933" i="1"/>
  <c r="B5933" i="1"/>
  <c r="A5934" i="1"/>
  <c r="B5934" i="1"/>
  <c r="A5935" i="1"/>
  <c r="B5935" i="1"/>
  <c r="A5936" i="1"/>
  <c r="B5936" i="1"/>
  <c r="A5937" i="1"/>
  <c r="B5937" i="1"/>
  <c r="A5938" i="1"/>
  <c r="B5938" i="1"/>
  <c r="A5939" i="1"/>
  <c r="B5939" i="1"/>
  <c r="A5940" i="1"/>
  <c r="B5940" i="1"/>
  <c r="A5941" i="1"/>
  <c r="B5941" i="1"/>
  <c r="A5942" i="1"/>
  <c r="B5942" i="1"/>
  <c r="A5943" i="1"/>
  <c r="B5943" i="1"/>
  <c r="A5944" i="1"/>
  <c r="B5944" i="1"/>
  <c r="A5945" i="1"/>
  <c r="B5945" i="1"/>
  <c r="A5946" i="1"/>
  <c r="B5946" i="1"/>
  <c r="A5947" i="1"/>
  <c r="B5947" i="1"/>
  <c r="A5948" i="1"/>
  <c r="B5948" i="1"/>
  <c r="A5949" i="1"/>
  <c r="B5949" i="1"/>
  <c r="A5950" i="1"/>
  <c r="B5950" i="1"/>
  <c r="A5951" i="1"/>
  <c r="B5951" i="1"/>
  <c r="A5952" i="1"/>
  <c r="B5952" i="1"/>
  <c r="A5953" i="1"/>
  <c r="B5953" i="1"/>
  <c r="A5954" i="1"/>
  <c r="B5954" i="1"/>
  <c r="A5955" i="1"/>
  <c r="B5955" i="1"/>
  <c r="A5956" i="1"/>
  <c r="B5956" i="1"/>
  <c r="A5957" i="1"/>
  <c r="B5957" i="1"/>
  <c r="A5958" i="1"/>
  <c r="B5958" i="1"/>
  <c r="A5959" i="1"/>
  <c r="B5959" i="1"/>
  <c r="A5960" i="1"/>
  <c r="B5960" i="1"/>
  <c r="A5961" i="1"/>
  <c r="B5961" i="1"/>
  <c r="A5962" i="1"/>
  <c r="B5962" i="1"/>
  <c r="A5963" i="1"/>
  <c r="B5963" i="1"/>
  <c r="A5964" i="1"/>
  <c r="B5964" i="1"/>
  <c r="A5965" i="1"/>
  <c r="B5965" i="1"/>
  <c r="A5966" i="1"/>
  <c r="B5966" i="1"/>
  <c r="A5967" i="1"/>
  <c r="B5967" i="1"/>
  <c r="A5968" i="1"/>
  <c r="B5968" i="1"/>
  <c r="A5969" i="1"/>
  <c r="B5969" i="1"/>
  <c r="A5970" i="1"/>
  <c r="B5970" i="1"/>
  <c r="A5971" i="1"/>
  <c r="B5971" i="1"/>
  <c r="A5972" i="1"/>
  <c r="B5972" i="1"/>
  <c r="A5973" i="1"/>
  <c r="B5973" i="1"/>
  <c r="A5974" i="1"/>
  <c r="B5974" i="1"/>
  <c r="A5975" i="1"/>
  <c r="B5975" i="1"/>
  <c r="A5976" i="1"/>
  <c r="B5976" i="1"/>
  <c r="A5977" i="1"/>
  <c r="B5977" i="1"/>
  <c r="A5978" i="1"/>
  <c r="B5978" i="1"/>
  <c r="A5979" i="1"/>
  <c r="B5979" i="1"/>
  <c r="A5980" i="1"/>
  <c r="B5980" i="1"/>
  <c r="A5981" i="1"/>
  <c r="B5981" i="1"/>
  <c r="A5982" i="1"/>
  <c r="B5982" i="1"/>
  <c r="A5983" i="1"/>
  <c r="B5983" i="1"/>
  <c r="A5984" i="1"/>
  <c r="B5984" i="1"/>
  <c r="A5985" i="1"/>
  <c r="B5985" i="1"/>
  <c r="A5986" i="1"/>
  <c r="B5986" i="1"/>
  <c r="A5987" i="1"/>
  <c r="B5987" i="1"/>
  <c r="A5988" i="1"/>
  <c r="B5988" i="1"/>
  <c r="A5989" i="1"/>
  <c r="B5989" i="1"/>
  <c r="A5990" i="1"/>
  <c r="B5990" i="1"/>
  <c r="A5991" i="1"/>
  <c r="B5991" i="1"/>
  <c r="A5992" i="1"/>
  <c r="B5992" i="1"/>
  <c r="A5993" i="1"/>
  <c r="B5993" i="1"/>
  <c r="A5994" i="1"/>
  <c r="B5994" i="1"/>
  <c r="A5995" i="1"/>
  <c r="B5995" i="1"/>
  <c r="A5996" i="1"/>
  <c r="B5996" i="1"/>
  <c r="A5997" i="1"/>
  <c r="B5997" i="1"/>
  <c r="A5998" i="1"/>
  <c r="B5998" i="1"/>
  <c r="A5999" i="1"/>
  <c r="B5999" i="1"/>
  <c r="A6000" i="1"/>
  <c r="B6000" i="1"/>
  <c r="A6001" i="1"/>
  <c r="B6001" i="1"/>
  <c r="A6002" i="1"/>
  <c r="B6002" i="1"/>
  <c r="A6003" i="1"/>
  <c r="B6003" i="1"/>
  <c r="A6004" i="1"/>
  <c r="B6004" i="1"/>
  <c r="A6005" i="1"/>
  <c r="B6005" i="1"/>
  <c r="A6006" i="1"/>
  <c r="B6006" i="1"/>
  <c r="A6007" i="1"/>
  <c r="B6007" i="1"/>
  <c r="A6008" i="1"/>
  <c r="B6008" i="1"/>
  <c r="A6009" i="1"/>
  <c r="B6009" i="1"/>
  <c r="A6010" i="1"/>
  <c r="B6010" i="1"/>
  <c r="A6011" i="1"/>
  <c r="B6011" i="1"/>
  <c r="A6012" i="1"/>
  <c r="B6012" i="1"/>
  <c r="A6013" i="1"/>
  <c r="B6013" i="1"/>
  <c r="A6014" i="1"/>
  <c r="B6014" i="1"/>
  <c r="A6015" i="1"/>
  <c r="B6015" i="1"/>
  <c r="A6016" i="1"/>
  <c r="B6016" i="1"/>
  <c r="A6017" i="1"/>
  <c r="B6017" i="1"/>
  <c r="A6018" i="1"/>
  <c r="B6018" i="1"/>
  <c r="A6019" i="1"/>
  <c r="B6019" i="1"/>
  <c r="A6020" i="1"/>
  <c r="B6020" i="1"/>
  <c r="A6021" i="1"/>
  <c r="B6021" i="1"/>
  <c r="A6022" i="1"/>
  <c r="B6022" i="1"/>
  <c r="A6023" i="1"/>
  <c r="B6023" i="1"/>
  <c r="A6024" i="1"/>
  <c r="B6024" i="1"/>
  <c r="A6025" i="1"/>
  <c r="B6025" i="1"/>
  <c r="A6026" i="1"/>
  <c r="B6026" i="1"/>
  <c r="A6027" i="1"/>
  <c r="B6027" i="1"/>
  <c r="A6028" i="1"/>
  <c r="B6028" i="1"/>
  <c r="A6029" i="1"/>
  <c r="B6029" i="1"/>
  <c r="A6030" i="1"/>
  <c r="B6030" i="1"/>
  <c r="A6031" i="1"/>
  <c r="B6031" i="1"/>
  <c r="A6032" i="1"/>
  <c r="B6032" i="1"/>
  <c r="A6033" i="1"/>
  <c r="B6033" i="1"/>
  <c r="A6034" i="1"/>
  <c r="B6034" i="1"/>
  <c r="A6035" i="1"/>
  <c r="B6035" i="1"/>
  <c r="A6036" i="1"/>
  <c r="B6036" i="1"/>
  <c r="A6037" i="1"/>
  <c r="B6037" i="1"/>
  <c r="A6038" i="1"/>
  <c r="B6038" i="1"/>
  <c r="A6039" i="1"/>
  <c r="B6039" i="1"/>
  <c r="A6040" i="1"/>
  <c r="B6040" i="1"/>
  <c r="A6041" i="1"/>
  <c r="B6041" i="1"/>
  <c r="A6042" i="1"/>
  <c r="B6042" i="1"/>
  <c r="A6043" i="1"/>
  <c r="B6043" i="1"/>
  <c r="A6044" i="1"/>
  <c r="B6044" i="1"/>
  <c r="A6045" i="1"/>
  <c r="B6045" i="1"/>
  <c r="A6046" i="1"/>
  <c r="B6046" i="1"/>
  <c r="A6047" i="1"/>
  <c r="B6047" i="1"/>
  <c r="A6048" i="1"/>
  <c r="B6048" i="1"/>
  <c r="A6049" i="1"/>
  <c r="B6049" i="1"/>
  <c r="A6050" i="1"/>
  <c r="B6050" i="1"/>
  <c r="A6051" i="1"/>
  <c r="B6051" i="1"/>
  <c r="A6052" i="1"/>
  <c r="B6052" i="1"/>
  <c r="A6053" i="1"/>
  <c r="B6053" i="1"/>
  <c r="A6054" i="1"/>
  <c r="B6054" i="1"/>
  <c r="A6055" i="1"/>
  <c r="B6055" i="1"/>
  <c r="A6056" i="1"/>
  <c r="B6056" i="1"/>
  <c r="A6057" i="1"/>
  <c r="B6057" i="1"/>
  <c r="A6058" i="1"/>
  <c r="B6058" i="1"/>
  <c r="A6059" i="1"/>
  <c r="B6059" i="1"/>
  <c r="A6060" i="1"/>
  <c r="B6060" i="1"/>
  <c r="A6061" i="1"/>
  <c r="B6061" i="1"/>
  <c r="A6062" i="1"/>
  <c r="B6062" i="1"/>
  <c r="A6063" i="1"/>
  <c r="B6063" i="1"/>
  <c r="A6064" i="1"/>
  <c r="B6064" i="1"/>
  <c r="A6065" i="1"/>
  <c r="B6065" i="1"/>
  <c r="A6066" i="1"/>
  <c r="B6066" i="1"/>
  <c r="A6067" i="1"/>
  <c r="B6067" i="1"/>
  <c r="A6068" i="1"/>
  <c r="B6068" i="1"/>
  <c r="A6069" i="1"/>
  <c r="B6069" i="1"/>
  <c r="A6070" i="1"/>
  <c r="B6070" i="1"/>
  <c r="A6071" i="1"/>
  <c r="B6071" i="1"/>
  <c r="A6072" i="1"/>
  <c r="B6072" i="1"/>
  <c r="A6073" i="1"/>
  <c r="B6073" i="1"/>
  <c r="A6074" i="1"/>
  <c r="B6074" i="1"/>
  <c r="A6075" i="1"/>
  <c r="B6075" i="1"/>
  <c r="A6076" i="1"/>
  <c r="B6076" i="1"/>
  <c r="A6077" i="1"/>
  <c r="B6077" i="1"/>
  <c r="A6078" i="1"/>
  <c r="B6078" i="1"/>
  <c r="A6079" i="1"/>
  <c r="B6079" i="1"/>
  <c r="A6080" i="1"/>
  <c r="B6080" i="1"/>
  <c r="A6081" i="1"/>
  <c r="B6081" i="1"/>
  <c r="A6082" i="1"/>
  <c r="B6082" i="1"/>
  <c r="A6083" i="1"/>
  <c r="B6083" i="1"/>
  <c r="A6084" i="1"/>
  <c r="B6084" i="1"/>
  <c r="A6085" i="1"/>
  <c r="B6085" i="1"/>
  <c r="A6086" i="1"/>
  <c r="B6086" i="1"/>
  <c r="A6087" i="1"/>
  <c r="B6087" i="1"/>
  <c r="A6088" i="1"/>
  <c r="B6088" i="1"/>
  <c r="A6089" i="1"/>
  <c r="B6089" i="1"/>
  <c r="A6090" i="1"/>
  <c r="B6090" i="1"/>
  <c r="A6091" i="1"/>
  <c r="B6091" i="1"/>
  <c r="A6092" i="1"/>
  <c r="B6092" i="1"/>
  <c r="A6093" i="1"/>
  <c r="B6093" i="1"/>
  <c r="A6094" i="1"/>
  <c r="B6094" i="1"/>
  <c r="A6095" i="1"/>
  <c r="B6095" i="1"/>
  <c r="A6096" i="1"/>
  <c r="B6096" i="1"/>
  <c r="A6097" i="1"/>
  <c r="B6097" i="1"/>
  <c r="A6098" i="1"/>
  <c r="B6098" i="1"/>
  <c r="A6099" i="1"/>
  <c r="B6099" i="1"/>
  <c r="A6100" i="1"/>
  <c r="B6100" i="1"/>
  <c r="A6101" i="1"/>
  <c r="B6101" i="1"/>
  <c r="A6102" i="1"/>
  <c r="B6102" i="1"/>
  <c r="A6103" i="1"/>
  <c r="B6103" i="1"/>
  <c r="A6104" i="1"/>
  <c r="B6104" i="1"/>
  <c r="A6105" i="1"/>
  <c r="B6105" i="1"/>
  <c r="A6106" i="1"/>
  <c r="B6106" i="1"/>
  <c r="A6107" i="1"/>
  <c r="B6107" i="1"/>
  <c r="A6108" i="1"/>
  <c r="B6108" i="1"/>
  <c r="A6109" i="1"/>
  <c r="B6109" i="1"/>
  <c r="A6110" i="1"/>
  <c r="B6110" i="1"/>
  <c r="A6111" i="1"/>
  <c r="B6111" i="1"/>
  <c r="A6112" i="1"/>
  <c r="B6112" i="1"/>
  <c r="A6113" i="1"/>
  <c r="B6113" i="1"/>
  <c r="A6114" i="1"/>
  <c r="B6114" i="1"/>
  <c r="A6115" i="1"/>
  <c r="B6115" i="1"/>
  <c r="A6116" i="1"/>
  <c r="B6116" i="1"/>
  <c r="A6117" i="1"/>
  <c r="B6117" i="1"/>
  <c r="A6118" i="1"/>
  <c r="B6118" i="1"/>
  <c r="A6119" i="1"/>
  <c r="B6119" i="1"/>
  <c r="A6120" i="1"/>
  <c r="B6120" i="1"/>
  <c r="A6121" i="1"/>
  <c r="B6121" i="1"/>
  <c r="A6122" i="1"/>
  <c r="B6122" i="1"/>
  <c r="A6123" i="1"/>
  <c r="B6123" i="1"/>
  <c r="A6124" i="1"/>
  <c r="B6124" i="1"/>
  <c r="A6125" i="1"/>
  <c r="B6125" i="1"/>
  <c r="A6126" i="1"/>
  <c r="B6126" i="1"/>
  <c r="A6127" i="1"/>
  <c r="B6127" i="1"/>
  <c r="A6128" i="1"/>
  <c r="B6128" i="1"/>
  <c r="A6129" i="1"/>
  <c r="B6129" i="1"/>
  <c r="A6130" i="1"/>
  <c r="B6130" i="1"/>
  <c r="A6131" i="1"/>
  <c r="B6131" i="1"/>
  <c r="A6132" i="1"/>
  <c r="B6132" i="1"/>
  <c r="A6133" i="1"/>
  <c r="B6133" i="1"/>
  <c r="A6134" i="1"/>
  <c r="B6134" i="1"/>
  <c r="A6135" i="1"/>
  <c r="B6135" i="1"/>
  <c r="A6136" i="1"/>
  <c r="B6136" i="1"/>
  <c r="A6137" i="1"/>
  <c r="B6137" i="1"/>
  <c r="A6138" i="1"/>
  <c r="B6138" i="1"/>
  <c r="A6139" i="1"/>
  <c r="B6139" i="1"/>
  <c r="A6140" i="1"/>
  <c r="B6140" i="1"/>
  <c r="A6141" i="1"/>
  <c r="B6141" i="1"/>
  <c r="A6142" i="1"/>
  <c r="B6142" i="1"/>
  <c r="A6143" i="1"/>
  <c r="B6143" i="1"/>
  <c r="A6144" i="1"/>
  <c r="B6144" i="1"/>
  <c r="A6145" i="1"/>
  <c r="B6145" i="1"/>
  <c r="A6146" i="1"/>
  <c r="B6146" i="1"/>
  <c r="A6147" i="1"/>
  <c r="B6147" i="1"/>
  <c r="A6148" i="1"/>
  <c r="B6148" i="1"/>
  <c r="A6149" i="1"/>
  <c r="B6149" i="1"/>
  <c r="A6150" i="1"/>
  <c r="B6150" i="1"/>
  <c r="A6151" i="1"/>
  <c r="B6151" i="1"/>
  <c r="A6152" i="1"/>
  <c r="B6152" i="1"/>
  <c r="A6153" i="1"/>
  <c r="B6153" i="1"/>
  <c r="A6154" i="1"/>
  <c r="B6154" i="1"/>
  <c r="A6155" i="1"/>
  <c r="B6155" i="1"/>
  <c r="A6156" i="1"/>
  <c r="B6156" i="1"/>
  <c r="A6157" i="1"/>
  <c r="B6157" i="1"/>
  <c r="A6158" i="1"/>
  <c r="B6158" i="1"/>
  <c r="A6159" i="1"/>
  <c r="B6159" i="1"/>
  <c r="A6160" i="1"/>
  <c r="B6160" i="1"/>
  <c r="A6161" i="1"/>
  <c r="B6161" i="1"/>
  <c r="A6162" i="1"/>
  <c r="B6162" i="1"/>
  <c r="A6163" i="1"/>
  <c r="B6163" i="1"/>
  <c r="A6164" i="1"/>
  <c r="B6164" i="1"/>
  <c r="A6165" i="1"/>
  <c r="B6165" i="1"/>
  <c r="A6166" i="1"/>
  <c r="B6166" i="1"/>
  <c r="A6167" i="1"/>
  <c r="B6167" i="1"/>
  <c r="A6168" i="1"/>
  <c r="B6168" i="1"/>
  <c r="A6169" i="1"/>
  <c r="B6169" i="1"/>
  <c r="A6170" i="1"/>
  <c r="B6170" i="1"/>
  <c r="A6171" i="1"/>
  <c r="B6171" i="1"/>
  <c r="A6172" i="1"/>
  <c r="B6172" i="1"/>
  <c r="A6173" i="1"/>
  <c r="B6173" i="1"/>
  <c r="A6174" i="1"/>
  <c r="B6174" i="1"/>
  <c r="A6175" i="1"/>
  <c r="B6175" i="1"/>
  <c r="A6176" i="1"/>
  <c r="B6176" i="1"/>
  <c r="A6177" i="1"/>
  <c r="B6177" i="1"/>
  <c r="A6178" i="1"/>
  <c r="B6178" i="1"/>
  <c r="A6179" i="1"/>
  <c r="B6179" i="1"/>
  <c r="A6180" i="1"/>
  <c r="B6180" i="1"/>
  <c r="A6181" i="1"/>
  <c r="B6181" i="1"/>
  <c r="A6182" i="1"/>
  <c r="B6182" i="1"/>
  <c r="A6183" i="1"/>
  <c r="B6183" i="1"/>
  <c r="A6184" i="1"/>
  <c r="B6184" i="1"/>
  <c r="A6185" i="1"/>
  <c r="B6185" i="1"/>
  <c r="A6186" i="1"/>
  <c r="B6186" i="1"/>
  <c r="A6187" i="1"/>
  <c r="B6187" i="1"/>
  <c r="A6188" i="1"/>
  <c r="B6188" i="1"/>
  <c r="A6189" i="1"/>
  <c r="B6189" i="1"/>
  <c r="A6190" i="1"/>
  <c r="B6190" i="1"/>
  <c r="A6191" i="1"/>
  <c r="B6191" i="1"/>
  <c r="A6192" i="1"/>
  <c r="B6192" i="1"/>
  <c r="A6193" i="1"/>
  <c r="B6193" i="1"/>
  <c r="A6194" i="1"/>
  <c r="B6194" i="1"/>
  <c r="A6195" i="1"/>
  <c r="B6195" i="1"/>
  <c r="A6196" i="1"/>
  <c r="B6196" i="1"/>
  <c r="A6197" i="1"/>
  <c r="B6197" i="1"/>
  <c r="A6198" i="1"/>
  <c r="B6198" i="1"/>
  <c r="A6199" i="1"/>
  <c r="B6199" i="1"/>
  <c r="A6200" i="1"/>
  <c r="B6200" i="1"/>
  <c r="A6201" i="1"/>
  <c r="B6201" i="1"/>
  <c r="A6202" i="1"/>
  <c r="B6202" i="1"/>
  <c r="A6203" i="1"/>
  <c r="B6203" i="1"/>
  <c r="A6204" i="1"/>
  <c r="B6204" i="1"/>
  <c r="A6205" i="1"/>
  <c r="B6205" i="1"/>
  <c r="A6206" i="1"/>
  <c r="B6206" i="1"/>
  <c r="A6207" i="1"/>
  <c r="B6207" i="1"/>
  <c r="A6208" i="1"/>
  <c r="B6208" i="1"/>
  <c r="A6209" i="1"/>
  <c r="B6209" i="1"/>
  <c r="A6210" i="1"/>
  <c r="B6210" i="1"/>
  <c r="A6211" i="1"/>
  <c r="B6211" i="1"/>
  <c r="A6212" i="1"/>
  <c r="B6212" i="1"/>
  <c r="A6213" i="1"/>
  <c r="B6213" i="1"/>
  <c r="A6214" i="1"/>
  <c r="B6214" i="1"/>
  <c r="A6215" i="1"/>
  <c r="B6215" i="1"/>
  <c r="A6216" i="1"/>
  <c r="B6216" i="1"/>
  <c r="A6217" i="1"/>
  <c r="B6217" i="1"/>
  <c r="A6218" i="1"/>
  <c r="B6218" i="1"/>
  <c r="A6219" i="1"/>
  <c r="B6219" i="1"/>
  <c r="A6220" i="1"/>
  <c r="B6220" i="1"/>
  <c r="A6221" i="1"/>
  <c r="B6221" i="1"/>
  <c r="A6222" i="1"/>
  <c r="B6222" i="1"/>
  <c r="A6223" i="1"/>
  <c r="B6223" i="1"/>
  <c r="A6224" i="1"/>
  <c r="B6224" i="1"/>
  <c r="A6225" i="1"/>
  <c r="B6225" i="1"/>
  <c r="A6226" i="1"/>
  <c r="B6226" i="1"/>
  <c r="A6227" i="1"/>
  <c r="B6227" i="1"/>
  <c r="A6228" i="1"/>
  <c r="B6228" i="1"/>
  <c r="A6229" i="1"/>
  <c r="B6229" i="1"/>
  <c r="A6230" i="1"/>
  <c r="B6230" i="1"/>
  <c r="A6231" i="1"/>
  <c r="B6231" i="1"/>
  <c r="A6232" i="1"/>
  <c r="B6232" i="1"/>
  <c r="A6233" i="1"/>
  <c r="B6233" i="1"/>
  <c r="A6234" i="1"/>
  <c r="B6234" i="1"/>
  <c r="A6235" i="1"/>
  <c r="B6235" i="1"/>
  <c r="A6236" i="1"/>
  <c r="B6236" i="1"/>
  <c r="A6237" i="1"/>
  <c r="B6237" i="1"/>
  <c r="A6238" i="1"/>
  <c r="B6238" i="1"/>
  <c r="A6239" i="1"/>
  <c r="B6239" i="1"/>
  <c r="A6240" i="1"/>
  <c r="B6240" i="1"/>
  <c r="A6241" i="1"/>
  <c r="B6241" i="1"/>
  <c r="A6242" i="1"/>
  <c r="B6242" i="1"/>
  <c r="A6243" i="1"/>
  <c r="B6243" i="1"/>
  <c r="A6244" i="1"/>
  <c r="B6244" i="1"/>
  <c r="A6245" i="1"/>
  <c r="B6245" i="1"/>
  <c r="A6246" i="1"/>
  <c r="B6246" i="1"/>
  <c r="A6247" i="1"/>
  <c r="B6247" i="1"/>
  <c r="A6248" i="1"/>
  <c r="B6248" i="1"/>
  <c r="A6249" i="1"/>
  <c r="B6249" i="1"/>
  <c r="A6250" i="1"/>
  <c r="B6250" i="1"/>
  <c r="A6251" i="1"/>
  <c r="B6251" i="1"/>
  <c r="A6252" i="1"/>
  <c r="B6252" i="1"/>
  <c r="A6253" i="1"/>
  <c r="B6253" i="1"/>
  <c r="A6254" i="1"/>
  <c r="B6254" i="1"/>
  <c r="A6255" i="1"/>
  <c r="B6255" i="1"/>
  <c r="A6256" i="1"/>
  <c r="B6256" i="1"/>
  <c r="A6257" i="1"/>
  <c r="B6257" i="1"/>
  <c r="A6258" i="1"/>
  <c r="B6258" i="1"/>
  <c r="A6259" i="1"/>
  <c r="B6259" i="1"/>
  <c r="A6260" i="1"/>
  <c r="B6260" i="1"/>
  <c r="A6261" i="1"/>
  <c r="B6261" i="1"/>
  <c r="A6262" i="1"/>
  <c r="B6262" i="1"/>
  <c r="A6263" i="1"/>
  <c r="B6263" i="1"/>
  <c r="A6264" i="1"/>
  <c r="B6264" i="1"/>
  <c r="A6265" i="1"/>
  <c r="B6265" i="1"/>
  <c r="A6266" i="1"/>
  <c r="B6266" i="1"/>
  <c r="A6267" i="1"/>
  <c r="B6267" i="1"/>
  <c r="A6268" i="1"/>
  <c r="B6268" i="1"/>
  <c r="A6269" i="1"/>
  <c r="B6269" i="1"/>
  <c r="A6270" i="1"/>
  <c r="B6270" i="1"/>
  <c r="A6271" i="1"/>
  <c r="B6271" i="1"/>
  <c r="A6272" i="1"/>
  <c r="B6272" i="1"/>
  <c r="A6273" i="1"/>
  <c r="B6273" i="1"/>
  <c r="A6274" i="1"/>
  <c r="B6274" i="1"/>
  <c r="A6275" i="1"/>
  <c r="B6275" i="1"/>
  <c r="A6276" i="1"/>
  <c r="B6276" i="1"/>
  <c r="A6277" i="1"/>
  <c r="B6277" i="1"/>
  <c r="A6278" i="1"/>
  <c r="B6278" i="1"/>
  <c r="A6279" i="1"/>
  <c r="B6279" i="1"/>
  <c r="A6280" i="1"/>
  <c r="B6280" i="1"/>
  <c r="A6281" i="1"/>
  <c r="B6281" i="1"/>
  <c r="A6282" i="1"/>
  <c r="B6282" i="1"/>
  <c r="A6283" i="1"/>
  <c r="B6283" i="1"/>
  <c r="A6284" i="1"/>
  <c r="B6284" i="1"/>
  <c r="A6285" i="1"/>
  <c r="B6285" i="1"/>
  <c r="A6286" i="1"/>
  <c r="B6286" i="1"/>
  <c r="A6287" i="1"/>
  <c r="B6287" i="1"/>
  <c r="A6288" i="1"/>
  <c r="B6288" i="1"/>
  <c r="A6289" i="1"/>
  <c r="B6289" i="1"/>
  <c r="A6290" i="1"/>
  <c r="B6290" i="1"/>
  <c r="A6291" i="1"/>
  <c r="B6291" i="1"/>
  <c r="A6292" i="1"/>
  <c r="B6292" i="1"/>
  <c r="A6293" i="1"/>
  <c r="B6293" i="1"/>
  <c r="A6294" i="1"/>
  <c r="B6294" i="1"/>
  <c r="A6295" i="1"/>
  <c r="B6295" i="1"/>
  <c r="A6296" i="1"/>
  <c r="B6296" i="1"/>
  <c r="A6297" i="1"/>
  <c r="B6297" i="1"/>
  <c r="A6298" i="1"/>
  <c r="B6298" i="1"/>
  <c r="A6299" i="1"/>
  <c r="B6299" i="1"/>
  <c r="A6300" i="1"/>
  <c r="B6300" i="1"/>
  <c r="A6301" i="1"/>
  <c r="B6301" i="1"/>
  <c r="A6302" i="1"/>
  <c r="B6302" i="1"/>
  <c r="A6303" i="1"/>
  <c r="B6303" i="1"/>
  <c r="A6304" i="1"/>
  <c r="B6304" i="1"/>
  <c r="A6305" i="1"/>
  <c r="B6305" i="1"/>
  <c r="A6306" i="1"/>
  <c r="B6306" i="1"/>
  <c r="A6307" i="1"/>
  <c r="B6307" i="1"/>
  <c r="A6308" i="1"/>
  <c r="B6308" i="1"/>
  <c r="A6309" i="1"/>
  <c r="B6309" i="1"/>
  <c r="A6310" i="1"/>
  <c r="B6310" i="1"/>
  <c r="A6311" i="1"/>
  <c r="B6311" i="1"/>
  <c r="A6312" i="1"/>
  <c r="B6312" i="1"/>
  <c r="A6313" i="1"/>
  <c r="B6313" i="1"/>
  <c r="A6314" i="1"/>
  <c r="B6314" i="1"/>
  <c r="A6315" i="1"/>
  <c r="B6315" i="1"/>
  <c r="A6316" i="1"/>
  <c r="B6316" i="1"/>
  <c r="A6317" i="1"/>
  <c r="B6317" i="1"/>
  <c r="A6318" i="1"/>
  <c r="B6318" i="1"/>
  <c r="A6319" i="1"/>
  <c r="B6319" i="1"/>
  <c r="A6320" i="1"/>
  <c r="B6320" i="1"/>
  <c r="A6321" i="1"/>
  <c r="B6321" i="1"/>
  <c r="A6322" i="1"/>
  <c r="B6322" i="1"/>
  <c r="A6323" i="1"/>
  <c r="B6323" i="1"/>
  <c r="A6324" i="1"/>
  <c r="B6324" i="1"/>
  <c r="A6325" i="1"/>
  <c r="B6325" i="1"/>
  <c r="A6326" i="1"/>
  <c r="B6326" i="1"/>
  <c r="A6327" i="1"/>
  <c r="B6327" i="1"/>
  <c r="A6328" i="1"/>
  <c r="B6328" i="1"/>
  <c r="A6329" i="1"/>
  <c r="B6329" i="1"/>
  <c r="A6330" i="1"/>
  <c r="B6330" i="1"/>
  <c r="A6331" i="1"/>
  <c r="B6331" i="1"/>
  <c r="A6332" i="1"/>
  <c r="B6332" i="1"/>
  <c r="A6333" i="1"/>
  <c r="B6333" i="1"/>
  <c r="A6334" i="1"/>
  <c r="B6334" i="1"/>
  <c r="A6335" i="1"/>
  <c r="B6335" i="1"/>
  <c r="A6336" i="1"/>
  <c r="B6336" i="1"/>
  <c r="A6337" i="1"/>
  <c r="B6337" i="1"/>
  <c r="A6338" i="1"/>
  <c r="B6338" i="1"/>
  <c r="A6339" i="1"/>
  <c r="B6339" i="1"/>
  <c r="A6340" i="1"/>
  <c r="B6340" i="1"/>
  <c r="A6341" i="1"/>
  <c r="B6341" i="1"/>
  <c r="A6342" i="1"/>
  <c r="B6342" i="1"/>
  <c r="A6343" i="1"/>
  <c r="B6343" i="1"/>
  <c r="A6344" i="1"/>
  <c r="B6344" i="1"/>
  <c r="A6345" i="1"/>
  <c r="B6345" i="1"/>
  <c r="A6346" i="1"/>
  <c r="B6346" i="1"/>
  <c r="A6347" i="1"/>
  <c r="B6347" i="1"/>
  <c r="A6348" i="1"/>
  <c r="B6348" i="1"/>
  <c r="A6349" i="1"/>
  <c r="B6349" i="1"/>
  <c r="A6350" i="1"/>
  <c r="B6350" i="1"/>
  <c r="A6351" i="1"/>
  <c r="B6351" i="1"/>
  <c r="A6352" i="1"/>
  <c r="B6352" i="1"/>
  <c r="A6353" i="1"/>
  <c r="B6353" i="1"/>
  <c r="A6354" i="1"/>
  <c r="B6354" i="1"/>
  <c r="A6355" i="1"/>
  <c r="B6355" i="1"/>
  <c r="A6356" i="1"/>
  <c r="B6356" i="1"/>
  <c r="A6357" i="1"/>
  <c r="B6357" i="1"/>
  <c r="A6358" i="1"/>
  <c r="B6358" i="1"/>
  <c r="A6359" i="1"/>
  <c r="B6359" i="1"/>
  <c r="A6360" i="1"/>
  <c r="B6360" i="1"/>
  <c r="A6361" i="1"/>
  <c r="B6361" i="1"/>
  <c r="A6362" i="1"/>
  <c r="B6362" i="1"/>
  <c r="A6363" i="1"/>
  <c r="B6363" i="1"/>
  <c r="A6364" i="1"/>
  <c r="B6364" i="1"/>
  <c r="A6365" i="1"/>
  <c r="B6365" i="1"/>
  <c r="A6366" i="1"/>
  <c r="B6366" i="1"/>
  <c r="A6367" i="1"/>
  <c r="B6367" i="1"/>
  <c r="A6368" i="1"/>
  <c r="B6368" i="1"/>
  <c r="A6369" i="1"/>
  <c r="B6369" i="1"/>
  <c r="A6370" i="1"/>
  <c r="B6370" i="1"/>
  <c r="A6371" i="1"/>
  <c r="B6371" i="1"/>
  <c r="A6372" i="1"/>
  <c r="B6372" i="1"/>
  <c r="A6373" i="1"/>
  <c r="B6373" i="1"/>
  <c r="A6374" i="1"/>
  <c r="B6374" i="1"/>
  <c r="A6375" i="1"/>
  <c r="B6375" i="1"/>
  <c r="A6376" i="1"/>
  <c r="B6376" i="1"/>
  <c r="A6377" i="1"/>
  <c r="B6377" i="1"/>
  <c r="A6378" i="1"/>
  <c r="B6378" i="1"/>
  <c r="A6379" i="1"/>
  <c r="B6379" i="1"/>
  <c r="A6380" i="1"/>
  <c r="B6380" i="1"/>
  <c r="A6381" i="1"/>
  <c r="B6381" i="1"/>
  <c r="A6382" i="1"/>
  <c r="B6382" i="1"/>
  <c r="A6383" i="1"/>
  <c r="B6383" i="1"/>
  <c r="A6384" i="1"/>
  <c r="B6384" i="1"/>
  <c r="A6385" i="1"/>
  <c r="B6385" i="1"/>
  <c r="A6386" i="1"/>
  <c r="B6386" i="1"/>
  <c r="A6387" i="1"/>
  <c r="B6387" i="1"/>
  <c r="A6388" i="1"/>
  <c r="B6388" i="1"/>
  <c r="A6389" i="1"/>
  <c r="B6389" i="1"/>
  <c r="A6390" i="1"/>
  <c r="B6390" i="1"/>
  <c r="A6391" i="1"/>
  <c r="B6391" i="1"/>
  <c r="A6392" i="1"/>
  <c r="B6392" i="1"/>
  <c r="A6393" i="1"/>
  <c r="B6393" i="1"/>
  <c r="A6394" i="1"/>
  <c r="B6394" i="1"/>
  <c r="A6395" i="1"/>
  <c r="B6395" i="1"/>
  <c r="A6396" i="1"/>
  <c r="B6396" i="1"/>
  <c r="A6397" i="1"/>
  <c r="B6397" i="1"/>
  <c r="A6398" i="1"/>
  <c r="B6398" i="1"/>
  <c r="A6399" i="1"/>
  <c r="B6399" i="1"/>
  <c r="A6400" i="1"/>
  <c r="B6400" i="1"/>
  <c r="A6401" i="1"/>
  <c r="B6401" i="1"/>
  <c r="A6402" i="1"/>
  <c r="B6402" i="1"/>
  <c r="A6403" i="1"/>
  <c r="B6403" i="1"/>
  <c r="A6404" i="1"/>
  <c r="B6404" i="1"/>
  <c r="A6405" i="1"/>
  <c r="B6405" i="1"/>
  <c r="A6406" i="1"/>
  <c r="B6406" i="1"/>
  <c r="A6407" i="1"/>
  <c r="B6407" i="1"/>
  <c r="A6408" i="1"/>
  <c r="B6408" i="1"/>
  <c r="A6409" i="1"/>
  <c r="B6409" i="1"/>
  <c r="A6410" i="1"/>
  <c r="B6410" i="1"/>
  <c r="A6411" i="1"/>
  <c r="B6411" i="1"/>
  <c r="A6412" i="1"/>
  <c r="B6412" i="1"/>
  <c r="A6413" i="1"/>
  <c r="B6413" i="1"/>
  <c r="A6414" i="1"/>
  <c r="B6414" i="1"/>
  <c r="A6415" i="1"/>
  <c r="B6415" i="1"/>
  <c r="A6416" i="1"/>
  <c r="B6416" i="1"/>
  <c r="A6417" i="1"/>
  <c r="B6417" i="1"/>
  <c r="A6418" i="1"/>
  <c r="B6418" i="1"/>
  <c r="A6419" i="1"/>
  <c r="B6419" i="1"/>
  <c r="A6420" i="1"/>
  <c r="B6420" i="1"/>
  <c r="A6421" i="1"/>
  <c r="B6421" i="1"/>
  <c r="A6422" i="1"/>
  <c r="B6422" i="1"/>
  <c r="A6423" i="1"/>
  <c r="B6423" i="1"/>
  <c r="A6424" i="1"/>
  <c r="B6424" i="1"/>
  <c r="A6425" i="1"/>
  <c r="B6425" i="1"/>
  <c r="A6426" i="1"/>
  <c r="B6426" i="1"/>
  <c r="A6427" i="1"/>
  <c r="B6427" i="1"/>
  <c r="A6428" i="1"/>
  <c r="B6428" i="1"/>
  <c r="A6429" i="1"/>
  <c r="B6429" i="1"/>
  <c r="A6430" i="1"/>
  <c r="B6430" i="1"/>
  <c r="A6431" i="1"/>
  <c r="B6431" i="1"/>
  <c r="A6432" i="1"/>
  <c r="B6432" i="1"/>
  <c r="A6433" i="1"/>
  <c r="B6433" i="1"/>
  <c r="A6434" i="1"/>
  <c r="B6434" i="1"/>
  <c r="A6435" i="1"/>
  <c r="B6435" i="1"/>
  <c r="A6436" i="1"/>
  <c r="B6436" i="1"/>
  <c r="A6437" i="1"/>
  <c r="B6437" i="1"/>
  <c r="A6438" i="1"/>
  <c r="B6438" i="1"/>
  <c r="A6439" i="1"/>
  <c r="B6439" i="1"/>
  <c r="A6440" i="1"/>
  <c r="B6440" i="1"/>
  <c r="A6441" i="1"/>
  <c r="B6441" i="1"/>
  <c r="A6442" i="1"/>
  <c r="B6442" i="1"/>
  <c r="A6443" i="1"/>
  <c r="B6443" i="1"/>
  <c r="A6444" i="1"/>
  <c r="B6444" i="1"/>
  <c r="A6445" i="1"/>
  <c r="B6445" i="1"/>
  <c r="A6446" i="1"/>
  <c r="B6446" i="1"/>
  <c r="A6447" i="1"/>
  <c r="B6447" i="1"/>
  <c r="A6448" i="1"/>
  <c r="B6448" i="1"/>
  <c r="A6449" i="1"/>
  <c r="B6449" i="1"/>
  <c r="A6450" i="1"/>
  <c r="B6450" i="1"/>
  <c r="A6451" i="1"/>
  <c r="B6451" i="1"/>
  <c r="A6452" i="1"/>
  <c r="B6452" i="1"/>
  <c r="A6453" i="1"/>
  <c r="B6453" i="1"/>
  <c r="A6454" i="1"/>
  <c r="B6454" i="1"/>
  <c r="A6455" i="1"/>
  <c r="B6455" i="1"/>
  <c r="A6456" i="1"/>
  <c r="B6456" i="1"/>
  <c r="A6457" i="1"/>
  <c r="B6457" i="1"/>
  <c r="A6458" i="1"/>
  <c r="B6458" i="1"/>
  <c r="A6459" i="1"/>
  <c r="B6459" i="1"/>
  <c r="A6460" i="1"/>
  <c r="B6460" i="1"/>
  <c r="A6461" i="1"/>
  <c r="B6461" i="1"/>
  <c r="A6462" i="1"/>
  <c r="B6462" i="1"/>
  <c r="A6463" i="1"/>
  <c r="B6463" i="1"/>
  <c r="A6464" i="1"/>
  <c r="B6464" i="1"/>
  <c r="A6465" i="1"/>
  <c r="B6465" i="1"/>
  <c r="A6466" i="1"/>
  <c r="B6466" i="1"/>
  <c r="A6467" i="1"/>
  <c r="B6467" i="1"/>
  <c r="A6468" i="1"/>
  <c r="B6468" i="1"/>
  <c r="A6469" i="1"/>
  <c r="B6469" i="1"/>
  <c r="A6470" i="1"/>
  <c r="B6470" i="1"/>
  <c r="A6471" i="1"/>
  <c r="B6471" i="1"/>
  <c r="A6472" i="1"/>
  <c r="B6472" i="1"/>
  <c r="A6473" i="1"/>
  <c r="B6473" i="1"/>
  <c r="A6474" i="1"/>
  <c r="B6474" i="1"/>
  <c r="A6475" i="1"/>
  <c r="B6475" i="1"/>
  <c r="A6476" i="1"/>
  <c r="B6476" i="1"/>
  <c r="A6477" i="1"/>
  <c r="B6477" i="1"/>
  <c r="A6478" i="1"/>
  <c r="B6478" i="1"/>
  <c r="A6479" i="1"/>
  <c r="B6479" i="1"/>
  <c r="A6480" i="1"/>
  <c r="B6480" i="1"/>
  <c r="A6481" i="1"/>
  <c r="B6481" i="1"/>
  <c r="A6482" i="1"/>
  <c r="B6482" i="1"/>
  <c r="A6483" i="1"/>
  <c r="B6483" i="1"/>
  <c r="A6484" i="1"/>
  <c r="B6484" i="1"/>
  <c r="A6485" i="1"/>
  <c r="B6485" i="1"/>
  <c r="A6486" i="1"/>
  <c r="B6486" i="1"/>
  <c r="A6487" i="1"/>
  <c r="B6487" i="1"/>
  <c r="A6488" i="1"/>
  <c r="B6488" i="1"/>
  <c r="A6489" i="1"/>
  <c r="B6489" i="1"/>
  <c r="A6490" i="1"/>
  <c r="B6490" i="1"/>
  <c r="A6491" i="1"/>
  <c r="B6491" i="1"/>
  <c r="A6492" i="1"/>
  <c r="B6492" i="1"/>
  <c r="A6493" i="1"/>
  <c r="B6493" i="1"/>
  <c r="A6494" i="1"/>
  <c r="B6494" i="1"/>
  <c r="A6495" i="1"/>
  <c r="B6495" i="1"/>
  <c r="A6496" i="1"/>
  <c r="B6496" i="1"/>
  <c r="A6497" i="1"/>
  <c r="B6497" i="1"/>
  <c r="A6498" i="1"/>
  <c r="B6498" i="1"/>
  <c r="A6499" i="1"/>
  <c r="B6499" i="1"/>
  <c r="A6500" i="1"/>
  <c r="B6500" i="1"/>
  <c r="A6501" i="1"/>
  <c r="B6501" i="1"/>
  <c r="A6502" i="1"/>
  <c r="B6502" i="1"/>
  <c r="A6503" i="1"/>
  <c r="B6503" i="1"/>
  <c r="A6504" i="1"/>
  <c r="B6504" i="1"/>
  <c r="A6505" i="1"/>
  <c r="B6505" i="1"/>
  <c r="A6506" i="1"/>
  <c r="B6506" i="1"/>
  <c r="A6507" i="1"/>
  <c r="B6507" i="1"/>
  <c r="A6508" i="1"/>
  <c r="B6508" i="1"/>
  <c r="A6509" i="1"/>
  <c r="B6509" i="1"/>
  <c r="A6510" i="1"/>
  <c r="B6510" i="1"/>
  <c r="A6511" i="1"/>
  <c r="B6511" i="1"/>
  <c r="A6512" i="1"/>
  <c r="B6512" i="1"/>
  <c r="A6513" i="1"/>
  <c r="B6513" i="1"/>
  <c r="A6514" i="1"/>
  <c r="B6514" i="1"/>
  <c r="A6515" i="1"/>
  <c r="B6515" i="1"/>
  <c r="A6516" i="1"/>
  <c r="B6516" i="1"/>
  <c r="A6517" i="1"/>
  <c r="B6517" i="1"/>
  <c r="A6518" i="1"/>
  <c r="B6518" i="1"/>
  <c r="A6519" i="1"/>
  <c r="B6519" i="1"/>
  <c r="A6520" i="1"/>
  <c r="B6520" i="1"/>
  <c r="A6521" i="1"/>
  <c r="B6521" i="1"/>
  <c r="A6522" i="1"/>
  <c r="B6522" i="1"/>
  <c r="A6523" i="1"/>
  <c r="B6523" i="1"/>
  <c r="A6524" i="1"/>
  <c r="B6524" i="1"/>
  <c r="A6525" i="1"/>
  <c r="B6525" i="1"/>
  <c r="A6526" i="1"/>
  <c r="B6526" i="1"/>
  <c r="A6527" i="1"/>
  <c r="B6527" i="1"/>
  <c r="A6528" i="1"/>
  <c r="B6528" i="1"/>
  <c r="A6529" i="1"/>
  <c r="B6529" i="1"/>
  <c r="A6530" i="1"/>
  <c r="B6530" i="1"/>
  <c r="A6531" i="1"/>
  <c r="B6531" i="1"/>
  <c r="A6532" i="1"/>
  <c r="B6532" i="1"/>
  <c r="A6533" i="1"/>
  <c r="B6533" i="1"/>
  <c r="A6534" i="1"/>
  <c r="B6534" i="1"/>
  <c r="A6535" i="1"/>
  <c r="B6535" i="1"/>
  <c r="A6536" i="1"/>
  <c r="B6536" i="1"/>
  <c r="A6537" i="1"/>
  <c r="B6537" i="1"/>
  <c r="A6538" i="1"/>
  <c r="B6538" i="1"/>
  <c r="A6539" i="1"/>
  <c r="B6539" i="1"/>
  <c r="A6540" i="1"/>
  <c r="B6540" i="1"/>
  <c r="A6541" i="1"/>
  <c r="B6541" i="1"/>
  <c r="A6542" i="1"/>
  <c r="B6542" i="1"/>
  <c r="A6543" i="1"/>
  <c r="B6543" i="1"/>
  <c r="A6544" i="1"/>
  <c r="B6544" i="1"/>
  <c r="A6545" i="1"/>
  <c r="B6545" i="1"/>
  <c r="A6546" i="1"/>
  <c r="B6546" i="1"/>
  <c r="A6547" i="1"/>
  <c r="B6547" i="1"/>
  <c r="A6548" i="1"/>
  <c r="B6548" i="1"/>
  <c r="A6549" i="1"/>
  <c r="B6549" i="1"/>
  <c r="A6550" i="1"/>
  <c r="B6550" i="1"/>
  <c r="A6551" i="1"/>
  <c r="B6551" i="1"/>
  <c r="A6552" i="1"/>
  <c r="B6552" i="1"/>
  <c r="A6553" i="1"/>
  <c r="B6553" i="1"/>
  <c r="A6554" i="1"/>
  <c r="B6554" i="1"/>
  <c r="A6555" i="1"/>
  <c r="B6555" i="1"/>
  <c r="A6556" i="1"/>
  <c r="B6556" i="1"/>
  <c r="A6557" i="1"/>
  <c r="B6557" i="1"/>
  <c r="A6558" i="1"/>
  <c r="B6558" i="1"/>
  <c r="A6559" i="1"/>
  <c r="B6559" i="1"/>
  <c r="A6560" i="1"/>
  <c r="B6560" i="1"/>
  <c r="A6561" i="1"/>
  <c r="B6561" i="1"/>
  <c r="A6562" i="1"/>
  <c r="B6562" i="1"/>
  <c r="A6563" i="1"/>
  <c r="B6563" i="1"/>
  <c r="A6564" i="1"/>
  <c r="B6564" i="1"/>
  <c r="A6565" i="1"/>
  <c r="B6565" i="1"/>
  <c r="A6566" i="1"/>
  <c r="B6566" i="1"/>
  <c r="A6567" i="1"/>
  <c r="B6567" i="1"/>
  <c r="A6568" i="1"/>
  <c r="B6568" i="1"/>
  <c r="A6569" i="1"/>
  <c r="B6569" i="1"/>
  <c r="A6570" i="1"/>
  <c r="B6570" i="1"/>
  <c r="A6571" i="1"/>
  <c r="B6571" i="1"/>
  <c r="A6572" i="1"/>
  <c r="B6572" i="1"/>
  <c r="A6573" i="1"/>
  <c r="B6573" i="1"/>
  <c r="A6574" i="1"/>
  <c r="B6574" i="1"/>
  <c r="A6575" i="1"/>
  <c r="B6575" i="1"/>
  <c r="A6576" i="1"/>
  <c r="B6576" i="1"/>
  <c r="A6577" i="1"/>
  <c r="B6577" i="1"/>
  <c r="A6578" i="1"/>
  <c r="B6578" i="1"/>
  <c r="A6579" i="1"/>
  <c r="B6579" i="1"/>
  <c r="A6580" i="1"/>
  <c r="B6580" i="1"/>
  <c r="A6581" i="1"/>
  <c r="B6581" i="1"/>
  <c r="A6582" i="1"/>
  <c r="B6582" i="1"/>
  <c r="A6583" i="1"/>
  <c r="B6583" i="1"/>
  <c r="A6584" i="1"/>
  <c r="B6584" i="1"/>
  <c r="A6585" i="1"/>
  <c r="B6585" i="1"/>
  <c r="A6586" i="1"/>
  <c r="B6586" i="1"/>
  <c r="A6587" i="1"/>
  <c r="B6587" i="1"/>
  <c r="A6588" i="1"/>
  <c r="B6588" i="1"/>
  <c r="A6589" i="1"/>
  <c r="B6589" i="1"/>
  <c r="A6590" i="1"/>
  <c r="B6590" i="1"/>
  <c r="A6591" i="1"/>
  <c r="B6591" i="1"/>
  <c r="A6592" i="1"/>
  <c r="B6592" i="1"/>
  <c r="A6593" i="1"/>
  <c r="B6593" i="1"/>
  <c r="A6594" i="1"/>
  <c r="B6594" i="1"/>
  <c r="A6595" i="1"/>
  <c r="B6595" i="1"/>
  <c r="A6596" i="1"/>
  <c r="B6596" i="1"/>
  <c r="A6597" i="1"/>
  <c r="B6597" i="1"/>
  <c r="A6598" i="1"/>
  <c r="B6598" i="1"/>
  <c r="A6599" i="1"/>
  <c r="B6599" i="1"/>
  <c r="A6600" i="1"/>
  <c r="B6600" i="1"/>
  <c r="A6601" i="1"/>
  <c r="B6601" i="1"/>
  <c r="A6602" i="1"/>
  <c r="B6602" i="1"/>
  <c r="A6603" i="1"/>
  <c r="B6603" i="1"/>
  <c r="A6604" i="1"/>
  <c r="B6604" i="1"/>
  <c r="A6605" i="1"/>
  <c r="B6605" i="1"/>
  <c r="A6606" i="1"/>
  <c r="B6606" i="1"/>
  <c r="A6607" i="1"/>
  <c r="B6607" i="1"/>
  <c r="A6608" i="1"/>
  <c r="B6608" i="1"/>
  <c r="A6609" i="1"/>
  <c r="B6609" i="1"/>
  <c r="A6610" i="1"/>
  <c r="B6610" i="1"/>
  <c r="A6611" i="1"/>
  <c r="B6611" i="1"/>
  <c r="A6612" i="1"/>
  <c r="B6612" i="1"/>
  <c r="A6613" i="1"/>
  <c r="B6613" i="1"/>
  <c r="A6614" i="1"/>
  <c r="B6614" i="1"/>
  <c r="A6615" i="1"/>
  <c r="B6615" i="1"/>
  <c r="A6616" i="1"/>
  <c r="B6616" i="1"/>
  <c r="A6617" i="1"/>
  <c r="B6617" i="1"/>
  <c r="A6618" i="1"/>
  <c r="B6618" i="1"/>
  <c r="A6619" i="1"/>
  <c r="B6619" i="1"/>
  <c r="A6620" i="1"/>
  <c r="B6620" i="1"/>
  <c r="A6621" i="1"/>
  <c r="B6621" i="1"/>
  <c r="A6622" i="1"/>
  <c r="B6622" i="1"/>
  <c r="A6623" i="1"/>
  <c r="B6623" i="1"/>
  <c r="A6624" i="1"/>
  <c r="B6624" i="1"/>
  <c r="A6625" i="1"/>
  <c r="B6625" i="1"/>
  <c r="A6626" i="1"/>
  <c r="B6626" i="1"/>
  <c r="A6627" i="1"/>
  <c r="B6627" i="1"/>
  <c r="A6628" i="1"/>
  <c r="B6628" i="1"/>
  <c r="A6629" i="1"/>
  <c r="B6629" i="1"/>
  <c r="A6630" i="1"/>
  <c r="B6630" i="1"/>
  <c r="A6631" i="1"/>
  <c r="B6631" i="1"/>
  <c r="A6632" i="1"/>
  <c r="B6632" i="1"/>
  <c r="A6633" i="1"/>
  <c r="B6633" i="1"/>
  <c r="A6634" i="1"/>
  <c r="B6634" i="1"/>
  <c r="A6635" i="1"/>
  <c r="B6635" i="1"/>
  <c r="A6636" i="1"/>
  <c r="B6636" i="1"/>
  <c r="A6637" i="1"/>
  <c r="B6637" i="1"/>
  <c r="A6638" i="1"/>
  <c r="B6638" i="1"/>
  <c r="A6639" i="1"/>
  <c r="B6639" i="1"/>
  <c r="A6640" i="1"/>
  <c r="B6640" i="1"/>
  <c r="A6641" i="1"/>
  <c r="B6641" i="1"/>
  <c r="A6642" i="1"/>
  <c r="B6642" i="1"/>
  <c r="A6643" i="1"/>
  <c r="B6643" i="1"/>
  <c r="A6644" i="1"/>
  <c r="B6644" i="1"/>
  <c r="A6645" i="1"/>
  <c r="B6645" i="1"/>
  <c r="A6646" i="1"/>
  <c r="B6646" i="1"/>
  <c r="A6647" i="1"/>
  <c r="B6647" i="1"/>
  <c r="A6648" i="1"/>
  <c r="B6648" i="1"/>
  <c r="A6649" i="1"/>
  <c r="B6649" i="1"/>
  <c r="A6650" i="1"/>
  <c r="B6650" i="1"/>
  <c r="A6651" i="1"/>
  <c r="B6651" i="1"/>
  <c r="A6652" i="1"/>
  <c r="B6652" i="1"/>
  <c r="A6653" i="1"/>
  <c r="B6653" i="1"/>
  <c r="A6654" i="1"/>
  <c r="B6654" i="1"/>
  <c r="A6655" i="1"/>
  <c r="B6655" i="1"/>
  <c r="A6656" i="1"/>
  <c r="B6656" i="1"/>
  <c r="A6657" i="1"/>
  <c r="B6657" i="1"/>
  <c r="A6658" i="1"/>
  <c r="B6658" i="1"/>
  <c r="A6659" i="1"/>
  <c r="B6659" i="1"/>
  <c r="A6660" i="1"/>
  <c r="B6660" i="1"/>
  <c r="A6661" i="1"/>
  <c r="B6661" i="1"/>
  <c r="A6662" i="1"/>
  <c r="B6662" i="1"/>
  <c r="A6663" i="1"/>
  <c r="B6663" i="1"/>
  <c r="A6664" i="1"/>
  <c r="B6664" i="1"/>
  <c r="A6665" i="1"/>
  <c r="B6665" i="1"/>
  <c r="A6666" i="1"/>
  <c r="B6666" i="1"/>
  <c r="A6667" i="1"/>
  <c r="B6667" i="1"/>
  <c r="A6668" i="1"/>
  <c r="B6668" i="1"/>
  <c r="A6669" i="1"/>
  <c r="B6669" i="1"/>
  <c r="A6670" i="1"/>
  <c r="B6670" i="1"/>
  <c r="A6671" i="1"/>
  <c r="B6671" i="1"/>
  <c r="A6672" i="1"/>
  <c r="B6672" i="1"/>
  <c r="A6673" i="1"/>
  <c r="B6673" i="1"/>
  <c r="A6674" i="1"/>
  <c r="B6674" i="1"/>
  <c r="A6675" i="1"/>
  <c r="B6675" i="1"/>
  <c r="A6676" i="1"/>
  <c r="B6676" i="1"/>
  <c r="A6677" i="1"/>
  <c r="B6677" i="1"/>
  <c r="A6678" i="1"/>
  <c r="B6678" i="1"/>
  <c r="A6679" i="1"/>
  <c r="B6679" i="1"/>
  <c r="A6680" i="1"/>
  <c r="B6680" i="1"/>
  <c r="A6681" i="1"/>
  <c r="B6681" i="1"/>
  <c r="A6682" i="1"/>
  <c r="B6682" i="1"/>
  <c r="A6683" i="1"/>
  <c r="B6683" i="1"/>
  <c r="A6684" i="1"/>
  <c r="B6684" i="1"/>
  <c r="A6685" i="1"/>
  <c r="B6685" i="1"/>
  <c r="A6686" i="1"/>
  <c r="B6686" i="1"/>
  <c r="A6687" i="1"/>
  <c r="B6687" i="1"/>
  <c r="A6688" i="1"/>
  <c r="B6688" i="1"/>
  <c r="A6689" i="1"/>
  <c r="B6689" i="1"/>
  <c r="A6690" i="1"/>
  <c r="B6690" i="1"/>
  <c r="A6691" i="1"/>
  <c r="B6691" i="1"/>
  <c r="A6692" i="1"/>
  <c r="B6692" i="1"/>
  <c r="A6693" i="1"/>
  <c r="B6693" i="1"/>
  <c r="A6694" i="1"/>
  <c r="B6694" i="1"/>
  <c r="A6695" i="1"/>
  <c r="B6695" i="1"/>
  <c r="A6696" i="1"/>
  <c r="B6696" i="1"/>
  <c r="A6697" i="1"/>
  <c r="B6697" i="1"/>
  <c r="A6698" i="1"/>
  <c r="B6698" i="1"/>
  <c r="A6699" i="1"/>
  <c r="B6699" i="1"/>
  <c r="A6700" i="1"/>
  <c r="B6700" i="1"/>
  <c r="A6701" i="1"/>
  <c r="B6701" i="1"/>
  <c r="A6702" i="1"/>
  <c r="B6702" i="1"/>
  <c r="A6703" i="1"/>
  <c r="B6703" i="1"/>
  <c r="A6704" i="1"/>
  <c r="B6704" i="1"/>
  <c r="A6705" i="1"/>
  <c r="B6705" i="1"/>
  <c r="A6706" i="1"/>
  <c r="B6706" i="1"/>
  <c r="A6707" i="1"/>
  <c r="B6707" i="1"/>
  <c r="A6708" i="1"/>
  <c r="B6708" i="1"/>
  <c r="A6709" i="1"/>
  <c r="B6709" i="1"/>
  <c r="A6710" i="1"/>
  <c r="B6710" i="1"/>
  <c r="A6711" i="1"/>
  <c r="B6711" i="1"/>
  <c r="A6712" i="1"/>
  <c r="B6712" i="1"/>
  <c r="A6713" i="1"/>
  <c r="B6713" i="1"/>
  <c r="A6714" i="1"/>
  <c r="B6714" i="1"/>
  <c r="A6715" i="1"/>
  <c r="B6715" i="1"/>
  <c r="A6716" i="1"/>
  <c r="B6716" i="1"/>
  <c r="A6717" i="1"/>
  <c r="B6717" i="1"/>
  <c r="A6718" i="1"/>
  <c r="B6718" i="1"/>
  <c r="A6719" i="1"/>
  <c r="B6719" i="1"/>
  <c r="A6720" i="1"/>
  <c r="B6720" i="1"/>
  <c r="A6721" i="1"/>
  <c r="B6721" i="1"/>
  <c r="A6722" i="1"/>
  <c r="B6722" i="1"/>
  <c r="A6723" i="1"/>
  <c r="B6723" i="1"/>
  <c r="A6724" i="1"/>
  <c r="B6724" i="1"/>
  <c r="A6725" i="1"/>
  <c r="B6725" i="1"/>
  <c r="A6726" i="1"/>
  <c r="B6726" i="1"/>
  <c r="A6727" i="1"/>
  <c r="B6727" i="1"/>
  <c r="A6728" i="1"/>
  <c r="B6728" i="1"/>
  <c r="A6729" i="1"/>
  <c r="B6729" i="1"/>
  <c r="A6730" i="1"/>
  <c r="B6730" i="1"/>
  <c r="A6731" i="1"/>
  <c r="B6731" i="1"/>
  <c r="A6732" i="1"/>
  <c r="B6732" i="1"/>
  <c r="A6733" i="1"/>
  <c r="B6733" i="1"/>
  <c r="A6734" i="1"/>
  <c r="B6734" i="1"/>
  <c r="A6735" i="1"/>
  <c r="B6735" i="1"/>
  <c r="A6736" i="1"/>
  <c r="B6736" i="1"/>
  <c r="A6737" i="1"/>
  <c r="B6737" i="1"/>
  <c r="A6738" i="1"/>
  <c r="B6738" i="1"/>
  <c r="A6739" i="1"/>
  <c r="B6739" i="1"/>
  <c r="A6740" i="1"/>
  <c r="B6740" i="1"/>
  <c r="A6741" i="1"/>
  <c r="B6741" i="1"/>
  <c r="A6742" i="1"/>
  <c r="B6742" i="1"/>
  <c r="A6743" i="1"/>
  <c r="B6743" i="1"/>
  <c r="A6744" i="1"/>
  <c r="B6744" i="1"/>
  <c r="A6745" i="1"/>
  <c r="B6745" i="1"/>
  <c r="A6746" i="1"/>
  <c r="B6746" i="1"/>
  <c r="A6747" i="1"/>
  <c r="B6747" i="1"/>
  <c r="A6748" i="1"/>
  <c r="B6748" i="1"/>
  <c r="A6749" i="1"/>
  <c r="B6749" i="1"/>
  <c r="A6750" i="1"/>
  <c r="B6750" i="1"/>
  <c r="A6751" i="1"/>
  <c r="B6751" i="1"/>
  <c r="A6752" i="1"/>
  <c r="B6752" i="1"/>
  <c r="A6753" i="1"/>
  <c r="B6753" i="1"/>
  <c r="A6754" i="1"/>
  <c r="B6754" i="1"/>
  <c r="A6755" i="1"/>
  <c r="B6755" i="1"/>
  <c r="A6756" i="1"/>
  <c r="B6756" i="1"/>
  <c r="A6757" i="1"/>
  <c r="B6757" i="1"/>
  <c r="A6758" i="1"/>
  <c r="B6758" i="1"/>
  <c r="A6759" i="1"/>
  <c r="B6759" i="1"/>
  <c r="A6760" i="1"/>
  <c r="B6760" i="1"/>
  <c r="A6761" i="1"/>
  <c r="B6761" i="1"/>
  <c r="A6762" i="1"/>
  <c r="B6762" i="1"/>
  <c r="A6763" i="1"/>
  <c r="B6763" i="1"/>
  <c r="A6764" i="1"/>
  <c r="B6764" i="1"/>
  <c r="A6765" i="1"/>
  <c r="B6765" i="1"/>
  <c r="A6766" i="1"/>
  <c r="B6766" i="1"/>
  <c r="A6767" i="1"/>
  <c r="B6767" i="1"/>
  <c r="A6768" i="1"/>
  <c r="B6768" i="1"/>
  <c r="A6769" i="1"/>
  <c r="B6769" i="1"/>
  <c r="A6770" i="1"/>
  <c r="B6770" i="1"/>
  <c r="A6771" i="1"/>
  <c r="B6771" i="1"/>
  <c r="A6772" i="1"/>
  <c r="B6772" i="1"/>
  <c r="A6773" i="1"/>
  <c r="B6773" i="1"/>
  <c r="A6774" i="1"/>
  <c r="B6774" i="1"/>
  <c r="A6775" i="1"/>
  <c r="B6775" i="1"/>
  <c r="A6776" i="1"/>
  <c r="B6776" i="1"/>
  <c r="A6777" i="1"/>
  <c r="B6777" i="1"/>
  <c r="A6778" i="1"/>
  <c r="B6778" i="1"/>
  <c r="A6779" i="1"/>
  <c r="B6779" i="1"/>
  <c r="A6780" i="1"/>
  <c r="B6780" i="1"/>
  <c r="A6781" i="1"/>
  <c r="B6781" i="1"/>
  <c r="A6782" i="1"/>
  <c r="B6782" i="1"/>
  <c r="A6783" i="1"/>
  <c r="B6783" i="1"/>
  <c r="A6784" i="1"/>
  <c r="B6784" i="1"/>
  <c r="A6785" i="1"/>
  <c r="B6785" i="1"/>
  <c r="A6786" i="1"/>
  <c r="B6786" i="1"/>
  <c r="A6787" i="1"/>
  <c r="B6787" i="1"/>
  <c r="A6788" i="1"/>
  <c r="B6788" i="1"/>
  <c r="A6789" i="1"/>
  <c r="B6789" i="1"/>
  <c r="A6790" i="1"/>
  <c r="B6790" i="1"/>
  <c r="A6791" i="1"/>
  <c r="B6791" i="1"/>
  <c r="A6792" i="1"/>
  <c r="B6792" i="1"/>
  <c r="A6793" i="1"/>
  <c r="B6793" i="1"/>
  <c r="A6794" i="1"/>
  <c r="B6794" i="1"/>
  <c r="A6795" i="1"/>
  <c r="B6795" i="1"/>
  <c r="A6796" i="1"/>
  <c r="B6796" i="1"/>
  <c r="A6797" i="1"/>
  <c r="B6797" i="1"/>
  <c r="A6798" i="1"/>
  <c r="B6798" i="1"/>
  <c r="A6799" i="1"/>
  <c r="B6799" i="1"/>
  <c r="A6800" i="1"/>
  <c r="B6800" i="1"/>
  <c r="A6801" i="1"/>
  <c r="B6801" i="1"/>
  <c r="A6802" i="1"/>
  <c r="B6802" i="1"/>
  <c r="A6803" i="1"/>
  <c r="B6803" i="1"/>
  <c r="A6804" i="1"/>
  <c r="B6804" i="1"/>
  <c r="A6805" i="1"/>
  <c r="B6805" i="1"/>
  <c r="A6806" i="1"/>
  <c r="B6806" i="1"/>
  <c r="A6807" i="1"/>
  <c r="B6807" i="1"/>
  <c r="A6808" i="1"/>
  <c r="B6808" i="1"/>
  <c r="A6809" i="1"/>
  <c r="B6809" i="1"/>
  <c r="A6810" i="1"/>
  <c r="B6810" i="1"/>
  <c r="A6811" i="1"/>
  <c r="B6811" i="1"/>
  <c r="A6812" i="1"/>
  <c r="B6812" i="1"/>
  <c r="A6813" i="1"/>
  <c r="B6813" i="1"/>
  <c r="A6814" i="1"/>
  <c r="B6814" i="1"/>
  <c r="A6815" i="1"/>
  <c r="B6815" i="1"/>
  <c r="A6816" i="1"/>
  <c r="B6816" i="1"/>
  <c r="A6817" i="1"/>
  <c r="B6817" i="1"/>
  <c r="A6818" i="1"/>
  <c r="B6818" i="1"/>
  <c r="A6819" i="1"/>
  <c r="B6819" i="1"/>
  <c r="A6820" i="1"/>
  <c r="B6820" i="1"/>
  <c r="A6821" i="1"/>
  <c r="B6821" i="1"/>
  <c r="A6822" i="1"/>
  <c r="B6822" i="1"/>
  <c r="A6823" i="1"/>
  <c r="B6823" i="1"/>
  <c r="A6824" i="1"/>
  <c r="B6824" i="1"/>
  <c r="A6825" i="1"/>
  <c r="B6825" i="1"/>
  <c r="A6826" i="1"/>
  <c r="B6826" i="1"/>
  <c r="A6827" i="1"/>
  <c r="B6827" i="1"/>
  <c r="A6828" i="1"/>
  <c r="B6828" i="1"/>
  <c r="A6829" i="1"/>
  <c r="B6829" i="1"/>
  <c r="A6830" i="1"/>
  <c r="B6830" i="1"/>
  <c r="A6831" i="1"/>
  <c r="B6831" i="1"/>
  <c r="A6832" i="1"/>
  <c r="B6832" i="1"/>
  <c r="A6833" i="1"/>
  <c r="B6833" i="1"/>
  <c r="A6834" i="1"/>
  <c r="B6834" i="1"/>
  <c r="A6835" i="1"/>
  <c r="B6835" i="1"/>
  <c r="A6836" i="1"/>
  <c r="B6836" i="1"/>
  <c r="A6837" i="1"/>
  <c r="B6837" i="1"/>
  <c r="A6838" i="1"/>
  <c r="B6838" i="1"/>
  <c r="A6839" i="1"/>
  <c r="B6839" i="1"/>
  <c r="A6840" i="1"/>
  <c r="B6840" i="1"/>
  <c r="A6841" i="1"/>
  <c r="B6841" i="1"/>
  <c r="A6842" i="1"/>
  <c r="B6842" i="1"/>
  <c r="A6843" i="1"/>
  <c r="B6843" i="1"/>
  <c r="A6844" i="1"/>
  <c r="B6844" i="1"/>
  <c r="A6845" i="1"/>
  <c r="B6845" i="1"/>
  <c r="A6846" i="1"/>
  <c r="B6846" i="1"/>
  <c r="A6847" i="1"/>
  <c r="B6847" i="1"/>
  <c r="A6848" i="1"/>
  <c r="B6848" i="1"/>
  <c r="A6849" i="1"/>
  <c r="B6849" i="1"/>
  <c r="A6850" i="1"/>
  <c r="B6850" i="1"/>
  <c r="A6851" i="1"/>
  <c r="B6851" i="1"/>
  <c r="A6852" i="1"/>
  <c r="B6852" i="1"/>
  <c r="A6853" i="1"/>
  <c r="B6853" i="1"/>
  <c r="A6854" i="1"/>
  <c r="B6854" i="1"/>
  <c r="A6855" i="1"/>
  <c r="B6855" i="1"/>
  <c r="A6856" i="1"/>
  <c r="B6856" i="1"/>
  <c r="A6857" i="1"/>
  <c r="B6857" i="1"/>
  <c r="A6858" i="1"/>
  <c r="B6858" i="1"/>
  <c r="A6859" i="1"/>
  <c r="B6859" i="1"/>
  <c r="A6860" i="1"/>
  <c r="B6860" i="1"/>
  <c r="A6861" i="1"/>
  <c r="B6861" i="1"/>
  <c r="A6862" i="1"/>
  <c r="B6862" i="1"/>
  <c r="A6863" i="1"/>
  <c r="B6863" i="1"/>
  <c r="A6864" i="1"/>
  <c r="B6864" i="1"/>
  <c r="A6865" i="1"/>
  <c r="B6865" i="1"/>
  <c r="A6866" i="1"/>
  <c r="B6866" i="1"/>
  <c r="A6867" i="1"/>
  <c r="B6867" i="1"/>
  <c r="A6868" i="1"/>
  <c r="B6868" i="1"/>
  <c r="A6869" i="1"/>
  <c r="B6869" i="1"/>
  <c r="A6870" i="1"/>
  <c r="B6870" i="1"/>
  <c r="A6871" i="1"/>
  <c r="B6871" i="1"/>
  <c r="A6872" i="1"/>
  <c r="B6872" i="1"/>
  <c r="A6873" i="1"/>
  <c r="B6873" i="1"/>
  <c r="A6874" i="1"/>
  <c r="B6874" i="1"/>
  <c r="A6875" i="1"/>
  <c r="B6875" i="1"/>
  <c r="A6876" i="1"/>
  <c r="B6876" i="1"/>
  <c r="A6877" i="1"/>
  <c r="B6877" i="1"/>
  <c r="A6878" i="1"/>
  <c r="B6878" i="1"/>
  <c r="A6879" i="1"/>
  <c r="B6879" i="1"/>
  <c r="A6880" i="1"/>
  <c r="B6880" i="1"/>
  <c r="A6881" i="1"/>
  <c r="B6881" i="1"/>
  <c r="A6882" i="1"/>
  <c r="B6882" i="1"/>
  <c r="A6883" i="1"/>
  <c r="B6883" i="1"/>
  <c r="A6884" i="1"/>
  <c r="B6884" i="1"/>
  <c r="A6885" i="1"/>
  <c r="B6885" i="1"/>
  <c r="A6886" i="1"/>
  <c r="B6886" i="1"/>
  <c r="A6887" i="1"/>
  <c r="B6887" i="1"/>
  <c r="A6888" i="1"/>
  <c r="B6888" i="1"/>
  <c r="A6889" i="1"/>
  <c r="B6889" i="1"/>
  <c r="A6890" i="1"/>
  <c r="B6890" i="1"/>
  <c r="A6891" i="1"/>
  <c r="B6891" i="1"/>
  <c r="A6892" i="1"/>
  <c r="B6892" i="1"/>
  <c r="A6893" i="1"/>
  <c r="B6893" i="1"/>
  <c r="A6894" i="1"/>
  <c r="B6894" i="1"/>
  <c r="A6895" i="1"/>
  <c r="B6895" i="1"/>
  <c r="A6896" i="1"/>
  <c r="B6896" i="1"/>
  <c r="A6897" i="1"/>
  <c r="B6897" i="1"/>
  <c r="A6898" i="1"/>
  <c r="B6898" i="1"/>
  <c r="A6899" i="1"/>
  <c r="B6899" i="1"/>
  <c r="A6900" i="1"/>
  <c r="B6900" i="1"/>
  <c r="A6901" i="1"/>
  <c r="B6901" i="1"/>
  <c r="A6902" i="1"/>
  <c r="B6902" i="1"/>
  <c r="A6903" i="1"/>
  <c r="B6903" i="1"/>
  <c r="A6904" i="1"/>
  <c r="B6904" i="1"/>
  <c r="A6905" i="1"/>
  <c r="B6905" i="1"/>
  <c r="A6906" i="1"/>
  <c r="B6906" i="1"/>
  <c r="A6907" i="1"/>
  <c r="B6907" i="1"/>
  <c r="A6908" i="1"/>
  <c r="B6908" i="1"/>
  <c r="A6909" i="1"/>
  <c r="B6909" i="1"/>
  <c r="A6910" i="1"/>
  <c r="B6910" i="1"/>
  <c r="A6911" i="1"/>
  <c r="B6911" i="1"/>
  <c r="A6912" i="1"/>
  <c r="B6912" i="1"/>
  <c r="A6913" i="1"/>
  <c r="B6913" i="1"/>
  <c r="A6914" i="1"/>
  <c r="B6914" i="1"/>
  <c r="A6915" i="1"/>
  <c r="B6915" i="1"/>
  <c r="A6916" i="1"/>
  <c r="B6916" i="1"/>
  <c r="A6917" i="1"/>
  <c r="B6917" i="1"/>
  <c r="A6918" i="1"/>
  <c r="B6918" i="1"/>
  <c r="A6919" i="1"/>
  <c r="B6919" i="1"/>
  <c r="A6920" i="1"/>
  <c r="B6920" i="1"/>
  <c r="A6921" i="1"/>
  <c r="B6921" i="1"/>
  <c r="A6922" i="1"/>
  <c r="B6922" i="1"/>
  <c r="A6923" i="1"/>
  <c r="B6923" i="1"/>
  <c r="A6924" i="1"/>
  <c r="B6924" i="1"/>
  <c r="A6925" i="1"/>
  <c r="B6925" i="1"/>
  <c r="A6926" i="1"/>
  <c r="B6926" i="1"/>
  <c r="A6927" i="1"/>
  <c r="B6927" i="1"/>
  <c r="A6928" i="1"/>
  <c r="B6928" i="1"/>
  <c r="A6929" i="1"/>
  <c r="B6929" i="1"/>
  <c r="A6930" i="1"/>
  <c r="B6930" i="1"/>
  <c r="A6931" i="1"/>
  <c r="B6931" i="1"/>
  <c r="A6932" i="1"/>
  <c r="B6932" i="1"/>
  <c r="A6933" i="1"/>
  <c r="B6933" i="1"/>
  <c r="A6934" i="1"/>
  <c r="B6934" i="1"/>
  <c r="A6935" i="1"/>
  <c r="B6935" i="1"/>
  <c r="A6936" i="1"/>
  <c r="B6936" i="1"/>
  <c r="A6937" i="1"/>
  <c r="B6937" i="1"/>
  <c r="A6938" i="1"/>
  <c r="B6938" i="1"/>
  <c r="A6939" i="1"/>
  <c r="B6939" i="1"/>
  <c r="A6940" i="1"/>
  <c r="B6940" i="1"/>
  <c r="A6941" i="1"/>
  <c r="B6941" i="1"/>
  <c r="A6942" i="1"/>
  <c r="B6942" i="1"/>
  <c r="A6943" i="1"/>
  <c r="B6943" i="1"/>
  <c r="A6944" i="1"/>
  <c r="B6944" i="1"/>
  <c r="A6945" i="1"/>
  <c r="B6945" i="1"/>
  <c r="A6946" i="1"/>
  <c r="B6946" i="1"/>
  <c r="A6947" i="1"/>
  <c r="B6947" i="1"/>
  <c r="A6948" i="1"/>
  <c r="B6948" i="1"/>
  <c r="A6949" i="1"/>
  <c r="B6949" i="1"/>
  <c r="A6950" i="1"/>
  <c r="B6950" i="1"/>
  <c r="A6951" i="1"/>
  <c r="B6951" i="1"/>
  <c r="A6952" i="1"/>
  <c r="B6952" i="1"/>
  <c r="A6953" i="1"/>
  <c r="B6953" i="1"/>
  <c r="A6954" i="1"/>
  <c r="B6954" i="1"/>
  <c r="A6955" i="1"/>
  <c r="B6955" i="1"/>
  <c r="A6956" i="1"/>
  <c r="B6956" i="1"/>
  <c r="A6957" i="1"/>
  <c r="B6957" i="1"/>
  <c r="A6958" i="1"/>
  <c r="B6958" i="1"/>
  <c r="A6959" i="1"/>
  <c r="B6959" i="1"/>
  <c r="A6960" i="1"/>
  <c r="B6960" i="1"/>
  <c r="A6961" i="1"/>
  <c r="B6961" i="1"/>
  <c r="A6962" i="1"/>
  <c r="B6962" i="1"/>
  <c r="A6963" i="1"/>
  <c r="B6963" i="1"/>
  <c r="A6964" i="1"/>
  <c r="B6964" i="1"/>
  <c r="A6965" i="1"/>
  <c r="B6965" i="1"/>
  <c r="A6966" i="1"/>
  <c r="B6966" i="1"/>
  <c r="A6967" i="1"/>
  <c r="B6967" i="1"/>
  <c r="A6968" i="1"/>
  <c r="B6968" i="1"/>
  <c r="A6969" i="1"/>
  <c r="B6969" i="1"/>
  <c r="A6970" i="1"/>
  <c r="B6970" i="1"/>
  <c r="A6971" i="1"/>
  <c r="B6971" i="1"/>
  <c r="A6972" i="1"/>
  <c r="B6972" i="1"/>
  <c r="A6973" i="1"/>
  <c r="B6973" i="1"/>
  <c r="A6974" i="1"/>
  <c r="B6974" i="1"/>
  <c r="A6975" i="1"/>
  <c r="B6975" i="1"/>
  <c r="A6976" i="1"/>
  <c r="B6976" i="1"/>
  <c r="A6977" i="1"/>
  <c r="B6977" i="1"/>
  <c r="A6978" i="1"/>
  <c r="B6978" i="1"/>
  <c r="A6979" i="1"/>
  <c r="B6979" i="1"/>
  <c r="A6980" i="1"/>
  <c r="B6980" i="1"/>
  <c r="A6981" i="1"/>
  <c r="B6981" i="1"/>
  <c r="A6982" i="1"/>
  <c r="B6982" i="1"/>
  <c r="A6983" i="1"/>
  <c r="B6983" i="1"/>
  <c r="A6984" i="1"/>
  <c r="B6984" i="1"/>
  <c r="A6985" i="1"/>
  <c r="B6985" i="1"/>
  <c r="A6986" i="1"/>
  <c r="B6986" i="1"/>
  <c r="A6987" i="1"/>
  <c r="B6987" i="1"/>
  <c r="A6988" i="1"/>
  <c r="B6988" i="1"/>
  <c r="A6989" i="1"/>
  <c r="B6989" i="1"/>
  <c r="A6990" i="1"/>
  <c r="B6990" i="1"/>
  <c r="A6991" i="1"/>
  <c r="B6991" i="1"/>
  <c r="A6992" i="1"/>
  <c r="B6992" i="1"/>
  <c r="A6993" i="1"/>
  <c r="B6993" i="1"/>
  <c r="A6994" i="1"/>
  <c r="B6994" i="1"/>
  <c r="A6995" i="1"/>
  <c r="B6995" i="1"/>
  <c r="A6996" i="1"/>
  <c r="B6996" i="1"/>
  <c r="A6997" i="1"/>
  <c r="B6997" i="1"/>
  <c r="A6998" i="1"/>
  <c r="B6998" i="1"/>
  <c r="A6999" i="1"/>
  <c r="B6999" i="1"/>
  <c r="A7000" i="1"/>
  <c r="B7000" i="1"/>
  <c r="A7001" i="1"/>
  <c r="B7001" i="1"/>
  <c r="A7002" i="1"/>
  <c r="B7002" i="1"/>
  <c r="A7003" i="1"/>
  <c r="B7003" i="1"/>
  <c r="A7004" i="1"/>
  <c r="B7004" i="1"/>
  <c r="A7005" i="1"/>
  <c r="B7005" i="1"/>
  <c r="A7006" i="1"/>
  <c r="B7006" i="1"/>
  <c r="A7007" i="1"/>
  <c r="B7007" i="1"/>
  <c r="A7008" i="1"/>
  <c r="B7008" i="1"/>
  <c r="A7009" i="1"/>
  <c r="B7009" i="1"/>
  <c r="A7010" i="1"/>
  <c r="B7010" i="1"/>
  <c r="A7011" i="1"/>
  <c r="B7011" i="1"/>
  <c r="A7012" i="1"/>
  <c r="B7012" i="1"/>
  <c r="A7013" i="1"/>
  <c r="B7013" i="1"/>
  <c r="A7014" i="1"/>
  <c r="B7014" i="1"/>
  <c r="A7015" i="1"/>
  <c r="B7015" i="1"/>
  <c r="A7016" i="1"/>
  <c r="B7016" i="1"/>
  <c r="A7017" i="1"/>
  <c r="B7017" i="1"/>
  <c r="A7018" i="1"/>
  <c r="B7018" i="1"/>
  <c r="A7019" i="1"/>
  <c r="B7019" i="1"/>
  <c r="A7020" i="1"/>
  <c r="B7020" i="1"/>
  <c r="A7021" i="1"/>
  <c r="B7021" i="1"/>
  <c r="A7022" i="1"/>
  <c r="B7022" i="1"/>
  <c r="A7023" i="1"/>
  <c r="B7023" i="1"/>
  <c r="A7024" i="1"/>
  <c r="B7024" i="1"/>
  <c r="A7025" i="1"/>
  <c r="B7025" i="1"/>
  <c r="A7026" i="1"/>
  <c r="B7026" i="1"/>
  <c r="A7027" i="1"/>
  <c r="B7027" i="1"/>
  <c r="A7028" i="1"/>
  <c r="B7028" i="1"/>
  <c r="A7029" i="1"/>
  <c r="B7029" i="1"/>
  <c r="A7030" i="1"/>
  <c r="B7030" i="1"/>
  <c r="A7031" i="1"/>
  <c r="B7031" i="1"/>
  <c r="A7032" i="1"/>
  <c r="B7032" i="1"/>
  <c r="A7033" i="1"/>
  <c r="B7033" i="1"/>
  <c r="A7034" i="1"/>
  <c r="B7034" i="1"/>
  <c r="A7035" i="1"/>
  <c r="B7035" i="1"/>
  <c r="A7036" i="1"/>
  <c r="B7036" i="1"/>
  <c r="A7037" i="1"/>
  <c r="B7037" i="1"/>
  <c r="A7038" i="1"/>
  <c r="B7038" i="1"/>
  <c r="A7039" i="1"/>
  <c r="B7039" i="1"/>
  <c r="A7040" i="1"/>
  <c r="B7040" i="1"/>
  <c r="A7041" i="1"/>
  <c r="B7041" i="1"/>
  <c r="A7042" i="1"/>
  <c r="B7042" i="1"/>
  <c r="A7043" i="1"/>
  <c r="B7043" i="1"/>
  <c r="A7044" i="1"/>
  <c r="B7044" i="1"/>
  <c r="A7045" i="1"/>
  <c r="B7045" i="1"/>
  <c r="A7046" i="1"/>
  <c r="B7046" i="1"/>
  <c r="A7047" i="1"/>
  <c r="B7047" i="1"/>
  <c r="A7048" i="1"/>
  <c r="B7048" i="1"/>
  <c r="A7049" i="1"/>
  <c r="B7049" i="1"/>
  <c r="A7050" i="1"/>
  <c r="B7050" i="1"/>
  <c r="A7051" i="1"/>
  <c r="B7051" i="1"/>
  <c r="A7052" i="1"/>
  <c r="B7052" i="1"/>
  <c r="A7053" i="1"/>
  <c r="B7053" i="1"/>
  <c r="A7054" i="1"/>
  <c r="B7054" i="1"/>
  <c r="A7055" i="1"/>
  <c r="B7055" i="1"/>
  <c r="A7056" i="1"/>
  <c r="B7056" i="1"/>
  <c r="A7057" i="1"/>
  <c r="B7057" i="1"/>
  <c r="A7058" i="1"/>
  <c r="B7058" i="1"/>
  <c r="A7059" i="1"/>
  <c r="B7059" i="1"/>
  <c r="A7060" i="1"/>
  <c r="B7060" i="1"/>
  <c r="A7061" i="1"/>
  <c r="B7061" i="1"/>
  <c r="A7062" i="1"/>
  <c r="B7062" i="1"/>
  <c r="A7063" i="1"/>
  <c r="B7063" i="1"/>
  <c r="A7064" i="1"/>
  <c r="B7064" i="1"/>
  <c r="A7065" i="1"/>
  <c r="B7065" i="1"/>
  <c r="A7066" i="1"/>
  <c r="B7066" i="1"/>
  <c r="A7067" i="1"/>
  <c r="B7067" i="1"/>
  <c r="A7068" i="1"/>
  <c r="B7068" i="1"/>
  <c r="A7069" i="1"/>
  <c r="B7069" i="1"/>
  <c r="A7070" i="1"/>
  <c r="B7070" i="1"/>
  <c r="A7071" i="1"/>
  <c r="B7071" i="1"/>
  <c r="A7072" i="1"/>
  <c r="B7072" i="1"/>
  <c r="A7073" i="1"/>
  <c r="B7073" i="1"/>
  <c r="A7074" i="1"/>
  <c r="B7074" i="1"/>
  <c r="A7075" i="1"/>
  <c r="B7075" i="1"/>
  <c r="A7076" i="1"/>
  <c r="B7076" i="1"/>
  <c r="A7077" i="1"/>
  <c r="B7077" i="1"/>
  <c r="A7078" i="1"/>
  <c r="B7078" i="1"/>
  <c r="A7079" i="1"/>
  <c r="B7079" i="1"/>
  <c r="A7080" i="1"/>
  <c r="B7080" i="1"/>
  <c r="A7081" i="1"/>
  <c r="B7081" i="1"/>
  <c r="A7082" i="1"/>
  <c r="B7082" i="1"/>
  <c r="A7083" i="1"/>
  <c r="B7083" i="1"/>
  <c r="A7084" i="1"/>
  <c r="B7084" i="1"/>
  <c r="A7085" i="1"/>
  <c r="B7085" i="1"/>
  <c r="A7086" i="1"/>
  <c r="B7086" i="1"/>
  <c r="A7087" i="1"/>
  <c r="B7087" i="1"/>
  <c r="A7088" i="1"/>
  <c r="B7088" i="1"/>
  <c r="A7089" i="1"/>
  <c r="B7089" i="1"/>
  <c r="A7090" i="1"/>
  <c r="B7090" i="1"/>
  <c r="A7091" i="1"/>
  <c r="B7091" i="1"/>
  <c r="A7092" i="1"/>
  <c r="B7092" i="1"/>
  <c r="A7093" i="1"/>
  <c r="B7093" i="1"/>
  <c r="A7094" i="1"/>
  <c r="B7094" i="1"/>
  <c r="A7095" i="1"/>
  <c r="B7095" i="1"/>
  <c r="A7096" i="1"/>
  <c r="B7096" i="1"/>
  <c r="A7097" i="1"/>
  <c r="B7097" i="1"/>
  <c r="A7098" i="1"/>
  <c r="B7098" i="1"/>
  <c r="A7099" i="1"/>
  <c r="B7099" i="1"/>
  <c r="A7100" i="1"/>
  <c r="B7100" i="1"/>
  <c r="A7101" i="1"/>
  <c r="B7101" i="1"/>
  <c r="A7102" i="1"/>
  <c r="B7102" i="1"/>
  <c r="A7103" i="1"/>
  <c r="B7103" i="1"/>
  <c r="A7104" i="1"/>
  <c r="B7104" i="1"/>
  <c r="A7105" i="1"/>
  <c r="B7105" i="1"/>
  <c r="A7106" i="1"/>
  <c r="B7106" i="1"/>
  <c r="A7107" i="1"/>
  <c r="B7107" i="1"/>
  <c r="A7108" i="1"/>
  <c r="B7108" i="1"/>
  <c r="A7109" i="1"/>
  <c r="B7109" i="1"/>
  <c r="A7110" i="1"/>
  <c r="B7110" i="1"/>
  <c r="A7111" i="1"/>
  <c r="B7111" i="1"/>
  <c r="A7112" i="1"/>
  <c r="B7112" i="1"/>
  <c r="A7113" i="1"/>
  <c r="B7113" i="1"/>
  <c r="A7114" i="1"/>
  <c r="B7114" i="1"/>
  <c r="A7115" i="1"/>
  <c r="B7115" i="1"/>
  <c r="A7116" i="1"/>
  <c r="B7116" i="1"/>
  <c r="A7117" i="1"/>
  <c r="B7117" i="1"/>
  <c r="A7118" i="1"/>
  <c r="B7118" i="1"/>
  <c r="A7119" i="1"/>
  <c r="B7119" i="1"/>
  <c r="A7120" i="1"/>
  <c r="B7120" i="1"/>
  <c r="A7121" i="1"/>
  <c r="B7121" i="1"/>
  <c r="A7122" i="1"/>
  <c r="B7122" i="1"/>
  <c r="A7123" i="1"/>
  <c r="B7123" i="1"/>
  <c r="A7124" i="1"/>
  <c r="B7124" i="1"/>
  <c r="A7125" i="1"/>
  <c r="B7125" i="1"/>
  <c r="A7126" i="1"/>
  <c r="B7126" i="1"/>
  <c r="A7127" i="1"/>
  <c r="B7127" i="1"/>
  <c r="A7128" i="1"/>
  <c r="B7128" i="1"/>
  <c r="A7129" i="1"/>
  <c r="B7129" i="1"/>
  <c r="A7130" i="1"/>
  <c r="B7130" i="1"/>
  <c r="A7131" i="1"/>
  <c r="B7131" i="1"/>
  <c r="A7132" i="1"/>
  <c r="B7132" i="1"/>
  <c r="A7133" i="1"/>
  <c r="B7133" i="1"/>
  <c r="A7134" i="1"/>
  <c r="B7134" i="1"/>
  <c r="A7135" i="1"/>
  <c r="B7135" i="1"/>
  <c r="A7136" i="1"/>
  <c r="B7136" i="1"/>
  <c r="A7137" i="1"/>
  <c r="B7137" i="1"/>
  <c r="A7138" i="1"/>
  <c r="B7138" i="1"/>
  <c r="A7139" i="1"/>
  <c r="B7139" i="1"/>
  <c r="A7140" i="1"/>
  <c r="B7140" i="1"/>
  <c r="A7141" i="1"/>
  <c r="B7141" i="1"/>
  <c r="A7142" i="1"/>
  <c r="B7142" i="1"/>
  <c r="A7143" i="1"/>
  <c r="B7143" i="1"/>
  <c r="A7144" i="1"/>
  <c r="B7144" i="1"/>
  <c r="A7145" i="1"/>
  <c r="B7145" i="1"/>
  <c r="A7146" i="1"/>
  <c r="B7146" i="1"/>
  <c r="A7147" i="1"/>
  <c r="B7147" i="1"/>
  <c r="A7148" i="1"/>
  <c r="B7148" i="1"/>
  <c r="A7149" i="1"/>
  <c r="B7149" i="1"/>
  <c r="A7150" i="1"/>
  <c r="B7150" i="1"/>
  <c r="A7151" i="1"/>
  <c r="B7151" i="1"/>
  <c r="A7152" i="1"/>
  <c r="B7152" i="1"/>
  <c r="A7153" i="1"/>
  <c r="B7153" i="1"/>
  <c r="A7154" i="1"/>
  <c r="B7154" i="1"/>
  <c r="A7155" i="1"/>
  <c r="B7155" i="1"/>
  <c r="A7156" i="1"/>
  <c r="B7156" i="1"/>
  <c r="A7157" i="1"/>
  <c r="B7157" i="1"/>
  <c r="A7158" i="1"/>
  <c r="B7158" i="1"/>
  <c r="A7159" i="1"/>
  <c r="B7159" i="1"/>
  <c r="A7160" i="1"/>
  <c r="B7160" i="1"/>
  <c r="A7161" i="1"/>
  <c r="B7161" i="1"/>
  <c r="A7162" i="1"/>
  <c r="B7162" i="1"/>
  <c r="A7163" i="1"/>
  <c r="B7163" i="1"/>
  <c r="A7164" i="1"/>
  <c r="B7164" i="1"/>
  <c r="A7165" i="1"/>
  <c r="B7165" i="1"/>
  <c r="A7166" i="1"/>
  <c r="B7166" i="1"/>
  <c r="A7167" i="1"/>
  <c r="B7167" i="1"/>
  <c r="A7168" i="1"/>
  <c r="B7168" i="1"/>
  <c r="A7169" i="1"/>
  <c r="B7169" i="1"/>
  <c r="A7170" i="1"/>
  <c r="B7170" i="1"/>
  <c r="A7171" i="1"/>
  <c r="B7171" i="1"/>
  <c r="A7172" i="1"/>
  <c r="B7172" i="1"/>
  <c r="A7173" i="1"/>
  <c r="B7173" i="1"/>
  <c r="A7174" i="1"/>
  <c r="B7174" i="1"/>
  <c r="A7175" i="1"/>
  <c r="B7175" i="1"/>
  <c r="A7176" i="1"/>
  <c r="B7176" i="1"/>
  <c r="A7177" i="1"/>
  <c r="B7177" i="1"/>
  <c r="A7178" i="1"/>
  <c r="B7178" i="1"/>
  <c r="A7179" i="1"/>
  <c r="B7179" i="1"/>
  <c r="A7180" i="1"/>
  <c r="B7180" i="1"/>
  <c r="A7181" i="1"/>
  <c r="B7181" i="1"/>
  <c r="A7182" i="1"/>
  <c r="B7182" i="1"/>
  <c r="A7183" i="1"/>
  <c r="B7183" i="1"/>
  <c r="A7184" i="1"/>
  <c r="B7184" i="1"/>
  <c r="A7185" i="1"/>
  <c r="B7185" i="1"/>
  <c r="A7186" i="1"/>
  <c r="B7186" i="1"/>
  <c r="A7187" i="1"/>
  <c r="B7187" i="1"/>
  <c r="A7188" i="1"/>
  <c r="B7188" i="1"/>
  <c r="A7189" i="1"/>
  <c r="B7189" i="1"/>
  <c r="A7190" i="1"/>
  <c r="B7190" i="1"/>
  <c r="A7191" i="1"/>
  <c r="B7191" i="1"/>
  <c r="A7192" i="1"/>
  <c r="B7192" i="1"/>
  <c r="A7193" i="1"/>
  <c r="B7193" i="1"/>
  <c r="A7194" i="1"/>
  <c r="B7194" i="1"/>
  <c r="A7195" i="1"/>
  <c r="B7195" i="1"/>
  <c r="A7196" i="1"/>
  <c r="B7196" i="1"/>
  <c r="A7197" i="1"/>
  <c r="B7197" i="1"/>
  <c r="A7198" i="1"/>
  <c r="B7198" i="1"/>
  <c r="A7199" i="1"/>
  <c r="B7199" i="1"/>
  <c r="A7200" i="1"/>
  <c r="B7200" i="1"/>
  <c r="A7201" i="1"/>
  <c r="B7201" i="1"/>
  <c r="A7202" i="1"/>
  <c r="B7202" i="1"/>
  <c r="A7203" i="1"/>
  <c r="B7203" i="1"/>
  <c r="A7204" i="1"/>
  <c r="B7204" i="1"/>
  <c r="A7205" i="1"/>
  <c r="B7205" i="1"/>
  <c r="A7206" i="1"/>
  <c r="B7206" i="1"/>
  <c r="A7207" i="1"/>
  <c r="B7207" i="1"/>
  <c r="A7208" i="1"/>
  <c r="B7208" i="1"/>
  <c r="A7209" i="1"/>
  <c r="B7209" i="1"/>
  <c r="A7210" i="1"/>
  <c r="B7210" i="1"/>
  <c r="A7211" i="1"/>
  <c r="B7211" i="1"/>
  <c r="A7212" i="1"/>
  <c r="B7212" i="1"/>
  <c r="A7213" i="1"/>
  <c r="B7213" i="1"/>
  <c r="A7214" i="1"/>
  <c r="B7214" i="1"/>
  <c r="A7215" i="1"/>
  <c r="B7215" i="1"/>
  <c r="A7216" i="1"/>
  <c r="B7216" i="1"/>
  <c r="A7217" i="1"/>
  <c r="B7217" i="1"/>
  <c r="A7218" i="1"/>
  <c r="B7218" i="1"/>
  <c r="A7219" i="1"/>
  <c r="B7219" i="1"/>
  <c r="A7220" i="1"/>
  <c r="B7220" i="1"/>
  <c r="A7221" i="1"/>
  <c r="B7221" i="1"/>
  <c r="A7222" i="1"/>
  <c r="B7222" i="1"/>
  <c r="A7223" i="1"/>
  <c r="B7223" i="1"/>
  <c r="A7224" i="1"/>
  <c r="B7224" i="1"/>
  <c r="A7225" i="1"/>
  <c r="B7225" i="1"/>
  <c r="A7226" i="1"/>
  <c r="B7226" i="1"/>
  <c r="A7227" i="1"/>
  <c r="B7227" i="1"/>
  <c r="A7228" i="1"/>
  <c r="B7228" i="1"/>
  <c r="A7229" i="1"/>
  <c r="B7229" i="1"/>
  <c r="A7230" i="1"/>
  <c r="B7230" i="1"/>
  <c r="A7231" i="1"/>
  <c r="B7231" i="1"/>
  <c r="A7232" i="1"/>
  <c r="B7232" i="1"/>
  <c r="A7233" i="1"/>
  <c r="B7233" i="1"/>
  <c r="A7234" i="1"/>
  <c r="B7234" i="1"/>
  <c r="A7235" i="1"/>
  <c r="B7235" i="1"/>
  <c r="A7236" i="1"/>
  <c r="B7236" i="1"/>
  <c r="A7237" i="1"/>
  <c r="B7237" i="1"/>
  <c r="A7238" i="1"/>
  <c r="B7238" i="1"/>
  <c r="A7239" i="1"/>
  <c r="B7239" i="1"/>
  <c r="A7240" i="1"/>
  <c r="B7240" i="1"/>
  <c r="A7241" i="1"/>
  <c r="B7241" i="1"/>
  <c r="A7242" i="1"/>
  <c r="B7242" i="1"/>
  <c r="A7243" i="1"/>
  <c r="B7243" i="1"/>
  <c r="A7244" i="1"/>
  <c r="B7244" i="1"/>
  <c r="A7245" i="1"/>
  <c r="B7245" i="1"/>
  <c r="A7246" i="1"/>
  <c r="B7246" i="1"/>
  <c r="A7247" i="1"/>
  <c r="B7247" i="1"/>
  <c r="A7248" i="1"/>
  <c r="B7248" i="1"/>
  <c r="A7249" i="1"/>
  <c r="B7249" i="1"/>
  <c r="A7250" i="1"/>
  <c r="B7250" i="1"/>
  <c r="A7251" i="1"/>
  <c r="B7251" i="1"/>
  <c r="A7252" i="1"/>
  <c r="B7252" i="1"/>
  <c r="A7253" i="1"/>
  <c r="B7253" i="1"/>
  <c r="A7254" i="1"/>
  <c r="B7254" i="1"/>
  <c r="A7255" i="1"/>
  <c r="B7255" i="1"/>
  <c r="A7256" i="1"/>
  <c r="B7256" i="1"/>
  <c r="A7257" i="1"/>
  <c r="B7257" i="1"/>
  <c r="A7258" i="1"/>
  <c r="B7258" i="1"/>
  <c r="A7259" i="1"/>
  <c r="B7259" i="1"/>
  <c r="A7260" i="1"/>
  <c r="B7260" i="1"/>
  <c r="A7261" i="1"/>
  <c r="B7261" i="1"/>
  <c r="A7262" i="1"/>
  <c r="B7262" i="1"/>
  <c r="A7263" i="1"/>
  <c r="B7263" i="1"/>
  <c r="A7264" i="1"/>
  <c r="B7264" i="1"/>
  <c r="A7265" i="1"/>
  <c r="B7265" i="1"/>
  <c r="A7266" i="1"/>
  <c r="B7266" i="1"/>
  <c r="A7267" i="1"/>
  <c r="B7267" i="1"/>
  <c r="A7268" i="1"/>
  <c r="B7268" i="1"/>
  <c r="A7269" i="1"/>
  <c r="B7269" i="1"/>
  <c r="A7270" i="1"/>
  <c r="B7270" i="1"/>
  <c r="A7271" i="1"/>
  <c r="B7271" i="1"/>
  <c r="A7272" i="1"/>
  <c r="B7272" i="1"/>
  <c r="A7273" i="1"/>
  <c r="B7273" i="1"/>
  <c r="A7274" i="1"/>
  <c r="B7274" i="1"/>
  <c r="A7275" i="1"/>
  <c r="B7275" i="1"/>
  <c r="A7276" i="1"/>
  <c r="B7276" i="1"/>
  <c r="A7277" i="1"/>
  <c r="B7277" i="1"/>
  <c r="A7278" i="1"/>
  <c r="B7278" i="1"/>
  <c r="A7279" i="1"/>
  <c r="B7279" i="1"/>
  <c r="A7280" i="1"/>
  <c r="B7280" i="1"/>
  <c r="A7281" i="1"/>
  <c r="B7281" i="1"/>
  <c r="A7282" i="1"/>
  <c r="B7282" i="1"/>
  <c r="A7283" i="1"/>
  <c r="B7283" i="1"/>
  <c r="A7284" i="1"/>
  <c r="B7284" i="1"/>
  <c r="A7285" i="1"/>
  <c r="B7285" i="1"/>
  <c r="A7286" i="1"/>
  <c r="B7286" i="1"/>
  <c r="A7287" i="1"/>
  <c r="B7287" i="1"/>
  <c r="A7288" i="1"/>
  <c r="B7288" i="1"/>
  <c r="A7289" i="1"/>
  <c r="B7289" i="1"/>
  <c r="A7290" i="1"/>
  <c r="B7290" i="1"/>
  <c r="A7291" i="1"/>
  <c r="B7291" i="1"/>
  <c r="A7292" i="1"/>
  <c r="B7292" i="1"/>
  <c r="A7293" i="1"/>
  <c r="B7293" i="1"/>
  <c r="A7294" i="1"/>
  <c r="B7294" i="1"/>
  <c r="A7295" i="1"/>
  <c r="B7295" i="1"/>
  <c r="A7296" i="1"/>
  <c r="B7296" i="1"/>
  <c r="A7297" i="1"/>
  <c r="B7297" i="1"/>
  <c r="A7298" i="1"/>
  <c r="B7298" i="1"/>
  <c r="A7299" i="1"/>
  <c r="B7299" i="1"/>
  <c r="A7300" i="1"/>
  <c r="B7300" i="1"/>
  <c r="A7301" i="1"/>
  <c r="B7301" i="1"/>
  <c r="A7302" i="1"/>
  <c r="B7302" i="1"/>
  <c r="A7303" i="1"/>
  <c r="B7303" i="1"/>
  <c r="A7304" i="1"/>
  <c r="B7304" i="1"/>
  <c r="A7305" i="1"/>
  <c r="B7305" i="1"/>
  <c r="A7306" i="1"/>
  <c r="B7306" i="1"/>
  <c r="A7307" i="1"/>
  <c r="B7307" i="1"/>
  <c r="A7308" i="1"/>
  <c r="B7308" i="1"/>
  <c r="A7309" i="1"/>
  <c r="B7309" i="1"/>
  <c r="A7310" i="1"/>
  <c r="B7310" i="1"/>
  <c r="A7311" i="1"/>
  <c r="B7311" i="1"/>
  <c r="A7312" i="1"/>
  <c r="B7312" i="1"/>
  <c r="A7313" i="1"/>
  <c r="B7313" i="1"/>
  <c r="A7314" i="1"/>
  <c r="B7314" i="1"/>
  <c r="A7315" i="1"/>
  <c r="B7315" i="1"/>
  <c r="A7316" i="1"/>
  <c r="B7316" i="1"/>
  <c r="A7317" i="1"/>
  <c r="B7317" i="1"/>
  <c r="A7318" i="1"/>
  <c r="B7318" i="1"/>
  <c r="A7319" i="1"/>
  <c r="B7319" i="1"/>
  <c r="A7320" i="1"/>
  <c r="B7320" i="1"/>
  <c r="A7321" i="1"/>
  <c r="B7321" i="1"/>
  <c r="A7322" i="1"/>
  <c r="B7322" i="1"/>
  <c r="A7323" i="1"/>
  <c r="B7323" i="1"/>
  <c r="A7324" i="1"/>
  <c r="B7324" i="1"/>
  <c r="A7325" i="1"/>
  <c r="B7325" i="1"/>
  <c r="A7326" i="1"/>
  <c r="B7326" i="1"/>
  <c r="A7327" i="1"/>
  <c r="B7327" i="1"/>
  <c r="A7328" i="1"/>
  <c r="B7328" i="1"/>
  <c r="A7329" i="1"/>
  <c r="B7329" i="1"/>
  <c r="A7330" i="1"/>
  <c r="B7330" i="1"/>
  <c r="A7331" i="1"/>
  <c r="B7331" i="1"/>
  <c r="A7332" i="1"/>
  <c r="B7332" i="1"/>
  <c r="A7333" i="1"/>
  <c r="B7333" i="1"/>
  <c r="A7334" i="1"/>
  <c r="B7334" i="1"/>
  <c r="A7335" i="1"/>
  <c r="B7335" i="1"/>
  <c r="A7336" i="1"/>
  <c r="B7336" i="1"/>
  <c r="A7337" i="1"/>
  <c r="B7337" i="1"/>
  <c r="A7338" i="1"/>
  <c r="B7338" i="1"/>
  <c r="A7339" i="1"/>
  <c r="B7339" i="1"/>
  <c r="A7340" i="1"/>
  <c r="B7340" i="1"/>
  <c r="A7341" i="1"/>
  <c r="B7341" i="1"/>
  <c r="A7342" i="1"/>
  <c r="B7342" i="1"/>
  <c r="A7343" i="1"/>
  <c r="B7343" i="1"/>
  <c r="A7344" i="1"/>
  <c r="B7344" i="1"/>
  <c r="A7345" i="1"/>
  <c r="B7345" i="1"/>
  <c r="A7346" i="1"/>
  <c r="B7346" i="1"/>
  <c r="A7347" i="1"/>
  <c r="B7347" i="1"/>
  <c r="A7348" i="1"/>
  <c r="B7348" i="1"/>
  <c r="A7349" i="1"/>
  <c r="B7349" i="1"/>
  <c r="A7350" i="1"/>
  <c r="B7350" i="1"/>
  <c r="A7351" i="1"/>
  <c r="B7351" i="1"/>
  <c r="A7352" i="1"/>
  <c r="B7352" i="1"/>
  <c r="A7353" i="1"/>
  <c r="B7353" i="1"/>
  <c r="A7354" i="1"/>
  <c r="B7354" i="1"/>
  <c r="A7355" i="1"/>
  <c r="B7355" i="1"/>
  <c r="A7356" i="1"/>
  <c r="B7356" i="1"/>
  <c r="A7357" i="1"/>
  <c r="B7357" i="1"/>
  <c r="A7358" i="1"/>
  <c r="B7358" i="1"/>
  <c r="A7359" i="1"/>
  <c r="B7359" i="1"/>
  <c r="A7360" i="1"/>
  <c r="B7360" i="1"/>
  <c r="A7361" i="1"/>
  <c r="B7361" i="1"/>
  <c r="A7362" i="1"/>
  <c r="B7362" i="1"/>
  <c r="A7363" i="1"/>
  <c r="B7363" i="1"/>
  <c r="A7364" i="1"/>
  <c r="B7364" i="1"/>
  <c r="A7365" i="1"/>
  <c r="B7365" i="1"/>
  <c r="A7366" i="1"/>
  <c r="B7366" i="1"/>
  <c r="A7367" i="1"/>
  <c r="B7367" i="1"/>
  <c r="A7368" i="1"/>
  <c r="B7368" i="1"/>
  <c r="A7369" i="1"/>
  <c r="B7369" i="1"/>
  <c r="A7370" i="1"/>
  <c r="B7370" i="1"/>
  <c r="A7371" i="1"/>
  <c r="B7371" i="1"/>
  <c r="A7372" i="1"/>
  <c r="B7372" i="1"/>
  <c r="A7373" i="1"/>
  <c r="B7373" i="1"/>
  <c r="A7374" i="1"/>
  <c r="B7374" i="1"/>
  <c r="A7375" i="1"/>
  <c r="B7375" i="1"/>
  <c r="A7376" i="1"/>
  <c r="B7376" i="1"/>
  <c r="A7377" i="1"/>
  <c r="B7377" i="1"/>
  <c r="A7378" i="1"/>
  <c r="B7378" i="1"/>
  <c r="A7379" i="1"/>
  <c r="B7379" i="1"/>
  <c r="A7380" i="1"/>
  <c r="B7380" i="1"/>
  <c r="A7381" i="1"/>
  <c r="B7381" i="1"/>
  <c r="A7382" i="1"/>
  <c r="B7382" i="1"/>
  <c r="A7383" i="1"/>
  <c r="B7383" i="1"/>
  <c r="A7384" i="1"/>
  <c r="B7384" i="1"/>
  <c r="A7385" i="1"/>
  <c r="B7385" i="1"/>
  <c r="A7386" i="1"/>
  <c r="B7386" i="1"/>
  <c r="A7387" i="1"/>
  <c r="B7387" i="1"/>
  <c r="A7388" i="1"/>
  <c r="B7388" i="1"/>
  <c r="A7389" i="1"/>
  <c r="B7389" i="1"/>
  <c r="A7390" i="1"/>
  <c r="B7390" i="1"/>
  <c r="A7391" i="1"/>
  <c r="B7391" i="1"/>
  <c r="A7392" i="1"/>
  <c r="B7392" i="1"/>
  <c r="A7393" i="1"/>
  <c r="B7393" i="1"/>
  <c r="A7394" i="1"/>
  <c r="B7394" i="1"/>
  <c r="A7395" i="1"/>
  <c r="B7395" i="1"/>
  <c r="A7396" i="1"/>
  <c r="B7396" i="1"/>
  <c r="A7397" i="1"/>
  <c r="B7397" i="1"/>
  <c r="A7398" i="1"/>
  <c r="B7398" i="1"/>
  <c r="A7399" i="1"/>
  <c r="B7399" i="1"/>
  <c r="A7400" i="1"/>
  <c r="B7400" i="1"/>
  <c r="A7401" i="1"/>
  <c r="B7401" i="1"/>
  <c r="A7402" i="1"/>
  <c r="B7402" i="1"/>
  <c r="A7403" i="1"/>
  <c r="B7403" i="1"/>
  <c r="A7404" i="1"/>
  <c r="B7404" i="1"/>
  <c r="A7405" i="1"/>
  <c r="B7405" i="1"/>
  <c r="A7406" i="1"/>
  <c r="B7406" i="1"/>
  <c r="A7407" i="1"/>
  <c r="B7407" i="1"/>
  <c r="A7408" i="1"/>
  <c r="B7408" i="1"/>
  <c r="A7409" i="1"/>
  <c r="B7409" i="1"/>
  <c r="A7410" i="1"/>
  <c r="B7410" i="1"/>
  <c r="A7411" i="1"/>
  <c r="B7411" i="1"/>
  <c r="A7412" i="1"/>
  <c r="B7412" i="1"/>
  <c r="A7413" i="1"/>
  <c r="B7413" i="1"/>
  <c r="A7414" i="1"/>
  <c r="B7414" i="1"/>
  <c r="A7415" i="1"/>
  <c r="B7415" i="1"/>
  <c r="A7416" i="1"/>
  <c r="B7416" i="1"/>
  <c r="A7417" i="1"/>
  <c r="B7417" i="1"/>
  <c r="A7418" i="1"/>
  <c r="B7418" i="1"/>
  <c r="A7419" i="1"/>
  <c r="B7419" i="1"/>
  <c r="A7420" i="1"/>
  <c r="B7420" i="1"/>
  <c r="A7421" i="1"/>
  <c r="B7421" i="1"/>
  <c r="A7422" i="1"/>
  <c r="B7422" i="1"/>
  <c r="A7423" i="1"/>
  <c r="B7423" i="1"/>
  <c r="A7424" i="1"/>
  <c r="B7424" i="1"/>
  <c r="A7425" i="1"/>
  <c r="B7425" i="1"/>
  <c r="A7426" i="1"/>
  <c r="B7426" i="1"/>
  <c r="A7427" i="1"/>
  <c r="B7427" i="1"/>
  <c r="A7428" i="1"/>
  <c r="B7428" i="1"/>
  <c r="A7429" i="1"/>
  <c r="B7429" i="1"/>
  <c r="A7430" i="1"/>
  <c r="B7430" i="1"/>
  <c r="A7431" i="1"/>
  <c r="B7431" i="1"/>
  <c r="A7432" i="1"/>
  <c r="B7432" i="1"/>
  <c r="A7433" i="1"/>
  <c r="B7433" i="1"/>
  <c r="A7434" i="1"/>
  <c r="B7434" i="1"/>
  <c r="A7435" i="1"/>
  <c r="B7435" i="1"/>
  <c r="A7436" i="1"/>
  <c r="B7436" i="1"/>
  <c r="A7437" i="1"/>
  <c r="B7437" i="1"/>
  <c r="A7438" i="1"/>
  <c r="B7438" i="1"/>
  <c r="A7439" i="1"/>
  <c r="B7439" i="1"/>
  <c r="A7440" i="1"/>
  <c r="B7440" i="1"/>
  <c r="A7441" i="1"/>
  <c r="B7441" i="1"/>
  <c r="A7442" i="1"/>
  <c r="B7442" i="1"/>
  <c r="A7443" i="1"/>
  <c r="B7443" i="1"/>
  <c r="A7444" i="1"/>
  <c r="B7444" i="1"/>
  <c r="A7445" i="1"/>
  <c r="B7445" i="1"/>
  <c r="A7446" i="1"/>
  <c r="B7446" i="1"/>
  <c r="A7447" i="1"/>
  <c r="B7447" i="1"/>
  <c r="A7448" i="1"/>
  <c r="B7448" i="1"/>
  <c r="A7449" i="1"/>
  <c r="B7449" i="1"/>
  <c r="A7450" i="1"/>
  <c r="B7450" i="1"/>
  <c r="A7451" i="1"/>
  <c r="B7451" i="1"/>
  <c r="A7452" i="1"/>
  <c r="B7452" i="1"/>
  <c r="A7453" i="1"/>
  <c r="B7453" i="1"/>
  <c r="A7454" i="1"/>
  <c r="B7454" i="1"/>
  <c r="A7455" i="1"/>
  <c r="B7455" i="1"/>
  <c r="A7456" i="1"/>
  <c r="B7456" i="1"/>
  <c r="A7457" i="1"/>
  <c r="B7457" i="1"/>
  <c r="A7458" i="1"/>
  <c r="B7458" i="1"/>
  <c r="A7459" i="1"/>
  <c r="B7459" i="1"/>
  <c r="A7460" i="1"/>
  <c r="B7460" i="1"/>
  <c r="A7461" i="1"/>
  <c r="B7461" i="1"/>
  <c r="A7462" i="1"/>
  <c r="B7462" i="1"/>
  <c r="A7463" i="1"/>
  <c r="B7463" i="1"/>
  <c r="A7464" i="1"/>
  <c r="B7464" i="1"/>
  <c r="A7465" i="1"/>
  <c r="B7465" i="1"/>
  <c r="A7466" i="1"/>
  <c r="B7466" i="1"/>
  <c r="A7467" i="1"/>
  <c r="B7467" i="1"/>
  <c r="A7468" i="1"/>
  <c r="B7468" i="1"/>
  <c r="A7469" i="1"/>
  <c r="B7469" i="1"/>
  <c r="A7470" i="1"/>
  <c r="B7470" i="1"/>
  <c r="A7471" i="1"/>
  <c r="B7471" i="1"/>
  <c r="A7472" i="1"/>
  <c r="B7472" i="1"/>
  <c r="A7473" i="1"/>
  <c r="B7473" i="1"/>
  <c r="A7474" i="1"/>
  <c r="B7474" i="1"/>
  <c r="A7475" i="1"/>
  <c r="B7475" i="1"/>
  <c r="A7476" i="1"/>
  <c r="B7476" i="1"/>
  <c r="A7477" i="1"/>
  <c r="B7477" i="1"/>
  <c r="A7478" i="1"/>
  <c r="B7478" i="1"/>
  <c r="A7479" i="1"/>
  <c r="B7479" i="1"/>
  <c r="A7480" i="1"/>
  <c r="B7480" i="1"/>
  <c r="A7481" i="1"/>
  <c r="B7481" i="1"/>
  <c r="A7482" i="1"/>
  <c r="B7482" i="1"/>
  <c r="A7483" i="1"/>
  <c r="B7483" i="1"/>
  <c r="A7484" i="1"/>
  <c r="B7484" i="1"/>
  <c r="A7485" i="1"/>
  <c r="B7485" i="1"/>
  <c r="A7486" i="1"/>
  <c r="B7486" i="1"/>
  <c r="A7487" i="1"/>
  <c r="B7487" i="1"/>
  <c r="A7488" i="1"/>
  <c r="B7488" i="1"/>
  <c r="A7489" i="1"/>
  <c r="B7489" i="1"/>
  <c r="A7490" i="1"/>
  <c r="B7490" i="1"/>
  <c r="A7491" i="1"/>
  <c r="B7491" i="1"/>
  <c r="A7492" i="1"/>
  <c r="B7492" i="1"/>
  <c r="A7493" i="1"/>
  <c r="B7493" i="1"/>
  <c r="A7494" i="1"/>
  <c r="B7494" i="1"/>
  <c r="A7495" i="1"/>
  <c r="B7495" i="1"/>
  <c r="A7496" i="1"/>
  <c r="B7496" i="1"/>
  <c r="A7497" i="1"/>
  <c r="B7497" i="1"/>
  <c r="A7498" i="1"/>
  <c r="B7498" i="1"/>
  <c r="A7499" i="1"/>
  <c r="B7499" i="1"/>
  <c r="A7500" i="1"/>
  <c r="B7500" i="1"/>
  <c r="A7501" i="1"/>
  <c r="B7501" i="1"/>
  <c r="A7502" i="1"/>
  <c r="B7502" i="1"/>
  <c r="A7503" i="1"/>
  <c r="B7503" i="1"/>
  <c r="A7504" i="1"/>
  <c r="B7504" i="1"/>
  <c r="A7505" i="1"/>
  <c r="B7505" i="1"/>
  <c r="A7506" i="1"/>
  <c r="B7506" i="1"/>
  <c r="A7507" i="1"/>
  <c r="B7507" i="1"/>
  <c r="A7508" i="1"/>
  <c r="B7508" i="1"/>
  <c r="A7509" i="1"/>
  <c r="B7509" i="1"/>
  <c r="A7510" i="1"/>
  <c r="B7510" i="1"/>
  <c r="A7511" i="1"/>
  <c r="B7511" i="1"/>
  <c r="A7512" i="1"/>
  <c r="B7512" i="1"/>
  <c r="A7513" i="1"/>
  <c r="B7513" i="1"/>
  <c r="A7514" i="1"/>
  <c r="B7514" i="1"/>
  <c r="A7515" i="1"/>
  <c r="B7515" i="1"/>
  <c r="A7516" i="1"/>
  <c r="B7516" i="1"/>
  <c r="A7517" i="1"/>
  <c r="B7517" i="1"/>
  <c r="A7518" i="1"/>
  <c r="B7518" i="1"/>
  <c r="A7519" i="1"/>
  <c r="B7519" i="1"/>
  <c r="A7520" i="1"/>
  <c r="B7520" i="1"/>
  <c r="A7521" i="1"/>
  <c r="B7521" i="1"/>
  <c r="A7522" i="1"/>
  <c r="B7522" i="1"/>
  <c r="A7523" i="1"/>
  <c r="B7523" i="1"/>
  <c r="A7524" i="1"/>
  <c r="B7524" i="1"/>
  <c r="A7525" i="1"/>
  <c r="B7525" i="1"/>
  <c r="A7526" i="1"/>
  <c r="B7526" i="1"/>
  <c r="A7527" i="1"/>
  <c r="B7527" i="1"/>
  <c r="A7528" i="1"/>
  <c r="B7528" i="1"/>
  <c r="A7529" i="1"/>
  <c r="B7529" i="1"/>
  <c r="A7530" i="1"/>
  <c r="B7530" i="1"/>
  <c r="A7531" i="1"/>
  <c r="B7531" i="1"/>
  <c r="A7532" i="1"/>
  <c r="B7532" i="1"/>
  <c r="A7533" i="1"/>
  <c r="B7533" i="1"/>
  <c r="A7534" i="1"/>
  <c r="B7534" i="1"/>
  <c r="A7535" i="1"/>
  <c r="B7535" i="1"/>
  <c r="A7536" i="1"/>
  <c r="B7536" i="1"/>
  <c r="A7537" i="1"/>
  <c r="B7537" i="1"/>
  <c r="A7538" i="1"/>
  <c r="B7538" i="1"/>
  <c r="A7539" i="1"/>
  <c r="B7539" i="1"/>
  <c r="A7540" i="1"/>
  <c r="B7540" i="1"/>
  <c r="A7541" i="1"/>
  <c r="B7541" i="1"/>
  <c r="A7542" i="1"/>
  <c r="B7542" i="1"/>
  <c r="A7543" i="1"/>
  <c r="B7543" i="1"/>
  <c r="A7544" i="1"/>
  <c r="B7544" i="1"/>
  <c r="A7545" i="1"/>
  <c r="B7545" i="1"/>
  <c r="A7546" i="1"/>
  <c r="B7546" i="1"/>
  <c r="A7547" i="1"/>
  <c r="B7547" i="1"/>
  <c r="A7548" i="1"/>
  <c r="B7548" i="1"/>
  <c r="A7549" i="1"/>
  <c r="B7549" i="1"/>
  <c r="A7550" i="1"/>
  <c r="B7550" i="1"/>
  <c r="A7551" i="1"/>
  <c r="B7551" i="1"/>
  <c r="A7552" i="1"/>
  <c r="B7552" i="1"/>
  <c r="A7553" i="1"/>
  <c r="B7553" i="1"/>
  <c r="A7554" i="1"/>
  <c r="B7554" i="1"/>
</calcChain>
</file>

<file path=xl/sharedStrings.xml><?xml version="1.0" encoding="utf-8"?>
<sst xmlns="http://schemas.openxmlformats.org/spreadsheetml/2006/main" count="15146" uniqueCount="115">
  <si>
    <t>SystemTime</t>
  </si>
  <si>
    <t>Timestamp</t>
  </si>
  <si>
    <t>NowSsceneName</t>
  </si>
  <si>
    <t>PupilRadiusH</t>
  </si>
  <si>
    <t>GazePointX</t>
  </si>
  <si>
    <t>Hitname</t>
  </si>
  <si>
    <t>HitPointX</t>
  </si>
  <si>
    <t>HitPointY</t>
  </si>
  <si>
    <t>HitPointZ</t>
  </si>
  <si>
    <t>CameraPosX</t>
  </si>
  <si>
    <t>CameraPosY</t>
  </si>
  <si>
    <t>CameraPosZ</t>
  </si>
  <si>
    <t>CarDirX</t>
  </si>
  <si>
    <t>CarDirY</t>
  </si>
  <si>
    <t>CarDirZ</t>
  </si>
  <si>
    <t>CameraDirX</t>
  </si>
  <si>
    <t>CameraDirY</t>
  </si>
  <si>
    <t>CameraDirZ</t>
  </si>
  <si>
    <t>EyeDirX</t>
  </si>
  <si>
    <t>EyeDirY</t>
  </si>
  <si>
    <t>EyeDirZ</t>
  </si>
  <si>
    <t>HeadLocalDirX</t>
  </si>
  <si>
    <t>HeadLocalDirY</t>
  </si>
  <si>
    <t>HeadLocalDirZ</t>
  </si>
  <si>
    <t>EyeLocalDirX</t>
  </si>
  <si>
    <t>EyeLocalDirY</t>
  </si>
  <si>
    <t>EyeLocalDirZ</t>
  </si>
  <si>
    <t>speed</t>
  </si>
  <si>
    <t>VecX</t>
  </si>
  <si>
    <t>VecY</t>
  </si>
  <si>
    <t>VecZ</t>
  </si>
  <si>
    <t>LocalVecX</t>
  </si>
  <si>
    <t>LocalVecY</t>
  </si>
  <si>
    <t>LocalVecZ</t>
  </si>
  <si>
    <t>Theta</t>
  </si>
  <si>
    <t>Phi</t>
  </si>
  <si>
    <t>r</t>
  </si>
  <si>
    <t>Theta_Head</t>
  </si>
  <si>
    <t>Phi_Head</t>
  </si>
  <si>
    <t>r_Head_value_is_1</t>
  </si>
  <si>
    <t>Testhuanghun_on</t>
  </si>
  <si>
    <t>mcp_road_part_02</t>
  </si>
  <si>
    <t>Kooper</t>
  </si>
  <si>
    <t>Plane_01</t>
  </si>
  <si>
    <t>Building 07 (16)</t>
  </si>
  <si>
    <t>FAR</t>
  </si>
  <si>
    <t>mcp_roads_turn_01 (1)</t>
  </si>
  <si>
    <t>Building 18 (9)</t>
  </si>
  <si>
    <t>Floor 01</t>
  </si>
  <si>
    <t>Wall Small 03 (26)</t>
  </si>
  <si>
    <t>Stand 01 (9)</t>
  </si>
  <si>
    <t>Box001</t>
  </si>
  <si>
    <t>Plane_01 (1)</t>
  </si>
  <si>
    <t>Building 07 (17)</t>
  </si>
  <si>
    <t>Building 07 (18)</t>
  </si>
  <si>
    <t>Building 24</t>
  </si>
  <si>
    <t>Building 24 (1)</t>
  </si>
  <si>
    <t>Building 18 (11)</t>
  </si>
  <si>
    <t>Building 15 (35)</t>
  </si>
  <si>
    <t>mcp_roads_T_cross_01</t>
  </si>
  <si>
    <t>mcp_building_24_fountain_marble</t>
  </si>
  <si>
    <t>mcp_road_part_01</t>
  </si>
  <si>
    <t>Building 21 (2)</t>
  </si>
  <si>
    <t>Stand 02 (19)</t>
  </si>
  <si>
    <t>Tong (3)</t>
  </si>
  <si>
    <t>Stand 03 (2)</t>
  </si>
  <si>
    <t>Building 01 (1)</t>
  </si>
  <si>
    <t>Tree 02 (2)</t>
  </si>
  <si>
    <t>Building 29 (5)</t>
  </si>
  <si>
    <t>Building 18 (4)</t>
  </si>
  <si>
    <t>Building 18 (5)</t>
  </si>
  <si>
    <t>Bannar Stand</t>
  </si>
  <si>
    <t>Building 07 (4)</t>
  </si>
  <si>
    <t>Building 02 (8)</t>
  </si>
  <si>
    <t>mcp_roads_cross_01</t>
  </si>
  <si>
    <t>Building 15 (33)</t>
  </si>
  <si>
    <t>Building 15 (31)</t>
  </si>
  <si>
    <t>Building 15 (32)</t>
  </si>
  <si>
    <t>mcp_roads_turn_01</t>
  </si>
  <si>
    <t>Building 15 (30)</t>
  </si>
  <si>
    <t>Building 09 (4)</t>
  </si>
  <si>
    <t>Building 07 (15)</t>
  </si>
  <si>
    <t>Tree 02 (3)</t>
  </si>
  <si>
    <t>Tree 05 (15)</t>
  </si>
  <si>
    <t>Building 11 (3)</t>
  </si>
  <si>
    <t>Building 01</t>
  </si>
  <si>
    <t>Canopi 01 (5)</t>
  </si>
  <si>
    <t>mcp_roads_cross_02</t>
  </si>
  <si>
    <t>Building 15 (34)</t>
  </si>
  <si>
    <t>Building 23 (4)</t>
  </si>
  <si>
    <t>Stand 03 (4)</t>
  </si>
  <si>
    <t>Tong (5)</t>
  </si>
  <si>
    <t>Tree 02 (6)</t>
  </si>
  <si>
    <t>Building 02 (11)</t>
  </si>
  <si>
    <t>Building 15 (7)</t>
  </si>
  <si>
    <t>Building 13 (1)</t>
  </si>
  <si>
    <t>Building 18 (7)</t>
  </si>
  <si>
    <t>mcp_road_part_02 (1)</t>
  </si>
  <si>
    <t>mcp_road_part_02 (3)</t>
  </si>
  <si>
    <t>mcp_road_part_02 (2)</t>
  </si>
  <si>
    <t>Building 04 (3)</t>
  </si>
  <si>
    <t>Building 30 (4)</t>
  </si>
  <si>
    <t>Shurbs (2)</t>
  </si>
  <si>
    <t>mcp_bus_stop_night_LOD_0</t>
  </si>
  <si>
    <t>Building 07 (14)</t>
  </si>
  <si>
    <t>mcp_road_part_02 (6)</t>
  </si>
  <si>
    <t>mcp_road_part_02 (12)</t>
  </si>
  <si>
    <t>mcp_road_part_02 (10)</t>
  </si>
  <si>
    <t>mcp_road_part_02 (8)</t>
  </si>
  <si>
    <t>mcp_road_part_02 (9)</t>
  </si>
  <si>
    <t>mcp_road_part_02 (11)</t>
  </si>
  <si>
    <t>Building 15 (22)</t>
  </si>
  <si>
    <t>Canopi 01 (3)</t>
  </si>
  <si>
    <t>Building 14 (9)</t>
  </si>
  <si>
    <t>Building 23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</si>
</sst>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554"/>
  <sheetViews>
    <sheetView tabSelected="1" workbookViewId="0"/>
  </sheetViews>
  <sheetFormatPr defaultRowHeight="13.8" x14ac:dyDescent="0.25"/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5">
      <c r="A2" t="str">
        <f>"20190312160903786"</f>
        <v>20190312160903786</v>
      </c>
      <c r="B2" t="str">
        <f>"1552378143775242"</f>
        <v>1552378143775242</v>
      </c>
      <c r="C2" t="s">
        <v>40</v>
      </c>
      <c r="D2">
        <v>5.2940649999999998</v>
      </c>
      <c r="E2">
        <v>0.4884693</v>
      </c>
      <c r="F2" t="s">
        <v>41</v>
      </c>
      <c r="G2">
        <v>-446.74299999999999</v>
      </c>
      <c r="H2" s="1">
        <v>-2.0598210000000001E-6</v>
      </c>
      <c r="I2">
        <v>366.5736</v>
      </c>
      <c r="J2">
        <v>-476.61410000000001</v>
      </c>
      <c r="K2">
        <v>1.1095809999999999</v>
      </c>
      <c r="L2">
        <v>367.22</v>
      </c>
      <c r="M2">
        <v>0.9999633</v>
      </c>
      <c r="N2">
        <v>0</v>
      </c>
      <c r="O2">
        <v>-3.841572E-4</v>
      </c>
      <c r="P2">
        <v>0.99848700000000001</v>
      </c>
      <c r="Q2">
        <v>1.792935E-2</v>
      </c>
      <c r="R2">
        <v>-5.1986940000000002E-2</v>
      </c>
      <c r="S2">
        <v>3.002869</v>
      </c>
      <c r="T2">
        <v>-0.1115381</v>
      </c>
      <c r="U2">
        <v>-6.4971920000000002E-2</v>
      </c>
      <c r="V2">
        <v>5.1611079999999997E-2</v>
      </c>
      <c r="W2">
        <v>2.6464060000000001E-2</v>
      </c>
      <c r="X2">
        <v>0.9983166</v>
      </c>
      <c r="Y2">
        <v>2.1233100000000001E-2</v>
      </c>
      <c r="Z2">
        <v>-3.7989440000000001E-4</v>
      </c>
      <c r="AA2">
        <v>0.99977450000000001</v>
      </c>
      <c r="AB2">
        <v>1</v>
      </c>
      <c r="AC2">
        <v>29.871099999999899</v>
      </c>
      <c r="AD2">
        <v>-1.1095830598209999</v>
      </c>
      <c r="AE2">
        <v>-0.64640000000002795</v>
      </c>
      <c r="AF2">
        <v>0.63404987917386801</v>
      </c>
      <c r="AG2">
        <v>-1.1095830598209999</v>
      </c>
      <c r="AH2">
        <v>29.830205570654702</v>
      </c>
      <c r="AI2">
        <v>92.129747106257994</v>
      </c>
      <c r="AJ2">
        <v>88.782344541034206</v>
      </c>
      <c r="AK2">
        <v>29.857567854790801</v>
      </c>
      <c r="AL2">
        <v>88.483544074268494</v>
      </c>
      <c r="AM2">
        <v>87.040551259525898</v>
      </c>
      <c r="AN2">
        <v>1.000000041943</v>
      </c>
    </row>
    <row r="3" spans="1:40" x14ac:dyDescent="0.25">
      <c r="A3" t="str">
        <f>"20190312160903811"</f>
        <v>20190312160903811</v>
      </c>
      <c r="B3" t="str">
        <f>"1552378143804521"</f>
        <v>1552378143804521</v>
      </c>
      <c r="C3" t="s">
        <v>40</v>
      </c>
      <c r="D3">
        <v>5.3030299999999997</v>
      </c>
      <c r="E3">
        <v>0.48837239999999998</v>
      </c>
      <c r="F3" t="s">
        <v>41</v>
      </c>
      <c r="G3">
        <v>-445.19009999999997</v>
      </c>
      <c r="H3" s="1">
        <v>-2.7979240000000002E-6</v>
      </c>
      <c r="I3">
        <v>366.55070000000001</v>
      </c>
      <c r="J3">
        <v>-476.60419999999999</v>
      </c>
      <c r="K3">
        <v>1.1095809999999999</v>
      </c>
      <c r="L3">
        <v>367.21969999999999</v>
      </c>
      <c r="M3">
        <v>0.9999671</v>
      </c>
      <c r="N3">
        <v>0</v>
      </c>
      <c r="O3">
        <v>-5.4991480000000004E-4</v>
      </c>
      <c r="P3">
        <v>0.9984982</v>
      </c>
      <c r="Q3">
        <v>1.8607479999999999E-2</v>
      </c>
      <c r="R3">
        <v>-5.1527290000000003E-2</v>
      </c>
      <c r="S3">
        <v>3.0031430000000001</v>
      </c>
      <c r="T3">
        <v>-0.10604139999999999</v>
      </c>
      <c r="U3">
        <v>-6.3964839999999995E-2</v>
      </c>
      <c r="V3">
        <v>5.0985709999999997E-2</v>
      </c>
      <c r="W3">
        <v>2.6665700000000001E-2</v>
      </c>
      <c r="X3">
        <v>0.99834330000000004</v>
      </c>
      <c r="Y3">
        <v>2.0732090000000002E-2</v>
      </c>
      <c r="Z3">
        <v>-3.4646109999999998E-4</v>
      </c>
      <c r="AA3">
        <v>0.99978500000000003</v>
      </c>
      <c r="AB3">
        <v>1</v>
      </c>
      <c r="AC3">
        <v>31.414100000000001</v>
      </c>
      <c r="AD3">
        <v>-1.109583797924</v>
      </c>
      <c r="AE3">
        <v>-0.66899999999998205</v>
      </c>
      <c r="AF3">
        <v>0.65091255241290003</v>
      </c>
      <c r="AG3">
        <v>-1.109583797924</v>
      </c>
      <c r="AH3">
        <v>31.375337424708501</v>
      </c>
      <c r="AI3">
        <v>92.024976638009605</v>
      </c>
      <c r="AJ3">
        <v>88.811512606708106</v>
      </c>
      <c r="AK3">
        <v>31.4016983914854</v>
      </c>
      <c r="AL3">
        <v>88.471986770384405</v>
      </c>
      <c r="AM3">
        <v>87.076426276541895</v>
      </c>
      <c r="AN3">
        <v>0.99999997341779101</v>
      </c>
    </row>
    <row r="4" spans="1:40" x14ac:dyDescent="0.25">
      <c r="A4" t="str">
        <f>"20190312160903832"</f>
        <v>20190312160903832</v>
      </c>
      <c r="B4" t="str">
        <f>"1552378143825018"</f>
        <v>1552378143825018</v>
      </c>
      <c r="C4" t="s">
        <v>40</v>
      </c>
      <c r="D4">
        <v>5.3157259999999997</v>
      </c>
      <c r="E4">
        <v>0.48831619999999998</v>
      </c>
      <c r="F4" t="s">
        <v>41</v>
      </c>
      <c r="G4">
        <v>-444.76830000000001</v>
      </c>
      <c r="H4" s="1">
        <v>-2.9943310000000001E-6</v>
      </c>
      <c r="I4">
        <v>366.5675</v>
      </c>
      <c r="J4">
        <v>-476.5985</v>
      </c>
      <c r="K4">
        <v>1.1099969999999999</v>
      </c>
      <c r="L4">
        <v>367.21949999999998</v>
      </c>
      <c r="M4">
        <v>0.99995919999999905</v>
      </c>
      <c r="N4">
        <v>0</v>
      </c>
      <c r="O4">
        <v>-5.9016289999999996E-4</v>
      </c>
      <c r="P4">
        <v>0.99853020000000003</v>
      </c>
      <c r="Q4">
        <v>1.6207510000000001E-2</v>
      </c>
      <c r="R4">
        <v>-5.1717590000000001E-2</v>
      </c>
      <c r="S4">
        <v>3.0032649999999999</v>
      </c>
      <c r="T4">
        <v>-0.1046734</v>
      </c>
      <c r="U4">
        <v>-6.1523439999999999E-2</v>
      </c>
      <c r="V4">
        <v>5.1131919999999997E-2</v>
      </c>
      <c r="W4">
        <v>2.5192280000000001E-2</v>
      </c>
      <c r="X4">
        <v>0.99837410000000004</v>
      </c>
      <c r="Y4">
        <v>1.9879440000000002E-2</v>
      </c>
      <c r="Z4">
        <v>-3.2572809999999999E-4</v>
      </c>
      <c r="AA4">
        <v>0.99980239999999998</v>
      </c>
      <c r="AB4">
        <v>1</v>
      </c>
      <c r="AC4">
        <v>31.830199999999898</v>
      </c>
      <c r="AD4">
        <v>-1.1099999943309999</v>
      </c>
      <c r="AE4">
        <v>-0.65199999999998604</v>
      </c>
      <c r="AF4">
        <v>0.63244532959158495</v>
      </c>
      <c r="AG4">
        <v>-1.1099999943309999</v>
      </c>
      <c r="AH4">
        <v>31.7919334873263</v>
      </c>
      <c r="AI4">
        <v>91.999246947956095</v>
      </c>
      <c r="AJ4">
        <v>88.860350245348002</v>
      </c>
      <c r="AK4">
        <v>31.817591391318601</v>
      </c>
      <c r="AL4">
        <v>88.556435935730704</v>
      </c>
      <c r="AM4">
        <v>87.068147343233505</v>
      </c>
      <c r="AN4">
        <v>0.99999998388264699</v>
      </c>
    </row>
    <row r="5" spans="1:40" x14ac:dyDescent="0.25">
      <c r="A5" t="str">
        <f>"20190312160903854"</f>
        <v>20190312160903854</v>
      </c>
      <c r="B5" t="str">
        <f>"1552378143844538"</f>
        <v>1552378143844538</v>
      </c>
      <c r="C5" t="s">
        <v>40</v>
      </c>
      <c r="D5">
        <v>5.3012519999999999</v>
      </c>
      <c r="E5">
        <v>0.48823689999999997</v>
      </c>
      <c r="F5" t="s">
        <v>41</v>
      </c>
      <c r="G5">
        <v>-446.8682</v>
      </c>
      <c r="H5" s="1">
        <v>-1.9946989999999999E-6</v>
      </c>
      <c r="I5">
        <v>366.6071</v>
      </c>
      <c r="J5">
        <v>-476.59249999999997</v>
      </c>
      <c r="K5">
        <v>1.1101810000000001</v>
      </c>
      <c r="L5">
        <v>367.21940000000001</v>
      </c>
      <c r="M5">
        <v>0.99995529999999999</v>
      </c>
      <c r="N5">
        <v>0</v>
      </c>
      <c r="O5">
        <v>-6.1454499999999998E-4</v>
      </c>
      <c r="P5">
        <v>0.99854609999999999</v>
      </c>
      <c r="Q5">
        <v>1.3828899999999899E-2</v>
      </c>
      <c r="R5">
        <v>-5.2103049999999998E-2</v>
      </c>
      <c r="S5">
        <v>3.0029910000000002</v>
      </c>
      <c r="T5">
        <v>-0.1121182</v>
      </c>
      <c r="U5">
        <v>-6.1859129999999998E-2</v>
      </c>
      <c r="V5">
        <v>5.149053E-2</v>
      </c>
      <c r="W5">
        <v>2.326023E-2</v>
      </c>
      <c r="X5">
        <v>0.99840260000000003</v>
      </c>
      <c r="Y5">
        <v>1.9966890000000001E-2</v>
      </c>
      <c r="Z5">
        <v>-3.4963289999999998E-4</v>
      </c>
      <c r="AA5">
        <v>0.99980060000000004</v>
      </c>
      <c r="AB5">
        <v>1</v>
      </c>
      <c r="AC5">
        <v>29.7242999999999</v>
      </c>
      <c r="AD5">
        <v>-1.1101829946989901</v>
      </c>
      <c r="AE5">
        <v>-0.61230000000000395</v>
      </c>
      <c r="AF5">
        <v>0.59320499720962105</v>
      </c>
      <c r="AG5">
        <v>-1.1101829946989901</v>
      </c>
      <c r="AH5">
        <v>29.683280870400601</v>
      </c>
      <c r="AI5">
        <v>92.1414912123102</v>
      </c>
      <c r="AJ5">
        <v>88.855125912943905</v>
      </c>
      <c r="AK5">
        <v>29.7099572817182</v>
      </c>
      <c r="AL5">
        <v>88.667166829533897</v>
      </c>
      <c r="AM5">
        <v>87.047705388862596</v>
      </c>
      <c r="AN5">
        <v>1.00000003233304</v>
      </c>
    </row>
    <row r="6" spans="1:40" x14ac:dyDescent="0.25">
      <c r="A6" t="str">
        <f>"20190312160903897"</f>
        <v>20190312160903897</v>
      </c>
      <c r="B6" t="str">
        <f>"1552378143885530"</f>
        <v>1552378143885530</v>
      </c>
      <c r="C6" t="s">
        <v>40</v>
      </c>
      <c r="D6">
        <v>5.3570650000000004</v>
      </c>
      <c r="E6">
        <v>0.48807489999999998</v>
      </c>
      <c r="F6" t="s">
        <v>41</v>
      </c>
      <c r="G6">
        <v>-448.75209999999998</v>
      </c>
      <c r="H6" s="1">
        <v>-1.252721E-6</v>
      </c>
      <c r="I6">
        <v>366.6499</v>
      </c>
      <c r="J6">
        <v>-476.56740000000002</v>
      </c>
      <c r="K6">
        <v>1.109583</v>
      </c>
      <c r="L6">
        <v>367.21910000000003</v>
      </c>
      <c r="M6">
        <v>0.99997349999999996</v>
      </c>
      <c r="N6">
        <v>0</v>
      </c>
      <c r="O6">
        <v>-9.3626959999999998E-4</v>
      </c>
      <c r="P6">
        <v>0.99854180000000003</v>
      </c>
      <c r="Q6">
        <v>1.368671E-2</v>
      </c>
      <c r="R6">
        <v>-5.2227299999999997E-2</v>
      </c>
      <c r="S6">
        <v>3.0027469999999998</v>
      </c>
      <c r="T6">
        <v>-0.1197578</v>
      </c>
      <c r="U6">
        <v>-6.1431880000000001E-2</v>
      </c>
      <c r="V6">
        <v>5.1294909999999999E-2</v>
      </c>
      <c r="W6">
        <v>2.090761E-2</v>
      </c>
      <c r="X6">
        <v>0.99846460000000004</v>
      </c>
      <c r="Y6">
        <v>1.9503429999999999E-2</v>
      </c>
      <c r="Z6">
        <v>-3.514069E-4</v>
      </c>
      <c r="AA6">
        <v>0.99980970000000002</v>
      </c>
      <c r="AB6">
        <v>1</v>
      </c>
      <c r="AC6">
        <v>27.815300000000001</v>
      </c>
      <c r="AD6">
        <v>-1.109584252721</v>
      </c>
      <c r="AE6">
        <v>-0.56920000000002302</v>
      </c>
      <c r="AF6">
        <v>0.54229385896221405</v>
      </c>
      <c r="AG6">
        <v>-1.109584252721</v>
      </c>
      <c r="AH6">
        <v>27.771646121677399</v>
      </c>
      <c r="AI6">
        <v>92.287534591469395</v>
      </c>
      <c r="AJ6">
        <v>88.881333824988403</v>
      </c>
      <c r="AK6">
        <v>27.799093297282798</v>
      </c>
      <c r="AL6">
        <v>88.801994808362494</v>
      </c>
      <c r="AM6">
        <v>87.059084162778703</v>
      </c>
      <c r="AN6">
        <v>0.99999992670048699</v>
      </c>
    </row>
    <row r="7" spans="1:40" x14ac:dyDescent="0.25">
      <c r="A7" t="str">
        <f>"20190312160903919"</f>
        <v>20190312160903919</v>
      </c>
      <c r="B7" t="str">
        <f>"1552378143914810"</f>
        <v>1552378143914810</v>
      </c>
      <c r="C7" t="s">
        <v>40</v>
      </c>
      <c r="D7">
        <v>5.3342830000000001</v>
      </c>
      <c r="E7">
        <v>0.48796349999999999</v>
      </c>
      <c r="F7" t="s">
        <v>41</v>
      </c>
      <c r="G7">
        <v>-448.45650000000001</v>
      </c>
      <c r="H7" s="1">
        <v>-1.3677729999999999E-6</v>
      </c>
      <c r="I7">
        <v>366.64400000000001</v>
      </c>
      <c r="J7">
        <v>-476.553</v>
      </c>
      <c r="K7">
        <v>1.1096200000000001</v>
      </c>
      <c r="L7">
        <v>367.21890000000002</v>
      </c>
      <c r="M7">
        <v>0.9999749</v>
      </c>
      <c r="N7">
        <v>0</v>
      </c>
      <c r="O7">
        <v>-1.1267650000000001E-3</v>
      </c>
      <c r="P7">
        <v>0.99856449999999997</v>
      </c>
      <c r="Q7">
        <v>1.2861630000000001E-2</v>
      </c>
      <c r="R7">
        <v>-5.1997399999999999E-2</v>
      </c>
      <c r="S7">
        <v>3.0028380000000001</v>
      </c>
      <c r="T7">
        <v>-0.1185272</v>
      </c>
      <c r="U7">
        <v>-6.1431880000000001E-2</v>
      </c>
      <c r="V7">
        <v>5.087502E-2</v>
      </c>
      <c r="W7">
        <v>1.9852109999999999E-2</v>
      </c>
      <c r="X7">
        <v>0.9985077</v>
      </c>
      <c r="Y7">
        <v>1.9312940000000001E-2</v>
      </c>
      <c r="Z7">
        <v>-3.3651489999999998E-4</v>
      </c>
      <c r="AA7">
        <v>0.99981339999999996</v>
      </c>
      <c r="AB7">
        <v>1</v>
      </c>
      <c r="AC7">
        <v>28.096499999999999</v>
      </c>
      <c r="AD7">
        <v>-1.109621367773</v>
      </c>
      <c r="AE7">
        <v>-0.57490000000001296</v>
      </c>
      <c r="AF7">
        <v>0.54239508011550497</v>
      </c>
      <c r="AG7">
        <v>-1.109621367773</v>
      </c>
      <c r="AH7">
        <v>28.053392977670399</v>
      </c>
      <c r="AI7">
        <v>92.264668510542194</v>
      </c>
      <c r="AJ7">
        <v>88.892359386484202</v>
      </c>
      <c r="AK7">
        <v>28.0805681844645</v>
      </c>
      <c r="AL7">
        <v>88.8624831576454</v>
      </c>
      <c r="AM7">
        <v>87.083241862055303</v>
      </c>
      <c r="AN7">
        <v>1.00000000044537</v>
      </c>
    </row>
    <row r="8" spans="1:40" x14ac:dyDescent="0.25">
      <c r="A8" t="str">
        <f>"20190312160903942"</f>
        <v>20190312160903942</v>
      </c>
      <c r="B8" t="str">
        <f>"1552378143934331"</f>
        <v>1552378143934331</v>
      </c>
      <c r="C8" t="s">
        <v>40</v>
      </c>
      <c r="D8">
        <v>5.3317489999999896</v>
      </c>
      <c r="E8">
        <v>0.48792980000000002</v>
      </c>
      <c r="F8" t="s">
        <v>41</v>
      </c>
      <c r="G8">
        <v>-449.02370000000002</v>
      </c>
      <c r="H8" s="1">
        <v>-1.1422029999999999E-6</v>
      </c>
      <c r="I8">
        <v>366.67329999999998</v>
      </c>
      <c r="J8">
        <v>-476.54320000000001</v>
      </c>
      <c r="K8">
        <v>1.110096</v>
      </c>
      <c r="L8">
        <v>367.21879999999999</v>
      </c>
      <c r="M8">
        <v>0.99996499999999999</v>
      </c>
      <c r="N8">
        <v>0</v>
      </c>
      <c r="O8">
        <v>-1.2059989999999999E-3</v>
      </c>
      <c r="P8">
        <v>0.99859359999999997</v>
      </c>
      <c r="Q8">
        <v>1.113659E-2</v>
      </c>
      <c r="R8">
        <v>-5.1836449999999999E-2</v>
      </c>
      <c r="S8">
        <v>3.0028079999999999</v>
      </c>
      <c r="T8">
        <v>-0.12103369999999999</v>
      </c>
      <c r="U8">
        <v>-5.9509279999999998E-2</v>
      </c>
      <c r="V8">
        <v>5.0632759999999999E-2</v>
      </c>
      <c r="W8">
        <v>1.9421609999999999E-2</v>
      </c>
      <c r="X8">
        <v>0.99852850000000004</v>
      </c>
      <c r="Y8">
        <v>1.8594059999999999E-2</v>
      </c>
      <c r="Z8">
        <v>-3.25958E-4</v>
      </c>
      <c r="AA8">
        <v>0.99982709999999997</v>
      </c>
      <c r="AB8">
        <v>2</v>
      </c>
      <c r="AC8">
        <v>27.519499999999901</v>
      </c>
      <c r="AD8">
        <v>-1.1100971422029999</v>
      </c>
      <c r="AE8">
        <v>-0.54550000000000398</v>
      </c>
      <c r="AF8">
        <v>0.51147802622896299</v>
      </c>
      <c r="AG8">
        <v>-1.1100971422029999</v>
      </c>
      <c r="AH8">
        <v>27.475447397491202</v>
      </c>
      <c r="AI8">
        <v>92.313276449068596</v>
      </c>
      <c r="AJ8">
        <v>88.933515177001198</v>
      </c>
      <c r="AK8">
        <v>27.502620513848299</v>
      </c>
      <c r="AL8">
        <v>88.887153770047306</v>
      </c>
      <c r="AM8">
        <v>87.097167624539097</v>
      </c>
      <c r="AN8">
        <v>1.00000002031622</v>
      </c>
    </row>
    <row r="9" spans="1:40" x14ac:dyDescent="0.25">
      <c r="A9" t="str">
        <f>"20190312160903965"</f>
        <v>20190312160903965</v>
      </c>
      <c r="B9" t="str">
        <f>"1552378143954826"</f>
        <v>1552378143954826</v>
      </c>
      <c r="C9" t="s">
        <v>40</v>
      </c>
      <c r="D9">
        <v>5.3368149999999996</v>
      </c>
      <c r="E9">
        <v>0.48785309999999998</v>
      </c>
      <c r="F9" t="s">
        <v>41</v>
      </c>
      <c r="G9">
        <v>-450.14359999999999</v>
      </c>
      <c r="H9" s="1">
        <v>-4.7278730000000004E-6</v>
      </c>
      <c r="I9">
        <v>366.70060000000001</v>
      </c>
      <c r="J9">
        <v>-476.53640000000001</v>
      </c>
      <c r="K9">
        <v>1.1106609999999999</v>
      </c>
      <c r="L9">
        <v>367.21870000000001</v>
      </c>
      <c r="M9">
        <v>0.99994769999999999</v>
      </c>
      <c r="N9">
        <v>0</v>
      </c>
      <c r="O9">
        <v>-1.200804E-3</v>
      </c>
      <c r="P9">
        <v>0.99864790000000003</v>
      </c>
      <c r="Q9">
        <v>9.0807449999999994E-3</v>
      </c>
      <c r="R9">
        <v>-5.1191710000000001E-2</v>
      </c>
      <c r="S9">
        <v>3.0025629999999999</v>
      </c>
      <c r="T9">
        <v>-0.12625739999999999</v>
      </c>
      <c r="U9">
        <v>-5.892944E-2</v>
      </c>
      <c r="V9">
        <v>4.9990329999999999E-2</v>
      </c>
      <c r="W9">
        <v>1.9233299999999998E-2</v>
      </c>
      <c r="X9">
        <v>0.99856449999999997</v>
      </c>
      <c r="Y9">
        <v>1.840675E-2</v>
      </c>
      <c r="Z9">
        <v>-3.3632390000000001E-4</v>
      </c>
      <c r="AA9">
        <v>0.99983049999999996</v>
      </c>
      <c r="AB9">
        <v>1</v>
      </c>
      <c r="AC9">
        <v>26.392800000000001</v>
      </c>
      <c r="AD9">
        <v>-1.1106657278730001</v>
      </c>
      <c r="AE9">
        <v>-0.518100000000004</v>
      </c>
      <c r="AF9">
        <v>0.48554588636579599</v>
      </c>
      <c r="AG9">
        <v>-1.1106657278730001</v>
      </c>
      <c r="AH9">
        <v>26.3467634374617</v>
      </c>
      <c r="AI9">
        <v>92.413503969645404</v>
      </c>
      <c r="AJ9">
        <v>88.944212586682596</v>
      </c>
      <c r="AK9">
        <v>26.3746332068601</v>
      </c>
      <c r="AL9">
        <v>88.897945138928804</v>
      </c>
      <c r="AM9">
        <v>87.134040201629603</v>
      </c>
      <c r="AN9">
        <v>1.00000000679132</v>
      </c>
    </row>
    <row r="10" spans="1:40" x14ac:dyDescent="0.25">
      <c r="A10" t="str">
        <f>"20190312160903988"</f>
        <v>20190312160903988</v>
      </c>
      <c r="B10" t="str">
        <f>"1552378143974346"</f>
        <v>1552378143974346</v>
      </c>
      <c r="C10" t="s">
        <v>40</v>
      </c>
      <c r="D10">
        <v>5.3350410000000004</v>
      </c>
      <c r="E10">
        <v>0.48781439999999998</v>
      </c>
      <c r="F10" t="s">
        <v>41</v>
      </c>
      <c r="G10">
        <v>-451.37400000000002</v>
      </c>
      <c r="H10" s="1">
        <v>-4.1917099999999999E-6</v>
      </c>
      <c r="I10">
        <v>366.7475</v>
      </c>
      <c r="J10">
        <v>-476.52910000000003</v>
      </c>
      <c r="K10">
        <v>1.1108070000000001</v>
      </c>
      <c r="L10">
        <v>367.21870000000001</v>
      </c>
      <c r="M10">
        <v>0.99993900000000002</v>
      </c>
      <c r="N10">
        <v>0</v>
      </c>
      <c r="O10">
        <v>-1.1938910000000001E-3</v>
      </c>
      <c r="P10">
        <v>0.99864719999999996</v>
      </c>
      <c r="Q10">
        <v>8.6197469999999901E-3</v>
      </c>
      <c r="R10">
        <v>-5.127963E-2</v>
      </c>
      <c r="S10">
        <v>3.0024109999999999</v>
      </c>
      <c r="T10">
        <v>-0.1325257</v>
      </c>
      <c r="U10">
        <v>-5.621338E-2</v>
      </c>
      <c r="V10">
        <v>5.0084299999999998E-2</v>
      </c>
      <c r="W10">
        <v>1.9590380000000001E-2</v>
      </c>
      <c r="X10">
        <v>0.99855289999999997</v>
      </c>
      <c r="Y10">
        <v>1.7509819999999999E-2</v>
      </c>
      <c r="Z10">
        <v>-3.3354700000000001E-4</v>
      </c>
      <c r="AA10">
        <v>0.99984660000000003</v>
      </c>
      <c r="AB10">
        <v>1</v>
      </c>
      <c r="AC10">
        <v>25.155100000000001</v>
      </c>
      <c r="AD10">
        <v>-1.1108111917100001</v>
      </c>
      <c r="AE10">
        <v>-0.47120000000001</v>
      </c>
      <c r="AF10">
        <v>0.44030712051876297</v>
      </c>
      <c r="AG10">
        <v>-1.1108111917100001</v>
      </c>
      <c r="AH10">
        <v>25.106704464399201</v>
      </c>
      <c r="AI10">
        <v>92.532930906298105</v>
      </c>
      <c r="AJ10">
        <v>88.995282162675593</v>
      </c>
      <c r="AK10">
        <v>25.1351224569663</v>
      </c>
      <c r="AL10">
        <v>88.877482162687897</v>
      </c>
      <c r="AM10">
        <v>87.128628581917894</v>
      </c>
      <c r="AN10">
        <v>1.00000005709672</v>
      </c>
    </row>
    <row r="11" spans="1:40" x14ac:dyDescent="0.25">
      <c r="A11" t="str">
        <f>"20190312160904010"</f>
        <v>20190312160904010</v>
      </c>
      <c r="B11" t="str">
        <f>"1552378143994842"</f>
        <v>1552378143994842</v>
      </c>
      <c r="C11" t="s">
        <v>40</v>
      </c>
      <c r="D11">
        <v>5.37479</v>
      </c>
      <c r="E11">
        <v>0.48771150000000002</v>
      </c>
      <c r="F11" t="s">
        <v>41</v>
      </c>
      <c r="G11">
        <v>-451.60379999999998</v>
      </c>
      <c r="H11" s="1">
        <v>-4.0928500000000001E-6</v>
      </c>
      <c r="I11">
        <v>366.7491</v>
      </c>
      <c r="J11">
        <v>-476.51639999999998</v>
      </c>
      <c r="K11">
        <v>1.1103719999999999</v>
      </c>
      <c r="L11">
        <v>367.21870000000001</v>
      </c>
      <c r="M11">
        <v>0.99994930000000004</v>
      </c>
      <c r="N11">
        <v>0</v>
      </c>
      <c r="O11">
        <v>-1.278993E-3</v>
      </c>
      <c r="P11">
        <v>0.99859540000000002</v>
      </c>
      <c r="Q11">
        <v>1.021117E-2</v>
      </c>
      <c r="R11">
        <v>-5.1991030000000001E-2</v>
      </c>
      <c r="S11">
        <v>3.0022890000000002</v>
      </c>
      <c r="T11">
        <v>-0.133798</v>
      </c>
      <c r="U11">
        <v>-5.654907E-2</v>
      </c>
      <c r="V11">
        <v>5.0713269999999998E-2</v>
      </c>
      <c r="W11">
        <v>2.0186309999999999E-2</v>
      </c>
      <c r="X11">
        <v>0.99850919999999999</v>
      </c>
      <c r="Y11">
        <v>1.7537009999999999E-2</v>
      </c>
      <c r="Z11">
        <v>-3.3357470000000002E-4</v>
      </c>
      <c r="AA11">
        <v>0.99984620000000002</v>
      </c>
      <c r="AB11">
        <v>1</v>
      </c>
      <c r="AC11">
        <v>24.912600000000001</v>
      </c>
      <c r="AD11">
        <v>-1.1103760928499999</v>
      </c>
      <c r="AE11">
        <v>-0.46960000000001401</v>
      </c>
      <c r="AF11">
        <v>0.43686742946716001</v>
      </c>
      <c r="AG11">
        <v>-1.1103760928499999</v>
      </c>
      <c r="AH11">
        <v>24.863804325336201</v>
      </c>
      <c r="AI11">
        <v>92.5566410183729</v>
      </c>
      <c r="AJ11">
        <v>88.993392795147003</v>
      </c>
      <c r="AK11">
        <v>24.8924196041106</v>
      </c>
      <c r="AL11">
        <v>88.843331037762098</v>
      </c>
      <c r="AM11">
        <v>87.092503709156503</v>
      </c>
      <c r="AN11">
        <v>0.99999997267507401</v>
      </c>
    </row>
    <row r="12" spans="1:40" x14ac:dyDescent="0.25">
      <c r="A12" t="str">
        <f>"20190312160904032"</f>
        <v>20190312160904032</v>
      </c>
      <c r="B12" t="str">
        <f>"1552378144025099"</f>
        <v>1552378144025099</v>
      </c>
      <c r="C12" t="s">
        <v>40</v>
      </c>
      <c r="D12">
        <v>5.4695529999999897</v>
      </c>
      <c r="E12">
        <v>0.48764540000000001</v>
      </c>
      <c r="F12" t="s">
        <v>41</v>
      </c>
      <c r="G12">
        <v>-450.5539</v>
      </c>
      <c r="H12" s="1">
        <v>-4.5489489999999996E-6</v>
      </c>
      <c r="I12">
        <v>366.71690000000001</v>
      </c>
      <c r="J12">
        <v>-476.50040000000001</v>
      </c>
      <c r="K12">
        <v>1.1098950000000001</v>
      </c>
      <c r="L12">
        <v>367.21850000000001</v>
      </c>
      <c r="M12">
        <v>0.99996160000000001</v>
      </c>
      <c r="N12">
        <v>0</v>
      </c>
      <c r="O12">
        <v>-1.4644250000000001E-3</v>
      </c>
      <c r="P12">
        <v>0.99853999999999998</v>
      </c>
      <c r="Q12">
        <v>1.10233E-2</v>
      </c>
      <c r="R12">
        <v>-5.2879229999999999E-2</v>
      </c>
      <c r="S12">
        <v>3.002472</v>
      </c>
      <c r="T12">
        <v>-0.1284111</v>
      </c>
      <c r="U12">
        <v>-5.8013919999999997E-2</v>
      </c>
      <c r="V12">
        <v>5.1419119999999999E-2</v>
      </c>
      <c r="W12">
        <v>1.9644249999999999E-2</v>
      </c>
      <c r="X12">
        <v>0.99848400000000004</v>
      </c>
      <c r="Y12">
        <v>1.7839259999999999E-2</v>
      </c>
      <c r="Z12">
        <v>-3.1867009999999999E-4</v>
      </c>
      <c r="AA12">
        <v>0.99984079999999997</v>
      </c>
      <c r="AB12">
        <v>1</v>
      </c>
      <c r="AC12">
        <v>25.9465</v>
      </c>
      <c r="AD12">
        <v>-1.109899548949</v>
      </c>
      <c r="AE12">
        <v>-0.50159999999999605</v>
      </c>
      <c r="AF12">
        <v>0.46275489588522201</v>
      </c>
      <c r="AG12">
        <v>-1.109899548949</v>
      </c>
      <c r="AH12">
        <v>25.899832279097701</v>
      </c>
      <c r="AI12">
        <v>92.453434636575494</v>
      </c>
      <c r="AJ12">
        <v>88.976399485347599</v>
      </c>
      <c r="AK12">
        <v>25.927732858617102</v>
      </c>
      <c r="AL12">
        <v>88.874395048813795</v>
      </c>
      <c r="AM12">
        <v>87.052032495288302</v>
      </c>
      <c r="AN12">
        <v>1.0000000603578101</v>
      </c>
    </row>
    <row r="13" spans="1:40" x14ac:dyDescent="0.25">
      <c r="A13" t="str">
        <f>"20190312160904055"</f>
        <v>20190312160904055</v>
      </c>
      <c r="B13" t="str">
        <f>"1552378144044618"</f>
        <v>1552378144044618</v>
      </c>
      <c r="C13" t="s">
        <v>40</v>
      </c>
      <c r="D13">
        <v>5.4222239999999999</v>
      </c>
      <c r="E13">
        <v>0.4875505</v>
      </c>
      <c r="F13" t="s">
        <v>41</v>
      </c>
      <c r="G13">
        <v>-450.05079999999998</v>
      </c>
      <c r="H13" s="1">
        <v>-4.7698420000000004E-6</v>
      </c>
      <c r="I13">
        <v>366.68830000000003</v>
      </c>
      <c r="J13">
        <v>-476.48169999999999</v>
      </c>
      <c r="K13">
        <v>1.1095600000000001</v>
      </c>
      <c r="L13">
        <v>367.2183</v>
      </c>
      <c r="M13">
        <v>0.99997040000000004</v>
      </c>
      <c r="N13">
        <v>0</v>
      </c>
      <c r="O13">
        <v>-1.734254E-3</v>
      </c>
      <c r="P13">
        <v>0.99849469999999996</v>
      </c>
      <c r="Q13">
        <v>1.1796910000000001E-2</v>
      </c>
      <c r="R13">
        <v>-5.3570529999999998E-2</v>
      </c>
      <c r="S13">
        <v>3.0025629999999999</v>
      </c>
      <c r="T13">
        <v>-0.125996</v>
      </c>
      <c r="U13">
        <v>-6.0180659999999997E-2</v>
      </c>
      <c r="V13">
        <v>5.184329E-2</v>
      </c>
      <c r="W13">
        <v>1.9280499999999999E-2</v>
      </c>
      <c r="X13">
        <v>0.9984691</v>
      </c>
      <c r="Y13">
        <v>1.8290520000000001E-2</v>
      </c>
      <c r="Z13">
        <v>-3.1081689999999998E-4</v>
      </c>
      <c r="AA13">
        <v>0.99983270000000002</v>
      </c>
      <c r="AB13">
        <v>2</v>
      </c>
      <c r="AC13">
        <v>26.430900000000001</v>
      </c>
      <c r="AD13">
        <v>-1.1095647698419999</v>
      </c>
      <c r="AE13">
        <v>-0.52999999999997205</v>
      </c>
      <c r="AF13">
        <v>0.483308625443166</v>
      </c>
      <c r="AG13">
        <v>-1.1095647698419999</v>
      </c>
      <c r="AH13">
        <v>26.385299139234998</v>
      </c>
      <c r="AI13">
        <v>92.407602036299195</v>
      </c>
      <c r="AJ13">
        <v>88.950610798545398</v>
      </c>
      <c r="AK13">
        <v>26.413040943307099</v>
      </c>
      <c r="AL13">
        <v>88.895240273533005</v>
      </c>
      <c r="AM13">
        <v>87.027713079424402</v>
      </c>
      <c r="AN13">
        <v>1.00000000402654</v>
      </c>
    </row>
    <row r="14" spans="1:40" x14ac:dyDescent="0.25">
      <c r="A14" t="str">
        <f>"20190312160904076"</f>
        <v>20190312160904076</v>
      </c>
      <c r="B14" t="str">
        <f>"1552378144065114"</f>
        <v>1552378144065114</v>
      </c>
      <c r="C14" t="s">
        <v>40</v>
      </c>
      <c r="D14">
        <v>5.4532990000000003</v>
      </c>
      <c r="E14">
        <v>0.48742059999999998</v>
      </c>
      <c r="F14" t="s">
        <v>41</v>
      </c>
      <c r="G14">
        <v>-449.51510000000002</v>
      </c>
      <c r="H14" s="1">
        <v>-9.5459590000000009E-7</v>
      </c>
      <c r="I14">
        <v>366.66910000000001</v>
      </c>
      <c r="J14">
        <v>-476.46440000000001</v>
      </c>
      <c r="K14">
        <v>1.1095090000000001</v>
      </c>
      <c r="L14">
        <v>367.21800000000002</v>
      </c>
      <c r="M14">
        <v>0.99997259999999999</v>
      </c>
      <c r="N14">
        <v>0</v>
      </c>
      <c r="O14">
        <v>-1.9413939999999999E-3</v>
      </c>
      <c r="P14">
        <v>0.99850079999999997</v>
      </c>
      <c r="Q14">
        <v>1.247849E-2</v>
      </c>
      <c r="R14">
        <v>-5.3298959999999999E-2</v>
      </c>
      <c r="S14">
        <v>3.0026250000000001</v>
      </c>
      <c r="T14">
        <v>-0.12354560000000001</v>
      </c>
      <c r="U14">
        <v>-6.115723E-2</v>
      </c>
      <c r="V14">
        <v>5.1366250000000002E-2</v>
      </c>
      <c r="W14">
        <v>1.9609930000000001E-2</v>
      </c>
      <c r="X14">
        <v>0.99848740000000002</v>
      </c>
      <c r="Y14">
        <v>1.8408689999999998E-2</v>
      </c>
      <c r="Z14">
        <v>-2.9868180000000002E-4</v>
      </c>
      <c r="AA14">
        <v>0.99983049999999996</v>
      </c>
      <c r="AB14">
        <v>2</v>
      </c>
      <c r="AC14">
        <v>26.949299999999901</v>
      </c>
      <c r="AD14">
        <v>-1.1095099545959</v>
      </c>
      <c r="AE14">
        <v>-0.54890000000000305</v>
      </c>
      <c r="AF14">
        <v>0.49573849732526698</v>
      </c>
      <c r="AG14">
        <v>-1.1095099545959</v>
      </c>
      <c r="AH14">
        <v>26.904730500929102</v>
      </c>
      <c r="AI14">
        <v>92.361052015160297</v>
      </c>
      <c r="AJ14">
        <v>88.944404595430797</v>
      </c>
      <c r="AK14">
        <v>26.932160929355501</v>
      </c>
      <c r="AL14">
        <v>88.876361823334904</v>
      </c>
      <c r="AM14">
        <v>87.055068316667302</v>
      </c>
      <c r="AN14">
        <v>1.0000000644762099</v>
      </c>
    </row>
    <row r="15" spans="1:40" x14ac:dyDescent="0.25">
      <c r="A15" t="str">
        <f>"20190312160904097"</f>
        <v>20190312160904097</v>
      </c>
      <c r="B15" t="str">
        <f>"1552378144084640"</f>
        <v>1552378144084640</v>
      </c>
      <c r="C15" t="s">
        <v>40</v>
      </c>
      <c r="D15">
        <v>5.4494189999999998</v>
      </c>
      <c r="E15">
        <v>0.48733660000000001</v>
      </c>
      <c r="F15" t="s">
        <v>41</v>
      </c>
      <c r="G15">
        <v>-448.79689999999999</v>
      </c>
      <c r="H15" s="1">
        <v>-1.2305300000000001E-6</v>
      </c>
      <c r="I15">
        <v>366.66860000000003</v>
      </c>
      <c r="J15">
        <v>-476.44959999999998</v>
      </c>
      <c r="K15">
        <v>1.1098300000000001</v>
      </c>
      <c r="L15">
        <v>367.21780000000001</v>
      </c>
      <c r="M15">
        <v>0.99996640000000003</v>
      </c>
      <c r="N15">
        <v>0</v>
      </c>
      <c r="O15">
        <v>-2.0417439999999999E-3</v>
      </c>
      <c r="P15">
        <v>0.99853689999999995</v>
      </c>
      <c r="Q15">
        <v>1.163379E-2</v>
      </c>
      <c r="R15">
        <v>-5.2806850000000002E-2</v>
      </c>
      <c r="S15">
        <v>3.0028079999999999</v>
      </c>
      <c r="T15">
        <v>-0.1204177</v>
      </c>
      <c r="U15">
        <v>-5.963135E-2</v>
      </c>
      <c r="V15">
        <v>5.0772409999999997E-2</v>
      </c>
      <c r="W15">
        <v>1.9566070000000001E-2</v>
      </c>
      <c r="X15">
        <v>0.99851860000000003</v>
      </c>
      <c r="Y15">
        <v>1.7800509999999999E-2</v>
      </c>
      <c r="Z15">
        <v>-2.748982E-4</v>
      </c>
      <c r="AA15">
        <v>0.99984150000000005</v>
      </c>
      <c r="AB15">
        <v>2</v>
      </c>
      <c r="AC15">
        <v>27.6526999999999</v>
      </c>
      <c r="AD15">
        <v>-1.10983123052999</v>
      </c>
      <c r="AE15">
        <v>-0.54919999999998403</v>
      </c>
      <c r="AF15">
        <v>0.49194523367965098</v>
      </c>
      <c r="AG15">
        <v>-1.10983123052999</v>
      </c>
      <c r="AH15">
        <v>27.6093084692974</v>
      </c>
      <c r="AI15">
        <v>92.301555403045995</v>
      </c>
      <c r="AJ15">
        <v>88.979206475677501</v>
      </c>
      <c r="AK15">
        <v>27.635984687107001</v>
      </c>
      <c r="AL15">
        <v>88.878875261475699</v>
      </c>
      <c r="AM15">
        <v>87.089146274751798</v>
      </c>
      <c r="AN15">
        <v>1.0000000316291999</v>
      </c>
    </row>
    <row r="16" spans="1:40" x14ac:dyDescent="0.25">
      <c r="A16" t="str">
        <f>"20190312160904120"</f>
        <v>20190312160904120</v>
      </c>
      <c r="B16" t="str">
        <f>"1552378144114895"</f>
        <v>1552378144114895</v>
      </c>
      <c r="C16" t="s">
        <v>40</v>
      </c>
      <c r="D16">
        <v>5.4694159999999998</v>
      </c>
      <c r="E16">
        <v>0.4872705</v>
      </c>
      <c r="F16" t="s">
        <v>41</v>
      </c>
      <c r="G16">
        <v>-449.34820000000002</v>
      </c>
      <c r="H16" s="1">
        <v>-1.0106919999999999E-6</v>
      </c>
      <c r="I16">
        <v>366.69909999999999</v>
      </c>
      <c r="J16">
        <v>-476.43680000000001</v>
      </c>
      <c r="K16">
        <v>1.1103609999999999</v>
      </c>
      <c r="L16">
        <v>367.21749999999997</v>
      </c>
      <c r="M16">
        <v>0.99995179999999995</v>
      </c>
      <c r="N16">
        <v>0</v>
      </c>
      <c r="O16">
        <v>-2.0795029999999999E-3</v>
      </c>
      <c r="P16">
        <v>0.99856199999999995</v>
      </c>
      <c r="Q16">
        <v>9.8472730000000001E-3</v>
      </c>
      <c r="R16">
        <v>-5.2698179999999997E-2</v>
      </c>
      <c r="S16">
        <v>3.002777</v>
      </c>
      <c r="T16">
        <v>-0.1229671</v>
      </c>
      <c r="U16">
        <v>-5.7464599999999998E-2</v>
      </c>
      <c r="V16">
        <v>5.0622599999999997E-2</v>
      </c>
      <c r="W16">
        <v>1.943019E-2</v>
      </c>
      <c r="X16">
        <v>0.99852879999999999</v>
      </c>
      <c r="Y16">
        <v>1.7041850000000001E-2</v>
      </c>
      <c r="Z16">
        <v>-2.6364550000000002E-4</v>
      </c>
      <c r="AA16">
        <v>0.99985469999999999</v>
      </c>
      <c r="AB16">
        <v>2</v>
      </c>
      <c r="AC16">
        <v>27.0885999999999</v>
      </c>
      <c r="AD16">
        <v>-1.110362010692</v>
      </c>
      <c r="AE16">
        <v>-0.51839999999998498</v>
      </c>
      <c r="AF16">
        <v>0.46129069248913601</v>
      </c>
      <c r="AG16">
        <v>-1.110362010692</v>
      </c>
      <c r="AH16">
        <v>27.0441969778039</v>
      </c>
      <c r="AI16">
        <v>92.350748608741995</v>
      </c>
      <c r="AJ16">
        <v>89.0228052580689</v>
      </c>
      <c r="AK16">
        <v>27.070912121168401</v>
      </c>
      <c r="AL16">
        <v>88.886662025879005</v>
      </c>
      <c r="AM16">
        <v>87.097749983141398</v>
      </c>
      <c r="AN16">
        <v>0.99999997217181702</v>
      </c>
    </row>
    <row r="17" spans="1:40" x14ac:dyDescent="0.25">
      <c r="A17" t="str">
        <f>"20190312160904142"</f>
        <v>20190312160904142</v>
      </c>
      <c r="B17" t="str">
        <f>"1552378144134415"</f>
        <v>1552378144134415</v>
      </c>
      <c r="C17" t="s">
        <v>40</v>
      </c>
      <c r="D17">
        <v>5.4695489999999998</v>
      </c>
      <c r="E17">
        <v>0.48718040000000001</v>
      </c>
      <c r="F17" t="s">
        <v>41</v>
      </c>
      <c r="G17">
        <v>-450.48</v>
      </c>
      <c r="H17" s="1">
        <v>-4.5780729999999997E-6</v>
      </c>
      <c r="I17">
        <v>366.73149999999998</v>
      </c>
      <c r="J17">
        <v>-476.42649999999998</v>
      </c>
      <c r="K17">
        <v>1.1107070000000001</v>
      </c>
      <c r="L17">
        <v>367.2174</v>
      </c>
      <c r="M17">
        <v>0.99993869999999896</v>
      </c>
      <c r="N17">
        <v>0</v>
      </c>
      <c r="O17">
        <v>-2.1106419999999998E-3</v>
      </c>
      <c r="P17">
        <v>0.99855380000000005</v>
      </c>
      <c r="Q17">
        <v>8.1800439999999992E-3</v>
      </c>
      <c r="R17">
        <v>-5.3135469999999997E-2</v>
      </c>
      <c r="S17">
        <v>3.0026250000000001</v>
      </c>
      <c r="T17">
        <v>-0.12844439999999999</v>
      </c>
      <c r="U17">
        <v>-5.621338E-2</v>
      </c>
      <c r="V17">
        <v>5.1025899999999999E-2</v>
      </c>
      <c r="W17">
        <v>1.904689E-2</v>
      </c>
      <c r="X17">
        <v>0.99851570000000001</v>
      </c>
      <c r="Y17">
        <v>1.6594459999999998E-2</v>
      </c>
      <c r="Z17">
        <v>-2.644972E-4</v>
      </c>
      <c r="AA17">
        <v>0.99986229999999998</v>
      </c>
      <c r="AB17">
        <v>1</v>
      </c>
      <c r="AC17">
        <v>25.946499999999901</v>
      </c>
      <c r="AD17">
        <v>-1.1107115780729999</v>
      </c>
      <c r="AE17">
        <v>-0.48590000000001499</v>
      </c>
      <c r="AF17">
        <v>0.43034357965326497</v>
      </c>
      <c r="AG17">
        <v>-1.1107115780729999</v>
      </c>
      <c r="AH17">
        <v>25.9000225543932</v>
      </c>
      <c r="AI17">
        <v>92.4552623157781</v>
      </c>
      <c r="AJ17">
        <v>89.048085687455995</v>
      </c>
      <c r="AK17">
        <v>25.927399486340502</v>
      </c>
      <c r="AL17">
        <v>88.908627610795193</v>
      </c>
      <c r="AM17">
        <v>87.074630035843896</v>
      </c>
      <c r="AN17">
        <v>1.00000001481798</v>
      </c>
    </row>
    <row r="18" spans="1:40" x14ac:dyDescent="0.25">
      <c r="A18" t="str">
        <f>"20190312160904164"</f>
        <v>20190312160904164</v>
      </c>
      <c r="B18" t="str">
        <f>"1552378144154912"</f>
        <v>1552378144154912</v>
      </c>
      <c r="C18" t="s">
        <v>40</v>
      </c>
      <c r="D18">
        <v>5.4896949999999904</v>
      </c>
      <c r="E18">
        <v>0.48707050000000002</v>
      </c>
      <c r="F18" t="s">
        <v>41</v>
      </c>
      <c r="G18">
        <v>-451.40719999999999</v>
      </c>
      <c r="H18" s="1">
        <v>-4.1781800000000004E-6</v>
      </c>
      <c r="I18">
        <v>366.74360000000001</v>
      </c>
      <c r="J18">
        <v>-476.41109999999998</v>
      </c>
      <c r="K18">
        <v>1.1104320000000001</v>
      </c>
      <c r="L18">
        <v>367.21730000000002</v>
      </c>
      <c r="M18">
        <v>0.99994419999999995</v>
      </c>
      <c r="N18">
        <v>0</v>
      </c>
      <c r="O18">
        <v>-2.22011E-3</v>
      </c>
      <c r="P18">
        <v>0.99853780000000003</v>
      </c>
      <c r="Q18">
        <v>8.6758970000000001E-3</v>
      </c>
      <c r="R18">
        <v>-5.3360369999999997E-2</v>
      </c>
      <c r="S18">
        <v>3.0024109999999999</v>
      </c>
      <c r="T18">
        <v>-0.13328870000000001</v>
      </c>
      <c r="U18">
        <v>-5.6854250000000002E-2</v>
      </c>
      <c r="V18">
        <v>5.1141899999999997E-2</v>
      </c>
      <c r="W18">
        <v>1.8997790000000001E-2</v>
      </c>
      <c r="X18">
        <v>0.99851069999999997</v>
      </c>
      <c r="Y18">
        <v>1.6698669999999999E-2</v>
      </c>
      <c r="Z18">
        <v>-2.7193729999999998E-4</v>
      </c>
      <c r="AA18">
        <v>0.99986050000000004</v>
      </c>
      <c r="AB18">
        <v>1</v>
      </c>
      <c r="AC18">
        <v>25.003899999999899</v>
      </c>
      <c r="AD18">
        <v>-1.1104361781799901</v>
      </c>
      <c r="AE18">
        <v>-0.473700000000007</v>
      </c>
      <c r="AF18">
        <v>0.41736159863113798</v>
      </c>
      <c r="AG18">
        <v>-1.1104361781799901</v>
      </c>
      <c r="AH18">
        <v>24.9556877958298</v>
      </c>
      <c r="AI18">
        <v>92.547414797191607</v>
      </c>
      <c r="AJ18">
        <v>89.0418685615181</v>
      </c>
      <c r="AK18">
        <v>24.9838670460109</v>
      </c>
      <c r="AL18">
        <v>88.911441341743497</v>
      </c>
      <c r="AM18">
        <v>87.0679765653136</v>
      </c>
      <c r="AN18">
        <v>1.0000000139874901</v>
      </c>
    </row>
    <row r="19" spans="1:40" x14ac:dyDescent="0.25">
      <c r="A19" t="str">
        <f>"20190312160904188"</f>
        <v>20190312160904188</v>
      </c>
      <c r="B19" t="str">
        <f>"1552378144174433"</f>
        <v>1552378144174433</v>
      </c>
      <c r="C19" t="s">
        <v>40</v>
      </c>
      <c r="D19">
        <v>5.4701230000000001</v>
      </c>
      <c r="E19">
        <v>0.48698059999999999</v>
      </c>
      <c r="F19" t="s">
        <v>41</v>
      </c>
      <c r="G19">
        <v>-451.09120000000001</v>
      </c>
      <c r="H19" s="1">
        <v>-4.3145090000000004E-6</v>
      </c>
      <c r="I19">
        <v>366.73910000000001</v>
      </c>
      <c r="J19">
        <v>-476.39</v>
      </c>
      <c r="K19">
        <v>1.1099270000000001</v>
      </c>
      <c r="L19">
        <v>367.21710000000002</v>
      </c>
      <c r="M19">
        <v>0.99995769999999995</v>
      </c>
      <c r="N19">
        <v>0</v>
      </c>
      <c r="O19">
        <v>-2.456041E-3</v>
      </c>
      <c r="P19">
        <v>0.99848959999999998</v>
      </c>
      <c r="Q19">
        <v>1.0239430000000001E-2</v>
      </c>
      <c r="R19">
        <v>-5.3978819999999997E-2</v>
      </c>
      <c r="S19">
        <v>3.0025330000000001</v>
      </c>
      <c r="T19">
        <v>-0.13167989999999999</v>
      </c>
      <c r="U19">
        <v>-5.6701660000000001E-2</v>
      </c>
      <c r="V19">
        <v>5.1527469999999999E-2</v>
      </c>
      <c r="W19">
        <v>1.9092649999999999E-2</v>
      </c>
      <c r="X19">
        <v>0.99848910000000002</v>
      </c>
      <c r="Y19">
        <v>1.6412079999999999E-2</v>
      </c>
      <c r="Z19">
        <v>-2.520264E-4</v>
      </c>
      <c r="AA19">
        <v>0.99986529999999996</v>
      </c>
      <c r="AB19">
        <v>2</v>
      </c>
      <c r="AC19">
        <v>25.2987999999999</v>
      </c>
      <c r="AD19">
        <v>-1.109931314509</v>
      </c>
      <c r="AE19">
        <v>-0.47800000000000797</v>
      </c>
      <c r="AF19">
        <v>0.415062587373425</v>
      </c>
      <c r="AG19">
        <v>-1.109931314509</v>
      </c>
      <c r="AH19">
        <v>25.251310591174299</v>
      </c>
      <c r="AI19">
        <v>92.516499009567895</v>
      </c>
      <c r="AJ19">
        <v>89.058298658427006</v>
      </c>
      <c r="AK19">
        <v>25.2791002815827</v>
      </c>
      <c r="AL19">
        <v>88.906005313369903</v>
      </c>
      <c r="AM19">
        <v>87.045846613628896</v>
      </c>
      <c r="AN19">
        <v>1.00000004613371</v>
      </c>
    </row>
    <row r="20" spans="1:40" x14ac:dyDescent="0.25">
      <c r="A20" t="str">
        <f>"20190312160904215"</f>
        <v>20190312160904215</v>
      </c>
      <c r="B20" t="str">
        <f>"1552378144204688"</f>
        <v>1552378144204688</v>
      </c>
      <c r="C20" t="s">
        <v>40</v>
      </c>
      <c r="D20">
        <v>5.4984390000000003</v>
      </c>
      <c r="E20">
        <v>0.48685610000000001</v>
      </c>
      <c r="F20" t="s">
        <v>41</v>
      </c>
      <c r="G20">
        <v>-450.20409999999998</v>
      </c>
      <c r="H20" s="1">
        <v>-4.7003020000000002E-6</v>
      </c>
      <c r="I20">
        <v>366.70979999999997</v>
      </c>
      <c r="J20">
        <v>-476.36270000000002</v>
      </c>
      <c r="K20">
        <v>1.109526</v>
      </c>
      <c r="L20">
        <v>367.21679999999998</v>
      </c>
      <c r="M20">
        <v>0.99996779999999996</v>
      </c>
      <c r="N20">
        <v>0</v>
      </c>
      <c r="O20">
        <v>-2.8239879999999999E-3</v>
      </c>
      <c r="P20">
        <v>0.9984056</v>
      </c>
      <c r="Q20">
        <v>1.166886E-2</v>
      </c>
      <c r="R20">
        <v>-5.5223830000000002E-2</v>
      </c>
      <c r="S20">
        <v>3.0027159999999999</v>
      </c>
      <c r="T20">
        <v>-0.12727449999999901</v>
      </c>
      <c r="U20">
        <v>-5.8166500000000003E-2</v>
      </c>
      <c r="V20">
        <v>5.2408400000000001E-2</v>
      </c>
      <c r="W20">
        <v>1.9163220000000002E-2</v>
      </c>
      <c r="X20">
        <v>0.99844189999999999</v>
      </c>
      <c r="Y20">
        <v>1.6531750000000001E-2</v>
      </c>
      <c r="Z20">
        <v>-2.3053479999999999E-4</v>
      </c>
      <c r="AA20">
        <v>0.99986330000000001</v>
      </c>
      <c r="AB20">
        <v>2</v>
      </c>
      <c r="AC20">
        <v>26.1586</v>
      </c>
      <c r="AD20">
        <v>-1.1095307003020001</v>
      </c>
      <c r="AE20">
        <v>-0.507000000000005</v>
      </c>
      <c r="AF20">
        <v>0.43234678868607102</v>
      </c>
      <c r="AG20">
        <v>-1.1095307003020001</v>
      </c>
      <c r="AH20">
        <v>26.112965905540701</v>
      </c>
      <c r="AI20">
        <v>92.432680971377707</v>
      </c>
      <c r="AJ20">
        <v>89.051452706960603</v>
      </c>
      <c r="AK20">
        <v>26.140102725592499</v>
      </c>
      <c r="AL20">
        <v>88.901961213139202</v>
      </c>
      <c r="AM20">
        <v>86.995291455381704</v>
      </c>
      <c r="AN20">
        <v>1.0000000485334599</v>
      </c>
    </row>
    <row r="21" spans="1:40" x14ac:dyDescent="0.25">
      <c r="A21" t="str">
        <f>"20190312160904255"</f>
        <v>20190312160904255</v>
      </c>
      <c r="B21" t="str">
        <f>"1552378144244704"</f>
        <v>1552378144244704</v>
      </c>
      <c r="C21" t="s">
        <v>40</v>
      </c>
      <c r="D21">
        <v>5.4861690000000003</v>
      </c>
      <c r="E21">
        <v>0.48675249999999998</v>
      </c>
      <c r="F21" t="s">
        <v>41</v>
      </c>
      <c r="G21">
        <v>-449.29059999999998</v>
      </c>
      <c r="H21" s="1">
        <v>-1.0405640000000001E-6</v>
      </c>
      <c r="I21">
        <v>366.67009999999999</v>
      </c>
      <c r="J21">
        <v>-476.32670000000002</v>
      </c>
      <c r="K21">
        <v>1.109901</v>
      </c>
      <c r="L21">
        <v>367.21620000000001</v>
      </c>
      <c r="M21">
        <v>0.99995990000000001</v>
      </c>
      <c r="N21">
        <v>0</v>
      </c>
      <c r="O21">
        <v>-3.1793559999999999E-3</v>
      </c>
      <c r="P21">
        <v>0.99837739999999997</v>
      </c>
      <c r="Q21">
        <v>1.1075659999999999E-2</v>
      </c>
      <c r="R21">
        <v>-5.585772E-2</v>
      </c>
      <c r="S21">
        <v>3.002869</v>
      </c>
      <c r="T21">
        <v>-0.1230696</v>
      </c>
      <c r="U21">
        <v>-6.063843E-2</v>
      </c>
      <c r="V21">
        <v>5.2687209999999998E-2</v>
      </c>
      <c r="W21">
        <v>1.9431150000000001E-2</v>
      </c>
      <c r="X21">
        <v>0.99842200000000003</v>
      </c>
      <c r="Y21">
        <v>1.6998869999999999E-2</v>
      </c>
      <c r="Z21">
        <v>-2.1792130000000001E-4</v>
      </c>
      <c r="AA21">
        <v>0.99985550000000001</v>
      </c>
      <c r="AB21">
        <v>2</v>
      </c>
      <c r="AC21">
        <v>27.036100000000001</v>
      </c>
      <c r="AD21">
        <v>-1.1099020405640001</v>
      </c>
      <c r="AE21">
        <v>-0.54610000000002401</v>
      </c>
      <c r="AF21">
        <v>0.45936298461533498</v>
      </c>
      <c r="AG21">
        <v>-1.1099020405640001</v>
      </c>
      <c r="AH21">
        <v>26.992227785537199</v>
      </c>
      <c r="AI21">
        <v>92.354296472164705</v>
      </c>
      <c r="AJ21">
        <v>89.0250149039869</v>
      </c>
      <c r="AK21">
        <v>27.0189425721587</v>
      </c>
      <c r="AL21">
        <v>88.886607043517003</v>
      </c>
      <c r="AM21">
        <v>86.979275990286695</v>
      </c>
      <c r="AN21">
        <v>1.00000000088595</v>
      </c>
    </row>
    <row r="22" spans="1:40" x14ac:dyDescent="0.25">
      <c r="A22" t="str">
        <f>"20190312160904276"</f>
        <v>20190312160904276</v>
      </c>
      <c r="B22" t="str">
        <f>"1552378144265199"</f>
        <v>1552378144265199</v>
      </c>
      <c r="C22" t="s">
        <v>40</v>
      </c>
      <c r="D22">
        <v>5.4806910000000002</v>
      </c>
      <c r="E22">
        <v>0.48669190000000001</v>
      </c>
      <c r="F22" t="s">
        <v>41</v>
      </c>
      <c r="G22">
        <v>-449.76429999999999</v>
      </c>
      <c r="H22" s="1">
        <v>-8.5877499999999999E-7</v>
      </c>
      <c r="I22">
        <v>366.6696</v>
      </c>
      <c r="J22">
        <v>-476.31130000000002</v>
      </c>
      <c r="K22">
        <v>1.1104240000000001</v>
      </c>
      <c r="L22">
        <v>367.21589999999998</v>
      </c>
      <c r="M22">
        <v>0.99994430000000001</v>
      </c>
      <c r="N22">
        <v>0</v>
      </c>
      <c r="O22">
        <v>-3.2396040000000001E-3</v>
      </c>
      <c r="P22">
        <v>0.99843870000000001</v>
      </c>
      <c r="Q22">
        <v>9.154634E-3</v>
      </c>
      <c r="R22">
        <v>-5.5108850000000001E-2</v>
      </c>
      <c r="S22">
        <v>3.002777</v>
      </c>
      <c r="T22">
        <v>-0.12547049999999901</v>
      </c>
      <c r="U22">
        <v>-6.1798100000000002E-2</v>
      </c>
      <c r="V22">
        <v>5.1874919999999998E-2</v>
      </c>
      <c r="W22">
        <v>1.9189439999999999E-2</v>
      </c>
      <c r="X22">
        <v>0.99846919999999995</v>
      </c>
      <c r="Y22">
        <v>1.7324490000000001E-2</v>
      </c>
      <c r="Z22">
        <v>-2.264558E-4</v>
      </c>
      <c r="AA22">
        <v>0.99984989999999996</v>
      </c>
      <c r="AB22">
        <v>2</v>
      </c>
      <c r="AC22">
        <v>26.547000000000001</v>
      </c>
      <c r="AD22">
        <v>-1.1104248587750001</v>
      </c>
      <c r="AE22">
        <v>-0.54629999999997303</v>
      </c>
      <c r="AF22">
        <v>0.45948743142356102</v>
      </c>
      <c r="AG22">
        <v>-1.1104248587750001</v>
      </c>
      <c r="AH22">
        <v>26.502280875263502</v>
      </c>
      <c r="AI22">
        <v>92.398884954078497</v>
      </c>
      <c r="AJ22">
        <v>89.006724995675</v>
      </c>
      <c r="AK22">
        <v>26.529513068618101</v>
      </c>
      <c r="AL22">
        <v>88.9004585801122</v>
      </c>
      <c r="AM22">
        <v>87.025903215724995</v>
      </c>
      <c r="AN22">
        <v>0.99999999264057904</v>
      </c>
    </row>
    <row r="23" spans="1:40" x14ac:dyDescent="0.25">
      <c r="A23" t="str">
        <f>"20190312160904300"</f>
        <v>20190312160904300</v>
      </c>
      <c r="B23" t="str">
        <f>"1552378144294937"</f>
        <v>1552378144294937</v>
      </c>
      <c r="C23" t="s">
        <v>40</v>
      </c>
      <c r="D23">
        <v>5.481122</v>
      </c>
      <c r="E23">
        <v>0.48656709999999898</v>
      </c>
      <c r="F23" t="s">
        <v>41</v>
      </c>
      <c r="G23">
        <v>-450.94299999999998</v>
      </c>
      <c r="H23" s="1">
        <v>-4.3819609999999997E-6</v>
      </c>
      <c r="I23">
        <v>366.7174</v>
      </c>
      <c r="J23">
        <v>-476.29239999999999</v>
      </c>
      <c r="K23">
        <v>1.11042</v>
      </c>
      <c r="L23">
        <v>367.21570000000003</v>
      </c>
      <c r="M23">
        <v>0.999942</v>
      </c>
      <c r="N23">
        <v>0</v>
      </c>
      <c r="O23">
        <v>-3.3421940000000002E-3</v>
      </c>
      <c r="P23">
        <v>0.99843550000000003</v>
      </c>
      <c r="Q23">
        <v>8.4372930000000002E-3</v>
      </c>
      <c r="R23">
        <v>-5.5279040000000002E-2</v>
      </c>
      <c r="S23">
        <v>3.0026549999999999</v>
      </c>
      <c r="T23">
        <v>-0.1314322</v>
      </c>
      <c r="U23">
        <v>-5.8990479999999998E-2</v>
      </c>
      <c r="V23">
        <v>5.1941689999999999E-2</v>
      </c>
      <c r="W23">
        <v>1.867359E-2</v>
      </c>
      <c r="X23">
        <v>0.99847549999999996</v>
      </c>
      <c r="Y23">
        <v>1.6288090000000002E-2</v>
      </c>
      <c r="Z23">
        <v>-2.100596E-4</v>
      </c>
      <c r="AA23">
        <v>0.99986730000000001</v>
      </c>
      <c r="AB23">
        <v>2</v>
      </c>
      <c r="AC23">
        <v>25.3493999999999</v>
      </c>
      <c r="AD23">
        <v>-1.110424381961</v>
      </c>
      <c r="AE23">
        <v>-0.498300000000028</v>
      </c>
      <c r="AF23">
        <v>0.41277840632426999</v>
      </c>
      <c r="AG23">
        <v>-1.110424381961</v>
      </c>
      <c r="AH23">
        <v>25.302390991211801</v>
      </c>
      <c r="AI23">
        <v>92.512544518068907</v>
      </c>
      <c r="AJ23">
        <v>89.065370431382803</v>
      </c>
      <c r="AK23">
        <v>25.3301089258009</v>
      </c>
      <c r="AL23">
        <v>88.930019896220898</v>
      </c>
      <c r="AM23">
        <v>87.022100794619007</v>
      </c>
      <c r="AN23">
        <v>0.99999998311189697</v>
      </c>
    </row>
    <row r="24" spans="1:40" x14ac:dyDescent="0.25">
      <c r="A24" t="str">
        <f>"20190312160904321"</f>
        <v>20190312160904321</v>
      </c>
      <c r="B24" t="str">
        <f>"1552378144314457"</f>
        <v>1552378144314457</v>
      </c>
      <c r="C24" t="s">
        <v>40</v>
      </c>
      <c r="D24">
        <v>5.4879920000000002</v>
      </c>
      <c r="E24">
        <v>0.4865254</v>
      </c>
      <c r="F24" t="s">
        <v>41</v>
      </c>
      <c r="G24">
        <v>-451.37490000000003</v>
      </c>
      <c r="H24" s="1">
        <v>-4.1943520000000004E-6</v>
      </c>
      <c r="I24">
        <v>366.7303</v>
      </c>
      <c r="J24">
        <v>-476.2704</v>
      </c>
      <c r="K24">
        <v>1.1100000000000001</v>
      </c>
      <c r="L24">
        <v>367.21539999999999</v>
      </c>
      <c r="M24">
        <v>0.99995279999999998</v>
      </c>
      <c r="N24">
        <v>0</v>
      </c>
      <c r="O24">
        <v>-3.5682840000000001E-3</v>
      </c>
      <c r="P24">
        <v>0.9984094</v>
      </c>
      <c r="Q24">
        <v>9.696929E-3</v>
      </c>
      <c r="R24">
        <v>-5.5543410000000001E-2</v>
      </c>
      <c r="S24">
        <v>3.0025629999999999</v>
      </c>
      <c r="T24">
        <v>-0.13380629999999999</v>
      </c>
      <c r="U24">
        <v>-5.8471679999999998E-2</v>
      </c>
      <c r="V24">
        <v>5.1981180000000002E-2</v>
      </c>
      <c r="W24">
        <v>1.8723650000000001E-2</v>
      </c>
      <c r="X24">
        <v>0.99847249999999999</v>
      </c>
      <c r="Y24">
        <v>1.5890129999999999E-2</v>
      </c>
      <c r="Z24">
        <v>-1.9492700000000001E-4</v>
      </c>
      <c r="AA24">
        <v>0.99987369999999998</v>
      </c>
      <c r="AB24">
        <v>1</v>
      </c>
      <c r="AC24">
        <v>24.895499999999899</v>
      </c>
      <c r="AD24">
        <v>-1.110004194352</v>
      </c>
      <c r="AE24">
        <v>-0.48509999999998799</v>
      </c>
      <c r="AF24">
        <v>0.39547318327448999</v>
      </c>
      <c r="AG24">
        <v>-1.110004194352</v>
      </c>
      <c r="AH24">
        <v>24.847695075109201</v>
      </c>
      <c r="AI24">
        <v>92.557511358045105</v>
      </c>
      <c r="AJ24">
        <v>89.088163660782399</v>
      </c>
      <c r="AK24">
        <v>24.8756197690786</v>
      </c>
      <c r="AL24">
        <v>88.927151159944202</v>
      </c>
      <c r="AM24">
        <v>87.019831912132801</v>
      </c>
      <c r="AN24">
        <v>0.99999997569988197</v>
      </c>
    </row>
    <row r="25" spans="1:40" x14ac:dyDescent="0.25">
      <c r="A25" t="str">
        <f>"20190312160904342"</f>
        <v>20190312160904342</v>
      </c>
      <c r="B25" t="str">
        <f>"1552378144334953"</f>
        <v>1552378144334953</v>
      </c>
      <c r="C25" t="s">
        <v>40</v>
      </c>
      <c r="D25">
        <v>5.4914430000000003</v>
      </c>
      <c r="E25">
        <v>0.48646610000000001</v>
      </c>
      <c r="F25" t="s">
        <v>41</v>
      </c>
      <c r="G25">
        <v>-450.7106</v>
      </c>
      <c r="H25" s="1">
        <v>-4.4827250000000004E-6</v>
      </c>
      <c r="I25">
        <v>366.71140000000003</v>
      </c>
      <c r="J25">
        <v>-476.24509999999998</v>
      </c>
      <c r="K25">
        <v>1.1096429999999999</v>
      </c>
      <c r="L25">
        <v>367.21510000000001</v>
      </c>
      <c r="M25">
        <v>0.99996160000000001</v>
      </c>
      <c r="N25">
        <v>0</v>
      </c>
      <c r="O25">
        <v>-3.8872440000000002E-3</v>
      </c>
      <c r="P25">
        <v>0.99839750000000005</v>
      </c>
      <c r="Q25">
        <v>1.11363E-2</v>
      </c>
      <c r="R25">
        <v>-5.5486729999999998E-2</v>
      </c>
      <c r="S25">
        <v>3.0027469999999998</v>
      </c>
      <c r="T25">
        <v>-0.13040180000000001</v>
      </c>
      <c r="U25">
        <v>-5.9204100000000003E-2</v>
      </c>
      <c r="V25">
        <v>5.1607630000000002E-2</v>
      </c>
      <c r="W25">
        <v>1.898157E-2</v>
      </c>
      <c r="X25">
        <v>0.99848709999999996</v>
      </c>
      <c r="Y25">
        <v>1.5814829999999998E-2</v>
      </c>
      <c r="Z25">
        <v>-1.744836E-4</v>
      </c>
      <c r="AA25">
        <v>0.99987490000000001</v>
      </c>
      <c r="AB25">
        <v>2</v>
      </c>
      <c r="AC25">
        <v>25.534499999999898</v>
      </c>
      <c r="AD25">
        <v>-1.109647482725</v>
      </c>
      <c r="AE25">
        <v>-0.50369999999998005</v>
      </c>
      <c r="AF25">
        <v>0.40367226487300001</v>
      </c>
      <c r="AG25">
        <v>-1.109647482725</v>
      </c>
      <c r="AH25">
        <v>25.488149665086901</v>
      </c>
      <c r="AI25">
        <v>92.492532368608096</v>
      </c>
      <c r="AJ25">
        <v>89.092645645962904</v>
      </c>
      <c r="AK25">
        <v>25.515486320727099</v>
      </c>
      <c r="AL25">
        <v>88.912370905820396</v>
      </c>
      <c r="AM25">
        <v>87.041253154419607</v>
      </c>
      <c r="AN25">
        <v>1.00000006817014</v>
      </c>
    </row>
    <row r="26" spans="1:40" x14ac:dyDescent="0.25">
      <c r="A26" t="str">
        <f>"20190312160904366"</f>
        <v>20190312160904366</v>
      </c>
      <c r="B26" t="str">
        <f>"1552378144354473"</f>
        <v>1552378144354473</v>
      </c>
      <c r="C26" t="s">
        <v>40</v>
      </c>
      <c r="D26">
        <v>5.4668570000000001</v>
      </c>
      <c r="E26">
        <v>0.48638720000000002</v>
      </c>
      <c r="F26" t="s">
        <v>41</v>
      </c>
      <c r="G26">
        <v>-449.83670000000001</v>
      </c>
      <c r="H26" s="1">
        <v>-8.2248809999999904E-7</v>
      </c>
      <c r="I26">
        <v>366.70139999999998</v>
      </c>
      <c r="J26">
        <v>-476.22359999999998</v>
      </c>
      <c r="K26">
        <v>1.109952</v>
      </c>
      <c r="L26">
        <v>367.21480000000003</v>
      </c>
      <c r="M26">
        <v>0.99995339999999999</v>
      </c>
      <c r="N26">
        <v>0</v>
      </c>
      <c r="O26">
        <v>-4.1143689999999997E-3</v>
      </c>
      <c r="P26">
        <v>0.99841769999999996</v>
      </c>
      <c r="Q26">
        <v>1.0411719999999999E-2</v>
      </c>
      <c r="R26">
        <v>-5.5263399999999997E-2</v>
      </c>
      <c r="S26">
        <v>3.0029599999999999</v>
      </c>
      <c r="T26">
        <v>-0.12618019999999999</v>
      </c>
      <c r="U26">
        <v>-5.841064E-2</v>
      </c>
      <c r="V26">
        <v>5.1156600000000003E-2</v>
      </c>
      <c r="W26">
        <v>1.9126029999999999E-2</v>
      </c>
      <c r="X26">
        <v>0.99850749999999999</v>
      </c>
      <c r="Y26">
        <v>1.532355E-2</v>
      </c>
      <c r="Z26">
        <v>-1.489726E-4</v>
      </c>
      <c r="AA26">
        <v>0.99988259999999995</v>
      </c>
      <c r="AB26">
        <v>2</v>
      </c>
      <c r="AC26">
        <v>26.386899999999901</v>
      </c>
      <c r="AD26">
        <v>-1.1099528224880999</v>
      </c>
      <c r="AE26">
        <v>-0.51340000000004604</v>
      </c>
      <c r="AF26">
        <v>0.40411129621633002</v>
      </c>
      <c r="AG26">
        <v>-1.1099528224880999</v>
      </c>
      <c r="AH26">
        <v>26.342196123478601</v>
      </c>
      <c r="AI26">
        <v>92.412499949670206</v>
      </c>
      <c r="AJ26">
        <v>89.121103816815506</v>
      </c>
      <c r="AK26">
        <v>26.368666970775902</v>
      </c>
      <c r="AL26">
        <v>88.904092397087794</v>
      </c>
      <c r="AM26">
        <v>87.067125885948002</v>
      </c>
      <c r="AN26">
        <v>1.0000000151516799</v>
      </c>
    </row>
    <row r="27" spans="1:40" x14ac:dyDescent="0.25">
      <c r="A27" t="str">
        <f>"20190312160904390"</f>
        <v>20190312160904390</v>
      </c>
      <c r="B27" t="str">
        <f>"1552378144385235"</f>
        <v>1552378144385235</v>
      </c>
      <c r="C27" t="s">
        <v>40</v>
      </c>
      <c r="D27">
        <v>5.4641650000000004</v>
      </c>
      <c r="E27">
        <v>0.48630200000000001</v>
      </c>
      <c r="F27" t="s">
        <v>41</v>
      </c>
      <c r="G27">
        <v>-450.26920000000001</v>
      </c>
      <c r="H27" s="1">
        <v>-4.6705749999999997E-6</v>
      </c>
      <c r="I27">
        <v>366.7199</v>
      </c>
      <c r="J27">
        <v>-476.20400000000001</v>
      </c>
      <c r="K27">
        <v>1.1103769999999999</v>
      </c>
      <c r="L27">
        <v>367.21449999999999</v>
      </c>
      <c r="M27">
        <v>0.99993849999999995</v>
      </c>
      <c r="N27">
        <v>0</v>
      </c>
      <c r="O27">
        <v>-4.2639059999999996E-3</v>
      </c>
      <c r="P27">
        <v>0.99843700000000002</v>
      </c>
      <c r="Q27">
        <v>8.8906780000000008E-3</v>
      </c>
      <c r="R27">
        <v>-5.517822E-2</v>
      </c>
      <c r="S27">
        <v>3.0028990000000002</v>
      </c>
      <c r="T27">
        <v>-0.12842020000000001</v>
      </c>
      <c r="U27">
        <v>-5.725098E-2</v>
      </c>
      <c r="V27">
        <v>5.0920880000000002E-2</v>
      </c>
      <c r="W27">
        <v>1.9106000000000001E-2</v>
      </c>
      <c r="X27">
        <v>0.99851990000000002</v>
      </c>
      <c r="Y27">
        <v>1.4788630000000001E-2</v>
      </c>
      <c r="Z27">
        <v>-1.337926E-4</v>
      </c>
      <c r="AA27">
        <v>0.99989059999999996</v>
      </c>
      <c r="AB27">
        <v>2</v>
      </c>
      <c r="AC27">
        <v>25.934799999999999</v>
      </c>
      <c r="AD27">
        <v>-1.110381670575</v>
      </c>
      <c r="AE27">
        <v>-0.49459999999999099</v>
      </c>
      <c r="AF27">
        <v>0.38330379139867699</v>
      </c>
      <c r="AG27">
        <v>-1.110381670575</v>
      </c>
      <c r="AH27">
        <v>25.889233761171599</v>
      </c>
      <c r="AI27">
        <v>92.455625286817593</v>
      </c>
      <c r="AJ27">
        <v>89.151767671544903</v>
      </c>
      <c r="AK27">
        <v>25.915869539558901</v>
      </c>
      <c r="AL27">
        <v>88.905240206048106</v>
      </c>
      <c r="AM27">
        <v>87.080652778033098</v>
      </c>
      <c r="AN27">
        <v>0.99999998297599202</v>
      </c>
    </row>
    <row r="28" spans="1:40" x14ac:dyDescent="0.25">
      <c r="A28" t="str">
        <f>"20190312160904434"</f>
        <v>20190312160904434</v>
      </c>
      <c r="B28" t="str">
        <f>"1552378144425251"</f>
        <v>1552378144425251</v>
      </c>
      <c r="C28" t="s">
        <v>40</v>
      </c>
      <c r="D28">
        <v>5.472518</v>
      </c>
      <c r="E28">
        <v>0.48608839999999998</v>
      </c>
      <c r="F28" t="s">
        <v>41</v>
      </c>
      <c r="G28">
        <v>-451.17590000000001</v>
      </c>
      <c r="H28" s="1">
        <v>-4.2770160000000003E-6</v>
      </c>
      <c r="I28">
        <v>366.7457</v>
      </c>
      <c r="J28">
        <v>-476.15350000000001</v>
      </c>
      <c r="K28">
        <v>1.109677</v>
      </c>
      <c r="L28">
        <v>367.21379999999999</v>
      </c>
      <c r="M28">
        <v>0.99995460000000003</v>
      </c>
      <c r="N28">
        <v>0</v>
      </c>
      <c r="O28">
        <v>-4.7888039999999998E-3</v>
      </c>
      <c r="P28">
        <v>0.99846360000000001</v>
      </c>
      <c r="Q28">
        <v>1.069815E-2</v>
      </c>
      <c r="R28">
        <v>-5.437268E-2</v>
      </c>
      <c r="S28">
        <v>3.0027469999999998</v>
      </c>
      <c r="T28">
        <v>-0.13321749999999999</v>
      </c>
      <c r="U28">
        <v>-5.6243899999999999E-2</v>
      </c>
      <c r="V28">
        <v>4.9594779999999998E-2</v>
      </c>
      <c r="W28">
        <v>1.8921029999999998E-2</v>
      </c>
      <c r="X28">
        <v>0.99859019999999998</v>
      </c>
      <c r="Y28">
        <v>1.39302E-2</v>
      </c>
      <c r="Z28" s="1">
        <v>-9.6491700000000003E-5</v>
      </c>
      <c r="AA28">
        <v>0.99990299999999999</v>
      </c>
      <c r="AB28">
        <v>2</v>
      </c>
      <c r="AC28">
        <v>24.977599999999899</v>
      </c>
      <c r="AD28">
        <v>-1.1096812770160001</v>
      </c>
      <c r="AE28">
        <v>-0.46809999999999202</v>
      </c>
      <c r="AF28">
        <v>0.34779152525040902</v>
      </c>
      <c r="AG28">
        <v>-1.1096812770160001</v>
      </c>
      <c r="AH28">
        <v>24.930365923839499</v>
      </c>
      <c r="AI28">
        <v>92.548375773968502</v>
      </c>
      <c r="AJ28">
        <v>89.200746027987705</v>
      </c>
      <c r="AK28">
        <v>24.9574737619442</v>
      </c>
      <c r="AL28">
        <v>88.915840160258</v>
      </c>
      <c r="AM28">
        <v>87.156752891432703</v>
      </c>
      <c r="AN28">
        <v>1.0000000175577699</v>
      </c>
    </row>
    <row r="29" spans="1:40" x14ac:dyDescent="0.25">
      <c r="A29" t="str">
        <f>"20190312160904455"</f>
        <v>20190312160904455</v>
      </c>
      <c r="B29" t="str">
        <f>"1552378144444772"</f>
        <v>1552378144444772</v>
      </c>
      <c r="C29" t="s">
        <v>40</v>
      </c>
      <c r="D29">
        <v>5.4422410000000001</v>
      </c>
      <c r="E29">
        <v>0.48600680000000002</v>
      </c>
      <c r="F29" t="s">
        <v>41</v>
      </c>
      <c r="G29">
        <v>-450.07089999999999</v>
      </c>
      <c r="H29" s="1">
        <v>-4.748442E-6</v>
      </c>
      <c r="I29">
        <v>366.76049999999998</v>
      </c>
      <c r="J29">
        <v>-476.12509999999997</v>
      </c>
      <c r="K29">
        <v>1.10938799999999</v>
      </c>
      <c r="L29">
        <v>367.2133</v>
      </c>
      <c r="M29">
        <v>0.99996130000000005</v>
      </c>
      <c r="N29">
        <v>0</v>
      </c>
      <c r="O29">
        <v>-5.1400780000000002E-3</v>
      </c>
      <c r="P29">
        <v>0.99844909999999998</v>
      </c>
      <c r="Q29">
        <v>1.221737E-2</v>
      </c>
      <c r="R29">
        <v>-5.4316780000000002E-2</v>
      </c>
      <c r="S29">
        <v>3.0031430000000001</v>
      </c>
      <c r="T29">
        <v>-0.12776779999999999</v>
      </c>
      <c r="U29">
        <v>-5.2185059999999998E-2</v>
      </c>
      <c r="V29">
        <v>4.9190009999999999E-2</v>
      </c>
      <c r="W29">
        <v>1.9325789999999999E-2</v>
      </c>
      <c r="X29">
        <v>0.9986024</v>
      </c>
      <c r="Y29">
        <v>1.222812E-2</v>
      </c>
      <c r="Z29" s="1">
        <v>-4.1413479999999998E-5</v>
      </c>
      <c r="AA29">
        <v>0.99992530000000002</v>
      </c>
      <c r="AB29">
        <v>3</v>
      </c>
      <c r="AC29">
        <v>26.054199999999899</v>
      </c>
      <c r="AD29">
        <v>-1.1093927484420001</v>
      </c>
      <c r="AE29">
        <v>-0.45280000000002402</v>
      </c>
      <c r="AF29">
        <v>0.31829307005886998</v>
      </c>
      <c r="AG29">
        <v>-1.1093927484420001</v>
      </c>
      <c r="AH29">
        <v>26.009041247843701</v>
      </c>
      <c r="AI29">
        <v>92.442237857096103</v>
      </c>
      <c r="AJ29">
        <v>89.298861535629598</v>
      </c>
      <c r="AK29">
        <v>26.034636340475</v>
      </c>
      <c r="AL29">
        <v>88.892644802348201</v>
      </c>
      <c r="AM29">
        <v>87.179954963231097</v>
      </c>
      <c r="AN29">
        <v>0.99999994826434002</v>
      </c>
    </row>
    <row r="30" spans="1:40" x14ac:dyDescent="0.25">
      <c r="A30" t="str">
        <f>"20190312160904477"</f>
        <v>20190312160904477</v>
      </c>
      <c r="B30" t="str">
        <f>"1552378144475027"</f>
        <v>1552378144475027</v>
      </c>
      <c r="C30" t="s">
        <v>40</v>
      </c>
      <c r="D30">
        <v>5.3917299999999999</v>
      </c>
      <c r="E30">
        <v>0.48595699999999997</v>
      </c>
      <c r="F30" t="s">
        <v>41</v>
      </c>
      <c r="G30">
        <v>-449.13299999999998</v>
      </c>
      <c r="H30" s="1">
        <v>-1.079583E-6</v>
      </c>
      <c r="I30">
        <v>366.7509</v>
      </c>
      <c r="J30">
        <v>-476.09719999999999</v>
      </c>
      <c r="K30">
        <v>1.1095489999999999</v>
      </c>
      <c r="L30">
        <v>367.21280000000002</v>
      </c>
      <c r="M30">
        <v>0.99995849999999997</v>
      </c>
      <c r="N30">
        <v>0</v>
      </c>
      <c r="O30">
        <v>-5.4507480000000001E-3</v>
      </c>
      <c r="P30">
        <v>0.99845740000000005</v>
      </c>
      <c r="Q30">
        <v>1.183969E-2</v>
      </c>
      <c r="R30">
        <v>-5.4247789999999997E-2</v>
      </c>
      <c r="S30">
        <v>3.003387</v>
      </c>
      <c r="T30">
        <v>-0.12344090000000001</v>
      </c>
      <c r="U30">
        <v>-5.1452640000000001E-2</v>
      </c>
      <c r="V30">
        <v>4.8810109999999997E-2</v>
      </c>
      <c r="W30">
        <v>1.9142240000000001E-2</v>
      </c>
      <c r="X30">
        <v>0.99862459999999997</v>
      </c>
      <c r="Y30">
        <v>1.167342E-2</v>
      </c>
      <c r="Z30" s="1">
        <v>-1.585283E-5</v>
      </c>
      <c r="AA30">
        <v>0.99993189999999998</v>
      </c>
      <c r="AB30">
        <v>3</v>
      </c>
      <c r="AC30">
        <v>26.964199999999899</v>
      </c>
      <c r="AD30">
        <v>-1.109550079583</v>
      </c>
      <c r="AE30">
        <v>-0.46190000000001402</v>
      </c>
      <c r="AF30">
        <v>0.31438199427763303</v>
      </c>
      <c r="AG30">
        <v>-1.109550079583</v>
      </c>
      <c r="AH30">
        <v>26.920747244307002</v>
      </c>
      <c r="AI30">
        <v>92.359973463360902</v>
      </c>
      <c r="AJ30">
        <v>89.330927091715694</v>
      </c>
      <c r="AK30">
        <v>26.945436897725202</v>
      </c>
      <c r="AL30">
        <v>88.9031634150695</v>
      </c>
      <c r="AM30">
        <v>87.2017618466583</v>
      </c>
      <c r="AN30">
        <v>0.999999971957794</v>
      </c>
    </row>
    <row r="31" spans="1:40" x14ac:dyDescent="0.25">
      <c r="A31" t="str">
        <f>"20190312160904500"</f>
        <v>20190312160904500</v>
      </c>
      <c r="B31" t="str">
        <f>"1552378144495054"</f>
        <v>1552378144495054</v>
      </c>
      <c r="C31" t="s">
        <v>40</v>
      </c>
      <c r="D31">
        <v>5.4291320000000001</v>
      </c>
      <c r="E31">
        <v>0.48590850000000002</v>
      </c>
      <c r="F31" t="s">
        <v>41</v>
      </c>
      <c r="G31">
        <v>-449.41489999999999</v>
      </c>
      <c r="H31" s="1">
        <v>-9.6969519999999996E-7</v>
      </c>
      <c r="I31">
        <v>366.75700000000001</v>
      </c>
      <c r="J31">
        <v>-476.0729</v>
      </c>
      <c r="K31">
        <v>1.1101430000000001</v>
      </c>
      <c r="L31">
        <v>367.21230000000003</v>
      </c>
      <c r="M31">
        <v>0.99994349999999999</v>
      </c>
      <c r="N31">
        <v>0</v>
      </c>
      <c r="O31">
        <v>-5.6609980000000004E-3</v>
      </c>
      <c r="P31">
        <v>0.99846999999999997</v>
      </c>
      <c r="Q31">
        <v>1.0105329999999999E-2</v>
      </c>
      <c r="R31">
        <v>-5.4364419999999997E-2</v>
      </c>
      <c r="S31">
        <v>3.0033569999999998</v>
      </c>
      <c r="T31">
        <v>-0.1248909</v>
      </c>
      <c r="U31">
        <v>-5.130005E-2</v>
      </c>
      <c r="V31">
        <v>4.8713560000000003E-2</v>
      </c>
      <c r="W31">
        <v>1.9081689999999998E-2</v>
      </c>
      <c r="X31">
        <v>0.99863049999999998</v>
      </c>
      <c r="Y31">
        <v>1.1412769999999999E-2</v>
      </c>
      <c r="Z31" s="1">
        <v>-1.8805879999999999E-6</v>
      </c>
      <c r="AA31">
        <v>0.99993489999999996</v>
      </c>
      <c r="AB31">
        <v>3</v>
      </c>
      <c r="AC31">
        <v>26.658000000000001</v>
      </c>
      <c r="AD31">
        <v>-1.11014396969519</v>
      </c>
      <c r="AE31">
        <v>-0.45530000000007897</v>
      </c>
      <c r="AF31">
        <v>0.30384892435246802</v>
      </c>
      <c r="AG31">
        <v>-1.11014396969519</v>
      </c>
      <c r="AH31">
        <v>26.614009353138702</v>
      </c>
      <c r="AI31">
        <v>92.3884253246935</v>
      </c>
      <c r="AJ31">
        <v>89.345889437437194</v>
      </c>
      <c r="AK31">
        <v>26.638885818502899</v>
      </c>
      <c r="AL31">
        <v>88.906633337609904</v>
      </c>
      <c r="AM31">
        <v>87.207304670391395</v>
      </c>
      <c r="AN31">
        <v>0.99999999867568901</v>
      </c>
    </row>
    <row r="32" spans="1:40" x14ac:dyDescent="0.25">
      <c r="A32" t="str">
        <f>"20190312160904522"</f>
        <v>20190312160904522</v>
      </c>
      <c r="B32" t="str">
        <f>"1552378144514575"</f>
        <v>1552378144514575</v>
      </c>
      <c r="C32" t="s">
        <v>40</v>
      </c>
      <c r="D32">
        <v>5.4237080000000004</v>
      </c>
      <c r="E32">
        <v>0.48587269999999999</v>
      </c>
      <c r="F32" t="s">
        <v>41</v>
      </c>
      <c r="G32">
        <v>-450.46769999999998</v>
      </c>
      <c r="H32" s="1">
        <v>-4.5753220000000002E-6</v>
      </c>
      <c r="I32">
        <v>366.77670000000001</v>
      </c>
      <c r="J32">
        <v>-476.05340000000001</v>
      </c>
      <c r="K32">
        <v>1.110733</v>
      </c>
      <c r="L32">
        <v>367.21199999999999</v>
      </c>
      <c r="M32">
        <v>0.99992309999999995</v>
      </c>
      <c r="N32">
        <v>0</v>
      </c>
      <c r="O32">
        <v>-5.7722379999999998E-3</v>
      </c>
      <c r="P32">
        <v>0.99846080000000004</v>
      </c>
      <c r="Q32">
        <v>7.8819770000000001E-3</v>
      </c>
      <c r="R32">
        <v>-5.4900810000000001E-2</v>
      </c>
      <c r="S32">
        <v>3.0031430000000001</v>
      </c>
      <c r="T32">
        <v>-0.13020499999999999</v>
      </c>
      <c r="U32">
        <v>-5.1086430000000002E-2</v>
      </c>
      <c r="V32">
        <v>4.9135169999999999E-2</v>
      </c>
      <c r="W32">
        <v>1.8854280000000001E-2</v>
      </c>
      <c r="X32">
        <v>0.99861420000000001</v>
      </c>
      <c r="Y32">
        <v>1.1231359999999999E-2</v>
      </c>
      <c r="Z32" s="1">
        <v>6.7949729999999996E-6</v>
      </c>
      <c r="AA32">
        <v>0.99993690000000002</v>
      </c>
      <c r="AB32">
        <v>3</v>
      </c>
      <c r="AC32">
        <v>25.585699999999999</v>
      </c>
      <c r="AD32">
        <v>-1.1107375753219999</v>
      </c>
      <c r="AE32">
        <v>-0.43529999999998298</v>
      </c>
      <c r="AF32">
        <v>0.287056259281538</v>
      </c>
      <c r="AG32">
        <v>-1.1107375753219999</v>
      </c>
      <c r="AH32">
        <v>25.539667369025199</v>
      </c>
      <c r="AI32">
        <v>92.490106226014007</v>
      </c>
      <c r="AJ32">
        <v>89.356044095199906</v>
      </c>
      <c r="AK32">
        <v>25.565420954439201</v>
      </c>
      <c r="AL32">
        <v>88.919665354277001</v>
      </c>
      <c r="AM32">
        <v>87.183127085510606</v>
      </c>
      <c r="AN32">
        <v>1.0000000346234399</v>
      </c>
    </row>
    <row r="33" spans="1:40" x14ac:dyDescent="0.25">
      <c r="A33" t="str">
        <f>"20190312160904544"</f>
        <v>20190312160904544</v>
      </c>
      <c r="B33" t="str">
        <f>"1552378144535070"</f>
        <v>1552378144535070</v>
      </c>
      <c r="C33" t="s">
        <v>40</v>
      </c>
      <c r="D33">
        <v>5.4583250000000003</v>
      </c>
      <c r="E33">
        <v>0.4858423</v>
      </c>
      <c r="F33" t="s">
        <v>41</v>
      </c>
      <c r="G33">
        <v>-451.6902</v>
      </c>
      <c r="H33" s="1">
        <v>-4.0488549999999997E-6</v>
      </c>
      <c r="I33">
        <v>366.78800000000001</v>
      </c>
      <c r="J33">
        <v>-476.02969999999999</v>
      </c>
      <c r="K33">
        <v>1.1105640000000001</v>
      </c>
      <c r="L33">
        <v>367.21159999999998</v>
      </c>
      <c r="M33">
        <v>0.99992409999999998</v>
      </c>
      <c r="N33">
        <v>0</v>
      </c>
      <c r="O33">
        <v>-5.9239719999999996E-3</v>
      </c>
      <c r="P33">
        <v>0.99841829999999998</v>
      </c>
      <c r="Q33">
        <v>8.8736159999999904E-3</v>
      </c>
      <c r="R33">
        <v>-5.5518140000000001E-2</v>
      </c>
      <c r="S33">
        <v>3.002869</v>
      </c>
      <c r="T33">
        <v>-0.13690289999999999</v>
      </c>
      <c r="U33">
        <v>-5.2246090000000002E-2</v>
      </c>
      <c r="V33">
        <v>4.9601439999999997E-2</v>
      </c>
      <c r="W33">
        <v>1.967238E-2</v>
      </c>
      <c r="X33">
        <v>0.99857530000000005</v>
      </c>
      <c r="Y33">
        <v>1.146662E-2</v>
      </c>
      <c r="Z33" s="1">
        <v>8.6984070000000004E-6</v>
      </c>
      <c r="AA33">
        <v>0.99993430000000005</v>
      </c>
      <c r="AB33">
        <v>2</v>
      </c>
      <c r="AC33">
        <v>24.339499999999902</v>
      </c>
      <c r="AD33">
        <v>-1.1105680488549901</v>
      </c>
      <c r="AE33">
        <v>-0.42359999999996401</v>
      </c>
      <c r="AF33">
        <v>0.27881733207495502</v>
      </c>
      <c r="AG33">
        <v>-1.1105680488549901</v>
      </c>
      <c r="AH33">
        <v>24.291025400499201</v>
      </c>
      <c r="AI33">
        <v>92.617526398604198</v>
      </c>
      <c r="AJ33">
        <v>89.342376264141095</v>
      </c>
      <c r="AK33">
        <v>24.317997769213999</v>
      </c>
      <c r="AL33">
        <v>88.872782902520001</v>
      </c>
      <c r="AM33">
        <v>87.156329342310002</v>
      </c>
      <c r="AN33">
        <v>0.99999996757751297</v>
      </c>
    </row>
    <row r="34" spans="1:40" x14ac:dyDescent="0.25">
      <c r="A34" t="str">
        <f>"20190312160904566"</f>
        <v>20190312160904566</v>
      </c>
      <c r="B34" t="str">
        <f>"1552378144554590"</f>
        <v>1552378144554590</v>
      </c>
      <c r="C34" t="s">
        <v>40</v>
      </c>
      <c r="D34">
        <v>5.5117690000000001</v>
      </c>
      <c r="E34">
        <v>0.48582039999999999</v>
      </c>
      <c r="F34" t="s">
        <v>41</v>
      </c>
      <c r="G34">
        <v>-451.16660000000002</v>
      </c>
      <c r="H34" s="1">
        <v>-4.2771110000000002E-6</v>
      </c>
      <c r="I34">
        <v>366.76760000000002</v>
      </c>
      <c r="J34">
        <v>-476.00020000000001</v>
      </c>
      <c r="K34">
        <v>1.1100399999999999</v>
      </c>
      <c r="L34">
        <v>367.21120000000002</v>
      </c>
      <c r="M34">
        <v>0.99993739999999998</v>
      </c>
      <c r="N34">
        <v>0</v>
      </c>
      <c r="O34">
        <v>-6.215071E-3</v>
      </c>
      <c r="P34">
        <v>0.99836239999999998</v>
      </c>
      <c r="Q34">
        <v>1.113398E-2</v>
      </c>
      <c r="R34">
        <v>-5.6117840000000002E-2</v>
      </c>
      <c r="S34">
        <v>3.0029599999999999</v>
      </c>
      <c r="T34">
        <v>-0.13413410000000001</v>
      </c>
      <c r="U34">
        <v>-5.3619380000000001E-2</v>
      </c>
      <c r="V34">
        <v>4.9912369999999998E-2</v>
      </c>
      <c r="W34">
        <v>2.0438029999999999E-2</v>
      </c>
      <c r="X34">
        <v>0.99854449999999995</v>
      </c>
      <c r="Y34">
        <v>1.163257E-2</v>
      </c>
      <c r="Z34" s="1">
        <v>1.7809249999999999E-5</v>
      </c>
      <c r="AA34">
        <v>0.9999323</v>
      </c>
      <c r="AB34">
        <v>3</v>
      </c>
      <c r="AC34">
        <v>24.833599999999901</v>
      </c>
      <c r="AD34">
        <v>-1.110044277111</v>
      </c>
      <c r="AE34">
        <v>-0.44360000000000299</v>
      </c>
      <c r="AF34">
        <v>0.28866558591361102</v>
      </c>
      <c r="AG34">
        <v>-1.110044277111</v>
      </c>
      <c r="AH34">
        <v>24.786369428155499</v>
      </c>
      <c r="AI34">
        <v>92.564073734692101</v>
      </c>
      <c r="AJ34">
        <v>89.332755363178293</v>
      </c>
      <c r="AK34">
        <v>24.812892526802202</v>
      </c>
      <c r="AL34">
        <v>88.828905644189504</v>
      </c>
      <c r="AM34">
        <v>87.138445018337805</v>
      </c>
      <c r="AN34">
        <v>1.00000003811477</v>
      </c>
    </row>
    <row r="35" spans="1:40" x14ac:dyDescent="0.25">
      <c r="A35" t="str">
        <f>"20190312160904593"</f>
        <v>20190312160904593</v>
      </c>
      <c r="B35" t="str">
        <f>"1552378144584378"</f>
        <v>1552378144584378</v>
      </c>
      <c r="C35" t="s">
        <v>40</v>
      </c>
      <c r="D35">
        <v>5.462701</v>
      </c>
      <c r="E35">
        <v>0.48579460000000002</v>
      </c>
      <c r="F35" t="s">
        <v>41</v>
      </c>
      <c r="G35">
        <v>-449.96839999999997</v>
      </c>
      <c r="H35" s="1">
        <v>-4.7978559999999999E-6</v>
      </c>
      <c r="I35">
        <v>366.72969999999998</v>
      </c>
      <c r="J35">
        <v>-475.96190000000001</v>
      </c>
      <c r="K35">
        <v>1.1095980000000001</v>
      </c>
      <c r="L35">
        <v>367.2106</v>
      </c>
      <c r="M35">
        <v>0.99994700000000003</v>
      </c>
      <c r="N35">
        <v>0</v>
      </c>
      <c r="O35">
        <v>-6.6572740000000004E-3</v>
      </c>
      <c r="P35">
        <v>0.99826910000000002</v>
      </c>
      <c r="Q35">
        <v>1.2850250000000001E-2</v>
      </c>
      <c r="R35">
        <v>-5.7392329999999998E-2</v>
      </c>
      <c r="S35">
        <v>3.0032350000000001</v>
      </c>
      <c r="T35">
        <v>-0.12806339999999999</v>
      </c>
      <c r="U35">
        <v>-5.5541989999999999E-2</v>
      </c>
      <c r="V35">
        <v>5.0748679999999997E-2</v>
      </c>
      <c r="W35">
        <v>2.0708339999999999E-2</v>
      </c>
      <c r="X35">
        <v>0.99849670000000001</v>
      </c>
      <c r="Y35">
        <v>1.182945E-2</v>
      </c>
      <c r="Z35" s="1">
        <v>3.1649510000000003E-5</v>
      </c>
      <c r="AA35">
        <v>0.99992999999999999</v>
      </c>
      <c r="AB35">
        <v>3</v>
      </c>
      <c r="AC35">
        <v>25.993500000000001</v>
      </c>
      <c r="AD35">
        <v>-1.1096027978559999</v>
      </c>
      <c r="AE35">
        <v>-0.48090000000001898</v>
      </c>
      <c r="AF35">
        <v>0.30727841072310402</v>
      </c>
      <c r="AG35">
        <v>-1.1096027978559999</v>
      </c>
      <c r="AH35">
        <v>25.948856668805099</v>
      </c>
      <c r="AI35">
        <v>92.448369962150196</v>
      </c>
      <c r="AJ35">
        <v>89.321552643443496</v>
      </c>
      <c r="AK35">
        <v>25.974387400069599</v>
      </c>
      <c r="AL35">
        <v>88.813414653456704</v>
      </c>
      <c r="AM35">
        <v>87.090440706696498</v>
      </c>
      <c r="AN35">
        <v>0.99999996188909301</v>
      </c>
    </row>
    <row r="36" spans="1:40" x14ac:dyDescent="0.25">
      <c r="A36" t="str">
        <f>"20190312160904614"</f>
        <v>20190312160904614</v>
      </c>
      <c r="B36" t="str">
        <f>"1552378144604873"</f>
        <v>1552378144604873</v>
      </c>
      <c r="C36" t="s">
        <v>40</v>
      </c>
      <c r="D36">
        <v>5.4458900000000003</v>
      </c>
      <c r="E36">
        <v>0.48577550000000003</v>
      </c>
      <c r="F36" t="s">
        <v>41</v>
      </c>
      <c r="G36">
        <v>-448.95</v>
      </c>
      <c r="H36" s="1">
        <v>-1.168573E-6</v>
      </c>
      <c r="I36">
        <v>366.68060000000003</v>
      </c>
      <c r="J36">
        <v>-475.93270000000001</v>
      </c>
      <c r="K36">
        <v>1.1096760000000001</v>
      </c>
      <c r="L36">
        <v>367.21010000000001</v>
      </c>
      <c r="M36">
        <v>0.9999441</v>
      </c>
      <c r="N36">
        <v>0</v>
      </c>
      <c r="O36">
        <v>-6.9630359999999997E-3</v>
      </c>
      <c r="P36">
        <v>0.99826309999999996</v>
      </c>
      <c r="Q36">
        <v>1.2712350000000001E-2</v>
      </c>
      <c r="R36">
        <v>-5.7525920000000001E-2</v>
      </c>
      <c r="S36">
        <v>3.0034179999999999</v>
      </c>
      <c r="T36">
        <v>-0.12337480000000001</v>
      </c>
      <c r="U36">
        <v>-5.892944E-2</v>
      </c>
      <c r="V36">
        <v>5.0577610000000002E-2</v>
      </c>
      <c r="W36">
        <v>2.065351E-2</v>
      </c>
      <c r="X36">
        <v>0.99850649999999996</v>
      </c>
      <c r="Y36">
        <v>1.2649830000000001E-2</v>
      </c>
      <c r="Z36" s="1">
        <v>2.6201710000000001E-5</v>
      </c>
      <c r="AA36">
        <v>0.99992000000000003</v>
      </c>
      <c r="AB36">
        <v>3</v>
      </c>
      <c r="AC36">
        <v>26.982700000000001</v>
      </c>
      <c r="AD36">
        <v>-1.109677168573</v>
      </c>
      <c r="AE36">
        <v>-0.52949999999998398</v>
      </c>
      <c r="AF36">
        <v>0.34102315061809102</v>
      </c>
      <c r="AG36">
        <v>-1.109677168573</v>
      </c>
      <c r="AH36">
        <v>26.940186291162401</v>
      </c>
      <c r="AI36">
        <v>92.358514227619693</v>
      </c>
      <c r="AJ36">
        <v>89.274758403921595</v>
      </c>
      <c r="AK36">
        <v>26.965187142132802</v>
      </c>
      <c r="AL36">
        <v>88.816556834778495</v>
      </c>
      <c r="AM36">
        <v>87.100260257068697</v>
      </c>
      <c r="AN36">
        <v>0.99999994632543898</v>
      </c>
    </row>
    <row r="37" spans="1:40" x14ac:dyDescent="0.25">
      <c r="A37" t="str">
        <f>"20190312160904637"</f>
        <v>20190312160904637</v>
      </c>
      <c r="B37" t="str">
        <f>"1552378144624393"</f>
        <v>1552378144624393</v>
      </c>
      <c r="C37" t="s">
        <v>40</v>
      </c>
      <c r="D37">
        <v>5.4642429999999997</v>
      </c>
      <c r="E37">
        <v>0.48573769999999999</v>
      </c>
      <c r="F37" t="s">
        <v>41</v>
      </c>
      <c r="G37">
        <v>-449.0813</v>
      </c>
      <c r="H37" s="1">
        <v>-1.1179440000000001E-6</v>
      </c>
      <c r="I37">
        <v>366.68130000000002</v>
      </c>
      <c r="J37">
        <v>-475.90640000000002</v>
      </c>
      <c r="K37">
        <v>1.110201</v>
      </c>
      <c r="L37">
        <v>367.20960000000002</v>
      </c>
      <c r="M37">
        <v>0.99992859999999995</v>
      </c>
      <c r="N37">
        <v>0</v>
      </c>
      <c r="O37">
        <v>-7.1698730000000002E-3</v>
      </c>
      <c r="P37">
        <v>0.99828490000000003</v>
      </c>
      <c r="Q37">
        <v>1.131531E-2</v>
      </c>
      <c r="R37">
        <v>-5.7441150000000003E-2</v>
      </c>
      <c r="S37">
        <v>3.003387</v>
      </c>
      <c r="T37">
        <v>-0.1241198</v>
      </c>
      <c r="U37">
        <v>-5.9143069999999999E-2</v>
      </c>
      <c r="V37">
        <v>5.0284080000000002E-2</v>
      </c>
      <c r="W37">
        <v>2.085946E-2</v>
      </c>
      <c r="X37">
        <v>0.99851710000000005</v>
      </c>
      <c r="Y37">
        <v>1.251443E-2</v>
      </c>
      <c r="Z37" s="1">
        <v>3.7703809999999997E-5</v>
      </c>
      <c r="AA37">
        <v>0.99992170000000002</v>
      </c>
      <c r="AB37">
        <v>3</v>
      </c>
      <c r="AC37">
        <v>26.825099999999999</v>
      </c>
      <c r="AD37">
        <v>-1.110202117944</v>
      </c>
      <c r="AE37">
        <v>-0.52830000000000099</v>
      </c>
      <c r="AF37">
        <v>0.33537085018051499</v>
      </c>
      <c r="AG37">
        <v>-1.110202117944</v>
      </c>
      <c r="AH37">
        <v>26.782341878052801</v>
      </c>
      <c r="AI37">
        <v>92.373523619014094</v>
      </c>
      <c r="AJ37">
        <v>89.282574685578695</v>
      </c>
      <c r="AK37">
        <v>26.807440363129398</v>
      </c>
      <c r="AL37">
        <v>88.804754292602397</v>
      </c>
      <c r="AM37">
        <v>87.1170911396283</v>
      </c>
      <c r="AN37">
        <v>1.0000000023826701</v>
      </c>
    </row>
    <row r="38" spans="1:40" x14ac:dyDescent="0.25">
      <c r="A38" t="str">
        <f>"20190312160904682"</f>
        <v>20190312160904682</v>
      </c>
      <c r="B38" t="str">
        <f>"1552378144675145"</f>
        <v>1552378144675145</v>
      </c>
      <c r="C38" t="s">
        <v>40</v>
      </c>
      <c r="D38">
        <v>5.4794049999999999</v>
      </c>
      <c r="E38">
        <v>0.48563420000000002</v>
      </c>
      <c r="F38" t="s">
        <v>41</v>
      </c>
      <c r="G38">
        <v>-450.03739999999999</v>
      </c>
      <c r="H38" s="1">
        <v>-4.7724399999999997E-6</v>
      </c>
      <c r="I38">
        <v>366.70609999999999</v>
      </c>
      <c r="J38">
        <v>-475.85829999999999</v>
      </c>
      <c r="K38">
        <v>1.110687</v>
      </c>
      <c r="L38">
        <v>367.2088</v>
      </c>
      <c r="M38">
        <v>0.99990389999999996</v>
      </c>
      <c r="N38">
        <v>0</v>
      </c>
      <c r="O38">
        <v>-7.4281809999999998E-3</v>
      </c>
      <c r="P38">
        <v>0.99844580000000005</v>
      </c>
      <c r="Q38">
        <v>9.4157479999999998E-3</v>
      </c>
      <c r="R38">
        <v>-5.4930909999999999E-2</v>
      </c>
      <c r="S38">
        <v>3.0032649999999999</v>
      </c>
      <c r="T38">
        <v>-0.12888910000000001</v>
      </c>
      <c r="U38">
        <v>-5.8441159999999999E-2</v>
      </c>
      <c r="V38">
        <v>4.7511440000000002E-2</v>
      </c>
      <c r="W38">
        <v>2.1116889999999999E-2</v>
      </c>
      <c r="X38">
        <v>0.99864750000000002</v>
      </c>
      <c r="Y38">
        <v>1.202347E-2</v>
      </c>
      <c r="Z38" s="1">
        <v>6.0768769999999998E-5</v>
      </c>
      <c r="AA38">
        <v>0.99992769999999997</v>
      </c>
      <c r="AB38">
        <v>3</v>
      </c>
      <c r="AC38">
        <v>25.820899999999899</v>
      </c>
      <c r="AD38">
        <v>-1.1106917724400001</v>
      </c>
      <c r="AE38">
        <v>-0.50270000000000403</v>
      </c>
      <c r="AF38">
        <v>0.31029674167590598</v>
      </c>
      <c r="AG38">
        <v>-1.1106917724400001</v>
      </c>
      <c r="AH38">
        <v>25.776245963959099</v>
      </c>
      <c r="AI38">
        <v>92.467155485455905</v>
      </c>
      <c r="AJ38">
        <v>89.3103016245677</v>
      </c>
      <c r="AK38">
        <v>25.802030468081</v>
      </c>
      <c r="AL38">
        <v>88.790001441475198</v>
      </c>
      <c r="AM38">
        <v>87.276162097081396</v>
      </c>
      <c r="AN38">
        <v>1.00000004461519</v>
      </c>
    </row>
    <row r="39" spans="1:40" x14ac:dyDescent="0.25">
      <c r="A39" t="str">
        <f>"20190312160904703"</f>
        <v>20190312160904703</v>
      </c>
      <c r="B39" t="str">
        <f>"1552378144695174"</f>
        <v>1552378144695174</v>
      </c>
      <c r="C39" t="s">
        <v>40</v>
      </c>
      <c r="D39">
        <v>5.4666610000000002</v>
      </c>
      <c r="E39">
        <v>0.48559980000000003</v>
      </c>
      <c r="F39" t="s">
        <v>41</v>
      </c>
      <c r="G39">
        <v>-450.98230000000001</v>
      </c>
      <c r="H39" s="1">
        <v>-4.3513729999999999E-6</v>
      </c>
      <c r="I39">
        <v>366.7946</v>
      </c>
      <c r="J39">
        <v>-475.82839999999999</v>
      </c>
      <c r="K39">
        <v>1.110158</v>
      </c>
      <c r="L39">
        <v>367.20830000000001</v>
      </c>
      <c r="M39">
        <v>0.99991799999999997</v>
      </c>
      <c r="N39">
        <v>0</v>
      </c>
      <c r="O39">
        <v>-7.6845969999999996E-3</v>
      </c>
      <c r="P39">
        <v>0.99847160000000001</v>
      </c>
      <c r="Q39">
        <v>1.089144E-2</v>
      </c>
      <c r="R39">
        <v>-5.4188170000000001E-2</v>
      </c>
      <c r="S39">
        <v>3.0031129999999999</v>
      </c>
      <c r="T39">
        <v>-0.13408629999999999</v>
      </c>
      <c r="U39">
        <v>-4.9987789999999997E-2</v>
      </c>
      <c r="V39">
        <v>4.6513880000000001E-2</v>
      </c>
      <c r="W39">
        <v>2.113168E-2</v>
      </c>
      <c r="X39">
        <v>0.99869410000000003</v>
      </c>
      <c r="Y39">
        <v>8.9573259999999998E-3</v>
      </c>
      <c r="Z39">
        <v>1.430708E-4</v>
      </c>
      <c r="AA39">
        <v>0.99995990000000001</v>
      </c>
      <c r="AB39">
        <v>2</v>
      </c>
      <c r="AC39">
        <v>24.8460999999999</v>
      </c>
      <c r="AD39">
        <v>-1.1101623513729999</v>
      </c>
      <c r="AE39">
        <v>-0.41370000000000501</v>
      </c>
      <c r="AF39">
        <v>0.22230180937646599</v>
      </c>
      <c r="AG39">
        <v>-1.1101623513729999</v>
      </c>
      <c r="AH39">
        <v>24.799049455209701</v>
      </c>
      <c r="AI39">
        <v>92.563107416488094</v>
      </c>
      <c r="AJ39">
        <v>89.486407157132305</v>
      </c>
      <c r="AK39">
        <v>24.824881317395899</v>
      </c>
      <c r="AL39">
        <v>88.789153790322402</v>
      </c>
      <c r="AM39">
        <v>87.3333931718429</v>
      </c>
      <c r="AN39">
        <v>0.99999999715354304</v>
      </c>
    </row>
    <row r="40" spans="1:40" x14ac:dyDescent="0.25">
      <c r="A40" t="str">
        <f>"20190312160904725"</f>
        <v>20190312160904725</v>
      </c>
      <c r="B40" t="str">
        <f>"1552378144714693"</f>
        <v>1552378144714693</v>
      </c>
      <c r="C40" t="s">
        <v>40</v>
      </c>
      <c r="D40">
        <v>5.4870279999999996</v>
      </c>
      <c r="E40">
        <v>0.48557020000000001</v>
      </c>
      <c r="F40" t="s">
        <v>41</v>
      </c>
      <c r="G40">
        <v>-450.05099999999999</v>
      </c>
      <c r="H40" s="1">
        <v>-4.7499149999999901E-6</v>
      </c>
      <c r="I40">
        <v>366.80020000000002</v>
      </c>
      <c r="J40">
        <v>-475.79599999999999</v>
      </c>
      <c r="K40">
        <v>1.109723</v>
      </c>
      <c r="L40">
        <v>367.2079</v>
      </c>
      <c r="M40">
        <v>0.99992919999999996</v>
      </c>
      <c r="N40">
        <v>0</v>
      </c>
      <c r="O40">
        <v>-8.0148990000000007E-3</v>
      </c>
      <c r="P40">
        <v>0.9984632</v>
      </c>
      <c r="Q40">
        <v>1.166557E-2</v>
      </c>
      <c r="R40">
        <v>-5.4180569999999997E-2</v>
      </c>
      <c r="S40">
        <v>3.0034480000000001</v>
      </c>
      <c r="T40">
        <v>-0.1293503</v>
      </c>
      <c r="U40">
        <v>-4.7546390000000001E-2</v>
      </c>
      <c r="V40">
        <v>4.617831E-2</v>
      </c>
      <c r="W40">
        <v>2.045901E-2</v>
      </c>
      <c r="X40">
        <v>0.99872369999999999</v>
      </c>
      <c r="Y40">
        <v>7.8140889999999998E-3</v>
      </c>
      <c r="Z40">
        <v>1.76826199999999E-4</v>
      </c>
      <c r="AA40">
        <v>0.99996949999999996</v>
      </c>
      <c r="AB40">
        <v>3</v>
      </c>
      <c r="AC40">
        <v>25.745000000000001</v>
      </c>
      <c r="AD40">
        <v>-1.109727749915</v>
      </c>
      <c r="AE40">
        <v>-0.40769999999997703</v>
      </c>
      <c r="AF40">
        <v>0.20096205244926499</v>
      </c>
      <c r="AG40">
        <v>-1.109727749915</v>
      </c>
      <c r="AH40">
        <v>25.699702583609199</v>
      </c>
      <c r="AI40">
        <v>92.472452832400805</v>
      </c>
      <c r="AJ40">
        <v>89.551977586795502</v>
      </c>
      <c r="AK40">
        <v>25.724435743304898</v>
      </c>
      <c r="AL40">
        <v>88.827703304004501</v>
      </c>
      <c r="AM40">
        <v>87.352682037471396</v>
      </c>
      <c r="AN40">
        <v>1.0000000181731601</v>
      </c>
    </row>
    <row r="41" spans="1:40" x14ac:dyDescent="0.25">
      <c r="A41" t="str">
        <f>"20190312160904746"</f>
        <v>20190312160904746</v>
      </c>
      <c r="B41" t="str">
        <f>"1552378144735188"</f>
        <v>1552378144735188</v>
      </c>
      <c r="C41" t="s">
        <v>40</v>
      </c>
      <c r="D41">
        <v>5.499962</v>
      </c>
      <c r="E41">
        <v>0.48556860000000002</v>
      </c>
      <c r="F41" t="s">
        <v>41</v>
      </c>
      <c r="G41">
        <v>-449.58690000000001</v>
      </c>
      <c r="H41" s="1">
        <v>-8.938091E-7</v>
      </c>
      <c r="I41">
        <v>366.79410000000001</v>
      </c>
      <c r="J41">
        <v>-475.76220000000001</v>
      </c>
      <c r="K41">
        <v>1.1096079999999999</v>
      </c>
      <c r="L41">
        <v>367.20729999999998</v>
      </c>
      <c r="M41">
        <v>0.99993129999999997</v>
      </c>
      <c r="N41">
        <v>0</v>
      </c>
      <c r="O41">
        <v>-8.347007E-3</v>
      </c>
      <c r="P41">
        <v>0.99844219999999895</v>
      </c>
      <c r="Q41">
        <v>1.190517E-2</v>
      </c>
      <c r="R41">
        <v>-5.4513730000000003E-2</v>
      </c>
      <c r="S41">
        <v>3.003571</v>
      </c>
      <c r="T41">
        <v>-0.1271746</v>
      </c>
      <c r="U41">
        <v>-4.7424319999999999E-2</v>
      </c>
      <c r="V41">
        <v>4.6181130000000001E-2</v>
      </c>
      <c r="W41">
        <v>2.0133870000000002E-2</v>
      </c>
      <c r="X41">
        <v>0.99873020000000001</v>
      </c>
      <c r="Y41">
        <v>7.4413559999999997E-3</v>
      </c>
      <c r="Z41">
        <v>1.9578719999999999E-4</v>
      </c>
      <c r="AA41">
        <v>0.99997230000000004</v>
      </c>
      <c r="AB41">
        <v>3</v>
      </c>
      <c r="AC41">
        <v>26.1753</v>
      </c>
      <c r="AD41">
        <v>-1.1096088938091</v>
      </c>
      <c r="AE41">
        <v>-0.41319999999995999</v>
      </c>
      <c r="AF41">
        <v>0.19434363820886399</v>
      </c>
      <c r="AG41">
        <v>-1.1096088938091</v>
      </c>
      <c r="AH41">
        <v>26.130890747766699</v>
      </c>
      <c r="AI41">
        <v>92.431451001652704</v>
      </c>
      <c r="AJ41">
        <v>89.5738811565286</v>
      </c>
      <c r="AK41">
        <v>26.155161108634999</v>
      </c>
      <c r="AL41">
        <v>88.8463363180513</v>
      </c>
      <c r="AM41">
        <v>87.352537808025005</v>
      </c>
      <c r="AN41">
        <v>1.00000004094064</v>
      </c>
    </row>
    <row r="42" spans="1:40" x14ac:dyDescent="0.25">
      <c r="A42" t="str">
        <f>"20190312160904770"</f>
        <v>20190312160904770</v>
      </c>
      <c r="B42" t="str">
        <f>"1552378144764469"</f>
        <v>1552378144764469</v>
      </c>
      <c r="C42" t="s">
        <v>40</v>
      </c>
      <c r="D42">
        <v>5.5022919999999997</v>
      </c>
      <c r="E42">
        <v>0.4855641</v>
      </c>
      <c r="F42" t="s">
        <v>41</v>
      </c>
      <c r="G42">
        <v>-449.45310000000001</v>
      </c>
      <c r="H42" s="1">
        <v>-9.4789330000000001E-7</v>
      </c>
      <c r="I42">
        <v>366.78390000000002</v>
      </c>
      <c r="J42">
        <v>-475.7328</v>
      </c>
      <c r="K42">
        <v>1.110077</v>
      </c>
      <c r="L42">
        <v>367.20679999999999</v>
      </c>
      <c r="M42">
        <v>0.99991750000000001</v>
      </c>
      <c r="N42">
        <v>0</v>
      </c>
      <c r="O42">
        <v>-8.5710319999999993E-3</v>
      </c>
      <c r="P42">
        <v>0.99842109999999995</v>
      </c>
      <c r="Q42">
        <v>1.0271280000000001E-2</v>
      </c>
      <c r="R42">
        <v>-5.5227169999999999E-2</v>
      </c>
      <c r="S42">
        <v>3.003571</v>
      </c>
      <c r="T42">
        <v>-0.12667809999999999</v>
      </c>
      <c r="U42">
        <v>-4.8339840000000002E-2</v>
      </c>
      <c r="V42">
        <v>4.6669780000000001E-2</v>
      </c>
      <c r="W42">
        <v>1.983733E-2</v>
      </c>
      <c r="X42">
        <v>0.99871339999999997</v>
      </c>
      <c r="Y42">
        <v>7.5220699999999996E-3</v>
      </c>
      <c r="Z42">
        <v>2.027694E-4</v>
      </c>
      <c r="AA42">
        <v>0.99997170000000002</v>
      </c>
      <c r="AB42">
        <v>3</v>
      </c>
      <c r="AC42">
        <v>26.279699999999899</v>
      </c>
      <c r="AD42">
        <v>-1.1100779478933001</v>
      </c>
      <c r="AE42">
        <v>-0.42289999999997002</v>
      </c>
      <c r="AF42">
        <v>0.197278095132667</v>
      </c>
      <c r="AG42">
        <v>-1.1100779478933001</v>
      </c>
      <c r="AH42">
        <v>26.235559658658801</v>
      </c>
      <c r="AI42">
        <v>92.422783122644404</v>
      </c>
      <c r="AJ42">
        <v>89.569172933314405</v>
      </c>
      <c r="AK42">
        <v>26.259774985712699</v>
      </c>
      <c r="AL42">
        <v>88.863330180205594</v>
      </c>
      <c r="AM42">
        <v>87.324520133252193</v>
      </c>
      <c r="AN42">
        <v>1.0000000216831599</v>
      </c>
    </row>
    <row r="43" spans="1:40" x14ac:dyDescent="0.25">
      <c r="A43" t="str">
        <f>"20190312160904814"</f>
        <v>20190312160904814</v>
      </c>
      <c r="B43" t="str">
        <f>"1552378144804848"</f>
        <v>1552378144804848</v>
      </c>
      <c r="C43" t="s">
        <v>40</v>
      </c>
      <c r="D43">
        <v>5.6878089999999997</v>
      </c>
      <c r="E43">
        <v>0.51281579999999904</v>
      </c>
      <c r="F43" t="s">
        <v>41</v>
      </c>
      <c r="G43">
        <v>-450.51510000000002</v>
      </c>
      <c r="H43" s="1">
        <v>-4.5540869999999996E-6</v>
      </c>
      <c r="I43">
        <v>366.78190000000001</v>
      </c>
      <c r="J43">
        <v>-475.6832</v>
      </c>
      <c r="K43">
        <v>1.110806</v>
      </c>
      <c r="L43">
        <v>367.20589999999999</v>
      </c>
      <c r="M43">
        <v>0.99988440000000001</v>
      </c>
      <c r="N43">
        <v>0</v>
      </c>
      <c r="O43">
        <v>-8.812383E-3</v>
      </c>
      <c r="P43">
        <v>0.99839829999999996</v>
      </c>
      <c r="Q43">
        <v>6.3191069999999896E-3</v>
      </c>
      <c r="R43">
        <v>-5.6225030000000002E-2</v>
      </c>
      <c r="S43">
        <v>3.0033259999999999</v>
      </c>
      <c r="T43">
        <v>-0.13220599999999999</v>
      </c>
      <c r="U43">
        <v>-5.059814E-2</v>
      </c>
      <c r="V43">
        <v>4.7423199999999999E-2</v>
      </c>
      <c r="W43">
        <v>1.8702670000000001E-2</v>
      </c>
      <c r="X43">
        <v>0.99869980000000003</v>
      </c>
      <c r="Y43">
        <v>8.0332700000000003E-3</v>
      </c>
      <c r="Z43">
        <v>2.1100979999999999E-4</v>
      </c>
      <c r="AA43">
        <v>0.99996770000000001</v>
      </c>
      <c r="AB43">
        <v>3</v>
      </c>
      <c r="AC43">
        <v>25.1680999999999</v>
      </c>
      <c r="AD43">
        <v>-1.1108105540869999</v>
      </c>
      <c r="AE43">
        <v>-0.42399999999997801</v>
      </c>
      <c r="AF43">
        <v>0.20178261734688199</v>
      </c>
      <c r="AG43">
        <v>-1.1108105540869999</v>
      </c>
      <c r="AH43">
        <v>25.121936773308999</v>
      </c>
      <c r="AI43">
        <v>92.531702833555698</v>
      </c>
      <c r="AJ43">
        <v>89.539802848756693</v>
      </c>
      <c r="AK43">
        <v>25.147292569059399</v>
      </c>
      <c r="AL43">
        <v>88.928353483585497</v>
      </c>
      <c r="AM43">
        <v>87.281355475940799</v>
      </c>
      <c r="AN43">
        <v>1.0000000201417001</v>
      </c>
    </row>
    <row r="44" spans="1:40" x14ac:dyDescent="0.25">
      <c r="A44" t="str">
        <f>"20190312160904837"</f>
        <v>20190312160904837</v>
      </c>
      <c r="B44" t="str">
        <f>"1552378144824368"</f>
        <v>1552378144824368</v>
      </c>
      <c r="C44" t="s">
        <v>40</v>
      </c>
      <c r="D44">
        <v>5.6325989999999999</v>
      </c>
      <c r="E44">
        <v>0.51638439999999997</v>
      </c>
      <c r="F44" t="s">
        <v>42</v>
      </c>
      <c r="G44">
        <v>-474.95260000000002</v>
      </c>
      <c r="H44">
        <v>1.0208710000000001</v>
      </c>
      <c r="I44">
        <v>367.1397</v>
      </c>
      <c r="J44">
        <v>-475.65199999999999</v>
      </c>
      <c r="K44">
        <v>1.1103479999999999</v>
      </c>
      <c r="L44">
        <v>367.20549999999997</v>
      </c>
      <c r="M44">
        <v>0.99989640000000002</v>
      </c>
      <c r="N44">
        <v>0</v>
      </c>
      <c r="O44">
        <v>-9.0107499999999997E-3</v>
      </c>
      <c r="P44">
        <v>0.99838859999999996</v>
      </c>
      <c r="Q44">
        <v>7.5789539999999997E-3</v>
      </c>
      <c r="R44">
        <v>-5.6239770000000001E-2</v>
      </c>
      <c r="S44">
        <v>2.9918819999999999</v>
      </c>
      <c r="T44">
        <v>-0.36837029999999998</v>
      </c>
      <c r="U44">
        <v>-0.2704163</v>
      </c>
      <c r="V44">
        <v>4.7240890000000001E-2</v>
      </c>
      <c r="W44">
        <v>1.8791829999999999E-2</v>
      </c>
      <c r="X44">
        <v>0.99870680000000001</v>
      </c>
      <c r="Y44">
        <v>8.0502619999999997E-2</v>
      </c>
      <c r="Z44">
        <v>-3.8243190000000001E-3</v>
      </c>
      <c r="AA44">
        <v>0.9967471</v>
      </c>
      <c r="AB44">
        <v>2</v>
      </c>
      <c r="AC44">
        <v>0.69939999999996805</v>
      </c>
      <c r="AD44">
        <v>-8.9477000000000001E-2</v>
      </c>
      <c r="AE44">
        <v>-6.5799999999967398E-2</v>
      </c>
      <c r="AF44">
        <v>5.8545007971347103E-2</v>
      </c>
      <c r="AG44">
        <v>-8.9477000000000001E-2</v>
      </c>
      <c r="AH44">
        <v>0.68878996521699298</v>
      </c>
      <c r="AI44">
        <v>97.3752393065554</v>
      </c>
      <c r="AJ44">
        <v>85.141713739596796</v>
      </c>
      <c r="AK44">
        <v>0.69704036301421701</v>
      </c>
      <c r="AL44">
        <v>88.923244129919695</v>
      </c>
      <c r="AM44">
        <v>87.291810181901397</v>
      </c>
      <c r="AN44">
        <v>1.00000005346448</v>
      </c>
    </row>
    <row r="45" spans="1:40" x14ac:dyDescent="0.25">
      <c r="A45" t="str">
        <f>"20190312160904863"</f>
        <v>20190312160904863</v>
      </c>
      <c r="B45" t="str">
        <f>"1552378144854624"</f>
        <v>1552378144854624</v>
      </c>
      <c r="C45" t="s">
        <v>40</v>
      </c>
      <c r="D45">
        <v>5.7797980000000004</v>
      </c>
      <c r="E45">
        <v>0.5173934</v>
      </c>
      <c r="F45" t="s">
        <v>42</v>
      </c>
      <c r="G45">
        <v>-474.92970000000003</v>
      </c>
      <c r="H45">
        <v>1.0073270000000001</v>
      </c>
      <c r="I45">
        <v>367.1327</v>
      </c>
      <c r="J45">
        <v>-475.6114</v>
      </c>
      <c r="K45">
        <v>1.1097760000000001</v>
      </c>
      <c r="L45">
        <v>367.20479999999998</v>
      </c>
      <c r="M45">
        <v>0.99991269999999999</v>
      </c>
      <c r="N45">
        <v>0</v>
      </c>
      <c r="O45">
        <v>-9.3458250000000003E-3</v>
      </c>
      <c r="P45">
        <v>0.99837600000000004</v>
      </c>
      <c r="Q45">
        <v>9.5218750000000008E-3</v>
      </c>
      <c r="R45">
        <v>-5.6167540000000002E-2</v>
      </c>
      <c r="S45">
        <v>2.9912109999999998</v>
      </c>
      <c r="T45">
        <v>-0.42658309999999999</v>
      </c>
      <c r="U45">
        <v>-0.29946899999999999</v>
      </c>
      <c r="V45">
        <v>4.6835740000000001E-2</v>
      </c>
      <c r="W45">
        <v>1.8850470000000001E-2</v>
      </c>
      <c r="X45">
        <v>0.99872470000000002</v>
      </c>
      <c r="Y45">
        <v>8.9511300000000002E-2</v>
      </c>
      <c r="Z45">
        <v>-5.0122220000000002E-3</v>
      </c>
      <c r="AA45">
        <v>0.9959732</v>
      </c>
      <c r="AB45">
        <v>3</v>
      </c>
      <c r="AC45">
        <v>0.68169999999997799</v>
      </c>
      <c r="AD45">
        <v>-0.102449</v>
      </c>
      <c r="AE45">
        <v>-7.2099999999977599E-2</v>
      </c>
      <c r="AF45">
        <v>6.4289577464718403E-2</v>
      </c>
      <c r="AG45">
        <v>-0.102449</v>
      </c>
      <c r="AH45">
        <v>0.66743649130336202</v>
      </c>
      <c r="AI45">
        <v>98.686987877777</v>
      </c>
      <c r="AJ45">
        <v>84.4980647298202</v>
      </c>
      <c r="AK45">
        <v>0.67830702288486999</v>
      </c>
      <c r="AL45">
        <v>88.919883627286197</v>
      </c>
      <c r="AM45">
        <v>87.315050229829495</v>
      </c>
      <c r="AN45">
        <v>0.99999997657532902</v>
      </c>
    </row>
    <row r="46" spans="1:40" x14ac:dyDescent="0.25">
      <c r="A46" t="str">
        <f>"20190312160904901"</f>
        <v>20190312160904901</v>
      </c>
      <c r="B46" t="str">
        <f>"1552378144895043"</f>
        <v>1552378144895043</v>
      </c>
      <c r="C46" t="s">
        <v>40</v>
      </c>
      <c r="D46">
        <v>5.6582019999999904</v>
      </c>
      <c r="E46">
        <v>0.51839979999999997</v>
      </c>
      <c r="F46" t="s">
        <v>42</v>
      </c>
      <c r="G46">
        <v>-474.90269999999998</v>
      </c>
      <c r="H46">
        <v>0.99761560000000005</v>
      </c>
      <c r="I46">
        <v>367.13189999999997</v>
      </c>
      <c r="J46">
        <v>-475.55309999999997</v>
      </c>
      <c r="K46">
        <v>1.1099060000000001</v>
      </c>
      <c r="L46">
        <v>367.20389999999998</v>
      </c>
      <c r="M46">
        <v>0.99990849999999998</v>
      </c>
      <c r="N46">
        <v>0</v>
      </c>
      <c r="O46">
        <v>-9.7996320000000008E-3</v>
      </c>
      <c r="P46">
        <v>0.99845519999999999</v>
      </c>
      <c r="Q46">
        <v>9.3012059999999994E-3</v>
      </c>
      <c r="R46">
        <v>-5.478185E-2</v>
      </c>
      <c r="S46">
        <v>2.9921259999999998</v>
      </c>
      <c r="T46">
        <v>-0.47348269999999998</v>
      </c>
      <c r="U46">
        <v>-0.30749510000000002</v>
      </c>
      <c r="V46">
        <v>4.4996800000000003E-2</v>
      </c>
      <c r="W46">
        <v>1.8616379999999998E-2</v>
      </c>
      <c r="X46">
        <v>0.99881359999999997</v>
      </c>
      <c r="Y46">
        <v>9.1470640000000006E-2</v>
      </c>
      <c r="Z46">
        <v>-5.6369790000000003E-3</v>
      </c>
      <c r="AA46">
        <v>0.9957918</v>
      </c>
      <c r="AB46">
        <v>3</v>
      </c>
      <c r="AC46">
        <v>0.65039999999998999</v>
      </c>
      <c r="AD46">
        <v>-0.1122904</v>
      </c>
      <c r="AE46">
        <v>-7.2000000000002701E-2</v>
      </c>
      <c r="AF46">
        <v>6.3745499784369303E-2</v>
      </c>
      <c r="AG46">
        <v>-0.1122904</v>
      </c>
      <c r="AH46">
        <v>0.63245087638543596</v>
      </c>
      <c r="AI46">
        <v>100.018114625317</v>
      </c>
      <c r="AJ46">
        <v>84.244525276819303</v>
      </c>
      <c r="AK46">
        <v>0.64549727630380105</v>
      </c>
      <c r="AL46">
        <v>88.933298316619897</v>
      </c>
      <c r="AM46">
        <v>87.420555018162503</v>
      </c>
      <c r="AN46">
        <v>0.99999994457975006</v>
      </c>
    </row>
    <row r="47" spans="1:40" x14ac:dyDescent="0.25">
      <c r="A47" t="str">
        <f>"20190312160904924"</f>
        <v>20190312160904924</v>
      </c>
      <c r="B47" t="str">
        <f>"1552378144914563"</f>
        <v>1552378144914563</v>
      </c>
      <c r="C47" t="s">
        <v>40</v>
      </c>
      <c r="D47">
        <v>5.6177669999999997</v>
      </c>
      <c r="E47">
        <v>0.51917679999999999</v>
      </c>
      <c r="F47" t="s">
        <v>42</v>
      </c>
      <c r="G47">
        <v>-474.84539999999998</v>
      </c>
      <c r="H47">
        <v>0.99189769999999999</v>
      </c>
      <c r="I47">
        <v>367.1302</v>
      </c>
      <c r="J47">
        <v>-475.52440000000001</v>
      </c>
      <c r="K47">
        <v>1.1104750000000001</v>
      </c>
      <c r="L47">
        <v>367.20330000000001</v>
      </c>
      <c r="M47">
        <v>0.99988849999999996</v>
      </c>
      <c r="N47">
        <v>0</v>
      </c>
      <c r="O47">
        <v>-9.9561189999999994E-3</v>
      </c>
      <c r="P47">
        <v>0.99851420000000002</v>
      </c>
      <c r="Q47">
        <v>7.6476360000000002E-3</v>
      </c>
      <c r="R47">
        <v>-5.3955049999999997E-2</v>
      </c>
      <c r="S47">
        <v>2.9921880000000001</v>
      </c>
      <c r="T47">
        <v>-0.49896859999999998</v>
      </c>
      <c r="U47">
        <v>-0.31134030000000001</v>
      </c>
      <c r="V47">
        <v>4.4011340000000003E-2</v>
      </c>
      <c r="W47">
        <v>1.8769419999999998E-2</v>
      </c>
      <c r="X47">
        <v>0.99885469999999998</v>
      </c>
      <c r="Y47">
        <v>9.2457150000000002E-2</v>
      </c>
      <c r="Z47">
        <v>-5.991499E-3</v>
      </c>
      <c r="AA47">
        <v>0.99569859999999999</v>
      </c>
      <c r="AB47">
        <v>4</v>
      </c>
      <c r="AC47">
        <v>0.67900000000003002</v>
      </c>
      <c r="AD47">
        <v>-0.1185773</v>
      </c>
      <c r="AE47">
        <v>-7.3100000000010795E-2</v>
      </c>
      <c r="AF47">
        <v>6.4394389139213498E-2</v>
      </c>
      <c r="AG47">
        <v>-0.1185773</v>
      </c>
      <c r="AH47">
        <v>0.65980243759957502</v>
      </c>
      <c r="AI47">
        <v>100.141056507575</v>
      </c>
      <c r="AJ47">
        <v>84.425787669966098</v>
      </c>
      <c r="AK47">
        <v>0.67345858825190097</v>
      </c>
      <c r="AL47">
        <v>88.924528297741801</v>
      </c>
      <c r="AM47">
        <v>87.477076453281597</v>
      </c>
      <c r="AN47">
        <v>1.00000000044391</v>
      </c>
    </row>
    <row r="48" spans="1:40" x14ac:dyDescent="0.25">
      <c r="A48" t="str">
        <f>"20190312160904945"</f>
        <v>20190312160904945</v>
      </c>
      <c r="B48" t="str">
        <f>"1552378144935059"</f>
        <v>1552378144935059</v>
      </c>
      <c r="C48" t="s">
        <v>40</v>
      </c>
      <c r="D48">
        <v>5.7577920000000002</v>
      </c>
      <c r="E48">
        <v>0.52119979999999999</v>
      </c>
      <c r="F48" t="s">
        <v>42</v>
      </c>
      <c r="G48">
        <v>-474.79539999999997</v>
      </c>
      <c r="H48">
        <v>0.98527810000000005</v>
      </c>
      <c r="I48">
        <v>367.12610000000001</v>
      </c>
      <c r="J48">
        <v>-475.49290000000002</v>
      </c>
      <c r="K48">
        <v>1.1103050000000001</v>
      </c>
      <c r="L48">
        <v>367.20280000000002</v>
      </c>
      <c r="M48">
        <v>0.99989130000000004</v>
      </c>
      <c r="N48">
        <v>0</v>
      </c>
      <c r="O48">
        <v>-1.012882E-2</v>
      </c>
      <c r="P48">
        <v>0.99850450000000002</v>
      </c>
      <c r="Q48">
        <v>7.5897450000000002E-3</v>
      </c>
      <c r="R48">
        <v>-5.4142200000000001E-2</v>
      </c>
      <c r="S48">
        <v>2.991333</v>
      </c>
      <c r="T48">
        <v>-0.51373389999999997</v>
      </c>
      <c r="U48">
        <v>-0.31546020000000002</v>
      </c>
      <c r="V48">
        <v>4.4026540000000003E-2</v>
      </c>
      <c r="W48">
        <v>1.829457E-2</v>
      </c>
      <c r="X48">
        <v>0.9988629</v>
      </c>
      <c r="Y48">
        <v>9.3589370000000005E-2</v>
      </c>
      <c r="Z48">
        <v>-6.2345009999999999E-3</v>
      </c>
      <c r="AA48">
        <v>0.99559129999999996</v>
      </c>
      <c r="AB48">
        <v>3</v>
      </c>
      <c r="AC48">
        <v>0.69750000000004697</v>
      </c>
      <c r="AD48">
        <v>-0.125026899999999</v>
      </c>
      <c r="AE48">
        <v>-7.6700000000016602E-2</v>
      </c>
      <c r="AF48">
        <v>6.7488278028260199E-2</v>
      </c>
      <c r="AG48">
        <v>-0.125026899999999</v>
      </c>
      <c r="AH48">
        <v>0.67675636574484899</v>
      </c>
      <c r="AI48">
        <v>100.41652598751</v>
      </c>
      <c r="AJ48">
        <v>84.305112454479499</v>
      </c>
      <c r="AK48">
        <v>0.69150963259451903</v>
      </c>
      <c r="AL48">
        <v>88.951739934695794</v>
      </c>
      <c r="AM48">
        <v>87.476226940766495</v>
      </c>
      <c r="AN48">
        <v>1.0000000602561301</v>
      </c>
    </row>
    <row r="49" spans="1:40" x14ac:dyDescent="0.25">
      <c r="A49" t="str">
        <f>"20190312160904969"</f>
        <v>20190312160904969</v>
      </c>
      <c r="B49" t="str">
        <f>"1552378144964339"</f>
        <v>1552378144964339</v>
      </c>
      <c r="C49" t="s">
        <v>40</v>
      </c>
      <c r="D49">
        <v>5.675808</v>
      </c>
      <c r="E49">
        <v>0.52431319999999904</v>
      </c>
      <c r="F49" t="s">
        <v>42</v>
      </c>
      <c r="G49">
        <v>-474.76479999999998</v>
      </c>
      <c r="H49">
        <v>0.97974810000000001</v>
      </c>
      <c r="I49">
        <v>367.12169999999998</v>
      </c>
      <c r="J49">
        <v>-475.45339999999999</v>
      </c>
      <c r="K49">
        <v>1.1098170000000001</v>
      </c>
      <c r="L49">
        <v>367.20209999999997</v>
      </c>
      <c r="M49">
        <v>0.99990480000000004</v>
      </c>
      <c r="N49">
        <v>0</v>
      </c>
      <c r="O49">
        <v>-1.0390989999999999E-2</v>
      </c>
      <c r="P49">
        <v>0.99845300000000003</v>
      </c>
      <c r="Q49">
        <v>9.3377970000000001E-3</v>
      </c>
      <c r="R49">
        <v>-5.4814420000000003E-2</v>
      </c>
      <c r="S49">
        <v>2.990631</v>
      </c>
      <c r="T49">
        <v>-0.53625610000000001</v>
      </c>
      <c r="U49">
        <v>-0.33172610000000002</v>
      </c>
      <c r="V49">
        <v>4.4438169999999999E-2</v>
      </c>
      <c r="W49">
        <v>1.8411380000000001E-2</v>
      </c>
      <c r="X49">
        <v>0.99884249999999997</v>
      </c>
      <c r="Y49">
        <v>9.8523310000000003E-2</v>
      </c>
      <c r="Z49">
        <v>-6.8943989999999998E-3</v>
      </c>
      <c r="AA49">
        <v>0.99511090000000002</v>
      </c>
      <c r="AB49">
        <v>3</v>
      </c>
      <c r="AC49">
        <v>0.68860000000000798</v>
      </c>
      <c r="AD49">
        <v>-0.13006889999999999</v>
      </c>
      <c r="AE49">
        <v>-8.0399999999997293E-2</v>
      </c>
      <c r="AF49">
        <v>7.0749794866520499E-2</v>
      </c>
      <c r="AG49">
        <v>-0.13006889999999999</v>
      </c>
      <c r="AH49">
        <v>0.66595715644636799</v>
      </c>
      <c r="AI49">
        <v>100.99105357112199</v>
      </c>
      <c r="AJ49">
        <v>83.935771170942999</v>
      </c>
      <c r="AK49">
        <v>0.68221872331606204</v>
      </c>
      <c r="AL49">
        <v>88.945046060825803</v>
      </c>
      <c r="AM49">
        <v>87.452609683907895</v>
      </c>
      <c r="AN49">
        <v>1.00000003483635</v>
      </c>
    </row>
    <row r="50" spans="1:40" x14ac:dyDescent="0.25">
      <c r="A50" t="str">
        <f>"20190312160904993"</f>
        <v>20190312160904993</v>
      </c>
      <c r="B50" t="str">
        <f>"1552378144984366"</f>
        <v>1552378144984366</v>
      </c>
      <c r="C50" t="s">
        <v>40</v>
      </c>
      <c r="D50">
        <v>5.8371329999999997</v>
      </c>
      <c r="E50">
        <v>0.52454699999999999</v>
      </c>
      <c r="F50" t="s">
        <v>42</v>
      </c>
      <c r="G50">
        <v>-474.73009999999999</v>
      </c>
      <c r="H50">
        <v>0.9775026</v>
      </c>
      <c r="I50">
        <v>367.11540000000002</v>
      </c>
      <c r="J50">
        <v>-475.4117</v>
      </c>
      <c r="K50">
        <v>1.109567</v>
      </c>
      <c r="L50">
        <v>367.20139999999998</v>
      </c>
      <c r="M50">
        <v>0.99991110000000005</v>
      </c>
      <c r="N50">
        <v>0</v>
      </c>
      <c r="O50">
        <v>-1.067797E-2</v>
      </c>
      <c r="P50">
        <v>0.99843459999999995</v>
      </c>
      <c r="Q50">
        <v>1.095339E-2</v>
      </c>
      <c r="R50">
        <v>-5.4850129999999997E-2</v>
      </c>
      <c r="S50">
        <v>2.9900509999999998</v>
      </c>
      <c r="T50">
        <v>-0.5469676</v>
      </c>
      <c r="U50">
        <v>-0.35836790000000002</v>
      </c>
      <c r="V50">
        <v>4.4188209999999999E-2</v>
      </c>
      <c r="W50">
        <v>1.8921980000000001E-2</v>
      </c>
      <c r="X50">
        <v>0.99884399999999995</v>
      </c>
      <c r="Y50">
        <v>0.1068201</v>
      </c>
      <c r="Z50">
        <v>-7.7259199999999998E-3</v>
      </c>
      <c r="AA50">
        <v>0.99424829999999997</v>
      </c>
      <c r="AB50">
        <v>4</v>
      </c>
      <c r="AC50">
        <v>0.68160000000000298</v>
      </c>
      <c r="AD50">
        <v>-0.132064399999999</v>
      </c>
      <c r="AE50">
        <v>-8.5999999999955806E-2</v>
      </c>
      <c r="AF50">
        <v>7.5911578837373997E-2</v>
      </c>
      <c r="AG50">
        <v>-0.132064399999999</v>
      </c>
      <c r="AH50">
        <v>0.65815836627066104</v>
      </c>
      <c r="AI50">
        <v>101.27334452811201</v>
      </c>
      <c r="AJ50">
        <v>83.420613021926101</v>
      </c>
      <c r="AK50">
        <v>0.67555607364674597</v>
      </c>
      <c r="AL50">
        <v>88.915785687235896</v>
      </c>
      <c r="AM50">
        <v>87.466923567179904</v>
      </c>
      <c r="AN50">
        <v>0.99999998778306198</v>
      </c>
    </row>
    <row r="51" spans="1:40" x14ac:dyDescent="0.25">
      <c r="A51" t="str">
        <f>"20190312160905017"</f>
        <v>20190312160905017</v>
      </c>
      <c r="B51" t="str">
        <f>"1552378145004861"</f>
        <v>1552378145004861</v>
      </c>
      <c r="C51" t="s">
        <v>40</v>
      </c>
      <c r="D51">
        <v>5.7700050000000003</v>
      </c>
      <c r="E51">
        <v>0.52440529999999996</v>
      </c>
      <c r="F51" t="s">
        <v>42</v>
      </c>
      <c r="G51">
        <v>-474.6943</v>
      </c>
      <c r="H51">
        <v>0.98086260000000003</v>
      </c>
      <c r="I51">
        <v>367.11419999999998</v>
      </c>
      <c r="J51">
        <v>-475.37380000000002</v>
      </c>
      <c r="K51">
        <v>1.10989</v>
      </c>
      <c r="L51">
        <v>367.20069999999998</v>
      </c>
      <c r="M51">
        <v>0.99990270000000003</v>
      </c>
      <c r="N51">
        <v>0</v>
      </c>
      <c r="O51">
        <v>-1.089506E-2</v>
      </c>
      <c r="P51">
        <v>0.99843899999999997</v>
      </c>
      <c r="Q51">
        <v>1.040224E-2</v>
      </c>
      <c r="R51">
        <v>-5.4879610000000002E-2</v>
      </c>
      <c r="S51">
        <v>2.990723</v>
      </c>
      <c r="T51">
        <v>-0.53654429999999997</v>
      </c>
      <c r="U51">
        <v>-0.3614502</v>
      </c>
      <c r="V51">
        <v>4.3999669999999998E-2</v>
      </c>
      <c r="W51">
        <v>1.9102669999999999E-2</v>
      </c>
      <c r="X51">
        <v>0.99884890000000004</v>
      </c>
      <c r="Y51">
        <v>0.1076382</v>
      </c>
      <c r="Z51">
        <v>-7.6129329999999997E-3</v>
      </c>
      <c r="AA51">
        <v>0.99416099999999996</v>
      </c>
      <c r="AB51">
        <v>4</v>
      </c>
      <c r="AC51">
        <v>0.67950000000001798</v>
      </c>
      <c r="AD51">
        <v>-0.12902739999999999</v>
      </c>
      <c r="AE51">
        <v>-8.6500000000000896E-2</v>
      </c>
      <c r="AF51">
        <v>7.6381259718966102E-2</v>
      </c>
      <c r="AG51">
        <v>-0.12902739999999999</v>
      </c>
      <c r="AH51">
        <v>0.65708758584646998</v>
      </c>
      <c r="AI51">
        <v>101.03692498810901</v>
      </c>
      <c r="AJ51">
        <v>83.369573725197398</v>
      </c>
      <c r="AK51">
        <v>0.67397793900138703</v>
      </c>
      <c r="AL51">
        <v>88.905431058835305</v>
      </c>
      <c r="AM51">
        <v>87.477729937919506</v>
      </c>
      <c r="AN51">
        <v>1.00000000399622</v>
      </c>
    </row>
    <row r="52" spans="1:40" x14ac:dyDescent="0.25">
      <c r="A52" t="str">
        <f>"20190312160905039"</f>
        <v>20190312160905039</v>
      </c>
      <c r="B52" t="str">
        <f>"1552378145035119"</f>
        <v>1552378145035119</v>
      </c>
      <c r="C52" t="s">
        <v>40</v>
      </c>
      <c r="D52">
        <v>5.7420359999999997</v>
      </c>
      <c r="E52">
        <v>0.52483709999999995</v>
      </c>
      <c r="F52" t="s">
        <v>42</v>
      </c>
      <c r="G52">
        <v>-474.6635</v>
      </c>
      <c r="H52">
        <v>0.9825026</v>
      </c>
      <c r="I52">
        <v>367.1148</v>
      </c>
      <c r="J52">
        <v>-475.3426</v>
      </c>
      <c r="K52">
        <v>1.1104750000000001</v>
      </c>
      <c r="L52">
        <v>367.2002</v>
      </c>
      <c r="M52">
        <v>0.99988330000000003</v>
      </c>
      <c r="N52">
        <v>0</v>
      </c>
      <c r="O52">
        <v>-1.103987E-2</v>
      </c>
      <c r="P52">
        <v>0.99844180000000005</v>
      </c>
      <c r="Q52">
        <v>7.6518319999999999E-3</v>
      </c>
      <c r="R52">
        <v>-5.5277079999999999E-2</v>
      </c>
      <c r="S52">
        <v>2.9904480000000002</v>
      </c>
      <c r="T52">
        <v>-0.53628589999999998</v>
      </c>
      <c r="U52">
        <v>-0.36071779999999998</v>
      </c>
      <c r="V52">
        <v>4.4250560000000001E-2</v>
      </c>
      <c r="W52">
        <v>1.8199699999999999E-2</v>
      </c>
      <c r="X52">
        <v>0.99885469999999998</v>
      </c>
      <c r="Y52">
        <v>0.1072741</v>
      </c>
      <c r="Z52">
        <v>-7.5521390000000002E-3</v>
      </c>
      <c r="AA52">
        <v>0.9942008</v>
      </c>
      <c r="AB52">
        <v>4</v>
      </c>
      <c r="AC52">
        <v>0.67910000000000503</v>
      </c>
      <c r="AD52">
        <v>-0.12797239999999999</v>
      </c>
      <c r="AE52">
        <v>-8.5399999999992801E-2</v>
      </c>
      <c r="AF52">
        <v>7.5266025550334806E-2</v>
      </c>
      <c r="AG52">
        <v>-0.12797239999999999</v>
      </c>
      <c r="AH52">
        <v>0.65703269169520095</v>
      </c>
      <c r="AI52">
        <v>100.951816989093</v>
      </c>
      <c r="AJ52">
        <v>83.464999207819801</v>
      </c>
      <c r="AK52">
        <v>0.67359770465771696</v>
      </c>
      <c r="AL52">
        <v>88.957176454837594</v>
      </c>
      <c r="AM52">
        <v>87.463381174464701</v>
      </c>
      <c r="AN52">
        <v>1.0000000264262401</v>
      </c>
    </row>
    <row r="53" spans="1:40" x14ac:dyDescent="0.25">
      <c r="A53" t="str">
        <f>"20190312160905062"</f>
        <v>20190312160905062</v>
      </c>
      <c r="B53" t="str">
        <f>"1552378145054637"</f>
        <v>1552378145054637</v>
      </c>
      <c r="C53" t="s">
        <v>40</v>
      </c>
      <c r="D53">
        <v>5.6978980000000004</v>
      </c>
      <c r="E53">
        <v>0.52528929999999996</v>
      </c>
      <c r="F53" t="s">
        <v>42</v>
      </c>
      <c r="G53">
        <v>-474.63670000000002</v>
      </c>
      <c r="H53">
        <v>0.98254180000000002</v>
      </c>
      <c r="I53">
        <v>367.11380000000003</v>
      </c>
      <c r="J53">
        <v>-475.3141</v>
      </c>
      <c r="K53">
        <v>1.111035</v>
      </c>
      <c r="L53">
        <v>367.19970000000001</v>
      </c>
      <c r="M53">
        <v>0.99985769999999996</v>
      </c>
      <c r="N53">
        <v>0</v>
      </c>
      <c r="O53">
        <v>-1.1137970000000001E-2</v>
      </c>
      <c r="P53">
        <v>0.99840810000000002</v>
      </c>
      <c r="Q53">
        <v>5.3155679999999997E-3</v>
      </c>
      <c r="R53">
        <v>-5.6154929999999999E-2</v>
      </c>
      <c r="S53">
        <v>2.9886780000000002</v>
      </c>
      <c r="T53">
        <v>-0.54155830000000005</v>
      </c>
      <c r="U53">
        <v>-0.36380000000000001</v>
      </c>
      <c r="V53">
        <v>4.5029020000000003E-2</v>
      </c>
      <c r="W53">
        <v>1.7981339999999998E-2</v>
      </c>
      <c r="X53">
        <v>0.99882380000000004</v>
      </c>
      <c r="Y53">
        <v>0.108212</v>
      </c>
      <c r="Z53">
        <v>-7.6955490000000003E-3</v>
      </c>
      <c r="AA53">
        <v>0.99409809999999998</v>
      </c>
      <c r="AB53">
        <v>3</v>
      </c>
      <c r="AC53">
        <v>0.67739999999997702</v>
      </c>
      <c r="AD53">
        <v>-0.128493199999999</v>
      </c>
      <c r="AE53">
        <v>-8.5899999999980894E-2</v>
      </c>
      <c r="AF53">
        <v>7.5669644011571002E-2</v>
      </c>
      <c r="AG53">
        <v>-0.128493199999999</v>
      </c>
      <c r="AH53">
        <v>0.65511628518502596</v>
      </c>
      <c r="AI53">
        <v>101.02551842603199</v>
      </c>
      <c r="AJ53">
        <v>83.411210773501196</v>
      </c>
      <c r="AK53">
        <v>0.67187330992212102</v>
      </c>
      <c r="AL53">
        <v>88.969689542646904</v>
      </c>
      <c r="AM53">
        <v>87.418736826045205</v>
      </c>
      <c r="AN53">
        <v>0.99999996233839705</v>
      </c>
    </row>
    <row r="54" spans="1:40" x14ac:dyDescent="0.25">
      <c r="A54" t="str">
        <f>"20190312160905106"</f>
        <v>20190312160905106</v>
      </c>
      <c r="B54" t="str">
        <f>"1552378145095160"</f>
        <v>1552378145095160</v>
      </c>
      <c r="C54" t="s">
        <v>40</v>
      </c>
      <c r="D54">
        <v>5.4399220000000001</v>
      </c>
      <c r="E54">
        <v>0.53600139999999996</v>
      </c>
      <c r="F54" t="s">
        <v>42</v>
      </c>
      <c r="G54">
        <v>-474.61200000000002</v>
      </c>
      <c r="H54">
        <v>0.9838479</v>
      </c>
      <c r="I54">
        <v>367.11279999999999</v>
      </c>
      <c r="J54">
        <v>-475.24639999999999</v>
      </c>
      <c r="K54">
        <v>1.110257</v>
      </c>
      <c r="L54">
        <v>367.19869999999997</v>
      </c>
      <c r="M54">
        <v>0.99987590000000004</v>
      </c>
      <c r="N54">
        <v>0</v>
      </c>
      <c r="O54">
        <v>-1.14057E-2</v>
      </c>
      <c r="P54">
        <v>0.99832670000000001</v>
      </c>
      <c r="Q54">
        <v>7.7211830000000004E-3</v>
      </c>
      <c r="R54">
        <v>-5.7308989999999997E-2</v>
      </c>
      <c r="S54">
        <v>2.986847</v>
      </c>
      <c r="T54">
        <v>-0.54108639999999997</v>
      </c>
      <c r="U54">
        <v>-0.36978149999999999</v>
      </c>
      <c r="V54">
        <v>4.5917909999999999E-2</v>
      </c>
      <c r="W54">
        <v>1.857777E-2</v>
      </c>
      <c r="X54">
        <v>0.9987724</v>
      </c>
      <c r="Y54">
        <v>0.1099579</v>
      </c>
      <c r="Z54">
        <v>-7.8010519999999898E-3</v>
      </c>
      <c r="AA54">
        <v>0.9939057</v>
      </c>
      <c r="AB54">
        <v>3</v>
      </c>
      <c r="AC54">
        <v>0.63440000000002705</v>
      </c>
      <c r="AD54">
        <v>-0.1264091</v>
      </c>
      <c r="AE54">
        <v>-8.5899999999980894E-2</v>
      </c>
      <c r="AF54">
        <v>7.5706501632529802E-2</v>
      </c>
      <c r="AG54">
        <v>-0.1264091</v>
      </c>
      <c r="AH54">
        <v>0.61149699354453602</v>
      </c>
      <c r="AI54">
        <v>101.59361707352799</v>
      </c>
      <c r="AJ54">
        <v>82.9423978954501</v>
      </c>
      <c r="AK54">
        <v>0.62899865505917596</v>
      </c>
      <c r="AL54">
        <v>88.935510892541501</v>
      </c>
      <c r="AM54">
        <v>87.367717409823996</v>
      </c>
      <c r="AN54">
        <v>0.99999994749934895</v>
      </c>
    </row>
    <row r="55" spans="1:40" x14ac:dyDescent="0.25">
      <c r="A55" t="str">
        <f>"20190312160905127"</f>
        <v>20190312160905127</v>
      </c>
      <c r="B55" t="str">
        <f>"1552378145114680"</f>
        <v>1552378145114680</v>
      </c>
      <c r="C55" t="s">
        <v>40</v>
      </c>
      <c r="D55">
        <v>5.7631399999999999</v>
      </c>
      <c r="E55">
        <v>0.53203020000000001</v>
      </c>
      <c r="F55" t="s">
        <v>42</v>
      </c>
      <c r="G55">
        <v>-474.51229999999998</v>
      </c>
      <c r="H55">
        <v>0.98807639999999997</v>
      </c>
      <c r="I55">
        <v>367.08539999999999</v>
      </c>
      <c r="J55">
        <v>-475.20850000000002</v>
      </c>
      <c r="K55">
        <v>1.1098619999999999</v>
      </c>
      <c r="L55">
        <v>367.19810000000001</v>
      </c>
      <c r="M55">
        <v>0.99988730000000003</v>
      </c>
      <c r="N55">
        <v>0</v>
      </c>
      <c r="O55">
        <v>-1.160627E-2</v>
      </c>
      <c r="P55">
        <v>0.99824230000000003</v>
      </c>
      <c r="Q55">
        <v>8.7357169999999901E-3</v>
      </c>
      <c r="R55">
        <v>-5.8617599999999902E-2</v>
      </c>
      <c r="S55">
        <v>2.9824519999999999</v>
      </c>
      <c r="T55">
        <v>-0.49642150000000002</v>
      </c>
      <c r="U55">
        <v>-0.45947270000000001</v>
      </c>
      <c r="V55">
        <v>4.7028420000000001E-2</v>
      </c>
      <c r="W55">
        <v>1.8241170000000001E-2</v>
      </c>
      <c r="X55">
        <v>0.99872700000000003</v>
      </c>
      <c r="Y55">
        <v>0.1390682</v>
      </c>
      <c r="Z55">
        <v>-9.5214059999999996E-3</v>
      </c>
      <c r="AA55">
        <v>0.99023700000000003</v>
      </c>
      <c r="AB55">
        <v>4</v>
      </c>
      <c r="AC55">
        <v>0.69620000000003202</v>
      </c>
      <c r="AD55">
        <v>-0.12178559999999999</v>
      </c>
      <c r="AE55">
        <v>-0.11270000000001799</v>
      </c>
      <c r="AF55">
        <v>0.101582685389035</v>
      </c>
      <c r="AG55">
        <v>-0.12178559999999999</v>
      </c>
      <c r="AH55">
        <v>0.67726594686446095</v>
      </c>
      <c r="AI55">
        <v>100.083514131521</v>
      </c>
      <c r="AJ55">
        <v>81.4698306472295</v>
      </c>
      <c r="AK55">
        <v>0.69558603861810098</v>
      </c>
      <c r="AL55">
        <v>88.954799994094998</v>
      </c>
      <c r="AM55">
        <v>87.304026937453898</v>
      </c>
      <c r="AN55">
        <v>1.00000001654983</v>
      </c>
    </row>
    <row r="56" spans="1:40" x14ac:dyDescent="0.25">
      <c r="A56" t="str">
        <f>"20190312160905158"</f>
        <v>20190312160905158</v>
      </c>
      <c r="B56" t="str">
        <f>"1552378145144937"</f>
        <v>1552378145144937</v>
      </c>
      <c r="C56" t="s">
        <v>40</v>
      </c>
      <c r="D56">
        <v>5.8249449999999996</v>
      </c>
      <c r="E56">
        <v>0.53025840000000002</v>
      </c>
      <c r="F56" t="s">
        <v>42</v>
      </c>
      <c r="G56">
        <v>-474.4769</v>
      </c>
      <c r="H56">
        <v>0.99081059999999999</v>
      </c>
      <c r="I56">
        <v>367.09219999999999</v>
      </c>
      <c r="J56">
        <v>-475.1617</v>
      </c>
      <c r="K56">
        <v>1.1100650000000001</v>
      </c>
      <c r="L56">
        <v>367.19720000000001</v>
      </c>
      <c r="M56">
        <v>0.99988060000000001</v>
      </c>
      <c r="N56">
        <v>0</v>
      </c>
      <c r="O56">
        <v>-1.182066E-2</v>
      </c>
      <c r="P56">
        <v>0.99819840000000004</v>
      </c>
      <c r="Q56">
        <v>8.3214699999999992E-3</v>
      </c>
      <c r="R56">
        <v>-5.9422290000000003E-2</v>
      </c>
      <c r="S56">
        <v>2.9842219999999999</v>
      </c>
      <c r="T56">
        <v>-0.48559000000000002</v>
      </c>
      <c r="U56">
        <v>-0.43157960000000001</v>
      </c>
      <c r="V56">
        <v>4.7619509999999997E-2</v>
      </c>
      <c r="W56">
        <v>1.8265489999999999E-2</v>
      </c>
      <c r="X56">
        <v>0.99869850000000004</v>
      </c>
      <c r="Y56">
        <v>0.12990109999999999</v>
      </c>
      <c r="Z56">
        <v>-8.5455210000000004E-3</v>
      </c>
      <c r="AA56">
        <v>0.99149010000000004</v>
      </c>
      <c r="AB56">
        <v>4</v>
      </c>
      <c r="AC56">
        <v>0.68479999999999497</v>
      </c>
      <c r="AD56">
        <v>-0.119254399999999</v>
      </c>
      <c r="AE56">
        <v>-0.105000000000018</v>
      </c>
      <c r="AF56">
        <v>9.4109038873577702E-2</v>
      </c>
      <c r="AG56">
        <v>-0.119254399999999</v>
      </c>
      <c r="AH56">
        <v>0.66625243045812399</v>
      </c>
      <c r="AI56">
        <v>100.050364325362</v>
      </c>
      <c r="AJ56">
        <v>81.960084276618602</v>
      </c>
      <c r="AK56">
        <v>0.68335234265232903</v>
      </c>
      <c r="AL56">
        <v>88.953406279717498</v>
      </c>
      <c r="AM56">
        <v>87.270114992315996</v>
      </c>
      <c r="AN56">
        <v>0.99999996987991402</v>
      </c>
    </row>
    <row r="57" spans="1:40" x14ac:dyDescent="0.25">
      <c r="A57" t="str">
        <f>"20190312160905183"</f>
        <v>20190312160905183</v>
      </c>
      <c r="B57" t="str">
        <f>"1552378145175191"</f>
        <v>1552378145175191</v>
      </c>
      <c r="C57" t="s">
        <v>40</v>
      </c>
      <c r="D57">
        <v>9.9846450000000004</v>
      </c>
      <c r="E57">
        <v>0.53055469999999905</v>
      </c>
      <c r="F57" t="s">
        <v>42</v>
      </c>
      <c r="G57">
        <v>-474.44389999999999</v>
      </c>
      <c r="H57">
        <v>0.99724460000000004</v>
      </c>
      <c r="I57">
        <v>367.0958</v>
      </c>
      <c r="J57">
        <v>-475.12509999999997</v>
      </c>
      <c r="K57">
        <v>1.1106780000000001</v>
      </c>
      <c r="L57">
        <v>367.19670000000002</v>
      </c>
      <c r="M57">
        <v>0.99985639999999998</v>
      </c>
      <c r="N57">
        <v>0</v>
      </c>
      <c r="O57">
        <v>-1.1946389999999999E-2</v>
      </c>
      <c r="P57">
        <v>0.99817990000000001</v>
      </c>
      <c r="Q57">
        <v>6.329693E-3</v>
      </c>
      <c r="R57">
        <v>-5.9971429999999999E-2</v>
      </c>
      <c r="S57">
        <v>2.9843139999999999</v>
      </c>
      <c r="T57">
        <v>-0.46912399999999999</v>
      </c>
      <c r="U57">
        <v>-0.41952509999999998</v>
      </c>
      <c r="V57">
        <v>4.8042210000000002E-2</v>
      </c>
      <c r="W57">
        <v>1.8335089999999998E-2</v>
      </c>
      <c r="X57">
        <v>0.99867700000000004</v>
      </c>
      <c r="Y57">
        <v>0.1259942</v>
      </c>
      <c r="Z57">
        <v>-7.9379919999999996E-3</v>
      </c>
      <c r="AA57">
        <v>0.99199919999999997</v>
      </c>
      <c r="AB57">
        <v>4</v>
      </c>
      <c r="AC57">
        <v>0.68119999999998904</v>
      </c>
      <c r="AD57">
        <v>-0.1134334</v>
      </c>
      <c r="AE57">
        <v>-0.100900000000024</v>
      </c>
      <c r="AF57">
        <v>9.03040564527339E-2</v>
      </c>
      <c r="AG57">
        <v>-0.1134334</v>
      </c>
      <c r="AH57">
        <v>0.66433116867848196</v>
      </c>
      <c r="AI57">
        <v>99.603061130350198</v>
      </c>
      <c r="AJ57">
        <v>82.259098585992803</v>
      </c>
      <c r="AK57">
        <v>0.67996901438602098</v>
      </c>
      <c r="AL57">
        <v>88.949417846451595</v>
      </c>
      <c r="AM57">
        <v>87.245860802241495</v>
      </c>
      <c r="AN57">
        <v>0.99999998989799599</v>
      </c>
    </row>
    <row r="58" spans="1:40" x14ac:dyDescent="0.25">
      <c r="A58" t="str">
        <f>"20190312160905244"</f>
        <v>20190312160905244</v>
      </c>
      <c r="B58" t="str">
        <f>"1552378145235235"</f>
        <v>1552378145235235</v>
      </c>
      <c r="C58" t="s">
        <v>40</v>
      </c>
      <c r="D58">
        <v>5.9641679999999999</v>
      </c>
      <c r="E58">
        <v>0.49695689999999998</v>
      </c>
      <c r="F58" t="s">
        <v>42</v>
      </c>
      <c r="G58">
        <v>-474.41789999999997</v>
      </c>
      <c r="H58">
        <v>0.99627489999999996</v>
      </c>
      <c r="I58">
        <v>367.09589999999997</v>
      </c>
      <c r="J58">
        <v>-475.02069999999998</v>
      </c>
      <c r="K58">
        <v>1.109693</v>
      </c>
      <c r="L58">
        <v>367.19499999999999</v>
      </c>
      <c r="M58">
        <v>0.99988370000000004</v>
      </c>
      <c r="N58">
        <v>0</v>
      </c>
      <c r="O58">
        <v>-1.2369700000000001E-2</v>
      </c>
      <c r="P58">
        <v>0.9981949</v>
      </c>
      <c r="Q58">
        <v>8.0872870000000003E-3</v>
      </c>
      <c r="R58">
        <v>-5.9510729999999998E-2</v>
      </c>
      <c r="S58">
        <v>2.9831240000000001</v>
      </c>
      <c r="T58">
        <v>-0.48268470000000002</v>
      </c>
      <c r="U58">
        <v>-0.42321779999999998</v>
      </c>
      <c r="V58">
        <v>4.7159949999999999E-2</v>
      </c>
      <c r="W58">
        <v>1.6999199999999999E-2</v>
      </c>
      <c r="X58">
        <v>0.99874269999999998</v>
      </c>
      <c r="Y58">
        <v>0.1267481</v>
      </c>
      <c r="Z58">
        <v>-8.1597590000000008E-3</v>
      </c>
      <c r="AA58">
        <v>0.99190140000000004</v>
      </c>
      <c r="AB58">
        <v>3</v>
      </c>
      <c r="AC58">
        <v>0.602800000000002</v>
      </c>
      <c r="AD58">
        <v>-0.11341809999999999</v>
      </c>
      <c r="AE58">
        <v>-9.9100000000021199E-2</v>
      </c>
      <c r="AF58">
        <v>8.8582269766943694E-2</v>
      </c>
      <c r="AG58">
        <v>-0.11341809999999999</v>
      </c>
      <c r="AH58">
        <v>0.58385452850015795</v>
      </c>
      <c r="AI58">
        <v>100.87181552015301</v>
      </c>
      <c r="AJ58">
        <v>81.372891969254297</v>
      </c>
      <c r="AK58">
        <v>0.60132902339302996</v>
      </c>
      <c r="AL58">
        <v>89.025970676785604</v>
      </c>
      <c r="AM58">
        <v>87.296540394082299</v>
      </c>
      <c r="AN58">
        <v>1.0000000072439601</v>
      </c>
    </row>
    <row r="59" spans="1:40" x14ac:dyDescent="0.25">
      <c r="A59" t="str">
        <f>"20190312160905286"</f>
        <v>20190312160905286</v>
      </c>
      <c r="B59" t="str">
        <f>"1552378145274275"</f>
        <v>1552378145274275</v>
      </c>
      <c r="C59" t="s">
        <v>40</v>
      </c>
      <c r="D59">
        <v>5.5885220000000002</v>
      </c>
      <c r="E59">
        <v>0.46885919999999998</v>
      </c>
      <c r="F59" t="s">
        <v>42</v>
      </c>
      <c r="G59">
        <v>-474.3725</v>
      </c>
      <c r="H59">
        <v>0.86423109999999903</v>
      </c>
      <c r="I59">
        <v>367.16059999999999</v>
      </c>
      <c r="J59">
        <v>-474.9511</v>
      </c>
      <c r="K59">
        <v>1.110282</v>
      </c>
      <c r="L59">
        <v>367.19380000000001</v>
      </c>
      <c r="M59">
        <v>0.99986589999999997</v>
      </c>
      <c r="N59">
        <v>0</v>
      </c>
      <c r="O59">
        <v>-1.2627940000000001E-2</v>
      </c>
      <c r="P59">
        <v>0.99831809999999999</v>
      </c>
      <c r="Q59">
        <v>6.2244900000000001E-3</v>
      </c>
      <c r="R59">
        <v>-5.7639070000000001E-2</v>
      </c>
      <c r="S59">
        <v>3.005341</v>
      </c>
      <c r="T59">
        <v>-1.13781</v>
      </c>
      <c r="U59">
        <v>-0.15676880000000001</v>
      </c>
      <c r="V59">
        <v>4.5027770000000002E-2</v>
      </c>
      <c r="W59">
        <v>1.6623990000000002E-2</v>
      </c>
      <c r="X59">
        <v>0.99884740000000005</v>
      </c>
      <c r="Y59">
        <v>3.7742199999999997E-2</v>
      </c>
      <c r="Z59">
        <v>-2.2833229999999999E-3</v>
      </c>
      <c r="AA59">
        <v>0.99928490000000003</v>
      </c>
      <c r="AB59">
        <v>4</v>
      </c>
      <c r="AC59">
        <v>0.57859999999999401</v>
      </c>
      <c r="AD59">
        <v>-0.24605089999999999</v>
      </c>
      <c r="AE59">
        <v>-3.3200000000022101E-2</v>
      </c>
      <c r="AF59">
        <v>2.1936469448241399E-2</v>
      </c>
      <c r="AG59">
        <v>-0.24605089999999999</v>
      </c>
      <c r="AH59">
        <v>0.49055294861236798</v>
      </c>
      <c r="AI59">
        <v>116.614438551471</v>
      </c>
      <c r="AJ59">
        <v>87.439562142111896</v>
      </c>
      <c r="AK59">
        <v>0.54923988336149798</v>
      </c>
      <c r="AL59">
        <v>89.047471651052206</v>
      </c>
      <c r="AM59">
        <v>87.418869288612598</v>
      </c>
      <c r="AN59">
        <v>0.99999999280072605</v>
      </c>
    </row>
    <row r="60" spans="1:40" x14ac:dyDescent="0.25">
      <c r="A60" t="str">
        <f>"20190312160905327"</f>
        <v>20190312160905327</v>
      </c>
      <c r="B60" t="str">
        <f>"1552378145324559"</f>
        <v>1552378145324559</v>
      </c>
      <c r="C60" t="s">
        <v>40</v>
      </c>
      <c r="D60">
        <v>5.7036309999999997</v>
      </c>
      <c r="E60">
        <v>0.47255750000000002</v>
      </c>
      <c r="F60" t="s">
        <v>41</v>
      </c>
      <c r="G60">
        <v>-463.41309999999999</v>
      </c>
      <c r="H60" s="1">
        <v>-3.1869299999999999E-6</v>
      </c>
      <c r="I60">
        <v>367.4803</v>
      </c>
      <c r="J60">
        <v>-474.89440000000002</v>
      </c>
      <c r="K60">
        <v>1.1111279999999999</v>
      </c>
      <c r="L60">
        <v>367.19290000000001</v>
      </c>
      <c r="M60">
        <v>0.99982329999999997</v>
      </c>
      <c r="N60">
        <v>0</v>
      </c>
      <c r="O60">
        <v>-1.276035E-2</v>
      </c>
      <c r="P60">
        <v>0.99840799999999996</v>
      </c>
      <c r="Q60">
        <v>3.6601479999999998E-3</v>
      </c>
      <c r="R60">
        <v>-5.6288890000000001E-2</v>
      </c>
      <c r="S60">
        <v>3.0112000000000001</v>
      </c>
      <c r="T60">
        <v>-0.28976210000000002</v>
      </c>
      <c r="U60">
        <v>7.4798580000000003E-2</v>
      </c>
      <c r="V60">
        <v>4.3542360000000002E-2</v>
      </c>
      <c r="W60">
        <v>1.7456900000000001E-2</v>
      </c>
      <c r="X60">
        <v>0.99889899999999998</v>
      </c>
      <c r="Y60">
        <v>-3.7356699999999902E-2</v>
      </c>
      <c r="Z60">
        <v>3.017994E-3</v>
      </c>
      <c r="AA60">
        <v>0.9992974</v>
      </c>
      <c r="AB60">
        <v>3</v>
      </c>
      <c r="AC60">
        <v>11.481299999999999</v>
      </c>
      <c r="AD60">
        <v>-1.11113118692999</v>
      </c>
      <c r="AE60">
        <v>0.287399999999991</v>
      </c>
      <c r="AF60">
        <v>-0.42987235135188501</v>
      </c>
      <c r="AG60">
        <v>-1.11113118692999</v>
      </c>
      <c r="AH60">
        <v>11.3702714788508</v>
      </c>
      <c r="AI60">
        <v>95.577404786631007</v>
      </c>
      <c r="AJ60">
        <v>92.165132705247999</v>
      </c>
      <c r="AK60">
        <v>11.432518368924301</v>
      </c>
      <c r="AL60">
        <v>88.9997424449097</v>
      </c>
      <c r="AM60">
        <v>87.504036822188198</v>
      </c>
      <c r="AN60">
        <v>0.99999994633648803</v>
      </c>
    </row>
    <row r="61" spans="1:40" x14ac:dyDescent="0.25">
      <c r="A61" t="str">
        <f>"20190312160905395"</f>
        <v>20190312160905395</v>
      </c>
      <c r="B61" t="str">
        <f>"1552378145384601"</f>
        <v>1552378145384601</v>
      </c>
      <c r="C61" t="s">
        <v>40</v>
      </c>
      <c r="D61">
        <v>5.7170209999999999</v>
      </c>
      <c r="E61">
        <v>0.47444120000000001</v>
      </c>
      <c r="F61" t="s">
        <v>41</v>
      </c>
      <c r="G61">
        <v>-460.65839999999997</v>
      </c>
      <c r="H61" s="1">
        <v>-4.3785399999999999E-6</v>
      </c>
      <c r="I61">
        <v>367.4248</v>
      </c>
      <c r="J61">
        <v>-474.77910000000003</v>
      </c>
      <c r="K61">
        <v>1.1099209999999999</v>
      </c>
      <c r="L61">
        <v>367.19110000000001</v>
      </c>
      <c r="M61">
        <v>0.99986209999999998</v>
      </c>
      <c r="N61">
        <v>0</v>
      </c>
      <c r="O61">
        <v>-1.3093169999999999E-2</v>
      </c>
      <c r="P61">
        <v>0.99834529999999999</v>
      </c>
      <c r="Q61">
        <v>6.625003E-3</v>
      </c>
      <c r="R61">
        <v>-5.7119459999999997E-2</v>
      </c>
      <c r="S61">
        <v>3.0083920000000002</v>
      </c>
      <c r="T61">
        <v>-0.23480690000000001</v>
      </c>
      <c r="U61">
        <v>4.9041750000000002E-2</v>
      </c>
      <c r="V61">
        <v>4.4043430000000001E-2</v>
      </c>
      <c r="W61">
        <v>1.6821369999999999E-2</v>
      </c>
      <c r="X61">
        <v>0.998888</v>
      </c>
      <c r="Y61">
        <v>-2.9261410000000002E-2</v>
      </c>
      <c r="Z61">
        <v>2.160496E-3</v>
      </c>
      <c r="AA61">
        <v>0.9995695</v>
      </c>
      <c r="AB61">
        <v>4</v>
      </c>
      <c r="AC61">
        <v>14.120699999999999</v>
      </c>
      <c r="AD61">
        <v>-1.1099253785399901</v>
      </c>
      <c r="AE61">
        <v>0.23369999999999799</v>
      </c>
      <c r="AF61">
        <v>-0.41600480318343902</v>
      </c>
      <c r="AG61">
        <v>-1.1099253785399901</v>
      </c>
      <c r="AH61">
        <v>14.029771800734499</v>
      </c>
      <c r="AI61">
        <v>94.521392055240995</v>
      </c>
      <c r="AJ61">
        <v>91.698412350372607</v>
      </c>
      <c r="AK61">
        <v>14.079754654214801</v>
      </c>
      <c r="AL61">
        <v>89.036161044365599</v>
      </c>
      <c r="AM61">
        <v>87.475323352090101</v>
      </c>
      <c r="AN61">
        <v>1.0000000093794199</v>
      </c>
    </row>
    <row r="62" spans="1:40" x14ac:dyDescent="0.25">
      <c r="A62" t="str">
        <f>"20190312160905417"</f>
        <v>20190312160905417</v>
      </c>
      <c r="B62" t="str">
        <f>"1552378145405097"</f>
        <v>1552378145405097</v>
      </c>
      <c r="C62" t="s">
        <v>40</v>
      </c>
      <c r="D62">
        <v>5.8267980000000001</v>
      </c>
      <c r="E62">
        <v>0.47457549999999998</v>
      </c>
      <c r="F62" t="s">
        <v>41</v>
      </c>
      <c r="G62">
        <v>-458.59890000000001</v>
      </c>
      <c r="H62" s="1">
        <v>-1.0627020000000001E-6</v>
      </c>
      <c r="I62">
        <v>367.36189999999999</v>
      </c>
      <c r="J62">
        <v>-474.74299999999999</v>
      </c>
      <c r="K62">
        <v>1.1101920000000001</v>
      </c>
      <c r="L62">
        <v>367.19049999999999</v>
      </c>
      <c r="M62">
        <v>0.9998534</v>
      </c>
      <c r="N62">
        <v>0</v>
      </c>
      <c r="O62">
        <v>-1.319118E-2</v>
      </c>
      <c r="P62">
        <v>0.99831369999999997</v>
      </c>
      <c r="Q62">
        <v>5.6898449999999998E-3</v>
      </c>
      <c r="R62">
        <v>-5.7772400000000002E-2</v>
      </c>
      <c r="S62">
        <v>3.0081180000000001</v>
      </c>
      <c r="T62">
        <v>-0.20634949999999999</v>
      </c>
      <c r="U62">
        <v>3.17688E-2</v>
      </c>
      <c r="V62">
        <v>4.4598489999999998E-2</v>
      </c>
      <c r="W62">
        <v>1.6598720000000001E-2</v>
      </c>
      <c r="X62">
        <v>0.99886710000000001</v>
      </c>
      <c r="Y62">
        <v>-2.3664149999999998E-2</v>
      </c>
      <c r="Z62">
        <v>1.714522E-3</v>
      </c>
      <c r="AA62">
        <v>0.99971849999999995</v>
      </c>
      <c r="AB62">
        <v>4</v>
      </c>
      <c r="AC62">
        <v>16.144100000000002</v>
      </c>
      <c r="AD62">
        <v>-1.110193062702</v>
      </c>
      <c r="AE62">
        <v>0.17140000000000499</v>
      </c>
      <c r="AF62">
        <v>-0.38254863595106903</v>
      </c>
      <c r="AG62">
        <v>-1.110193062702</v>
      </c>
      <c r="AH62">
        <v>16.064473734629999</v>
      </c>
      <c r="AI62">
        <v>93.952227681424503</v>
      </c>
      <c r="AJ62">
        <v>91.364145563785399</v>
      </c>
      <c r="AK62">
        <v>16.107333375390098</v>
      </c>
      <c r="AL62">
        <v>89.048919734557401</v>
      </c>
      <c r="AM62">
        <v>87.443494491246696</v>
      </c>
      <c r="AN62">
        <v>1.00000001313916</v>
      </c>
    </row>
    <row r="63" spans="1:40" x14ac:dyDescent="0.25">
      <c r="A63" t="str">
        <f>"20190312160905484"</f>
        <v>20190312160905484</v>
      </c>
      <c r="B63" t="str">
        <f>"1552378145474393"</f>
        <v>1552378145474393</v>
      </c>
      <c r="C63" t="s">
        <v>40</v>
      </c>
      <c r="D63">
        <v>5.8425250000000002</v>
      </c>
      <c r="E63">
        <v>0.47565059999999898</v>
      </c>
      <c r="F63" t="s">
        <v>41</v>
      </c>
      <c r="G63">
        <v>-458.51069999999999</v>
      </c>
      <c r="H63" s="1">
        <v>-1.0972419999999999E-6</v>
      </c>
      <c r="I63">
        <v>367.3449</v>
      </c>
      <c r="J63">
        <v>-474.63819999999998</v>
      </c>
      <c r="K63">
        <v>1.1101490000000001</v>
      </c>
      <c r="L63">
        <v>367.18880000000001</v>
      </c>
      <c r="M63">
        <v>0.99984910000000005</v>
      </c>
      <c r="N63">
        <v>0</v>
      </c>
      <c r="O63">
        <v>-1.342659E-2</v>
      </c>
      <c r="P63">
        <v>0.99824170000000001</v>
      </c>
      <c r="Q63">
        <v>5.6769680000000001E-3</v>
      </c>
      <c r="R63">
        <v>-5.9006219999999998E-2</v>
      </c>
      <c r="S63">
        <v>3.0079039999999999</v>
      </c>
      <c r="T63">
        <v>-0.2057214</v>
      </c>
      <c r="U63">
        <v>2.862549E-2</v>
      </c>
      <c r="V63">
        <v>4.559771E-2</v>
      </c>
      <c r="W63">
        <v>1.6705999999999999E-2</v>
      </c>
      <c r="X63">
        <v>0.99882020000000005</v>
      </c>
      <c r="Y63">
        <v>-2.2857519999999999E-2</v>
      </c>
      <c r="Z63">
        <v>1.697975E-3</v>
      </c>
      <c r="AA63">
        <v>0.99973730000000005</v>
      </c>
      <c r="AB63">
        <v>3</v>
      </c>
      <c r="AC63">
        <v>16.127499999999898</v>
      </c>
      <c r="AD63">
        <v>-1.110150097242</v>
      </c>
      <c r="AE63">
        <v>0.15609999999998</v>
      </c>
      <c r="AF63">
        <v>-0.370879214153918</v>
      </c>
      <c r="AG63">
        <v>-1.110150097242</v>
      </c>
      <c r="AH63">
        <v>16.047916161518501</v>
      </c>
      <c r="AI63">
        <v>93.956204828825804</v>
      </c>
      <c r="AJ63">
        <v>91.323912180154807</v>
      </c>
      <c r="AK63">
        <v>16.090543737146501</v>
      </c>
      <c r="AL63">
        <v>89.042772194456603</v>
      </c>
      <c r="AM63">
        <v>87.3861725149264</v>
      </c>
      <c r="AN63">
        <v>1.00000001676064</v>
      </c>
    </row>
    <row r="64" spans="1:40" x14ac:dyDescent="0.25">
      <c r="A64" t="str">
        <f>"20190312160905508"</f>
        <v>20190312160905508</v>
      </c>
      <c r="B64" t="str">
        <f>"1552378145495397"</f>
        <v>1552378145495397</v>
      </c>
      <c r="C64" t="s">
        <v>40</v>
      </c>
      <c r="D64">
        <v>5.8515180000000004</v>
      </c>
      <c r="E64">
        <v>0.47575400000000001</v>
      </c>
      <c r="F64" t="s">
        <v>41</v>
      </c>
      <c r="G64">
        <v>-457.48500000000001</v>
      </c>
      <c r="H64" s="1">
        <v>-1.475297E-6</v>
      </c>
      <c r="I64">
        <v>367.28219999999999</v>
      </c>
      <c r="J64">
        <v>-474.59289999999999</v>
      </c>
      <c r="K64">
        <v>1.1097760000000001</v>
      </c>
      <c r="L64">
        <v>367.18810000000002</v>
      </c>
      <c r="M64">
        <v>0.99986299999999995</v>
      </c>
      <c r="N64">
        <v>0</v>
      </c>
      <c r="O64">
        <v>-1.354444E-2</v>
      </c>
      <c r="P64">
        <v>0.99821519999999997</v>
      </c>
      <c r="Q64">
        <v>7.781474E-3</v>
      </c>
      <c r="R64">
        <v>-5.9213149999999999E-2</v>
      </c>
      <c r="S64">
        <v>3.0073240000000001</v>
      </c>
      <c r="T64">
        <v>-0.194631</v>
      </c>
      <c r="U64">
        <v>1.638794E-2</v>
      </c>
      <c r="V64">
        <v>4.5687909999999998E-2</v>
      </c>
      <c r="W64">
        <v>1.7286699999999999E-2</v>
      </c>
      <c r="X64">
        <v>0.99880619999999998</v>
      </c>
      <c r="Y64">
        <v>-1.8925689999999998E-2</v>
      </c>
      <c r="Z64">
        <v>1.4874689999999999E-3</v>
      </c>
      <c r="AA64">
        <v>0.99981980000000004</v>
      </c>
      <c r="AB64">
        <v>4</v>
      </c>
      <c r="AC64">
        <v>17.107899999999901</v>
      </c>
      <c r="AD64">
        <v>-1.109777475297</v>
      </c>
      <c r="AE64">
        <v>9.4099999999969E-2</v>
      </c>
      <c r="AF64">
        <v>-0.32445351430418501</v>
      </c>
      <c r="AG64">
        <v>-1.109777475297</v>
      </c>
      <c r="AH64">
        <v>17.0333812173333</v>
      </c>
      <c r="AI64">
        <v>93.727054404941498</v>
      </c>
      <c r="AJ64">
        <v>91.091243655931706</v>
      </c>
      <c r="AK64">
        <v>17.072578944688502</v>
      </c>
      <c r="AL64">
        <v>89.009495731996594</v>
      </c>
      <c r="AM64">
        <v>87.380972454699503</v>
      </c>
      <c r="AN64">
        <v>1.0000000201377399</v>
      </c>
    </row>
    <row r="65" spans="1:40" x14ac:dyDescent="0.25">
      <c r="A65" t="str">
        <f>"20190312160905529"</f>
        <v>20190312160905529</v>
      </c>
      <c r="B65" t="str">
        <f>"1552378145524676"</f>
        <v>1552378145524676</v>
      </c>
      <c r="C65" t="s">
        <v>40</v>
      </c>
      <c r="D65">
        <v>5.8651119999999999</v>
      </c>
      <c r="E65">
        <v>0.47572219999999998</v>
      </c>
      <c r="F65" t="s">
        <v>41</v>
      </c>
      <c r="G65">
        <v>-456.66930000000002</v>
      </c>
      <c r="H65" s="1">
        <v>-1.826161E-6</v>
      </c>
      <c r="I65">
        <v>367.27690000000001</v>
      </c>
      <c r="J65">
        <v>-474.55549999999999</v>
      </c>
      <c r="K65">
        <v>1.110006</v>
      </c>
      <c r="L65">
        <v>367.1875</v>
      </c>
      <c r="M65">
        <v>0.99985740000000001</v>
      </c>
      <c r="N65">
        <v>0</v>
      </c>
      <c r="O65">
        <v>-1.362729E-2</v>
      </c>
      <c r="P65">
        <v>0.9982683</v>
      </c>
      <c r="Q65">
        <v>8.0472990000000008E-3</v>
      </c>
      <c r="R65">
        <v>-5.8273829999999999E-2</v>
      </c>
      <c r="S65">
        <v>3.00766</v>
      </c>
      <c r="T65">
        <v>-0.18622469999999999</v>
      </c>
      <c r="U65">
        <v>1.49231E-2</v>
      </c>
      <c r="V65">
        <v>4.4664990000000002E-2</v>
      </c>
      <c r="W65">
        <v>1.8007559999999999E-2</v>
      </c>
      <c r="X65">
        <v>0.9988397</v>
      </c>
      <c r="Y65">
        <v>-1.8527399999999999E-2</v>
      </c>
      <c r="Z65">
        <v>1.416002E-3</v>
      </c>
      <c r="AA65">
        <v>0.99982729999999997</v>
      </c>
      <c r="AB65">
        <v>4</v>
      </c>
      <c r="AC65">
        <v>17.886199999999899</v>
      </c>
      <c r="AD65">
        <v>-1.110007826161</v>
      </c>
      <c r="AE65">
        <v>8.9400000000011901E-2</v>
      </c>
      <c r="AF65">
        <v>-0.33186614703123302</v>
      </c>
      <c r="AG65">
        <v>-1.110007826161</v>
      </c>
      <c r="AH65">
        <v>17.814711219880898</v>
      </c>
      <c r="AI65">
        <v>93.564787553544804</v>
      </c>
      <c r="AJ65">
        <v>91.067226421316505</v>
      </c>
      <c r="AK65">
        <v>17.852344057894399</v>
      </c>
      <c r="AL65">
        <v>88.968187032435196</v>
      </c>
      <c r="AM65">
        <v>87.439617460392199</v>
      </c>
      <c r="AN65">
        <v>0.99999998992247097</v>
      </c>
    </row>
    <row r="66" spans="1:40" x14ac:dyDescent="0.25">
      <c r="A66" t="str">
        <f>"20190312160905619"</f>
        <v>20190312160905619</v>
      </c>
      <c r="B66" t="str">
        <f>"1552378145614470"</f>
        <v>1552378145614470</v>
      </c>
      <c r="C66" t="s">
        <v>40</v>
      </c>
      <c r="D66">
        <v>5.8788799999999997</v>
      </c>
      <c r="E66">
        <v>0.47616760000000002</v>
      </c>
      <c r="F66" t="s">
        <v>41</v>
      </c>
      <c r="G66">
        <v>-455.74950000000001</v>
      </c>
      <c r="H66" s="1">
        <v>-2.2166429999999998E-6</v>
      </c>
      <c r="I66">
        <v>367.3</v>
      </c>
      <c r="J66">
        <v>-474.42329999999998</v>
      </c>
      <c r="K66">
        <v>1.110565</v>
      </c>
      <c r="L66">
        <v>367.18540000000002</v>
      </c>
      <c r="M66">
        <v>0.99982389999999999</v>
      </c>
      <c r="N66">
        <v>0</v>
      </c>
      <c r="O66">
        <v>-1.379523E-2</v>
      </c>
      <c r="P66">
        <v>0.99847609999999998</v>
      </c>
      <c r="Q66">
        <v>8.0091869999999992E-3</v>
      </c>
      <c r="R66">
        <v>-5.4602270000000001E-2</v>
      </c>
      <c r="S66">
        <v>3.00766</v>
      </c>
      <c r="T66">
        <v>-0.1775236</v>
      </c>
      <c r="U66">
        <v>1.800537E-2</v>
      </c>
      <c r="V66">
        <v>4.0821620000000003E-2</v>
      </c>
      <c r="W66">
        <v>2.0728839999999998E-2</v>
      </c>
      <c r="X66">
        <v>0.99895140000000004</v>
      </c>
      <c r="Y66">
        <v>-1.9723589999999999E-2</v>
      </c>
      <c r="Z66">
        <v>1.395156E-3</v>
      </c>
      <c r="AA66">
        <v>0.99980449999999998</v>
      </c>
      <c r="AB66">
        <v>3</v>
      </c>
      <c r="AC66">
        <v>18.6737999999999</v>
      </c>
      <c r="AD66">
        <v>-1.1105672166429901</v>
      </c>
      <c r="AE66">
        <v>0.114599999999995</v>
      </c>
      <c r="AF66">
        <v>-0.370907492089255</v>
      </c>
      <c r="AG66">
        <v>-1.1105672166429901</v>
      </c>
      <c r="AH66">
        <v>18.6046411700943</v>
      </c>
      <c r="AI66">
        <v>93.415427406619401</v>
      </c>
      <c r="AJ66">
        <v>91.142113887767195</v>
      </c>
      <c r="AK66">
        <v>18.641448575106399</v>
      </c>
      <c r="AL66">
        <v>88.812239876510901</v>
      </c>
      <c r="AM66">
        <v>87.659940288807803</v>
      </c>
      <c r="AN66">
        <v>0.999999994514565</v>
      </c>
    </row>
    <row r="67" spans="1:40" x14ac:dyDescent="0.25">
      <c r="A67" t="str">
        <f>"20190312160905665"</f>
        <v>20190312160905665</v>
      </c>
      <c r="B67" t="str">
        <f>"1552378145654485"</f>
        <v>1552378145654485</v>
      </c>
      <c r="C67" t="s">
        <v>40</v>
      </c>
      <c r="D67">
        <v>5.8368159999999998</v>
      </c>
      <c r="E67">
        <v>0.47634149999999997</v>
      </c>
      <c r="F67" t="s">
        <v>41</v>
      </c>
      <c r="G67">
        <v>-455.4461</v>
      </c>
      <c r="H67" s="1">
        <v>-2.3387979999999999E-6</v>
      </c>
      <c r="I67">
        <v>367.34519999999998</v>
      </c>
      <c r="J67">
        <v>-474.34190000000001</v>
      </c>
      <c r="K67">
        <v>1.110025</v>
      </c>
      <c r="L67">
        <v>367.18419999999998</v>
      </c>
      <c r="M67">
        <v>0.99984839999999997</v>
      </c>
      <c r="N67">
        <v>0</v>
      </c>
      <c r="O67">
        <v>-1.385637E-2</v>
      </c>
      <c r="P67">
        <v>0.998444</v>
      </c>
      <c r="Q67">
        <v>1.093235E-2</v>
      </c>
      <c r="R67">
        <v>-5.4685049999999999E-2</v>
      </c>
      <c r="S67">
        <v>3.0073850000000002</v>
      </c>
      <c r="T67">
        <v>-0.17599419999999999</v>
      </c>
      <c r="U67">
        <v>2.5329589999999999E-2</v>
      </c>
      <c r="V67">
        <v>4.0843890000000001E-2</v>
      </c>
      <c r="W67">
        <v>2.1470630000000001E-2</v>
      </c>
      <c r="X67">
        <v>0.99893480000000001</v>
      </c>
      <c r="Y67">
        <v>-2.221629E-2</v>
      </c>
      <c r="Z67">
        <v>1.4597029999999999E-3</v>
      </c>
      <c r="AA67">
        <v>0.99975210000000003</v>
      </c>
      <c r="AB67">
        <v>3</v>
      </c>
      <c r="AC67">
        <v>18.895800000000001</v>
      </c>
      <c r="AD67">
        <v>-1.110027338798</v>
      </c>
      <c r="AE67">
        <v>0.161000000000001</v>
      </c>
      <c r="AF67">
        <v>-0.42137227102317398</v>
      </c>
      <c r="AG67">
        <v>-1.110027338798</v>
      </c>
      <c r="AH67">
        <v>18.826789413561201</v>
      </c>
      <c r="AI67">
        <v>93.373409458582302</v>
      </c>
      <c r="AJ67">
        <v>91.282152899238298</v>
      </c>
      <c r="AK67">
        <v>18.864191339844101</v>
      </c>
      <c r="AL67">
        <v>88.769728948560299</v>
      </c>
      <c r="AM67">
        <v>87.658626238701601</v>
      </c>
      <c r="AN67">
        <v>0.99999997297698395</v>
      </c>
    </row>
    <row r="68" spans="1:40" x14ac:dyDescent="0.25">
      <c r="A68" t="str">
        <f>"20190312160905708"</f>
        <v>20190312160905708</v>
      </c>
      <c r="B68" t="str">
        <f>"1552378145694501"</f>
        <v>1552378145694501</v>
      </c>
      <c r="C68" t="s">
        <v>40</v>
      </c>
      <c r="D68">
        <v>5.7596350000000003</v>
      </c>
      <c r="E68">
        <v>0.47652749999999999</v>
      </c>
      <c r="F68" t="s">
        <v>41</v>
      </c>
      <c r="G68">
        <v>-454.3605</v>
      </c>
      <c r="H68" s="1">
        <v>-2.8050269999999999E-6</v>
      </c>
      <c r="I68">
        <v>367.34230000000002</v>
      </c>
      <c r="J68">
        <v>-474.27800000000002</v>
      </c>
      <c r="K68">
        <v>1.1108450000000001</v>
      </c>
      <c r="L68">
        <v>367.18329999999997</v>
      </c>
      <c r="M68">
        <v>0.99981529999999996</v>
      </c>
      <c r="N68">
        <v>0</v>
      </c>
      <c r="O68">
        <v>-1.387936E-2</v>
      </c>
      <c r="P68">
        <v>0.99834699999999998</v>
      </c>
      <c r="Q68">
        <v>7.7268800000000002E-3</v>
      </c>
      <c r="R68">
        <v>-5.6952959999999997E-2</v>
      </c>
      <c r="S68">
        <v>3.0078429999999998</v>
      </c>
      <c r="T68">
        <v>-0.16709360000000001</v>
      </c>
      <c r="U68">
        <v>2.3803709999999999E-2</v>
      </c>
      <c r="V68">
        <v>4.3089549999999997E-2</v>
      </c>
      <c r="W68">
        <v>2.100248E-2</v>
      </c>
      <c r="X68">
        <v>0.99885040000000003</v>
      </c>
      <c r="Y68">
        <v>-2.1738110000000001E-2</v>
      </c>
      <c r="Z68">
        <v>1.37382E-3</v>
      </c>
      <c r="AA68">
        <v>0.99976279999999995</v>
      </c>
      <c r="AB68">
        <v>3</v>
      </c>
      <c r="AC68">
        <v>19.9175</v>
      </c>
      <c r="AD68">
        <v>-1.1108478050270001</v>
      </c>
      <c r="AE68">
        <v>0.15900000000004799</v>
      </c>
      <c r="AF68">
        <v>-0.43410105160623402</v>
      </c>
      <c r="AG68">
        <v>-1.1108478050270001</v>
      </c>
      <c r="AH68">
        <v>19.851628262960499</v>
      </c>
      <c r="AI68">
        <v>93.202025493937597</v>
      </c>
      <c r="AJ68">
        <v>91.252703028130298</v>
      </c>
      <c r="AK68">
        <v>19.887422438810699</v>
      </c>
      <c r="AL68">
        <v>88.796558012677707</v>
      </c>
      <c r="AM68">
        <v>87.529840738739296</v>
      </c>
      <c r="AN68">
        <v>0.999999967532755</v>
      </c>
    </row>
    <row r="69" spans="1:40" x14ac:dyDescent="0.25">
      <c r="A69" t="str">
        <f>"20190312160905731"</f>
        <v>20190312160905731</v>
      </c>
      <c r="B69" t="str">
        <f>"1552378145724756"</f>
        <v>1552378145724756</v>
      </c>
      <c r="C69" t="s">
        <v>40</v>
      </c>
      <c r="D69">
        <v>5.718852</v>
      </c>
      <c r="E69">
        <v>0.47679169999999998</v>
      </c>
      <c r="F69" t="s">
        <v>41</v>
      </c>
      <c r="G69">
        <v>-455.14089999999999</v>
      </c>
      <c r="H69" s="1">
        <v>-2.4812590000000002E-6</v>
      </c>
      <c r="I69">
        <v>367.28</v>
      </c>
      <c r="J69">
        <v>-474.23899999999998</v>
      </c>
      <c r="K69">
        <v>1.1105229999999999</v>
      </c>
      <c r="L69">
        <v>367.18279999999999</v>
      </c>
      <c r="M69">
        <v>0.99982720000000003</v>
      </c>
      <c r="N69">
        <v>0</v>
      </c>
      <c r="O69">
        <v>-1.387268E-2</v>
      </c>
      <c r="P69">
        <v>0.998278</v>
      </c>
      <c r="Q69">
        <v>8.1521909999999996E-3</v>
      </c>
      <c r="R69">
        <v>-5.8092299999999999E-2</v>
      </c>
      <c r="S69">
        <v>3.0071720000000002</v>
      </c>
      <c r="T69">
        <v>-0.17455580000000001</v>
      </c>
      <c r="U69">
        <v>1.5197749999999999E-2</v>
      </c>
      <c r="V69">
        <v>4.4236789999999998E-2</v>
      </c>
      <c r="W69">
        <v>2.0517170000000001E-2</v>
      </c>
      <c r="X69">
        <v>0.99881039999999999</v>
      </c>
      <c r="Y69">
        <v>-1.887173E-2</v>
      </c>
      <c r="Z69">
        <v>1.351882E-3</v>
      </c>
      <c r="AA69">
        <v>0.99982099999999996</v>
      </c>
      <c r="AB69">
        <v>3</v>
      </c>
      <c r="AC69">
        <v>19.098099999999999</v>
      </c>
      <c r="AD69">
        <v>-1.110525481259</v>
      </c>
      <c r="AE69">
        <v>9.7199999999986603E-2</v>
      </c>
      <c r="AF69">
        <v>-0.36093239153895101</v>
      </c>
      <c r="AG69">
        <v>-1.110525481259</v>
      </c>
      <c r="AH69">
        <v>19.0305680162657</v>
      </c>
      <c r="AI69">
        <v>93.339098658630306</v>
      </c>
      <c r="AJ69">
        <v>91.086537389600693</v>
      </c>
      <c r="AK69">
        <v>19.066359328867801</v>
      </c>
      <c r="AL69">
        <v>88.824370297588104</v>
      </c>
      <c r="AM69">
        <v>87.464057171042001</v>
      </c>
      <c r="AN69">
        <v>1.0000000315012301</v>
      </c>
    </row>
    <row r="70" spans="1:40" x14ac:dyDescent="0.25">
      <c r="A70" t="str">
        <f>"20190312160905777"</f>
        <v>20190312160905777</v>
      </c>
      <c r="B70" t="str">
        <f>"1552378145764773"</f>
        <v>1552378145764773</v>
      </c>
      <c r="C70" t="s">
        <v>40</v>
      </c>
      <c r="D70">
        <v>5.7214600000000004</v>
      </c>
      <c r="E70">
        <v>0.50927349999999905</v>
      </c>
      <c r="F70" t="s">
        <v>41</v>
      </c>
      <c r="G70">
        <v>-455.00389999999999</v>
      </c>
      <c r="H70" s="1">
        <v>-2.5462790000000001E-6</v>
      </c>
      <c r="I70">
        <v>367.2448</v>
      </c>
      <c r="J70">
        <v>-474.15550000000002</v>
      </c>
      <c r="K70">
        <v>1.109888</v>
      </c>
      <c r="L70">
        <v>367.18169999999998</v>
      </c>
      <c r="M70">
        <v>0.99985590000000002</v>
      </c>
      <c r="N70">
        <v>0</v>
      </c>
      <c r="O70">
        <v>-1.385259E-2</v>
      </c>
      <c r="P70">
        <v>0.9982008</v>
      </c>
      <c r="Q70">
        <v>9.8476109999999992E-3</v>
      </c>
      <c r="R70">
        <v>-5.9148569999999998E-2</v>
      </c>
      <c r="S70">
        <v>3.0071110000000001</v>
      </c>
      <c r="T70">
        <v>-0.17361270000000001</v>
      </c>
      <c r="U70">
        <v>9.7045900000000008E-3</v>
      </c>
      <c r="V70">
        <v>4.531454E-2</v>
      </c>
      <c r="W70">
        <v>1.9660460000000001E-2</v>
      </c>
      <c r="X70">
        <v>0.99877930000000004</v>
      </c>
      <c r="Y70">
        <v>-1.7028649999999999E-2</v>
      </c>
      <c r="Z70">
        <v>1.2902790000000001E-3</v>
      </c>
      <c r="AA70">
        <v>0.99985409999999997</v>
      </c>
      <c r="AB70">
        <v>4</v>
      </c>
      <c r="AC70">
        <v>19.151599999999998</v>
      </c>
      <c r="AD70">
        <v>-1.1098905462790001</v>
      </c>
      <c r="AE70">
        <v>6.3100000000019904E-2</v>
      </c>
      <c r="AF70">
        <v>-0.32730672069126299</v>
      </c>
      <c r="AG70">
        <v>-1.1098905462790001</v>
      </c>
      <c r="AH70">
        <v>19.084791763683</v>
      </c>
      <c r="AI70">
        <v>93.327842402232704</v>
      </c>
      <c r="AJ70">
        <v>90.982533927609396</v>
      </c>
      <c r="AK70">
        <v>19.119839522790802</v>
      </c>
      <c r="AL70">
        <v>88.873466054526801</v>
      </c>
      <c r="AM70">
        <v>87.402276324910801</v>
      </c>
      <c r="AN70">
        <v>1.0000000156656501</v>
      </c>
    </row>
    <row r="71" spans="1:40" x14ac:dyDescent="0.25">
      <c r="A71" t="str">
        <f>"20190312160905798"</f>
        <v>20190312160905798</v>
      </c>
      <c r="B71" t="str">
        <f>"1552378145785269"</f>
        <v>1552378145785269</v>
      </c>
      <c r="C71" t="s">
        <v>40</v>
      </c>
      <c r="D71">
        <v>6.1114439999999997</v>
      </c>
      <c r="E71">
        <v>0.50973489999999999</v>
      </c>
      <c r="F71" t="s">
        <v>42</v>
      </c>
      <c r="G71">
        <v>-473.43520000000001</v>
      </c>
      <c r="H71">
        <v>0.99661339999999998</v>
      </c>
      <c r="I71">
        <v>367.12079999999997</v>
      </c>
      <c r="J71">
        <v>-474.11799999999999</v>
      </c>
      <c r="K71">
        <v>1.110255</v>
      </c>
      <c r="L71">
        <v>367.18119999999999</v>
      </c>
      <c r="M71">
        <v>0.99984580000000001</v>
      </c>
      <c r="N71">
        <v>0</v>
      </c>
      <c r="O71">
        <v>-1.384582E-2</v>
      </c>
      <c r="P71">
        <v>0.99820759999999997</v>
      </c>
      <c r="Q71">
        <v>8.9724219999999903E-3</v>
      </c>
      <c r="R71">
        <v>-5.9169380000000001E-2</v>
      </c>
      <c r="S71">
        <v>2.995117</v>
      </c>
      <c r="T71">
        <v>-0.47121010000000002</v>
      </c>
      <c r="U71">
        <v>-0.25201420000000002</v>
      </c>
      <c r="V71">
        <v>4.5342340000000002E-2</v>
      </c>
      <c r="W71">
        <v>1.976868E-2</v>
      </c>
      <c r="X71">
        <v>0.99877590000000005</v>
      </c>
      <c r="Y71">
        <v>6.9361599999999995E-2</v>
      </c>
      <c r="Z71">
        <v>-3.2524469999999999E-3</v>
      </c>
      <c r="AA71">
        <v>0.99758630000000004</v>
      </c>
      <c r="AB71">
        <v>4</v>
      </c>
      <c r="AC71">
        <v>0.68280000000004204</v>
      </c>
      <c r="AD71">
        <v>-0.1136416</v>
      </c>
      <c r="AE71">
        <v>-6.0400000000015497E-2</v>
      </c>
      <c r="AF71">
        <v>4.9577084664522597E-2</v>
      </c>
      <c r="AG71">
        <v>-0.1136416</v>
      </c>
      <c r="AH71">
        <v>0.66528522749062102</v>
      </c>
      <c r="AI71">
        <v>99.667202202502907</v>
      </c>
      <c r="AJ71">
        <v>85.738193261445602</v>
      </c>
      <c r="AK71">
        <v>0.67673978344090302</v>
      </c>
      <c r="AL71">
        <v>88.867264297549696</v>
      </c>
      <c r="AM71">
        <v>87.400675997121994</v>
      </c>
      <c r="AN71">
        <v>1.0000000134632101</v>
      </c>
    </row>
    <row r="72" spans="1:40" x14ac:dyDescent="0.25">
      <c r="A72" t="str">
        <f>"20190312160905820"</f>
        <v>20190312160905820</v>
      </c>
      <c r="B72" t="str">
        <f>"1552378145804789"</f>
        <v>1552378145804789</v>
      </c>
      <c r="C72" t="s">
        <v>40</v>
      </c>
      <c r="D72">
        <v>5.7451049999999997</v>
      </c>
      <c r="E72">
        <v>0.50984669999999999</v>
      </c>
      <c r="F72" t="s">
        <v>42</v>
      </c>
      <c r="G72">
        <v>-473.3974</v>
      </c>
      <c r="H72">
        <v>1.0086980000000001</v>
      </c>
      <c r="I72">
        <v>367.1189</v>
      </c>
      <c r="J72">
        <v>-474.0865</v>
      </c>
      <c r="K72">
        <v>1.11076</v>
      </c>
      <c r="L72">
        <v>367.1807</v>
      </c>
      <c r="M72">
        <v>0.99982519999999997</v>
      </c>
      <c r="N72">
        <v>0</v>
      </c>
      <c r="O72">
        <v>-1.384058E-2</v>
      </c>
      <c r="P72">
        <v>0.99823490000000004</v>
      </c>
      <c r="Q72">
        <v>6.1128060000000001E-3</v>
      </c>
      <c r="R72">
        <v>-5.9076419999999998E-2</v>
      </c>
      <c r="S72">
        <v>2.9939879999999999</v>
      </c>
      <c r="T72">
        <v>-0.42215760000000002</v>
      </c>
      <c r="U72">
        <v>-0.25646970000000002</v>
      </c>
      <c r="V72">
        <v>4.5253729999999999E-2</v>
      </c>
      <c r="W72">
        <v>1.8678360000000001E-2</v>
      </c>
      <c r="X72">
        <v>0.99880089999999999</v>
      </c>
      <c r="Y72">
        <v>7.0988640000000006E-2</v>
      </c>
      <c r="Z72">
        <v>-3.0328970000000001E-3</v>
      </c>
      <c r="AA72">
        <v>0.99747249999999998</v>
      </c>
      <c r="AB72">
        <v>4</v>
      </c>
      <c r="AC72">
        <v>0.68909999999999605</v>
      </c>
      <c r="AD72">
        <v>-0.102062</v>
      </c>
      <c r="AE72">
        <v>-6.1800000000005101E-2</v>
      </c>
      <c r="AF72">
        <v>5.1142847912583299E-2</v>
      </c>
      <c r="AG72">
        <v>-0.102062</v>
      </c>
      <c r="AH72">
        <v>0.67519625772206704</v>
      </c>
      <c r="AI72">
        <v>98.5715124605439</v>
      </c>
      <c r="AJ72">
        <v>85.668393384259005</v>
      </c>
      <c r="AK72">
        <v>0.68477896373829505</v>
      </c>
      <c r="AL72">
        <v>88.929746575945998</v>
      </c>
      <c r="AM72">
        <v>87.405813609521701</v>
      </c>
      <c r="AN72">
        <v>1.000000009526</v>
      </c>
    </row>
    <row r="73" spans="1:40" x14ac:dyDescent="0.25">
      <c r="A73" t="str">
        <f>"20190312160905846"</f>
        <v>20190312160905846</v>
      </c>
      <c r="B73" t="str">
        <f>"1552378145835045"</f>
        <v>1552378145835045</v>
      </c>
      <c r="C73" t="s">
        <v>40</v>
      </c>
      <c r="D73">
        <v>5.6815850000000001</v>
      </c>
      <c r="E73">
        <v>0.51173979999999997</v>
      </c>
      <c r="F73" t="s">
        <v>42</v>
      </c>
      <c r="G73">
        <v>-473.36689999999999</v>
      </c>
      <c r="H73">
        <v>1.0124959999999901</v>
      </c>
      <c r="I73">
        <v>367.11849999999998</v>
      </c>
      <c r="J73">
        <v>-474.05489999999998</v>
      </c>
      <c r="K73">
        <v>1.111245</v>
      </c>
      <c r="L73">
        <v>367.18029999999999</v>
      </c>
      <c r="M73">
        <v>0.99979720000000005</v>
      </c>
      <c r="N73">
        <v>0</v>
      </c>
      <c r="O73">
        <v>-1.3836269999999999E-2</v>
      </c>
      <c r="P73">
        <v>0.99824820000000003</v>
      </c>
      <c r="Q73">
        <v>3.3920069999999998E-3</v>
      </c>
      <c r="R73">
        <v>-5.9067809999999998E-2</v>
      </c>
      <c r="S73">
        <v>2.9925839999999999</v>
      </c>
      <c r="T73">
        <v>-0.40886879999999998</v>
      </c>
      <c r="U73">
        <v>-0.25692749999999998</v>
      </c>
      <c r="V73">
        <v>4.524914E-2</v>
      </c>
      <c r="W73">
        <v>1.8005179999999999E-2</v>
      </c>
      <c r="X73">
        <v>0.99881350000000002</v>
      </c>
      <c r="Y73">
        <v>7.1215790000000001E-2</v>
      </c>
      <c r="Z73">
        <v>-2.955605E-3</v>
      </c>
      <c r="AA73">
        <v>0.99745660000000003</v>
      </c>
      <c r="AB73">
        <v>3</v>
      </c>
      <c r="AC73">
        <v>0.68799999999998795</v>
      </c>
      <c r="AD73">
        <v>-9.8749000000000198E-2</v>
      </c>
      <c r="AE73">
        <v>-6.1800000000005101E-2</v>
      </c>
      <c r="AF73">
        <v>5.1226832167059297E-2</v>
      </c>
      <c r="AG73">
        <v>-9.8749000000000198E-2</v>
      </c>
      <c r="AH73">
        <v>0.67499502069704398</v>
      </c>
      <c r="AI73">
        <v>98.299561153882607</v>
      </c>
      <c r="AJ73">
        <v>85.660018815021104</v>
      </c>
      <c r="AK73">
        <v>0.68410074645528196</v>
      </c>
      <c r="AL73">
        <v>88.968323469636601</v>
      </c>
      <c r="AM73">
        <v>87.406109051094305</v>
      </c>
      <c r="AN73">
        <v>1.00000003947991</v>
      </c>
    </row>
    <row r="74" spans="1:40" x14ac:dyDescent="0.25">
      <c r="A74" t="str">
        <f>"20190312160905888"</f>
        <v>20190312160905888</v>
      </c>
      <c r="B74" t="str">
        <f>"1552378145884821"</f>
        <v>1552378145884821</v>
      </c>
      <c r="C74" t="s">
        <v>40</v>
      </c>
      <c r="D74">
        <v>5.5551079999999997</v>
      </c>
      <c r="E74">
        <v>0.51348070000000001</v>
      </c>
      <c r="F74" t="s">
        <v>42</v>
      </c>
      <c r="G74">
        <v>-473.34379999999999</v>
      </c>
      <c r="H74">
        <v>1.006572</v>
      </c>
      <c r="I74">
        <v>367.11540000000002</v>
      </c>
      <c r="J74">
        <v>-473.98219999999998</v>
      </c>
      <c r="K74">
        <v>1.110336</v>
      </c>
      <c r="L74">
        <v>367.17930000000001</v>
      </c>
      <c r="M74">
        <v>0.99983080000000002</v>
      </c>
      <c r="N74">
        <v>0</v>
      </c>
      <c r="O74">
        <v>-1.3827020000000001E-2</v>
      </c>
      <c r="P74">
        <v>0.99835969999999996</v>
      </c>
      <c r="Q74">
        <v>7.45819E-3</v>
      </c>
      <c r="R74">
        <v>-5.6769769999999997E-2</v>
      </c>
      <c r="S74">
        <v>2.9906619999999999</v>
      </c>
      <c r="T74">
        <v>-0.44045519999999999</v>
      </c>
      <c r="U74">
        <v>-0.2715149</v>
      </c>
      <c r="V74">
        <v>4.2959419999999998E-2</v>
      </c>
      <c r="W74">
        <v>1.9579889999999999E-2</v>
      </c>
      <c r="X74">
        <v>0.99888489999999996</v>
      </c>
      <c r="Y74">
        <v>7.5970979999999994E-2</v>
      </c>
      <c r="Z74">
        <v>-3.5319639999999999E-3</v>
      </c>
      <c r="AA74">
        <v>0.99710379999999998</v>
      </c>
      <c r="AB74">
        <v>3</v>
      </c>
      <c r="AC74">
        <v>0.63839999999998998</v>
      </c>
      <c r="AD74">
        <v>-0.103763999999999</v>
      </c>
      <c r="AE74">
        <v>-6.3899999999989604E-2</v>
      </c>
      <c r="AF74">
        <v>5.3662453820059901E-2</v>
      </c>
      <c r="AG74">
        <v>-0.103763999999999</v>
      </c>
      <c r="AH74">
        <v>0.62292898491325399</v>
      </c>
      <c r="AI74">
        <v>99.422906663593494</v>
      </c>
      <c r="AJ74">
        <v>85.076388736202006</v>
      </c>
      <c r="AK74">
        <v>0.63378793526782096</v>
      </c>
      <c r="AL74">
        <v>88.878083205836305</v>
      </c>
      <c r="AM74">
        <v>87.537376349537197</v>
      </c>
      <c r="AN74">
        <v>0.99999996365357802</v>
      </c>
    </row>
    <row r="75" spans="1:40" x14ac:dyDescent="0.25">
      <c r="A75" t="str">
        <f>"20190312160906400"</f>
        <v>20190312160906400</v>
      </c>
      <c r="B75" t="str">
        <f>"1552378146395271"</f>
        <v>1552378146395271</v>
      </c>
      <c r="C75" t="s">
        <v>40</v>
      </c>
      <c r="D75">
        <v>5.8690920000000002</v>
      </c>
      <c r="E75">
        <v>0.51208750000000003</v>
      </c>
      <c r="F75" t="s">
        <v>42</v>
      </c>
      <c r="G75">
        <v>-472.44690000000003</v>
      </c>
      <c r="H75">
        <v>0.85093189999999996</v>
      </c>
      <c r="I75">
        <v>367.13060000000002</v>
      </c>
      <c r="J75">
        <v>-473.05619999999999</v>
      </c>
      <c r="K75">
        <v>1.109947</v>
      </c>
      <c r="L75">
        <v>367.16649999999998</v>
      </c>
      <c r="M75">
        <v>0.99985690000000005</v>
      </c>
      <c r="N75">
        <v>0</v>
      </c>
      <c r="O75">
        <v>-1.3829869999999999E-2</v>
      </c>
      <c r="P75">
        <v>0.99814020000000003</v>
      </c>
      <c r="Q75">
        <v>8.2707809999999996E-3</v>
      </c>
      <c r="R75">
        <v>-6.0398930000000003E-2</v>
      </c>
      <c r="S75">
        <v>3.0046390000000001</v>
      </c>
      <c r="T75">
        <v>-1.188893</v>
      </c>
      <c r="U75">
        <v>-0.165802</v>
      </c>
      <c r="V75">
        <v>4.6589230000000002E-2</v>
      </c>
      <c r="W75">
        <v>1.8005179999999999E-2</v>
      </c>
      <c r="X75">
        <v>0.99875190000000003</v>
      </c>
      <c r="Y75">
        <v>3.9363229999999999E-2</v>
      </c>
      <c r="Z75">
        <v>-2.2301320000000001E-3</v>
      </c>
      <c r="AA75">
        <v>0.99922250000000001</v>
      </c>
      <c r="AB75">
        <v>5</v>
      </c>
      <c r="AC75">
        <v>0.60929999999996198</v>
      </c>
      <c r="AD75">
        <v>-0.2590151</v>
      </c>
      <c r="AE75">
        <v>-3.5899999999969602E-2</v>
      </c>
      <c r="AF75">
        <v>2.32776252842475E-2</v>
      </c>
      <c r="AG75">
        <v>-0.2590151</v>
      </c>
      <c r="AH75">
        <v>0.516689158438012</v>
      </c>
      <c r="AI75">
        <v>116.601240232018</v>
      </c>
      <c r="AJ75">
        <v>87.420483001703104</v>
      </c>
      <c r="AK75">
        <v>0.57844477378075199</v>
      </c>
      <c r="AL75">
        <v>88.968323480807001</v>
      </c>
      <c r="AM75">
        <v>87.329234009950696</v>
      </c>
      <c r="AN75">
        <v>1.0000000503062101</v>
      </c>
    </row>
    <row r="76" spans="1:40" x14ac:dyDescent="0.25">
      <c r="A76" t="str">
        <f>"20190312160906447"</f>
        <v>20190312160906447</v>
      </c>
      <c r="B76" t="str">
        <f>"1552378146435285"</f>
        <v>1552378146435285</v>
      </c>
      <c r="C76" t="s">
        <v>40</v>
      </c>
      <c r="D76">
        <v>6.0356480000000001</v>
      </c>
      <c r="E76">
        <v>0.52354339999999999</v>
      </c>
      <c r="F76" t="s">
        <v>42</v>
      </c>
      <c r="G76">
        <v>-472.39890000000003</v>
      </c>
      <c r="H76">
        <v>0.87528859999999997</v>
      </c>
      <c r="I76">
        <v>367.10509999999999</v>
      </c>
      <c r="J76">
        <v>-472.97739999999999</v>
      </c>
      <c r="K76">
        <v>1.1108819999999999</v>
      </c>
      <c r="L76">
        <v>367.1653</v>
      </c>
      <c r="M76">
        <v>0.99981909999999896</v>
      </c>
      <c r="N76">
        <v>0</v>
      </c>
      <c r="O76">
        <v>-1.382978E-2</v>
      </c>
      <c r="P76">
        <v>0.99813249999999998</v>
      </c>
      <c r="Q76">
        <v>4.4864149999999997E-3</v>
      </c>
      <c r="R76">
        <v>-6.0923329999999998E-2</v>
      </c>
      <c r="S76">
        <v>2.99762</v>
      </c>
      <c r="T76">
        <v>-1.070119</v>
      </c>
      <c r="U76">
        <v>-0.27749629999999997</v>
      </c>
      <c r="V76">
        <v>4.7113080000000002E-2</v>
      </c>
      <c r="W76">
        <v>1.753652E-2</v>
      </c>
      <c r="X76">
        <v>0.99873559999999995</v>
      </c>
      <c r="Y76">
        <v>7.4668999999999999E-2</v>
      </c>
      <c r="Z76">
        <v>-8.1239729999999996E-3</v>
      </c>
      <c r="AA76">
        <v>0.99717529999999999</v>
      </c>
      <c r="AB76">
        <v>5</v>
      </c>
      <c r="AC76">
        <v>0.57849999999996204</v>
      </c>
      <c r="AD76">
        <v>-0.23559339999999901</v>
      </c>
      <c r="AE76">
        <v>-6.0200000000008899E-2</v>
      </c>
      <c r="AF76">
        <v>4.4836493795773598E-2</v>
      </c>
      <c r="AG76">
        <v>-0.23559339999999901</v>
      </c>
      <c r="AH76">
        <v>0.49762892952948301</v>
      </c>
      <c r="AI76">
        <v>115.24490078986101</v>
      </c>
      <c r="AJ76">
        <v>84.851537418887105</v>
      </c>
      <c r="AK76">
        <v>0.55240303475281305</v>
      </c>
      <c r="AL76">
        <v>88.995179895390905</v>
      </c>
      <c r="AM76">
        <v>87.299204080647101</v>
      </c>
      <c r="AN76">
        <v>0.99999998527407796</v>
      </c>
    </row>
    <row r="77" spans="1:40" x14ac:dyDescent="0.25">
      <c r="A77" t="str">
        <f>"20190312160906467"</f>
        <v>20190312160906467</v>
      </c>
      <c r="B77" t="str">
        <f>"1552378146454805"</f>
        <v>1552378146454805</v>
      </c>
      <c r="C77" t="s">
        <v>40</v>
      </c>
      <c r="D77">
        <v>6.1218560000000002</v>
      </c>
      <c r="E77">
        <v>0.52430739999999998</v>
      </c>
      <c r="F77" t="s">
        <v>42</v>
      </c>
      <c r="G77">
        <v>-472.2851</v>
      </c>
      <c r="H77">
        <v>0.9030975</v>
      </c>
      <c r="I77">
        <v>367.07960000000003</v>
      </c>
      <c r="J77">
        <v>-472.93950000000001</v>
      </c>
      <c r="K77">
        <v>1.1106720000000001</v>
      </c>
      <c r="L77">
        <v>367.16480000000001</v>
      </c>
      <c r="M77">
        <v>0.9998245</v>
      </c>
      <c r="N77">
        <v>0</v>
      </c>
      <c r="O77">
        <v>-1.3831029999999999E-2</v>
      </c>
      <c r="P77">
        <v>0.99817789999999995</v>
      </c>
      <c r="Q77">
        <v>5.7428119999999999E-3</v>
      </c>
      <c r="R77">
        <v>-6.0068789999999997E-2</v>
      </c>
      <c r="S77">
        <v>2.9871829999999999</v>
      </c>
      <c r="T77">
        <v>-0.89669730000000003</v>
      </c>
      <c r="U77">
        <v>-0.36837769999999997</v>
      </c>
      <c r="V77">
        <v>4.625692E-2</v>
      </c>
      <c r="W77">
        <v>1.8373230000000001E-2</v>
      </c>
      <c r="X77">
        <v>0.9987606</v>
      </c>
      <c r="Y77">
        <v>0.10470690000000001</v>
      </c>
      <c r="Z77">
        <v>-1.1274920000000001E-2</v>
      </c>
      <c r="AA77">
        <v>0.99443919999999997</v>
      </c>
      <c r="AB77">
        <v>3</v>
      </c>
      <c r="AC77">
        <v>0.65440000000000897</v>
      </c>
      <c r="AD77">
        <v>-0.207574499999999</v>
      </c>
      <c r="AE77">
        <v>-8.5199999999986106E-2</v>
      </c>
      <c r="AF77">
        <v>6.9285188970054604E-2</v>
      </c>
      <c r="AG77">
        <v>-0.207574499999999</v>
      </c>
      <c r="AH77">
        <v>0.596499640541298</v>
      </c>
      <c r="AI77">
        <v>109.068409160765</v>
      </c>
      <c r="AJ77">
        <v>83.374615593179897</v>
      </c>
      <c r="AK77">
        <v>0.63537345839023196</v>
      </c>
      <c r="AL77">
        <v>88.947232235411505</v>
      </c>
      <c r="AM77">
        <v>87.348279731276904</v>
      </c>
      <c r="AN77">
        <v>1.00000000717043</v>
      </c>
    </row>
    <row r="78" spans="1:40" x14ac:dyDescent="0.25">
      <c r="A78" t="str">
        <f>"20190312160906491"</f>
        <v>20190312160906491</v>
      </c>
      <c r="B78" t="str">
        <f>"1552378146485062"</f>
        <v>1552378146485062</v>
      </c>
      <c r="C78" t="s">
        <v>40</v>
      </c>
      <c r="D78">
        <v>5.9423219999999999</v>
      </c>
      <c r="E78">
        <v>0.52512009999999998</v>
      </c>
      <c r="F78" t="s">
        <v>42</v>
      </c>
      <c r="G78">
        <v>-472.23829999999998</v>
      </c>
      <c r="H78">
        <v>0.91672869999999995</v>
      </c>
      <c r="I78">
        <v>367.07650000000001</v>
      </c>
      <c r="J78">
        <v>-472.88799999999998</v>
      </c>
      <c r="K78">
        <v>1.1101080000000001</v>
      </c>
      <c r="L78">
        <v>367.16410000000002</v>
      </c>
      <c r="M78">
        <v>0.99984620000000002</v>
      </c>
      <c r="N78">
        <v>0</v>
      </c>
      <c r="O78">
        <v>-1.383122E-2</v>
      </c>
      <c r="P78">
        <v>0.99819740000000001</v>
      </c>
      <c r="Q78">
        <v>7.4779909999999998E-3</v>
      </c>
      <c r="R78">
        <v>-5.9551100000000003E-2</v>
      </c>
      <c r="S78">
        <v>2.9877929999999999</v>
      </c>
      <c r="T78">
        <v>-0.82645489999999999</v>
      </c>
      <c r="U78">
        <v>-0.37359619999999999</v>
      </c>
      <c r="V78">
        <v>4.5738899999999999E-2</v>
      </c>
      <c r="W78">
        <v>1.825119E-2</v>
      </c>
      <c r="X78">
        <v>0.99878670000000003</v>
      </c>
      <c r="Y78">
        <v>0.1068972</v>
      </c>
      <c r="Z78">
        <v>-1.07178E-2</v>
      </c>
      <c r="AA78">
        <v>0.99421230000000005</v>
      </c>
      <c r="AB78">
        <v>4</v>
      </c>
      <c r="AC78">
        <v>0.64970000000005201</v>
      </c>
      <c r="AD78">
        <v>-0.1933793</v>
      </c>
      <c r="AE78">
        <v>-8.7600000000008907E-2</v>
      </c>
      <c r="AF78">
        <v>7.2312989963181695E-2</v>
      </c>
      <c r="AG78">
        <v>-0.1933793</v>
      </c>
      <c r="AH78">
        <v>0.59875203138739697</v>
      </c>
      <c r="AI78">
        <v>107.777960585808</v>
      </c>
      <c r="AJ78">
        <v>83.113578073441204</v>
      </c>
      <c r="AK78">
        <v>0.63334723278501803</v>
      </c>
      <c r="AL78">
        <v>88.954225790571499</v>
      </c>
      <c r="AM78">
        <v>87.378002446644501</v>
      </c>
      <c r="AN78">
        <v>1.00000001250325</v>
      </c>
    </row>
    <row r="79" spans="1:40" x14ac:dyDescent="0.25">
      <c r="A79" t="str">
        <f>"20190312160906534"</f>
        <v>20190312160906534</v>
      </c>
      <c r="B79" t="str">
        <f>"1552378146525078"</f>
        <v>1552378146525078</v>
      </c>
      <c r="C79" t="s">
        <v>40</v>
      </c>
      <c r="D79">
        <v>5.8421589999999997</v>
      </c>
      <c r="E79">
        <v>0.52604249999999997</v>
      </c>
      <c r="F79" t="s">
        <v>42</v>
      </c>
      <c r="G79">
        <v>-472.19029999999998</v>
      </c>
      <c r="H79">
        <v>0.9266839</v>
      </c>
      <c r="I79">
        <v>367.07569999999998</v>
      </c>
      <c r="J79">
        <v>-472.80489999999998</v>
      </c>
      <c r="K79">
        <v>1.110249</v>
      </c>
      <c r="L79">
        <v>367.16289999999998</v>
      </c>
      <c r="M79">
        <v>0.99984479999999998</v>
      </c>
      <c r="N79">
        <v>0</v>
      </c>
      <c r="O79">
        <v>-1.383032E-2</v>
      </c>
      <c r="P79">
        <v>0.99816579999999999</v>
      </c>
      <c r="Q79">
        <v>6.5142940000000003E-3</v>
      </c>
      <c r="R79">
        <v>-6.0187320000000002E-2</v>
      </c>
      <c r="S79">
        <v>2.9887389999999998</v>
      </c>
      <c r="T79">
        <v>-0.78577609999999998</v>
      </c>
      <c r="U79">
        <v>-0.37847900000000001</v>
      </c>
      <c r="V79">
        <v>4.6376540000000001E-2</v>
      </c>
      <c r="W79">
        <v>1.740589E-2</v>
      </c>
      <c r="X79">
        <v>0.9987724</v>
      </c>
      <c r="Y79">
        <v>0.10872469999999999</v>
      </c>
      <c r="Z79">
        <v>-1.043931E-2</v>
      </c>
      <c r="AA79">
        <v>0.99401709999999999</v>
      </c>
      <c r="AB79">
        <v>5</v>
      </c>
      <c r="AC79">
        <v>0.61459999999999504</v>
      </c>
      <c r="AD79">
        <v>-0.18356510000000001</v>
      </c>
      <c r="AE79">
        <v>-8.7199999999995698E-2</v>
      </c>
      <c r="AF79">
        <v>7.2363174145656198E-2</v>
      </c>
      <c r="AG79">
        <v>-0.18356510000000001</v>
      </c>
      <c r="AH79">
        <v>0.56623256261677901</v>
      </c>
      <c r="AI79">
        <v>107.826306089855</v>
      </c>
      <c r="AJ79">
        <v>82.717212555869295</v>
      </c>
      <c r="AK79">
        <v>0.59962645862070596</v>
      </c>
      <c r="AL79">
        <v>89.002665628101198</v>
      </c>
      <c r="AM79">
        <v>87.341463595698798</v>
      </c>
      <c r="AN79">
        <v>1.00000002773541</v>
      </c>
    </row>
    <row r="80" spans="1:40" x14ac:dyDescent="0.25">
      <c r="A80" t="str">
        <f>"20190312160906578"</f>
        <v>20190312160906578</v>
      </c>
      <c r="B80" t="str">
        <f>"1552378146574853"</f>
        <v>1552378146574853</v>
      </c>
      <c r="C80" t="s">
        <v>40</v>
      </c>
      <c r="D80">
        <v>6.4687380000000001</v>
      </c>
      <c r="E80">
        <v>0.52564509999999998</v>
      </c>
      <c r="F80" t="s">
        <v>42</v>
      </c>
      <c r="G80">
        <v>-472.11239999999998</v>
      </c>
      <c r="H80">
        <v>0.93399869999999996</v>
      </c>
      <c r="I80">
        <v>367.07310000000001</v>
      </c>
      <c r="J80">
        <v>-472.73450000000003</v>
      </c>
      <c r="K80">
        <v>1.1112299999999999</v>
      </c>
      <c r="L80">
        <v>367.16199999999998</v>
      </c>
      <c r="M80">
        <v>0.9997954</v>
      </c>
      <c r="N80">
        <v>0</v>
      </c>
      <c r="O80">
        <v>-1.3830769999999999E-2</v>
      </c>
      <c r="P80">
        <v>0.99818490000000004</v>
      </c>
      <c r="Q80">
        <v>3.2289799999999998E-3</v>
      </c>
      <c r="R80">
        <v>-6.0137490000000002E-2</v>
      </c>
      <c r="S80">
        <v>2.987152</v>
      </c>
      <c r="T80">
        <v>-0.76018790000000003</v>
      </c>
      <c r="U80">
        <v>-0.3864746</v>
      </c>
      <c r="V80">
        <v>4.6325400000000003E-2</v>
      </c>
      <c r="W80">
        <v>1.797752E-2</v>
      </c>
      <c r="X80">
        <v>0.9987646</v>
      </c>
      <c r="Y80">
        <v>0.11151759999999999</v>
      </c>
      <c r="Z80">
        <v>-1.046158E-2</v>
      </c>
      <c r="AA80">
        <v>0.99370740000000002</v>
      </c>
      <c r="AB80">
        <v>4</v>
      </c>
      <c r="AC80">
        <v>0.62210000000004495</v>
      </c>
      <c r="AD80">
        <v>-0.17723129999999901</v>
      </c>
      <c r="AE80">
        <v>-8.8899999999966894E-2</v>
      </c>
      <c r="AF80">
        <v>7.4371027308553397E-2</v>
      </c>
      <c r="AG80">
        <v>-0.17723129999999901</v>
      </c>
      <c r="AH80">
        <v>0.57734837506606196</v>
      </c>
      <c r="AI80">
        <v>106.933344372397</v>
      </c>
      <c r="AJ80">
        <v>82.659875207396396</v>
      </c>
      <c r="AK80">
        <v>0.608500722755562</v>
      </c>
      <c r="AL80">
        <v>88.969908466176093</v>
      </c>
      <c r="AM80">
        <v>87.344370288861498</v>
      </c>
      <c r="AN80">
        <v>0.99999998006183499</v>
      </c>
    </row>
    <row r="81" spans="1:40" x14ac:dyDescent="0.25">
      <c r="A81" t="str">
        <f>"20190312160906604"</f>
        <v>20190312160906604</v>
      </c>
      <c r="B81" t="str">
        <f>"1552378146595351"</f>
        <v>1552378146595351</v>
      </c>
      <c r="C81" t="s">
        <v>40</v>
      </c>
      <c r="D81">
        <v>5.9887300000000003</v>
      </c>
      <c r="E81">
        <v>0.5256518</v>
      </c>
      <c r="F81" t="s">
        <v>42</v>
      </c>
      <c r="G81">
        <v>-472.04599999999999</v>
      </c>
      <c r="H81">
        <v>0.94523950000000001</v>
      </c>
      <c r="I81">
        <v>367.0729</v>
      </c>
      <c r="J81">
        <v>-472.69330000000002</v>
      </c>
      <c r="K81">
        <v>1.1110420000000001</v>
      </c>
      <c r="L81">
        <v>367.16129999999998</v>
      </c>
      <c r="M81">
        <v>0.99979589999999996</v>
      </c>
      <c r="N81">
        <v>0</v>
      </c>
      <c r="O81">
        <v>-1.3832240000000001E-2</v>
      </c>
      <c r="P81">
        <v>0.99817840000000002</v>
      </c>
      <c r="Q81">
        <v>2.7190579999999999E-3</v>
      </c>
      <c r="R81">
        <v>-6.0275299999999997E-2</v>
      </c>
      <c r="S81">
        <v>2.9845890000000002</v>
      </c>
      <c r="T81">
        <v>-0.71960900000000005</v>
      </c>
      <c r="U81">
        <v>-0.3843994</v>
      </c>
      <c r="V81">
        <v>4.6461599999999999E-2</v>
      </c>
      <c r="W81">
        <v>1.7441169999999999E-2</v>
      </c>
      <c r="X81">
        <v>0.99876779999999998</v>
      </c>
      <c r="Y81">
        <v>0.11126129999999999</v>
      </c>
      <c r="Z81">
        <v>-9.8968440000000001E-3</v>
      </c>
      <c r="AA81">
        <v>0.99374189999999996</v>
      </c>
      <c r="AB81">
        <v>3</v>
      </c>
      <c r="AC81">
        <v>0.64730000000002896</v>
      </c>
      <c r="AD81">
        <v>-0.16580249999999999</v>
      </c>
      <c r="AE81">
        <v>-8.8399999999978704E-2</v>
      </c>
      <c r="AF81">
        <v>7.4630119462468003E-2</v>
      </c>
      <c r="AG81">
        <v>-0.16580249999999999</v>
      </c>
      <c r="AH81">
        <v>0.609221681806284</v>
      </c>
      <c r="AI81">
        <v>105.11679979578</v>
      </c>
      <c r="AJ81">
        <v>83.016019598814907</v>
      </c>
      <c r="AK81">
        <v>0.63577604651332198</v>
      </c>
      <c r="AL81">
        <v>89.000643894941902</v>
      </c>
      <c r="AM81">
        <v>87.336582294719406</v>
      </c>
      <c r="AN81">
        <v>0.99999999650118399</v>
      </c>
    </row>
    <row r="82" spans="1:40" x14ac:dyDescent="0.25">
      <c r="A82" t="str">
        <f>"20190312160906648"</f>
        <v>20190312160906648</v>
      </c>
      <c r="B82" t="str">
        <f>"1552378146635365"</f>
        <v>1552378146635365</v>
      </c>
      <c r="C82" t="s">
        <v>40</v>
      </c>
      <c r="D82">
        <v>6.127338</v>
      </c>
      <c r="E82">
        <v>0.52603800000000001</v>
      </c>
      <c r="F82" t="s">
        <v>42</v>
      </c>
      <c r="G82">
        <v>-472.01010000000002</v>
      </c>
      <c r="H82">
        <v>0.94898260000000001</v>
      </c>
      <c r="I82">
        <v>367.0729</v>
      </c>
      <c r="J82">
        <v>-472.60879999999997</v>
      </c>
      <c r="K82">
        <v>1.110023</v>
      </c>
      <c r="L82">
        <v>367.16019999999997</v>
      </c>
      <c r="M82">
        <v>0.99983909999999998</v>
      </c>
      <c r="N82">
        <v>0</v>
      </c>
      <c r="O82">
        <v>-1.383028E-2</v>
      </c>
      <c r="P82">
        <v>0.99821380000000004</v>
      </c>
      <c r="Q82">
        <v>5.5226440000000002E-3</v>
      </c>
      <c r="R82">
        <v>-5.9486480000000001E-2</v>
      </c>
      <c r="S82">
        <v>2.9841920000000002</v>
      </c>
      <c r="T82">
        <v>-0.70796349999999997</v>
      </c>
      <c r="U82">
        <v>-0.38449100000000003</v>
      </c>
      <c r="V82">
        <v>4.5675050000000002E-2</v>
      </c>
      <c r="W82">
        <v>1.6924350000000001E-2</v>
      </c>
      <c r="X82">
        <v>0.99881299999999995</v>
      </c>
      <c r="Y82">
        <v>0.1113932</v>
      </c>
      <c r="Z82">
        <v>-9.7581869999999998E-3</v>
      </c>
      <c r="AA82">
        <v>0.99372850000000001</v>
      </c>
      <c r="AB82">
        <v>3</v>
      </c>
      <c r="AC82">
        <v>0.59869999999995105</v>
      </c>
      <c r="AD82">
        <v>-0.1610404</v>
      </c>
      <c r="AE82">
        <v>-8.7299999999970596E-2</v>
      </c>
      <c r="AF82">
        <v>7.3783660723235903E-2</v>
      </c>
      <c r="AG82">
        <v>-0.1610404</v>
      </c>
      <c r="AH82">
        <v>0.56016488568302303</v>
      </c>
      <c r="AI82">
        <v>105.90890810488099</v>
      </c>
      <c r="AJ82">
        <v>82.496324803066798</v>
      </c>
      <c r="AK82">
        <v>0.58750552182439597</v>
      </c>
      <c r="AL82">
        <v>89.0302599014733</v>
      </c>
      <c r="AM82">
        <v>87.381726419928995</v>
      </c>
      <c r="AN82">
        <v>1.00000002639221</v>
      </c>
    </row>
    <row r="83" spans="1:40" x14ac:dyDescent="0.25">
      <c r="A83" t="str">
        <f>"20190312160906669"</f>
        <v>20190312160906669</v>
      </c>
      <c r="B83" t="str">
        <f>"1552378146665622"</f>
        <v>1552378146665622</v>
      </c>
      <c r="C83" t="s">
        <v>40</v>
      </c>
      <c r="D83">
        <v>5.8079580000000002</v>
      </c>
      <c r="E83">
        <v>0.52624879999999996</v>
      </c>
      <c r="F83" t="s">
        <v>42</v>
      </c>
      <c r="G83">
        <v>-471.89420000000001</v>
      </c>
      <c r="H83">
        <v>0.94829949999999996</v>
      </c>
      <c r="I83">
        <v>367.0675</v>
      </c>
      <c r="J83">
        <v>-472.56760000000003</v>
      </c>
      <c r="K83">
        <v>1.110198</v>
      </c>
      <c r="L83">
        <v>367.15960000000001</v>
      </c>
      <c r="M83">
        <v>0.99983520000000004</v>
      </c>
      <c r="N83">
        <v>0</v>
      </c>
      <c r="O83">
        <v>-1.383037E-2</v>
      </c>
      <c r="P83">
        <v>0.99824849999999998</v>
      </c>
      <c r="Q83">
        <v>5.1303599999999996E-3</v>
      </c>
      <c r="R83">
        <v>-5.8939169999999999E-2</v>
      </c>
      <c r="S83">
        <v>2.9861149999999999</v>
      </c>
      <c r="T83">
        <v>-0.67592669999999999</v>
      </c>
      <c r="U83">
        <v>-0.3858337</v>
      </c>
      <c r="V83">
        <v>4.5127109999999998E-2</v>
      </c>
      <c r="W83">
        <v>1.6879060000000001E-2</v>
      </c>
      <c r="X83">
        <v>0.99883869999999997</v>
      </c>
      <c r="Y83">
        <v>0.111973</v>
      </c>
      <c r="Z83">
        <v>-9.3860820000000005E-3</v>
      </c>
      <c r="AA83">
        <v>0.99366690000000002</v>
      </c>
      <c r="AB83">
        <v>5</v>
      </c>
      <c r="AC83">
        <v>0.67340000000001499</v>
      </c>
      <c r="AD83">
        <v>-0.161898499999999</v>
      </c>
      <c r="AE83">
        <v>-9.2100000000016197E-2</v>
      </c>
      <c r="AF83">
        <v>7.8332570609673899E-2</v>
      </c>
      <c r="AG83">
        <v>-0.161898499999999</v>
      </c>
      <c r="AH83">
        <v>0.63838724263616198</v>
      </c>
      <c r="AI83">
        <v>104.128828044984</v>
      </c>
      <c r="AJ83">
        <v>83.004555920242694</v>
      </c>
      <c r="AK83">
        <v>0.66323856000776304</v>
      </c>
      <c r="AL83">
        <v>89.032855224366401</v>
      </c>
      <c r="AM83">
        <v>87.413160039131199</v>
      </c>
      <c r="AN83">
        <v>1.00000005367056</v>
      </c>
    </row>
    <row r="84" spans="1:40" x14ac:dyDescent="0.25">
      <c r="A84" t="str">
        <f>"20190312160906691"</f>
        <v>20190312160906691</v>
      </c>
      <c r="B84" t="str">
        <f>"1552378146685141"</f>
        <v>1552378146685141</v>
      </c>
      <c r="C84" t="s">
        <v>40</v>
      </c>
      <c r="D84">
        <v>6.042154</v>
      </c>
      <c r="E84">
        <v>0.54652060000000002</v>
      </c>
      <c r="F84" t="s">
        <v>42</v>
      </c>
      <c r="G84">
        <v>-471.85930000000002</v>
      </c>
      <c r="H84">
        <v>0.9518856</v>
      </c>
      <c r="I84">
        <v>367.0677</v>
      </c>
      <c r="J84">
        <v>-472.53100000000001</v>
      </c>
      <c r="K84">
        <v>1.1106849999999999</v>
      </c>
      <c r="L84">
        <v>367.15910000000002</v>
      </c>
      <c r="M84">
        <v>0.99981489999999995</v>
      </c>
      <c r="N84">
        <v>0</v>
      </c>
      <c r="O84">
        <v>-1.383114E-2</v>
      </c>
      <c r="P84">
        <v>0.99825940000000002</v>
      </c>
      <c r="Q84">
        <v>3.6961780000000001E-3</v>
      </c>
      <c r="R84">
        <v>-5.886218E-2</v>
      </c>
      <c r="S84">
        <v>2.9859010000000001</v>
      </c>
      <c r="T84">
        <v>-0.66749159999999996</v>
      </c>
      <c r="U84">
        <v>-0.38635249999999999</v>
      </c>
      <c r="V84">
        <v>4.5049079999999998E-2</v>
      </c>
      <c r="W84">
        <v>1.7062620000000001E-2</v>
      </c>
      <c r="X84">
        <v>0.99883900000000003</v>
      </c>
      <c r="Y84">
        <v>0.11220479999999999</v>
      </c>
      <c r="Z84">
        <v>-9.2975499999999999E-3</v>
      </c>
      <c r="AA84">
        <v>0.99364160000000001</v>
      </c>
      <c r="AB84">
        <v>4</v>
      </c>
      <c r="AC84">
        <v>0.67169999999998697</v>
      </c>
      <c r="AD84">
        <v>-0.15879940000000001</v>
      </c>
      <c r="AE84">
        <v>-9.1400000000021395E-2</v>
      </c>
      <c r="AF84">
        <v>7.7829127978962895E-2</v>
      </c>
      <c r="AG84">
        <v>-0.15879940000000001</v>
      </c>
      <c r="AH84">
        <v>0.63789513955996702</v>
      </c>
      <c r="AI84">
        <v>103.880310367286</v>
      </c>
      <c r="AJ84">
        <v>83.043764568839407</v>
      </c>
      <c r="AK84">
        <v>0.66195530942545999</v>
      </c>
      <c r="AL84">
        <v>89.022336395668304</v>
      </c>
      <c r="AM84">
        <v>87.417627699309193</v>
      </c>
      <c r="AN84">
        <v>0.99999995026555399</v>
      </c>
    </row>
    <row r="85" spans="1:40" x14ac:dyDescent="0.25">
      <c r="A85" t="str">
        <f>"20190312160906737"</f>
        <v>20190312160906737</v>
      </c>
      <c r="B85" t="str">
        <f>"1552378146725159"</f>
        <v>1552378146725159</v>
      </c>
      <c r="C85" t="s">
        <v>40</v>
      </c>
      <c r="D85">
        <v>5.794543</v>
      </c>
      <c r="E85">
        <v>0.54666649999999894</v>
      </c>
      <c r="F85" t="s">
        <v>42</v>
      </c>
      <c r="G85">
        <v>-471.83789999999999</v>
      </c>
      <c r="H85">
        <v>0.93357789999999996</v>
      </c>
      <c r="I85">
        <v>367.03140000000002</v>
      </c>
      <c r="J85">
        <v>-472.45370000000003</v>
      </c>
      <c r="K85">
        <v>1.1104400000000001</v>
      </c>
      <c r="L85">
        <v>367.15809999999999</v>
      </c>
      <c r="M85">
        <v>0.99982179999999998</v>
      </c>
      <c r="N85">
        <v>0</v>
      </c>
      <c r="O85">
        <v>-1.383326E-2</v>
      </c>
      <c r="P85">
        <v>0.99832869999999996</v>
      </c>
      <c r="Q85">
        <v>4.8122709999999999E-3</v>
      </c>
      <c r="R85">
        <v>-5.7591139999999999E-2</v>
      </c>
      <c r="S85">
        <v>2.9758</v>
      </c>
      <c r="T85">
        <v>-0.76042100000000001</v>
      </c>
      <c r="U85">
        <v>-0.54705809999999999</v>
      </c>
      <c r="V85">
        <v>4.377487E-2</v>
      </c>
      <c r="W85">
        <v>1.764522E-2</v>
      </c>
      <c r="X85">
        <v>0.99888560000000004</v>
      </c>
      <c r="Y85">
        <v>0.16255999999999901</v>
      </c>
      <c r="Z85">
        <v>-1.6828840000000001E-2</v>
      </c>
      <c r="AA85">
        <v>0.98655519999999997</v>
      </c>
      <c r="AB85">
        <v>4</v>
      </c>
      <c r="AC85">
        <v>0.61580000000003499</v>
      </c>
      <c r="AD85">
        <v>-0.176862099999999</v>
      </c>
      <c r="AE85">
        <v>-0.126699999999971</v>
      </c>
      <c r="AF85">
        <v>0.109502837998967</v>
      </c>
      <c r="AG85">
        <v>-0.176862099999999</v>
      </c>
      <c r="AH85">
        <v>0.57221041961596797</v>
      </c>
      <c r="AI85">
        <v>106.88708303902899</v>
      </c>
      <c r="AJ85">
        <v>79.166395067107203</v>
      </c>
      <c r="AK85">
        <v>0.60884795989090801</v>
      </c>
      <c r="AL85">
        <v>88.988950912784105</v>
      </c>
      <c r="AM85">
        <v>87.490692106184397</v>
      </c>
      <c r="AN85">
        <v>1.00000001745986</v>
      </c>
    </row>
    <row r="86" spans="1:40" x14ac:dyDescent="0.25">
      <c r="A86" t="str">
        <f>"20190312160906757"</f>
        <v>20190312160906757</v>
      </c>
      <c r="B86" t="str">
        <f>"1552378146744678"</f>
        <v>1552378146744678</v>
      </c>
      <c r="C86" t="s">
        <v>40</v>
      </c>
      <c r="D86">
        <v>5.7882110000000004</v>
      </c>
      <c r="E86">
        <v>0.54326129999999995</v>
      </c>
      <c r="F86" t="s">
        <v>42</v>
      </c>
      <c r="G86">
        <v>-471.76569999999998</v>
      </c>
      <c r="H86">
        <v>0.93181919999999996</v>
      </c>
      <c r="I86">
        <v>367.03199999999998</v>
      </c>
      <c r="J86">
        <v>-472.41340000000002</v>
      </c>
      <c r="K86">
        <v>1.1099969999999999</v>
      </c>
      <c r="L86">
        <v>367.15750000000003</v>
      </c>
      <c r="M86">
        <v>0.99984170000000006</v>
      </c>
      <c r="N86">
        <v>0</v>
      </c>
      <c r="O86">
        <v>-1.383334E-2</v>
      </c>
      <c r="P86">
        <v>0.998309</v>
      </c>
      <c r="Q86">
        <v>7.1286960000000003E-3</v>
      </c>
      <c r="R86">
        <v>-5.7694530000000001E-2</v>
      </c>
      <c r="S86">
        <v>2.9772949999999998</v>
      </c>
      <c r="T86">
        <v>-0.77307809999999999</v>
      </c>
      <c r="U86">
        <v>-0.54525760000000001</v>
      </c>
      <c r="V86">
        <v>4.3878970000000003E-2</v>
      </c>
      <c r="W86">
        <v>1.831317E-2</v>
      </c>
      <c r="X86">
        <v>0.99886900000000001</v>
      </c>
      <c r="Y86">
        <v>0.16177139999999901</v>
      </c>
      <c r="Z86">
        <v>-1.6993040000000001E-2</v>
      </c>
      <c r="AA86">
        <v>0.9866819</v>
      </c>
      <c r="AB86">
        <v>4</v>
      </c>
      <c r="AC86">
        <v>0.64770000000004302</v>
      </c>
      <c r="AD86">
        <v>-0.178177799999999</v>
      </c>
      <c r="AE86">
        <v>-0.12550000000004499</v>
      </c>
      <c r="AF86">
        <v>0.10860608165054</v>
      </c>
      <c r="AG86">
        <v>-0.178177799999999</v>
      </c>
      <c r="AH86">
        <v>0.60523003797820896</v>
      </c>
      <c r="AI86">
        <v>106.15991757705299</v>
      </c>
      <c r="AJ86">
        <v>79.826777491050706</v>
      </c>
      <c r="AK86">
        <v>0.64019216510000199</v>
      </c>
      <c r="AL86">
        <v>88.950673999521101</v>
      </c>
      <c r="AM86">
        <v>87.484690687154199</v>
      </c>
      <c r="AN86">
        <v>1.0000000076823501</v>
      </c>
    </row>
    <row r="87" spans="1:40" x14ac:dyDescent="0.25">
      <c r="A87" t="str">
        <f>"20190312160906781"</f>
        <v>20190312160906781</v>
      </c>
      <c r="B87" t="str">
        <f>"1552378146774934"</f>
        <v>1552378146774934</v>
      </c>
      <c r="C87" t="s">
        <v>40</v>
      </c>
      <c r="D87">
        <v>5.9850529999999997</v>
      </c>
      <c r="E87">
        <v>0.54465940000000002</v>
      </c>
      <c r="F87" t="s">
        <v>42</v>
      </c>
      <c r="G87">
        <v>-471.71910000000003</v>
      </c>
      <c r="H87">
        <v>0.94288930000000004</v>
      </c>
      <c r="I87">
        <v>367.03649999999999</v>
      </c>
      <c r="J87">
        <v>-472.3664</v>
      </c>
      <c r="K87">
        <v>1.109972</v>
      </c>
      <c r="L87">
        <v>367.15690000000001</v>
      </c>
      <c r="M87">
        <v>0.99984689999999998</v>
      </c>
      <c r="N87">
        <v>0</v>
      </c>
      <c r="O87">
        <v>-1.3832550000000001E-2</v>
      </c>
      <c r="P87">
        <v>0.9982799</v>
      </c>
      <c r="Q87">
        <v>8.3498840000000001E-3</v>
      </c>
      <c r="R87">
        <v>-5.8031199999999998E-2</v>
      </c>
      <c r="S87">
        <v>2.980286</v>
      </c>
      <c r="T87">
        <v>-0.71753919999999904</v>
      </c>
      <c r="U87">
        <v>-0.51712040000000004</v>
      </c>
      <c r="V87">
        <v>4.4216940000000003E-2</v>
      </c>
      <c r="W87">
        <v>1.9057379999999999E-2</v>
      </c>
      <c r="X87">
        <v>0.99884019999999996</v>
      </c>
      <c r="Y87">
        <v>0.153441299999999</v>
      </c>
      <c r="Z87">
        <v>-1.4822439999999999E-2</v>
      </c>
      <c r="AA87">
        <v>0.9880466</v>
      </c>
      <c r="AB87">
        <v>4</v>
      </c>
      <c r="AC87">
        <v>0.64729999999997201</v>
      </c>
      <c r="AD87">
        <v>-0.167082699999999</v>
      </c>
      <c r="AE87">
        <v>-0.12040000000001699</v>
      </c>
      <c r="AF87">
        <v>0.10469207077635399</v>
      </c>
      <c r="AG87">
        <v>-0.167082699999999</v>
      </c>
      <c r="AH87">
        <v>0.60964307510933602</v>
      </c>
      <c r="AI87">
        <v>105.115585056607</v>
      </c>
      <c r="AJ87">
        <v>80.255821362418004</v>
      </c>
      <c r="AK87">
        <v>0.64073530989910199</v>
      </c>
      <c r="AL87">
        <v>88.908026489177203</v>
      </c>
      <c r="AM87">
        <v>87.465269144932194</v>
      </c>
      <c r="AN87">
        <v>1.00000003332573</v>
      </c>
    </row>
    <row r="88" spans="1:40" x14ac:dyDescent="0.25">
      <c r="A88" t="str">
        <f>"20190312160906805"</f>
        <v>20190312160906805</v>
      </c>
      <c r="B88" t="str">
        <f>"1552378146795430"</f>
        <v>1552378146795430</v>
      </c>
      <c r="C88" t="s">
        <v>40</v>
      </c>
      <c r="D88">
        <v>5.7121729999999999</v>
      </c>
      <c r="E88">
        <v>0.5455989</v>
      </c>
      <c r="F88" t="s">
        <v>42</v>
      </c>
      <c r="G88">
        <v>-471.67939999999999</v>
      </c>
      <c r="H88">
        <v>0.94693450000000001</v>
      </c>
      <c r="I88">
        <v>367.03449999999998</v>
      </c>
      <c r="J88">
        <v>-472.327</v>
      </c>
      <c r="K88">
        <v>1.110444</v>
      </c>
      <c r="L88">
        <v>367.15629999999999</v>
      </c>
      <c r="M88">
        <v>0.99983140000000004</v>
      </c>
      <c r="N88">
        <v>0</v>
      </c>
      <c r="O88">
        <v>-1.383204E-2</v>
      </c>
      <c r="P88">
        <v>0.99828680000000003</v>
      </c>
      <c r="Q88">
        <v>7.6684309999999999E-3</v>
      </c>
      <c r="R88">
        <v>-5.8011359999999998E-2</v>
      </c>
      <c r="S88">
        <v>2.9803160000000002</v>
      </c>
      <c r="T88">
        <v>-0.70720890000000003</v>
      </c>
      <c r="U88">
        <v>-0.52938839999999998</v>
      </c>
      <c r="V88">
        <v>4.4197180000000003E-2</v>
      </c>
      <c r="W88">
        <v>1.974151E-2</v>
      </c>
      <c r="X88">
        <v>0.99882780000000004</v>
      </c>
      <c r="Y88">
        <v>0.15739040000000001</v>
      </c>
      <c r="Z88">
        <v>-1.5068399999999999E-2</v>
      </c>
      <c r="AA88">
        <v>0.98742149999999995</v>
      </c>
      <c r="AB88">
        <v>5</v>
      </c>
      <c r="AC88">
        <v>0.64760000000001094</v>
      </c>
      <c r="AD88">
        <v>-0.1635095</v>
      </c>
      <c r="AE88">
        <v>-0.121800000000007</v>
      </c>
      <c r="AF88">
        <v>0.106285947382768</v>
      </c>
      <c r="AG88">
        <v>-0.1635095</v>
      </c>
      <c r="AH88">
        <v>0.61156813174479896</v>
      </c>
      <c r="AI88">
        <v>104.757210956504</v>
      </c>
      <c r="AJ88">
        <v>80.140897712867798</v>
      </c>
      <c r="AK88">
        <v>0.64190936974554802</v>
      </c>
      <c r="AL88">
        <v>88.868821364517999</v>
      </c>
      <c r="AM88">
        <v>87.466368995702496</v>
      </c>
      <c r="AN88">
        <v>1.0000000459949301</v>
      </c>
    </row>
    <row r="89" spans="1:40" x14ac:dyDescent="0.25">
      <c r="A89" t="str">
        <f>"20190312160906826"</f>
        <v>20190312160906826</v>
      </c>
      <c r="B89" t="str">
        <f>"1552378146814950"</f>
        <v>1552378146814950</v>
      </c>
      <c r="C89" t="s">
        <v>40</v>
      </c>
      <c r="D89">
        <v>5.7228579999999996</v>
      </c>
      <c r="E89">
        <v>0.54596279999999997</v>
      </c>
      <c r="F89" t="s">
        <v>42</v>
      </c>
      <c r="G89">
        <v>-471.61840000000001</v>
      </c>
      <c r="H89">
        <v>0.94024470000000004</v>
      </c>
      <c r="I89">
        <v>367.02800000000002</v>
      </c>
      <c r="J89">
        <v>-472.29309999999998</v>
      </c>
      <c r="K89">
        <v>1.1109659999999999</v>
      </c>
      <c r="L89">
        <v>367.15589999999997</v>
      </c>
      <c r="M89">
        <v>0.99980599999999997</v>
      </c>
      <c r="N89">
        <v>0</v>
      </c>
      <c r="O89">
        <v>-1.3831929999999999E-2</v>
      </c>
      <c r="P89">
        <v>0.99830839999999998</v>
      </c>
      <c r="Q89">
        <v>5.7353119999999898E-3</v>
      </c>
      <c r="R89">
        <v>-5.7858180000000002E-2</v>
      </c>
      <c r="S89">
        <v>2.9793400000000001</v>
      </c>
      <c r="T89">
        <v>-0.71566390000000002</v>
      </c>
      <c r="U89">
        <v>-0.53820800000000002</v>
      </c>
      <c r="V89">
        <v>4.4043680000000002E-2</v>
      </c>
      <c r="W89">
        <v>1.9743900000000002E-2</v>
      </c>
      <c r="X89">
        <v>0.99883449999999996</v>
      </c>
      <c r="Y89">
        <v>0.1601108</v>
      </c>
      <c r="Z89">
        <v>-1.5564339999999999E-2</v>
      </c>
      <c r="AA89">
        <v>0.98697630000000003</v>
      </c>
      <c r="AB89">
        <v>4</v>
      </c>
      <c r="AC89">
        <v>0.67469999999997299</v>
      </c>
      <c r="AD89">
        <v>-0.17072129999999899</v>
      </c>
      <c r="AE89">
        <v>-0.12789999999995399</v>
      </c>
      <c r="AF89">
        <v>0.111653717833858</v>
      </c>
      <c r="AG89">
        <v>-0.17072129999999899</v>
      </c>
      <c r="AH89">
        <v>0.63703308792121505</v>
      </c>
      <c r="AI89">
        <v>104.787096019167</v>
      </c>
      <c r="AJ89">
        <v>80.058663984903404</v>
      </c>
      <c r="AK89">
        <v>0.66889720442400602</v>
      </c>
      <c r="AL89">
        <v>88.868684363428301</v>
      </c>
      <c r="AM89">
        <v>87.475173986439401</v>
      </c>
      <c r="AN89">
        <v>1.0000000128627</v>
      </c>
    </row>
    <row r="90" spans="1:40" x14ac:dyDescent="0.25">
      <c r="A90" t="str">
        <f>"20190312160906876"</f>
        <v>20190312160906876</v>
      </c>
      <c r="B90" t="str">
        <f>"1552378146864725"</f>
        <v>1552378146864725</v>
      </c>
      <c r="C90" t="s">
        <v>40</v>
      </c>
      <c r="D90">
        <v>5.6672880000000001</v>
      </c>
      <c r="E90">
        <v>0.54730029999999996</v>
      </c>
      <c r="F90" t="s">
        <v>42</v>
      </c>
      <c r="G90">
        <v>-471.59179999999998</v>
      </c>
      <c r="H90">
        <v>0.93774290000000005</v>
      </c>
      <c r="I90">
        <v>367.02760000000001</v>
      </c>
      <c r="J90">
        <v>-472.2149</v>
      </c>
      <c r="K90">
        <v>1.110676</v>
      </c>
      <c r="L90">
        <v>367.15480000000002</v>
      </c>
      <c r="M90">
        <v>0.99980869999999999</v>
      </c>
      <c r="N90">
        <v>0</v>
      </c>
      <c r="O90">
        <v>-1.3833649999999999E-2</v>
      </c>
      <c r="P90">
        <v>0.99826150000000002</v>
      </c>
      <c r="Q90">
        <v>6.4413930000000001E-3</v>
      </c>
      <c r="R90">
        <v>-5.858795E-2</v>
      </c>
      <c r="S90">
        <v>2.9779360000000001</v>
      </c>
      <c r="T90">
        <v>-0.73580040000000002</v>
      </c>
      <c r="U90">
        <v>-0.54141240000000002</v>
      </c>
      <c r="V90">
        <v>4.477242E-2</v>
      </c>
      <c r="W90">
        <v>2.0252570000000001E-2</v>
      </c>
      <c r="X90">
        <v>0.99879189999999995</v>
      </c>
      <c r="Y90">
        <v>0.16096440000000001</v>
      </c>
      <c r="Z90">
        <v>-1.6098379999999999E-2</v>
      </c>
      <c r="AA90">
        <v>0.98682890000000001</v>
      </c>
      <c r="AB90">
        <v>3</v>
      </c>
      <c r="AC90">
        <v>0.62310000000002197</v>
      </c>
      <c r="AD90">
        <v>-0.17293309999999901</v>
      </c>
      <c r="AE90">
        <v>-0.12720000000001599</v>
      </c>
      <c r="AF90">
        <v>0.110403463417932</v>
      </c>
      <c r="AG90">
        <v>-0.17293309999999901</v>
      </c>
      <c r="AH90">
        <v>0.58178038552560396</v>
      </c>
      <c r="AI90">
        <v>106.27971446182001</v>
      </c>
      <c r="AJ90">
        <v>79.254847418483195</v>
      </c>
      <c r="AK90">
        <v>0.61689804570334394</v>
      </c>
      <c r="AL90">
        <v>88.839533872244999</v>
      </c>
      <c r="AM90">
        <v>87.433344687480997</v>
      </c>
      <c r="AN90">
        <v>0.99999999784493498</v>
      </c>
    </row>
    <row r="91" spans="1:40" x14ac:dyDescent="0.25">
      <c r="A91" t="str">
        <f>"20190312160906915"</f>
        <v>20190312160906915</v>
      </c>
      <c r="B91" t="str">
        <f>"1552378146905248"</f>
        <v>1552378146905248</v>
      </c>
      <c r="C91" t="s">
        <v>40</v>
      </c>
      <c r="D91">
        <v>5.5858999999999996</v>
      </c>
      <c r="E91">
        <v>0.54682419999999998</v>
      </c>
      <c r="F91" t="s">
        <v>42</v>
      </c>
      <c r="G91">
        <v>-471.5224</v>
      </c>
      <c r="H91">
        <v>0.93696570000000001</v>
      </c>
      <c r="I91">
        <v>367.02589999999998</v>
      </c>
      <c r="J91">
        <v>-472.13909999999998</v>
      </c>
      <c r="K91">
        <v>1.110055</v>
      </c>
      <c r="L91">
        <v>367.15370000000001</v>
      </c>
      <c r="M91">
        <v>0.99983920000000004</v>
      </c>
      <c r="N91">
        <v>0</v>
      </c>
      <c r="O91">
        <v>-1.3831960000000001E-2</v>
      </c>
      <c r="P91">
        <v>0.99827949999999999</v>
      </c>
      <c r="Q91">
        <v>8.948793E-3</v>
      </c>
      <c r="R91">
        <v>-5.7948939999999997E-2</v>
      </c>
      <c r="S91">
        <v>2.9776310000000001</v>
      </c>
      <c r="T91">
        <v>-0.74707579999999996</v>
      </c>
      <c r="U91">
        <v>-0.55224609999999996</v>
      </c>
      <c r="V91">
        <v>4.4135340000000002E-2</v>
      </c>
      <c r="W91">
        <v>2.0352220000000001E-2</v>
      </c>
      <c r="X91">
        <v>0.99881819999999999</v>
      </c>
      <c r="Y91">
        <v>0.16423099999999999</v>
      </c>
      <c r="Z91">
        <v>-1.6735199999999999E-2</v>
      </c>
      <c r="AA91">
        <v>0.98627989999999999</v>
      </c>
      <c r="AB91">
        <v>4</v>
      </c>
      <c r="AC91">
        <v>0.61669999999998004</v>
      </c>
      <c r="AD91">
        <v>-0.1730893</v>
      </c>
      <c r="AE91">
        <v>-0.127800000000036</v>
      </c>
      <c r="AF91">
        <v>0.11088191231454</v>
      </c>
      <c r="AG91">
        <v>-0.1730893</v>
      </c>
      <c r="AH91">
        <v>0.57497947438489605</v>
      </c>
      <c r="AI91">
        <v>106.46712200148001</v>
      </c>
      <c r="AJ91">
        <v>79.084788780140698</v>
      </c>
      <c r="AK91">
        <v>0.61061943976338595</v>
      </c>
      <c r="AL91">
        <v>88.833823136950897</v>
      </c>
      <c r="AM91">
        <v>87.469885116533902</v>
      </c>
      <c r="AN91">
        <v>0.99999996887354103</v>
      </c>
    </row>
    <row r="92" spans="1:40" x14ac:dyDescent="0.25">
      <c r="A92" t="str">
        <f>"20190312160906937"</f>
        <v>20190312160906937</v>
      </c>
      <c r="B92" t="str">
        <f>"1552378146924768"</f>
        <v>1552378146924768</v>
      </c>
      <c r="C92" t="s">
        <v>40</v>
      </c>
      <c r="D92">
        <v>5.8323090000000004</v>
      </c>
      <c r="E92">
        <v>0.5469522</v>
      </c>
      <c r="F92" t="s">
        <v>42</v>
      </c>
      <c r="G92">
        <v>-471.44510000000002</v>
      </c>
      <c r="H92">
        <v>0.94051229999999997</v>
      </c>
      <c r="I92">
        <v>367.0256</v>
      </c>
      <c r="J92">
        <v>-472.10359999999997</v>
      </c>
      <c r="K92">
        <v>1.110333</v>
      </c>
      <c r="L92">
        <v>367.15320000000003</v>
      </c>
      <c r="M92">
        <v>0.99983100000000003</v>
      </c>
      <c r="N92">
        <v>0</v>
      </c>
      <c r="O92">
        <v>-1.383232E-2</v>
      </c>
      <c r="P92">
        <v>0.99825839999999999</v>
      </c>
      <c r="Q92">
        <v>7.8143120000000003E-3</v>
      </c>
      <c r="R92">
        <v>-5.8472450000000002E-2</v>
      </c>
      <c r="S92">
        <v>2.9799190000000002</v>
      </c>
      <c r="T92">
        <v>-0.72812929999999998</v>
      </c>
      <c r="U92">
        <v>-0.54754639999999999</v>
      </c>
      <c r="V92">
        <v>4.4658669999999998E-2</v>
      </c>
      <c r="W92">
        <v>1.9912659999999999E-2</v>
      </c>
      <c r="X92">
        <v>0.99880389999999997</v>
      </c>
      <c r="Y92">
        <v>0.1628568</v>
      </c>
      <c r="Z92">
        <v>-1.6148760000000002E-2</v>
      </c>
      <c r="AA92">
        <v>0.98651750000000005</v>
      </c>
      <c r="AB92">
        <v>4</v>
      </c>
      <c r="AC92">
        <v>0.65849999999994602</v>
      </c>
      <c r="AD92">
        <v>-0.16982069999999999</v>
      </c>
      <c r="AE92">
        <v>-0.127600000000029</v>
      </c>
      <c r="AF92">
        <v>0.111341494910041</v>
      </c>
      <c r="AG92">
        <v>-0.16982069999999999</v>
      </c>
      <c r="AH92">
        <v>0.62043211832854495</v>
      </c>
      <c r="AI92">
        <v>105.078050526379</v>
      </c>
      <c r="AJ92">
        <v>79.826109937315294</v>
      </c>
      <c r="AK92">
        <v>0.65281851390025503</v>
      </c>
      <c r="AL92">
        <v>88.859013292499696</v>
      </c>
      <c r="AM92">
        <v>87.439887630582504</v>
      </c>
      <c r="AN92">
        <v>1.00000007074482</v>
      </c>
    </row>
    <row r="93" spans="1:40" x14ac:dyDescent="0.25">
      <c r="A93" t="str">
        <f>"20190312160906960"</f>
        <v>20190312160906960</v>
      </c>
      <c r="B93" t="str">
        <f>"1552378146955531"</f>
        <v>1552378146955531</v>
      </c>
      <c r="C93" t="s">
        <v>40</v>
      </c>
      <c r="D93">
        <v>5.8806979999999998</v>
      </c>
      <c r="E93">
        <v>0.54581769999999996</v>
      </c>
      <c r="F93" t="s">
        <v>42</v>
      </c>
      <c r="G93">
        <v>-471.41309999999999</v>
      </c>
      <c r="H93">
        <v>0.93993740000000003</v>
      </c>
      <c r="I93">
        <v>367.02550000000002</v>
      </c>
      <c r="J93">
        <v>-472.06880000000001</v>
      </c>
      <c r="K93">
        <v>1.1108389999999999</v>
      </c>
      <c r="L93">
        <v>367.15280000000001</v>
      </c>
      <c r="M93">
        <v>0.99980869999999999</v>
      </c>
      <c r="N93">
        <v>0</v>
      </c>
      <c r="O93">
        <v>-1.3833160000000001E-2</v>
      </c>
      <c r="P93">
        <v>0.99823499999999998</v>
      </c>
      <c r="Q93">
        <v>5.7823409999999999E-3</v>
      </c>
      <c r="R93">
        <v>-5.9105089999999999E-2</v>
      </c>
      <c r="S93">
        <v>2.9788209999999999</v>
      </c>
      <c r="T93">
        <v>-0.735106699999999</v>
      </c>
      <c r="U93">
        <v>-0.54965209999999998</v>
      </c>
      <c r="V93">
        <v>4.5290160000000003E-2</v>
      </c>
      <c r="W93">
        <v>1.95899E-2</v>
      </c>
      <c r="X93">
        <v>0.99878180000000005</v>
      </c>
      <c r="Y93">
        <v>0.16349339999999901</v>
      </c>
      <c r="Z93">
        <v>-1.6380369999999998E-2</v>
      </c>
      <c r="AA93">
        <v>0.98640839999999996</v>
      </c>
      <c r="AB93">
        <v>4</v>
      </c>
      <c r="AC93">
        <v>0.65570000000002404</v>
      </c>
      <c r="AD93">
        <v>-0.17090159999999899</v>
      </c>
      <c r="AE93">
        <v>-0.127299999999991</v>
      </c>
      <c r="AF93">
        <v>0.11095294000817101</v>
      </c>
      <c r="AG93">
        <v>-0.17090159999999899</v>
      </c>
      <c r="AH93">
        <v>0.61700569611363298</v>
      </c>
      <c r="AI93">
        <v>105.24901286199901</v>
      </c>
      <c r="AJ93">
        <v>79.805748495593605</v>
      </c>
      <c r="AK93">
        <v>0.64977991721480999</v>
      </c>
      <c r="AL93">
        <v>88.877509632102402</v>
      </c>
      <c r="AM93">
        <v>87.403678521684498</v>
      </c>
      <c r="AN93">
        <v>1.00000002339303</v>
      </c>
    </row>
    <row r="94" spans="1:40" x14ac:dyDescent="0.25">
      <c r="A94" t="str">
        <f>"20190312160906981"</f>
        <v>20190312160906981</v>
      </c>
      <c r="B94" t="str">
        <f>"1552378146965291"</f>
        <v>1552378146965291</v>
      </c>
      <c r="C94" t="s">
        <v>40</v>
      </c>
      <c r="D94">
        <v>5.8598030000000003</v>
      </c>
      <c r="E94">
        <v>0.54533880000000001</v>
      </c>
      <c r="F94" t="s">
        <v>42</v>
      </c>
      <c r="G94">
        <v>-471.38310000000001</v>
      </c>
      <c r="H94">
        <v>0.9424534</v>
      </c>
      <c r="I94">
        <v>367.02730000000003</v>
      </c>
      <c r="J94">
        <v>-472.03390000000002</v>
      </c>
      <c r="K94">
        <v>1.1107739999999999</v>
      </c>
      <c r="L94">
        <v>367.15230000000003</v>
      </c>
      <c r="M94">
        <v>0.99980939999999996</v>
      </c>
      <c r="N94">
        <v>0</v>
      </c>
      <c r="O94">
        <v>-1.383447E-2</v>
      </c>
      <c r="P94">
        <v>0.99821780000000004</v>
      </c>
      <c r="Q94">
        <v>5.9327889999999999E-3</v>
      </c>
      <c r="R94">
        <v>-5.938235E-2</v>
      </c>
      <c r="S94">
        <v>2.9774479999999999</v>
      </c>
      <c r="T94">
        <v>-0.73118190000000005</v>
      </c>
      <c r="U94">
        <v>-0.54226680000000005</v>
      </c>
      <c r="V94">
        <v>4.5566389999999998E-2</v>
      </c>
      <c r="W94">
        <v>1.9689539999999998E-2</v>
      </c>
      <c r="X94">
        <v>0.99876730000000002</v>
      </c>
      <c r="Y94">
        <v>0.16130810000000001</v>
      </c>
      <c r="Z94">
        <v>-1.6043370000000001E-2</v>
      </c>
      <c r="AA94">
        <v>0.98677369999999998</v>
      </c>
      <c r="AB94">
        <v>4</v>
      </c>
      <c r="AC94">
        <v>0.65080000000000304</v>
      </c>
      <c r="AD94">
        <v>-0.16832059999999899</v>
      </c>
      <c r="AE94">
        <v>-0.125</v>
      </c>
      <c r="AF94">
        <v>0.108954728247905</v>
      </c>
      <c r="AG94">
        <v>-0.16832059999999899</v>
      </c>
      <c r="AH94">
        <v>0.61292560503188898</v>
      </c>
      <c r="AI94">
        <v>105.12984745806099</v>
      </c>
      <c r="AJ94">
        <v>79.920292197515295</v>
      </c>
      <c r="AK94">
        <v>0.64488817208539495</v>
      </c>
      <c r="AL94">
        <v>88.871799605736499</v>
      </c>
      <c r="AM94">
        <v>87.387827248914604</v>
      </c>
      <c r="AN94">
        <v>1.0000000467161601</v>
      </c>
    </row>
    <row r="95" spans="1:40" x14ac:dyDescent="0.25">
      <c r="A95" t="str">
        <f>"20190312160907026"</f>
        <v>20190312160907026</v>
      </c>
      <c r="B95" t="str">
        <f>"1552378147015068"</f>
        <v>1552378147015068</v>
      </c>
      <c r="C95" t="s">
        <v>40</v>
      </c>
      <c r="D95">
        <v>5.6277019999999904</v>
      </c>
      <c r="E95">
        <v>0.5431243</v>
      </c>
      <c r="F95" t="s">
        <v>42</v>
      </c>
      <c r="G95">
        <v>-471.34890000000001</v>
      </c>
      <c r="H95">
        <v>0.94391499999999995</v>
      </c>
      <c r="I95">
        <v>367.02769999999998</v>
      </c>
      <c r="J95">
        <v>-471.94659999999999</v>
      </c>
      <c r="K95">
        <v>1.1098650000000001</v>
      </c>
      <c r="L95">
        <v>367.15109999999999</v>
      </c>
      <c r="M95">
        <v>0.99985020000000002</v>
      </c>
      <c r="N95">
        <v>0</v>
      </c>
      <c r="O95">
        <v>-1.3834539999999999E-2</v>
      </c>
      <c r="P95">
        <v>0.99817739999999999</v>
      </c>
      <c r="Q95">
        <v>9.6564029999999992E-3</v>
      </c>
      <c r="R95">
        <v>-5.9570489999999997E-2</v>
      </c>
      <c r="S95">
        <v>2.9775390000000002</v>
      </c>
      <c r="T95">
        <v>-0.72536339999999999</v>
      </c>
      <c r="U95">
        <v>-0.53958130000000004</v>
      </c>
      <c r="V95">
        <v>4.5755749999999998E-2</v>
      </c>
      <c r="W95">
        <v>2.0061880000000001E-2</v>
      </c>
      <c r="X95">
        <v>0.99875119999999895</v>
      </c>
      <c r="Y95">
        <v>0.16052939999999999</v>
      </c>
      <c r="Z95">
        <v>-1.582737E-2</v>
      </c>
      <c r="AA95">
        <v>0.98690409999999995</v>
      </c>
      <c r="AB95">
        <v>3</v>
      </c>
      <c r="AC95">
        <v>0.59769999999997403</v>
      </c>
      <c r="AD95">
        <v>-0.16594999999999899</v>
      </c>
      <c r="AE95">
        <v>-0.12340000000000299</v>
      </c>
      <c r="AF95">
        <v>0.107193320027602</v>
      </c>
      <c r="AG95">
        <v>-0.16594999999999899</v>
      </c>
      <c r="AH95">
        <v>0.55808697449356703</v>
      </c>
      <c r="AI95">
        <v>106.278719035664</v>
      </c>
      <c r="AJ95">
        <v>79.127452652083306</v>
      </c>
      <c r="AK95">
        <v>0.592022703498712</v>
      </c>
      <c r="AL95">
        <v>88.850461842901495</v>
      </c>
      <c r="AM95">
        <v>87.376944762208694</v>
      </c>
      <c r="AN95">
        <v>1.0000000135943099</v>
      </c>
    </row>
    <row r="96" spans="1:40" x14ac:dyDescent="0.25">
      <c r="A96" t="str">
        <f>"20190312160907049"</f>
        <v>20190312160907049</v>
      </c>
      <c r="B96" t="str">
        <f>"1552378147035563"</f>
        <v>1552378147035563</v>
      </c>
      <c r="C96" t="s">
        <v>40</v>
      </c>
      <c r="D96">
        <v>5.6517939999999998</v>
      </c>
      <c r="E96">
        <v>0.54320559999999996</v>
      </c>
      <c r="F96" t="s">
        <v>42</v>
      </c>
      <c r="G96">
        <v>-471.23309999999998</v>
      </c>
      <c r="H96">
        <v>0.94411639999999997</v>
      </c>
      <c r="I96">
        <v>367.02539999999999</v>
      </c>
      <c r="J96">
        <v>-471.90519999999998</v>
      </c>
      <c r="K96">
        <v>1.1100920000000001</v>
      </c>
      <c r="L96">
        <v>367.15050000000002</v>
      </c>
      <c r="M96">
        <v>0.99984580000000001</v>
      </c>
      <c r="N96">
        <v>0</v>
      </c>
      <c r="O96">
        <v>-1.3833669999999999E-2</v>
      </c>
      <c r="P96">
        <v>0.99815319999999996</v>
      </c>
      <c r="Q96">
        <v>9.1357000000000001E-3</v>
      </c>
      <c r="R96">
        <v>-6.005771E-2</v>
      </c>
      <c r="S96">
        <v>2.980988</v>
      </c>
      <c r="T96">
        <v>-0.69262900000000005</v>
      </c>
      <c r="U96">
        <v>-0.5224915</v>
      </c>
      <c r="V96">
        <v>4.6243960000000001E-2</v>
      </c>
      <c r="W96">
        <v>1.9940309999999999E-2</v>
      </c>
      <c r="X96">
        <v>0.99873109999999998</v>
      </c>
      <c r="Y96">
        <v>0.15534319999999999</v>
      </c>
      <c r="Z96">
        <v>-1.453202E-2</v>
      </c>
      <c r="AA96">
        <v>0.98775369999999996</v>
      </c>
      <c r="AB96">
        <v>5</v>
      </c>
      <c r="AC96">
        <v>0.67210000000000003</v>
      </c>
      <c r="AD96">
        <v>-0.1659756</v>
      </c>
      <c r="AE96">
        <v>-0.12510000000003099</v>
      </c>
      <c r="AF96">
        <v>0.10934480921133299</v>
      </c>
      <c r="AG96">
        <v>-0.1659756</v>
      </c>
      <c r="AH96">
        <v>0.63626336913847803</v>
      </c>
      <c r="AI96">
        <v>104.417989446571</v>
      </c>
      <c r="AJ96">
        <v>80.248708397879298</v>
      </c>
      <c r="AK96">
        <v>0.66658477480682898</v>
      </c>
      <c r="AL96">
        <v>88.857428628803504</v>
      </c>
      <c r="AM96">
        <v>87.3489434236226</v>
      </c>
      <c r="AN96">
        <v>0.99999996495329302</v>
      </c>
    </row>
    <row r="97" spans="1:40" x14ac:dyDescent="0.25">
      <c r="A97" t="str">
        <f>"20190312160907071"</f>
        <v>20190312160907071</v>
      </c>
      <c r="B97" t="str">
        <f>"1552378147064843"</f>
        <v>1552378147064843</v>
      </c>
      <c r="C97" t="s">
        <v>40</v>
      </c>
      <c r="D97">
        <v>5.6308160000000003</v>
      </c>
      <c r="E97">
        <v>0.54304560000000002</v>
      </c>
      <c r="F97" t="s">
        <v>42</v>
      </c>
      <c r="G97">
        <v>-471.2004</v>
      </c>
      <c r="H97">
        <v>0.94326670000000001</v>
      </c>
      <c r="I97">
        <v>367.02640000000002</v>
      </c>
      <c r="J97">
        <v>-471.86930000000001</v>
      </c>
      <c r="K97">
        <v>1.1106100000000001</v>
      </c>
      <c r="L97">
        <v>367.15</v>
      </c>
      <c r="M97">
        <v>0.99982680000000002</v>
      </c>
      <c r="N97">
        <v>0</v>
      </c>
      <c r="O97">
        <v>-1.3833150000000001E-2</v>
      </c>
      <c r="P97">
        <v>0.99816740000000004</v>
      </c>
      <c r="Q97">
        <v>7.4241419999999999E-3</v>
      </c>
      <c r="R97">
        <v>-6.0054929999999999E-2</v>
      </c>
      <c r="S97">
        <v>2.980499</v>
      </c>
      <c r="T97">
        <v>-0.70566110000000004</v>
      </c>
      <c r="U97">
        <v>-0.52395630000000004</v>
      </c>
      <c r="V97">
        <v>4.6241280000000003E-2</v>
      </c>
      <c r="W97">
        <v>1.985402E-2</v>
      </c>
      <c r="X97">
        <v>0.99873299999999998</v>
      </c>
      <c r="Y97">
        <v>0.15569459999999999</v>
      </c>
      <c r="Z97">
        <v>-1.4840839999999999E-2</v>
      </c>
      <c r="AA97">
        <v>0.98769370000000001</v>
      </c>
      <c r="AB97">
        <v>4</v>
      </c>
      <c r="AC97">
        <v>0.66890000000000704</v>
      </c>
      <c r="AD97">
        <v>-0.1673433</v>
      </c>
      <c r="AE97">
        <v>-0.123599999999953</v>
      </c>
      <c r="AF97">
        <v>0.107809607823786</v>
      </c>
      <c r="AG97">
        <v>-0.1673433</v>
      </c>
      <c r="AH97">
        <v>0.63227910426713396</v>
      </c>
      <c r="AI97">
        <v>104.622578318103</v>
      </c>
      <c r="AJ97">
        <v>80.323583609043396</v>
      </c>
      <c r="AK97">
        <v>0.66287521999759402</v>
      </c>
      <c r="AL97">
        <v>88.862373725302504</v>
      </c>
      <c r="AM97">
        <v>87.349101878412</v>
      </c>
      <c r="AN97">
        <v>1.0000000216875899</v>
      </c>
    </row>
    <row r="98" spans="1:40" x14ac:dyDescent="0.25">
      <c r="A98" t="str">
        <f>"20190312160907093"</f>
        <v>20190312160907093</v>
      </c>
      <c r="B98" t="str">
        <f>"1552378147084869"</f>
        <v>1552378147084869</v>
      </c>
      <c r="C98" t="s">
        <v>40</v>
      </c>
      <c r="D98">
        <v>5.8520269999999996</v>
      </c>
      <c r="E98">
        <v>0.54313219999999995</v>
      </c>
      <c r="F98" t="s">
        <v>42</v>
      </c>
      <c r="G98">
        <v>-471.17149999999998</v>
      </c>
      <c r="H98">
        <v>0.94145909999999999</v>
      </c>
      <c r="I98">
        <v>367.02690000000001</v>
      </c>
      <c r="J98">
        <v>-471.83839999999998</v>
      </c>
      <c r="K98">
        <v>1.1110799999999901</v>
      </c>
      <c r="L98">
        <v>367.14949999999999</v>
      </c>
      <c r="M98">
        <v>0.99980259999999999</v>
      </c>
      <c r="N98">
        <v>0</v>
      </c>
      <c r="O98">
        <v>-1.38339E-2</v>
      </c>
      <c r="P98">
        <v>0.9982067</v>
      </c>
      <c r="Q98">
        <v>5.7398269999999899E-3</v>
      </c>
      <c r="R98">
        <v>-5.9588509999999997E-2</v>
      </c>
      <c r="S98">
        <v>2.9794619999999998</v>
      </c>
      <c r="T98">
        <v>-0.72244160000000002</v>
      </c>
      <c r="U98">
        <v>-0.52239990000000003</v>
      </c>
      <c r="V98">
        <v>4.5773260000000003E-2</v>
      </c>
      <c r="W98">
        <v>1.9995140000000002E-2</v>
      </c>
      <c r="X98">
        <v>0.99875170000000002</v>
      </c>
      <c r="Y98">
        <v>0.1550851</v>
      </c>
      <c r="Z98">
        <v>-1.511729E-2</v>
      </c>
      <c r="AA98">
        <v>0.98778549999999998</v>
      </c>
      <c r="AB98">
        <v>4</v>
      </c>
      <c r="AC98">
        <v>0.66689999999999805</v>
      </c>
      <c r="AD98">
        <v>-0.16962089999999899</v>
      </c>
      <c r="AE98">
        <v>-0.12259999999997701</v>
      </c>
      <c r="AF98">
        <v>0.106685619478411</v>
      </c>
      <c r="AG98">
        <v>-0.16962089999999899</v>
      </c>
      <c r="AH98">
        <v>0.629162381076671</v>
      </c>
      <c r="AI98">
        <v>104.88524530488699</v>
      </c>
      <c r="AJ98">
        <v>80.376029509691406</v>
      </c>
      <c r="AK98">
        <v>0.66030172866831705</v>
      </c>
      <c r="AL98">
        <v>88.854286489131397</v>
      </c>
      <c r="AM98">
        <v>87.375943675185297</v>
      </c>
      <c r="AN98">
        <v>0.99999997760376802</v>
      </c>
    </row>
    <row r="99" spans="1:40" x14ac:dyDescent="0.25">
      <c r="A99" t="str">
        <f>"20190312160907115"</f>
        <v>20190312160907115</v>
      </c>
      <c r="B99" t="str">
        <f>"1552378147105366"</f>
        <v>1552378147105366</v>
      </c>
      <c r="C99" t="s">
        <v>40</v>
      </c>
      <c r="D99">
        <v>5.6821989999999998</v>
      </c>
      <c r="E99">
        <v>0.54290499999999997</v>
      </c>
      <c r="F99" t="s">
        <v>42</v>
      </c>
      <c r="G99">
        <v>-471.14429999999999</v>
      </c>
      <c r="H99">
        <v>0.94162950000000001</v>
      </c>
      <c r="I99">
        <v>367.02749999999997</v>
      </c>
      <c r="J99">
        <v>-471.80579999999998</v>
      </c>
      <c r="K99">
        <v>1.111132</v>
      </c>
      <c r="L99">
        <v>367.14909999999998</v>
      </c>
      <c r="M99">
        <v>0.99979379999999995</v>
      </c>
      <c r="N99">
        <v>0</v>
      </c>
      <c r="O99">
        <v>-1.383493E-2</v>
      </c>
      <c r="P99">
        <v>0.99820889999999995</v>
      </c>
      <c r="Q99">
        <v>5.2286299999999997E-3</v>
      </c>
      <c r="R99">
        <v>-5.9597020000000001E-2</v>
      </c>
      <c r="S99">
        <v>2.9783629999999999</v>
      </c>
      <c r="T99">
        <v>-0.72711870000000001</v>
      </c>
      <c r="U99">
        <v>-0.52285769999999998</v>
      </c>
      <c r="V99">
        <v>4.5780649999999999E-2</v>
      </c>
      <c r="W99">
        <v>2.0074270000000002E-2</v>
      </c>
      <c r="X99">
        <v>0.99874980000000002</v>
      </c>
      <c r="Y99">
        <v>0.1552354</v>
      </c>
      <c r="Z99">
        <v>-1.523529E-2</v>
      </c>
      <c r="AA99">
        <v>0.98775999999999997</v>
      </c>
      <c r="AB99">
        <v>3</v>
      </c>
      <c r="AC99">
        <v>0.66149999999998899</v>
      </c>
      <c r="AD99">
        <v>-0.1695025</v>
      </c>
      <c r="AE99">
        <v>-0.1216</v>
      </c>
      <c r="AF99">
        <v>0.10572093560540199</v>
      </c>
      <c r="AG99">
        <v>-0.1695025</v>
      </c>
      <c r="AH99">
        <v>0.62351797154934896</v>
      </c>
      <c r="AI99">
        <v>105.003956634725</v>
      </c>
      <c r="AJ99">
        <v>80.376706070474199</v>
      </c>
      <c r="AK99">
        <v>0.65473863073484995</v>
      </c>
      <c r="AL99">
        <v>88.849751793732693</v>
      </c>
      <c r="AM99">
        <v>87.375515633136601</v>
      </c>
      <c r="AN99">
        <v>1.0000000036152401</v>
      </c>
    </row>
    <row r="100" spans="1:40" x14ac:dyDescent="0.25">
      <c r="A100" t="str">
        <f>"20190312160907160"</f>
        <v>20190312160907160</v>
      </c>
      <c r="B100" t="str">
        <f>"1552378147156118"</f>
        <v>1552378147156118</v>
      </c>
      <c r="C100" t="s">
        <v>40</v>
      </c>
      <c r="D100">
        <v>5.58847</v>
      </c>
      <c r="E100">
        <v>0.54163309999999998</v>
      </c>
      <c r="F100" t="s">
        <v>42</v>
      </c>
      <c r="G100">
        <v>-471.1121</v>
      </c>
      <c r="H100">
        <v>0.94171179999999999</v>
      </c>
      <c r="I100">
        <v>367.02730000000003</v>
      </c>
      <c r="J100">
        <v>-471.72320000000002</v>
      </c>
      <c r="K100">
        <v>1.1101080000000001</v>
      </c>
      <c r="L100">
        <v>367.14789999999999</v>
      </c>
      <c r="M100">
        <v>0.99983719999999998</v>
      </c>
      <c r="N100">
        <v>0</v>
      </c>
      <c r="O100">
        <v>-1.383362E-2</v>
      </c>
      <c r="P100">
        <v>0.99818410000000002</v>
      </c>
      <c r="Q100">
        <v>7.5174439999999999E-3</v>
      </c>
      <c r="R100">
        <v>-5.976675E-2</v>
      </c>
      <c r="S100">
        <v>2.9780579999999999</v>
      </c>
      <c r="T100">
        <v>-0.7274214</v>
      </c>
      <c r="U100">
        <v>-0.52133180000000001</v>
      </c>
      <c r="V100">
        <v>4.59525E-2</v>
      </c>
      <c r="W100">
        <v>1.9085979999999999E-2</v>
      </c>
      <c r="X100">
        <v>0.99876129999999996</v>
      </c>
      <c r="Y100">
        <v>0.1547721</v>
      </c>
      <c r="Z100">
        <v>-1.5188689999999999E-2</v>
      </c>
      <c r="AA100">
        <v>0.98783339999999997</v>
      </c>
      <c r="AB100">
        <v>3</v>
      </c>
      <c r="AC100">
        <v>0.61110000000002096</v>
      </c>
      <c r="AD100">
        <v>-0.1683962</v>
      </c>
      <c r="AE100">
        <v>-0.120599999999967</v>
      </c>
      <c r="AF100">
        <v>0.10449669907301699</v>
      </c>
      <c r="AG100">
        <v>-0.1683962</v>
      </c>
      <c r="AH100">
        <v>0.57097823976560202</v>
      </c>
      <c r="AI100">
        <v>106.177833603189</v>
      </c>
      <c r="AJ100">
        <v>79.628875014315398</v>
      </c>
      <c r="AK100">
        <v>0.604394730765765</v>
      </c>
      <c r="AL100">
        <v>88.906387517960098</v>
      </c>
      <c r="AM100">
        <v>87.365708065939003</v>
      </c>
      <c r="AN100">
        <v>1.00000002063325</v>
      </c>
    </row>
    <row r="101" spans="1:40" x14ac:dyDescent="0.25">
      <c r="A101" t="str">
        <f>"20190312160907182"</f>
        <v>20190312160907182</v>
      </c>
      <c r="B101" t="str">
        <f>"1552378147174661"</f>
        <v>1552378147174661</v>
      </c>
      <c r="C101" t="s">
        <v>40</v>
      </c>
      <c r="D101">
        <v>5.5081879999999996</v>
      </c>
      <c r="E101">
        <v>0.54140390000000005</v>
      </c>
      <c r="F101" t="s">
        <v>42</v>
      </c>
      <c r="G101">
        <v>-471.03480000000002</v>
      </c>
      <c r="H101">
        <v>0.94655040000000001</v>
      </c>
      <c r="I101">
        <v>367.02980000000002</v>
      </c>
      <c r="J101">
        <v>-471.68329999999997</v>
      </c>
      <c r="K101">
        <v>1.1100479999999999</v>
      </c>
      <c r="L101">
        <v>367.1474</v>
      </c>
      <c r="M101">
        <v>0.99984289999999998</v>
      </c>
      <c r="N101">
        <v>0</v>
      </c>
      <c r="O101">
        <v>-1.383359E-2</v>
      </c>
      <c r="P101">
        <v>0.99815359999999997</v>
      </c>
      <c r="Q101">
        <v>8.1516869999999995E-3</v>
      </c>
      <c r="R101">
        <v>-6.0194570000000003E-2</v>
      </c>
      <c r="S101">
        <v>2.9802249999999999</v>
      </c>
      <c r="T101">
        <v>-0.70812180000000002</v>
      </c>
      <c r="U101">
        <v>-0.51013180000000002</v>
      </c>
      <c r="V101">
        <v>4.6380749999999998E-2</v>
      </c>
      <c r="W101">
        <v>1.92271E-2</v>
      </c>
      <c r="X101">
        <v>0.99873880000000004</v>
      </c>
      <c r="Y101">
        <v>0.15134739999999999</v>
      </c>
      <c r="Z101">
        <v>-1.4392250000000001E-2</v>
      </c>
      <c r="AA101">
        <v>0.98837580000000003</v>
      </c>
      <c r="AB101">
        <v>4</v>
      </c>
      <c r="AC101">
        <v>0.648499999999955</v>
      </c>
      <c r="AD101">
        <v>-0.16349759999999899</v>
      </c>
      <c r="AE101">
        <v>-0.117599999999981</v>
      </c>
      <c r="AF101">
        <v>0.10232040874305</v>
      </c>
      <c r="AG101">
        <v>-0.16349759999999899</v>
      </c>
      <c r="AH101">
        <v>0.61237959705983702</v>
      </c>
      <c r="AI101">
        <v>104.753145663751</v>
      </c>
      <c r="AJ101">
        <v>80.514270720842802</v>
      </c>
      <c r="AK101">
        <v>0.64203559258523502</v>
      </c>
      <c r="AL101">
        <v>88.898300456303502</v>
      </c>
      <c r="AM101">
        <v>87.341133284259698</v>
      </c>
      <c r="AN101">
        <v>1.0000000229852</v>
      </c>
    </row>
    <row r="102" spans="1:40" x14ac:dyDescent="0.25">
      <c r="A102" t="str">
        <f>"20190312160907205"</f>
        <v>20190312160907205</v>
      </c>
      <c r="B102" t="str">
        <f>"1552378147195158"</f>
        <v>1552378147195158</v>
      </c>
      <c r="C102" t="s">
        <v>40</v>
      </c>
      <c r="D102">
        <v>5.861707</v>
      </c>
      <c r="E102">
        <v>0.540879</v>
      </c>
      <c r="F102" t="s">
        <v>42</v>
      </c>
      <c r="G102">
        <v>-470.99779999999998</v>
      </c>
      <c r="H102">
        <v>0.94780039999999999</v>
      </c>
      <c r="I102">
        <v>367.02969999999999</v>
      </c>
      <c r="J102">
        <v>-471.64620000000002</v>
      </c>
      <c r="K102">
        <v>1.1104670000000001</v>
      </c>
      <c r="L102">
        <v>367.14690000000002</v>
      </c>
      <c r="M102">
        <v>0.99982879999999996</v>
      </c>
      <c r="N102">
        <v>0</v>
      </c>
      <c r="O102">
        <v>-1.3833929999999999E-2</v>
      </c>
      <c r="P102">
        <v>0.99811139999999998</v>
      </c>
      <c r="Q102">
        <v>7.6867019999999897E-3</v>
      </c>
      <c r="R102">
        <v>-6.0947880000000003E-2</v>
      </c>
      <c r="S102">
        <v>2.9805600000000001</v>
      </c>
      <c r="T102">
        <v>-0.70562009999999997</v>
      </c>
      <c r="U102">
        <v>-0.50970459999999995</v>
      </c>
      <c r="V102">
        <v>4.713415E-2</v>
      </c>
      <c r="W102">
        <v>1.9971300000000001E-2</v>
      </c>
      <c r="X102">
        <v>0.99868889999999999</v>
      </c>
      <c r="Y102">
        <v>0.15122070000000001</v>
      </c>
      <c r="Z102">
        <v>-1.432655E-2</v>
      </c>
      <c r="AA102">
        <v>0.98839619999999995</v>
      </c>
      <c r="AB102">
        <v>4</v>
      </c>
      <c r="AC102">
        <v>0.64840000000003695</v>
      </c>
      <c r="AD102">
        <v>-0.16266659999999999</v>
      </c>
      <c r="AE102">
        <v>-0.11720000000002501</v>
      </c>
      <c r="AF102">
        <v>0.10200155089234</v>
      </c>
      <c r="AG102">
        <v>-0.16266659999999999</v>
      </c>
      <c r="AH102">
        <v>0.61262223799623305</v>
      </c>
      <c r="AI102">
        <v>104.677180941773</v>
      </c>
      <c r="AJ102">
        <v>80.546973958436993</v>
      </c>
      <c r="AK102">
        <v>0.64200525358248905</v>
      </c>
      <c r="AL102">
        <v>88.855652718932404</v>
      </c>
      <c r="AM102">
        <v>87.297871853356199</v>
      </c>
      <c r="AN102">
        <v>0.99999999995156097</v>
      </c>
    </row>
    <row r="103" spans="1:40" x14ac:dyDescent="0.25">
      <c r="A103" t="str">
        <f>"20190312160907226"</f>
        <v>20190312160907226</v>
      </c>
      <c r="B103" t="str">
        <f>"1552378147214678"</f>
        <v>1552378147214678</v>
      </c>
      <c r="C103" t="s">
        <v>40</v>
      </c>
      <c r="D103">
        <v>5.8874199999999997</v>
      </c>
      <c r="E103">
        <v>0.54044729999999996</v>
      </c>
      <c r="F103" t="s">
        <v>42</v>
      </c>
      <c r="G103">
        <v>-470.93880000000001</v>
      </c>
      <c r="H103">
        <v>0.9439824</v>
      </c>
      <c r="I103">
        <v>367.02609999999999</v>
      </c>
      <c r="J103">
        <v>-471.61529999999999</v>
      </c>
      <c r="K103">
        <v>1.110867</v>
      </c>
      <c r="L103">
        <v>367.14640000000003</v>
      </c>
      <c r="M103">
        <v>0.99980959999999997</v>
      </c>
      <c r="N103">
        <v>0</v>
      </c>
      <c r="O103">
        <v>-1.383478E-2</v>
      </c>
      <c r="P103">
        <v>0.99809210000000004</v>
      </c>
      <c r="Q103">
        <v>6.2727449999999997E-3</v>
      </c>
      <c r="R103">
        <v>-6.1425149999999998E-2</v>
      </c>
      <c r="S103">
        <v>2.9801329999999999</v>
      </c>
      <c r="T103">
        <v>-0.70147349999999997</v>
      </c>
      <c r="U103">
        <v>-0.50726320000000003</v>
      </c>
      <c r="V103">
        <v>4.7610619999999999E-2</v>
      </c>
      <c r="W103">
        <v>2.0019929999999998E-2</v>
      </c>
      <c r="X103">
        <v>0.99866529999999998</v>
      </c>
      <c r="Y103">
        <v>0.15051600000000001</v>
      </c>
      <c r="Z103">
        <v>-1.416594E-2</v>
      </c>
      <c r="AA103">
        <v>0.98850610000000005</v>
      </c>
      <c r="AB103">
        <v>4</v>
      </c>
      <c r="AC103">
        <v>0.67649999999997501</v>
      </c>
      <c r="AD103">
        <v>-0.16688459999999999</v>
      </c>
      <c r="AE103">
        <v>-0.120300000000042</v>
      </c>
      <c r="AF103">
        <v>0.104749243848396</v>
      </c>
      <c r="AG103">
        <v>-0.16688459999999999</v>
      </c>
      <c r="AH103">
        <v>0.640327030127121</v>
      </c>
      <c r="AI103">
        <v>104.42412527752199</v>
      </c>
      <c r="AJ103">
        <v>80.709440242418694</v>
      </c>
      <c r="AK103">
        <v>0.66995640105561305</v>
      </c>
      <c r="AL103">
        <v>88.852865839456896</v>
      </c>
      <c r="AM103">
        <v>87.270533259702404</v>
      </c>
      <c r="AN103">
        <v>0.99999997507903904</v>
      </c>
    </row>
    <row r="104" spans="1:40" x14ac:dyDescent="0.25">
      <c r="A104" t="str">
        <f>"20190312160907250"</f>
        <v>20190312160907250</v>
      </c>
      <c r="B104" t="str">
        <f>"1552378147234708"</f>
        <v>1552378147234708</v>
      </c>
      <c r="C104" t="s">
        <v>40</v>
      </c>
      <c r="D104">
        <v>5.7667359999999999</v>
      </c>
      <c r="E104">
        <v>0.54004090000000005</v>
      </c>
      <c r="F104" t="s">
        <v>42</v>
      </c>
      <c r="G104">
        <v>-470.90539999999999</v>
      </c>
      <c r="H104">
        <v>0.94404750000000004</v>
      </c>
      <c r="I104">
        <v>367.02530000000002</v>
      </c>
      <c r="J104">
        <v>-471.57380000000001</v>
      </c>
      <c r="K104">
        <v>1.110547</v>
      </c>
      <c r="L104">
        <v>367.14580000000001</v>
      </c>
      <c r="M104">
        <v>0.99982179999999998</v>
      </c>
      <c r="N104">
        <v>0</v>
      </c>
      <c r="O104">
        <v>-1.383589E-2</v>
      </c>
      <c r="P104">
        <v>0.99809199999999998</v>
      </c>
      <c r="Q104">
        <v>6.741113E-3</v>
      </c>
      <c r="R104">
        <v>-6.1375100000000002E-2</v>
      </c>
      <c r="S104">
        <v>2.9789430000000001</v>
      </c>
      <c r="T104">
        <v>-0.70009900000000003</v>
      </c>
      <c r="U104">
        <v>-0.50628660000000003</v>
      </c>
      <c r="V104">
        <v>4.7559509999999999E-2</v>
      </c>
      <c r="W104">
        <v>1.9572260000000001E-2</v>
      </c>
      <c r="X104">
        <v>0.99867669999999997</v>
      </c>
      <c r="Y104">
        <v>0.15028269999999999</v>
      </c>
      <c r="Z104">
        <v>-1.4117609999999999E-2</v>
      </c>
      <c r="AA104">
        <v>0.98854229999999998</v>
      </c>
      <c r="AB104">
        <v>3</v>
      </c>
      <c r="AC104">
        <v>0.66840000000001898</v>
      </c>
      <c r="AD104">
        <v>-0.166499499999999</v>
      </c>
      <c r="AE104">
        <v>-0.120499999999992</v>
      </c>
      <c r="AF104">
        <v>0.10493346664270201</v>
      </c>
      <c r="AG104">
        <v>-0.166499499999999</v>
      </c>
      <c r="AH104">
        <v>0.63202002755482201</v>
      </c>
      <c r="AI104">
        <v>104.567919470793</v>
      </c>
      <c r="AJ104">
        <v>80.573246078196604</v>
      </c>
      <c r="AK104">
        <v>0.66195349621578603</v>
      </c>
      <c r="AL104">
        <v>88.878520570940196</v>
      </c>
      <c r="AM104">
        <v>87.273489995123498</v>
      </c>
      <c r="AN104">
        <v>1.00000006573791</v>
      </c>
    </row>
    <row r="105" spans="1:40" x14ac:dyDescent="0.25">
      <c r="A105" t="str">
        <f>"20190312160907295"</f>
        <v>20190312160907295</v>
      </c>
      <c r="B105" t="str">
        <f>"1552378147284485"</f>
        <v>1552378147284485</v>
      </c>
      <c r="C105" t="s">
        <v>40</v>
      </c>
      <c r="D105">
        <v>5.5947019999999998</v>
      </c>
      <c r="E105">
        <v>0.53970929999999995</v>
      </c>
      <c r="F105" t="s">
        <v>42</v>
      </c>
      <c r="G105">
        <v>-470.86669999999998</v>
      </c>
      <c r="H105">
        <v>0.94605119999999998</v>
      </c>
      <c r="I105">
        <v>367.0258</v>
      </c>
      <c r="J105">
        <v>-471.48770000000002</v>
      </c>
      <c r="K105">
        <v>1.109893</v>
      </c>
      <c r="L105">
        <v>367.14460000000003</v>
      </c>
      <c r="M105">
        <v>0.99985299999999999</v>
      </c>
      <c r="N105">
        <v>0</v>
      </c>
      <c r="O105">
        <v>-1.3835470000000001E-2</v>
      </c>
      <c r="P105">
        <v>0.99809029999999999</v>
      </c>
      <c r="Q105">
        <v>8.0070680000000009E-3</v>
      </c>
      <c r="R105">
        <v>-6.1251840000000002E-2</v>
      </c>
      <c r="S105">
        <v>2.9794309999999999</v>
      </c>
      <c r="T105">
        <v>-0.69323669999999904</v>
      </c>
      <c r="U105">
        <v>-0.50396730000000001</v>
      </c>
      <c r="V105">
        <v>4.7437029999999998E-2</v>
      </c>
      <c r="W105">
        <v>1.8125800000000001E-2</v>
      </c>
      <c r="X105">
        <v>0.99870970000000003</v>
      </c>
      <c r="Y105">
        <v>0.1495966</v>
      </c>
      <c r="Z105">
        <v>-1.390341E-2</v>
      </c>
      <c r="AA105">
        <v>0.98864940000000001</v>
      </c>
      <c r="AB105">
        <v>4</v>
      </c>
      <c r="AC105">
        <v>0.62100000000003697</v>
      </c>
      <c r="AD105">
        <v>-0.16384180000000001</v>
      </c>
      <c r="AE105">
        <v>-0.118800000000021</v>
      </c>
      <c r="AF105">
        <v>0.103262145952525</v>
      </c>
      <c r="AG105">
        <v>-0.16384180000000001</v>
      </c>
      <c r="AH105">
        <v>0.58340756350061096</v>
      </c>
      <c r="AI105">
        <v>105.45812226026401</v>
      </c>
      <c r="AJ105">
        <v>79.962700444266503</v>
      </c>
      <c r="AK105">
        <v>0.61471260875605904</v>
      </c>
      <c r="AL105">
        <v>88.9614112223109</v>
      </c>
      <c r="AM105">
        <v>87.280590745965299</v>
      </c>
      <c r="AN105">
        <v>0.999999940657473</v>
      </c>
    </row>
    <row r="106" spans="1:40" x14ac:dyDescent="0.25">
      <c r="A106" t="str">
        <f>"20190312160907317"</f>
        <v>20190312160907317</v>
      </c>
      <c r="B106" t="str">
        <f>"1552378147305488"</f>
        <v>1552378147305488</v>
      </c>
      <c r="C106" t="s">
        <v>40</v>
      </c>
      <c r="D106">
        <v>5.6223020000000004</v>
      </c>
      <c r="E106">
        <v>0.53971599999999997</v>
      </c>
      <c r="F106" t="s">
        <v>42</v>
      </c>
      <c r="G106">
        <v>-470.78800000000001</v>
      </c>
      <c r="H106">
        <v>0.94833979999999996</v>
      </c>
      <c r="I106">
        <v>367.02730000000003</v>
      </c>
      <c r="J106">
        <v>-471.44880000000001</v>
      </c>
      <c r="K106">
        <v>1.1102350000000001</v>
      </c>
      <c r="L106">
        <v>367.14409999999998</v>
      </c>
      <c r="M106">
        <v>0.99984410000000001</v>
      </c>
      <c r="N106">
        <v>0</v>
      </c>
      <c r="O106">
        <v>-1.383464E-2</v>
      </c>
      <c r="P106">
        <v>0.9980966</v>
      </c>
      <c r="Q106">
        <v>7.55938599999999E-3</v>
      </c>
      <c r="R106">
        <v>-6.1206709999999998E-2</v>
      </c>
      <c r="S106">
        <v>2.9807130000000002</v>
      </c>
      <c r="T106">
        <v>-0.68833900000000003</v>
      </c>
      <c r="U106">
        <v>-0.49832149999999997</v>
      </c>
      <c r="V106">
        <v>4.7392650000000001E-2</v>
      </c>
      <c r="W106">
        <v>1.8520080000000001E-2</v>
      </c>
      <c r="X106">
        <v>0.99870460000000005</v>
      </c>
      <c r="Y106">
        <v>0.1478025</v>
      </c>
      <c r="Z106">
        <v>-1.360106E-2</v>
      </c>
      <c r="AA106">
        <v>0.98892340000000001</v>
      </c>
      <c r="AB106">
        <v>5</v>
      </c>
      <c r="AC106">
        <v>0.66079999999999395</v>
      </c>
      <c r="AD106">
        <v>-0.16189519999999999</v>
      </c>
      <c r="AE106">
        <v>-0.116799999999955</v>
      </c>
      <c r="AF106">
        <v>0.10172532506396</v>
      </c>
      <c r="AG106">
        <v>-0.16189519999999999</v>
      </c>
      <c r="AH106">
        <v>0.625920465081794</v>
      </c>
      <c r="AI106">
        <v>104.321781880975</v>
      </c>
      <c r="AJ106">
        <v>80.7689321253727</v>
      </c>
      <c r="AK106">
        <v>0.65447270848418004</v>
      </c>
      <c r="AL106">
        <v>88.938816876080395</v>
      </c>
      <c r="AM106">
        <v>87.283117238751402</v>
      </c>
      <c r="AN106">
        <v>0.99999996734919405</v>
      </c>
    </row>
    <row r="107" spans="1:40" x14ac:dyDescent="0.25">
      <c r="A107" t="str">
        <f>"20190312160907340"</f>
        <v>20190312160907340</v>
      </c>
      <c r="B107" t="str">
        <f>"1552378147335413"</f>
        <v>1552378147335413</v>
      </c>
      <c r="C107" t="s">
        <v>40</v>
      </c>
      <c r="D107">
        <v>5.6361549999999996</v>
      </c>
      <c r="E107">
        <v>0.53950900000000002</v>
      </c>
      <c r="F107" t="s">
        <v>42</v>
      </c>
      <c r="G107">
        <v>-470.75420000000003</v>
      </c>
      <c r="H107">
        <v>0.9495749</v>
      </c>
      <c r="I107">
        <v>367.02719999999999</v>
      </c>
      <c r="J107">
        <v>-471.41230000000002</v>
      </c>
      <c r="K107">
        <v>1.1107819999999999</v>
      </c>
      <c r="L107">
        <v>367.14359999999999</v>
      </c>
      <c r="M107">
        <v>0.99982199999999999</v>
      </c>
      <c r="N107">
        <v>0</v>
      </c>
      <c r="O107">
        <v>-1.38344E-2</v>
      </c>
      <c r="P107">
        <v>0.99810379999999999</v>
      </c>
      <c r="Q107">
        <v>6.0079490000000003E-3</v>
      </c>
      <c r="R107">
        <v>-6.1262450000000003E-2</v>
      </c>
      <c r="S107">
        <v>2.9803769999999998</v>
      </c>
      <c r="T107">
        <v>-0.68946790000000002</v>
      </c>
      <c r="U107">
        <v>-0.49890139999999999</v>
      </c>
      <c r="V107">
        <v>4.7447940000000001E-2</v>
      </c>
      <c r="W107">
        <v>1.882853E-2</v>
      </c>
      <c r="X107">
        <v>0.99869629999999998</v>
      </c>
      <c r="Y107">
        <v>0.14799119999999999</v>
      </c>
      <c r="Z107">
        <v>-1.364545E-2</v>
      </c>
      <c r="AA107">
        <v>0.98889450000000001</v>
      </c>
      <c r="AB107">
        <v>4</v>
      </c>
      <c r="AC107">
        <v>0.65809999999999003</v>
      </c>
      <c r="AD107">
        <v>-0.16120709999999899</v>
      </c>
      <c r="AE107">
        <v>-0.11639999999999801</v>
      </c>
      <c r="AF107">
        <v>0.101384687475158</v>
      </c>
      <c r="AG107">
        <v>-0.16120709999999899</v>
      </c>
      <c r="AH107">
        <v>0.62337669149901498</v>
      </c>
      <c r="AI107">
        <v>104.318960109174</v>
      </c>
      <c r="AJ107">
        <v>80.762415080633502</v>
      </c>
      <c r="AK107">
        <v>0.65181675603585298</v>
      </c>
      <c r="AL107">
        <v>88.921141009975798</v>
      </c>
      <c r="AM107">
        <v>87.279929809427102</v>
      </c>
      <c r="AN107">
        <v>1.00000006009294</v>
      </c>
    </row>
    <row r="108" spans="1:40" x14ac:dyDescent="0.25">
      <c r="A108" t="str">
        <f>"20190312160907360"</f>
        <v>20190312160907360</v>
      </c>
      <c r="B108" t="str">
        <f>"1552378147354930"</f>
        <v>1552378147354930</v>
      </c>
      <c r="C108" t="s">
        <v>40</v>
      </c>
      <c r="D108">
        <v>5.7753030000000001</v>
      </c>
      <c r="E108">
        <v>0.53901089999999996</v>
      </c>
      <c r="F108" t="s">
        <v>42</v>
      </c>
      <c r="G108">
        <v>-470.72379999999998</v>
      </c>
      <c r="H108">
        <v>0.95055400000000001</v>
      </c>
      <c r="I108">
        <v>367.02800000000002</v>
      </c>
      <c r="J108">
        <v>-471.37819999999999</v>
      </c>
      <c r="K108">
        <v>1.11073</v>
      </c>
      <c r="L108">
        <v>367.1431</v>
      </c>
      <c r="M108">
        <v>0.99982110000000002</v>
      </c>
      <c r="N108">
        <v>0</v>
      </c>
      <c r="O108">
        <v>-1.38849E-2</v>
      </c>
      <c r="P108">
        <v>0.99806329999999999</v>
      </c>
      <c r="Q108">
        <v>5.9088689999999998E-3</v>
      </c>
      <c r="R108">
        <v>-6.1927889999999999E-2</v>
      </c>
      <c r="S108">
        <v>2.979279</v>
      </c>
      <c r="T108">
        <v>-0.69334269999999998</v>
      </c>
      <c r="U108">
        <v>-0.4977722</v>
      </c>
      <c r="V108">
        <v>4.8063199999999903E-2</v>
      </c>
      <c r="W108">
        <v>1.873271E-2</v>
      </c>
      <c r="X108">
        <v>0.99866860000000002</v>
      </c>
      <c r="Y108">
        <v>0.14760619999999999</v>
      </c>
      <c r="Z108">
        <v>-1.367004E-2</v>
      </c>
      <c r="AA108">
        <v>0.98895169999999999</v>
      </c>
      <c r="AB108">
        <v>4</v>
      </c>
      <c r="AC108">
        <v>0.65440000000000897</v>
      </c>
      <c r="AD108">
        <v>-0.16017599999999901</v>
      </c>
      <c r="AE108">
        <v>-0.11509999999998401</v>
      </c>
      <c r="AF108">
        <v>0.100180065859009</v>
      </c>
      <c r="AG108">
        <v>-0.16017599999999901</v>
      </c>
      <c r="AH108">
        <v>0.61991008041807005</v>
      </c>
      <c r="AI108">
        <v>104.309669964108</v>
      </c>
      <c r="AJ108">
        <v>80.820126557028104</v>
      </c>
      <c r="AK108">
        <v>0.64805933707913999</v>
      </c>
      <c r="AL108">
        <v>88.926631972783198</v>
      </c>
      <c r="AM108">
        <v>87.244636212206998</v>
      </c>
      <c r="AN108">
        <v>0.99999997912207095</v>
      </c>
    </row>
    <row r="109" spans="1:40" x14ac:dyDescent="0.25">
      <c r="A109" t="str">
        <f>"20190312160907384"</f>
        <v>20190312160907384</v>
      </c>
      <c r="B109" t="str">
        <f>"1552378147374956"</f>
        <v>1552378147374956</v>
      </c>
      <c r="C109" t="s">
        <v>40</v>
      </c>
      <c r="D109">
        <v>5.537255</v>
      </c>
      <c r="E109">
        <v>0.4920909</v>
      </c>
      <c r="F109" t="s">
        <v>42</v>
      </c>
      <c r="G109">
        <v>-470.6891</v>
      </c>
      <c r="H109">
        <v>0.95096639999999999</v>
      </c>
      <c r="I109">
        <v>367.02780000000001</v>
      </c>
      <c r="J109">
        <v>-471.334</v>
      </c>
      <c r="K109">
        <v>1.1101160000000001</v>
      </c>
      <c r="L109">
        <v>367.14249999999998</v>
      </c>
      <c r="M109">
        <v>0.99983979999999995</v>
      </c>
      <c r="N109">
        <v>0</v>
      </c>
      <c r="O109">
        <v>-1.384552E-2</v>
      </c>
      <c r="P109">
        <v>0.99804280000000001</v>
      </c>
      <c r="Q109">
        <v>6.9204690000000003E-3</v>
      </c>
      <c r="R109">
        <v>-6.2153550000000002E-2</v>
      </c>
      <c r="S109">
        <v>2.9791560000000001</v>
      </c>
      <c r="T109">
        <v>-0.69075200000000003</v>
      </c>
      <c r="U109">
        <v>-0.4955444</v>
      </c>
      <c r="V109">
        <v>4.833287E-2</v>
      </c>
      <c r="W109">
        <v>1.8246419999999999E-2</v>
      </c>
      <c r="X109">
        <v>0.99866460000000001</v>
      </c>
      <c r="Y109">
        <v>0.14697260000000001</v>
      </c>
      <c r="Z109">
        <v>-1.3558570000000001E-2</v>
      </c>
      <c r="AA109">
        <v>0.98904760000000003</v>
      </c>
      <c r="AB109">
        <v>3</v>
      </c>
      <c r="AC109">
        <v>0.64490000000000602</v>
      </c>
      <c r="AD109">
        <v>-0.159149599999999</v>
      </c>
      <c r="AE109">
        <v>-0.11469999999997001</v>
      </c>
      <c r="AF109">
        <v>9.9864092422085701E-2</v>
      </c>
      <c r="AG109">
        <v>-0.159149599999999</v>
      </c>
      <c r="AH109">
        <v>0.61039254060457104</v>
      </c>
      <c r="AI109">
        <v>104.429873523976</v>
      </c>
      <c r="AJ109">
        <v>80.708366510965206</v>
      </c>
      <c r="AK109">
        <v>0.63865521665539504</v>
      </c>
      <c r="AL109">
        <v>88.954499114187598</v>
      </c>
      <c r="AM109">
        <v>87.229189533240003</v>
      </c>
      <c r="AN109">
        <v>0.99999999072920598</v>
      </c>
    </row>
    <row r="110" spans="1:40" x14ac:dyDescent="0.25">
      <c r="A110" t="str">
        <f>"20190312160907427"</f>
        <v>20190312160907427</v>
      </c>
      <c r="B110" t="str">
        <f>"1552378147415480"</f>
        <v>1552378147415480</v>
      </c>
      <c r="C110" t="s">
        <v>40</v>
      </c>
      <c r="D110">
        <v>5.4960699999999996</v>
      </c>
      <c r="E110">
        <v>0.4775778</v>
      </c>
      <c r="F110" t="s">
        <v>42</v>
      </c>
      <c r="G110">
        <v>-470.62090000000001</v>
      </c>
      <c r="H110">
        <v>1.008289</v>
      </c>
      <c r="I110">
        <v>367.11309999999997</v>
      </c>
      <c r="J110">
        <v>-471.24959999999999</v>
      </c>
      <c r="K110">
        <v>1.1096459999999999</v>
      </c>
      <c r="L110">
        <v>367.14139999999998</v>
      </c>
      <c r="M110">
        <v>0.99985250000000003</v>
      </c>
      <c r="N110">
        <v>0</v>
      </c>
      <c r="O110">
        <v>-1.366881E-2</v>
      </c>
      <c r="P110">
        <v>0.99798390000000003</v>
      </c>
      <c r="Q110">
        <v>7.5416559999999999E-3</v>
      </c>
      <c r="R110">
        <v>-6.3021259999999996E-2</v>
      </c>
      <c r="S110">
        <v>3.0011899999999998</v>
      </c>
      <c r="T110">
        <v>-0.42864780000000002</v>
      </c>
      <c r="U110">
        <v>-0.123291</v>
      </c>
      <c r="V110">
        <v>4.937917E-2</v>
      </c>
      <c r="W110">
        <v>1.7913160000000001E-2</v>
      </c>
      <c r="X110">
        <v>0.99861940000000005</v>
      </c>
      <c r="Y110">
        <v>2.724669E-2</v>
      </c>
      <c r="Z110" s="1">
        <v>6.3814219999999998E-6</v>
      </c>
      <c r="AA110">
        <v>0.99962870000000004</v>
      </c>
      <c r="AB110">
        <v>4</v>
      </c>
      <c r="AC110">
        <v>0.62869999999998005</v>
      </c>
      <c r="AD110">
        <v>-0.101356999999999</v>
      </c>
      <c r="AE110">
        <v>-2.8300000000001501E-2</v>
      </c>
      <c r="AF110">
        <v>1.9205161099777799E-2</v>
      </c>
      <c r="AG110">
        <v>-0.101356999999999</v>
      </c>
      <c r="AH110">
        <v>0.61312469553354798</v>
      </c>
      <c r="AI110">
        <v>99.382278845027301</v>
      </c>
      <c r="AJ110">
        <v>88.205886966087604</v>
      </c>
      <c r="AK110">
        <v>0.62174268949057498</v>
      </c>
      <c r="AL110">
        <v>88.9735965804242</v>
      </c>
      <c r="AM110">
        <v>87.169176209897401</v>
      </c>
      <c r="AN110">
        <v>0.99999994489371502</v>
      </c>
    </row>
    <row r="111" spans="1:40" x14ac:dyDescent="0.25">
      <c r="A111" t="str">
        <f>"20190312160907451"</f>
        <v>20190312160907451</v>
      </c>
      <c r="B111" t="str">
        <f>"1552378147444761"</f>
        <v>1552378147444761</v>
      </c>
      <c r="C111" t="s">
        <v>40</v>
      </c>
      <c r="D111">
        <v>5.5274669999999997</v>
      </c>
      <c r="E111">
        <v>0.47534969999999999</v>
      </c>
      <c r="F111" t="s">
        <v>41</v>
      </c>
      <c r="G111">
        <v>-458.88389999999998</v>
      </c>
      <c r="H111" s="1">
        <v>-1.0354489999999999E-6</v>
      </c>
      <c r="I111">
        <v>367.09989999999999</v>
      </c>
      <c r="J111">
        <v>-471.20890000000003</v>
      </c>
      <c r="K111">
        <v>1.110166</v>
      </c>
      <c r="L111">
        <v>367.14069999999998</v>
      </c>
      <c r="M111">
        <v>0.99983140000000004</v>
      </c>
      <c r="N111">
        <v>0</v>
      </c>
      <c r="O111">
        <v>-1.3594190000000001E-2</v>
      </c>
      <c r="P111">
        <v>0.99797400000000003</v>
      </c>
      <c r="Q111">
        <v>5.9980819999999897E-3</v>
      </c>
      <c r="R111">
        <v>-6.3344369999999997E-2</v>
      </c>
      <c r="S111">
        <v>3.0074770000000002</v>
      </c>
      <c r="T111">
        <v>-0.26987660000000002</v>
      </c>
      <c r="U111">
        <v>-1.00708E-2</v>
      </c>
      <c r="V111">
        <v>4.9773310000000001E-2</v>
      </c>
      <c r="W111">
        <v>1.833224E-2</v>
      </c>
      <c r="X111">
        <v>0.99859229999999999</v>
      </c>
      <c r="Y111">
        <v>-1.0151479999999999E-2</v>
      </c>
      <c r="Z111">
        <v>1.6720439999999999E-3</v>
      </c>
      <c r="AA111">
        <v>0.99994709999999998</v>
      </c>
      <c r="AB111">
        <v>4</v>
      </c>
      <c r="AC111">
        <v>12.324999999999999</v>
      </c>
      <c r="AD111">
        <v>-1.1101670354490001</v>
      </c>
      <c r="AE111">
        <v>-4.0799999999990101E-2</v>
      </c>
      <c r="AF111">
        <v>-0.12574472271145201</v>
      </c>
      <c r="AG111">
        <v>-1.1101670354490001</v>
      </c>
      <c r="AH111">
        <v>12.2252285544874</v>
      </c>
      <c r="AI111">
        <v>95.188497201191197</v>
      </c>
      <c r="AJ111">
        <v>90.5893049622332</v>
      </c>
      <c r="AK111">
        <v>12.2761759433197</v>
      </c>
      <c r="AL111">
        <v>88.9495811958883</v>
      </c>
      <c r="AM111">
        <v>87.146540720372698</v>
      </c>
      <c r="AN111">
        <v>1.0000000175155299</v>
      </c>
    </row>
    <row r="112" spans="1:40" x14ac:dyDescent="0.25">
      <c r="A112" t="str">
        <f>"20190312160907496"</f>
        <v>20190312160907496</v>
      </c>
      <c r="B112" t="str">
        <f>"1552378147484777"</f>
        <v>1552378147484777</v>
      </c>
      <c r="C112" t="s">
        <v>40</v>
      </c>
      <c r="D112">
        <v>5.5043949999999997</v>
      </c>
      <c r="E112">
        <v>0.47481519999999999</v>
      </c>
      <c r="F112" t="s">
        <v>41</v>
      </c>
      <c r="G112">
        <v>-457.33760000000001</v>
      </c>
      <c r="H112" s="1">
        <v>-1.5583040000000001E-6</v>
      </c>
      <c r="I112">
        <v>367.17070000000001</v>
      </c>
      <c r="J112">
        <v>-471.14179999999999</v>
      </c>
      <c r="K112">
        <v>1.110627</v>
      </c>
      <c r="L112">
        <v>367.13979999999998</v>
      </c>
      <c r="M112">
        <v>0.99979569999999995</v>
      </c>
      <c r="N112">
        <v>0</v>
      </c>
      <c r="O112">
        <v>-1.364919E-2</v>
      </c>
      <c r="P112">
        <v>0.99796149999999995</v>
      </c>
      <c r="Q112">
        <v>4.2191470000000003E-3</v>
      </c>
      <c r="R112">
        <v>-6.3680990000000007E-2</v>
      </c>
      <c r="S112">
        <v>3.007965</v>
      </c>
      <c r="T112">
        <v>-0.2407358</v>
      </c>
      <c r="U112">
        <v>6.5307619999999999E-3</v>
      </c>
      <c r="V112">
        <v>5.0051190000000002E-2</v>
      </c>
      <c r="W112">
        <v>1.911554E-2</v>
      </c>
      <c r="X112">
        <v>0.99856369999999905</v>
      </c>
      <c r="Y112">
        <v>-1.5727689999999999E-2</v>
      </c>
      <c r="Z112">
        <v>1.7190969999999999E-3</v>
      </c>
      <c r="AA112">
        <v>0.99987479999999995</v>
      </c>
      <c r="AB112">
        <v>4</v>
      </c>
      <c r="AC112">
        <v>13.8041999999999</v>
      </c>
      <c r="AD112">
        <v>-1.1106285583040001</v>
      </c>
      <c r="AE112">
        <v>3.0900000000031E-2</v>
      </c>
      <c r="AF112">
        <v>-0.21792356815376801</v>
      </c>
      <c r="AG112">
        <v>-1.1106285583040001</v>
      </c>
      <c r="AH112">
        <v>13.7137215504371</v>
      </c>
      <c r="AI112">
        <v>94.629507066907706</v>
      </c>
      <c r="AJ112">
        <v>90.910405670952002</v>
      </c>
      <c r="AK112">
        <v>13.760346842976</v>
      </c>
      <c r="AL112">
        <v>88.904693516780796</v>
      </c>
      <c r="AM112">
        <v>87.130554613202904</v>
      </c>
      <c r="AN112">
        <v>0.99999999422379804</v>
      </c>
    </row>
    <row r="113" spans="1:40" x14ac:dyDescent="0.25">
      <c r="A113" t="str">
        <f>"20190312160907517"</f>
        <v>20190312160907517</v>
      </c>
      <c r="B113" t="str">
        <f>"1552378147504803"</f>
        <v>1552378147504803</v>
      </c>
      <c r="C113" t="s">
        <v>40</v>
      </c>
      <c r="D113">
        <v>5.5127769999999998</v>
      </c>
      <c r="E113">
        <v>0.47458210000000001</v>
      </c>
      <c r="F113" t="s">
        <v>41</v>
      </c>
      <c r="G113">
        <v>-455.18150000000003</v>
      </c>
      <c r="H113" s="1">
        <v>-2.479549E-6</v>
      </c>
      <c r="I113">
        <v>367.19170000000003</v>
      </c>
      <c r="J113">
        <v>-471.1028</v>
      </c>
      <c r="K113">
        <v>1.110107</v>
      </c>
      <c r="L113">
        <v>367.13929999999999</v>
      </c>
      <c r="M113">
        <v>0.99981509999999996</v>
      </c>
      <c r="N113">
        <v>0</v>
      </c>
      <c r="O113">
        <v>-1.365159E-2</v>
      </c>
      <c r="P113">
        <v>0.99797880000000005</v>
      </c>
      <c r="Q113">
        <v>6.2820369999999999E-3</v>
      </c>
      <c r="R113">
        <v>-6.3237660000000001E-2</v>
      </c>
      <c r="S113">
        <v>3.0075989999999999</v>
      </c>
      <c r="T113">
        <v>-0.20928820000000001</v>
      </c>
      <c r="U113">
        <v>9.7961430000000002E-3</v>
      </c>
      <c r="V113">
        <v>4.9605759999999999E-2</v>
      </c>
      <c r="W113">
        <v>1.981254E-2</v>
      </c>
      <c r="X113">
        <v>0.99857229999999997</v>
      </c>
      <c r="Y113">
        <v>-1.6835849999999999E-2</v>
      </c>
      <c r="Z113">
        <v>1.5339520000000001E-3</v>
      </c>
      <c r="AA113">
        <v>0.99985710000000005</v>
      </c>
      <c r="AB113">
        <v>3</v>
      </c>
      <c r="AC113">
        <v>15.921299999999899</v>
      </c>
      <c r="AD113">
        <v>-1.1101094795490001</v>
      </c>
      <c r="AE113">
        <v>5.2400000000034197E-2</v>
      </c>
      <c r="AF113">
        <v>-0.26846098795937601</v>
      </c>
      <c r="AG113">
        <v>-1.1101094795490001</v>
      </c>
      <c r="AH113">
        <v>15.8420844375659</v>
      </c>
      <c r="AI113">
        <v>94.007787118469096</v>
      </c>
      <c r="AJ113">
        <v>90.970845061896696</v>
      </c>
      <c r="AK113">
        <v>15.8832003603055</v>
      </c>
      <c r="AL113">
        <v>88.864750744049999</v>
      </c>
      <c r="AM113">
        <v>87.156073551601807</v>
      </c>
      <c r="AN113">
        <v>0.99999995324685798</v>
      </c>
    </row>
    <row r="114" spans="1:40" x14ac:dyDescent="0.25">
      <c r="A114" t="str">
        <f>"20190312160907538"</f>
        <v>20190312160907538</v>
      </c>
      <c r="B114" t="str">
        <f>"1552378147535059"</f>
        <v>1552378147535059</v>
      </c>
      <c r="C114" t="s">
        <v>40</v>
      </c>
      <c r="D114">
        <v>5.4802119999999999</v>
      </c>
      <c r="E114">
        <v>0.47419719999999999</v>
      </c>
      <c r="F114" t="s">
        <v>41</v>
      </c>
      <c r="G114">
        <v>-453.71480000000003</v>
      </c>
      <c r="H114" s="1">
        <v>-3.1047399999999999E-6</v>
      </c>
      <c r="I114">
        <v>367.21409999999997</v>
      </c>
      <c r="J114">
        <v>-471.06180000000001</v>
      </c>
      <c r="K114">
        <v>1.1095999999999999</v>
      </c>
      <c r="L114">
        <v>367.13869999999997</v>
      </c>
      <c r="M114">
        <v>0.99983710000000003</v>
      </c>
      <c r="N114">
        <v>0</v>
      </c>
      <c r="O114">
        <v>-1.3631819999999999E-2</v>
      </c>
      <c r="P114">
        <v>0.99800670000000002</v>
      </c>
      <c r="Q114">
        <v>8.9826030000000005E-3</v>
      </c>
      <c r="R114">
        <v>-6.2465060000000003E-2</v>
      </c>
      <c r="S114">
        <v>3.0081180000000001</v>
      </c>
      <c r="T114">
        <v>-0.19204779999999999</v>
      </c>
      <c r="U114">
        <v>1.2969970000000001E-2</v>
      </c>
      <c r="V114">
        <v>4.8853800000000003E-2</v>
      </c>
      <c r="W114">
        <v>2.0799390000000001E-2</v>
      </c>
      <c r="X114">
        <v>0.99858930000000001</v>
      </c>
      <c r="Y114">
        <v>-1.787971E-2</v>
      </c>
      <c r="Z114">
        <v>1.4396229999999999E-3</v>
      </c>
      <c r="AA114">
        <v>0.99983909999999998</v>
      </c>
      <c r="AB114">
        <v>4</v>
      </c>
      <c r="AC114">
        <v>17.346999999999898</v>
      </c>
      <c r="AD114">
        <v>-1.1096031047399999</v>
      </c>
      <c r="AE114">
        <v>7.5400000000001896E-2</v>
      </c>
      <c r="AF114">
        <v>-0.31060987498124198</v>
      </c>
      <c r="AG114">
        <v>-1.1096031047399999</v>
      </c>
      <c r="AH114">
        <v>17.273685420163499</v>
      </c>
      <c r="AI114">
        <v>93.674844753892401</v>
      </c>
      <c r="AJ114">
        <v>91.030163322109402</v>
      </c>
      <c r="AK114">
        <v>17.312073981451601</v>
      </c>
      <c r="AL114">
        <v>88.808196733593306</v>
      </c>
      <c r="AM114">
        <v>87.199162277788602</v>
      </c>
      <c r="AN114">
        <v>0.99999994923664903</v>
      </c>
    </row>
    <row r="115" spans="1:40" x14ac:dyDescent="0.25">
      <c r="A115" t="str">
        <f>"20190312160907583"</f>
        <v>20190312160907583</v>
      </c>
      <c r="B115" t="str">
        <f>"1552378147575076"</f>
        <v>1552378147575076</v>
      </c>
      <c r="C115" t="s">
        <v>40</v>
      </c>
      <c r="D115">
        <v>5.437049</v>
      </c>
      <c r="E115">
        <v>0.47369830000000002</v>
      </c>
      <c r="F115" t="s">
        <v>41</v>
      </c>
      <c r="G115">
        <v>-452.29180000000002</v>
      </c>
      <c r="H115" s="1">
        <v>-3.7079959999999998E-6</v>
      </c>
      <c r="I115">
        <v>367.25470000000001</v>
      </c>
      <c r="J115">
        <v>-470.97149999999999</v>
      </c>
      <c r="K115">
        <v>1.1094219999999999</v>
      </c>
      <c r="L115">
        <v>367.13749999999999</v>
      </c>
      <c r="M115">
        <v>0.99985420000000003</v>
      </c>
      <c r="N115">
        <v>0</v>
      </c>
      <c r="O115">
        <v>-1.363315E-2</v>
      </c>
      <c r="P115">
        <v>0.99797639999999999</v>
      </c>
      <c r="Q115">
        <v>1.177343E-2</v>
      </c>
      <c r="R115">
        <v>-6.2489290000000003E-2</v>
      </c>
      <c r="S115">
        <v>3.0087890000000002</v>
      </c>
      <c r="T115">
        <v>-0.17786679999999999</v>
      </c>
      <c r="U115">
        <v>1.8615719999999999E-2</v>
      </c>
      <c r="V115">
        <v>4.8877549999999999E-2</v>
      </c>
      <c r="W115">
        <v>2.2047939999999999E-2</v>
      </c>
      <c r="X115">
        <v>0.99856140000000004</v>
      </c>
      <c r="Y115">
        <v>-1.9761730000000002E-2</v>
      </c>
      <c r="Z115">
        <v>1.3888559999999999E-3</v>
      </c>
      <c r="AA115">
        <v>0.99980380000000002</v>
      </c>
      <c r="AB115">
        <v>4</v>
      </c>
      <c r="AC115">
        <v>18.679699999999901</v>
      </c>
      <c r="AD115">
        <v>-1.1094257079959999</v>
      </c>
      <c r="AE115">
        <v>0.11720000000002501</v>
      </c>
      <c r="AF115">
        <v>-0.37055865787299602</v>
      </c>
      <c r="AG115">
        <v>-1.1094257079959999</v>
      </c>
      <c r="AH115">
        <v>18.610720749313799</v>
      </c>
      <c r="AI115">
        <v>93.410814886956601</v>
      </c>
      <c r="AJ115">
        <v>91.140667380981299</v>
      </c>
      <c r="AK115">
        <v>18.647441270303698</v>
      </c>
      <c r="AL115">
        <v>88.736643719122</v>
      </c>
      <c r="AM115">
        <v>87.197724666856402</v>
      </c>
      <c r="AN115">
        <v>0.99999999806110296</v>
      </c>
    </row>
    <row r="116" spans="1:40" x14ac:dyDescent="0.25">
      <c r="A116" t="str">
        <f>"20190312160907606"</f>
        <v>20190312160907606</v>
      </c>
      <c r="B116" t="str">
        <f>"1552378147594595"</f>
        <v>1552378147594595</v>
      </c>
      <c r="C116" t="s">
        <v>40</v>
      </c>
      <c r="D116">
        <v>5.4858479999999998</v>
      </c>
      <c r="E116">
        <v>0.4734196</v>
      </c>
      <c r="F116" t="s">
        <v>41</v>
      </c>
      <c r="G116">
        <v>-450.5025</v>
      </c>
      <c r="H116" s="1">
        <v>-4.4698449999999997E-6</v>
      </c>
      <c r="I116">
        <v>367.28730000000002</v>
      </c>
      <c r="J116">
        <v>-470.93310000000002</v>
      </c>
      <c r="K116">
        <v>1.109934</v>
      </c>
      <c r="L116">
        <v>367.137</v>
      </c>
      <c r="M116">
        <v>0.99983869999999997</v>
      </c>
      <c r="N116">
        <v>0</v>
      </c>
      <c r="O116">
        <v>-1.3663730000000001E-2</v>
      </c>
      <c r="P116">
        <v>0.99800009999999995</v>
      </c>
      <c r="Q116">
        <v>1.0179240000000001E-2</v>
      </c>
      <c r="R116">
        <v>-6.2389159999999999E-2</v>
      </c>
      <c r="S116">
        <v>3.009369</v>
      </c>
      <c r="T116">
        <v>-0.16310810000000001</v>
      </c>
      <c r="U116">
        <v>2.2033690000000002E-2</v>
      </c>
      <c r="V116">
        <v>4.874655E-2</v>
      </c>
      <c r="W116">
        <v>2.1828650000000002E-2</v>
      </c>
      <c r="X116">
        <v>0.99857260000000003</v>
      </c>
      <c r="Y116">
        <v>-2.0934339999999999E-2</v>
      </c>
      <c r="Z116">
        <v>1.306963E-3</v>
      </c>
      <c r="AA116">
        <v>0.99978</v>
      </c>
      <c r="AB116">
        <v>5</v>
      </c>
      <c r="AC116">
        <v>20.430599999999998</v>
      </c>
      <c r="AD116">
        <v>-1.1099384698450001</v>
      </c>
      <c r="AE116">
        <v>0.15030000000007199</v>
      </c>
      <c r="AF116">
        <v>-0.42819939559797199</v>
      </c>
      <c r="AG116">
        <v>-1.1099384698450001</v>
      </c>
      <c r="AH116">
        <v>20.366531118425499</v>
      </c>
      <c r="AI116">
        <v>93.118740849606596</v>
      </c>
      <c r="AJ116">
        <v>91.204446844571706</v>
      </c>
      <c r="AK116">
        <v>20.401247705153398</v>
      </c>
      <c r="AL116">
        <v>88.749211108686197</v>
      </c>
      <c r="AM116">
        <v>87.205254605927806</v>
      </c>
      <c r="AN116">
        <v>0.99999997678424202</v>
      </c>
    </row>
    <row r="117" spans="1:40" x14ac:dyDescent="0.25">
      <c r="A117" t="str">
        <f>"20190312160907629"</f>
        <v>20190312160907629</v>
      </c>
      <c r="B117" t="str">
        <f>"1552378147616067"</f>
        <v>1552378147616067</v>
      </c>
      <c r="C117" t="s">
        <v>40</v>
      </c>
      <c r="D117">
        <v>5.4948040000000002</v>
      </c>
      <c r="E117">
        <v>0.47338639999999998</v>
      </c>
      <c r="F117" t="s">
        <v>41</v>
      </c>
      <c r="G117">
        <v>-450.86770000000001</v>
      </c>
      <c r="H117" s="1">
        <v>-4.3107839999999999E-6</v>
      </c>
      <c r="I117">
        <v>367.30070000000001</v>
      </c>
      <c r="J117">
        <v>-470.89510000000001</v>
      </c>
      <c r="K117">
        <v>1.1103369999999999</v>
      </c>
      <c r="L117">
        <v>367.13639999999998</v>
      </c>
      <c r="M117">
        <v>0.99982249999999995</v>
      </c>
      <c r="N117">
        <v>0</v>
      </c>
      <c r="O117">
        <v>-1.3686139999999999E-2</v>
      </c>
      <c r="P117">
        <v>0.9979865</v>
      </c>
      <c r="Q117">
        <v>9.0314149999999992E-3</v>
      </c>
      <c r="R117">
        <v>-6.2782450000000004E-2</v>
      </c>
      <c r="S117">
        <v>3.0092159999999999</v>
      </c>
      <c r="T117">
        <v>-0.166457299999999</v>
      </c>
      <c r="U117">
        <v>2.4566649999999999E-2</v>
      </c>
      <c r="V117">
        <v>4.9117309999999997E-2</v>
      </c>
      <c r="W117">
        <v>2.1972620000000002E-2</v>
      </c>
      <c r="X117">
        <v>0.99855130000000003</v>
      </c>
      <c r="Y117">
        <v>-2.179536E-2</v>
      </c>
      <c r="Z117">
        <v>1.3588700000000001E-3</v>
      </c>
      <c r="AA117">
        <v>0.99976149999999997</v>
      </c>
      <c r="AB117">
        <v>4</v>
      </c>
      <c r="AC117">
        <v>20.0274</v>
      </c>
      <c r="AD117">
        <v>-1.1103413107839999</v>
      </c>
      <c r="AE117">
        <v>0.16430000000002501</v>
      </c>
      <c r="AF117">
        <v>-0.43706207498551602</v>
      </c>
      <c r="AG117">
        <v>-1.1103413107839999</v>
      </c>
      <c r="AH117">
        <v>19.961921939930999</v>
      </c>
      <c r="AI117">
        <v>93.182919314495706</v>
      </c>
      <c r="AJ117">
        <v>91.254278619971203</v>
      </c>
      <c r="AK117">
        <v>19.997555066050499</v>
      </c>
      <c r="AL117">
        <v>88.740960288484501</v>
      </c>
      <c r="AM117">
        <v>87.183972245788993</v>
      </c>
      <c r="AN117">
        <v>1.0000000024514899</v>
      </c>
    </row>
    <row r="118" spans="1:40" x14ac:dyDescent="0.25">
      <c r="A118" t="str">
        <f>"20190312160907654"</f>
        <v>20190312160907654</v>
      </c>
      <c r="B118" t="str">
        <f>"1552378147645348"</f>
        <v>1552378147645348</v>
      </c>
      <c r="C118" t="s">
        <v>40</v>
      </c>
      <c r="D118">
        <v>5.4505089999999896</v>
      </c>
      <c r="E118">
        <v>0.47343439999999998</v>
      </c>
      <c r="F118" t="s">
        <v>41</v>
      </c>
      <c r="G118">
        <v>-451.2362</v>
      </c>
      <c r="H118" s="1">
        <v>-4.1546960000000001E-6</v>
      </c>
      <c r="I118">
        <v>367.28949999999998</v>
      </c>
      <c r="J118">
        <v>-470.84890000000001</v>
      </c>
      <c r="K118">
        <v>1.1100399999999999</v>
      </c>
      <c r="L118">
        <v>367.13580000000002</v>
      </c>
      <c r="M118">
        <v>0.99983569999999999</v>
      </c>
      <c r="N118">
        <v>0</v>
      </c>
      <c r="O118">
        <v>-1.367552E-2</v>
      </c>
      <c r="P118">
        <v>0.99794740000000004</v>
      </c>
      <c r="Q118">
        <v>9.8222329999999997E-3</v>
      </c>
      <c r="R118">
        <v>-6.32828E-2</v>
      </c>
      <c r="S118">
        <v>3.0090330000000001</v>
      </c>
      <c r="T118">
        <v>-0.16994999999999999</v>
      </c>
      <c r="U118">
        <v>2.34375E-2</v>
      </c>
      <c r="V118">
        <v>4.9629100000000002E-2</v>
      </c>
      <c r="W118">
        <v>2.1714710000000002E-2</v>
      </c>
      <c r="X118">
        <v>0.99853159999999996</v>
      </c>
      <c r="Y118">
        <v>-2.140825E-2</v>
      </c>
      <c r="Z118">
        <v>1.375891E-3</v>
      </c>
      <c r="AA118">
        <v>0.99976989999999999</v>
      </c>
      <c r="AB118">
        <v>3</v>
      </c>
      <c r="AC118">
        <v>19.6127</v>
      </c>
      <c r="AD118">
        <v>-1.11004415469599</v>
      </c>
      <c r="AE118">
        <v>0.15369999999995701</v>
      </c>
      <c r="AF118">
        <v>-0.42057132261342001</v>
      </c>
      <c r="AG118">
        <v>-1.11004415469599</v>
      </c>
      <c r="AH118">
        <v>19.546154074830302</v>
      </c>
      <c r="AI118">
        <v>93.249638328176403</v>
      </c>
      <c r="AJ118">
        <v>91.232633486576702</v>
      </c>
      <c r="AK118">
        <v>19.582165799006599</v>
      </c>
      <c r="AL118">
        <v>88.7557409245575</v>
      </c>
      <c r="AM118">
        <v>87.154621872488605</v>
      </c>
      <c r="AN118">
        <v>0.99999996619787601</v>
      </c>
    </row>
    <row r="119" spans="1:40" x14ac:dyDescent="0.25">
      <c r="A119" t="str">
        <f>"20190312160907675"</f>
        <v>20190312160907675</v>
      </c>
      <c r="B119" t="str">
        <f>"1552378147664867"</f>
        <v>1552378147664867</v>
      </c>
      <c r="C119" t="s">
        <v>40</v>
      </c>
      <c r="D119">
        <v>5.434596</v>
      </c>
      <c r="E119">
        <v>0.47341610000000001</v>
      </c>
      <c r="F119" t="s">
        <v>41</v>
      </c>
      <c r="G119">
        <v>-450.80889999999999</v>
      </c>
      <c r="H119" s="1">
        <v>-4.3393909999999999E-6</v>
      </c>
      <c r="I119">
        <v>367.28160000000003</v>
      </c>
      <c r="J119">
        <v>-470.80220000000003</v>
      </c>
      <c r="K119">
        <v>1.109623</v>
      </c>
      <c r="L119">
        <v>367.1352</v>
      </c>
      <c r="M119">
        <v>0.99985489999999999</v>
      </c>
      <c r="N119">
        <v>0</v>
      </c>
      <c r="O119">
        <v>-1.364626E-2</v>
      </c>
      <c r="P119">
        <v>0.99790219999999996</v>
      </c>
      <c r="Q119">
        <v>1.1369779999999999E-2</v>
      </c>
      <c r="R119">
        <v>-6.3732819999999996E-2</v>
      </c>
      <c r="S119">
        <v>3.0091860000000001</v>
      </c>
      <c r="T119">
        <v>-0.1666822</v>
      </c>
      <c r="U119">
        <v>2.191162E-2</v>
      </c>
      <c r="V119">
        <v>5.0109220000000003E-2</v>
      </c>
      <c r="W119">
        <v>2.1547380000000001E-2</v>
      </c>
      <c r="X119">
        <v>0.99851129999999999</v>
      </c>
      <c r="Y119">
        <v>-2.0874400000000001E-2</v>
      </c>
      <c r="Z119">
        <v>1.333002E-3</v>
      </c>
      <c r="AA119">
        <v>0.99978120000000004</v>
      </c>
      <c r="AB119">
        <v>4</v>
      </c>
      <c r="AC119">
        <v>19.993300000000001</v>
      </c>
      <c r="AD119">
        <v>-1.1096273393909999</v>
      </c>
      <c r="AE119">
        <v>0.14640000000002801</v>
      </c>
      <c r="AF119">
        <v>-0.417947009106578</v>
      </c>
      <c r="AG119">
        <v>-1.1096273393909999</v>
      </c>
      <c r="AH119">
        <v>19.928060196519599</v>
      </c>
      <c r="AI119">
        <v>93.186333463745498</v>
      </c>
      <c r="AJ119">
        <v>91.201476176732498</v>
      </c>
      <c r="AK119">
        <v>19.9633047296998</v>
      </c>
      <c r="AL119">
        <v>88.7653305377045</v>
      </c>
      <c r="AM119">
        <v>87.127082805778997</v>
      </c>
      <c r="AN119">
        <v>1.0000000198707799</v>
      </c>
    </row>
    <row r="120" spans="1:40" x14ac:dyDescent="0.25">
      <c r="A120" t="str">
        <f>"20190312160907723"</f>
        <v>20190312160907723</v>
      </c>
      <c r="B120" t="str">
        <f>"1552378147714643"</f>
        <v>1552378147714643</v>
      </c>
      <c r="C120" t="s">
        <v>40</v>
      </c>
      <c r="D120">
        <v>5.3327929999999997</v>
      </c>
      <c r="E120">
        <v>0.47385870000000002</v>
      </c>
      <c r="F120" t="s">
        <v>41</v>
      </c>
      <c r="G120">
        <v>-450.25299999999999</v>
      </c>
      <c r="H120" s="1">
        <v>-4.5789280000000003E-6</v>
      </c>
      <c r="I120">
        <v>367.2758</v>
      </c>
      <c r="J120">
        <v>-470.71069999999997</v>
      </c>
      <c r="K120">
        <v>1.1101620000000001</v>
      </c>
      <c r="L120">
        <v>367.13400000000001</v>
      </c>
      <c r="M120">
        <v>0.99984519999999999</v>
      </c>
      <c r="N120">
        <v>0</v>
      </c>
      <c r="O120">
        <v>-1.358732E-2</v>
      </c>
      <c r="P120">
        <v>0.9978707</v>
      </c>
      <c r="Q120">
        <v>1.045043E-2</v>
      </c>
      <c r="R120">
        <v>-6.438149E-2</v>
      </c>
      <c r="S120">
        <v>3.0095209999999999</v>
      </c>
      <c r="T120">
        <v>-0.16250899999999999</v>
      </c>
      <c r="U120">
        <v>2.0599369999999999E-2</v>
      </c>
      <c r="V120">
        <v>5.0816750000000001E-2</v>
      </c>
      <c r="W120">
        <v>2.1618890000000002E-2</v>
      </c>
      <c r="X120">
        <v>0.99847399999999997</v>
      </c>
      <c r="Y120">
        <v>-2.0382310000000001E-2</v>
      </c>
      <c r="Z120">
        <v>1.283085E-3</v>
      </c>
      <c r="AA120">
        <v>0.9997914</v>
      </c>
      <c r="AB120">
        <v>5</v>
      </c>
      <c r="AC120">
        <v>20.4576999999999</v>
      </c>
      <c r="AD120">
        <v>-1.110166578928</v>
      </c>
      <c r="AE120">
        <v>0.14179999999998899</v>
      </c>
      <c r="AF120">
        <v>-0.41853712546386501</v>
      </c>
      <c r="AG120">
        <v>-1.110166578928</v>
      </c>
      <c r="AH120">
        <v>20.393830653607001</v>
      </c>
      <c r="AI120">
        <v>93.115245509498607</v>
      </c>
      <c r="AJ120">
        <v>91.175700897311202</v>
      </c>
      <c r="AK120">
        <v>20.428312996582999</v>
      </c>
      <c r="AL120">
        <v>88.761232366547205</v>
      </c>
      <c r="AM120">
        <v>87.086478666112299</v>
      </c>
      <c r="AN120">
        <v>1.0000000235806901</v>
      </c>
    </row>
    <row r="121" spans="1:40" x14ac:dyDescent="0.25">
      <c r="A121" t="str">
        <f>"20190312160907746"</f>
        <v>20190312160907746</v>
      </c>
      <c r="B121" t="str">
        <f>"1552378147735140"</f>
        <v>1552378147735140</v>
      </c>
      <c r="C121" t="s">
        <v>40</v>
      </c>
      <c r="D121">
        <v>5.2748799999999996</v>
      </c>
      <c r="E121">
        <v>0.47396139999999998</v>
      </c>
      <c r="F121" t="s">
        <v>41</v>
      </c>
      <c r="G121">
        <v>-450.43430000000001</v>
      </c>
      <c r="H121" s="1">
        <v>-4.5084979999999996E-6</v>
      </c>
      <c r="I121">
        <v>367.23419999999999</v>
      </c>
      <c r="J121">
        <v>-470.67329999999998</v>
      </c>
      <c r="K121">
        <v>1.110706</v>
      </c>
      <c r="L121">
        <v>367.13350000000003</v>
      </c>
      <c r="M121">
        <v>0.99982260000000001</v>
      </c>
      <c r="N121">
        <v>0</v>
      </c>
      <c r="O121">
        <v>-1.3571649999999999E-2</v>
      </c>
      <c r="P121">
        <v>0.99783759999999999</v>
      </c>
      <c r="Q121">
        <v>7.6909880000000002E-3</v>
      </c>
      <c r="R121">
        <v>-6.5276619999999994E-2</v>
      </c>
      <c r="S121">
        <v>3.009064</v>
      </c>
      <c r="T121">
        <v>-0.164750799999999</v>
      </c>
      <c r="U121">
        <v>1.4892580000000001E-2</v>
      </c>
      <c r="V121">
        <v>5.1727500000000003E-2</v>
      </c>
      <c r="W121">
        <v>2.0741229999999999E-2</v>
      </c>
      <c r="X121">
        <v>0.99844580000000005</v>
      </c>
      <c r="Y121">
        <v>-1.8473369999999999E-2</v>
      </c>
      <c r="Z121">
        <v>1.247901E-3</v>
      </c>
      <c r="AA121">
        <v>0.99982859999999996</v>
      </c>
      <c r="AB121">
        <v>4</v>
      </c>
      <c r="AC121">
        <v>20.238999999999901</v>
      </c>
      <c r="AD121">
        <v>-1.110710508498</v>
      </c>
      <c r="AE121">
        <v>0.10069999999996</v>
      </c>
      <c r="AF121">
        <v>-0.374263605581449</v>
      </c>
      <c r="AG121">
        <v>-1.110710508498</v>
      </c>
      <c r="AH121">
        <v>20.1750076683436</v>
      </c>
      <c r="AI121">
        <v>93.150627396100603</v>
      </c>
      <c r="AJ121">
        <v>91.062763694865893</v>
      </c>
      <c r="AK121">
        <v>20.2090248527204</v>
      </c>
      <c r="AL121">
        <v>88.811529805005605</v>
      </c>
      <c r="AM121">
        <v>87.034270620482602</v>
      </c>
      <c r="AN121">
        <v>0.99999997420790099</v>
      </c>
    </row>
    <row r="122" spans="1:40" x14ac:dyDescent="0.25">
      <c r="A122" t="str">
        <f>"20190312160907767"</f>
        <v>20190312160907767</v>
      </c>
      <c r="B122" t="str">
        <f>"1552378147754660"</f>
        <v>1552378147754660</v>
      </c>
      <c r="C122" t="s">
        <v>40</v>
      </c>
      <c r="D122">
        <v>5.1944489999999996</v>
      </c>
      <c r="E122">
        <v>0.47410089999999999</v>
      </c>
      <c r="F122" t="s">
        <v>41</v>
      </c>
      <c r="G122">
        <v>-451.1336</v>
      </c>
      <c r="H122" s="1">
        <v>-4.2131259999999998E-6</v>
      </c>
      <c r="I122">
        <v>367.2081</v>
      </c>
      <c r="J122">
        <v>-470.63299999999998</v>
      </c>
      <c r="K122">
        <v>1.1105069999999999</v>
      </c>
      <c r="L122">
        <v>367.13290000000001</v>
      </c>
      <c r="M122">
        <v>0.99982930000000003</v>
      </c>
      <c r="N122">
        <v>0</v>
      </c>
      <c r="O122">
        <v>-1.355052E-2</v>
      </c>
      <c r="P122">
        <v>0.99779010000000001</v>
      </c>
      <c r="Q122">
        <v>7.2503430000000002E-3</v>
      </c>
      <c r="R122">
        <v>-6.6048250000000003E-2</v>
      </c>
      <c r="S122">
        <v>3.008575</v>
      </c>
      <c r="T122">
        <v>-0.17101859999999999</v>
      </c>
      <c r="U122">
        <v>1.1505130000000001E-2</v>
      </c>
      <c r="V122">
        <v>5.252068E-2</v>
      </c>
      <c r="W122">
        <v>1.9798240000000002E-2</v>
      </c>
      <c r="X122">
        <v>0.99842359999999997</v>
      </c>
      <c r="Y122">
        <v>-1.7325380000000001E-2</v>
      </c>
      <c r="Z122">
        <v>1.2617069999999999E-3</v>
      </c>
      <c r="AA122">
        <v>0.99984910000000005</v>
      </c>
      <c r="AB122">
        <v>3</v>
      </c>
      <c r="AC122">
        <v>19.499400000000001</v>
      </c>
      <c r="AD122">
        <v>-1.110511213126</v>
      </c>
      <c r="AE122">
        <v>7.5199999999995201E-2</v>
      </c>
      <c r="AF122">
        <v>-0.33834357371171098</v>
      </c>
      <c r="AG122">
        <v>-1.110511213126</v>
      </c>
      <c r="AH122">
        <v>19.433560058847199</v>
      </c>
      <c r="AI122">
        <v>93.270058278254695</v>
      </c>
      <c r="AJ122">
        <v>90.997434355061998</v>
      </c>
      <c r="AK122">
        <v>19.468204028342601</v>
      </c>
      <c r="AL122">
        <v>88.865570331298798</v>
      </c>
      <c r="AM122">
        <v>86.988810898436995</v>
      </c>
      <c r="AN122">
        <v>1.0000000385858501</v>
      </c>
    </row>
    <row r="123" spans="1:40" x14ac:dyDescent="0.25">
      <c r="A123" t="str">
        <f>"20190312160907788"</f>
        <v>20190312160907788</v>
      </c>
      <c r="B123" t="str">
        <f>"1552378147784916"</f>
        <v>1552378147784916</v>
      </c>
      <c r="C123" t="s">
        <v>40</v>
      </c>
      <c r="D123">
        <v>5.0471719999999998</v>
      </c>
      <c r="E123">
        <v>0.47428670000000001</v>
      </c>
      <c r="F123" t="s">
        <v>41</v>
      </c>
      <c r="G123">
        <v>-451.20440000000002</v>
      </c>
      <c r="H123" s="1">
        <v>-4.1867229999999997E-6</v>
      </c>
      <c r="I123">
        <v>367.18579999999997</v>
      </c>
      <c r="J123">
        <v>-470.5883</v>
      </c>
      <c r="K123">
        <v>1.110042</v>
      </c>
      <c r="L123">
        <v>367.13240000000002</v>
      </c>
      <c r="M123">
        <v>0.99984879999999998</v>
      </c>
      <c r="N123">
        <v>0</v>
      </c>
      <c r="O123">
        <v>-1.352186E-2</v>
      </c>
      <c r="P123">
        <v>0.99775519999999995</v>
      </c>
      <c r="Q123">
        <v>9.6086880000000006E-3</v>
      </c>
      <c r="R123">
        <v>-6.6274769999999997E-2</v>
      </c>
      <c r="S123">
        <v>3.0084230000000001</v>
      </c>
      <c r="T123">
        <v>-0.17195639999999901</v>
      </c>
      <c r="U123">
        <v>8.2092290000000002E-3</v>
      </c>
      <c r="V123">
        <v>5.2776379999999998E-2</v>
      </c>
      <c r="W123">
        <v>2.0533849999999999E-2</v>
      </c>
      <c r="X123">
        <v>0.99839520000000004</v>
      </c>
      <c r="Y123">
        <v>-1.6202600000000001E-2</v>
      </c>
      <c r="Z123">
        <v>1.2349660000000001E-3</v>
      </c>
      <c r="AA123">
        <v>0.99986799999999998</v>
      </c>
      <c r="AB123">
        <v>4</v>
      </c>
      <c r="AC123">
        <v>19.383899999999901</v>
      </c>
      <c r="AD123">
        <v>-1.110046186723</v>
      </c>
      <c r="AE123">
        <v>5.33999999999537E-2</v>
      </c>
      <c r="AF123">
        <v>-0.314485836623832</v>
      </c>
      <c r="AG123">
        <v>-1.110046186723</v>
      </c>
      <c r="AH123">
        <v>19.3180535840898</v>
      </c>
      <c r="AI123">
        <v>93.288255795414301</v>
      </c>
      <c r="AJ123">
        <v>90.932657090353501</v>
      </c>
      <c r="AK123">
        <v>19.352475246227801</v>
      </c>
      <c r="AL123">
        <v>88.823414342424101</v>
      </c>
      <c r="AM123">
        <v>86.974092013458701</v>
      </c>
      <c r="AN123">
        <v>0.99999998033238302</v>
      </c>
    </row>
    <row r="124" spans="1:40" x14ac:dyDescent="0.25">
      <c r="A124" t="str">
        <f>"20190312160907831"</f>
        <v>20190312160907831</v>
      </c>
      <c r="B124" t="str">
        <f>"1552378147824932"</f>
        <v>1552378147824932</v>
      </c>
      <c r="C124" t="s">
        <v>40</v>
      </c>
      <c r="D124">
        <v>5.2609360000000001</v>
      </c>
      <c r="E124">
        <v>0.47439219999999999</v>
      </c>
      <c r="F124" t="s">
        <v>41</v>
      </c>
      <c r="G124">
        <v>-450.565</v>
      </c>
      <c r="H124" s="1">
        <v>-4.4634429999999996E-6</v>
      </c>
      <c r="I124">
        <v>367.1721</v>
      </c>
      <c r="J124">
        <v>-470.49470000000002</v>
      </c>
      <c r="K124">
        <v>1.1096159999999999</v>
      </c>
      <c r="L124">
        <v>367.13119999999998</v>
      </c>
      <c r="M124">
        <v>0.99987170000000003</v>
      </c>
      <c r="N124">
        <v>0</v>
      </c>
      <c r="O124">
        <v>-1.345153E-2</v>
      </c>
      <c r="P124">
        <v>0.99773959999999995</v>
      </c>
      <c r="Q124">
        <v>1.2513430000000001E-2</v>
      </c>
      <c r="R124">
        <v>-6.6023739999999997E-2</v>
      </c>
      <c r="S124">
        <v>3.0087280000000001</v>
      </c>
      <c r="T124">
        <v>-0.16679630000000001</v>
      </c>
      <c r="U124">
        <v>5.9814450000000002E-3</v>
      </c>
      <c r="V124">
        <v>5.2596230000000001E-2</v>
      </c>
      <c r="W124">
        <v>2.1199369999999999E-2</v>
      </c>
      <c r="X124">
        <v>0.99839080000000002</v>
      </c>
      <c r="Y124">
        <v>-1.5395570000000001E-2</v>
      </c>
      <c r="Z124">
        <v>1.1715779999999999E-3</v>
      </c>
      <c r="AA124">
        <v>0.99988080000000001</v>
      </c>
      <c r="AB124">
        <v>5</v>
      </c>
      <c r="AC124">
        <v>19.9297</v>
      </c>
      <c r="AD124">
        <v>-1.109620463443</v>
      </c>
      <c r="AE124">
        <v>4.0900000000021898E-2</v>
      </c>
      <c r="AF124">
        <v>-0.308036518488295</v>
      </c>
      <c r="AG124">
        <v>-1.109620463443</v>
      </c>
      <c r="AH124">
        <v>19.8657649332789</v>
      </c>
      <c r="AI124">
        <v>93.196602706151396</v>
      </c>
      <c r="AJ124">
        <v>90.888351303189907</v>
      </c>
      <c r="AK124">
        <v>19.899114564570699</v>
      </c>
      <c r="AL124">
        <v>88.785274552932904</v>
      </c>
      <c r="AM124">
        <v>86.984388463462693</v>
      </c>
      <c r="AN124">
        <v>0.99999998311162397</v>
      </c>
    </row>
    <row r="125" spans="1:40" x14ac:dyDescent="0.25">
      <c r="A125" t="str">
        <f>"20190312160907876"</f>
        <v>20190312160907876</v>
      </c>
      <c r="B125" t="str">
        <f>"1552378147864948"</f>
        <v>1552378147864948</v>
      </c>
      <c r="C125" t="s">
        <v>40</v>
      </c>
      <c r="D125">
        <v>5.1584070000000004</v>
      </c>
      <c r="E125">
        <v>0.47444180000000002</v>
      </c>
      <c r="F125" t="s">
        <v>41</v>
      </c>
      <c r="G125">
        <v>-448.60140000000001</v>
      </c>
      <c r="H125" s="1">
        <v>-1.1705249999999999E-6</v>
      </c>
      <c r="I125">
        <v>367.17630000000003</v>
      </c>
      <c r="J125">
        <v>-470.4074</v>
      </c>
      <c r="K125">
        <v>1.110574</v>
      </c>
      <c r="L125">
        <v>367.1302</v>
      </c>
      <c r="M125">
        <v>0.99984320000000004</v>
      </c>
      <c r="N125">
        <v>0</v>
      </c>
      <c r="O125">
        <v>-1.340016E-2</v>
      </c>
      <c r="P125">
        <v>0.9978477</v>
      </c>
      <c r="Q125">
        <v>9.4918250000000006E-3</v>
      </c>
      <c r="R125">
        <v>-6.4883270000000007E-2</v>
      </c>
      <c r="S125">
        <v>3.0091860000000001</v>
      </c>
      <c r="T125">
        <v>-0.15251479999999901</v>
      </c>
      <c r="U125">
        <v>6.1950679999999998E-3</v>
      </c>
      <c r="V125">
        <v>5.1505860000000001E-2</v>
      </c>
      <c r="W125">
        <v>2.104777E-2</v>
      </c>
      <c r="X125">
        <v>0.99845090000000003</v>
      </c>
      <c r="Y125">
        <v>-1.542257E-2</v>
      </c>
      <c r="Z125">
        <v>1.069338E-3</v>
      </c>
      <c r="AA125">
        <v>0.99988049999999995</v>
      </c>
      <c r="AB125">
        <v>5</v>
      </c>
      <c r="AC125">
        <v>21.805999999999901</v>
      </c>
      <c r="AD125">
        <v>-1.110575170525</v>
      </c>
      <c r="AE125">
        <v>4.6100000000023997E-2</v>
      </c>
      <c r="AF125">
        <v>-0.337444057083788</v>
      </c>
      <c r="AG125">
        <v>-1.110575170525</v>
      </c>
      <c r="AH125">
        <v>21.747015950166698</v>
      </c>
      <c r="AI125">
        <v>92.923086196348194</v>
      </c>
      <c r="AJ125">
        <v>90.888975704181306</v>
      </c>
      <c r="AK125">
        <v>21.777969336874701</v>
      </c>
      <c r="AL125">
        <v>88.793962589521001</v>
      </c>
      <c r="AM125">
        <v>87.046970580312006</v>
      </c>
      <c r="AN125">
        <v>1.0000000309735599</v>
      </c>
    </row>
    <row r="126" spans="1:40" x14ac:dyDescent="0.25">
      <c r="A126" t="str">
        <f>"20190312160907899"</f>
        <v>20190312160907899</v>
      </c>
      <c r="B126" t="str">
        <f>"1552378147895203"</f>
        <v>1552378147895203</v>
      </c>
      <c r="C126" t="s">
        <v>40</v>
      </c>
      <c r="D126">
        <v>5.1691269999999996</v>
      </c>
      <c r="E126">
        <v>0.51363019999999904</v>
      </c>
      <c r="F126" t="s">
        <v>41</v>
      </c>
      <c r="G126">
        <v>-449.01979999999998</v>
      </c>
      <c r="H126" s="1">
        <v>-1.004243E-6</v>
      </c>
      <c r="I126">
        <v>367.19740000000002</v>
      </c>
      <c r="J126">
        <v>-470.36529999999999</v>
      </c>
      <c r="K126">
        <v>1.1106529999999999</v>
      </c>
      <c r="L126">
        <v>367.12959999999998</v>
      </c>
      <c r="M126">
        <v>0.9998378</v>
      </c>
      <c r="N126">
        <v>0</v>
      </c>
      <c r="O126">
        <v>-1.3378599999999999E-2</v>
      </c>
      <c r="P126">
        <v>0.99790210000000001</v>
      </c>
      <c r="Q126">
        <v>9.2604920000000004E-3</v>
      </c>
      <c r="R126">
        <v>-6.4076030000000006E-2</v>
      </c>
      <c r="S126">
        <v>3.0086059999999999</v>
      </c>
      <c r="T126">
        <v>-0.156225</v>
      </c>
      <c r="U126">
        <v>9.4604489999999992E-3</v>
      </c>
      <c r="V126">
        <v>5.0719510000000002E-2</v>
      </c>
      <c r="W126">
        <v>2.130044E-2</v>
      </c>
      <c r="X126">
        <v>0.99848570000000003</v>
      </c>
      <c r="Y126">
        <v>-1.6483439999999999E-2</v>
      </c>
      <c r="Z126">
        <v>1.1219369999999999E-3</v>
      </c>
      <c r="AA126">
        <v>0.99986350000000002</v>
      </c>
      <c r="AB126">
        <v>4</v>
      </c>
      <c r="AC126">
        <v>21.345500000000001</v>
      </c>
      <c r="AD126">
        <v>-1.110654004243</v>
      </c>
      <c r="AE126">
        <v>6.7800000000033805E-2</v>
      </c>
      <c r="AF126">
        <v>-0.35243344683634897</v>
      </c>
      <c r="AG126">
        <v>-1.110654004243</v>
      </c>
      <c r="AH126">
        <v>21.285056635150902</v>
      </c>
      <c r="AI126">
        <v>92.9865754958184</v>
      </c>
      <c r="AJ126">
        <v>90.948604664015505</v>
      </c>
      <c r="AK126">
        <v>21.316927489982501</v>
      </c>
      <c r="AL126">
        <v>88.779482302094493</v>
      </c>
      <c r="AM126">
        <v>87.092078250326693</v>
      </c>
      <c r="AN126">
        <v>0.99999993527165898</v>
      </c>
    </row>
    <row r="127" spans="1:40" x14ac:dyDescent="0.25">
      <c r="A127" t="str">
        <f>"20190312160907921"</f>
        <v>20190312160907921</v>
      </c>
      <c r="B127" t="str">
        <f>"1552378147914724"</f>
        <v>1552378147914724</v>
      </c>
      <c r="C127" t="s">
        <v>40</v>
      </c>
      <c r="D127">
        <v>5.134601</v>
      </c>
      <c r="E127">
        <v>0.52238909999999905</v>
      </c>
      <c r="F127" t="s">
        <v>42</v>
      </c>
      <c r="G127">
        <v>-469.64460000000003</v>
      </c>
      <c r="H127">
        <v>1.004262</v>
      </c>
      <c r="I127">
        <v>367.05720000000002</v>
      </c>
      <c r="J127">
        <v>-470.31599999999997</v>
      </c>
      <c r="K127">
        <v>1.11022</v>
      </c>
      <c r="L127">
        <v>367.12900000000002</v>
      </c>
      <c r="M127">
        <v>0.99985369999999996</v>
      </c>
      <c r="N127">
        <v>0</v>
      </c>
      <c r="O127">
        <v>-1.3345600000000001E-2</v>
      </c>
      <c r="P127">
        <v>0.99789329999999998</v>
      </c>
      <c r="Q127">
        <v>1.043116E-2</v>
      </c>
      <c r="R127">
        <v>-6.4035179999999997E-2</v>
      </c>
      <c r="S127">
        <v>2.9911799999999999</v>
      </c>
      <c r="T127">
        <v>-0.441658</v>
      </c>
      <c r="U127">
        <v>-0.2998962</v>
      </c>
      <c r="V127">
        <v>5.0711920000000001E-2</v>
      </c>
      <c r="W127">
        <v>2.1127389999999999E-2</v>
      </c>
      <c r="X127">
        <v>0.99848990000000004</v>
      </c>
      <c r="Y127">
        <v>8.5694960000000001E-2</v>
      </c>
      <c r="Z127">
        <v>-4.3221620000000001E-3</v>
      </c>
      <c r="AA127">
        <v>0.99631199999999998</v>
      </c>
      <c r="AB127">
        <v>4</v>
      </c>
      <c r="AC127">
        <v>0.67139999999994804</v>
      </c>
      <c r="AD127">
        <v>-0.105958</v>
      </c>
      <c r="AE127">
        <v>-7.1799999999996006E-2</v>
      </c>
      <c r="AF127">
        <v>6.1322816521219299E-2</v>
      </c>
      <c r="AG127">
        <v>-0.105958</v>
      </c>
      <c r="AH127">
        <v>0.65614135886256597</v>
      </c>
      <c r="AI127">
        <v>99.134174073620002</v>
      </c>
      <c r="AJ127">
        <v>84.660659819120994</v>
      </c>
      <c r="AK127">
        <v>0.66746465704193603</v>
      </c>
      <c r="AL127">
        <v>88.789399735841698</v>
      </c>
      <c r="AM127">
        <v>87.092524873013701</v>
      </c>
      <c r="AN127">
        <v>1.0000000729201499</v>
      </c>
    </row>
    <row r="128" spans="1:40" x14ac:dyDescent="0.25">
      <c r="A128" t="str">
        <f>"20190312160907942"</f>
        <v>20190312160907942</v>
      </c>
      <c r="B128" t="str">
        <f>"1552378147935219"</f>
        <v>1552378147935219</v>
      </c>
      <c r="C128" t="s">
        <v>40</v>
      </c>
      <c r="D128">
        <v>5.1386640000000003</v>
      </c>
      <c r="E128">
        <v>0.52589929999999996</v>
      </c>
      <c r="F128" t="s">
        <v>42</v>
      </c>
      <c r="G128">
        <v>-469.60750000000002</v>
      </c>
      <c r="H128">
        <v>0.99033519999999997</v>
      </c>
      <c r="I128">
        <v>367.04109999999997</v>
      </c>
      <c r="J128">
        <v>-470.26749999999998</v>
      </c>
      <c r="K128">
        <v>1.1098140000000001</v>
      </c>
      <c r="L128">
        <v>367.1284</v>
      </c>
      <c r="M128">
        <v>0.99986960000000003</v>
      </c>
      <c r="N128">
        <v>0</v>
      </c>
      <c r="O128">
        <v>-1.330609E-2</v>
      </c>
      <c r="P128">
        <v>0.99786030000000003</v>
      </c>
      <c r="Q128">
        <v>1.152254E-2</v>
      </c>
      <c r="R128">
        <v>-6.4359540000000007E-2</v>
      </c>
      <c r="S128">
        <v>2.9878849999999999</v>
      </c>
      <c r="T128">
        <v>-0.50579979999999902</v>
      </c>
      <c r="U128">
        <v>-0.36981199999999997</v>
      </c>
      <c r="V128">
        <v>5.1076120000000003E-2</v>
      </c>
      <c r="W128">
        <v>2.066782E-2</v>
      </c>
      <c r="X128">
        <v>0.9984809</v>
      </c>
      <c r="Y128">
        <v>0.10828599999999999</v>
      </c>
      <c r="Z128">
        <v>-6.8390509999999996E-3</v>
      </c>
      <c r="AA128">
        <v>0.99409630000000004</v>
      </c>
      <c r="AB128">
        <v>4</v>
      </c>
      <c r="AC128">
        <v>0.65999999999996795</v>
      </c>
      <c r="AD128">
        <v>-0.1194788</v>
      </c>
      <c r="AE128">
        <v>-8.7300000000027397E-2</v>
      </c>
      <c r="AF128">
        <v>7.6060153230660899E-2</v>
      </c>
      <c r="AG128">
        <v>-0.1194788</v>
      </c>
      <c r="AH128">
        <v>0.64047494527584403</v>
      </c>
      <c r="AI128">
        <v>100.494818556239</v>
      </c>
      <c r="AJ128">
        <v>83.227508923544605</v>
      </c>
      <c r="AK128">
        <v>0.65594853920487295</v>
      </c>
      <c r="AL128">
        <v>88.815736842259994</v>
      </c>
      <c r="AM128">
        <v>87.071653997166706</v>
      </c>
      <c r="AN128">
        <v>1.0000000182413</v>
      </c>
    </row>
    <row r="129" spans="1:40" x14ac:dyDescent="0.25">
      <c r="A129" t="str">
        <f>"20190312160907963"</f>
        <v>20190312160907963</v>
      </c>
      <c r="B129" t="str">
        <f>"1552378147954739"</f>
        <v>1552378147954739</v>
      </c>
      <c r="C129" t="s">
        <v>40</v>
      </c>
      <c r="D129">
        <v>5.3920649999999997</v>
      </c>
      <c r="E129">
        <v>0.52771999999999997</v>
      </c>
      <c r="F129" t="s">
        <v>42</v>
      </c>
      <c r="G129">
        <v>-469.56240000000003</v>
      </c>
      <c r="H129">
        <v>0.98746730000000005</v>
      </c>
      <c r="I129">
        <v>367.03410000000002</v>
      </c>
      <c r="J129">
        <v>-470.21620000000001</v>
      </c>
      <c r="K129">
        <v>1.1095699999999999</v>
      </c>
      <c r="L129">
        <v>367.1277</v>
      </c>
      <c r="M129">
        <v>0.99988069999999896</v>
      </c>
      <c r="N129">
        <v>0</v>
      </c>
      <c r="O129">
        <v>-1.326023E-2</v>
      </c>
      <c r="P129">
        <v>0.99779099999999998</v>
      </c>
      <c r="Q129">
        <v>1.3311730000000001E-2</v>
      </c>
      <c r="R129">
        <v>-6.5086480000000002E-2</v>
      </c>
      <c r="S129">
        <v>2.9867249999999999</v>
      </c>
      <c r="T129">
        <v>-0.51835370000000003</v>
      </c>
      <c r="U129">
        <v>-0.39862059999999999</v>
      </c>
      <c r="V129">
        <v>5.1849699999999999E-2</v>
      </c>
      <c r="W129">
        <v>2.123274E-2</v>
      </c>
      <c r="X129">
        <v>0.99842920000000002</v>
      </c>
      <c r="Y129">
        <v>0.117603399999999</v>
      </c>
      <c r="Z129">
        <v>-7.8118049999999998E-3</v>
      </c>
      <c r="AA129">
        <v>0.99302990000000002</v>
      </c>
      <c r="AB129">
        <v>5</v>
      </c>
      <c r="AC129">
        <v>0.65379999999998895</v>
      </c>
      <c r="AD129">
        <v>-0.12210269999999999</v>
      </c>
      <c r="AE129">
        <v>-9.3599999999980796E-2</v>
      </c>
      <c r="AF129">
        <v>8.2115400820134493E-2</v>
      </c>
      <c r="AG129">
        <v>-0.12210269999999999</v>
      </c>
      <c r="AH129">
        <v>0.63333736162892196</v>
      </c>
      <c r="AI129">
        <v>100.82388044487</v>
      </c>
      <c r="AJ129">
        <v>82.612523239540195</v>
      </c>
      <c r="AK129">
        <v>0.65020629190605705</v>
      </c>
      <c r="AL129">
        <v>88.7833622364072</v>
      </c>
      <c r="AM129">
        <v>87.027227657073595</v>
      </c>
      <c r="AN129">
        <v>1.0000000440253101</v>
      </c>
    </row>
    <row r="130" spans="1:40" x14ac:dyDescent="0.25">
      <c r="A130" t="str">
        <f>"20190312160907986"</f>
        <v>20190312160907986</v>
      </c>
      <c r="B130" t="str">
        <f>"1552378147975236"</f>
        <v>1552378147975236</v>
      </c>
      <c r="C130" t="s">
        <v>40</v>
      </c>
      <c r="D130">
        <v>5.1336279999999999</v>
      </c>
      <c r="E130">
        <v>0.52966210000000002</v>
      </c>
      <c r="F130" t="s">
        <v>42</v>
      </c>
      <c r="G130">
        <v>-469.51519999999999</v>
      </c>
      <c r="H130">
        <v>0.98564459999999998</v>
      </c>
      <c r="I130">
        <v>367.02980000000002</v>
      </c>
      <c r="J130">
        <v>-470.16579999999999</v>
      </c>
      <c r="K130">
        <v>1.1099250000000001</v>
      </c>
      <c r="L130">
        <v>367.12709999999998</v>
      </c>
      <c r="M130">
        <v>0.99987440000000005</v>
      </c>
      <c r="N130">
        <v>0</v>
      </c>
      <c r="O130">
        <v>-1.3223159999999999E-2</v>
      </c>
      <c r="P130">
        <v>0.99773000000000001</v>
      </c>
      <c r="Q130">
        <v>1.31606E-2</v>
      </c>
      <c r="R130">
        <v>-6.6044779999999997E-2</v>
      </c>
      <c r="S130">
        <v>2.9865719999999998</v>
      </c>
      <c r="T130">
        <v>-0.52822159999999996</v>
      </c>
      <c r="U130">
        <v>-0.41506959999999998</v>
      </c>
      <c r="V130">
        <v>5.2845679999999999E-2</v>
      </c>
      <c r="W130">
        <v>2.1887770000000001E-2</v>
      </c>
      <c r="X130">
        <v>0.99836279999999999</v>
      </c>
      <c r="Y130">
        <v>0.1228766</v>
      </c>
      <c r="Z130">
        <v>-8.4228649999999999E-3</v>
      </c>
      <c r="AA130">
        <v>0.9923862</v>
      </c>
      <c r="AB130">
        <v>5</v>
      </c>
      <c r="AC130">
        <v>0.65059999999999696</v>
      </c>
      <c r="AD130">
        <v>-0.1242804</v>
      </c>
      <c r="AE130">
        <v>-9.7299999999961501E-2</v>
      </c>
      <c r="AF130">
        <v>8.5631807920861502E-2</v>
      </c>
      <c r="AG130">
        <v>-0.1242804</v>
      </c>
      <c r="AH130">
        <v>0.62936644565928701</v>
      </c>
      <c r="AI130">
        <v>101.070978652554</v>
      </c>
      <c r="AJ130">
        <v>82.25189545376</v>
      </c>
      <c r="AK130">
        <v>0.64720981704062497</v>
      </c>
      <c r="AL130">
        <v>88.745823014794496</v>
      </c>
      <c r="AM130">
        <v>86.970027984459605</v>
      </c>
      <c r="AN130">
        <v>1.0000000103970299</v>
      </c>
    </row>
    <row r="131" spans="1:40" x14ac:dyDescent="0.25">
      <c r="A131" t="str">
        <f>"20190312160908009"</f>
        <v>20190312160908009</v>
      </c>
      <c r="B131" t="str">
        <f>"1552378148004516"</f>
        <v>1552378148004516</v>
      </c>
      <c r="C131" t="s">
        <v>40</v>
      </c>
      <c r="D131">
        <v>5.1876530000000001</v>
      </c>
      <c r="E131">
        <v>0.53236619999999901</v>
      </c>
      <c r="F131" t="s">
        <v>42</v>
      </c>
      <c r="G131">
        <v>-469.43520000000001</v>
      </c>
      <c r="H131">
        <v>0.97553520000000005</v>
      </c>
      <c r="I131">
        <v>367.02080000000001</v>
      </c>
      <c r="J131">
        <v>-470.12079999999997</v>
      </c>
      <c r="K131">
        <v>1.1104799999999999</v>
      </c>
      <c r="L131">
        <v>367.12650000000002</v>
      </c>
      <c r="M131">
        <v>0.99985690000000005</v>
      </c>
      <c r="N131">
        <v>0</v>
      </c>
      <c r="O131">
        <v>-1.319707E-2</v>
      </c>
      <c r="P131">
        <v>0.99763930000000001</v>
      </c>
      <c r="Q131">
        <v>1.186072E-2</v>
      </c>
      <c r="R131">
        <v>-6.7638199999999996E-2</v>
      </c>
      <c r="S131">
        <v>2.9853519999999998</v>
      </c>
      <c r="T131">
        <v>-0.54909869999999905</v>
      </c>
      <c r="U131">
        <v>-0.43347170000000002</v>
      </c>
      <c r="V131">
        <v>5.4466460000000001E-2</v>
      </c>
      <c r="W131">
        <v>2.2424550000000001E-2</v>
      </c>
      <c r="X131">
        <v>0.99826380000000003</v>
      </c>
      <c r="Y131">
        <v>0.12872210000000001</v>
      </c>
      <c r="Z131">
        <v>-9.2853610000000007E-3</v>
      </c>
      <c r="AA131">
        <v>0.9916372</v>
      </c>
      <c r="AB131">
        <v>5</v>
      </c>
      <c r="AC131">
        <v>0.68559999999996502</v>
      </c>
      <c r="AD131">
        <v>-0.134944799999999</v>
      </c>
      <c r="AE131">
        <v>-0.10570000000001301</v>
      </c>
      <c r="AF131">
        <v>9.3118624160331495E-2</v>
      </c>
      <c r="AG131">
        <v>-0.134944799999999</v>
      </c>
      <c r="AH131">
        <v>0.66188842063044195</v>
      </c>
      <c r="AI131">
        <v>101.414034654638</v>
      </c>
      <c r="AJ131">
        <v>81.991827792227596</v>
      </c>
      <c r="AK131">
        <v>0.68189255647588298</v>
      </c>
      <c r="AL131">
        <v>88.715060266318204</v>
      </c>
      <c r="AM131">
        <v>86.876970687258293</v>
      </c>
      <c r="AN131">
        <v>1.0000000350490299</v>
      </c>
    </row>
    <row r="132" spans="1:40" x14ac:dyDescent="0.25">
      <c r="A132" t="str">
        <f>"20190312160908032"</f>
        <v>20190312160908032</v>
      </c>
      <c r="B132" t="str">
        <f>"1552378148025012"</f>
        <v>1552378148025012</v>
      </c>
      <c r="C132" t="s">
        <v>40</v>
      </c>
      <c r="D132">
        <v>5.1304589999999903</v>
      </c>
      <c r="E132">
        <v>0.53256729999999997</v>
      </c>
      <c r="F132" t="s">
        <v>42</v>
      </c>
      <c r="G132">
        <v>-469.3999</v>
      </c>
      <c r="H132">
        <v>0.97045840000000005</v>
      </c>
      <c r="I132">
        <v>367.01560000000001</v>
      </c>
      <c r="J132">
        <v>-470.07429999999999</v>
      </c>
      <c r="K132">
        <v>1.1107940000000001</v>
      </c>
      <c r="L132">
        <v>367.1259</v>
      </c>
      <c r="M132">
        <v>0.99984200000000001</v>
      </c>
      <c r="N132">
        <v>0</v>
      </c>
      <c r="O132">
        <v>-1.317308E-2</v>
      </c>
      <c r="P132">
        <v>0.99756999999999996</v>
      </c>
      <c r="Q132">
        <v>9.6560199999999995E-3</v>
      </c>
      <c r="R132">
        <v>-6.9002699999999903E-2</v>
      </c>
      <c r="S132">
        <v>2.982758</v>
      </c>
      <c r="T132">
        <v>-0.57924249999999999</v>
      </c>
      <c r="U132">
        <v>-0.45983889999999999</v>
      </c>
      <c r="V132">
        <v>5.5855479999999999E-2</v>
      </c>
      <c r="W132">
        <v>2.1572649999999999E-2</v>
      </c>
      <c r="X132">
        <v>0.99820580000000003</v>
      </c>
      <c r="Y132">
        <v>0.137072</v>
      </c>
      <c r="Z132">
        <v>-1.059146E-2</v>
      </c>
      <c r="AA132">
        <v>0.99050439999999995</v>
      </c>
      <c r="AB132">
        <v>4</v>
      </c>
      <c r="AC132">
        <v>0.67439999999999101</v>
      </c>
      <c r="AD132">
        <v>-0.1403356</v>
      </c>
      <c r="AE132">
        <v>-0.110299999999995</v>
      </c>
      <c r="AF132">
        <v>9.7302324178182298E-2</v>
      </c>
      <c r="AG132">
        <v>-0.1403356</v>
      </c>
      <c r="AH132">
        <v>0.64844749300358095</v>
      </c>
      <c r="AI132">
        <v>102.08029656195301</v>
      </c>
      <c r="AJ132">
        <v>81.466192619062895</v>
      </c>
      <c r="AK132">
        <v>0.67055646600451602</v>
      </c>
      <c r="AL132">
        <v>88.763882332608901</v>
      </c>
      <c r="AM132">
        <v>86.797304288899696</v>
      </c>
      <c r="AN132">
        <v>1.0000000165138401</v>
      </c>
    </row>
    <row r="133" spans="1:40" x14ac:dyDescent="0.25">
      <c r="A133" t="str">
        <f>"20190312160908055"</f>
        <v>20190312160908055</v>
      </c>
      <c r="B133" t="str">
        <f>"1552378148044533"</f>
        <v>1552378148044533</v>
      </c>
      <c r="C133" t="s">
        <v>40</v>
      </c>
      <c r="D133">
        <v>5.1921200000000001</v>
      </c>
      <c r="E133">
        <v>0.53314329999999999</v>
      </c>
      <c r="F133" t="s">
        <v>42</v>
      </c>
      <c r="G133">
        <v>-469.35899999999998</v>
      </c>
      <c r="H133">
        <v>0.96928020000000004</v>
      </c>
      <c r="I133">
        <v>367.01409999999998</v>
      </c>
      <c r="J133">
        <v>-470.02769999999998</v>
      </c>
      <c r="K133">
        <v>1.1105069999999999</v>
      </c>
      <c r="L133">
        <v>367.12540000000001</v>
      </c>
      <c r="M133">
        <v>0.99985040000000003</v>
      </c>
      <c r="N133">
        <v>0</v>
      </c>
      <c r="O133">
        <v>-1.314329E-2</v>
      </c>
      <c r="P133">
        <v>0.9975252</v>
      </c>
      <c r="Q133">
        <v>9.4417230000000008E-3</v>
      </c>
      <c r="R133">
        <v>-6.9675210000000001E-2</v>
      </c>
      <c r="S133">
        <v>2.9809269999999999</v>
      </c>
      <c r="T133">
        <v>-0.58982179999999995</v>
      </c>
      <c r="U133">
        <v>-0.46505740000000001</v>
      </c>
      <c r="V133">
        <v>5.6558079999999997E-2</v>
      </c>
      <c r="W133">
        <v>2.0659710000000001E-2</v>
      </c>
      <c r="X133">
        <v>0.99818549999999995</v>
      </c>
      <c r="Y133">
        <v>0.138769</v>
      </c>
      <c r="Z133">
        <v>-1.095749E-2</v>
      </c>
      <c r="AA133">
        <v>0.99026420000000004</v>
      </c>
      <c r="AB133">
        <v>4</v>
      </c>
      <c r="AC133">
        <v>0.66869999999994401</v>
      </c>
      <c r="AD133">
        <v>-0.14122680000000001</v>
      </c>
      <c r="AE133">
        <v>-0.111300000000028</v>
      </c>
      <c r="AF133">
        <v>9.8237274141236203E-2</v>
      </c>
      <c r="AG133">
        <v>-0.14122680000000001</v>
      </c>
      <c r="AH133">
        <v>0.64223141746253298</v>
      </c>
      <c r="AI133">
        <v>102.26371193356201</v>
      </c>
      <c r="AJ133">
        <v>81.303307578959405</v>
      </c>
      <c r="AK133">
        <v>0.66487349521910899</v>
      </c>
      <c r="AL133">
        <v>88.816201548668801</v>
      </c>
      <c r="AM133">
        <v>86.757037568748004</v>
      </c>
      <c r="AN133">
        <v>0.99999996622040899</v>
      </c>
    </row>
    <row r="134" spans="1:40" x14ac:dyDescent="0.25">
      <c r="A134" t="str">
        <f>"20190312160908098"</f>
        <v>20190312160908098</v>
      </c>
      <c r="B134" t="str">
        <f>"1552378148084548"</f>
        <v>1552378148084548</v>
      </c>
      <c r="C134" t="s">
        <v>40</v>
      </c>
      <c r="D134">
        <v>5.3363430000000003</v>
      </c>
      <c r="E134">
        <v>0.53289469999999906</v>
      </c>
      <c r="F134" t="s">
        <v>42</v>
      </c>
      <c r="G134">
        <v>-469.315</v>
      </c>
      <c r="H134">
        <v>0.96522830000000004</v>
      </c>
      <c r="I134">
        <v>367.01249999999999</v>
      </c>
      <c r="J134">
        <v>-469.9271</v>
      </c>
      <c r="K134">
        <v>1.109999</v>
      </c>
      <c r="L134">
        <v>367.1241</v>
      </c>
      <c r="M134">
        <v>0.99987000000000004</v>
      </c>
      <c r="N134">
        <v>0</v>
      </c>
      <c r="O134">
        <v>-1.3061120000000001E-2</v>
      </c>
      <c r="P134">
        <v>0.99765349999999997</v>
      </c>
      <c r="Q134">
        <v>9.3810460000000005E-3</v>
      </c>
      <c r="R134">
        <v>-6.7820370000000005E-2</v>
      </c>
      <c r="S134">
        <v>2.9802249999999999</v>
      </c>
      <c r="T134">
        <v>-0.60751089999999996</v>
      </c>
      <c r="U134">
        <v>-0.47143550000000001</v>
      </c>
      <c r="V134">
        <v>5.478388E-2</v>
      </c>
      <c r="W134">
        <v>1.8813280000000002E-2</v>
      </c>
      <c r="X134">
        <v>0.99832100000000001</v>
      </c>
      <c r="Y134">
        <v>0.140768899999999</v>
      </c>
      <c r="Z134">
        <v>-1.1497540000000001E-2</v>
      </c>
      <c r="AA134">
        <v>0.98997570000000001</v>
      </c>
      <c r="AB134">
        <v>5</v>
      </c>
      <c r="AC134">
        <v>0.61209999999999798</v>
      </c>
      <c r="AD134">
        <v>-0.144770699999999</v>
      </c>
      <c r="AE134">
        <v>-0.111600000000009</v>
      </c>
      <c r="AF134">
        <v>9.8274854256671998E-2</v>
      </c>
      <c r="AG134">
        <v>-0.144770699999999</v>
      </c>
      <c r="AH134">
        <v>0.58199644307477005</v>
      </c>
      <c r="AI134">
        <v>103.781229472451</v>
      </c>
      <c r="AJ134">
        <v>80.415551111608593</v>
      </c>
      <c r="AK134">
        <v>0.60773050138144602</v>
      </c>
      <c r="AL134">
        <v>88.922014877848099</v>
      </c>
      <c r="AM134">
        <v>86.858986236870393</v>
      </c>
      <c r="AN134">
        <v>1.0000000160266</v>
      </c>
    </row>
    <row r="135" spans="1:40" x14ac:dyDescent="0.25">
      <c r="A135" t="str">
        <f>"20190312160908122"</f>
        <v>20190312160908122</v>
      </c>
      <c r="B135" t="str">
        <f>"1552378148114804"</f>
        <v>1552378148114804</v>
      </c>
      <c r="C135" t="s">
        <v>40</v>
      </c>
      <c r="D135">
        <v>5.3194019999999904</v>
      </c>
      <c r="E135">
        <v>0.53229759999999904</v>
      </c>
      <c r="F135" t="s">
        <v>42</v>
      </c>
      <c r="G135">
        <v>-469.22230000000002</v>
      </c>
      <c r="H135">
        <v>0.96511670000000005</v>
      </c>
      <c r="I135">
        <v>367.01440000000002</v>
      </c>
      <c r="J135">
        <v>-469.87619999999998</v>
      </c>
      <c r="K135">
        <v>1.1104860000000001</v>
      </c>
      <c r="L135">
        <v>367.1234</v>
      </c>
      <c r="M135">
        <v>0.99985409999999997</v>
      </c>
      <c r="N135">
        <v>0</v>
      </c>
      <c r="O135">
        <v>-1.302507E-2</v>
      </c>
      <c r="P135">
        <v>0.99778840000000002</v>
      </c>
      <c r="Q135">
        <v>6.0405669999999898E-3</v>
      </c>
      <c r="R135">
        <v>-6.6197690000000003E-2</v>
      </c>
      <c r="S135">
        <v>2.9812319999999999</v>
      </c>
      <c r="T135">
        <v>-0.61272309999999996</v>
      </c>
      <c r="U135">
        <v>-0.46533200000000002</v>
      </c>
      <c r="V135">
        <v>5.3195350000000002E-2</v>
      </c>
      <c r="W135">
        <v>1.7075969999999999E-2</v>
      </c>
      <c r="X135">
        <v>0.9984381</v>
      </c>
      <c r="Y135">
        <v>0.13877149999999999</v>
      </c>
      <c r="Z135">
        <v>-1.139748E-2</v>
      </c>
      <c r="AA135">
        <v>0.99025879999999999</v>
      </c>
      <c r="AB135">
        <v>6</v>
      </c>
      <c r="AC135">
        <v>0.65389999999996395</v>
      </c>
      <c r="AD135">
        <v>-0.14536930000000001</v>
      </c>
      <c r="AE135">
        <v>-0.10899999999998</v>
      </c>
      <c r="AF135">
        <v>9.5863436461442006E-2</v>
      </c>
      <c r="AG135">
        <v>-0.14536930000000001</v>
      </c>
      <c r="AH135">
        <v>0.62520084731363901</v>
      </c>
      <c r="AI135">
        <v>102.943519467245</v>
      </c>
      <c r="AJ135">
        <v>81.282605126877101</v>
      </c>
      <c r="AK135">
        <v>0.64899778991486501</v>
      </c>
      <c r="AL135">
        <v>89.021571421241404</v>
      </c>
      <c r="AM135">
        <v>86.950246542891307</v>
      </c>
      <c r="AN135">
        <v>0.99999998677233604</v>
      </c>
    </row>
    <row r="136" spans="1:40" x14ac:dyDescent="0.25">
      <c r="A136" t="str">
        <f>"20190312160908142"</f>
        <v>20190312160908142</v>
      </c>
      <c r="B136" t="str">
        <f>"1552378148135300"</f>
        <v>1552378148135300</v>
      </c>
      <c r="C136" t="s">
        <v>40</v>
      </c>
      <c r="D136">
        <v>5.3323939999999999</v>
      </c>
      <c r="E136">
        <v>0.53177750000000001</v>
      </c>
      <c r="F136" t="s">
        <v>42</v>
      </c>
      <c r="G136">
        <v>-469.18200000000002</v>
      </c>
      <c r="H136">
        <v>0.96581360000000005</v>
      </c>
      <c r="I136">
        <v>367.01690000000002</v>
      </c>
      <c r="J136">
        <v>-469.83879999999999</v>
      </c>
      <c r="K136">
        <v>1.1109530000000001</v>
      </c>
      <c r="L136">
        <v>367.12299999999999</v>
      </c>
      <c r="M136">
        <v>0.9998319</v>
      </c>
      <c r="N136">
        <v>0</v>
      </c>
      <c r="O136">
        <v>-1.300407E-2</v>
      </c>
      <c r="P136">
        <v>0.99791319999999994</v>
      </c>
      <c r="Q136">
        <v>3.4408020000000002E-3</v>
      </c>
      <c r="R136">
        <v>-6.4477789999999993E-2</v>
      </c>
      <c r="S136">
        <v>2.9801329999999999</v>
      </c>
      <c r="T136">
        <v>-0.62132410000000005</v>
      </c>
      <c r="U136">
        <v>-0.45523069999999999</v>
      </c>
      <c r="V136">
        <v>5.1494959999999999E-2</v>
      </c>
      <c r="W136">
        <v>1.6351270000000001E-2</v>
      </c>
      <c r="X136">
        <v>0.99853939999999997</v>
      </c>
      <c r="Y136">
        <v>0.13556029999999999</v>
      </c>
      <c r="Z136">
        <v>-1.1236070000000001E-2</v>
      </c>
      <c r="AA136">
        <v>0.99070539999999996</v>
      </c>
      <c r="AB136">
        <v>5</v>
      </c>
      <c r="AC136">
        <v>0.65680000000003202</v>
      </c>
      <c r="AD136">
        <v>-0.1451394</v>
      </c>
      <c r="AE136">
        <v>-0.10610000000002601</v>
      </c>
      <c r="AF136">
        <v>9.3117757088760106E-2</v>
      </c>
      <c r="AG136">
        <v>-0.1451394</v>
      </c>
      <c r="AH136">
        <v>0.628226920038639</v>
      </c>
      <c r="AI136">
        <v>102.872931033374</v>
      </c>
      <c r="AJ136">
        <v>81.568827445669498</v>
      </c>
      <c r="AK136">
        <v>0.65146406284524705</v>
      </c>
      <c r="AL136">
        <v>89.063099500494701</v>
      </c>
      <c r="AM136">
        <v>87.047855620729607</v>
      </c>
      <c r="AN136">
        <v>1.00000001414418</v>
      </c>
    </row>
    <row r="137" spans="1:40" x14ac:dyDescent="0.25">
      <c r="A137" t="str">
        <f>"20190312160908164"</f>
        <v>20190312160908164</v>
      </c>
      <c r="B137" t="str">
        <f>"1552378148154820"</f>
        <v>1552378148154820</v>
      </c>
      <c r="C137" t="s">
        <v>40</v>
      </c>
      <c r="D137">
        <v>5.5535959999999998</v>
      </c>
      <c r="E137">
        <v>0.53187329999999999</v>
      </c>
      <c r="F137" t="s">
        <v>42</v>
      </c>
      <c r="G137">
        <v>-469.1454</v>
      </c>
      <c r="H137">
        <v>0.96569090000000002</v>
      </c>
      <c r="I137">
        <v>367.01920000000001</v>
      </c>
      <c r="J137">
        <v>-469.80149999999998</v>
      </c>
      <c r="K137">
        <v>1.111378</v>
      </c>
      <c r="L137">
        <v>367.12259999999998</v>
      </c>
      <c r="M137">
        <v>0.9998032</v>
      </c>
      <c r="N137">
        <v>0</v>
      </c>
      <c r="O137">
        <v>-1.298874E-2</v>
      </c>
      <c r="P137">
        <v>0.99802900000000005</v>
      </c>
      <c r="Q137">
        <v>3.1717669999999998E-4</v>
      </c>
      <c r="R137">
        <v>-6.2753799999999998E-2</v>
      </c>
      <c r="S137">
        <v>2.9795530000000001</v>
      </c>
      <c r="T137">
        <v>-0.62427339999999998</v>
      </c>
      <c r="U137">
        <v>-0.44616699999999998</v>
      </c>
      <c r="V137">
        <v>4.9784639999999998E-2</v>
      </c>
      <c r="W137">
        <v>1.529378E-2</v>
      </c>
      <c r="X137">
        <v>0.9986429</v>
      </c>
      <c r="Y137">
        <v>0.1326909</v>
      </c>
      <c r="Z137">
        <v>-1.100019E-2</v>
      </c>
      <c r="AA137">
        <v>0.99109639999999999</v>
      </c>
      <c r="AB137">
        <v>4</v>
      </c>
      <c r="AC137">
        <v>0.65609999999998003</v>
      </c>
      <c r="AD137">
        <v>-0.14568709999999899</v>
      </c>
      <c r="AE137">
        <v>-0.10339999999996501</v>
      </c>
      <c r="AF137">
        <v>9.0513672592432995E-2</v>
      </c>
      <c r="AG137">
        <v>-0.14568709999999899</v>
      </c>
      <c r="AH137">
        <v>0.62721183757449095</v>
      </c>
      <c r="AI137">
        <v>102.947094541632</v>
      </c>
      <c r="AJ137">
        <v>81.788271027658098</v>
      </c>
      <c r="AK137">
        <v>0.65024006737984796</v>
      </c>
      <c r="AL137">
        <v>89.123696812457993</v>
      </c>
      <c r="AM137">
        <v>87.146036630488098</v>
      </c>
      <c r="AN137">
        <v>1.00000002590351</v>
      </c>
    </row>
    <row r="138" spans="1:40" x14ac:dyDescent="0.25">
      <c r="A138" t="str">
        <f>"20190312160908185"</f>
        <v>20190312160908185</v>
      </c>
      <c r="B138" t="str">
        <f>"1552378148175316"</f>
        <v>1552378148175316</v>
      </c>
      <c r="C138" t="s">
        <v>40</v>
      </c>
      <c r="D138">
        <v>5.4063509999999999</v>
      </c>
      <c r="E138">
        <v>0.53138949999999996</v>
      </c>
      <c r="F138" t="s">
        <v>42</v>
      </c>
      <c r="G138">
        <v>-469.08330000000001</v>
      </c>
      <c r="H138">
        <v>0.958874</v>
      </c>
      <c r="I138">
        <v>367.01600000000002</v>
      </c>
      <c r="J138">
        <v>-469.76859999999999</v>
      </c>
      <c r="K138">
        <v>1.111575</v>
      </c>
      <c r="L138">
        <v>367.12220000000002</v>
      </c>
      <c r="M138">
        <v>0.99978120000000004</v>
      </c>
      <c r="N138">
        <v>0</v>
      </c>
      <c r="O138">
        <v>-1.297891E-2</v>
      </c>
      <c r="P138">
        <v>0.99807259999999998</v>
      </c>
      <c r="Q138">
        <v>-8.9329809999999998E-4</v>
      </c>
      <c r="R138">
        <v>-6.205463E-2</v>
      </c>
      <c r="S138">
        <v>2.9782709999999999</v>
      </c>
      <c r="T138">
        <v>-0.63244719999999999</v>
      </c>
      <c r="U138">
        <v>-0.44235229999999998</v>
      </c>
      <c r="V138">
        <v>4.9094449999999998E-2</v>
      </c>
      <c r="W138">
        <v>1.54988E-2</v>
      </c>
      <c r="X138">
        <v>0.9986739</v>
      </c>
      <c r="Y138">
        <v>0.13147809999999999</v>
      </c>
      <c r="Z138">
        <v>-1.102211E-2</v>
      </c>
      <c r="AA138">
        <v>0.99125779999999997</v>
      </c>
      <c r="AB138">
        <v>4</v>
      </c>
      <c r="AC138">
        <v>0.68529999999998303</v>
      </c>
      <c r="AD138">
        <v>-0.152700999999999</v>
      </c>
      <c r="AE138">
        <v>-0.106200000000058</v>
      </c>
      <c r="AF138">
        <v>9.2796101721555502E-2</v>
      </c>
      <c r="AG138">
        <v>-0.152700999999999</v>
      </c>
      <c r="AH138">
        <v>0.65486887163148699</v>
      </c>
      <c r="AI138">
        <v>103.00018635929899</v>
      </c>
      <c r="AJ138">
        <v>81.934780127000494</v>
      </c>
      <c r="AK138">
        <v>0.67880921541152806</v>
      </c>
      <c r="AL138">
        <v>89.111948632658297</v>
      </c>
      <c r="AM138">
        <v>87.185625750261195</v>
      </c>
      <c r="AN138">
        <v>1.0000000181817199</v>
      </c>
    </row>
    <row r="139" spans="1:40" x14ac:dyDescent="0.25">
      <c r="A139" t="str">
        <f>"20190312160908207"</f>
        <v>20190312160908207</v>
      </c>
      <c r="B139" t="str">
        <f>"1552378148194836"</f>
        <v>1552378148194836</v>
      </c>
      <c r="C139" t="s">
        <v>40</v>
      </c>
      <c r="D139">
        <v>5.4472550000000002</v>
      </c>
      <c r="E139">
        <v>0.53089030000000004</v>
      </c>
      <c r="F139" t="s">
        <v>42</v>
      </c>
      <c r="G139">
        <v>-469.04860000000002</v>
      </c>
      <c r="H139">
        <v>0.95887659999999997</v>
      </c>
      <c r="I139">
        <v>367.01609999999999</v>
      </c>
      <c r="J139">
        <v>-469.7294</v>
      </c>
      <c r="K139">
        <v>1.111259</v>
      </c>
      <c r="L139">
        <v>367.1216</v>
      </c>
      <c r="M139">
        <v>0.99978809999999996</v>
      </c>
      <c r="N139">
        <v>0</v>
      </c>
      <c r="O139">
        <v>-1.295721E-2</v>
      </c>
      <c r="P139">
        <v>0.99808909999999995</v>
      </c>
      <c r="Q139">
        <v>-2.110425E-4</v>
      </c>
      <c r="R139">
        <v>-6.1796360000000002E-2</v>
      </c>
      <c r="S139">
        <v>2.9780579999999999</v>
      </c>
      <c r="T139">
        <v>-0.63184479999999998</v>
      </c>
      <c r="U139">
        <v>-0.43682860000000001</v>
      </c>
      <c r="V139">
        <v>4.8857390000000001E-2</v>
      </c>
      <c r="W139">
        <v>1.5772939999999999E-2</v>
      </c>
      <c r="X139">
        <v>0.99868120000000005</v>
      </c>
      <c r="Y139">
        <v>0.12975119999999901</v>
      </c>
      <c r="Z139">
        <v>-1.083834E-2</v>
      </c>
      <c r="AA139">
        <v>0.99148729999999996</v>
      </c>
      <c r="AB139">
        <v>3</v>
      </c>
      <c r="AC139">
        <v>0.68079999999997598</v>
      </c>
      <c r="AD139">
        <v>-0.1523824</v>
      </c>
      <c r="AE139">
        <v>-0.10550000000000601</v>
      </c>
      <c r="AF139">
        <v>9.2159886186030798E-2</v>
      </c>
      <c r="AG139">
        <v>-0.1523824</v>
      </c>
      <c r="AH139">
        <v>0.65029477873520802</v>
      </c>
      <c r="AI139">
        <v>103.062087262183</v>
      </c>
      <c r="AJ139">
        <v>81.933748689294006</v>
      </c>
      <c r="AK139">
        <v>0.674238192111553</v>
      </c>
      <c r="AL139">
        <v>89.096239617262299</v>
      </c>
      <c r="AM139">
        <v>87.199214132591493</v>
      </c>
      <c r="AN139">
        <v>0.99999998471364704</v>
      </c>
    </row>
    <row r="140" spans="1:40" x14ac:dyDescent="0.25">
      <c r="A140" t="str">
        <f>"20190312160908255"</f>
        <v>20190312160908255</v>
      </c>
      <c r="B140" t="str">
        <f>"1552378148244612"</f>
        <v>1552378148244612</v>
      </c>
      <c r="C140" t="s">
        <v>40</v>
      </c>
      <c r="D140">
        <v>5.5226519999999999</v>
      </c>
      <c r="E140">
        <v>0.53096309999999902</v>
      </c>
      <c r="F140" t="s">
        <v>42</v>
      </c>
      <c r="G140">
        <v>-469.0104</v>
      </c>
      <c r="H140">
        <v>0.96026560000000005</v>
      </c>
      <c r="I140">
        <v>367.017</v>
      </c>
      <c r="J140">
        <v>-469.64280000000002</v>
      </c>
      <c r="K140">
        <v>1.110616</v>
      </c>
      <c r="L140">
        <v>367.12060000000002</v>
      </c>
      <c r="M140">
        <v>0.9998146</v>
      </c>
      <c r="N140">
        <v>0</v>
      </c>
      <c r="O140">
        <v>-1.2878179999999999E-2</v>
      </c>
      <c r="P140">
        <v>0.9979808</v>
      </c>
      <c r="Q140">
        <v>2.012258E-4</v>
      </c>
      <c r="R140">
        <v>-6.3518530000000004E-2</v>
      </c>
      <c r="S140">
        <v>2.9788510000000001</v>
      </c>
      <c r="T140">
        <v>-0.62565700000000002</v>
      </c>
      <c r="U140">
        <v>-0.43209839999999999</v>
      </c>
      <c r="V140">
        <v>5.0659940000000001E-2</v>
      </c>
      <c r="W140">
        <v>1.45028E-2</v>
      </c>
      <c r="X140">
        <v>0.99861069999999996</v>
      </c>
      <c r="Y140">
        <v>0.12832859999999999</v>
      </c>
      <c r="Z140">
        <v>-1.0602200000000001E-2</v>
      </c>
      <c r="AA140">
        <v>0.99167499999999997</v>
      </c>
      <c r="AB140">
        <v>4</v>
      </c>
      <c r="AC140">
        <v>0.63240000000001795</v>
      </c>
      <c r="AD140">
        <v>-0.1503504</v>
      </c>
      <c r="AE140">
        <v>-0.103600000000028</v>
      </c>
      <c r="AF140">
        <v>9.0466607914484007E-2</v>
      </c>
      <c r="AG140">
        <v>-0.1503504</v>
      </c>
      <c r="AH140">
        <v>0.60062026165013205</v>
      </c>
      <c r="AI140">
        <v>103.90313670699101</v>
      </c>
      <c r="AJ140">
        <v>81.434385407611799</v>
      </c>
      <c r="AK140">
        <v>0.62572689620343702</v>
      </c>
      <c r="AL140">
        <v>89.169021674791296</v>
      </c>
      <c r="AM140">
        <v>87.095850695803904</v>
      </c>
      <c r="AN140">
        <v>1.0000000454415601</v>
      </c>
    </row>
    <row r="141" spans="1:40" x14ac:dyDescent="0.25">
      <c r="A141" t="str">
        <f>"20190312160908276"</f>
        <v>20190312160908276</v>
      </c>
      <c r="B141" t="str">
        <f>"1552378148265107"</f>
        <v>1552378148265107</v>
      </c>
      <c r="C141" t="s">
        <v>40</v>
      </c>
      <c r="D141">
        <v>5.4742030000000002</v>
      </c>
      <c r="E141">
        <v>0.53105029999999998</v>
      </c>
      <c r="F141" t="s">
        <v>42</v>
      </c>
      <c r="G141">
        <v>-468.93669999999997</v>
      </c>
      <c r="H141">
        <v>0.96207619999999905</v>
      </c>
      <c r="I141">
        <v>367.01690000000002</v>
      </c>
      <c r="J141">
        <v>-469.60410000000002</v>
      </c>
      <c r="K141">
        <v>1.1106510000000001</v>
      </c>
      <c r="L141">
        <v>367.12009999999998</v>
      </c>
      <c r="M141">
        <v>0.99981310000000001</v>
      </c>
      <c r="N141">
        <v>0</v>
      </c>
      <c r="O141">
        <v>-1.284474E-2</v>
      </c>
      <c r="P141">
        <v>0.99786949999999996</v>
      </c>
      <c r="Q141">
        <v>2.6320560000000001E-4</v>
      </c>
      <c r="R141">
        <v>-6.5242560000000005E-2</v>
      </c>
      <c r="S141">
        <v>2.9783629999999999</v>
      </c>
      <c r="T141">
        <v>-0.6265541</v>
      </c>
      <c r="U141">
        <v>-0.43728640000000002</v>
      </c>
      <c r="V141">
        <v>5.241871E-2</v>
      </c>
      <c r="W141">
        <v>1.469208E-2</v>
      </c>
      <c r="X141">
        <v>0.99851710000000005</v>
      </c>
      <c r="Y141">
        <v>0.1300317</v>
      </c>
      <c r="Z141">
        <v>-1.080069E-2</v>
      </c>
      <c r="AA141">
        <v>0.99145099999999997</v>
      </c>
      <c r="AB141">
        <v>4</v>
      </c>
      <c r="AC141">
        <v>0.66740000000004296</v>
      </c>
      <c r="AD141">
        <v>-0.14857480000000001</v>
      </c>
      <c r="AE141">
        <v>-0.10319999999995801</v>
      </c>
      <c r="AF141">
        <v>9.0249812633489093E-2</v>
      </c>
      <c r="AG141">
        <v>-0.14857480000000001</v>
      </c>
      <c r="AH141">
        <v>0.63780035592699102</v>
      </c>
      <c r="AI141">
        <v>102.988188833642</v>
      </c>
      <c r="AJ141">
        <v>81.946021914902005</v>
      </c>
      <c r="AK141">
        <v>0.66106640657048699</v>
      </c>
      <c r="AL141">
        <v>89.158175526703602</v>
      </c>
      <c r="AM141">
        <v>86.994927359223595</v>
      </c>
      <c r="AN141">
        <v>0.99999998868259998</v>
      </c>
    </row>
    <row r="142" spans="1:40" x14ac:dyDescent="0.25">
      <c r="A142" t="str">
        <f>"20190312160908299"</f>
        <v>20190312160908299</v>
      </c>
      <c r="B142" t="str">
        <f>"1552378148284628"</f>
        <v>1552378148284628</v>
      </c>
      <c r="C142" t="s">
        <v>40</v>
      </c>
      <c r="D142">
        <v>5.4963790000000001</v>
      </c>
      <c r="E142">
        <v>0.531346599999999</v>
      </c>
      <c r="F142" t="s">
        <v>42</v>
      </c>
      <c r="G142">
        <v>-468.90179999999998</v>
      </c>
      <c r="H142">
        <v>0.96314500000000003</v>
      </c>
      <c r="I142">
        <v>367.01530000000002</v>
      </c>
      <c r="J142">
        <v>-469.56580000000002</v>
      </c>
      <c r="K142">
        <v>1.1106480000000001</v>
      </c>
      <c r="L142">
        <v>367.11959999999999</v>
      </c>
      <c r="M142">
        <v>0.99981339999999996</v>
      </c>
      <c r="N142">
        <v>0</v>
      </c>
      <c r="O142">
        <v>-1.281385E-2</v>
      </c>
      <c r="P142">
        <v>0.99776549999999997</v>
      </c>
      <c r="Q142">
        <v>6.4852249999999996E-4</v>
      </c>
      <c r="R142">
        <v>-6.6810930000000004E-2</v>
      </c>
      <c r="S142">
        <v>2.9776310000000001</v>
      </c>
      <c r="T142">
        <v>-0.62553539999999996</v>
      </c>
      <c r="U142">
        <v>-0.44262699999999999</v>
      </c>
      <c r="V142">
        <v>5.4019119999999997E-2</v>
      </c>
      <c r="W142">
        <v>1.509305E-2</v>
      </c>
      <c r="X142">
        <v>0.99842580000000003</v>
      </c>
      <c r="Y142">
        <v>0.13180649999999999</v>
      </c>
      <c r="Z142">
        <v>-1.097453E-2</v>
      </c>
      <c r="AA142">
        <v>0.9912147</v>
      </c>
      <c r="AB142">
        <v>4</v>
      </c>
      <c r="AC142">
        <v>0.664000000000044</v>
      </c>
      <c r="AD142">
        <v>-0.147502999999999</v>
      </c>
      <c r="AE142">
        <v>-0.104299999999966</v>
      </c>
      <c r="AF142">
        <v>9.1381292154095003E-2</v>
      </c>
      <c r="AG142">
        <v>-0.147502999999999</v>
      </c>
      <c r="AH142">
        <v>0.63471469406614101</v>
      </c>
      <c r="AI142">
        <v>102.953901461124</v>
      </c>
      <c r="AJ142">
        <v>81.807295254680099</v>
      </c>
      <c r="AK142">
        <v>0.65800487720702105</v>
      </c>
      <c r="AL142">
        <v>89.135199074876496</v>
      </c>
      <c r="AM142">
        <v>86.903071970937006</v>
      </c>
      <c r="AN142">
        <v>0.99999997179475797</v>
      </c>
    </row>
    <row r="143" spans="1:40" x14ac:dyDescent="0.25">
      <c r="A143" t="str">
        <f>"20190312160908322"</f>
        <v>20190312160908322</v>
      </c>
      <c r="B143" t="str">
        <f>"1552378148314884"</f>
        <v>1552378148314884</v>
      </c>
      <c r="C143" t="s">
        <v>40</v>
      </c>
      <c r="D143">
        <v>5.5871420000000001</v>
      </c>
      <c r="E143">
        <v>0.53149709999999994</v>
      </c>
      <c r="F143" t="s">
        <v>42</v>
      </c>
      <c r="G143">
        <v>-468.8673</v>
      </c>
      <c r="H143">
        <v>0.96285969999999999</v>
      </c>
      <c r="I143">
        <v>367.01429999999999</v>
      </c>
      <c r="J143">
        <v>-469.52420000000001</v>
      </c>
      <c r="K143">
        <v>1.110555</v>
      </c>
      <c r="L143">
        <v>367.1191</v>
      </c>
      <c r="M143">
        <v>0.99981900000000001</v>
      </c>
      <c r="N143">
        <v>0</v>
      </c>
      <c r="O143">
        <v>-1.27802E-2</v>
      </c>
      <c r="P143">
        <v>0.99770000000000003</v>
      </c>
      <c r="Q143">
        <v>1.2636049999999999E-3</v>
      </c>
      <c r="R143">
        <v>-6.7776110000000001E-2</v>
      </c>
      <c r="S143">
        <v>2.97702</v>
      </c>
      <c r="T143">
        <v>-0.62982090000000002</v>
      </c>
      <c r="U143">
        <v>-0.44952389999999998</v>
      </c>
      <c r="V143">
        <v>5.5018900000000003E-2</v>
      </c>
      <c r="W143">
        <v>1.534575E-2</v>
      </c>
      <c r="X143">
        <v>0.99836740000000002</v>
      </c>
      <c r="Y143">
        <v>0.1340317</v>
      </c>
      <c r="Z143">
        <v>-1.128705E-2</v>
      </c>
      <c r="AA143">
        <v>0.99091269999999998</v>
      </c>
      <c r="AB143">
        <v>4</v>
      </c>
      <c r="AC143">
        <v>0.65690000000000703</v>
      </c>
      <c r="AD143">
        <v>-0.147695299999999</v>
      </c>
      <c r="AE143">
        <v>-0.104800000000011</v>
      </c>
      <c r="AF143">
        <v>9.1866557281850697E-2</v>
      </c>
      <c r="AG143">
        <v>-0.147695299999999</v>
      </c>
      <c r="AH143">
        <v>0.62726369488226696</v>
      </c>
      <c r="AI143">
        <v>103.11451429386101</v>
      </c>
      <c r="AJ143">
        <v>81.6679226181068</v>
      </c>
      <c r="AK143">
        <v>0.65093249181943802</v>
      </c>
      <c r="AL143">
        <v>89.120718794784906</v>
      </c>
      <c r="AM143">
        <v>86.845684916077502</v>
      </c>
      <c r="AN143">
        <v>1.0000000183915101</v>
      </c>
    </row>
    <row r="144" spans="1:40" x14ac:dyDescent="0.25">
      <c r="A144" t="str">
        <f>"20190312160908343"</f>
        <v>20190312160908343</v>
      </c>
      <c r="B144" t="str">
        <f>"1552378148335380"</f>
        <v>1552378148335380</v>
      </c>
      <c r="C144" t="s">
        <v>40</v>
      </c>
      <c r="D144">
        <v>5.5800599999999996</v>
      </c>
      <c r="E144">
        <v>0.53166930000000001</v>
      </c>
      <c r="F144" t="s">
        <v>42</v>
      </c>
      <c r="G144">
        <v>-468.83170000000001</v>
      </c>
      <c r="H144">
        <v>0.96327879999999999</v>
      </c>
      <c r="I144">
        <v>367.01310000000001</v>
      </c>
      <c r="J144">
        <v>-469.48739999999998</v>
      </c>
      <c r="K144">
        <v>1.1104689999999999</v>
      </c>
      <c r="L144">
        <v>367.11869999999999</v>
      </c>
      <c r="M144">
        <v>0.99982459999999995</v>
      </c>
      <c r="N144">
        <v>0</v>
      </c>
      <c r="O144">
        <v>-1.275194E-2</v>
      </c>
      <c r="P144">
        <v>0.99773350000000005</v>
      </c>
      <c r="Q144">
        <v>2.0515400000000001E-3</v>
      </c>
      <c r="R144">
        <v>-6.7258979999999996E-2</v>
      </c>
      <c r="S144">
        <v>2.9768979999999998</v>
      </c>
      <c r="T144">
        <v>-0.63328859999999998</v>
      </c>
      <c r="U144">
        <v>-0.45419310000000002</v>
      </c>
      <c r="V144">
        <v>5.4529630000000003E-2</v>
      </c>
      <c r="W144">
        <v>1.5748149999999999E-2</v>
      </c>
      <c r="X144">
        <v>0.99838789999999999</v>
      </c>
      <c r="Y144">
        <v>0.13552349999999999</v>
      </c>
      <c r="Z144">
        <v>-1.150901E-2</v>
      </c>
      <c r="AA144">
        <v>0.99070729999999996</v>
      </c>
      <c r="AB144">
        <v>4</v>
      </c>
      <c r="AC144">
        <v>0.65569999999996698</v>
      </c>
      <c r="AD144">
        <v>-0.14719019999999999</v>
      </c>
      <c r="AE144">
        <v>-0.105599999999981</v>
      </c>
      <c r="AF144">
        <v>9.2677204920678796E-2</v>
      </c>
      <c r="AG144">
        <v>-0.14719019999999999</v>
      </c>
      <c r="AH144">
        <v>0.62623498076332296</v>
      </c>
      <c r="AI144">
        <v>103.089143841482</v>
      </c>
      <c r="AJ144">
        <v>81.5818360124115</v>
      </c>
      <c r="AK144">
        <v>0.649941743866009</v>
      </c>
      <c r="AL144">
        <v>89.097660117389793</v>
      </c>
      <c r="AM144">
        <v>86.873743663849794</v>
      </c>
      <c r="AN144">
        <v>0.99999994182138296</v>
      </c>
    </row>
    <row r="145" spans="1:40" x14ac:dyDescent="0.25">
      <c r="A145" t="str">
        <f>"20190312160908389"</f>
        <v>20190312160908389</v>
      </c>
      <c r="B145" t="str">
        <f>"1552378148375396"</f>
        <v>1552378148375396</v>
      </c>
      <c r="C145" t="s">
        <v>40</v>
      </c>
      <c r="D145">
        <v>5.6043349999999998</v>
      </c>
      <c r="E145">
        <v>0.53206759999999997</v>
      </c>
      <c r="F145" t="s">
        <v>42</v>
      </c>
      <c r="G145">
        <v>-468.79629999999997</v>
      </c>
      <c r="H145">
        <v>0.96288560000000001</v>
      </c>
      <c r="I145">
        <v>367.01339999999999</v>
      </c>
      <c r="J145">
        <v>-469.4085</v>
      </c>
      <c r="K145">
        <v>1.1104529999999999</v>
      </c>
      <c r="L145">
        <v>367.11770000000001</v>
      </c>
      <c r="M145">
        <v>0.99983040000000001</v>
      </c>
      <c r="N145">
        <v>0</v>
      </c>
      <c r="O145">
        <v>-1.2694199999999999E-2</v>
      </c>
      <c r="P145">
        <v>0.99789450000000002</v>
      </c>
      <c r="Q145">
        <v>3.6221769999999999E-3</v>
      </c>
      <c r="R145">
        <v>-6.4756419999999995E-2</v>
      </c>
      <c r="S145">
        <v>2.9775999999999998</v>
      </c>
      <c r="T145">
        <v>-0.63587209999999905</v>
      </c>
      <c r="U145">
        <v>-0.45333859999999898</v>
      </c>
      <c r="V145">
        <v>5.2082990000000003E-2</v>
      </c>
      <c r="W145">
        <v>1.695058E-2</v>
      </c>
      <c r="X145">
        <v>0.99849889999999997</v>
      </c>
      <c r="Y145">
        <v>0.13525219999999999</v>
      </c>
      <c r="Z145">
        <v>-1.153619E-2</v>
      </c>
      <c r="AA145">
        <v>0.99074410000000002</v>
      </c>
      <c r="AB145">
        <v>4</v>
      </c>
      <c r="AC145">
        <v>0.61220000000002905</v>
      </c>
      <c r="AD145">
        <v>-0.14756739999999999</v>
      </c>
      <c r="AE145">
        <v>-0.104300000000023</v>
      </c>
      <c r="AF145">
        <v>9.1360951936564197E-2</v>
      </c>
      <c r="AG145">
        <v>-0.14756739999999999</v>
      </c>
      <c r="AH145">
        <v>0.580687142465801</v>
      </c>
      <c r="AI145">
        <v>104.092174530888</v>
      </c>
      <c r="AJ145">
        <v>81.058807084954907</v>
      </c>
      <c r="AK145">
        <v>0.60606973072956905</v>
      </c>
      <c r="AL145">
        <v>89.0287567984291</v>
      </c>
      <c r="AM145">
        <v>87.0140843330433</v>
      </c>
      <c r="AN145">
        <v>1.00000000665544</v>
      </c>
    </row>
    <row r="146" spans="1:40" x14ac:dyDescent="0.25">
      <c r="A146" t="str">
        <f>"20190312160908411"</f>
        <v>20190312160908411</v>
      </c>
      <c r="B146" t="str">
        <f>"1552378148404676"</f>
        <v>1552378148404676</v>
      </c>
      <c r="C146" t="s">
        <v>40</v>
      </c>
      <c r="D146">
        <v>5.7854570000000001</v>
      </c>
      <c r="E146">
        <v>0.53260459999999998</v>
      </c>
      <c r="F146" t="s">
        <v>42</v>
      </c>
      <c r="G146">
        <v>-468.69420000000002</v>
      </c>
      <c r="H146">
        <v>0.95617079999999999</v>
      </c>
      <c r="I146">
        <v>367.00990000000002</v>
      </c>
      <c r="J146">
        <v>-469.36669999999998</v>
      </c>
      <c r="K146">
        <v>1.1104499999999999</v>
      </c>
      <c r="L146">
        <v>367.1173</v>
      </c>
      <c r="M146">
        <v>0.99983299999999997</v>
      </c>
      <c r="N146">
        <v>0</v>
      </c>
      <c r="O146">
        <v>-1.266428E-2</v>
      </c>
      <c r="P146">
        <v>0.99796980000000002</v>
      </c>
      <c r="Q146">
        <v>4.1543639999999998E-3</v>
      </c>
      <c r="R146">
        <v>-6.3556929999999998E-2</v>
      </c>
      <c r="S146">
        <v>2.9796140000000002</v>
      </c>
      <c r="T146">
        <v>-0.64368819999999904</v>
      </c>
      <c r="U146">
        <v>-0.44812010000000002</v>
      </c>
      <c r="V146">
        <v>5.0912619999999999E-2</v>
      </c>
      <c r="W146">
        <v>1.7318159999999999E-2</v>
      </c>
      <c r="X146">
        <v>0.99855289999999997</v>
      </c>
      <c r="Y146">
        <v>0.133462</v>
      </c>
      <c r="Z146">
        <v>-1.1484919999999999E-2</v>
      </c>
      <c r="AA146">
        <v>0.99098739999999996</v>
      </c>
      <c r="AB146">
        <v>4</v>
      </c>
      <c r="AC146">
        <v>0.67249999999995602</v>
      </c>
      <c r="AD146">
        <v>-0.15427919999999901</v>
      </c>
      <c r="AE146">
        <v>-0.10739999999998399</v>
      </c>
      <c r="AF146">
        <v>9.4047343983339499E-2</v>
      </c>
      <c r="AG146">
        <v>-0.15427919999999901</v>
      </c>
      <c r="AH146">
        <v>0.64091416804162704</v>
      </c>
      <c r="AI146">
        <v>103.396383932788</v>
      </c>
      <c r="AJ146">
        <v>81.652030344138794</v>
      </c>
      <c r="AK146">
        <v>0.66589634723390001</v>
      </c>
      <c r="AL146">
        <v>89.007692871119701</v>
      </c>
      <c r="AM146">
        <v>87.081221809122198</v>
      </c>
      <c r="AN146">
        <v>0.99999995381972795</v>
      </c>
    </row>
    <row r="147" spans="1:40" x14ac:dyDescent="0.25">
      <c r="A147" t="str">
        <f>"20190312160908431"</f>
        <v>20190312160908431</v>
      </c>
      <c r="B147" t="str">
        <f>"1552378148425172"</f>
        <v>1552378148425172</v>
      </c>
      <c r="C147" t="s">
        <v>40</v>
      </c>
      <c r="D147">
        <v>5.785609</v>
      </c>
      <c r="E147">
        <v>0.52376080000000003</v>
      </c>
      <c r="F147" t="s">
        <v>42</v>
      </c>
      <c r="G147">
        <v>-468.65910000000002</v>
      </c>
      <c r="H147">
        <v>0.95609520000000003</v>
      </c>
      <c r="I147">
        <v>367.01060000000001</v>
      </c>
      <c r="J147">
        <v>-469.33280000000002</v>
      </c>
      <c r="K147">
        <v>1.11043799999999</v>
      </c>
      <c r="L147">
        <v>367.11689999999999</v>
      </c>
      <c r="M147">
        <v>0.99983529999999998</v>
      </c>
      <c r="N147">
        <v>0</v>
      </c>
      <c r="O147">
        <v>-1.264002E-2</v>
      </c>
      <c r="P147">
        <v>0.99797179999999996</v>
      </c>
      <c r="Q147">
        <v>4.4366409999999998E-3</v>
      </c>
      <c r="R147">
        <v>-6.3503249999999997E-2</v>
      </c>
      <c r="S147">
        <v>2.9802550000000001</v>
      </c>
      <c r="T147">
        <v>-0.65018750000000003</v>
      </c>
      <c r="U147">
        <v>-0.44824219999999998</v>
      </c>
      <c r="V147">
        <v>5.0883169999999998E-2</v>
      </c>
      <c r="W147">
        <v>1.7444979999999999E-2</v>
      </c>
      <c r="X147">
        <v>0.99855229999999995</v>
      </c>
      <c r="Y147">
        <v>0.1334408</v>
      </c>
      <c r="Z147">
        <v>-1.159876E-2</v>
      </c>
      <c r="AA147">
        <v>0.99098889999999995</v>
      </c>
      <c r="AB147">
        <v>4</v>
      </c>
      <c r="AC147">
        <v>0.67369999999999597</v>
      </c>
      <c r="AD147">
        <v>-0.154342799999999</v>
      </c>
      <c r="AE147">
        <v>-0.106299999999976</v>
      </c>
      <c r="AF147">
        <v>9.3012003353076605E-2</v>
      </c>
      <c r="AG147">
        <v>-0.154342799999999</v>
      </c>
      <c r="AH147">
        <v>0.64210722943481202</v>
      </c>
      <c r="AI147">
        <v>103.38117342651</v>
      </c>
      <c r="AJ147">
        <v>81.7577881495029</v>
      </c>
      <c r="AK147">
        <v>0.66691425743647303</v>
      </c>
      <c r="AL147">
        <v>89.000425628358101</v>
      </c>
      <c r="AM147">
        <v>87.082905486456795</v>
      </c>
      <c r="AN147">
        <v>1.0000000600758601</v>
      </c>
    </row>
    <row r="148" spans="1:40" x14ac:dyDescent="0.25">
      <c r="A148" t="str">
        <f>"20190312160908455"</f>
        <v>20190312160908455</v>
      </c>
      <c r="B148" t="str">
        <f>"1552378148444693"</f>
        <v>1552378148444693</v>
      </c>
      <c r="C148" t="s">
        <v>40</v>
      </c>
      <c r="D148">
        <v>5.8398899999999996</v>
      </c>
      <c r="E148">
        <v>0.52487980000000001</v>
      </c>
      <c r="F148" t="s">
        <v>42</v>
      </c>
      <c r="G148">
        <v>-468.59739999999999</v>
      </c>
      <c r="H148">
        <v>1.0102960000000001</v>
      </c>
      <c r="I148">
        <v>367.02300000000002</v>
      </c>
      <c r="J148">
        <v>-469.2919</v>
      </c>
      <c r="K148">
        <v>1.1104369999999999</v>
      </c>
      <c r="L148">
        <v>367.1164</v>
      </c>
      <c r="M148">
        <v>0.9998378</v>
      </c>
      <c r="N148">
        <v>0</v>
      </c>
      <c r="O148">
        <v>-1.2610720000000001E-2</v>
      </c>
      <c r="P148">
        <v>0.99788679999999996</v>
      </c>
      <c r="Q148">
        <v>4.6416959999999998E-3</v>
      </c>
      <c r="R148">
        <v>-6.4811359999999998E-2</v>
      </c>
      <c r="S148">
        <v>2.9838260000000001</v>
      </c>
      <c r="T148">
        <v>-0.40660410000000002</v>
      </c>
      <c r="U148">
        <v>-0.37829590000000002</v>
      </c>
      <c r="V148">
        <v>5.2221650000000001E-2</v>
      </c>
      <c r="W148">
        <v>1.7485509999999999E-2</v>
      </c>
      <c r="X148">
        <v>0.99848239999999999</v>
      </c>
      <c r="Y148">
        <v>0.1123469</v>
      </c>
      <c r="Z148">
        <v>-5.8859539999999997E-3</v>
      </c>
      <c r="AA148">
        <v>0.99365159999999997</v>
      </c>
      <c r="AB148">
        <v>4</v>
      </c>
      <c r="AC148">
        <v>0.694500000000005</v>
      </c>
      <c r="AD148">
        <v>-0.10014099999999999</v>
      </c>
      <c r="AE148">
        <v>-9.3399999999974101E-2</v>
      </c>
      <c r="AF148">
        <v>8.2939917277591604E-2</v>
      </c>
      <c r="AG148">
        <v>-0.10014099999999999</v>
      </c>
      <c r="AH148">
        <v>0.68170111633504604</v>
      </c>
      <c r="AI148">
        <v>98.296585884209605</v>
      </c>
      <c r="AJ148">
        <v>83.063139745046698</v>
      </c>
      <c r="AK148">
        <v>0.69399111072942599</v>
      </c>
      <c r="AL148">
        <v>88.998102989497397</v>
      </c>
      <c r="AM148">
        <v>87.006100019914101</v>
      </c>
      <c r="AN148">
        <v>0.99999997344922098</v>
      </c>
    </row>
    <row r="149" spans="1:40" x14ac:dyDescent="0.25">
      <c r="A149" t="str">
        <f>"20190312160908478"</f>
        <v>20190312160908478</v>
      </c>
      <c r="B149" t="str">
        <f>"1552378148465188"</f>
        <v>1552378148465188</v>
      </c>
      <c r="C149" t="s">
        <v>40</v>
      </c>
      <c r="D149">
        <v>5.785139</v>
      </c>
      <c r="E149">
        <v>0.52448030000000001</v>
      </c>
      <c r="F149" t="s">
        <v>42</v>
      </c>
      <c r="G149">
        <v>-468.56189999999998</v>
      </c>
      <c r="H149">
        <v>1.011182</v>
      </c>
      <c r="I149">
        <v>367.0204</v>
      </c>
      <c r="J149">
        <v>-469.25049999999999</v>
      </c>
      <c r="K149">
        <v>1.110447</v>
      </c>
      <c r="L149">
        <v>367.11590000000001</v>
      </c>
      <c r="M149">
        <v>0.9998397</v>
      </c>
      <c r="N149">
        <v>0</v>
      </c>
      <c r="O149">
        <v>-1.2580859999999999E-2</v>
      </c>
      <c r="P149">
        <v>0.99778719999999999</v>
      </c>
      <c r="Q149">
        <v>5.874191E-3</v>
      </c>
      <c r="R149">
        <v>-6.6233470000000003E-2</v>
      </c>
      <c r="S149">
        <v>2.9828489999999999</v>
      </c>
      <c r="T149">
        <v>-0.40588180000000001</v>
      </c>
      <c r="U149">
        <v>-0.39086910000000002</v>
      </c>
      <c r="V149">
        <v>5.3674520000000003E-2</v>
      </c>
      <c r="W149">
        <v>1.8595879999999999E-2</v>
      </c>
      <c r="X149">
        <v>0.99838530000000003</v>
      </c>
      <c r="Y149">
        <v>0.1165014</v>
      </c>
      <c r="Z149">
        <v>-6.1601499999999997E-3</v>
      </c>
      <c r="AA149">
        <v>0.99317140000000004</v>
      </c>
      <c r="AB149">
        <v>4</v>
      </c>
      <c r="AC149">
        <v>0.68860000000000798</v>
      </c>
      <c r="AD149">
        <v>-9.9264999999999895E-2</v>
      </c>
      <c r="AE149">
        <v>-9.5500000000015406E-2</v>
      </c>
      <c r="AF149">
        <v>8.5093629855507794E-2</v>
      </c>
      <c r="AG149">
        <v>-9.9264999999999895E-2</v>
      </c>
      <c r="AH149">
        <v>0.67596517854545601</v>
      </c>
      <c r="AI149">
        <v>98.289629318961502</v>
      </c>
      <c r="AJ149">
        <v>82.825083020422795</v>
      </c>
      <c r="AK149">
        <v>0.68849356472880396</v>
      </c>
      <c r="AL149">
        <v>88.934473125592604</v>
      </c>
      <c r="AM149">
        <v>86.9226652858286</v>
      </c>
      <c r="AN149">
        <v>0.99999998405314705</v>
      </c>
    </row>
    <row r="150" spans="1:40" x14ac:dyDescent="0.25">
      <c r="A150" t="str">
        <f>"20190312160908522"</f>
        <v>20190312160908522</v>
      </c>
      <c r="B150" t="str">
        <f>"1552378148514964"</f>
        <v>1552378148514964</v>
      </c>
      <c r="C150" t="s">
        <v>40</v>
      </c>
      <c r="D150">
        <v>6.3582960000000002</v>
      </c>
      <c r="E150">
        <v>0.52427279999999998</v>
      </c>
      <c r="F150" t="s">
        <v>42</v>
      </c>
      <c r="G150">
        <v>-468.52719999999999</v>
      </c>
      <c r="H150">
        <v>1.0107060000000001</v>
      </c>
      <c r="I150">
        <v>367.02080000000001</v>
      </c>
      <c r="J150">
        <v>-469.17380000000003</v>
      </c>
      <c r="K150">
        <v>1.1104700000000001</v>
      </c>
      <c r="L150">
        <v>367.11500000000001</v>
      </c>
      <c r="M150">
        <v>0.99984280000000003</v>
      </c>
      <c r="N150">
        <v>0</v>
      </c>
      <c r="O150">
        <v>-1.252123E-2</v>
      </c>
      <c r="P150">
        <v>0.9977123</v>
      </c>
      <c r="Q150">
        <v>6.5465870000000004E-3</v>
      </c>
      <c r="R150">
        <v>-6.7286429999999994E-2</v>
      </c>
      <c r="S150">
        <v>2.982971</v>
      </c>
      <c r="T150">
        <v>-0.41143730000000001</v>
      </c>
      <c r="U150">
        <v>-0.3923645</v>
      </c>
      <c r="V150">
        <v>5.4788200000000002E-2</v>
      </c>
      <c r="W150">
        <v>1.9076920000000001E-2</v>
      </c>
      <c r="X150">
        <v>0.99831579999999998</v>
      </c>
      <c r="Y150">
        <v>0.1170139</v>
      </c>
      <c r="Z150">
        <v>-6.2864189999999997E-3</v>
      </c>
      <c r="AA150">
        <v>0.99311039999999995</v>
      </c>
      <c r="AB150">
        <v>4</v>
      </c>
      <c r="AC150">
        <v>0.64660000000003404</v>
      </c>
      <c r="AD150">
        <v>-9.97640000000002E-2</v>
      </c>
      <c r="AE150">
        <v>-9.42000000000007E-2</v>
      </c>
      <c r="AF150">
        <v>8.4134514759050802E-2</v>
      </c>
      <c r="AG150">
        <v>-9.97640000000002E-2</v>
      </c>
      <c r="AH150">
        <v>0.63297383525038398</v>
      </c>
      <c r="AI150">
        <v>98.879956928841494</v>
      </c>
      <c r="AJ150">
        <v>82.428659162928795</v>
      </c>
      <c r="AK150">
        <v>0.64628735743577803</v>
      </c>
      <c r="AL150">
        <v>88.906906751049206</v>
      </c>
      <c r="AM150">
        <v>86.858722717915697</v>
      </c>
      <c r="AN150">
        <v>1.00000005613278</v>
      </c>
    </row>
    <row r="151" spans="1:40" x14ac:dyDescent="0.25">
      <c r="A151" t="str">
        <f>"20190312160908542"</f>
        <v>20190312160908542</v>
      </c>
      <c r="B151" t="str">
        <f>"1552378148535460"</f>
        <v>1552378148535460</v>
      </c>
      <c r="C151" t="s">
        <v>40</v>
      </c>
      <c r="D151">
        <v>5.8271990000000002</v>
      </c>
      <c r="E151">
        <v>0.52327469999999998</v>
      </c>
      <c r="F151" t="s">
        <v>42</v>
      </c>
      <c r="G151">
        <v>-468.45609999999999</v>
      </c>
      <c r="H151">
        <v>1.013368</v>
      </c>
      <c r="I151">
        <v>367.01990000000001</v>
      </c>
      <c r="J151">
        <v>-469.13810000000001</v>
      </c>
      <c r="K151">
        <v>1.110473</v>
      </c>
      <c r="L151">
        <v>367.1146</v>
      </c>
      <c r="M151">
        <v>0.99984430000000002</v>
      </c>
      <c r="N151">
        <v>0</v>
      </c>
      <c r="O151">
        <v>-1.2492690000000001E-2</v>
      </c>
      <c r="P151">
        <v>0.9977779</v>
      </c>
      <c r="Q151">
        <v>6.9505829999999998E-3</v>
      </c>
      <c r="R151">
        <v>-6.6263619999999995E-2</v>
      </c>
      <c r="S151">
        <v>2.9829409999999998</v>
      </c>
      <c r="T151">
        <v>-0.40374149999999998</v>
      </c>
      <c r="U151">
        <v>-0.39401249999999999</v>
      </c>
      <c r="V151">
        <v>5.379308E-2</v>
      </c>
      <c r="W151">
        <v>1.9398249999999999E-2</v>
      </c>
      <c r="X151">
        <v>0.99836369999999997</v>
      </c>
      <c r="Y151">
        <v>0.1176131</v>
      </c>
      <c r="Z151">
        <v>-6.2137599999999996E-3</v>
      </c>
      <c r="AA151">
        <v>0.99304000000000003</v>
      </c>
      <c r="AB151">
        <v>4</v>
      </c>
      <c r="AC151">
        <v>0.68200000000001604</v>
      </c>
      <c r="AD151">
        <v>-9.7104999999999997E-2</v>
      </c>
      <c r="AE151">
        <v>-9.4699999999988904E-2</v>
      </c>
      <c r="AF151">
        <v>8.4491452869420794E-2</v>
      </c>
      <c r="AG151">
        <v>-9.7104999999999997E-2</v>
      </c>
      <c r="AH151">
        <v>0.66980788047253104</v>
      </c>
      <c r="AI151">
        <v>98.184977472831505</v>
      </c>
      <c r="AJ151">
        <v>82.810521519131697</v>
      </c>
      <c r="AK151">
        <v>0.68206362120852804</v>
      </c>
      <c r="AL151">
        <v>88.888492465188804</v>
      </c>
      <c r="AM151">
        <v>86.915814366435797</v>
      </c>
      <c r="AN151">
        <v>1.00000003251831</v>
      </c>
    </row>
    <row r="152" spans="1:40" x14ac:dyDescent="0.25">
      <c r="A152" t="str">
        <f>"20190312160908567"</f>
        <v>20190312160908567</v>
      </c>
      <c r="B152" t="str">
        <f>"1552378148564854"</f>
        <v>1552378148564854</v>
      </c>
      <c r="C152" t="s">
        <v>40</v>
      </c>
      <c r="D152">
        <v>5.8353320000000002</v>
      </c>
      <c r="E152">
        <v>0.51883659999999998</v>
      </c>
      <c r="F152" t="s">
        <v>42</v>
      </c>
      <c r="G152">
        <v>-468.42</v>
      </c>
      <c r="H152">
        <v>1.015611</v>
      </c>
      <c r="I152">
        <v>367.0222</v>
      </c>
      <c r="J152">
        <v>-469.09469999999999</v>
      </c>
      <c r="K152">
        <v>1.110482</v>
      </c>
      <c r="L152">
        <v>367.11410000000001</v>
      </c>
      <c r="M152">
        <v>0.9998456</v>
      </c>
      <c r="N152">
        <v>0</v>
      </c>
      <c r="O152">
        <v>-1.246017E-2</v>
      </c>
      <c r="P152">
        <v>0.99782820000000005</v>
      </c>
      <c r="Q152">
        <v>7.6295139999999996E-3</v>
      </c>
      <c r="R152">
        <v>-6.5426860000000003E-2</v>
      </c>
      <c r="S152">
        <v>2.983978</v>
      </c>
      <c r="T152">
        <v>-0.39426280000000002</v>
      </c>
      <c r="U152">
        <v>-0.3828125</v>
      </c>
      <c r="V152">
        <v>5.2988309999999997E-2</v>
      </c>
      <c r="W152">
        <v>2.0001330000000001E-2</v>
      </c>
      <c r="X152">
        <v>0.99839480000000003</v>
      </c>
      <c r="Y152">
        <v>0.11400879999999999</v>
      </c>
      <c r="Z152">
        <v>-5.8366349999999997E-3</v>
      </c>
      <c r="AA152">
        <v>0.99346259999999997</v>
      </c>
      <c r="AB152">
        <v>4</v>
      </c>
      <c r="AC152">
        <v>0.67469999999997299</v>
      </c>
      <c r="AD152">
        <v>-9.48709999999999E-2</v>
      </c>
      <c r="AE152">
        <v>-9.1900000000009599E-2</v>
      </c>
      <c r="AF152">
        <v>8.1895615219685705E-2</v>
      </c>
      <c r="AG152">
        <v>-9.48709999999999E-2</v>
      </c>
      <c r="AH152">
        <v>0.66292435022432805</v>
      </c>
      <c r="AI152">
        <v>98.083662026236297</v>
      </c>
      <c r="AJ152">
        <v>82.957538566524505</v>
      </c>
      <c r="AK152">
        <v>0.67466739401986697</v>
      </c>
      <c r="AL152">
        <v>88.853931777743298</v>
      </c>
      <c r="AM152">
        <v>86.961962612254794</v>
      </c>
      <c r="AN152">
        <v>0.99999999543273199</v>
      </c>
    </row>
    <row r="153" spans="1:40" x14ac:dyDescent="0.25">
      <c r="A153" t="str">
        <f>"20190312160908588"</f>
        <v>20190312160908588</v>
      </c>
      <c r="B153" t="str">
        <f>"1552378148585349"</f>
        <v>1552378148585349</v>
      </c>
      <c r="C153" t="s">
        <v>40</v>
      </c>
      <c r="D153">
        <v>5.833736</v>
      </c>
      <c r="E153">
        <v>0.47486210000000001</v>
      </c>
      <c r="F153" t="s">
        <v>42</v>
      </c>
      <c r="G153">
        <v>-468.34780000000001</v>
      </c>
      <c r="H153">
        <v>1.020567</v>
      </c>
      <c r="I153">
        <v>367.02780000000001</v>
      </c>
      <c r="J153">
        <v>-469.05829999999997</v>
      </c>
      <c r="K153">
        <v>1.1104860000000001</v>
      </c>
      <c r="L153">
        <v>367.11369999999999</v>
      </c>
      <c r="M153">
        <v>0.99984649999999997</v>
      </c>
      <c r="N153">
        <v>0</v>
      </c>
      <c r="O153">
        <v>-1.2433069999999999E-2</v>
      </c>
      <c r="P153">
        <v>0.99785429999999997</v>
      </c>
      <c r="Q153">
        <v>8.1918689999999992E-3</v>
      </c>
      <c r="R153">
        <v>-6.4957319999999999E-2</v>
      </c>
      <c r="S153">
        <v>2.9866640000000002</v>
      </c>
      <c r="T153">
        <v>-0.35956369999999999</v>
      </c>
      <c r="U153">
        <v>-0.3448792</v>
      </c>
      <c r="V153">
        <v>5.2545769999999999E-2</v>
      </c>
      <c r="W153">
        <v>2.0516690000000001E-2</v>
      </c>
      <c r="X153">
        <v>0.99840770000000001</v>
      </c>
      <c r="Y153">
        <v>0.101714</v>
      </c>
      <c r="Z153">
        <v>-4.5942860000000004E-3</v>
      </c>
      <c r="AA153">
        <v>0.99480310000000005</v>
      </c>
      <c r="AB153">
        <v>4</v>
      </c>
      <c r="AC153">
        <v>0.71049999999996705</v>
      </c>
      <c r="AD153">
        <v>-8.9918999999999999E-2</v>
      </c>
      <c r="AE153">
        <v>-8.5899999999980894E-2</v>
      </c>
      <c r="AF153">
        <v>7.5861439869354105E-2</v>
      </c>
      <c r="AG153">
        <v>-8.9918999999999999E-2</v>
      </c>
      <c r="AH153">
        <v>0.70045574842427905</v>
      </c>
      <c r="AI153">
        <v>97.273102060906197</v>
      </c>
      <c r="AJ153">
        <v>83.818789191546699</v>
      </c>
      <c r="AK153">
        <v>0.71026659791987101</v>
      </c>
      <c r="AL153">
        <v>88.824397725946298</v>
      </c>
      <c r="AM153">
        <v>86.987327163929095</v>
      </c>
      <c r="AN153">
        <v>0.99999996396636803</v>
      </c>
    </row>
    <row r="154" spans="1:40" x14ac:dyDescent="0.25">
      <c r="A154" t="str">
        <f>"20190312160908612"</f>
        <v>20190312160908612</v>
      </c>
      <c r="B154" t="str">
        <f>"1552378148604869"</f>
        <v>1552378148604869</v>
      </c>
      <c r="C154" t="s">
        <v>40</v>
      </c>
      <c r="D154">
        <v>5.8314459999999997</v>
      </c>
      <c r="E154">
        <v>0.47893730000000001</v>
      </c>
      <c r="F154" t="s">
        <v>41</v>
      </c>
      <c r="G154">
        <v>-346.29930000000002</v>
      </c>
      <c r="H154" s="1">
        <v>-2.134622E-6</v>
      </c>
      <c r="I154">
        <v>367.33420000000001</v>
      </c>
      <c r="J154">
        <v>-469.01659999999998</v>
      </c>
      <c r="K154">
        <v>1.1104940000000001</v>
      </c>
      <c r="L154">
        <v>367.11320000000001</v>
      </c>
      <c r="M154">
        <v>0.99984740000000005</v>
      </c>
      <c r="N154">
        <v>0</v>
      </c>
      <c r="O154">
        <v>-1.240281E-2</v>
      </c>
      <c r="P154">
        <v>0.99783639999999996</v>
      </c>
      <c r="Q154">
        <v>9.1009920000000005E-3</v>
      </c>
      <c r="R154">
        <v>-6.5112299999999998E-2</v>
      </c>
      <c r="S154">
        <v>3.00705</v>
      </c>
      <c r="T154">
        <v>-2.7202009999999999E-2</v>
      </c>
      <c r="U154">
        <v>5.4016109999999997E-3</v>
      </c>
      <c r="V154">
        <v>5.2731149999999997E-2</v>
      </c>
      <c r="W154">
        <v>2.1387199999999999E-2</v>
      </c>
      <c r="X154">
        <v>0.99837969999999998</v>
      </c>
      <c r="Y154">
        <v>-1.4198819999999999E-2</v>
      </c>
      <c r="Z154">
        <v>1.764216E-4</v>
      </c>
      <c r="AA154">
        <v>0.99989910000000004</v>
      </c>
      <c r="AB154">
        <v>4</v>
      </c>
      <c r="AC154">
        <v>122.717299999999</v>
      </c>
      <c r="AD154">
        <v>-1.1104961346219999</v>
      </c>
      <c r="AE154">
        <v>0.221000000000003</v>
      </c>
      <c r="AF154">
        <v>-1.74299481470086</v>
      </c>
      <c r="AG154">
        <v>-1.1104961346219999</v>
      </c>
      <c r="AH154">
        <v>122.695070923638</v>
      </c>
      <c r="AI154">
        <v>90.518509710314902</v>
      </c>
      <c r="AJ154">
        <v>90.8138837911564</v>
      </c>
      <c r="AK154">
        <v>122.71247557418801</v>
      </c>
      <c r="AL154">
        <v>88.774510273880693</v>
      </c>
      <c r="AM154">
        <v>86.976633589980807</v>
      </c>
      <c r="AN154">
        <v>1.00000000593812</v>
      </c>
    </row>
    <row r="155" spans="1:40" x14ac:dyDescent="0.25">
      <c r="A155" t="str">
        <f>"20190312160908633"</f>
        <v>20190312160908633</v>
      </c>
      <c r="B155" t="str">
        <f>"1552378148625365"</f>
        <v>1552378148625365</v>
      </c>
      <c r="C155" t="s">
        <v>40</v>
      </c>
      <c r="D155">
        <v>5.7984770000000001</v>
      </c>
      <c r="E155">
        <v>0.47859190000000001</v>
      </c>
      <c r="F155" t="s">
        <v>41</v>
      </c>
      <c r="G155">
        <v>-381.73630000000003</v>
      </c>
      <c r="H155" s="1">
        <v>-4.1120020000000002E-6</v>
      </c>
      <c r="I155">
        <v>366.32069999999999</v>
      </c>
      <c r="J155">
        <v>-468.98</v>
      </c>
      <c r="K155">
        <v>1.1104959999999999</v>
      </c>
      <c r="L155">
        <v>367.11279999999999</v>
      </c>
      <c r="M155">
        <v>0.99984799999999996</v>
      </c>
      <c r="N155">
        <v>0</v>
      </c>
      <c r="O155">
        <v>-1.2376460000000001E-2</v>
      </c>
      <c r="P155">
        <v>0.99777020000000005</v>
      </c>
      <c r="Q155">
        <v>9.8090569999999995E-3</v>
      </c>
      <c r="R155">
        <v>-6.6018220000000002E-2</v>
      </c>
      <c r="S155">
        <v>3.0050659999999998</v>
      </c>
      <c r="T155">
        <v>-3.823447E-2</v>
      </c>
      <c r="U155">
        <v>-2.7282710000000002E-2</v>
      </c>
      <c r="V155">
        <v>5.3664049999999998E-2</v>
      </c>
      <c r="W155">
        <v>2.2072729999999999E-2</v>
      </c>
      <c r="X155">
        <v>0.99831499999999995</v>
      </c>
      <c r="Y155">
        <v>-3.297777E-3</v>
      </c>
      <c r="Z155">
        <v>1.7844509999999901E-4</v>
      </c>
      <c r="AA155">
        <v>0.99999459999999996</v>
      </c>
      <c r="AB155">
        <v>4</v>
      </c>
      <c r="AC155">
        <v>87.243699999999905</v>
      </c>
      <c r="AD155">
        <v>-1.1105001120019999</v>
      </c>
      <c r="AE155">
        <v>-0.79210000000000402</v>
      </c>
      <c r="AF155">
        <v>-0.28776364456398701</v>
      </c>
      <c r="AG155">
        <v>-1.1105001120019999</v>
      </c>
      <c r="AH155">
        <v>87.232688726321996</v>
      </c>
      <c r="AI155">
        <v>90.729350287592993</v>
      </c>
      <c r="AJ155">
        <v>90.1890069280809</v>
      </c>
      <c r="AK155">
        <v>87.240231549654197</v>
      </c>
      <c r="AL155">
        <v>88.7352229343294</v>
      </c>
      <c r="AM155">
        <v>86.9230481682673</v>
      </c>
      <c r="AN155">
        <v>0.999999937448525</v>
      </c>
    </row>
    <row r="156" spans="1:40" x14ac:dyDescent="0.25">
      <c r="A156" t="str">
        <f>"20190312160908657"</f>
        <v>20190312160908657</v>
      </c>
      <c r="B156" t="str">
        <f>"1552378148644885"</f>
        <v>1552378148644885</v>
      </c>
      <c r="C156" t="s">
        <v>40</v>
      </c>
      <c r="D156">
        <v>5.4432210000000003</v>
      </c>
      <c r="E156">
        <v>0.47732930000000001</v>
      </c>
      <c r="F156" t="s">
        <v>43</v>
      </c>
      <c r="G156">
        <v>-413.79680000000002</v>
      </c>
      <c r="H156">
        <v>-0.05</v>
      </c>
      <c r="I156">
        <v>366.61020000000002</v>
      </c>
      <c r="J156">
        <v>-468.9384</v>
      </c>
      <c r="K156">
        <v>1.1105080000000001</v>
      </c>
      <c r="L156">
        <v>367.11219999999997</v>
      </c>
      <c r="M156">
        <v>0.99984850000000003</v>
      </c>
      <c r="N156">
        <v>0</v>
      </c>
      <c r="O156">
        <v>-1.2346960000000001E-2</v>
      </c>
      <c r="P156">
        <v>0.99771829999999995</v>
      </c>
      <c r="Q156">
        <v>1.0311529999999999E-2</v>
      </c>
      <c r="R156">
        <v>-6.6723329999999997E-2</v>
      </c>
      <c r="S156">
        <v>3.0055540000000001</v>
      </c>
      <c r="T156">
        <v>-6.3206429999999994E-2</v>
      </c>
      <c r="U156">
        <v>-2.7374269999999999E-2</v>
      </c>
      <c r="V156">
        <v>5.4399259999999998E-2</v>
      </c>
      <c r="W156">
        <v>2.25647E-2</v>
      </c>
      <c r="X156">
        <v>0.99826429999999999</v>
      </c>
      <c r="Y156">
        <v>-3.2371079999999998E-3</v>
      </c>
      <c r="Z156">
        <v>2.9366530000000002E-4</v>
      </c>
      <c r="AA156">
        <v>0.99999470000000001</v>
      </c>
      <c r="AB156">
        <v>4</v>
      </c>
      <c r="AC156">
        <v>55.141599999999897</v>
      </c>
      <c r="AD156">
        <v>-1.1605080000000001</v>
      </c>
      <c r="AE156">
        <v>-0.50199999999995204</v>
      </c>
      <c r="AF156">
        <v>-0.17884144134969701</v>
      </c>
      <c r="AG156">
        <v>-1.1605080000000001</v>
      </c>
      <c r="AH156">
        <v>55.1191826958148</v>
      </c>
      <c r="AI156">
        <v>91.206150650879493</v>
      </c>
      <c r="AJ156">
        <v>90.185903043768803</v>
      </c>
      <c r="AK156">
        <v>55.131688384574502</v>
      </c>
      <c r="AL156">
        <v>88.707028222766496</v>
      </c>
      <c r="AM156">
        <v>86.880817785579694</v>
      </c>
      <c r="AN156">
        <v>1.0000000289145601</v>
      </c>
    </row>
    <row r="157" spans="1:40" x14ac:dyDescent="0.25">
      <c r="A157" t="str">
        <f>"20190312160908680"</f>
        <v>20190312160908680</v>
      </c>
      <c r="B157" t="str">
        <f>"1552378148675141"</f>
        <v>1552378148675141</v>
      </c>
      <c r="C157" t="s">
        <v>40</v>
      </c>
      <c r="D157">
        <v>5.8239859999999997</v>
      </c>
      <c r="E157">
        <v>0.4771533</v>
      </c>
      <c r="F157" t="s">
        <v>43</v>
      </c>
      <c r="G157">
        <v>-406.40469999999999</v>
      </c>
      <c r="H157">
        <v>-0.05</v>
      </c>
      <c r="I157">
        <v>366.70530000000002</v>
      </c>
      <c r="J157">
        <v>-468.89879999999999</v>
      </c>
      <c r="K157">
        <v>1.11052</v>
      </c>
      <c r="L157">
        <v>367.11180000000002</v>
      </c>
      <c r="M157">
        <v>0.99984879999999998</v>
      </c>
      <c r="N157">
        <v>0</v>
      </c>
      <c r="O157">
        <v>-1.2318849999999999E-2</v>
      </c>
      <c r="P157">
        <v>0.99772159999999999</v>
      </c>
      <c r="Q157">
        <v>1.0794140000000001E-2</v>
      </c>
      <c r="R157">
        <v>-6.6597649999999994E-2</v>
      </c>
      <c r="S157">
        <v>3.0061650000000002</v>
      </c>
      <c r="T157">
        <v>-5.578876E-2</v>
      </c>
      <c r="U157">
        <v>-1.9561769999999999E-2</v>
      </c>
      <c r="V157">
        <v>5.430157E-2</v>
      </c>
      <c r="W157">
        <v>2.3052380000000001E-2</v>
      </c>
      <c r="X157">
        <v>0.99825850000000005</v>
      </c>
      <c r="Y157">
        <v>-5.8098129999999996E-3</v>
      </c>
      <c r="Z157">
        <v>2.8250760000000003E-4</v>
      </c>
      <c r="AA157">
        <v>0.99998310000000001</v>
      </c>
      <c r="AB157">
        <v>4</v>
      </c>
      <c r="AC157">
        <v>62.494100000000003</v>
      </c>
      <c r="AD157">
        <v>-1.16052</v>
      </c>
      <c r="AE157">
        <v>-0.40649999999999398</v>
      </c>
      <c r="AF157">
        <v>-0.36331899477603902</v>
      </c>
      <c r="AG157">
        <v>-1.16052</v>
      </c>
      <c r="AH157">
        <v>62.472822536340999</v>
      </c>
      <c r="AI157">
        <v>91.064208793205594</v>
      </c>
      <c r="AJ157">
        <v>90.333207457151204</v>
      </c>
      <c r="AK157">
        <v>62.484657020900102</v>
      </c>
      <c r="AL157">
        <v>88.679078978103306</v>
      </c>
      <c r="AM157">
        <v>86.886390116235006</v>
      </c>
      <c r="AN157">
        <v>1.00000005277518</v>
      </c>
    </row>
    <row r="158" spans="1:40" x14ac:dyDescent="0.25">
      <c r="A158" t="str">
        <f>"20190312160908748"</f>
        <v>20190312160908748</v>
      </c>
      <c r="B158" t="str">
        <f>"1552378148734677"</f>
        <v>1552378148734677</v>
      </c>
      <c r="C158" t="s">
        <v>40</v>
      </c>
      <c r="D158">
        <v>6.0036579999999997</v>
      </c>
      <c r="E158">
        <v>0.4761436</v>
      </c>
      <c r="F158" t="s">
        <v>43</v>
      </c>
      <c r="G158">
        <v>-409.7473</v>
      </c>
      <c r="H158">
        <v>-0.05</v>
      </c>
      <c r="I158">
        <v>366.75869999999998</v>
      </c>
      <c r="J158">
        <v>-468.78250000000003</v>
      </c>
      <c r="K158">
        <v>1.110509</v>
      </c>
      <c r="L158">
        <v>367.11040000000003</v>
      </c>
      <c r="M158">
        <v>0.99985000000000002</v>
      </c>
      <c r="N158">
        <v>0</v>
      </c>
      <c r="O158">
        <v>-1.223374E-2</v>
      </c>
      <c r="P158">
        <v>0.99776759999999998</v>
      </c>
      <c r="Q158">
        <v>1.2570309999999999E-2</v>
      </c>
      <c r="R158">
        <v>-6.5589610000000007E-2</v>
      </c>
      <c r="S158">
        <v>3.0062869999999999</v>
      </c>
      <c r="T158">
        <v>-5.8981659999999998E-2</v>
      </c>
      <c r="U158">
        <v>-1.794434E-2</v>
      </c>
      <c r="V158">
        <v>5.3378090000000003E-2</v>
      </c>
      <c r="W158">
        <v>2.4807119999999998E-2</v>
      </c>
      <c r="X158">
        <v>0.99826619999999999</v>
      </c>
      <c r="Y158">
        <v>-6.2624940000000004E-3</v>
      </c>
      <c r="Z158">
        <v>3.0143200000000002E-4</v>
      </c>
      <c r="AA158">
        <v>0.99998030000000004</v>
      </c>
      <c r="AB158">
        <v>4</v>
      </c>
      <c r="AC158">
        <v>59.035200000000003</v>
      </c>
      <c r="AD158">
        <v>-1.160509</v>
      </c>
      <c r="AE158">
        <v>-0.35170000000004997</v>
      </c>
      <c r="AF158">
        <v>-0.37045874420812203</v>
      </c>
      <c r="AG158">
        <v>-1.160509</v>
      </c>
      <c r="AH158">
        <v>59.012280844210203</v>
      </c>
      <c r="AI158">
        <v>91.126585645730401</v>
      </c>
      <c r="AJ158">
        <v>90.359678416118697</v>
      </c>
      <c r="AK158">
        <v>59.024853335321197</v>
      </c>
      <c r="AL158">
        <v>88.578510914953199</v>
      </c>
      <c r="AM158">
        <v>86.939263756065003</v>
      </c>
      <c r="AN158">
        <v>1.0000000098785899</v>
      </c>
    </row>
    <row r="159" spans="1:40" x14ac:dyDescent="0.25">
      <c r="A159" t="str">
        <f>"20190312160908792"</f>
        <v>20190312160908792</v>
      </c>
      <c r="B159" t="str">
        <f>"1552378148785428"</f>
        <v>1552378148785428</v>
      </c>
      <c r="C159" t="s">
        <v>40</v>
      </c>
      <c r="D159">
        <v>5.9852379999999998</v>
      </c>
      <c r="E159">
        <v>0.47625990000000001</v>
      </c>
      <c r="F159" t="s">
        <v>41</v>
      </c>
      <c r="G159">
        <v>-384.10320000000002</v>
      </c>
      <c r="H159" s="1">
        <v>-2.99067E-6</v>
      </c>
      <c r="I159">
        <v>366.91789999999997</v>
      </c>
      <c r="J159">
        <v>-468.70769999999999</v>
      </c>
      <c r="K159">
        <v>1.110266</v>
      </c>
      <c r="L159">
        <v>367.1096</v>
      </c>
      <c r="M159">
        <v>0.99985190000000002</v>
      </c>
      <c r="N159">
        <v>0</v>
      </c>
      <c r="O159">
        <v>-1.217883E-2</v>
      </c>
      <c r="P159">
        <v>0.9977897</v>
      </c>
      <c r="Q159">
        <v>1.360724E-2</v>
      </c>
      <c r="R159">
        <v>-6.5044119999999997E-2</v>
      </c>
      <c r="S159">
        <v>3.0067750000000002</v>
      </c>
      <c r="T159">
        <v>-3.9431809999999998E-2</v>
      </c>
      <c r="U159">
        <v>-6.8359379999999997E-3</v>
      </c>
      <c r="V159">
        <v>5.2887450000000003E-2</v>
      </c>
      <c r="W159">
        <v>2.5750950000000002E-2</v>
      </c>
      <c r="X159">
        <v>0.99826839999999994</v>
      </c>
      <c r="Y159">
        <v>-9.9044649999999994E-3</v>
      </c>
      <c r="Z159">
        <v>2.246606E-4</v>
      </c>
      <c r="AA159">
        <v>0.99995089999999998</v>
      </c>
      <c r="AB159">
        <v>4</v>
      </c>
      <c r="AC159">
        <v>84.604499999999902</v>
      </c>
      <c r="AD159">
        <v>-1.1102689906700001</v>
      </c>
      <c r="AE159">
        <v>-0.19170000000002499</v>
      </c>
      <c r="AF159">
        <v>-0.83862980053207004</v>
      </c>
      <c r="AG159">
        <v>-1.1102689906700001</v>
      </c>
      <c r="AH159">
        <v>84.585992406837505</v>
      </c>
      <c r="AI159">
        <v>90.7519796925083</v>
      </c>
      <c r="AJ159">
        <v>90.568041734441607</v>
      </c>
      <c r="AK159">
        <v>84.597435591296502</v>
      </c>
      <c r="AL159">
        <v>88.524416130745095</v>
      </c>
      <c r="AM159">
        <v>86.967351301769895</v>
      </c>
      <c r="AN159">
        <v>0.999999996115982</v>
      </c>
    </row>
    <row r="160" spans="1:40" x14ac:dyDescent="0.25">
      <c r="A160" t="str">
        <f>"20190312160908810"</f>
        <v>20190312160908810</v>
      </c>
      <c r="B160" t="str">
        <f>"1552378148804949"</f>
        <v>1552378148804949</v>
      </c>
      <c r="C160" t="s">
        <v>40</v>
      </c>
      <c r="D160">
        <v>5.578589</v>
      </c>
      <c r="E160">
        <v>0.47621469999999999</v>
      </c>
      <c r="F160" t="s">
        <v>41</v>
      </c>
      <c r="G160">
        <v>-393.7242</v>
      </c>
      <c r="H160" s="1">
        <v>-3.146936E-6</v>
      </c>
      <c r="I160">
        <v>366.95350000000002</v>
      </c>
      <c r="J160">
        <v>-468.67399999999998</v>
      </c>
      <c r="K160">
        <v>1.110169</v>
      </c>
      <c r="L160">
        <v>367.10919999999999</v>
      </c>
      <c r="M160">
        <v>0.99985259999999998</v>
      </c>
      <c r="N160">
        <v>0</v>
      </c>
      <c r="O160">
        <v>-1.215361E-2</v>
      </c>
      <c r="P160">
        <v>0.99779739999999995</v>
      </c>
      <c r="Q160">
        <v>1.361656E-2</v>
      </c>
      <c r="R160">
        <v>-6.4925789999999997E-2</v>
      </c>
      <c r="S160">
        <v>3.006866</v>
      </c>
      <c r="T160">
        <v>-4.452217E-2</v>
      </c>
      <c r="U160">
        <v>-6.2561040000000002E-3</v>
      </c>
      <c r="V160">
        <v>5.279404E-2</v>
      </c>
      <c r="W160">
        <v>2.572903E-2</v>
      </c>
      <c r="X160">
        <v>0.99827390000000005</v>
      </c>
      <c r="Y160">
        <v>-1.00716E-2</v>
      </c>
      <c r="Z160">
        <v>2.5451590000000001E-4</v>
      </c>
      <c r="AA160">
        <v>0.99994930000000004</v>
      </c>
      <c r="AB160">
        <v>4</v>
      </c>
      <c r="AC160">
        <v>74.949799999999996</v>
      </c>
      <c r="AD160">
        <v>-1.110172146936</v>
      </c>
      <c r="AE160">
        <v>-0.155699999999967</v>
      </c>
      <c r="AF160">
        <v>-0.75512345590108298</v>
      </c>
      <c r="AG160">
        <v>-1.110172146936</v>
      </c>
      <c r="AH160">
        <v>74.929716386020502</v>
      </c>
      <c r="AI160">
        <v>90.848799364547602</v>
      </c>
      <c r="AJ160">
        <v>90.577393382970001</v>
      </c>
      <c r="AK160">
        <v>74.941744650888296</v>
      </c>
      <c r="AL160">
        <v>88.525672456365996</v>
      </c>
      <c r="AM160">
        <v>86.972714252574306</v>
      </c>
      <c r="AN160">
        <v>0.99999998653273603</v>
      </c>
    </row>
    <row r="161" spans="1:40" x14ac:dyDescent="0.25">
      <c r="A161" t="str">
        <f>"20190312160908837"</f>
        <v>20190312160908837</v>
      </c>
      <c r="B161" t="str">
        <f>"1552378148825445"</f>
        <v>1552378148825445</v>
      </c>
      <c r="C161" t="s">
        <v>40</v>
      </c>
      <c r="D161">
        <v>5.8492959999999998</v>
      </c>
      <c r="E161">
        <v>0.4764833</v>
      </c>
      <c r="F161" t="s">
        <v>41</v>
      </c>
      <c r="G161">
        <v>-391.14460000000003</v>
      </c>
      <c r="H161" s="1">
        <v>-4.2508180000000001E-6</v>
      </c>
      <c r="I161">
        <v>366.96910000000003</v>
      </c>
      <c r="J161">
        <v>-468.62849999999997</v>
      </c>
      <c r="K161">
        <v>1.1099159999999999</v>
      </c>
      <c r="L161">
        <v>367.1087</v>
      </c>
      <c r="M161">
        <v>0.99986079999999999</v>
      </c>
      <c r="N161">
        <v>0</v>
      </c>
      <c r="O161">
        <v>-1.2117940000000001E-2</v>
      </c>
      <c r="P161">
        <v>0.99774830000000003</v>
      </c>
      <c r="Q161">
        <v>1.496486E-2</v>
      </c>
      <c r="R161">
        <v>-6.5381250000000002E-2</v>
      </c>
      <c r="S161">
        <v>3.0069270000000001</v>
      </c>
      <c r="T161">
        <v>-4.3057320000000003E-2</v>
      </c>
      <c r="U161">
        <v>-5.432129E-3</v>
      </c>
      <c r="V161">
        <v>5.3285730000000003E-2</v>
      </c>
      <c r="W161">
        <v>2.6424969999999999E-2</v>
      </c>
      <c r="X161">
        <v>0.99822960000000005</v>
      </c>
      <c r="Y161">
        <v>-1.031002E-2</v>
      </c>
      <c r="Z161">
        <v>2.4733280000000001E-4</v>
      </c>
      <c r="AA161">
        <v>0.99994680000000002</v>
      </c>
      <c r="AB161">
        <v>4</v>
      </c>
      <c r="AC161">
        <v>77.483899999999906</v>
      </c>
      <c r="AD161">
        <v>-1.1099202508179999</v>
      </c>
      <c r="AE161">
        <v>-0.139599999999973</v>
      </c>
      <c r="AF161">
        <v>-0.79925326143920705</v>
      </c>
      <c r="AG161">
        <v>-1.1099202508179999</v>
      </c>
      <c r="AH161">
        <v>77.464006827689701</v>
      </c>
      <c r="AI161">
        <v>90.820845877146098</v>
      </c>
      <c r="AJ161">
        <v>90.591141816910195</v>
      </c>
      <c r="AK161">
        <v>77.476080712304096</v>
      </c>
      <c r="AL161">
        <v>88.485784472857901</v>
      </c>
      <c r="AM161">
        <v>86.9444378826134</v>
      </c>
      <c r="AN161">
        <v>0.99999999118864602</v>
      </c>
    </row>
    <row r="162" spans="1:40" x14ac:dyDescent="0.25">
      <c r="A162" t="str">
        <f>"20190312160908857"</f>
        <v>20190312160908857</v>
      </c>
      <c r="B162" t="str">
        <f>"1552378148844967"</f>
        <v>1552378148844967</v>
      </c>
      <c r="C162" t="s">
        <v>40</v>
      </c>
      <c r="D162">
        <v>5.7648890000000002</v>
      </c>
      <c r="E162">
        <v>0.47669139999999999</v>
      </c>
      <c r="F162" t="s">
        <v>41</v>
      </c>
      <c r="G162">
        <v>-398.02449999999999</v>
      </c>
      <c r="H162" s="1">
        <v>-1.3791179999999999E-6</v>
      </c>
      <c r="I162">
        <v>366.90730000000002</v>
      </c>
      <c r="J162">
        <v>-468.58640000000003</v>
      </c>
      <c r="K162">
        <v>1.109553</v>
      </c>
      <c r="L162">
        <v>367.10820000000001</v>
      </c>
      <c r="M162">
        <v>0.99987530000000002</v>
      </c>
      <c r="N162">
        <v>0</v>
      </c>
      <c r="O162">
        <v>-1.2080830000000001E-2</v>
      </c>
      <c r="P162">
        <v>0.99766889999999997</v>
      </c>
      <c r="Q162">
        <v>1.665697E-2</v>
      </c>
      <c r="R162">
        <v>-6.617787E-2</v>
      </c>
      <c r="S162">
        <v>3.0068969999999999</v>
      </c>
      <c r="T162">
        <v>-4.726934E-2</v>
      </c>
      <c r="U162">
        <v>-8.5754390000000007E-3</v>
      </c>
      <c r="V162">
        <v>5.4120210000000002E-2</v>
      </c>
      <c r="W162">
        <v>2.680869E-2</v>
      </c>
      <c r="X162">
        <v>0.99817449999999996</v>
      </c>
      <c r="Y162">
        <v>-9.227074E-3</v>
      </c>
      <c r="Z162">
        <v>2.6242939999999998E-4</v>
      </c>
      <c r="AA162">
        <v>0.9999574</v>
      </c>
      <c r="AB162">
        <v>4</v>
      </c>
      <c r="AC162">
        <v>70.561899999999994</v>
      </c>
      <c r="AD162">
        <v>-1.109554379118</v>
      </c>
      <c r="AE162">
        <v>-0.20089999999999</v>
      </c>
      <c r="AF162">
        <v>-0.65144399607005599</v>
      </c>
      <c r="AG162">
        <v>-1.109554379118</v>
      </c>
      <c r="AH162">
        <v>70.541735194213103</v>
      </c>
      <c r="AI162">
        <v>90.901095372504699</v>
      </c>
      <c r="AJ162">
        <v>90.529104231055001</v>
      </c>
      <c r="AK162">
        <v>70.553468337217296</v>
      </c>
      <c r="AL162">
        <v>88.463791184752395</v>
      </c>
      <c r="AM162">
        <v>86.896508161291493</v>
      </c>
      <c r="AN162">
        <v>1.0000000177201001</v>
      </c>
    </row>
    <row r="163" spans="1:40" x14ac:dyDescent="0.25">
      <c r="A163" t="str">
        <f>"20190312160908904"</f>
        <v>20190312160908904</v>
      </c>
      <c r="B163" t="str">
        <f>"1552378148894741"</f>
        <v>1552378148894741</v>
      </c>
      <c r="C163" t="s">
        <v>40</v>
      </c>
      <c r="D163">
        <v>5.7173400000000001</v>
      </c>
      <c r="E163">
        <v>0.47685670000000002</v>
      </c>
      <c r="F163" t="s">
        <v>41</v>
      </c>
      <c r="G163">
        <v>-396.06220000000002</v>
      </c>
      <c r="H163" s="1">
        <v>-2.1708390000000001E-6</v>
      </c>
      <c r="I163">
        <v>366.80189999999999</v>
      </c>
      <c r="J163">
        <v>-468.49149999999997</v>
      </c>
      <c r="K163">
        <v>1.109394</v>
      </c>
      <c r="L163">
        <v>367.1071</v>
      </c>
      <c r="M163">
        <v>0.99988960000000005</v>
      </c>
      <c r="N163">
        <v>0</v>
      </c>
      <c r="O163">
        <v>-1.1995779999999999E-2</v>
      </c>
      <c r="P163">
        <v>0.99752039999999997</v>
      </c>
      <c r="Q163">
        <v>1.7360629999999998E-2</v>
      </c>
      <c r="R163">
        <v>-6.8205349999999998E-2</v>
      </c>
      <c r="S163">
        <v>3.0069270000000001</v>
      </c>
      <c r="T163">
        <v>-4.6003219999999997E-2</v>
      </c>
      <c r="U163">
        <v>-1.269531E-2</v>
      </c>
      <c r="V163">
        <v>5.6234319999999997E-2</v>
      </c>
      <c r="W163">
        <v>2.6135160000000001E-2</v>
      </c>
      <c r="X163">
        <v>0.9980755</v>
      </c>
      <c r="Y163">
        <v>-7.7721400000000003E-3</v>
      </c>
      <c r="Z163">
        <v>2.4296499999999999E-4</v>
      </c>
      <c r="AA163">
        <v>0.99996980000000002</v>
      </c>
      <c r="AB163">
        <v>4</v>
      </c>
      <c r="AC163">
        <v>72.429299999999898</v>
      </c>
      <c r="AD163">
        <v>-1.1093961708390001</v>
      </c>
      <c r="AE163">
        <v>-0.30520000000001302</v>
      </c>
      <c r="AF163">
        <v>-0.56356909802708</v>
      </c>
      <c r="AG163">
        <v>-1.1093961708390001</v>
      </c>
      <c r="AH163">
        <v>72.410761504281297</v>
      </c>
      <c r="AI163">
        <v>90.877726179557499</v>
      </c>
      <c r="AJ163">
        <v>90.445920995032495</v>
      </c>
      <c r="AK163">
        <v>72.421452288821399</v>
      </c>
      <c r="AL163">
        <v>88.502395149835195</v>
      </c>
      <c r="AM163">
        <v>86.775207615697795</v>
      </c>
      <c r="AN163">
        <v>1.0000000245171601</v>
      </c>
    </row>
    <row r="164" spans="1:40" x14ac:dyDescent="0.25">
      <c r="A164" t="str">
        <f>"20190312160908947"</f>
        <v>20190312160908947</v>
      </c>
      <c r="B164" t="str">
        <f>"1552378148934758"</f>
        <v>1552378148934758</v>
      </c>
      <c r="C164" t="s">
        <v>40</v>
      </c>
      <c r="D164">
        <v>5.606776</v>
      </c>
      <c r="E164">
        <v>0.47669859999999997</v>
      </c>
      <c r="F164" t="s">
        <v>41</v>
      </c>
      <c r="G164">
        <v>-395.92649999999998</v>
      </c>
      <c r="H164" s="1">
        <v>-2.262463E-6</v>
      </c>
      <c r="I164">
        <v>366.61360000000002</v>
      </c>
      <c r="J164">
        <v>-468.4171</v>
      </c>
      <c r="K164">
        <v>1.1104050000000001</v>
      </c>
      <c r="L164">
        <v>367.10629999999998</v>
      </c>
      <c r="M164">
        <v>0.99985619999999997</v>
      </c>
      <c r="N164">
        <v>0</v>
      </c>
      <c r="O164">
        <v>-1.195046E-2</v>
      </c>
      <c r="P164">
        <v>0.99743130000000002</v>
      </c>
      <c r="Q164">
        <v>1.2814799999999999E-2</v>
      </c>
      <c r="R164">
        <v>-7.0476230000000001E-2</v>
      </c>
      <c r="S164">
        <v>3.006866</v>
      </c>
      <c r="T164">
        <v>-4.5969839999999998E-2</v>
      </c>
      <c r="U164">
        <v>-2.0446780000000001E-2</v>
      </c>
      <c r="V164">
        <v>5.8551649999999997E-2</v>
      </c>
      <c r="W164">
        <v>2.4825710000000001E-2</v>
      </c>
      <c r="X164">
        <v>0.99797559999999996</v>
      </c>
      <c r="Y164">
        <v>-5.1496689999999999E-3</v>
      </c>
      <c r="Z164">
        <v>2.2205949999999999E-4</v>
      </c>
      <c r="AA164">
        <v>0.99998670000000001</v>
      </c>
      <c r="AB164">
        <v>5</v>
      </c>
      <c r="AC164">
        <v>72.490600000000001</v>
      </c>
      <c r="AD164">
        <v>-1.1104072624629999</v>
      </c>
      <c r="AE164">
        <v>-0.49269999999995601</v>
      </c>
      <c r="AF164">
        <v>-0.37360625721868801</v>
      </c>
      <c r="AG164">
        <v>-1.1104072624629999</v>
      </c>
      <c r="AH164">
        <v>72.474306613176097</v>
      </c>
      <c r="AI164">
        <v>90.877770756736496</v>
      </c>
      <c r="AJ164">
        <v>90.295358081027004</v>
      </c>
      <c r="AK164">
        <v>72.483775460337498</v>
      </c>
      <c r="AL164">
        <v>88.577445380055707</v>
      </c>
      <c r="AM164">
        <v>86.642281550770505</v>
      </c>
      <c r="AN164">
        <v>0.99999995489504201</v>
      </c>
    </row>
    <row r="165" spans="1:40" x14ac:dyDescent="0.25">
      <c r="A165" t="str">
        <f>"20190312160908968"</f>
        <v>20190312160908968</v>
      </c>
      <c r="B165" t="str">
        <f>"1552378148965014"</f>
        <v>1552378148965014</v>
      </c>
      <c r="C165" t="s">
        <v>40</v>
      </c>
      <c r="D165">
        <v>5.5430199999999896</v>
      </c>
      <c r="E165">
        <v>0.47700670000000001</v>
      </c>
      <c r="F165" t="s">
        <v>43</v>
      </c>
      <c r="G165">
        <v>-405.113</v>
      </c>
      <c r="H165">
        <v>-0.05</v>
      </c>
      <c r="I165">
        <v>366.56849999999997</v>
      </c>
      <c r="J165">
        <v>-468.38279999999997</v>
      </c>
      <c r="K165">
        <v>1.1107309999999999</v>
      </c>
      <c r="L165">
        <v>367.10590000000002</v>
      </c>
      <c r="M165">
        <v>0.99983829999999996</v>
      </c>
      <c r="N165">
        <v>0</v>
      </c>
      <c r="O165">
        <v>-1.1935650000000001E-2</v>
      </c>
      <c r="P165">
        <v>0.99742640000000005</v>
      </c>
      <c r="Q165">
        <v>1.2141829999999999E-2</v>
      </c>
      <c r="R165">
        <v>-7.0661810000000005E-2</v>
      </c>
      <c r="S165">
        <v>3.0066220000000001</v>
      </c>
      <c r="T165">
        <v>-5.511332E-2</v>
      </c>
      <c r="U165">
        <v>-2.554321E-2</v>
      </c>
      <c r="V165">
        <v>5.8752360000000003E-2</v>
      </c>
      <c r="W165">
        <v>2.5569339999999999E-2</v>
      </c>
      <c r="X165">
        <v>0.99794510000000003</v>
      </c>
      <c r="Y165">
        <v>-3.4389820000000001E-3</v>
      </c>
      <c r="Z165">
        <v>2.502952E-4</v>
      </c>
      <c r="AA165">
        <v>0.99999400000000005</v>
      </c>
      <c r="AB165">
        <v>4</v>
      </c>
      <c r="AC165">
        <v>63.269799999999897</v>
      </c>
      <c r="AD165">
        <v>-1.160731</v>
      </c>
      <c r="AE165">
        <v>-0.53740000000004695</v>
      </c>
      <c r="AF165">
        <v>-0.21779949635543799</v>
      </c>
      <c r="AG165">
        <v>-1.160731</v>
      </c>
      <c r="AH165">
        <v>63.250420717374901</v>
      </c>
      <c r="AI165">
        <v>91.051331016866101</v>
      </c>
      <c r="AJ165">
        <v>90.197294222829598</v>
      </c>
      <c r="AK165">
        <v>63.261445241156999</v>
      </c>
      <c r="AL165">
        <v>88.534825089663499</v>
      </c>
      <c r="AM165">
        <v>86.630695316706394</v>
      </c>
      <c r="AN165">
        <v>1.0000000267838001</v>
      </c>
    </row>
    <row r="166" spans="1:40" x14ac:dyDescent="0.25">
      <c r="A166" t="str">
        <f>"20190312160908994"</f>
        <v>20190312160908994</v>
      </c>
      <c r="B166" t="str">
        <f>"1552378148984533"</f>
        <v>1552378148984533</v>
      </c>
      <c r="C166" t="s">
        <v>40</v>
      </c>
      <c r="D166">
        <v>5.5305470000000003</v>
      </c>
      <c r="E166">
        <v>0.47713879999999997</v>
      </c>
      <c r="F166" t="s">
        <v>43</v>
      </c>
      <c r="G166">
        <v>-408.1343</v>
      </c>
      <c r="H166">
        <v>-0.05</v>
      </c>
      <c r="I166">
        <v>366.54079999999999</v>
      </c>
      <c r="J166">
        <v>-468.33629999999999</v>
      </c>
      <c r="K166">
        <v>1.110341</v>
      </c>
      <c r="L166">
        <v>367.10539999999997</v>
      </c>
      <c r="M166">
        <v>0.99985250000000003</v>
      </c>
      <c r="N166">
        <v>0</v>
      </c>
      <c r="O166">
        <v>-1.1896530000000001E-2</v>
      </c>
      <c r="P166">
        <v>0.99742439999999999</v>
      </c>
      <c r="Q166">
        <v>1.349181E-2</v>
      </c>
      <c r="R166">
        <v>-7.0446019999999998E-2</v>
      </c>
      <c r="S166">
        <v>3.0064389999999999</v>
      </c>
      <c r="T166">
        <v>-5.7921170000000001E-2</v>
      </c>
      <c r="U166">
        <v>-2.8198239999999999E-2</v>
      </c>
      <c r="V166">
        <v>5.857532E-2</v>
      </c>
      <c r="W166">
        <v>2.5861060000000002E-2</v>
      </c>
      <c r="X166">
        <v>0.99794799999999995</v>
      </c>
      <c r="Y166">
        <v>-2.5160400000000002E-3</v>
      </c>
      <c r="Z166">
        <v>2.5341300000000002E-4</v>
      </c>
      <c r="AA166">
        <v>0.99999680000000002</v>
      </c>
      <c r="AB166">
        <v>3</v>
      </c>
      <c r="AC166">
        <v>60.201999999999998</v>
      </c>
      <c r="AD166">
        <v>-1.1603410000000001</v>
      </c>
      <c r="AE166">
        <v>-0.564599999999984</v>
      </c>
      <c r="AF166">
        <v>-0.15163349079876201</v>
      </c>
      <c r="AG166">
        <v>-1.1603410000000001</v>
      </c>
      <c r="AH166">
        <v>60.182101173170999</v>
      </c>
      <c r="AI166">
        <v>91.104550915591105</v>
      </c>
      <c r="AJ166">
        <v>90.144360873113399</v>
      </c>
      <c r="AK166">
        <v>60.193477101506602</v>
      </c>
      <c r="AL166">
        <v>88.518105250737406</v>
      </c>
      <c r="AM166">
        <v>86.640834583930797</v>
      </c>
      <c r="AN166">
        <v>1.00000003662071</v>
      </c>
    </row>
    <row r="167" spans="1:40" x14ac:dyDescent="0.25">
      <c r="A167" t="str">
        <f>"20190312160909018"</f>
        <v>20190312160909018</v>
      </c>
      <c r="B167" t="str">
        <f>"1552378149015766"</f>
        <v>1552378149015766</v>
      </c>
      <c r="C167" t="s">
        <v>40</v>
      </c>
      <c r="D167">
        <v>5.4212119999999997</v>
      </c>
      <c r="E167">
        <v>0.4773424</v>
      </c>
      <c r="F167" t="s">
        <v>43</v>
      </c>
      <c r="G167">
        <v>-406.47969999999998</v>
      </c>
      <c r="H167">
        <v>-0.05</v>
      </c>
      <c r="I167">
        <v>366.52080000000001</v>
      </c>
      <c r="J167">
        <v>-468.2851</v>
      </c>
      <c r="K167">
        <v>1.1098440000000001</v>
      </c>
      <c r="L167">
        <v>367.10489999999999</v>
      </c>
      <c r="M167">
        <v>0.99987409999999999</v>
      </c>
      <c r="N167">
        <v>0</v>
      </c>
      <c r="O167">
        <v>-1.182922E-2</v>
      </c>
      <c r="P167">
        <v>0.99745379999999995</v>
      </c>
      <c r="Q167">
        <v>1.5777929999999999E-2</v>
      </c>
      <c r="R167">
        <v>-6.9549509999999995E-2</v>
      </c>
      <c r="S167">
        <v>3.0065</v>
      </c>
      <c r="T167">
        <v>-5.6397559999999999E-2</v>
      </c>
      <c r="U167">
        <v>-2.8411869999999999E-2</v>
      </c>
      <c r="V167">
        <v>5.7745209999999998E-2</v>
      </c>
      <c r="W167">
        <v>2.6342979999999998E-2</v>
      </c>
      <c r="X167">
        <v>0.99798379999999998</v>
      </c>
      <c r="Y167">
        <v>-2.3777899999999999E-3</v>
      </c>
      <c r="Z167">
        <v>2.4417930000000002E-4</v>
      </c>
      <c r="AA167">
        <v>0.99999709999999997</v>
      </c>
      <c r="AB167">
        <v>4</v>
      </c>
      <c r="AC167">
        <v>61.805399999999999</v>
      </c>
      <c r="AD167">
        <v>-1.1598440000000001</v>
      </c>
      <c r="AE167">
        <v>-0.58409999999997797</v>
      </c>
      <c r="AF167">
        <v>-0.14703966095639801</v>
      </c>
      <c r="AG167">
        <v>-1.1598440000000001</v>
      </c>
      <c r="AH167">
        <v>61.7862279601475</v>
      </c>
      <c r="AI167">
        <v>91.075420462365202</v>
      </c>
      <c r="AJ167">
        <v>90.136352976504199</v>
      </c>
      <c r="AK167">
        <v>61.797288163070299</v>
      </c>
      <c r="AL167">
        <v>88.49048389891</v>
      </c>
      <c r="AM167">
        <v>86.688451381236106</v>
      </c>
      <c r="AN167">
        <v>1.0000000634678301</v>
      </c>
    </row>
    <row r="168" spans="1:40" x14ac:dyDescent="0.25">
      <c r="A168" t="str">
        <f>"20190312160909057"</f>
        <v>20190312160909057</v>
      </c>
      <c r="B168" t="str">
        <f>"1552378149045046"</f>
        <v>1552378149045046</v>
      </c>
      <c r="C168" t="s">
        <v>40</v>
      </c>
      <c r="D168">
        <v>5.4593210000000001</v>
      </c>
      <c r="E168">
        <v>0.47731440000000003</v>
      </c>
      <c r="F168" t="s">
        <v>41</v>
      </c>
      <c r="G168">
        <v>-399.94740000000002</v>
      </c>
      <c r="H168" s="1">
        <v>-8.3904329999999998E-7</v>
      </c>
      <c r="I168">
        <v>366.47770000000003</v>
      </c>
      <c r="J168">
        <v>-468.21370000000002</v>
      </c>
      <c r="K168">
        <v>1.1102099999999999</v>
      </c>
      <c r="L168">
        <v>367.10410000000002</v>
      </c>
      <c r="M168">
        <v>0.99986569999999997</v>
      </c>
      <c r="N168">
        <v>0</v>
      </c>
      <c r="O168">
        <v>-1.1740260000000001E-2</v>
      </c>
      <c r="P168">
        <v>0.99766920000000003</v>
      </c>
      <c r="Q168">
        <v>1.3590130000000001E-2</v>
      </c>
      <c r="R168">
        <v>-6.6869899999999996E-2</v>
      </c>
      <c r="S168">
        <v>3.0064700000000002</v>
      </c>
      <c r="T168">
        <v>-4.8826809999999998E-2</v>
      </c>
      <c r="U168">
        <v>-2.758789E-2</v>
      </c>
      <c r="V168">
        <v>5.5151779999999997E-2</v>
      </c>
      <c r="W168">
        <v>2.5016380000000001E-2</v>
      </c>
      <c r="X168">
        <v>0.99816450000000001</v>
      </c>
      <c r="Y168">
        <v>-2.5634920000000001E-3</v>
      </c>
      <c r="Z168">
        <v>2.1147320000000001E-4</v>
      </c>
      <c r="AA168">
        <v>0.99999669999999896</v>
      </c>
      <c r="AB168">
        <v>4</v>
      </c>
      <c r="AC168">
        <v>68.266300000000001</v>
      </c>
      <c r="AD168">
        <v>-1.1102108390433001</v>
      </c>
      <c r="AE168">
        <v>-0.62639999999998897</v>
      </c>
      <c r="AF168">
        <v>-0.17511337738593999</v>
      </c>
      <c r="AG168">
        <v>-1.1102108390433001</v>
      </c>
      <c r="AH168">
        <v>68.250899402825894</v>
      </c>
      <c r="AI168">
        <v>90.931922906289799</v>
      </c>
      <c r="AJ168">
        <v>90.147005175494499</v>
      </c>
      <c r="AK168">
        <v>68.260153106308906</v>
      </c>
      <c r="AL168">
        <v>88.566517397400304</v>
      </c>
      <c r="AM168">
        <v>86.837440719839506</v>
      </c>
      <c r="AN168">
        <v>0.99999995358285998</v>
      </c>
    </row>
    <row r="169" spans="1:40" x14ac:dyDescent="0.25">
      <c r="A169" t="str">
        <f>"20190312160909082"</f>
        <v>20190312160909082</v>
      </c>
      <c r="B169" t="str">
        <f>"1552378149075301"</f>
        <v>1552378149075301</v>
      </c>
      <c r="C169" t="s">
        <v>40</v>
      </c>
      <c r="D169">
        <v>5.3570129999999896</v>
      </c>
      <c r="E169">
        <v>0.47761789999999998</v>
      </c>
      <c r="F169" t="s">
        <v>43</v>
      </c>
      <c r="G169">
        <v>-402.87090000000001</v>
      </c>
      <c r="H169">
        <v>-0.05</v>
      </c>
      <c r="I169">
        <v>366.68099999999998</v>
      </c>
      <c r="J169">
        <v>-468.17450000000002</v>
      </c>
      <c r="K169">
        <v>1.110789</v>
      </c>
      <c r="L169">
        <v>367.1037</v>
      </c>
      <c r="M169">
        <v>0.9998399</v>
      </c>
      <c r="N169">
        <v>0</v>
      </c>
      <c r="O169">
        <v>-1.17048E-2</v>
      </c>
      <c r="P169">
        <v>0.99773630000000002</v>
      </c>
      <c r="Q169">
        <v>1.0405559999999999E-2</v>
      </c>
      <c r="R169">
        <v>-6.6436980000000007E-2</v>
      </c>
      <c r="S169">
        <v>3.0064700000000002</v>
      </c>
      <c r="T169">
        <v>-5.3382159999999998E-2</v>
      </c>
      <c r="U169">
        <v>-1.9470210000000002E-2</v>
      </c>
      <c r="V169">
        <v>5.4753679999999999E-2</v>
      </c>
      <c r="W169">
        <v>2.3920940000000002E-2</v>
      </c>
      <c r="X169">
        <v>0.99821329999999997</v>
      </c>
      <c r="Y169">
        <v>-5.2274340000000004E-3</v>
      </c>
      <c r="Z169">
        <v>2.5422699999999999E-4</v>
      </c>
      <c r="AA169">
        <v>0.99998629999999999</v>
      </c>
      <c r="AB169">
        <v>4</v>
      </c>
      <c r="AC169">
        <v>65.303600000000003</v>
      </c>
      <c r="AD169">
        <v>-1.1607889999999901</v>
      </c>
      <c r="AE169">
        <v>-0.42270000000002</v>
      </c>
      <c r="AF169">
        <v>-0.34165660848310903</v>
      </c>
      <c r="AG169">
        <v>-1.1607889999999901</v>
      </c>
      <c r="AH169">
        <v>65.283447622036206</v>
      </c>
      <c r="AI169">
        <v>91.018640940191204</v>
      </c>
      <c r="AJ169">
        <v>90.299850937845406</v>
      </c>
      <c r="AK169">
        <v>65.294660530243902</v>
      </c>
      <c r="AL169">
        <v>88.629300332007404</v>
      </c>
      <c r="AM169">
        <v>86.860376249945602</v>
      </c>
      <c r="AN169">
        <v>0.99999998457045702</v>
      </c>
    </row>
    <row r="170" spans="1:40" x14ac:dyDescent="0.25">
      <c r="A170" t="str">
        <f>"20190312160909104"</f>
        <v>20190312160909104</v>
      </c>
      <c r="B170" t="str">
        <f>"1552378149094821"</f>
        <v>1552378149094821</v>
      </c>
      <c r="C170" t="s">
        <v>40</v>
      </c>
      <c r="D170">
        <v>5.3842559999999997</v>
      </c>
      <c r="E170">
        <v>0.47771049999999998</v>
      </c>
      <c r="F170" t="s">
        <v>43</v>
      </c>
      <c r="G170">
        <v>-416.36040000000003</v>
      </c>
      <c r="H170">
        <v>-0.05</v>
      </c>
      <c r="I170">
        <v>366.7466</v>
      </c>
      <c r="J170">
        <v>-468.13619999999997</v>
      </c>
      <c r="K170">
        <v>1.110654</v>
      </c>
      <c r="L170">
        <v>367.10329999999999</v>
      </c>
      <c r="M170">
        <v>0.9998435</v>
      </c>
      <c r="N170">
        <v>0</v>
      </c>
      <c r="O170">
        <v>-1.1647040000000001E-2</v>
      </c>
      <c r="P170">
        <v>0.9977549</v>
      </c>
      <c r="Q170">
        <v>1.007953E-2</v>
      </c>
      <c r="R170">
        <v>-6.6209980000000002E-2</v>
      </c>
      <c r="S170">
        <v>3.0061040000000001</v>
      </c>
      <c r="T170">
        <v>-6.7345619999999995E-2</v>
      </c>
      <c r="U170">
        <v>-2.0721440000000001E-2</v>
      </c>
      <c r="V170">
        <v>5.4583529999999998E-2</v>
      </c>
      <c r="W170">
        <v>2.3371780000000002E-2</v>
      </c>
      <c r="X170">
        <v>0.9982356</v>
      </c>
      <c r="Y170">
        <v>-4.7511910000000001E-3</v>
      </c>
      <c r="Z170">
        <v>3.141215E-4</v>
      </c>
      <c r="AA170">
        <v>0.99998869999999895</v>
      </c>
      <c r="AB170">
        <v>4</v>
      </c>
      <c r="AC170">
        <v>51.775799999999897</v>
      </c>
      <c r="AD170">
        <v>-1.1606540000000001</v>
      </c>
      <c r="AE170">
        <v>-0.35669999999998903</v>
      </c>
      <c r="AF170">
        <v>-0.24628872659791201</v>
      </c>
      <c r="AG170">
        <v>-1.1606540000000001</v>
      </c>
      <c r="AH170">
        <v>51.750438030760797</v>
      </c>
      <c r="AI170">
        <v>91.284794461267595</v>
      </c>
      <c r="AJ170">
        <v>90.272677847290595</v>
      </c>
      <c r="AK170">
        <v>51.764037827628698</v>
      </c>
      <c r="AL170">
        <v>88.660773647274596</v>
      </c>
      <c r="AM170">
        <v>86.870183151951906</v>
      </c>
      <c r="AN170">
        <v>0.99999995747749304</v>
      </c>
    </row>
    <row r="171" spans="1:40" x14ac:dyDescent="0.25">
      <c r="A171" t="str">
        <f>"20190312160909146"</f>
        <v>20190312160909146</v>
      </c>
      <c r="B171" t="str">
        <f>"1552378149134838"</f>
        <v>1552378149134838</v>
      </c>
      <c r="C171" t="s">
        <v>40</v>
      </c>
      <c r="D171">
        <v>5.432105</v>
      </c>
      <c r="E171">
        <v>0.47792010000000001</v>
      </c>
      <c r="F171" t="s">
        <v>43</v>
      </c>
      <c r="G171">
        <v>-417.03530000000001</v>
      </c>
      <c r="H171">
        <v>-0.05</v>
      </c>
      <c r="I171">
        <v>366.75</v>
      </c>
      <c r="J171">
        <v>-468.04880000000003</v>
      </c>
      <c r="K171">
        <v>1.10975</v>
      </c>
      <c r="L171">
        <v>367.10239999999999</v>
      </c>
      <c r="M171">
        <v>0.99988509999999997</v>
      </c>
      <c r="N171">
        <v>0</v>
      </c>
      <c r="O171">
        <v>-1.144388E-2</v>
      </c>
      <c r="P171">
        <v>0.99778440000000002</v>
      </c>
      <c r="Q171">
        <v>1.1512349999999999E-2</v>
      </c>
      <c r="R171">
        <v>-6.5529409999999996E-2</v>
      </c>
      <c r="S171">
        <v>3.0060419999999999</v>
      </c>
      <c r="T171">
        <v>-6.8276290000000003E-2</v>
      </c>
      <c r="U171">
        <v>-2.0782470000000001E-2</v>
      </c>
      <c r="V171">
        <v>5.4104999999999903E-2</v>
      </c>
      <c r="W171">
        <v>2.1444890000000001E-2</v>
      </c>
      <c r="X171">
        <v>0.998305</v>
      </c>
      <c r="Y171">
        <v>-4.5271060000000004E-3</v>
      </c>
      <c r="Z171">
        <v>3.1129930000000001E-4</v>
      </c>
      <c r="AA171">
        <v>0.99998969999999998</v>
      </c>
      <c r="AB171">
        <v>5</v>
      </c>
      <c r="AC171">
        <v>51.013500000000001</v>
      </c>
      <c r="AD171">
        <v>-1.1597500000000001</v>
      </c>
      <c r="AE171">
        <v>-0.352399999999988</v>
      </c>
      <c r="AF171">
        <v>-0.231324746757232</v>
      </c>
      <c r="AG171">
        <v>-1.1597500000000001</v>
      </c>
      <c r="AH171">
        <v>50.987840714262099</v>
      </c>
      <c r="AI171">
        <v>91.302989890025998</v>
      </c>
      <c r="AJ171">
        <v>90.259941204920196</v>
      </c>
      <c r="AK171">
        <v>51.001553230307898</v>
      </c>
      <c r="AL171">
        <v>88.771204180786796</v>
      </c>
      <c r="AM171">
        <v>86.897783452854</v>
      </c>
      <c r="AN171">
        <v>1.00000005367855</v>
      </c>
    </row>
    <row r="172" spans="1:40" x14ac:dyDescent="0.25">
      <c r="A172" t="str">
        <f>"20190312160909170"</f>
        <v>20190312160909170</v>
      </c>
      <c r="B172" t="str">
        <f>"1552378149165093"</f>
        <v>1552378149165093</v>
      </c>
      <c r="C172" t="s">
        <v>40</v>
      </c>
      <c r="D172">
        <v>5.4507269999999997</v>
      </c>
      <c r="E172">
        <v>0.47801490000000002</v>
      </c>
      <c r="F172" t="s">
        <v>43</v>
      </c>
      <c r="G172">
        <v>-413.70139999999998</v>
      </c>
      <c r="H172">
        <v>-0.05</v>
      </c>
      <c r="I172">
        <v>366.73050000000001</v>
      </c>
      <c r="J172">
        <v>-467.99829999999997</v>
      </c>
      <c r="K172">
        <v>1.109623</v>
      </c>
      <c r="L172">
        <v>367.10199999999998</v>
      </c>
      <c r="M172">
        <v>0.9998958</v>
      </c>
      <c r="N172">
        <v>0</v>
      </c>
      <c r="O172">
        <v>-1.131653E-2</v>
      </c>
      <c r="P172">
        <v>0.99779859999999998</v>
      </c>
      <c r="Q172">
        <v>1.2457559999999999E-2</v>
      </c>
      <c r="R172">
        <v>-6.5142469999999994E-2</v>
      </c>
      <c r="S172">
        <v>3.0060120000000001</v>
      </c>
      <c r="T172">
        <v>-6.4146999999999996E-2</v>
      </c>
      <c r="U172">
        <v>-2.056885E-2</v>
      </c>
      <c r="V172">
        <v>5.384473E-2</v>
      </c>
      <c r="W172">
        <v>2.1425340000000001E-2</v>
      </c>
      <c r="X172">
        <v>0.99831939999999997</v>
      </c>
      <c r="Y172">
        <v>-4.4711500000000001E-3</v>
      </c>
      <c r="Z172">
        <v>2.8916320000000001E-4</v>
      </c>
      <c r="AA172">
        <v>0.99999000000000005</v>
      </c>
      <c r="AB172">
        <v>5</v>
      </c>
      <c r="AC172">
        <v>54.296900000000001</v>
      </c>
      <c r="AD172">
        <v>-1.1596229999999901</v>
      </c>
      <c r="AE172">
        <v>-0.37149999999996902</v>
      </c>
      <c r="AF172">
        <v>-0.24289018479313601</v>
      </c>
      <c r="AG172">
        <v>-1.1596229999999901</v>
      </c>
      <c r="AH172">
        <v>54.272873096021598</v>
      </c>
      <c r="AI172">
        <v>91.224013523367503</v>
      </c>
      <c r="AJ172">
        <v>90.256417041707195</v>
      </c>
      <c r="AK172">
        <v>54.285803625265203</v>
      </c>
      <c r="AL172">
        <v>88.772324458409798</v>
      </c>
      <c r="AM172">
        <v>86.912722052429103</v>
      </c>
      <c r="AN172">
        <v>0.99999996227962296</v>
      </c>
    </row>
    <row r="173" spans="1:40" x14ac:dyDescent="0.25">
      <c r="A173" t="str">
        <f>"20190312160909192"</f>
        <v>20190312160909192</v>
      </c>
      <c r="B173" t="str">
        <f>"1552378149184614"</f>
        <v>1552378149184614</v>
      </c>
      <c r="C173" t="s">
        <v>40</v>
      </c>
      <c r="D173">
        <v>5.3381829999999999</v>
      </c>
      <c r="E173">
        <v>0.47813109999999998</v>
      </c>
      <c r="F173" t="s">
        <v>43</v>
      </c>
      <c r="G173">
        <v>-411.10180000000003</v>
      </c>
      <c r="H173">
        <v>-0.05</v>
      </c>
      <c r="I173">
        <v>366.72480000000002</v>
      </c>
      <c r="J173">
        <v>-467.95420000000001</v>
      </c>
      <c r="K173">
        <v>1.109985</v>
      </c>
      <c r="L173">
        <v>367.10160000000002</v>
      </c>
      <c r="M173">
        <v>0.99988849999999996</v>
      </c>
      <c r="N173">
        <v>0</v>
      </c>
      <c r="O173">
        <v>-1.1226989999999999E-2</v>
      </c>
      <c r="P173">
        <v>0.99784550000000005</v>
      </c>
      <c r="Q173">
        <v>1.17495E-2</v>
      </c>
      <c r="R173">
        <v>-6.4548159999999993E-2</v>
      </c>
      <c r="S173">
        <v>3.0060730000000002</v>
      </c>
      <c r="T173">
        <v>-6.126761E-2</v>
      </c>
      <c r="U173">
        <v>-1.9927980000000001E-2</v>
      </c>
      <c r="V173">
        <v>5.3339570000000003E-2</v>
      </c>
      <c r="W173">
        <v>2.1575509999999999E-2</v>
      </c>
      <c r="X173">
        <v>0.99834330000000004</v>
      </c>
      <c r="Y173">
        <v>-4.5953269999999997E-3</v>
      </c>
      <c r="Z173">
        <v>2.7562350000000002E-4</v>
      </c>
      <c r="AA173">
        <v>0.99998940000000003</v>
      </c>
      <c r="AB173">
        <v>5</v>
      </c>
      <c r="AC173">
        <v>56.852399999999903</v>
      </c>
      <c r="AD173">
        <v>-1.159985</v>
      </c>
      <c r="AE173">
        <v>-0.37680000000000202</v>
      </c>
      <c r="AF173">
        <v>-0.26142718918858299</v>
      </c>
      <c r="AG173">
        <v>-1.159985</v>
      </c>
      <c r="AH173">
        <v>56.829390009901303</v>
      </c>
      <c r="AI173">
        <v>91.169330058493699</v>
      </c>
      <c r="AJ173">
        <v>90.263570820132401</v>
      </c>
      <c r="AK173">
        <v>56.841828597195402</v>
      </c>
      <c r="AL173">
        <v>88.763718381539803</v>
      </c>
      <c r="AM173">
        <v>86.941704079799194</v>
      </c>
      <c r="AN173">
        <v>0.999999978507217</v>
      </c>
    </row>
    <row r="174" spans="1:40" x14ac:dyDescent="0.25">
      <c r="A174" t="str">
        <f>"20190312160909214"</f>
        <v>20190312160909214</v>
      </c>
      <c r="B174" t="str">
        <f>"1552378149205109"</f>
        <v>1552378149205109</v>
      </c>
      <c r="C174" t="s">
        <v>40</v>
      </c>
      <c r="D174">
        <v>5.3327869999999997</v>
      </c>
      <c r="E174">
        <v>0.47827740000000002</v>
      </c>
      <c r="F174" t="s">
        <v>43</v>
      </c>
      <c r="G174">
        <v>-412.84859999999998</v>
      </c>
      <c r="H174">
        <v>-0.05</v>
      </c>
      <c r="I174">
        <v>366.7491</v>
      </c>
      <c r="J174">
        <v>-467.91520000000003</v>
      </c>
      <c r="K174">
        <v>1.110501</v>
      </c>
      <c r="L174">
        <v>367.10129999999998</v>
      </c>
      <c r="M174">
        <v>0.99987119999999996</v>
      </c>
      <c r="N174">
        <v>0</v>
      </c>
      <c r="O174">
        <v>-1.116033E-2</v>
      </c>
      <c r="P174">
        <v>0.9978844</v>
      </c>
      <c r="Q174">
        <v>1.0100410000000001E-2</v>
      </c>
      <c r="R174">
        <v>-6.4227569999999998E-2</v>
      </c>
      <c r="S174">
        <v>3.0060120000000001</v>
      </c>
      <c r="T174">
        <v>-6.3277239999999998E-2</v>
      </c>
      <c r="U174">
        <v>-1.9226070000000001E-2</v>
      </c>
      <c r="V174">
        <v>5.3085729999999998E-2</v>
      </c>
      <c r="W174">
        <v>2.1623179999999999E-2</v>
      </c>
      <c r="X174">
        <v>0.99835580000000002</v>
      </c>
      <c r="Y174">
        <v>-4.7619769999999997E-3</v>
      </c>
      <c r="Z174">
        <v>2.850234E-4</v>
      </c>
      <c r="AA174">
        <v>0.99998860000000001</v>
      </c>
      <c r="AB174">
        <v>5</v>
      </c>
      <c r="AC174">
        <v>55.066600000000001</v>
      </c>
      <c r="AD174">
        <v>-1.160501</v>
      </c>
      <c r="AE174">
        <v>-0.35219999999998203</v>
      </c>
      <c r="AF174">
        <v>-0.2623077519682</v>
      </c>
      <c r="AG174">
        <v>-1.160501</v>
      </c>
      <c r="AH174">
        <v>55.042655669917302</v>
      </c>
      <c r="AI174">
        <v>91.207812454288899</v>
      </c>
      <c r="AJ174">
        <v>90.273043027590404</v>
      </c>
      <c r="AK174">
        <v>55.055512994838402</v>
      </c>
      <c r="AL174">
        <v>88.760986456204293</v>
      </c>
      <c r="AM174">
        <v>86.956268942883696</v>
      </c>
      <c r="AN174">
        <v>0.99999998001829205</v>
      </c>
    </row>
    <row r="175" spans="1:40" x14ac:dyDescent="0.25">
      <c r="A175" t="str">
        <f>"20190312160909236"</f>
        <v>20190312160909236</v>
      </c>
      <c r="B175" t="str">
        <f>"1552378149224629"</f>
        <v>1552378149224629</v>
      </c>
      <c r="C175" t="s">
        <v>40</v>
      </c>
      <c r="D175">
        <v>5.3138050000000003</v>
      </c>
      <c r="E175">
        <v>0.47844399999999998</v>
      </c>
      <c r="F175" t="s">
        <v>43</v>
      </c>
      <c r="G175">
        <v>-417.17950000000002</v>
      </c>
      <c r="H175">
        <v>-0.05</v>
      </c>
      <c r="I175">
        <v>366.77530000000002</v>
      </c>
      <c r="J175">
        <v>-467.87610000000001</v>
      </c>
      <c r="K175">
        <v>1.11063</v>
      </c>
      <c r="L175">
        <v>367.101</v>
      </c>
      <c r="M175">
        <v>0.99986470000000005</v>
      </c>
      <c r="N175">
        <v>0</v>
      </c>
      <c r="O175">
        <v>-1.1093209999999999E-2</v>
      </c>
      <c r="P175">
        <v>0.99789450000000002</v>
      </c>
      <c r="Q175">
        <v>9.7025889999999993E-3</v>
      </c>
      <c r="R175">
        <v>-6.4129199999999997E-2</v>
      </c>
      <c r="S175">
        <v>3.0057680000000002</v>
      </c>
      <c r="T175">
        <v>-6.8752289999999994E-2</v>
      </c>
      <c r="U175">
        <v>-1.9317629999999999E-2</v>
      </c>
      <c r="V175">
        <v>5.3054730000000001E-2</v>
      </c>
      <c r="W175">
        <v>2.1833419999999999E-2</v>
      </c>
      <c r="X175">
        <v>0.99835289999999999</v>
      </c>
      <c r="Y175">
        <v>-4.6633500000000001E-3</v>
      </c>
      <c r="Z175">
        <v>3.0704259999999998E-4</v>
      </c>
      <c r="AA175">
        <v>0.99998909999999996</v>
      </c>
      <c r="AB175">
        <v>4</v>
      </c>
      <c r="AC175">
        <v>50.696599999999897</v>
      </c>
      <c r="AD175">
        <v>-1.1606299999999901</v>
      </c>
      <c r="AE175">
        <v>-0.325699999999983</v>
      </c>
      <c r="AF175">
        <v>-0.236625546040694</v>
      </c>
      <c r="AG175">
        <v>-1.1606299999999901</v>
      </c>
      <c r="AH175">
        <v>50.6705371286223</v>
      </c>
      <c r="AI175">
        <v>91.3121402200955</v>
      </c>
      <c r="AJ175">
        <v>90.267562716490602</v>
      </c>
      <c r="AK175">
        <v>50.684380104219798</v>
      </c>
      <c r="AL175">
        <v>88.748937781434407</v>
      </c>
      <c r="AM175">
        <v>86.958034204520203</v>
      </c>
      <c r="AN175">
        <v>1.00000000777133</v>
      </c>
    </row>
    <row r="176" spans="1:40" x14ac:dyDescent="0.25">
      <c r="A176" t="str">
        <f>"20190312160909257"</f>
        <v>20190312160909257</v>
      </c>
      <c r="B176" t="str">
        <f>"1552378149245125"</f>
        <v>1552378149245125</v>
      </c>
      <c r="C176" t="s">
        <v>40</v>
      </c>
      <c r="D176">
        <v>5.3410199999999897</v>
      </c>
      <c r="E176">
        <v>0.47858299999999998</v>
      </c>
      <c r="F176" t="s">
        <v>43</v>
      </c>
      <c r="G176">
        <v>-418.75470000000001</v>
      </c>
      <c r="H176">
        <v>-0.05</v>
      </c>
      <c r="I176">
        <v>366.76830000000001</v>
      </c>
      <c r="J176">
        <v>-467.83120000000002</v>
      </c>
      <c r="K176">
        <v>1.110266</v>
      </c>
      <c r="L176">
        <v>367.10059999999999</v>
      </c>
      <c r="M176">
        <v>0.99987919999999997</v>
      </c>
      <c r="N176">
        <v>0</v>
      </c>
      <c r="O176">
        <v>-1.0997410000000001E-2</v>
      </c>
      <c r="P176">
        <v>0.99788639999999995</v>
      </c>
      <c r="Q176">
        <v>1.075098E-2</v>
      </c>
      <c r="R176">
        <v>-6.408817E-2</v>
      </c>
      <c r="S176">
        <v>3.0057369999999999</v>
      </c>
      <c r="T176">
        <v>-7.1018929999999994E-2</v>
      </c>
      <c r="U176">
        <v>-2.035522E-2</v>
      </c>
      <c r="V176">
        <v>5.3109650000000001E-2</v>
      </c>
      <c r="W176">
        <v>2.173044E-2</v>
      </c>
      <c r="X176">
        <v>0.99835220000000002</v>
      </c>
      <c r="Y176">
        <v>-4.2220130000000002E-3</v>
      </c>
      <c r="Z176">
        <v>3.0968549999999998E-4</v>
      </c>
      <c r="AA176">
        <v>0.99999110000000002</v>
      </c>
      <c r="AB176">
        <v>4</v>
      </c>
      <c r="AC176">
        <v>49.076500000000003</v>
      </c>
      <c r="AD176">
        <v>-1.160266</v>
      </c>
      <c r="AE176">
        <v>-0.332299999999975</v>
      </c>
      <c r="AF176">
        <v>-0.207351156458838</v>
      </c>
      <c r="AG176">
        <v>-1.160266</v>
      </c>
      <c r="AH176">
        <v>49.0497716839768</v>
      </c>
      <c r="AI176">
        <v>91.355059437479596</v>
      </c>
      <c r="AJ176">
        <v>90.242208576422001</v>
      </c>
      <c r="AK176">
        <v>49.063930885560801</v>
      </c>
      <c r="AL176">
        <v>88.754839467753001</v>
      </c>
      <c r="AM176">
        <v>86.954889083088901</v>
      </c>
      <c r="AN176">
        <v>0.99999998109527699</v>
      </c>
    </row>
    <row r="177" spans="1:40" x14ac:dyDescent="0.25">
      <c r="A177" t="str">
        <f>"20190312160909282"</f>
        <v>20190312160909282</v>
      </c>
      <c r="B177" t="str">
        <f>"1552378149275382"</f>
        <v>1552378149275382</v>
      </c>
      <c r="C177" t="s">
        <v>40</v>
      </c>
      <c r="D177">
        <v>5.3314879999999896</v>
      </c>
      <c r="E177">
        <v>0.47885339999999998</v>
      </c>
      <c r="F177" t="s">
        <v>43</v>
      </c>
      <c r="G177">
        <v>-416.9178</v>
      </c>
      <c r="H177">
        <v>-0.05</v>
      </c>
      <c r="I177">
        <v>366.74180000000001</v>
      </c>
      <c r="J177">
        <v>-467.77640000000002</v>
      </c>
      <c r="K177">
        <v>1.1097919999999999</v>
      </c>
      <c r="L177">
        <v>367.1001</v>
      </c>
      <c r="M177">
        <v>0.99989890000000003</v>
      </c>
      <c r="N177">
        <v>0</v>
      </c>
      <c r="O177">
        <v>-1.0861620000000001E-2</v>
      </c>
      <c r="P177">
        <v>0.99783140000000003</v>
      </c>
      <c r="Q177">
        <v>1.310598E-2</v>
      </c>
      <c r="R177">
        <v>-6.4503539999999998E-2</v>
      </c>
      <c r="S177">
        <v>3.0057369999999999</v>
      </c>
      <c r="T177">
        <v>-6.8497899999999903E-2</v>
      </c>
      <c r="U177">
        <v>-2.1179199999999999E-2</v>
      </c>
      <c r="V177">
        <v>5.3660779999999998E-2</v>
      </c>
      <c r="W177">
        <v>2.2263419999999999E-2</v>
      </c>
      <c r="X177">
        <v>0.99831099999999995</v>
      </c>
      <c r="Y177">
        <v>-3.8123340000000001E-3</v>
      </c>
      <c r="Z177">
        <v>2.9092890000000001E-4</v>
      </c>
      <c r="AA177">
        <v>0.99999269999999996</v>
      </c>
      <c r="AB177">
        <v>4</v>
      </c>
      <c r="AC177">
        <v>50.858600000000003</v>
      </c>
      <c r="AD177">
        <v>-1.1597919999999999</v>
      </c>
      <c r="AE177">
        <v>-0.35829999999998502</v>
      </c>
      <c r="AF177">
        <v>-0.19405027879499501</v>
      </c>
      <c r="AG177">
        <v>-1.1597919999999999</v>
      </c>
      <c r="AH177">
        <v>50.833057938053997</v>
      </c>
      <c r="AI177">
        <v>91.307007261692902</v>
      </c>
      <c r="AJ177">
        <v>90.218720030479005</v>
      </c>
      <c r="AK177">
        <v>50.846657238480503</v>
      </c>
      <c r="AL177">
        <v>88.724294590506503</v>
      </c>
      <c r="AM177">
        <v>86.923222996803204</v>
      </c>
      <c r="AN177">
        <v>0.99999999595065203</v>
      </c>
    </row>
    <row r="178" spans="1:40" x14ac:dyDescent="0.25">
      <c r="A178" t="str">
        <f>"20190312160909306"</f>
        <v>20190312160909306</v>
      </c>
      <c r="B178" t="str">
        <f>"1552378149294901"</f>
        <v>1552378149294901</v>
      </c>
      <c r="C178" t="s">
        <v>40</v>
      </c>
      <c r="D178">
        <v>5.3360570000000003</v>
      </c>
      <c r="E178">
        <v>0.4790181</v>
      </c>
      <c r="F178" t="s">
        <v>43</v>
      </c>
      <c r="G178">
        <v>-411.82679999999999</v>
      </c>
      <c r="H178">
        <v>-0.05</v>
      </c>
      <c r="I178">
        <v>366.63310000000001</v>
      </c>
      <c r="J178">
        <v>-467.72059999999999</v>
      </c>
      <c r="K178">
        <v>1.1095790000000001</v>
      </c>
      <c r="L178">
        <v>367.09960000000001</v>
      </c>
      <c r="M178">
        <v>0.99991070000000004</v>
      </c>
      <c r="N178">
        <v>0</v>
      </c>
      <c r="O178">
        <v>-1.071446E-2</v>
      </c>
      <c r="P178">
        <v>0.99780740000000001</v>
      </c>
      <c r="Q178">
        <v>1.43205E-2</v>
      </c>
      <c r="R178">
        <v>-6.4615590000000001E-2</v>
      </c>
      <c r="S178">
        <v>3.0057070000000001</v>
      </c>
      <c r="T178">
        <v>-6.2305930000000002E-2</v>
      </c>
      <c r="U178">
        <v>-2.5085449999999999E-2</v>
      </c>
      <c r="V178">
        <v>5.3919880000000003E-2</v>
      </c>
      <c r="W178">
        <v>2.230203E-2</v>
      </c>
      <c r="X178">
        <v>0.99829619999999997</v>
      </c>
      <c r="Y178">
        <v>-2.3664490000000001E-3</v>
      </c>
      <c r="Z178">
        <v>2.4660030000000002E-4</v>
      </c>
      <c r="AA178">
        <v>0.99999720000000003</v>
      </c>
      <c r="AB178">
        <v>5</v>
      </c>
      <c r="AC178">
        <v>55.893799999999999</v>
      </c>
      <c r="AD178">
        <v>-1.1595789999999999</v>
      </c>
      <c r="AE178">
        <v>-0.46649999999999597</v>
      </c>
      <c r="AF178">
        <v>-0.13236080221537</v>
      </c>
      <c r="AG178">
        <v>-1.1595789999999999</v>
      </c>
      <c r="AH178">
        <v>55.871544362576401</v>
      </c>
      <c r="AI178">
        <v>91.188964081439295</v>
      </c>
      <c r="AJ178">
        <v>90.135734589749106</v>
      </c>
      <c r="AK178">
        <v>55.883732984640098</v>
      </c>
      <c r="AL178">
        <v>88.722081879827599</v>
      </c>
      <c r="AM178">
        <v>86.908349846196302</v>
      </c>
      <c r="AN178">
        <v>1.0000000184678799</v>
      </c>
    </row>
    <row r="179" spans="1:40" x14ac:dyDescent="0.25">
      <c r="A179" t="str">
        <f>"20190312160909329"</f>
        <v>20190312160909329</v>
      </c>
      <c r="B179" t="str">
        <f>"1552378149315398"</f>
        <v>1552378149315398</v>
      </c>
      <c r="C179" t="s">
        <v>40</v>
      </c>
      <c r="D179">
        <v>5.3441559999999999</v>
      </c>
      <c r="E179">
        <v>0.47919489999999998</v>
      </c>
      <c r="F179" t="s">
        <v>43</v>
      </c>
      <c r="G179">
        <v>-408.77249999999998</v>
      </c>
      <c r="H179">
        <v>-0.05</v>
      </c>
      <c r="I179">
        <v>366.58850000000001</v>
      </c>
      <c r="J179">
        <v>-467.67360000000002</v>
      </c>
      <c r="K179">
        <v>1.109936</v>
      </c>
      <c r="L179">
        <v>367.0992</v>
      </c>
      <c r="M179">
        <v>0.99990429999999997</v>
      </c>
      <c r="N179">
        <v>0</v>
      </c>
      <c r="O179">
        <v>-1.0613289999999999E-2</v>
      </c>
      <c r="P179">
        <v>0.99782969999999904</v>
      </c>
      <c r="Q179">
        <v>1.257019E-2</v>
      </c>
      <c r="R179">
        <v>-6.4638299999999996E-2</v>
      </c>
      <c r="S179">
        <v>3.0057680000000002</v>
      </c>
      <c r="T179">
        <v>-5.9126970000000001E-2</v>
      </c>
      <c r="U179">
        <v>-2.606201E-2</v>
      </c>
      <c r="V179">
        <v>5.4043420000000002E-2</v>
      </c>
      <c r="W179">
        <v>2.1432969999999999E-2</v>
      </c>
      <c r="X179">
        <v>0.99830850000000004</v>
      </c>
      <c r="Y179">
        <v>-1.941028E-3</v>
      </c>
      <c r="Z179">
        <v>2.2784359999999999E-4</v>
      </c>
      <c r="AA179">
        <v>0.9999981</v>
      </c>
      <c r="AB179">
        <v>5</v>
      </c>
      <c r="AC179">
        <v>58.9011</v>
      </c>
      <c r="AD179">
        <v>-1.1599360000000001</v>
      </c>
      <c r="AE179">
        <v>-0.51069999999998505</v>
      </c>
      <c r="AF179">
        <v>-0.114443458384101</v>
      </c>
      <c r="AG179">
        <v>-1.1599360000000001</v>
      </c>
      <c r="AH179">
        <v>58.880369901749198</v>
      </c>
      <c r="AI179">
        <v>91.128571655111102</v>
      </c>
      <c r="AJ179">
        <v>90.111363412153096</v>
      </c>
      <c r="AK179">
        <v>58.891905289233698</v>
      </c>
      <c r="AL179">
        <v>88.7718871912233</v>
      </c>
      <c r="AM179">
        <v>86.901318221113698</v>
      </c>
      <c r="AN179">
        <v>0.99999996231028299</v>
      </c>
    </row>
    <row r="180" spans="1:40" x14ac:dyDescent="0.25">
      <c r="A180" t="str">
        <f>"20190312160909372"</f>
        <v>20190312160909372</v>
      </c>
      <c r="B180" t="str">
        <f>"1552378149365173"</f>
        <v>1552378149365173</v>
      </c>
      <c r="C180" t="s">
        <v>40</v>
      </c>
      <c r="D180">
        <v>5.4143970000000001</v>
      </c>
      <c r="E180">
        <v>0.47938500000000001</v>
      </c>
      <c r="F180" t="s">
        <v>43</v>
      </c>
      <c r="G180">
        <v>-414.07240000000002</v>
      </c>
      <c r="H180">
        <v>-0.05</v>
      </c>
      <c r="I180">
        <v>366.60390000000001</v>
      </c>
      <c r="J180">
        <v>-467.58100000000002</v>
      </c>
      <c r="K180">
        <v>1.1101639999999999</v>
      </c>
      <c r="L180">
        <v>367.09840000000003</v>
      </c>
      <c r="M180">
        <v>0.99989890000000003</v>
      </c>
      <c r="N180">
        <v>0</v>
      </c>
      <c r="O180">
        <v>-1.044079E-2</v>
      </c>
      <c r="P180">
        <v>0.99779130000000005</v>
      </c>
      <c r="Q180">
        <v>9.9671069999999994E-3</v>
      </c>
      <c r="R180">
        <v>-6.5678159999999999E-2</v>
      </c>
      <c r="S180">
        <v>3.005585</v>
      </c>
      <c r="T180">
        <v>-6.5041180000000004E-2</v>
      </c>
      <c r="U180">
        <v>-2.7771000000000001E-2</v>
      </c>
      <c r="V180">
        <v>5.5256399999999997E-2</v>
      </c>
      <c r="W180">
        <v>1.9612790000000001E-2</v>
      </c>
      <c r="X180">
        <v>0.99827960000000004</v>
      </c>
      <c r="Y180">
        <v>-1.199203E-3</v>
      </c>
      <c r="Z180">
        <v>2.3888690000000001E-4</v>
      </c>
      <c r="AA180">
        <v>0.99999919999999998</v>
      </c>
      <c r="AB180">
        <v>4</v>
      </c>
      <c r="AC180">
        <v>53.508599999999902</v>
      </c>
      <c r="AD180">
        <v>-1.160164</v>
      </c>
      <c r="AE180">
        <v>-0.49450000000001598</v>
      </c>
      <c r="AF180">
        <v>-6.41948665253219E-2</v>
      </c>
      <c r="AG180">
        <v>-1.160164</v>
      </c>
      <c r="AH180">
        <v>53.4857048107853</v>
      </c>
      <c r="AI180">
        <v>91.242612972420304</v>
      </c>
      <c r="AJ180">
        <v>90.068767779450098</v>
      </c>
      <c r="AK180">
        <v>53.498324465297401</v>
      </c>
      <c r="AL180">
        <v>88.876197904594207</v>
      </c>
      <c r="AM180">
        <v>86.831818309054398</v>
      </c>
      <c r="AN180">
        <v>1.0000000455243501</v>
      </c>
    </row>
    <row r="181" spans="1:40" x14ac:dyDescent="0.25">
      <c r="A181" t="str">
        <f>"20190312160909394"</f>
        <v>20190312160909394</v>
      </c>
      <c r="B181" t="str">
        <f>"1552378149384694"</f>
        <v>1552378149384694</v>
      </c>
      <c r="C181" t="s">
        <v>40</v>
      </c>
      <c r="D181">
        <v>5.3550639999999996</v>
      </c>
      <c r="E181">
        <v>0.47952600000000001</v>
      </c>
      <c r="F181" t="s">
        <v>43</v>
      </c>
      <c r="G181">
        <v>-419.40499999999997</v>
      </c>
      <c r="H181">
        <v>-0.05</v>
      </c>
      <c r="I181">
        <v>366.577</v>
      </c>
      <c r="J181">
        <v>-467.52730000000003</v>
      </c>
      <c r="K181">
        <v>1.10978</v>
      </c>
      <c r="L181">
        <v>367.09809999999999</v>
      </c>
      <c r="M181">
        <v>0.99991289999999999</v>
      </c>
      <c r="N181">
        <v>0</v>
      </c>
      <c r="O181">
        <v>-1.0323560000000001E-2</v>
      </c>
      <c r="P181">
        <v>0.99775020000000003</v>
      </c>
      <c r="Q181">
        <v>1.0582599999999999E-2</v>
      </c>
      <c r="R181">
        <v>-6.6203689999999996E-2</v>
      </c>
      <c r="S181">
        <v>3.0052189999999999</v>
      </c>
      <c r="T181">
        <v>-7.237101E-2</v>
      </c>
      <c r="U181">
        <v>-3.2531740000000003E-2</v>
      </c>
      <c r="V181">
        <v>5.5899200000000003E-2</v>
      </c>
      <c r="W181">
        <v>1.8806130000000001E-2</v>
      </c>
      <c r="X181">
        <v>0.99825929999999996</v>
      </c>
      <c r="Y181">
        <v>5.0341480000000004E-4</v>
      </c>
      <c r="Z181">
        <v>2.425075E-4</v>
      </c>
      <c r="AA181">
        <v>0.99999979999999999</v>
      </c>
      <c r="AB181">
        <v>5</v>
      </c>
      <c r="AC181">
        <v>48.122300000000003</v>
      </c>
      <c r="AD181">
        <v>-1.15978</v>
      </c>
      <c r="AE181">
        <v>-0.52109999999998902</v>
      </c>
      <c r="AF181">
        <v>2.42478985095958E-2</v>
      </c>
      <c r="AG181">
        <v>-1.15978</v>
      </c>
      <c r="AH181">
        <v>48.097181591134202</v>
      </c>
      <c r="AI181">
        <v>91.381320356309899</v>
      </c>
      <c r="AJ181">
        <v>89.971114687326804</v>
      </c>
      <c r="AK181">
        <v>48.111168709765501</v>
      </c>
      <c r="AL181">
        <v>88.922424609265093</v>
      </c>
      <c r="AM181">
        <v>86.794974072771296</v>
      </c>
      <c r="AN181">
        <v>1.00000001056135</v>
      </c>
    </row>
    <row r="182" spans="1:40" x14ac:dyDescent="0.25">
      <c r="A182" t="str">
        <f>"20190312160909438"</f>
        <v>20190312160909438</v>
      </c>
      <c r="B182" t="str">
        <f>"1552378149435446"</f>
        <v>1552378149435446</v>
      </c>
      <c r="C182" t="s">
        <v>40</v>
      </c>
      <c r="D182">
        <v>5.9310070000000001</v>
      </c>
      <c r="E182">
        <v>0.47966959999999997</v>
      </c>
      <c r="F182" t="s">
        <v>43</v>
      </c>
      <c r="G182">
        <v>-418.9239</v>
      </c>
      <c r="H182">
        <v>-0.05</v>
      </c>
      <c r="I182">
        <v>366.52800000000002</v>
      </c>
      <c r="J182">
        <v>-467.41750000000002</v>
      </c>
      <c r="K182">
        <v>1.1096220000000001</v>
      </c>
      <c r="L182">
        <v>367.09719999999999</v>
      </c>
      <c r="M182">
        <v>0.99992479999999995</v>
      </c>
      <c r="N182">
        <v>0</v>
      </c>
      <c r="O182">
        <v>-1.0066429999999999E-2</v>
      </c>
      <c r="P182">
        <v>0.99774450000000003</v>
      </c>
      <c r="Q182">
        <v>1.1458380000000001E-2</v>
      </c>
      <c r="R182">
        <v>-6.6145239999999994E-2</v>
      </c>
      <c r="S182">
        <v>3.0051570000000001</v>
      </c>
      <c r="T182">
        <v>-7.1709389999999998E-2</v>
      </c>
      <c r="U182">
        <v>-3.5247800000000003E-2</v>
      </c>
      <c r="V182">
        <v>5.6097309999999997E-2</v>
      </c>
      <c r="W182">
        <v>1.8460959999999998E-2</v>
      </c>
      <c r="X182">
        <v>0.99825459999999999</v>
      </c>
      <c r="Y182">
        <v>1.6641080000000001E-3</v>
      </c>
      <c r="Z182">
        <v>2.2031209999999999E-4</v>
      </c>
      <c r="AA182">
        <v>0.99999859999999896</v>
      </c>
      <c r="AB182">
        <v>5</v>
      </c>
      <c r="AC182">
        <v>48.493600000000001</v>
      </c>
      <c r="AD182">
        <v>-1.1596219999999999</v>
      </c>
      <c r="AE182">
        <v>-0.56919999999996596</v>
      </c>
      <c r="AF182">
        <v>8.0955467284020505E-2</v>
      </c>
      <c r="AG182">
        <v>-1.1596219999999999</v>
      </c>
      <c r="AH182">
        <v>48.469160651031302</v>
      </c>
      <c r="AI182">
        <v>91.370534999423299</v>
      </c>
      <c r="AJ182">
        <v>89.904301988557293</v>
      </c>
      <c r="AK182">
        <v>48.483098201188099</v>
      </c>
      <c r="AL182">
        <v>88.942204796145802</v>
      </c>
      <c r="AM182">
        <v>86.783623969873105</v>
      </c>
      <c r="AN182">
        <v>0.99999998082725805</v>
      </c>
    </row>
    <row r="183" spans="1:40" x14ac:dyDescent="0.25">
      <c r="A183" t="str">
        <f>"20190312160909460"</f>
        <v>20190312160909460</v>
      </c>
      <c r="B183" t="str">
        <f>"1552378149454966"</f>
        <v>1552378149454966</v>
      </c>
      <c r="C183" t="s">
        <v>40</v>
      </c>
      <c r="D183">
        <v>5.5047180000000004</v>
      </c>
      <c r="E183">
        <v>0.47972350000000002</v>
      </c>
      <c r="F183" t="s">
        <v>43</v>
      </c>
      <c r="G183">
        <v>-417.65440000000001</v>
      </c>
      <c r="H183">
        <v>-0.05</v>
      </c>
      <c r="I183">
        <v>366.49779999999998</v>
      </c>
      <c r="J183">
        <v>-467.36430000000001</v>
      </c>
      <c r="K183">
        <v>1.110161</v>
      </c>
      <c r="L183">
        <v>367.09679999999997</v>
      </c>
      <c r="M183">
        <v>0.99991229999999998</v>
      </c>
      <c r="N183">
        <v>0</v>
      </c>
      <c r="O183">
        <v>-9.9626179999999995E-3</v>
      </c>
      <c r="P183">
        <v>0.99779269999999998</v>
      </c>
      <c r="Q183">
        <v>9.7220729999999995E-3</v>
      </c>
      <c r="R183">
        <v>-6.5694119999999995E-2</v>
      </c>
      <c r="S183">
        <v>3.0052189999999999</v>
      </c>
      <c r="T183">
        <v>-7.0030090000000003E-2</v>
      </c>
      <c r="U183">
        <v>-3.619385E-2</v>
      </c>
      <c r="V183">
        <v>5.574979E-2</v>
      </c>
      <c r="W183">
        <v>1.8440459999999999E-2</v>
      </c>
      <c r="X183">
        <v>0.99827440000000001</v>
      </c>
      <c r="Y183">
        <v>2.0820589999999998E-3</v>
      </c>
      <c r="Z183">
        <v>2.07865E-4</v>
      </c>
      <c r="AA183">
        <v>0.99999780000000005</v>
      </c>
      <c r="AB183">
        <v>6</v>
      </c>
      <c r="AC183">
        <v>49.709899999999998</v>
      </c>
      <c r="AD183">
        <v>-1.160161</v>
      </c>
      <c r="AE183">
        <v>-0.59899999999998899</v>
      </c>
      <c r="AF183">
        <v>0.103654220052112</v>
      </c>
      <c r="AG183">
        <v>-1.160161</v>
      </c>
      <c r="AH183">
        <v>49.686340831535503</v>
      </c>
      <c r="AI183">
        <v>91.337593123234001</v>
      </c>
      <c r="AJ183">
        <v>89.880471360484904</v>
      </c>
      <c r="AK183">
        <v>49.699991780389297</v>
      </c>
      <c r="AL183">
        <v>88.943379509796898</v>
      </c>
      <c r="AM183">
        <v>86.803571078393702</v>
      </c>
      <c r="AN183">
        <v>0.99999993367270501</v>
      </c>
    </row>
    <row r="184" spans="1:40" x14ac:dyDescent="0.25">
      <c r="A184" t="str">
        <f>"20190312160909505"</f>
        <v>20190312160909505</v>
      </c>
      <c r="B184" t="str">
        <f>"1552378149494982"</f>
        <v>1552378149494982</v>
      </c>
      <c r="C184" t="s">
        <v>40</v>
      </c>
      <c r="D184">
        <v>5.3964230000000004</v>
      </c>
      <c r="E184">
        <v>0.47983559999999997</v>
      </c>
      <c r="F184" t="s">
        <v>43</v>
      </c>
      <c r="G184">
        <v>-420.86939999999998</v>
      </c>
      <c r="H184">
        <v>-0.05</v>
      </c>
      <c r="I184">
        <v>366.55180000000001</v>
      </c>
      <c r="J184">
        <v>-467.25990000000002</v>
      </c>
      <c r="K184">
        <v>1.1100730000000001</v>
      </c>
      <c r="L184">
        <v>367.09589999999997</v>
      </c>
      <c r="M184">
        <v>0.99991419999999998</v>
      </c>
      <c r="N184">
        <v>0</v>
      </c>
      <c r="O184">
        <v>-9.7760020000000006E-3</v>
      </c>
      <c r="P184">
        <v>0.9978186</v>
      </c>
      <c r="Q184">
        <v>1.0012170000000001E-2</v>
      </c>
      <c r="R184">
        <v>-6.525127E-2</v>
      </c>
      <c r="S184">
        <v>3.0050659999999998</v>
      </c>
      <c r="T184">
        <v>-7.4983720000000004E-2</v>
      </c>
      <c r="U184">
        <v>-3.5217289999999998E-2</v>
      </c>
      <c r="V184">
        <v>5.5493189999999998E-2</v>
      </c>
      <c r="W184">
        <v>1.871602E-2</v>
      </c>
      <c r="X184">
        <v>0.99828360000000005</v>
      </c>
      <c r="Y184">
        <v>1.944676E-3</v>
      </c>
      <c r="Z184">
        <v>2.1963399999999999E-4</v>
      </c>
      <c r="AA184">
        <v>0.9999981</v>
      </c>
      <c r="AB184">
        <v>5</v>
      </c>
      <c r="AC184">
        <v>46.390500000000003</v>
      </c>
      <c r="AD184">
        <v>-1.1600729999999999</v>
      </c>
      <c r="AE184">
        <v>-0.54409999999995695</v>
      </c>
      <c r="AF184">
        <v>9.0486560554979098E-2</v>
      </c>
      <c r="AG184">
        <v>-1.1600729999999999</v>
      </c>
      <c r="AH184">
        <v>46.364612914705901</v>
      </c>
      <c r="AI184">
        <v>91.433276180081904</v>
      </c>
      <c r="AJ184">
        <v>89.888179990854894</v>
      </c>
      <c r="AK184">
        <v>46.3792118078077</v>
      </c>
      <c r="AL184">
        <v>88.927588391664699</v>
      </c>
      <c r="AM184">
        <v>86.818282271890794</v>
      </c>
      <c r="AN184">
        <v>0.99999996478498698</v>
      </c>
    </row>
    <row r="185" spans="1:40" x14ac:dyDescent="0.25">
      <c r="A185" t="str">
        <f>"20190312160909527"</f>
        <v>20190312160909527</v>
      </c>
      <c r="B185" t="str">
        <f>"1552378149515477"</f>
        <v>1552378149515477</v>
      </c>
      <c r="C185" t="s">
        <v>40</v>
      </c>
      <c r="D185">
        <v>5.4154499999999999</v>
      </c>
      <c r="E185">
        <v>0.47991929999999999</v>
      </c>
      <c r="F185" t="s">
        <v>43</v>
      </c>
      <c r="G185">
        <v>-420.7174</v>
      </c>
      <c r="H185">
        <v>-0.05</v>
      </c>
      <c r="I185">
        <v>366.55950000000001</v>
      </c>
      <c r="J185">
        <v>-467.19929999999999</v>
      </c>
      <c r="K185">
        <v>1.109675</v>
      </c>
      <c r="L185">
        <v>367.09559999999999</v>
      </c>
      <c r="M185">
        <v>0.99992720000000002</v>
      </c>
      <c r="N185">
        <v>0</v>
      </c>
      <c r="O185">
        <v>-9.6437020000000005E-3</v>
      </c>
      <c r="P185">
        <v>0.99783299999999997</v>
      </c>
      <c r="Q185">
        <v>1.133525E-2</v>
      </c>
      <c r="R185">
        <v>-6.4816520000000002E-2</v>
      </c>
      <c r="S185">
        <v>3.0050349999999999</v>
      </c>
      <c r="T185">
        <v>-7.4900629999999996E-2</v>
      </c>
      <c r="U185">
        <v>-3.463745E-2</v>
      </c>
      <c r="V185">
        <v>5.518998E-2</v>
      </c>
      <c r="W185">
        <v>1.8592069999999999E-2</v>
      </c>
      <c r="X185">
        <v>0.99830280000000005</v>
      </c>
      <c r="Y185">
        <v>1.8842640000000001E-3</v>
      </c>
      <c r="Z185">
        <v>2.168463E-4</v>
      </c>
      <c r="AA185">
        <v>0.99999819999999995</v>
      </c>
      <c r="AB185">
        <v>6</v>
      </c>
      <c r="AC185">
        <v>46.481900000000003</v>
      </c>
      <c r="AD185">
        <v>-1.159675</v>
      </c>
      <c r="AE185">
        <v>-0.53609999999997604</v>
      </c>
      <c r="AF185">
        <v>8.7751075530838205E-2</v>
      </c>
      <c r="AG185">
        <v>-1.159675</v>
      </c>
      <c r="AH185">
        <v>46.455995815846798</v>
      </c>
      <c r="AI185">
        <v>91.429967588095906</v>
      </c>
      <c r="AJ185">
        <v>89.891773705250998</v>
      </c>
      <c r="AK185">
        <v>46.470550820910901</v>
      </c>
      <c r="AL185">
        <v>88.934691519575395</v>
      </c>
      <c r="AM185">
        <v>86.835692212118204</v>
      </c>
      <c r="AN185">
        <v>1.00000003972356</v>
      </c>
    </row>
    <row r="186" spans="1:40" x14ac:dyDescent="0.25">
      <c r="A186" t="str">
        <f>"20190312160909549"</f>
        <v>20190312160909549</v>
      </c>
      <c r="B186" t="str">
        <f>"1552378149544758"</f>
        <v>1552378149544758</v>
      </c>
      <c r="C186" t="s">
        <v>40</v>
      </c>
      <c r="D186">
        <v>5.4853389999999997</v>
      </c>
      <c r="E186">
        <v>0.48004340000000001</v>
      </c>
      <c r="F186" t="s">
        <v>43</v>
      </c>
      <c r="G186">
        <v>-418.83170000000001</v>
      </c>
      <c r="H186">
        <v>-0.05</v>
      </c>
      <c r="I186">
        <v>366.54840000000002</v>
      </c>
      <c r="J186">
        <v>-467.13479999999998</v>
      </c>
      <c r="K186">
        <v>1.109421</v>
      </c>
      <c r="L186">
        <v>367.0951</v>
      </c>
      <c r="M186">
        <v>0.99993650000000001</v>
      </c>
      <c r="N186">
        <v>0</v>
      </c>
      <c r="O186">
        <v>-9.4908379999999997E-3</v>
      </c>
      <c r="P186">
        <v>0.99784379999999995</v>
      </c>
      <c r="Q186">
        <v>1.2829719999999999E-2</v>
      </c>
      <c r="R186">
        <v>-6.4368289999999995E-2</v>
      </c>
      <c r="S186">
        <v>3.005188</v>
      </c>
      <c r="T186">
        <v>-7.2053190000000003E-2</v>
      </c>
      <c r="U186">
        <v>-3.3996579999999998E-2</v>
      </c>
      <c r="V186">
        <v>5.4894159999999997E-2</v>
      </c>
      <c r="W186">
        <v>1.8906249999999999E-2</v>
      </c>
      <c r="X186">
        <v>0.99831320000000001</v>
      </c>
      <c r="Y186">
        <v>1.823196E-3</v>
      </c>
      <c r="Z186">
        <v>2.0566059999999999E-4</v>
      </c>
      <c r="AA186">
        <v>0.99999830000000001</v>
      </c>
      <c r="AB186">
        <v>6</v>
      </c>
      <c r="AC186">
        <v>48.303099999999901</v>
      </c>
      <c r="AD186">
        <v>-1.15942099999999</v>
      </c>
      <c r="AE186">
        <v>-0.54669999999998697</v>
      </c>
      <c r="AF186">
        <v>8.81792187220376E-2</v>
      </c>
      <c r="AG186">
        <v>-1.15942099999999</v>
      </c>
      <c r="AH186">
        <v>48.278301359905903</v>
      </c>
      <c r="AI186">
        <v>91.375712295203996</v>
      </c>
      <c r="AJ186">
        <v>89.895350679020396</v>
      </c>
      <c r="AK186">
        <v>48.292301817450699</v>
      </c>
      <c r="AL186">
        <v>88.916687157060906</v>
      </c>
      <c r="AM186">
        <v>86.852651530965204</v>
      </c>
      <c r="AN186">
        <v>1.0000000301926999</v>
      </c>
    </row>
    <row r="187" spans="1:40" x14ac:dyDescent="0.25">
      <c r="A187" t="str">
        <f>"20190312160909593"</f>
        <v>20190312160909593</v>
      </c>
      <c r="B187" t="str">
        <f>"1552378149584774"</f>
        <v>1552378149584774</v>
      </c>
      <c r="C187" t="s">
        <v>40</v>
      </c>
      <c r="D187">
        <v>6.0782679999999996</v>
      </c>
      <c r="E187">
        <v>0.48009869999999999</v>
      </c>
      <c r="F187" t="s">
        <v>43</v>
      </c>
      <c r="G187">
        <v>-416.24979999999999</v>
      </c>
      <c r="H187">
        <v>-0.05</v>
      </c>
      <c r="I187">
        <v>366.52409999999998</v>
      </c>
      <c r="J187">
        <v>-467.01029999999997</v>
      </c>
      <c r="K187">
        <v>1.10938</v>
      </c>
      <c r="L187">
        <v>367.0942</v>
      </c>
      <c r="M187">
        <v>0.99994419999999995</v>
      </c>
      <c r="N187">
        <v>0</v>
      </c>
      <c r="O187">
        <v>-9.1909460000000002E-3</v>
      </c>
      <c r="P187">
        <v>0.99783469999999996</v>
      </c>
      <c r="Q187">
        <v>1.2367410000000001E-2</v>
      </c>
      <c r="R187">
        <v>-6.4599959999999998E-2</v>
      </c>
      <c r="S187">
        <v>3.005188</v>
      </c>
      <c r="T187">
        <v>-6.8473580000000006E-2</v>
      </c>
      <c r="U187">
        <v>-3.3721920000000002E-2</v>
      </c>
      <c r="V187">
        <v>5.5425000000000002E-2</v>
      </c>
      <c r="W187">
        <v>1.757848E-2</v>
      </c>
      <c r="X187">
        <v>0.99830810000000003</v>
      </c>
      <c r="Y187">
        <v>2.0314230000000001E-3</v>
      </c>
      <c r="Z187">
        <v>1.8624169999999999E-4</v>
      </c>
      <c r="AA187">
        <v>0.9999979</v>
      </c>
      <c r="AB187">
        <v>6</v>
      </c>
      <c r="AC187">
        <v>50.760499999999901</v>
      </c>
      <c r="AD187">
        <v>-1.1593799999999901</v>
      </c>
      <c r="AE187">
        <v>-0.57010000000002403</v>
      </c>
      <c r="AF187">
        <v>0.103478602707267</v>
      </c>
      <c r="AG187">
        <v>-1.1593799999999901</v>
      </c>
      <c r="AH187">
        <v>50.737130825352203</v>
      </c>
      <c r="AI187">
        <v>91.309019321132794</v>
      </c>
      <c r="AJ187">
        <v>89.883145166310001</v>
      </c>
      <c r="AK187">
        <v>50.750480925746103</v>
      </c>
      <c r="AL187">
        <v>88.992775406679996</v>
      </c>
      <c r="AM187">
        <v>86.822261775479106</v>
      </c>
      <c r="AN187">
        <v>0.99999999805485995</v>
      </c>
    </row>
    <row r="188" spans="1:40" x14ac:dyDescent="0.25">
      <c r="A188" t="str">
        <f>"20190312160909616"</f>
        <v>20190312160909616</v>
      </c>
      <c r="B188" t="str">
        <f>"1552378149605270"</f>
        <v>1552378149605270</v>
      </c>
      <c r="C188" t="s">
        <v>40</v>
      </c>
      <c r="D188">
        <v>6.0855489999999897</v>
      </c>
      <c r="E188">
        <v>0.51047640000000005</v>
      </c>
      <c r="F188" t="s">
        <v>43</v>
      </c>
      <c r="G188">
        <v>-417.84280000000001</v>
      </c>
      <c r="H188">
        <v>-0.05</v>
      </c>
      <c r="I188">
        <v>366.52839999999998</v>
      </c>
      <c r="J188">
        <v>-466.94729999999998</v>
      </c>
      <c r="K188">
        <v>1.109869</v>
      </c>
      <c r="L188">
        <v>367.09379999999999</v>
      </c>
      <c r="M188">
        <v>0.9999363</v>
      </c>
      <c r="N188">
        <v>0</v>
      </c>
      <c r="O188">
        <v>-9.0638950000000006E-3</v>
      </c>
      <c r="P188">
        <v>0.99784139999999999</v>
      </c>
      <c r="Q188">
        <v>1.0232969999999999E-2</v>
      </c>
      <c r="R188">
        <v>-6.4868960000000003E-2</v>
      </c>
      <c r="S188">
        <v>3.0051570000000001</v>
      </c>
      <c r="T188">
        <v>-7.0862289999999994E-2</v>
      </c>
      <c r="U188">
        <v>-3.4576419999999997E-2</v>
      </c>
      <c r="V188">
        <v>5.5821259999999998E-2</v>
      </c>
      <c r="W188">
        <v>1.695963E-2</v>
      </c>
      <c r="X188">
        <v>0.99829670000000004</v>
      </c>
      <c r="Y188">
        <v>2.4427979999999999E-3</v>
      </c>
      <c r="Z188">
        <v>1.848958E-4</v>
      </c>
      <c r="AA188">
        <v>0.99999700000000002</v>
      </c>
      <c r="AB188">
        <v>7</v>
      </c>
      <c r="AC188">
        <v>49.104499999999902</v>
      </c>
      <c r="AD188">
        <v>-1.159869</v>
      </c>
      <c r="AE188">
        <v>-0.565400000000011</v>
      </c>
      <c r="AF188">
        <v>0.120221607390679</v>
      </c>
      <c r="AG188">
        <v>-1.159869</v>
      </c>
      <c r="AH188">
        <v>49.080228215943599</v>
      </c>
      <c r="AI188">
        <v>91.353763715048103</v>
      </c>
      <c r="AJ188">
        <v>89.859654749299295</v>
      </c>
      <c r="AK188">
        <v>49.094078574316299</v>
      </c>
      <c r="AL188">
        <v>89.028238163083401</v>
      </c>
      <c r="AM188">
        <v>86.799553185159297</v>
      </c>
      <c r="AN188">
        <v>0.99999997167430599</v>
      </c>
    </row>
    <row r="189" spans="1:40" x14ac:dyDescent="0.25">
      <c r="A189" t="str">
        <f>"20190312160909638"</f>
        <v>20190312160909638</v>
      </c>
      <c r="B189" t="str">
        <f>"1552378149624789"</f>
        <v>1552378149624789</v>
      </c>
      <c r="C189" t="s">
        <v>40</v>
      </c>
      <c r="D189">
        <v>5.6923159999999999</v>
      </c>
      <c r="E189">
        <v>0.53279390000000004</v>
      </c>
      <c r="F189" t="s">
        <v>41</v>
      </c>
      <c r="G189">
        <v>-449.08</v>
      </c>
      <c r="H189" s="1">
        <v>-1.448937E-6</v>
      </c>
      <c r="I189">
        <v>365.43920000000003</v>
      </c>
      <c r="J189">
        <v>-466.8888</v>
      </c>
      <c r="K189">
        <v>1.1102989999999999</v>
      </c>
      <c r="L189">
        <v>367.09339999999997</v>
      </c>
      <c r="M189">
        <v>0.9999247</v>
      </c>
      <c r="N189">
        <v>0</v>
      </c>
      <c r="O189">
        <v>-8.9678759999999996E-3</v>
      </c>
      <c r="P189">
        <v>0.99780440000000004</v>
      </c>
      <c r="Q189">
        <v>8.6941150000000005E-3</v>
      </c>
      <c r="R189">
        <v>-6.5654970000000007E-2</v>
      </c>
      <c r="S189">
        <v>2.9903559999999998</v>
      </c>
      <c r="T189">
        <v>-0.18575369999999999</v>
      </c>
      <c r="U189">
        <v>-0.27691650000000001</v>
      </c>
      <c r="V189">
        <v>5.6703950000000003E-2</v>
      </c>
      <c r="W189">
        <v>1.7057849999999999E-2</v>
      </c>
      <c r="X189">
        <v>0.9982453</v>
      </c>
      <c r="Y189">
        <v>8.3133269999999995E-2</v>
      </c>
      <c r="Z189">
        <v>-2.0187429999999999E-3</v>
      </c>
      <c r="AA189">
        <v>0.99653639999999999</v>
      </c>
      <c r="AB189">
        <v>6</v>
      </c>
      <c r="AC189">
        <v>17.808800000000002</v>
      </c>
      <c r="AD189">
        <v>-1.1103004489370001</v>
      </c>
      <c r="AE189">
        <v>-1.6541999999999399</v>
      </c>
      <c r="AF189">
        <v>1.48868378444758</v>
      </c>
      <c r="AG189">
        <v>-1.1103004489370001</v>
      </c>
      <c r="AH189">
        <v>17.754498045599998</v>
      </c>
      <c r="AI189">
        <v>93.5659248173652</v>
      </c>
      <c r="AJ189">
        <v>85.207059853679098</v>
      </c>
      <c r="AK189">
        <v>17.8513626188087</v>
      </c>
      <c r="AL189">
        <v>89.022609778672503</v>
      </c>
      <c r="AM189">
        <v>86.748885856751798</v>
      </c>
      <c r="AN189">
        <v>0.99999999358215697</v>
      </c>
    </row>
    <row r="190" spans="1:40" x14ac:dyDescent="0.25">
      <c r="A190" t="str">
        <f>"20190312160909662"</f>
        <v>20190312160909662</v>
      </c>
      <c r="B190" t="str">
        <f>"1552378149655046"</f>
        <v>1552378149655046</v>
      </c>
      <c r="C190" t="s">
        <v>40</v>
      </c>
      <c r="D190">
        <v>5.6643019999999904</v>
      </c>
      <c r="E190">
        <v>0.53393190000000001</v>
      </c>
      <c r="F190" t="s">
        <v>42</v>
      </c>
      <c r="G190">
        <v>-466.15910000000002</v>
      </c>
      <c r="H190">
        <v>1.0168520000000001</v>
      </c>
      <c r="I190">
        <v>366.98099999999999</v>
      </c>
      <c r="J190">
        <v>-466.82369999999997</v>
      </c>
      <c r="K190">
        <v>1.110204</v>
      </c>
      <c r="L190">
        <v>367.09289999999999</v>
      </c>
      <c r="M190">
        <v>0.99992539999999996</v>
      </c>
      <c r="N190">
        <v>0</v>
      </c>
      <c r="O190">
        <v>-8.8623690000000001E-3</v>
      </c>
      <c r="P190">
        <v>0.99772570000000005</v>
      </c>
      <c r="Q190">
        <v>8.9104790000000007E-3</v>
      </c>
      <c r="R190">
        <v>-6.6813419999999998E-2</v>
      </c>
      <c r="S190">
        <v>2.979889</v>
      </c>
      <c r="T190">
        <v>-0.38213599999999998</v>
      </c>
      <c r="U190">
        <v>-0.45620729999999998</v>
      </c>
      <c r="V190">
        <v>5.7968539999999999E-2</v>
      </c>
      <c r="W190">
        <v>1.729719E-2</v>
      </c>
      <c r="X190">
        <v>0.99816850000000001</v>
      </c>
      <c r="Y190">
        <v>0.14150460000000001</v>
      </c>
      <c r="Z190">
        <v>-7.8592239999999997E-3</v>
      </c>
      <c r="AA190">
        <v>0.98990639999999996</v>
      </c>
      <c r="AB190">
        <v>6</v>
      </c>
      <c r="AC190">
        <v>0.66459999999995001</v>
      </c>
      <c r="AD190">
        <v>-9.3352000000000102E-2</v>
      </c>
      <c r="AE190">
        <v>-0.11189999999999101</v>
      </c>
      <c r="AF190">
        <v>0.104009925086751</v>
      </c>
      <c r="AG190">
        <v>-9.3352000000000102E-2</v>
      </c>
      <c r="AH190">
        <v>0.65303643040780501</v>
      </c>
      <c r="AI190">
        <v>98.0354214409913</v>
      </c>
      <c r="AJ190">
        <v>80.9504400694655</v>
      </c>
      <c r="AK190">
        <v>0.66782425821492897</v>
      </c>
      <c r="AL190">
        <v>89.008894539289997</v>
      </c>
      <c r="AM190">
        <v>86.676286363280695</v>
      </c>
      <c r="AN190">
        <v>0.99999994940193704</v>
      </c>
    </row>
    <row r="191" spans="1:40" x14ac:dyDescent="0.25">
      <c r="A191" t="str">
        <f>"20190312160909686"</f>
        <v>20190312160909686</v>
      </c>
      <c r="B191" t="str">
        <f>"1552378149674566"</f>
        <v>1552378149674566</v>
      </c>
      <c r="C191" t="s">
        <v>40</v>
      </c>
      <c r="D191">
        <v>5.6589980000000004</v>
      </c>
      <c r="E191">
        <v>0.53319910000000004</v>
      </c>
      <c r="F191" t="s">
        <v>42</v>
      </c>
      <c r="G191">
        <v>-466.10489999999999</v>
      </c>
      <c r="H191">
        <v>1.012197</v>
      </c>
      <c r="I191">
        <v>366.97989999999999</v>
      </c>
      <c r="J191">
        <v>-466.75459999999998</v>
      </c>
      <c r="K191">
        <v>1.1097950000000001</v>
      </c>
      <c r="L191">
        <v>367.0924</v>
      </c>
      <c r="M191">
        <v>0.99993639999999995</v>
      </c>
      <c r="N191">
        <v>0</v>
      </c>
      <c r="O191">
        <v>-8.7243449999999997E-3</v>
      </c>
      <c r="P191">
        <v>0.99770840000000005</v>
      </c>
      <c r="Q191">
        <v>1.0009530000000001E-2</v>
      </c>
      <c r="R191">
        <v>-6.6916879999999998E-2</v>
      </c>
      <c r="S191">
        <v>2.9791560000000001</v>
      </c>
      <c r="T191">
        <v>-0.40626010000000001</v>
      </c>
      <c r="U191">
        <v>-0.46820070000000003</v>
      </c>
      <c r="V191">
        <v>5.8209610000000002E-2</v>
      </c>
      <c r="W191">
        <v>1.715272E-2</v>
      </c>
      <c r="X191">
        <v>0.99815699999999996</v>
      </c>
      <c r="Y191">
        <v>0.14539440000000001</v>
      </c>
      <c r="Z191">
        <v>-8.6315650000000008E-3</v>
      </c>
      <c r="AA191">
        <v>0.98933610000000005</v>
      </c>
      <c r="AB191">
        <v>6</v>
      </c>
      <c r="AC191">
        <v>0.64969999999999495</v>
      </c>
      <c r="AD191">
        <v>-9.7598000000000004E-2</v>
      </c>
      <c r="AE191">
        <v>-0.11250000000001099</v>
      </c>
      <c r="AF191">
        <v>0.104537046639022</v>
      </c>
      <c r="AG191">
        <v>-9.7598000000000004E-2</v>
      </c>
      <c r="AH191">
        <v>0.63670706323505699</v>
      </c>
      <c r="AI191">
        <v>98.601379278761002</v>
      </c>
      <c r="AJ191">
        <v>80.6761408599737</v>
      </c>
      <c r="AK191">
        <v>0.65257125901882895</v>
      </c>
      <c r="AL191">
        <v>89.017173324777005</v>
      </c>
      <c r="AM191">
        <v>86.662457067128202</v>
      </c>
      <c r="AN191">
        <v>0.99999998557437497</v>
      </c>
    </row>
    <row r="192" spans="1:40" x14ac:dyDescent="0.25">
      <c r="A192" t="str">
        <f>"20190312160909706"</f>
        <v>20190312160909706</v>
      </c>
      <c r="B192" t="str">
        <f>"1552378149695062"</f>
        <v>1552378149695062</v>
      </c>
      <c r="C192" t="s">
        <v>40</v>
      </c>
      <c r="D192">
        <v>5.7095859999999998</v>
      </c>
      <c r="E192">
        <v>0.53389030000000004</v>
      </c>
      <c r="F192" t="s">
        <v>42</v>
      </c>
      <c r="G192">
        <v>-465.9853</v>
      </c>
      <c r="H192">
        <v>1.0067060000000001</v>
      </c>
      <c r="I192">
        <v>366.97280000000001</v>
      </c>
      <c r="J192">
        <v>-466.68740000000003</v>
      </c>
      <c r="K192">
        <v>1.1095090000000001</v>
      </c>
      <c r="L192">
        <v>367.09199999999998</v>
      </c>
      <c r="M192">
        <v>0.99994490000000003</v>
      </c>
      <c r="N192">
        <v>0</v>
      </c>
      <c r="O192">
        <v>-8.5737709999999905E-3</v>
      </c>
      <c r="P192">
        <v>0.99772450000000001</v>
      </c>
      <c r="Q192">
        <v>1.1690219999999999E-2</v>
      </c>
      <c r="R192">
        <v>-6.6403669999999998E-2</v>
      </c>
      <c r="S192">
        <v>2.979889</v>
      </c>
      <c r="T192">
        <v>-0.39931929999999999</v>
      </c>
      <c r="U192">
        <v>-0.46298220000000001</v>
      </c>
      <c r="V192">
        <v>5.784624E-2</v>
      </c>
      <c r="W192">
        <v>1.7759649999999998E-2</v>
      </c>
      <c r="X192">
        <v>0.99816749999999999</v>
      </c>
      <c r="Y192">
        <v>0.14386840000000001</v>
      </c>
      <c r="Z192">
        <v>-8.4032559999999996E-3</v>
      </c>
      <c r="AA192">
        <v>0.98956109999999997</v>
      </c>
      <c r="AB192">
        <v>7</v>
      </c>
      <c r="AC192">
        <v>0.70210000000002903</v>
      </c>
      <c r="AD192">
        <v>-0.10280300000000001</v>
      </c>
      <c r="AE192">
        <v>-0.119199999999978</v>
      </c>
      <c r="AF192">
        <v>0.110865559240381</v>
      </c>
      <c r="AG192">
        <v>-0.10280300000000001</v>
      </c>
      <c r="AH192">
        <v>0.68874362040785297</v>
      </c>
      <c r="AI192">
        <v>98.383039205580104</v>
      </c>
      <c r="AJ192">
        <v>80.855663383376594</v>
      </c>
      <c r="AK192">
        <v>0.70514353410295105</v>
      </c>
      <c r="AL192">
        <v>88.982393486448402</v>
      </c>
      <c r="AM192">
        <v>86.683279631508398</v>
      </c>
      <c r="AN192">
        <v>0.99999997535325402</v>
      </c>
    </row>
    <row r="193" spans="1:40" x14ac:dyDescent="0.25">
      <c r="A193" t="str">
        <f>"20190312160909729"</f>
        <v>20190312160909729</v>
      </c>
      <c r="B193" t="str">
        <f>"1552378149714583"</f>
        <v>1552378149714583</v>
      </c>
      <c r="C193" t="s">
        <v>40</v>
      </c>
      <c r="D193">
        <v>5.5565350000000002</v>
      </c>
      <c r="E193">
        <v>0.53391180000000005</v>
      </c>
      <c r="F193" t="s">
        <v>42</v>
      </c>
      <c r="G193">
        <v>-465.92180000000002</v>
      </c>
      <c r="H193">
        <v>1.006435</v>
      </c>
      <c r="I193">
        <v>366.97129999999999</v>
      </c>
      <c r="J193">
        <v>-466.61500000000001</v>
      </c>
      <c r="K193">
        <v>1.109335</v>
      </c>
      <c r="L193">
        <v>367.09160000000003</v>
      </c>
      <c r="M193">
        <v>0.99995109999999998</v>
      </c>
      <c r="N193">
        <v>0</v>
      </c>
      <c r="O193">
        <v>-8.40243699999999E-3</v>
      </c>
      <c r="P193">
        <v>0.9977471</v>
      </c>
      <c r="Q193">
        <v>1.2136910000000001E-2</v>
      </c>
      <c r="R193">
        <v>-6.5983150000000004E-2</v>
      </c>
      <c r="S193">
        <v>2.9804080000000002</v>
      </c>
      <c r="T193">
        <v>-0.40158050000000001</v>
      </c>
      <c r="U193">
        <v>-0.46765139999999999</v>
      </c>
      <c r="V193">
        <v>5.7596229999999998E-2</v>
      </c>
      <c r="W193">
        <v>1.7364890000000001E-2</v>
      </c>
      <c r="X193">
        <v>0.99818890000000005</v>
      </c>
      <c r="Y193">
        <v>0.1454966</v>
      </c>
      <c r="Z193">
        <v>-8.5793650000000003E-3</v>
      </c>
      <c r="AA193">
        <v>0.98932149999999996</v>
      </c>
      <c r="AB193">
        <v>7</v>
      </c>
      <c r="AC193">
        <v>0.69319999999999005</v>
      </c>
      <c r="AD193">
        <v>-0.10290000000000001</v>
      </c>
      <c r="AE193">
        <v>-0.120300000000042</v>
      </c>
      <c r="AF193">
        <v>0.112073757361974</v>
      </c>
      <c r="AG193">
        <v>-0.10290000000000001</v>
      </c>
      <c r="AH193">
        <v>0.67964813851043204</v>
      </c>
      <c r="AI193">
        <v>98.496271256748301</v>
      </c>
      <c r="AJ193">
        <v>80.636210828672404</v>
      </c>
      <c r="AK193">
        <v>0.69647004908318</v>
      </c>
      <c r="AL193">
        <v>89.0050150552253</v>
      </c>
      <c r="AM193">
        <v>86.697653261423</v>
      </c>
      <c r="AN193">
        <v>0.99999997259906703</v>
      </c>
    </row>
    <row r="194" spans="1:40" x14ac:dyDescent="0.25">
      <c r="A194" t="str">
        <f>"20190312160909754"</f>
        <v>20190312160909754</v>
      </c>
      <c r="B194" t="str">
        <f>"1552378149744838"</f>
        <v>1552378149744838</v>
      </c>
      <c r="C194" t="s">
        <v>40</v>
      </c>
      <c r="D194">
        <v>5.6737849999999996</v>
      </c>
      <c r="E194">
        <v>0.53343619999999903</v>
      </c>
      <c r="F194" t="s">
        <v>42</v>
      </c>
      <c r="G194">
        <v>-465.85539999999997</v>
      </c>
      <c r="H194">
        <v>1.0082500000000001</v>
      </c>
      <c r="I194">
        <v>366.9726</v>
      </c>
      <c r="J194">
        <v>-466.53219999999999</v>
      </c>
      <c r="K194">
        <v>1.109202</v>
      </c>
      <c r="L194">
        <v>367.09100000000001</v>
      </c>
      <c r="M194">
        <v>0.99995670000000003</v>
      </c>
      <c r="N194">
        <v>0</v>
      </c>
      <c r="O194">
        <v>-8.2046410000000004E-3</v>
      </c>
      <c r="P194">
        <v>0.99774759999999996</v>
      </c>
      <c r="Q194">
        <v>1.2365799999999901E-2</v>
      </c>
      <c r="R194">
        <v>-6.5931470000000006E-2</v>
      </c>
      <c r="S194">
        <v>2.9807739999999998</v>
      </c>
      <c r="T194">
        <v>-0.39680660000000001</v>
      </c>
      <c r="U194">
        <v>-0.46582030000000002</v>
      </c>
      <c r="V194">
        <v>5.7741630000000002E-2</v>
      </c>
      <c r="W194">
        <v>1.674747E-2</v>
      </c>
      <c r="X194">
        <v>0.9981911</v>
      </c>
      <c r="Y194">
        <v>0.14511070000000001</v>
      </c>
      <c r="Z194">
        <v>-8.4782629999999998E-3</v>
      </c>
      <c r="AA194">
        <v>0.98937909999999996</v>
      </c>
      <c r="AB194">
        <v>7</v>
      </c>
      <c r="AC194">
        <v>0.67680000000001395</v>
      </c>
      <c r="AD194">
        <v>-0.100951999999999</v>
      </c>
      <c r="AE194">
        <v>-0.118400000000008</v>
      </c>
      <c r="AF194">
        <v>0.110458456725035</v>
      </c>
      <c r="AG194">
        <v>-0.100951999999999</v>
      </c>
      <c r="AH194">
        <v>0.66342645016820501</v>
      </c>
      <c r="AI194">
        <v>98.536442430264501</v>
      </c>
      <c r="AJ194">
        <v>80.547141286968795</v>
      </c>
      <c r="AK194">
        <v>0.68009339928340895</v>
      </c>
      <c r="AL194">
        <v>89.040395811905896</v>
      </c>
      <c r="AM194">
        <v>86.689342384447301</v>
      </c>
      <c r="AN194">
        <v>1.0000000228528301</v>
      </c>
    </row>
    <row r="195" spans="1:40" x14ac:dyDescent="0.25">
      <c r="A195" t="str">
        <f>"20190312160909776"</f>
        <v>20190312160909776</v>
      </c>
      <c r="B195" t="str">
        <f>"1552378149765334"</f>
        <v>1552378149765334</v>
      </c>
      <c r="C195" t="s">
        <v>40</v>
      </c>
      <c r="D195">
        <v>5.5611490000000003</v>
      </c>
      <c r="E195">
        <v>0.53326739999999995</v>
      </c>
      <c r="F195" t="s">
        <v>42</v>
      </c>
      <c r="G195">
        <v>-465.78640000000001</v>
      </c>
      <c r="H195">
        <v>1.0108509999999999</v>
      </c>
      <c r="I195">
        <v>366.9753</v>
      </c>
      <c r="J195">
        <v>-466.4581</v>
      </c>
      <c r="K195">
        <v>1.1090789999999999</v>
      </c>
      <c r="L195">
        <v>367.09070000000003</v>
      </c>
      <c r="M195">
        <v>0.9999614</v>
      </c>
      <c r="N195">
        <v>0</v>
      </c>
      <c r="O195">
        <v>-8.0309179999999997E-3</v>
      </c>
      <c r="P195">
        <v>0.99772380000000005</v>
      </c>
      <c r="Q195">
        <v>1.3520539999999999E-2</v>
      </c>
      <c r="R195">
        <v>-6.6067070000000006E-2</v>
      </c>
      <c r="S195">
        <v>2.981201</v>
      </c>
      <c r="T195">
        <v>-0.39336359999999998</v>
      </c>
      <c r="U195">
        <v>-0.46130369999999998</v>
      </c>
      <c r="V195">
        <v>5.8050339999999999E-2</v>
      </c>
      <c r="W195">
        <v>1.7099320000000001E-2</v>
      </c>
      <c r="X195">
        <v>0.99816720000000003</v>
      </c>
      <c r="Y195">
        <v>0.14382700000000001</v>
      </c>
      <c r="Z195">
        <v>-8.343952E-3</v>
      </c>
      <c r="AA195">
        <v>0.98956770000000005</v>
      </c>
      <c r="AB195">
        <v>7</v>
      </c>
      <c r="AC195">
        <v>0.67169999999998697</v>
      </c>
      <c r="AD195">
        <v>-9.8228000000000204E-2</v>
      </c>
      <c r="AE195">
        <v>-0.115400000000022</v>
      </c>
      <c r="AF195">
        <v>0.10776337257068699</v>
      </c>
      <c r="AG195">
        <v>-9.8228000000000204E-2</v>
      </c>
      <c r="AH195">
        <v>0.65891780710179704</v>
      </c>
      <c r="AI195">
        <v>98.369327636641003</v>
      </c>
      <c r="AJ195">
        <v>80.711733832226003</v>
      </c>
      <c r="AK195">
        <v>0.67485877112744797</v>
      </c>
      <c r="AL195">
        <v>89.020233376431094</v>
      </c>
      <c r="AM195">
        <v>86.671602448898099</v>
      </c>
      <c r="AN195">
        <v>0.99999999393720895</v>
      </c>
    </row>
    <row r="196" spans="1:40" x14ac:dyDescent="0.25">
      <c r="A196" t="str">
        <f>"20190312160909796"</f>
        <v>20190312160909796</v>
      </c>
      <c r="B196" t="str">
        <f>"1552378149784855"</f>
        <v>1552378149784855</v>
      </c>
      <c r="C196" t="s">
        <v>40</v>
      </c>
      <c r="D196">
        <v>5.7235050000000003</v>
      </c>
      <c r="E196">
        <v>0.53292680000000003</v>
      </c>
      <c r="F196" t="s">
        <v>42</v>
      </c>
      <c r="G196">
        <v>-465.71530000000001</v>
      </c>
      <c r="H196">
        <v>1.012499</v>
      </c>
      <c r="I196">
        <v>366.97570000000002</v>
      </c>
      <c r="J196">
        <v>-466.3852</v>
      </c>
      <c r="K196">
        <v>1.10897</v>
      </c>
      <c r="L196">
        <v>367.09030000000001</v>
      </c>
      <c r="M196">
        <v>0.99996529999999995</v>
      </c>
      <c r="N196">
        <v>0</v>
      </c>
      <c r="O196">
        <v>-7.8666480000000004E-3</v>
      </c>
      <c r="P196">
        <v>0.99772879999999997</v>
      </c>
      <c r="Q196">
        <v>1.39518E-2</v>
      </c>
      <c r="R196">
        <v>-6.5899520000000003E-2</v>
      </c>
      <c r="S196">
        <v>2.981598</v>
      </c>
      <c r="T196">
        <v>-0.3877467</v>
      </c>
      <c r="U196">
        <v>-0.46084589999999998</v>
      </c>
      <c r="V196">
        <v>5.8046849999999997E-2</v>
      </c>
      <c r="W196">
        <v>1.676416E-2</v>
      </c>
      <c r="X196">
        <v>0.99817310000000004</v>
      </c>
      <c r="Y196">
        <v>0.14385239999999999</v>
      </c>
      <c r="Z196">
        <v>-8.2475959999999994E-3</v>
      </c>
      <c r="AA196">
        <v>0.98956480000000002</v>
      </c>
      <c r="AB196">
        <v>8</v>
      </c>
      <c r="AC196">
        <v>0.66989999999998395</v>
      </c>
      <c r="AD196">
        <v>-9.6470999999999904E-2</v>
      </c>
      <c r="AE196">
        <v>-0.114599999999995</v>
      </c>
      <c r="AF196">
        <v>0.107167288358021</v>
      </c>
      <c r="AG196">
        <v>-9.6470999999999904E-2</v>
      </c>
      <c r="AH196">
        <v>0.65753238969564798</v>
      </c>
      <c r="AI196">
        <v>98.239502306026395</v>
      </c>
      <c r="AJ196">
        <v>80.743095615984203</v>
      </c>
      <c r="AK196">
        <v>0.67315698394496404</v>
      </c>
      <c r="AL196">
        <v>89.039439394631202</v>
      </c>
      <c r="AM196">
        <v>86.671821731181595</v>
      </c>
      <c r="AN196">
        <v>1.00000000570951</v>
      </c>
    </row>
    <row r="197" spans="1:40" x14ac:dyDescent="0.25">
      <c r="A197" t="str">
        <f>"20190312160909819"</f>
        <v>20190312160909819</v>
      </c>
      <c r="B197" t="str">
        <f>"1552378149805350"</f>
        <v>1552378149805350</v>
      </c>
      <c r="C197" t="s">
        <v>40</v>
      </c>
      <c r="D197">
        <v>5.6714219999999997</v>
      </c>
      <c r="E197">
        <v>0.53301540000000003</v>
      </c>
      <c r="F197" t="s">
        <v>42</v>
      </c>
      <c r="G197">
        <v>-465.6422</v>
      </c>
      <c r="H197">
        <v>1.013493</v>
      </c>
      <c r="I197">
        <v>366.97570000000002</v>
      </c>
      <c r="J197">
        <v>-466.3014</v>
      </c>
      <c r="K197">
        <v>1.1089059999999999</v>
      </c>
      <c r="L197">
        <v>367.08980000000003</v>
      </c>
      <c r="M197">
        <v>0.99996819999999997</v>
      </c>
      <c r="N197">
        <v>0</v>
      </c>
      <c r="O197">
        <v>-7.6908649999999999E-3</v>
      </c>
      <c r="P197">
        <v>0.99774689999999999</v>
      </c>
      <c r="Q197">
        <v>1.479189E-2</v>
      </c>
      <c r="R197">
        <v>-6.5441890000000003E-2</v>
      </c>
      <c r="S197">
        <v>2.9819339999999999</v>
      </c>
      <c r="T197">
        <v>-0.38355030000000001</v>
      </c>
      <c r="U197">
        <v>-0.45794679999999999</v>
      </c>
      <c r="V197">
        <v>5.7764570000000001E-2</v>
      </c>
      <c r="W197">
        <v>1.694056E-2</v>
      </c>
      <c r="X197">
        <v>0.99818649999999998</v>
      </c>
      <c r="Y197">
        <v>0.14309839999999999</v>
      </c>
      <c r="Z197">
        <v>-8.1331140000000003E-3</v>
      </c>
      <c r="AA197">
        <v>0.98967499999999997</v>
      </c>
      <c r="AB197">
        <v>8</v>
      </c>
      <c r="AC197">
        <v>0.65919999999999801</v>
      </c>
      <c r="AD197">
        <v>-9.5412999999999901E-2</v>
      </c>
      <c r="AE197">
        <v>-0.114100000000007</v>
      </c>
      <c r="AF197">
        <v>0.106853351065601</v>
      </c>
      <c r="AG197">
        <v>-9.5412999999999901E-2</v>
      </c>
      <c r="AH197">
        <v>0.64689980257522595</v>
      </c>
      <c r="AI197">
        <v>98.279615396513293</v>
      </c>
      <c r="AJ197">
        <v>80.620709644632797</v>
      </c>
      <c r="AK197">
        <v>0.66257122920846401</v>
      </c>
      <c r="AL197">
        <v>89.029330986324794</v>
      </c>
      <c r="AM197">
        <v>86.688014801768801</v>
      </c>
      <c r="AN197">
        <v>1.0000000084513201</v>
      </c>
    </row>
    <row r="198" spans="1:40" x14ac:dyDescent="0.25">
      <c r="A198" t="str">
        <f>"20190312160909841"</f>
        <v>20190312160909841</v>
      </c>
      <c r="B198" t="str">
        <f>"1552378149834631"</f>
        <v>1552378149834631</v>
      </c>
      <c r="C198" t="s">
        <v>40</v>
      </c>
      <c r="D198">
        <v>5.7966790000000001</v>
      </c>
      <c r="E198">
        <v>0.53241470000000002</v>
      </c>
      <c r="F198" t="s">
        <v>42</v>
      </c>
      <c r="G198">
        <v>-465.56689999999998</v>
      </c>
      <c r="H198">
        <v>1.0156419999999999</v>
      </c>
      <c r="I198">
        <v>366.97669999999999</v>
      </c>
      <c r="J198">
        <v>-466.21440000000001</v>
      </c>
      <c r="K198">
        <v>1.1089329999999999</v>
      </c>
      <c r="L198">
        <v>367.08940000000001</v>
      </c>
      <c r="M198">
        <v>0.99997009999999997</v>
      </c>
      <c r="N198">
        <v>0</v>
      </c>
      <c r="O198">
        <v>-7.5247559999999996E-3</v>
      </c>
      <c r="P198">
        <v>0.99779810000000002</v>
      </c>
      <c r="Q198">
        <v>1.500805E-2</v>
      </c>
      <c r="R198">
        <v>-6.4604300000000003E-2</v>
      </c>
      <c r="S198">
        <v>2.9823909999999998</v>
      </c>
      <c r="T198">
        <v>-0.37898900000000002</v>
      </c>
      <c r="U198">
        <v>-0.45751950000000002</v>
      </c>
      <c r="V198">
        <v>5.7092749999999998E-2</v>
      </c>
      <c r="W198">
        <v>1.6838539999999999E-2</v>
      </c>
      <c r="X198">
        <v>0.99822690000000003</v>
      </c>
      <c r="Y198">
        <v>0.143125799999999</v>
      </c>
      <c r="Z198">
        <v>-8.0586559999999904E-3</v>
      </c>
      <c r="AA198">
        <v>0.98967169999999904</v>
      </c>
      <c r="AB198">
        <v>8</v>
      </c>
      <c r="AC198">
        <v>0.64750000000003605</v>
      </c>
      <c r="AD198">
        <v>-9.3290999999999999E-2</v>
      </c>
      <c r="AE198">
        <v>-0.11270000000001799</v>
      </c>
      <c r="AF198">
        <v>0.10569494837787501</v>
      </c>
      <c r="AG198">
        <v>-9.3290999999999999E-2</v>
      </c>
      <c r="AH198">
        <v>0.63552496124662905</v>
      </c>
      <c r="AI198">
        <v>98.239425073706499</v>
      </c>
      <c r="AJ198">
        <v>80.557492637866304</v>
      </c>
      <c r="AK198">
        <v>0.65097358560937801</v>
      </c>
      <c r="AL198">
        <v>89.035177157548503</v>
      </c>
      <c r="AM198">
        <v>86.726582159898697</v>
      </c>
      <c r="AN198">
        <v>1.0000000312077499</v>
      </c>
    </row>
    <row r="199" spans="1:40" x14ac:dyDescent="0.25">
      <c r="A199" t="str">
        <f>"20190312160909863"</f>
        <v>20190312160909863</v>
      </c>
      <c r="B199" t="str">
        <f>"1552378149855126"</f>
        <v>1552378149855126</v>
      </c>
      <c r="C199" t="s">
        <v>40</v>
      </c>
      <c r="D199">
        <v>5.8039480000000001</v>
      </c>
      <c r="E199">
        <v>0.5431182</v>
      </c>
      <c r="F199" t="s">
        <v>42</v>
      </c>
      <c r="G199">
        <v>-465.49079999999998</v>
      </c>
      <c r="H199">
        <v>1.016778</v>
      </c>
      <c r="I199">
        <v>366.98</v>
      </c>
      <c r="J199">
        <v>-466.13159999999999</v>
      </c>
      <c r="K199">
        <v>1.109005</v>
      </c>
      <c r="L199">
        <v>367.089</v>
      </c>
      <c r="M199">
        <v>0.99997119999999995</v>
      </c>
      <c r="N199">
        <v>0</v>
      </c>
      <c r="O199">
        <v>-7.3756309999999997E-3</v>
      </c>
      <c r="P199">
        <v>0.99785040000000003</v>
      </c>
      <c r="Q199">
        <v>1.459745E-2</v>
      </c>
      <c r="R199">
        <v>-6.3887970000000002E-2</v>
      </c>
      <c r="S199">
        <v>2.9832459999999998</v>
      </c>
      <c r="T199">
        <v>-0.38010860000000002</v>
      </c>
      <c r="U199">
        <v>-0.44967649999999998</v>
      </c>
      <c r="V199">
        <v>5.652509E-2</v>
      </c>
      <c r="W199">
        <v>1.641898E-2</v>
      </c>
      <c r="X199">
        <v>0.99826619999999999</v>
      </c>
      <c r="Y199">
        <v>0.1406992</v>
      </c>
      <c r="Z199">
        <v>-7.947272E-3</v>
      </c>
      <c r="AA199">
        <v>0.99002049999999997</v>
      </c>
      <c r="AB199">
        <v>8</v>
      </c>
      <c r="AC199">
        <v>0.64080000000001203</v>
      </c>
      <c r="AD199">
        <v>-9.2227000000000003E-2</v>
      </c>
      <c r="AE199">
        <v>-0.10899999999998</v>
      </c>
      <c r="AF199">
        <v>0.102212986883489</v>
      </c>
      <c r="AG199">
        <v>-9.2227000000000003E-2</v>
      </c>
      <c r="AH199">
        <v>0.62892509040465605</v>
      </c>
      <c r="AI199">
        <v>98.235975441637507</v>
      </c>
      <c r="AJ199">
        <v>80.768990118824803</v>
      </c>
      <c r="AK199">
        <v>0.64381680900481997</v>
      </c>
      <c r="AL199">
        <v>89.059219504308999</v>
      </c>
      <c r="AM199">
        <v>86.759186586582899</v>
      </c>
      <c r="AN199">
        <v>1.00000003738309</v>
      </c>
    </row>
    <row r="200" spans="1:40" x14ac:dyDescent="0.25">
      <c r="A200" t="str">
        <f>"20190312160909885"</f>
        <v>20190312160909885</v>
      </c>
      <c r="B200" t="str">
        <f>"1552378149874647"</f>
        <v>1552378149874647</v>
      </c>
      <c r="C200" t="s">
        <v>40</v>
      </c>
      <c r="D200">
        <v>5.6244540000000001</v>
      </c>
      <c r="E200">
        <v>0.54294399999999998</v>
      </c>
      <c r="F200" t="s">
        <v>42</v>
      </c>
      <c r="G200">
        <v>-465.4477</v>
      </c>
      <c r="H200">
        <v>0.94522050000000002</v>
      </c>
      <c r="I200">
        <v>366.96690000000001</v>
      </c>
      <c r="J200">
        <v>-466.04700000000003</v>
      </c>
      <c r="K200">
        <v>1.1090930000000001</v>
      </c>
      <c r="L200">
        <v>367.08859999999999</v>
      </c>
      <c r="M200">
        <v>0.99997219999999998</v>
      </c>
      <c r="N200">
        <v>0</v>
      </c>
      <c r="O200">
        <v>-7.2217219999999999E-3</v>
      </c>
      <c r="P200">
        <v>0.99792860000000005</v>
      </c>
      <c r="Q200">
        <v>1.4180760000000001E-2</v>
      </c>
      <c r="R200">
        <v>-6.2753970000000006E-2</v>
      </c>
      <c r="S200">
        <v>2.98291</v>
      </c>
      <c r="T200">
        <v>-0.71455630000000003</v>
      </c>
      <c r="U200">
        <v>-0.53146359999999904</v>
      </c>
      <c r="V200">
        <v>5.5544370000000003E-2</v>
      </c>
      <c r="W200">
        <v>1.6110030000000001E-2</v>
      </c>
      <c r="X200">
        <v>0.99832619999999905</v>
      </c>
      <c r="Y200">
        <v>0.16399349999999999</v>
      </c>
      <c r="Z200">
        <v>-1.7530359999999998E-2</v>
      </c>
      <c r="AA200">
        <v>0.98630569999999895</v>
      </c>
      <c r="AB200">
        <v>8</v>
      </c>
      <c r="AC200">
        <v>0.59929999999997097</v>
      </c>
      <c r="AD200">
        <v>-0.1638725</v>
      </c>
      <c r="AE200">
        <v>-0.12169999999997499</v>
      </c>
      <c r="AF200">
        <v>0.10950545580542299</v>
      </c>
      <c r="AG200">
        <v>-0.1638725</v>
      </c>
      <c r="AH200">
        <v>0.55995399190397199</v>
      </c>
      <c r="AI200">
        <v>106.024748821222</v>
      </c>
      <c r="AJ200">
        <v>78.934799897220998</v>
      </c>
      <c r="AK200">
        <v>0.59362792568796596</v>
      </c>
      <c r="AL200">
        <v>89.076923301329799</v>
      </c>
      <c r="AM200">
        <v>86.815489503080599</v>
      </c>
      <c r="AN200">
        <v>0.99999995585586698</v>
      </c>
    </row>
    <row r="201" spans="1:40" x14ac:dyDescent="0.25">
      <c r="A201" t="str">
        <f>"20190312160909906"</f>
        <v>20190312160909906</v>
      </c>
      <c r="B201" t="str">
        <f>"1552378149895141"</f>
        <v>1552378149895141</v>
      </c>
      <c r="C201" t="s">
        <v>40</v>
      </c>
      <c r="D201">
        <v>5.5120079999999998</v>
      </c>
      <c r="E201">
        <v>0.52826059999999997</v>
      </c>
      <c r="F201" t="s">
        <v>42</v>
      </c>
      <c r="G201">
        <v>-465.29750000000001</v>
      </c>
      <c r="H201">
        <v>0.92985150000000005</v>
      </c>
      <c r="I201">
        <v>366.95589999999999</v>
      </c>
      <c r="J201">
        <v>-465.96269999999998</v>
      </c>
      <c r="K201">
        <v>1.1091549999999999</v>
      </c>
      <c r="L201">
        <v>367.08819999999997</v>
      </c>
      <c r="M201">
        <v>0.99997320000000001</v>
      </c>
      <c r="N201">
        <v>0</v>
      </c>
      <c r="O201">
        <v>-7.0594660000000004E-3</v>
      </c>
      <c r="P201">
        <v>0.99794439999999995</v>
      </c>
      <c r="Q201">
        <v>1.462252E-2</v>
      </c>
      <c r="R201">
        <v>-6.2397359999999999E-2</v>
      </c>
      <c r="S201">
        <v>2.9832459999999998</v>
      </c>
      <c r="T201">
        <v>-0.71354589999999996</v>
      </c>
      <c r="U201">
        <v>-0.52688599999999997</v>
      </c>
      <c r="V201">
        <v>5.5349790000000003E-2</v>
      </c>
      <c r="W201">
        <v>1.665546E-2</v>
      </c>
      <c r="X201">
        <v>0.99832810000000005</v>
      </c>
      <c r="Y201">
        <v>0.16270899999999999</v>
      </c>
      <c r="Z201">
        <v>-1.7394199999999999E-2</v>
      </c>
      <c r="AA201">
        <v>0.98652079999999998</v>
      </c>
      <c r="AB201">
        <v>9</v>
      </c>
      <c r="AC201">
        <v>0.66519999999997004</v>
      </c>
      <c r="AD201">
        <v>-0.17930349999999901</v>
      </c>
      <c r="AE201">
        <v>-0.13229999999998601</v>
      </c>
      <c r="AF201">
        <v>0.11926510711222101</v>
      </c>
      <c r="AG201">
        <v>-0.17930349999999901</v>
      </c>
      <c r="AH201">
        <v>0.62260268803019403</v>
      </c>
      <c r="AI201">
        <v>105.793421854077</v>
      </c>
      <c r="AJ201">
        <v>79.155849402586099</v>
      </c>
      <c r="AK201">
        <v>0.65879284910293601</v>
      </c>
      <c r="AL201">
        <v>89.045668309507306</v>
      </c>
      <c r="AM201">
        <v>86.8266284930193</v>
      </c>
      <c r="AN201">
        <v>0.99999999942523199</v>
      </c>
    </row>
    <row r="202" spans="1:40" x14ac:dyDescent="0.25">
      <c r="A202" t="str">
        <f>"20190312160909929"</f>
        <v>20190312160909929</v>
      </c>
      <c r="B202" t="str">
        <f>"1552378149925398"</f>
        <v>1552378149925398</v>
      </c>
      <c r="C202" t="s">
        <v>40</v>
      </c>
      <c r="D202">
        <v>5.4663529999999998</v>
      </c>
      <c r="E202">
        <v>0.52844449999999998</v>
      </c>
      <c r="F202" t="s">
        <v>42</v>
      </c>
      <c r="G202">
        <v>-465.18520000000001</v>
      </c>
      <c r="H202">
        <v>0.99918899999999999</v>
      </c>
      <c r="I202">
        <v>366.98099999999999</v>
      </c>
      <c r="J202">
        <v>-465.87079999999997</v>
      </c>
      <c r="K202">
        <v>1.1092</v>
      </c>
      <c r="L202">
        <v>367.08780000000002</v>
      </c>
      <c r="M202">
        <v>0.99997409999999998</v>
      </c>
      <c r="N202">
        <v>0</v>
      </c>
      <c r="O202">
        <v>-6.87442E-3</v>
      </c>
      <c r="P202">
        <v>0.99796470000000004</v>
      </c>
      <c r="Q202">
        <v>1.4822149999999999E-2</v>
      </c>
      <c r="R202">
        <v>-6.2021640000000003E-2</v>
      </c>
      <c r="S202">
        <v>2.9867249999999999</v>
      </c>
      <c r="T202">
        <v>-0.42278539999999998</v>
      </c>
      <c r="U202">
        <v>-0.41018680000000002</v>
      </c>
      <c r="V202">
        <v>5.5158800000000001E-2</v>
      </c>
      <c r="W202">
        <v>1.6939610000000001E-2</v>
      </c>
      <c r="X202">
        <v>0.9983339</v>
      </c>
      <c r="Y202">
        <v>0.12806020000000001</v>
      </c>
      <c r="Z202">
        <v>-8.0135980000000002E-3</v>
      </c>
      <c r="AA202">
        <v>0.991734</v>
      </c>
      <c r="AB202">
        <v>9</v>
      </c>
      <c r="AC202">
        <v>0.68559999999996502</v>
      </c>
      <c r="AD202">
        <v>-0.110010999999999</v>
      </c>
      <c r="AE202">
        <v>-0.106800000000021</v>
      </c>
      <c r="AF202">
        <v>9.9581166539799801E-2</v>
      </c>
      <c r="AG202">
        <v>-0.110010999999999</v>
      </c>
      <c r="AH202">
        <v>0.66948887934891099</v>
      </c>
      <c r="AI202">
        <v>99.231714914487696</v>
      </c>
      <c r="AJ202">
        <v>81.539735061772205</v>
      </c>
      <c r="AK202">
        <v>0.68573623823033303</v>
      </c>
      <c r="AL202">
        <v>89.029385426383996</v>
      </c>
      <c r="AM202">
        <v>86.837574600783498</v>
      </c>
      <c r="AN202">
        <v>1.0000000097468</v>
      </c>
    </row>
    <row r="203" spans="1:40" x14ac:dyDescent="0.25">
      <c r="A203" t="str">
        <f>"20190312160909951"</f>
        <v>20190312160909951</v>
      </c>
      <c r="B203" t="str">
        <f>"1552378149944918"</f>
        <v>1552378149944918</v>
      </c>
      <c r="C203" t="s">
        <v>40</v>
      </c>
      <c r="D203">
        <v>5.6029019999999896</v>
      </c>
      <c r="E203">
        <v>0.52856800000000004</v>
      </c>
      <c r="F203" t="s">
        <v>42</v>
      </c>
      <c r="G203">
        <v>-465.10180000000003</v>
      </c>
      <c r="H203">
        <v>1.002683</v>
      </c>
      <c r="I203">
        <v>366.98169999999999</v>
      </c>
      <c r="J203">
        <v>-465.77749999999997</v>
      </c>
      <c r="K203">
        <v>1.109226</v>
      </c>
      <c r="L203">
        <v>367.0874</v>
      </c>
      <c r="M203">
        <v>0.99997530000000001</v>
      </c>
      <c r="N203">
        <v>0</v>
      </c>
      <c r="O203">
        <v>-6.6814860000000004E-3</v>
      </c>
      <c r="P203">
        <v>0.99796969999999996</v>
      </c>
      <c r="Q203">
        <v>1.503116E-2</v>
      </c>
      <c r="R203">
        <v>-6.1891080000000001E-2</v>
      </c>
      <c r="S203">
        <v>2.9866640000000002</v>
      </c>
      <c r="T203">
        <v>-0.41370509999999999</v>
      </c>
      <c r="U203">
        <v>-0.4111938</v>
      </c>
      <c r="V203">
        <v>5.5220600000000002E-2</v>
      </c>
      <c r="W203">
        <v>1.7218999999999901E-2</v>
      </c>
      <c r="X203">
        <v>0.99832569999999998</v>
      </c>
      <c r="Y203">
        <v>0.1286255</v>
      </c>
      <c r="Z203">
        <v>-7.9083399999999998E-3</v>
      </c>
      <c r="AA203">
        <v>0.99166169999999998</v>
      </c>
      <c r="AB203">
        <v>9</v>
      </c>
      <c r="AC203">
        <v>0.67569999999994901</v>
      </c>
      <c r="AD203">
        <v>-0.106543</v>
      </c>
      <c r="AE203">
        <v>-0.10570000000001301</v>
      </c>
      <c r="AF203">
        <v>9.8785574125296996E-2</v>
      </c>
      <c r="AG203">
        <v>-0.106543</v>
      </c>
      <c r="AH203">
        <v>0.66036509544487898</v>
      </c>
      <c r="AI203">
        <v>99.065921456694795</v>
      </c>
      <c r="AJ203">
        <v>81.492077771182096</v>
      </c>
      <c r="AK203">
        <v>0.67615978864924298</v>
      </c>
      <c r="AL203">
        <v>89.013375219626596</v>
      </c>
      <c r="AM203">
        <v>86.834012667022094</v>
      </c>
      <c r="AN203">
        <v>1.0000000059529199</v>
      </c>
    </row>
    <row r="204" spans="1:40" x14ac:dyDescent="0.25">
      <c r="A204" t="str">
        <f>"20190312160909971"</f>
        <v>20190312160909971</v>
      </c>
      <c r="B204" t="str">
        <f>"1552378149964570"</f>
        <v>1552378149964570</v>
      </c>
      <c r="C204" t="s">
        <v>40</v>
      </c>
      <c r="D204">
        <v>5.693136</v>
      </c>
      <c r="E204">
        <v>0.529111</v>
      </c>
      <c r="F204" t="s">
        <v>42</v>
      </c>
      <c r="G204">
        <v>-465.01799999999997</v>
      </c>
      <c r="H204">
        <v>1.0041610000000001</v>
      </c>
      <c r="I204">
        <v>366.98200000000003</v>
      </c>
      <c r="J204">
        <v>-465.69510000000002</v>
      </c>
      <c r="K204">
        <v>1.1092409999999999</v>
      </c>
      <c r="L204">
        <v>367.08690000000001</v>
      </c>
      <c r="M204">
        <v>0.99997630000000004</v>
      </c>
      <c r="N204">
        <v>0</v>
      </c>
      <c r="O204">
        <v>-6.5098680000000003E-3</v>
      </c>
      <c r="P204">
        <v>0.9979808</v>
      </c>
      <c r="Q204">
        <v>1.492509E-2</v>
      </c>
      <c r="R204">
        <v>-6.1739420000000003E-2</v>
      </c>
      <c r="S204">
        <v>2.986755</v>
      </c>
      <c r="T204">
        <v>-0.41349599999999997</v>
      </c>
      <c r="U204">
        <v>-0.4118347</v>
      </c>
      <c r="V204">
        <v>5.5240070000000002E-2</v>
      </c>
      <c r="W204">
        <v>1.716465E-2</v>
      </c>
      <c r="X204">
        <v>0.99832549999999998</v>
      </c>
      <c r="Y204">
        <v>0.12899649999999999</v>
      </c>
      <c r="Z204">
        <v>-7.9530050000000008E-3</v>
      </c>
      <c r="AA204">
        <v>0.99161310000000003</v>
      </c>
      <c r="AB204">
        <v>9</v>
      </c>
      <c r="AC204">
        <v>0.67709999999999504</v>
      </c>
      <c r="AD204">
        <v>-0.10507999999999899</v>
      </c>
      <c r="AE204">
        <v>-0.104900000000043</v>
      </c>
      <c r="AF204">
        <v>9.8180742464820295E-2</v>
      </c>
      <c r="AG204">
        <v>-0.10507999999999899</v>
      </c>
      <c r="AH204">
        <v>0.66219386780110101</v>
      </c>
      <c r="AI204">
        <v>98.920853094410106</v>
      </c>
      <c r="AJ204">
        <v>81.566431615254501</v>
      </c>
      <c r="AK204">
        <v>0.67762967994644796</v>
      </c>
      <c r="AL204">
        <v>89.016489647772104</v>
      </c>
      <c r="AM204">
        <v>86.832898023681196</v>
      </c>
      <c r="AN204">
        <v>0.99999994724673702</v>
      </c>
    </row>
    <row r="205" spans="1:40" x14ac:dyDescent="0.25">
      <c r="A205" t="str">
        <f>"20190312160909995"</f>
        <v>20190312160909995</v>
      </c>
      <c r="B205" t="str">
        <f>"1552378149985066"</f>
        <v>1552378149985066</v>
      </c>
      <c r="C205" t="s">
        <v>40</v>
      </c>
      <c r="D205">
        <v>5.4114570000000004</v>
      </c>
      <c r="E205">
        <v>0.52924720000000003</v>
      </c>
      <c r="F205" t="s">
        <v>42</v>
      </c>
      <c r="G205">
        <v>-464.93380000000002</v>
      </c>
      <c r="H205">
        <v>1.0034879999999999</v>
      </c>
      <c r="I205">
        <v>366.98090000000002</v>
      </c>
      <c r="J205">
        <v>-465.59120000000001</v>
      </c>
      <c r="K205">
        <v>1.109245</v>
      </c>
      <c r="L205">
        <v>367.0865</v>
      </c>
      <c r="M205">
        <v>0.99997760000000002</v>
      </c>
      <c r="N205">
        <v>0</v>
      </c>
      <c r="O205">
        <v>-6.2924570000000004E-3</v>
      </c>
      <c r="P205">
        <v>0.99799590000000005</v>
      </c>
      <c r="Q205">
        <v>1.491114E-2</v>
      </c>
      <c r="R205">
        <v>-6.1498789999999998E-2</v>
      </c>
      <c r="S205">
        <v>2.9865719999999998</v>
      </c>
      <c r="T205">
        <v>-0.41493960000000002</v>
      </c>
      <c r="U205">
        <v>-0.41528320000000002</v>
      </c>
      <c r="V205">
        <v>5.5216069999999999E-2</v>
      </c>
      <c r="W205">
        <v>1.7191339999999999E-2</v>
      </c>
      <c r="X205">
        <v>0.99832639999999995</v>
      </c>
      <c r="Y205">
        <v>0.1303212</v>
      </c>
      <c r="Z205">
        <v>-8.1014329999999999E-3</v>
      </c>
      <c r="AA205">
        <v>0.99143870000000001</v>
      </c>
      <c r="AB205">
        <v>9</v>
      </c>
      <c r="AC205">
        <v>0.65739999999999499</v>
      </c>
      <c r="AD205">
        <v>-0.105757</v>
      </c>
      <c r="AE205">
        <v>-0.105599999999981</v>
      </c>
      <c r="AF205">
        <v>9.8964491581618394E-2</v>
      </c>
      <c r="AG205">
        <v>-0.105757</v>
      </c>
      <c r="AH205">
        <v>0.64185821966700596</v>
      </c>
      <c r="AI205">
        <v>99.249013738992502</v>
      </c>
      <c r="AJ205">
        <v>81.234909586584493</v>
      </c>
      <c r="AK205">
        <v>0.657997331147404</v>
      </c>
      <c r="AL205">
        <v>89.014960228693894</v>
      </c>
      <c r="AM205">
        <v>86.834274074459401</v>
      </c>
      <c r="AN205">
        <v>0.9999999787471</v>
      </c>
    </row>
    <row r="206" spans="1:40" x14ac:dyDescent="0.25">
      <c r="A206" t="str">
        <f>"20190312160910017"</f>
        <v>20190312160910017</v>
      </c>
      <c r="B206" t="str">
        <f>"1552378150005563"</f>
        <v>1552378150005563</v>
      </c>
      <c r="C206" t="s">
        <v>40</v>
      </c>
      <c r="D206">
        <v>5.4792209999999999</v>
      </c>
      <c r="E206">
        <v>0.52934630000000005</v>
      </c>
      <c r="F206" t="s">
        <v>42</v>
      </c>
      <c r="G206">
        <v>-464.84690000000001</v>
      </c>
      <c r="H206">
        <v>1.005477</v>
      </c>
      <c r="I206">
        <v>366.98259999999999</v>
      </c>
      <c r="J206">
        <v>-465.4991</v>
      </c>
      <c r="K206">
        <v>1.1092409999999999</v>
      </c>
      <c r="L206">
        <v>367.08609999999999</v>
      </c>
      <c r="M206">
        <v>0.99997879999999995</v>
      </c>
      <c r="N206">
        <v>0</v>
      </c>
      <c r="O206">
        <v>-6.0994550000000002E-3</v>
      </c>
      <c r="P206">
        <v>0.99797760000000002</v>
      </c>
      <c r="Q206">
        <v>1.509771E-2</v>
      </c>
      <c r="R206">
        <v>-6.1747490000000002E-2</v>
      </c>
      <c r="S206">
        <v>2.9866329999999999</v>
      </c>
      <c r="T206">
        <v>-0.41662450000000001</v>
      </c>
      <c r="U206">
        <v>-0.41516110000000001</v>
      </c>
      <c r="V206">
        <v>5.5657419999999999E-2</v>
      </c>
      <c r="W206">
        <v>1.73892E-2</v>
      </c>
      <c r="X206">
        <v>0.99829849999999998</v>
      </c>
      <c r="Y206">
        <v>0.1304575</v>
      </c>
      <c r="Z206">
        <v>-8.1699570000000003E-3</v>
      </c>
      <c r="AA206">
        <v>0.99142030000000003</v>
      </c>
      <c r="AB206">
        <v>9</v>
      </c>
      <c r="AC206">
        <v>0.65219999999999301</v>
      </c>
      <c r="AD206">
        <v>-0.103763999999999</v>
      </c>
      <c r="AE206">
        <v>-0.103499999999996</v>
      </c>
      <c r="AF206">
        <v>9.7122007482156297E-2</v>
      </c>
      <c r="AG206">
        <v>-0.103763999999999</v>
      </c>
      <c r="AH206">
        <v>0.63708910527821005</v>
      </c>
      <c r="AI206">
        <v>99.146794479991001</v>
      </c>
      <c r="AJ206">
        <v>81.332193946003997</v>
      </c>
      <c r="AK206">
        <v>0.65274970708346802</v>
      </c>
      <c r="AL206">
        <v>89.003622025589706</v>
      </c>
      <c r="AM206">
        <v>86.808933060501602</v>
      </c>
      <c r="AN206">
        <v>1.0000000138899701</v>
      </c>
    </row>
    <row r="207" spans="1:40" x14ac:dyDescent="0.25">
      <c r="A207" t="str">
        <f>"20190312160910038"</f>
        <v>20190312160910038</v>
      </c>
      <c r="B207" t="str">
        <f>"1552378150034842"</f>
        <v>1552378150034842</v>
      </c>
      <c r="C207" t="s">
        <v>40</v>
      </c>
      <c r="D207">
        <v>5.372217</v>
      </c>
      <c r="E207">
        <v>0.54103590000000001</v>
      </c>
      <c r="F207" t="s">
        <v>42</v>
      </c>
      <c r="G207">
        <v>-464.75970000000001</v>
      </c>
      <c r="H207">
        <v>1.0051110000000001</v>
      </c>
      <c r="I207">
        <v>366.98250000000002</v>
      </c>
      <c r="J207">
        <v>-465.40170000000001</v>
      </c>
      <c r="K207">
        <v>1.109229</v>
      </c>
      <c r="L207">
        <v>367.08580000000001</v>
      </c>
      <c r="M207">
        <v>0.99997999999999998</v>
      </c>
      <c r="N207">
        <v>0</v>
      </c>
      <c r="O207">
        <v>-5.896302E-3</v>
      </c>
      <c r="P207">
        <v>0.99794680000000002</v>
      </c>
      <c r="Q207">
        <v>1.5040349999999999E-2</v>
      </c>
      <c r="R207">
        <v>-6.225874E-2</v>
      </c>
      <c r="S207">
        <v>2.9866640000000002</v>
      </c>
      <c r="T207">
        <v>-0.4208655</v>
      </c>
      <c r="U207">
        <v>-0.41671750000000002</v>
      </c>
      <c r="V207">
        <v>5.6371379999999999E-2</v>
      </c>
      <c r="W207">
        <v>1.7323890000000002E-2</v>
      </c>
      <c r="X207">
        <v>0.99825949999999997</v>
      </c>
      <c r="Y207">
        <v>0.13113179999999999</v>
      </c>
      <c r="Z207">
        <v>-8.3273489999999995E-3</v>
      </c>
      <c r="AA207">
        <v>0.99133000000000004</v>
      </c>
      <c r="AB207">
        <v>10</v>
      </c>
      <c r="AC207">
        <v>0.64199999999999502</v>
      </c>
      <c r="AD207">
        <v>-0.104117999999999</v>
      </c>
      <c r="AE207">
        <v>-0.10329999999999</v>
      </c>
      <c r="AF207">
        <v>9.7025254080683396E-2</v>
      </c>
      <c r="AG207">
        <v>-0.104117999999999</v>
      </c>
      <c r="AH207">
        <v>0.626534949360252</v>
      </c>
      <c r="AI207">
        <v>99.326050224717704</v>
      </c>
      <c r="AJ207">
        <v>81.197095767946095</v>
      </c>
      <c r="AK207">
        <v>0.64249552576128799</v>
      </c>
      <c r="AL207">
        <v>89.007364502806595</v>
      </c>
      <c r="AM207">
        <v>86.767959051515305</v>
      </c>
      <c r="AN207">
        <v>0.99999993949404098</v>
      </c>
    </row>
    <row r="208" spans="1:40" x14ac:dyDescent="0.25">
      <c r="A208" t="str">
        <f>"20190312160910061"</f>
        <v>20190312160910061</v>
      </c>
      <c r="B208" t="str">
        <f>"1552378150055017"</f>
        <v>1552378150055017</v>
      </c>
      <c r="C208" t="s">
        <v>40</v>
      </c>
      <c r="D208">
        <v>5.5049409999999996</v>
      </c>
      <c r="E208">
        <v>0.53605789999999998</v>
      </c>
      <c r="F208" t="s">
        <v>42</v>
      </c>
      <c r="G208">
        <v>-464.70510000000002</v>
      </c>
      <c r="H208">
        <v>0.93174420000000002</v>
      </c>
      <c r="I208">
        <v>366.96640000000002</v>
      </c>
      <c r="J208">
        <v>-465.30309999999997</v>
      </c>
      <c r="K208">
        <v>1.109218</v>
      </c>
      <c r="L208">
        <v>367.08539999999999</v>
      </c>
      <c r="M208">
        <v>0.99998129999999996</v>
      </c>
      <c r="N208">
        <v>0</v>
      </c>
      <c r="O208">
        <v>-5.6920699999999996E-3</v>
      </c>
      <c r="P208">
        <v>0.99795339999999999</v>
      </c>
      <c r="Q208">
        <v>1.4529429999999999E-2</v>
      </c>
      <c r="R208">
        <v>-6.2274410000000002E-2</v>
      </c>
      <c r="S208">
        <v>2.985779</v>
      </c>
      <c r="T208">
        <v>-0.76079889999999994</v>
      </c>
      <c r="U208">
        <v>-0.51000979999999996</v>
      </c>
      <c r="V208">
        <v>5.6590710000000002E-2</v>
      </c>
      <c r="W208">
        <v>1.6796579999999998E-2</v>
      </c>
      <c r="X208">
        <v>0.99825609999999998</v>
      </c>
      <c r="Y208">
        <v>0.15803020000000001</v>
      </c>
      <c r="Z208">
        <v>-1.8263430000000001E-2</v>
      </c>
      <c r="AA208">
        <v>0.98726530000000001</v>
      </c>
      <c r="AB208">
        <v>10</v>
      </c>
      <c r="AC208">
        <v>0.59799999999995601</v>
      </c>
      <c r="AD208">
        <v>-0.17747379999999999</v>
      </c>
      <c r="AE208">
        <v>-0.118999999999971</v>
      </c>
      <c r="AF208">
        <v>0.10656567018542901</v>
      </c>
      <c r="AG208">
        <v>-0.17747379999999999</v>
      </c>
      <c r="AH208">
        <v>0.55190847204529303</v>
      </c>
      <c r="AI208">
        <v>107.52257933118599</v>
      </c>
      <c r="AJ208">
        <v>79.071488690840496</v>
      </c>
      <c r="AK208">
        <v>0.58945411463817998</v>
      </c>
      <c r="AL208">
        <v>89.037581538117493</v>
      </c>
      <c r="AM208">
        <v>86.755399601074799</v>
      </c>
      <c r="AN208">
        <v>0.99999993737260295</v>
      </c>
    </row>
    <row r="209" spans="1:40" x14ac:dyDescent="0.25">
      <c r="A209" t="str">
        <f>"20190312160910083"</f>
        <v>20190312160910083</v>
      </c>
      <c r="B209" t="str">
        <f>"1552378150075513"</f>
        <v>1552378150075513</v>
      </c>
      <c r="C209" t="s">
        <v>40</v>
      </c>
      <c r="D209">
        <v>5.4072579999999997</v>
      </c>
      <c r="E209">
        <v>0.53412660000000001</v>
      </c>
      <c r="F209" t="s">
        <v>42</v>
      </c>
      <c r="G209">
        <v>-464.59829999999999</v>
      </c>
      <c r="H209">
        <v>0.9679316</v>
      </c>
      <c r="I209">
        <v>366.97379999999998</v>
      </c>
      <c r="J209">
        <v>-465.2002</v>
      </c>
      <c r="K209">
        <v>1.109199</v>
      </c>
      <c r="L209">
        <v>367.08510000000001</v>
      </c>
      <c r="M209">
        <v>0.9999825</v>
      </c>
      <c r="N209">
        <v>0</v>
      </c>
      <c r="O209">
        <v>-5.4804449999999996E-3</v>
      </c>
      <c r="P209">
        <v>0.99795789999999995</v>
      </c>
      <c r="Q209">
        <v>1.4703920000000001E-2</v>
      </c>
      <c r="R209">
        <v>-6.2160729999999997E-2</v>
      </c>
      <c r="S209">
        <v>2.985474</v>
      </c>
      <c r="T209">
        <v>-0.59865119999999905</v>
      </c>
      <c r="U209">
        <v>-0.47088619999999998</v>
      </c>
      <c r="V209">
        <v>5.668832E-2</v>
      </c>
      <c r="W209">
        <v>1.6948669999999999E-2</v>
      </c>
      <c r="X209">
        <v>0.99824800000000002</v>
      </c>
      <c r="Y209">
        <v>0.147623</v>
      </c>
      <c r="Z209">
        <v>-1.348597E-2</v>
      </c>
      <c r="AA209">
        <v>0.98895169999999999</v>
      </c>
      <c r="AB209">
        <v>10</v>
      </c>
      <c r="AC209">
        <v>0.60189999999999999</v>
      </c>
      <c r="AD209">
        <v>-0.14126739999999999</v>
      </c>
      <c r="AE209">
        <v>-0.111300000000028</v>
      </c>
      <c r="AF209">
        <v>0.10253805718676</v>
      </c>
      <c r="AG209">
        <v>-0.14126739999999999</v>
      </c>
      <c r="AH209">
        <v>0.57203223210284104</v>
      </c>
      <c r="AI209">
        <v>103.662619549063</v>
      </c>
      <c r="AJ209">
        <v>79.837530780655698</v>
      </c>
      <c r="AK209">
        <v>0.59807307750721705</v>
      </c>
      <c r="AL209">
        <v>89.028866190444006</v>
      </c>
      <c r="AM209">
        <v>86.749788851538398</v>
      </c>
      <c r="AN209">
        <v>0.99999994627159405</v>
      </c>
    </row>
    <row r="210" spans="1:40" x14ac:dyDescent="0.25">
      <c r="A210" t="str">
        <f>"20190312160910107"</f>
        <v>20190312160910107</v>
      </c>
      <c r="B210" t="str">
        <f>"1552378150095033"</f>
        <v>1552378150095033</v>
      </c>
      <c r="C210" t="s">
        <v>40</v>
      </c>
      <c r="D210">
        <v>5.4216790000000001</v>
      </c>
      <c r="E210">
        <v>0.53303330000000004</v>
      </c>
      <c r="F210" t="s">
        <v>42</v>
      </c>
      <c r="G210">
        <v>-464.50020000000001</v>
      </c>
      <c r="H210">
        <v>0.98156010000000005</v>
      </c>
      <c r="I210">
        <v>366.97789999999998</v>
      </c>
      <c r="J210">
        <v>-465.09100000000001</v>
      </c>
      <c r="K210">
        <v>1.1091839999999999</v>
      </c>
      <c r="L210">
        <v>367.0847</v>
      </c>
      <c r="M210">
        <v>0.99998379999999998</v>
      </c>
      <c r="N210">
        <v>0</v>
      </c>
      <c r="O210">
        <v>-5.2573730000000001E-3</v>
      </c>
      <c r="P210">
        <v>0.99797349999999996</v>
      </c>
      <c r="Q210">
        <v>1.466774E-2</v>
      </c>
      <c r="R210">
        <v>-6.1919780000000001E-2</v>
      </c>
      <c r="S210">
        <v>2.9858090000000002</v>
      </c>
      <c r="T210">
        <v>-0.54465959999999902</v>
      </c>
      <c r="U210">
        <v>-0.45529170000000002</v>
      </c>
      <c r="V210">
        <v>5.6669949999999997E-2</v>
      </c>
      <c r="W210">
        <v>1.6885259999999999E-2</v>
      </c>
      <c r="X210">
        <v>0.99825019999999998</v>
      </c>
      <c r="Y210">
        <v>0.143317</v>
      </c>
      <c r="Z210">
        <v>-1.194623E-2</v>
      </c>
      <c r="AA210">
        <v>0.9896047</v>
      </c>
      <c r="AB210">
        <v>10</v>
      </c>
      <c r="AC210">
        <v>0.59080000000000099</v>
      </c>
      <c r="AD210">
        <v>-0.12762389999999901</v>
      </c>
      <c r="AE210">
        <v>-0.106800000000021</v>
      </c>
      <c r="AF210">
        <v>9.9209438096685795E-2</v>
      </c>
      <c r="AG210">
        <v>-0.12762389999999901</v>
      </c>
      <c r="AH210">
        <v>0.56578685284564501</v>
      </c>
      <c r="AI210">
        <v>102.526451957829</v>
      </c>
      <c r="AJ210">
        <v>80.054424416735301</v>
      </c>
      <c r="AK210">
        <v>0.58842598116640799</v>
      </c>
      <c r="AL210">
        <v>89.032499915583202</v>
      </c>
      <c r="AM210">
        <v>86.750846979437</v>
      </c>
      <c r="AN210">
        <v>1.0000000285191499</v>
      </c>
    </row>
    <row r="211" spans="1:40" x14ac:dyDescent="0.25">
      <c r="A211" t="str">
        <f>"20190312160910151"</f>
        <v>20190312160910151</v>
      </c>
      <c r="B211" t="str">
        <f>"1552378150144808"</f>
        <v>1552378150144808</v>
      </c>
      <c r="C211" t="s">
        <v>40</v>
      </c>
      <c r="D211">
        <v>5.6471419999999997</v>
      </c>
      <c r="E211">
        <v>0.53141000000000005</v>
      </c>
      <c r="F211" t="s">
        <v>42</v>
      </c>
      <c r="G211">
        <v>-464.31659999999999</v>
      </c>
      <c r="H211">
        <v>0.97247890000000003</v>
      </c>
      <c r="I211">
        <v>366.96870000000001</v>
      </c>
      <c r="J211">
        <v>-464.8759</v>
      </c>
      <c r="K211">
        <v>1.109148</v>
      </c>
      <c r="L211">
        <v>367.08409999999998</v>
      </c>
      <c r="M211">
        <v>0.99998620000000005</v>
      </c>
      <c r="N211">
        <v>0</v>
      </c>
      <c r="O211">
        <v>-4.8197969999999998E-3</v>
      </c>
      <c r="P211">
        <v>0.9980173</v>
      </c>
      <c r="Q211">
        <v>1.42295999999999E-2</v>
      </c>
      <c r="R211">
        <v>-6.1312110000000003E-2</v>
      </c>
      <c r="S211">
        <v>2.9862060000000001</v>
      </c>
      <c r="T211">
        <v>-0.52729680000000001</v>
      </c>
      <c r="U211">
        <v>-0.44598389999999999</v>
      </c>
      <c r="V211">
        <v>5.6498939999999997E-2</v>
      </c>
      <c r="W211">
        <v>1.6374639999999999E-2</v>
      </c>
      <c r="X211">
        <v>0.99826839999999994</v>
      </c>
      <c r="Y211">
        <v>0.14088220000000001</v>
      </c>
      <c r="Z211">
        <v>-1.1436389999999999E-2</v>
      </c>
      <c r="AA211">
        <v>0.98996030000000002</v>
      </c>
      <c r="AB211">
        <v>10</v>
      </c>
      <c r="AC211">
        <v>0.55930000000000701</v>
      </c>
      <c r="AD211">
        <v>-0.13666909999999999</v>
      </c>
      <c r="AE211">
        <v>-0.115399999999965</v>
      </c>
      <c r="AF211">
        <v>0.106597832121318</v>
      </c>
      <c r="AG211">
        <v>-0.13666909999999999</v>
      </c>
      <c r="AH211">
        <v>0.52952269632474702</v>
      </c>
      <c r="AI211">
        <v>104.19912512239399</v>
      </c>
      <c r="AJ211">
        <v>78.617954806335504</v>
      </c>
      <c r="AK211">
        <v>0.55716768268700301</v>
      </c>
      <c r="AL211">
        <v>89.061760332556503</v>
      </c>
      <c r="AM211">
        <v>86.760689802568507</v>
      </c>
      <c r="AN211">
        <v>1.0000000287474</v>
      </c>
    </row>
    <row r="212" spans="1:40" x14ac:dyDescent="0.25">
      <c r="A212" t="str">
        <f>"20190312160910173"</f>
        <v>20190312160910173</v>
      </c>
      <c r="B212" t="str">
        <f>"1552378150164835"</f>
        <v>1552378150164835</v>
      </c>
      <c r="C212" t="s">
        <v>40</v>
      </c>
      <c r="D212">
        <v>5.5386810000000004</v>
      </c>
      <c r="E212">
        <v>0.53094069999999904</v>
      </c>
      <c r="F212" t="s">
        <v>42</v>
      </c>
      <c r="G212">
        <v>-464.11759999999998</v>
      </c>
      <c r="H212">
        <v>0.98378180000000004</v>
      </c>
      <c r="I212">
        <v>366.9742</v>
      </c>
      <c r="J212">
        <v>-464.76960000000003</v>
      </c>
      <c r="K212">
        <v>1.109129</v>
      </c>
      <c r="L212">
        <v>367.08390000000003</v>
      </c>
      <c r="M212">
        <v>0.99998719999999996</v>
      </c>
      <c r="N212">
        <v>0</v>
      </c>
      <c r="O212">
        <v>-4.6033849999999998E-3</v>
      </c>
      <c r="P212">
        <v>0.99803350000000002</v>
      </c>
      <c r="Q212">
        <v>1.4627350000000001E-2</v>
      </c>
      <c r="R212">
        <v>-6.0953630000000002E-2</v>
      </c>
      <c r="S212">
        <v>2.9865110000000001</v>
      </c>
      <c r="T212">
        <v>-0.49404429999999999</v>
      </c>
      <c r="U212">
        <v>-0.43069459999999998</v>
      </c>
      <c r="V212">
        <v>5.635623E-2</v>
      </c>
      <c r="W212">
        <v>1.6728400000000001E-2</v>
      </c>
      <c r="X212">
        <v>0.99827060000000001</v>
      </c>
      <c r="Y212">
        <v>0.13642389999999999</v>
      </c>
      <c r="Z212">
        <v>-1.039879E-2</v>
      </c>
      <c r="AA212">
        <v>0.99059600000000003</v>
      </c>
      <c r="AB212">
        <v>11</v>
      </c>
      <c r="AC212">
        <v>0.65200000000004299</v>
      </c>
      <c r="AD212">
        <v>-0.12534719999999899</v>
      </c>
      <c r="AE212">
        <v>-0.10970000000003199</v>
      </c>
      <c r="AF212">
        <v>0.10299548869757399</v>
      </c>
      <c r="AG212">
        <v>-0.12534719999999899</v>
      </c>
      <c r="AH212">
        <v>0.62985924600424303</v>
      </c>
      <c r="AI212">
        <v>101.111453353321</v>
      </c>
      <c r="AJ212">
        <v>80.713104634942496</v>
      </c>
      <c r="AK212">
        <v>0.650417297599723</v>
      </c>
      <c r="AL212">
        <v>89.041488599866497</v>
      </c>
      <c r="AM212">
        <v>86.768861684788902</v>
      </c>
      <c r="AN212">
        <v>1.00000002742536</v>
      </c>
    </row>
    <row r="213" spans="1:40" x14ac:dyDescent="0.25">
      <c r="A213" t="str">
        <f>"20190312160910195"</f>
        <v>20190312160910195</v>
      </c>
      <c r="B213" t="str">
        <f>"1552378150185332"</f>
        <v>1552378150185332</v>
      </c>
      <c r="C213" t="s">
        <v>40</v>
      </c>
      <c r="D213">
        <v>5.464461</v>
      </c>
      <c r="E213">
        <v>0.54052219999999995</v>
      </c>
      <c r="F213" t="s">
        <v>42</v>
      </c>
      <c r="G213">
        <v>-464.017</v>
      </c>
      <c r="H213">
        <v>0.98699400000000004</v>
      </c>
      <c r="I213">
        <v>366.97609999999997</v>
      </c>
      <c r="J213">
        <v>-464.66340000000002</v>
      </c>
      <c r="K213">
        <v>1.109111</v>
      </c>
      <c r="L213">
        <v>367.08359999999999</v>
      </c>
      <c r="M213">
        <v>0.99998849999999995</v>
      </c>
      <c r="N213">
        <v>0</v>
      </c>
      <c r="O213">
        <v>-4.3875659999999999E-3</v>
      </c>
      <c r="P213">
        <v>0.99805650000000001</v>
      </c>
      <c r="Q213">
        <v>1.4278509999999999E-2</v>
      </c>
      <c r="R213">
        <v>-6.0661800000000002E-2</v>
      </c>
      <c r="S213">
        <v>2.9869690000000002</v>
      </c>
      <c r="T213">
        <v>-0.48495820000000001</v>
      </c>
      <c r="U213">
        <v>-0.4265137</v>
      </c>
      <c r="V213">
        <v>5.6279629999999997E-2</v>
      </c>
      <c r="W213">
        <v>1.6331249999999999E-2</v>
      </c>
      <c r="X213">
        <v>0.99828150000000004</v>
      </c>
      <c r="Y213">
        <v>0.13533239999999999</v>
      </c>
      <c r="Z213">
        <v>-1.0156500000000001E-2</v>
      </c>
      <c r="AA213">
        <v>0.99074819999999997</v>
      </c>
      <c r="AB213">
        <v>11</v>
      </c>
      <c r="AC213">
        <v>0.64640000000002795</v>
      </c>
      <c r="AD213">
        <v>-0.122116999999999</v>
      </c>
      <c r="AE213">
        <v>-0.107500000000015</v>
      </c>
      <c r="AF213">
        <v>0.10114992980427299</v>
      </c>
      <c r="AG213">
        <v>-0.122116999999999</v>
      </c>
      <c r="AH213">
        <v>0.62515402584606805</v>
      </c>
      <c r="AI213">
        <v>100.91445365998101</v>
      </c>
      <c r="AJ213">
        <v>80.809192544666203</v>
      </c>
      <c r="AK213">
        <v>0.64495071596204601</v>
      </c>
      <c r="AL213">
        <v>89.064246729877098</v>
      </c>
      <c r="AM213">
        <v>86.773279354216797</v>
      </c>
      <c r="AN213">
        <v>1.00000002986087</v>
      </c>
    </row>
    <row r="214" spans="1:40" x14ac:dyDescent="0.25">
      <c r="A214" t="str">
        <f>"20190312160910218"</f>
        <v>20190312160910218</v>
      </c>
      <c r="B214" t="str">
        <f>"1552378150214612"</f>
        <v>1552378150214612</v>
      </c>
      <c r="C214" t="s">
        <v>40</v>
      </c>
      <c r="D214">
        <v>5.5597669999999999</v>
      </c>
      <c r="E214">
        <v>0.52716560000000001</v>
      </c>
      <c r="F214" t="s">
        <v>42</v>
      </c>
      <c r="G214">
        <v>-463.93</v>
      </c>
      <c r="H214">
        <v>0.95741489999999996</v>
      </c>
      <c r="I214">
        <v>366.96</v>
      </c>
      <c r="J214">
        <v>-464.5428</v>
      </c>
      <c r="K214">
        <v>1.1090960000000001</v>
      </c>
      <c r="L214">
        <v>367.08330000000001</v>
      </c>
      <c r="M214">
        <v>0.99998940000000003</v>
      </c>
      <c r="N214">
        <v>0</v>
      </c>
      <c r="O214">
        <v>-4.1421740000000002E-3</v>
      </c>
      <c r="P214">
        <v>0.99804859999999895</v>
      </c>
      <c r="Q214">
        <v>1.412062E-2</v>
      </c>
      <c r="R214">
        <v>-6.0825579999999997E-2</v>
      </c>
      <c r="S214">
        <v>2.9841920000000002</v>
      </c>
      <c r="T214">
        <v>-0.61750070000000001</v>
      </c>
      <c r="U214">
        <v>-0.50109859999999995</v>
      </c>
      <c r="V214">
        <v>5.6688370000000002E-2</v>
      </c>
      <c r="W214">
        <v>1.6115270000000001E-2</v>
      </c>
      <c r="X214">
        <v>0.99826190000000004</v>
      </c>
      <c r="Y214">
        <v>0.15833559999999999</v>
      </c>
      <c r="Z214">
        <v>-1.525843E-2</v>
      </c>
      <c r="AA214">
        <v>0.98726740000000002</v>
      </c>
      <c r="AB214">
        <v>11</v>
      </c>
      <c r="AC214">
        <v>0.61279999999999202</v>
      </c>
      <c r="AD214">
        <v>-0.15168109999999899</v>
      </c>
      <c r="AE214">
        <v>-0.123300000000028</v>
      </c>
      <c r="AF214">
        <v>0.114045286025604</v>
      </c>
      <c r="AG214">
        <v>-0.15168109999999899</v>
      </c>
      <c r="AH214">
        <v>0.57920042418811002</v>
      </c>
      <c r="AI214">
        <v>104.410225414525</v>
      </c>
      <c r="AJ214">
        <v>78.860885586998805</v>
      </c>
      <c r="AK214">
        <v>0.60949701782827304</v>
      </c>
      <c r="AL214">
        <v>89.0766231167174</v>
      </c>
      <c r="AM214">
        <v>86.749831150557398</v>
      </c>
      <c r="AN214">
        <v>1.00000004710601</v>
      </c>
    </row>
    <row r="215" spans="1:40" x14ac:dyDescent="0.25">
      <c r="A215" t="str">
        <f>"20190312160910241"</f>
        <v>20190312160910241</v>
      </c>
      <c r="B215" t="str">
        <f>"1552378150235107"</f>
        <v>1552378150235107</v>
      </c>
      <c r="C215" t="s">
        <v>40</v>
      </c>
      <c r="D215">
        <v>5.6202129999999997</v>
      </c>
      <c r="E215">
        <v>0.52780509999999903</v>
      </c>
      <c r="F215" t="s">
        <v>42</v>
      </c>
      <c r="G215">
        <v>-463.81040000000002</v>
      </c>
      <c r="H215">
        <v>0.99539089999999997</v>
      </c>
      <c r="I215">
        <v>366.98590000000002</v>
      </c>
      <c r="J215">
        <v>-464.42329999999998</v>
      </c>
      <c r="K215">
        <v>1.109083</v>
      </c>
      <c r="L215">
        <v>367.0831</v>
      </c>
      <c r="M215">
        <v>0.99999059999999995</v>
      </c>
      <c r="N215">
        <v>0</v>
      </c>
      <c r="O215">
        <v>-3.8994049999999999E-3</v>
      </c>
      <c r="P215">
        <v>0.99807780000000001</v>
      </c>
      <c r="Q215">
        <v>1.3842230000000001E-2</v>
      </c>
      <c r="R215">
        <v>-6.0412729999999998E-2</v>
      </c>
      <c r="S215">
        <v>2.988251</v>
      </c>
      <c r="T215">
        <v>-0.46412039999999999</v>
      </c>
      <c r="U215">
        <v>-0.39599610000000002</v>
      </c>
      <c r="V215">
        <v>5.6517589999999999E-2</v>
      </c>
      <c r="W215">
        <v>1.5777240000000001E-2</v>
      </c>
      <c r="X215">
        <v>0.99827690000000002</v>
      </c>
      <c r="Y215">
        <v>0.12606319999999999</v>
      </c>
      <c r="Z215">
        <v>-9.0904009999999997E-3</v>
      </c>
      <c r="AA215">
        <v>0.99198059999999999</v>
      </c>
      <c r="AB215">
        <v>11</v>
      </c>
      <c r="AC215">
        <v>0.61289999999996703</v>
      </c>
      <c r="AD215">
        <v>-0.1136921</v>
      </c>
      <c r="AE215">
        <v>-9.7199999999986603E-2</v>
      </c>
      <c r="AF215">
        <v>9.1730333881842097E-2</v>
      </c>
      <c r="AG215">
        <v>-0.1136921</v>
      </c>
      <c r="AH215">
        <v>0.59335798629784497</v>
      </c>
      <c r="AI215">
        <v>100.722487941145</v>
      </c>
      <c r="AJ215">
        <v>81.211914066124805</v>
      </c>
      <c r="AK215">
        <v>0.61107613900390301</v>
      </c>
      <c r="AL215">
        <v>89.095993196179293</v>
      </c>
      <c r="AM215">
        <v>86.7596503336556</v>
      </c>
      <c r="AN215">
        <v>0.99999996417751702</v>
      </c>
    </row>
    <row r="216" spans="1:40" x14ac:dyDescent="0.25">
      <c r="A216" t="str">
        <f>"20190312160910262"</f>
        <v>20190312160910262</v>
      </c>
      <c r="B216" t="str">
        <f>"1552378150255135"</f>
        <v>1552378150255135</v>
      </c>
      <c r="C216" t="s">
        <v>40</v>
      </c>
      <c r="D216">
        <v>5.5713910000000002</v>
      </c>
      <c r="E216">
        <v>0.52814179999999999</v>
      </c>
      <c r="F216" t="s">
        <v>42</v>
      </c>
      <c r="G216">
        <v>-463.7047</v>
      </c>
      <c r="H216">
        <v>0.99946310000000005</v>
      </c>
      <c r="I216">
        <v>366.9864</v>
      </c>
      <c r="J216">
        <v>-464.31049999999999</v>
      </c>
      <c r="K216">
        <v>1.109073</v>
      </c>
      <c r="L216">
        <v>367.08300000000003</v>
      </c>
      <c r="M216">
        <v>0.99999150000000003</v>
      </c>
      <c r="N216">
        <v>0</v>
      </c>
      <c r="O216">
        <v>-3.6707060000000001E-3</v>
      </c>
      <c r="P216">
        <v>0.99812259999999997</v>
      </c>
      <c r="Q216">
        <v>1.3886509999999999E-2</v>
      </c>
      <c r="R216">
        <v>-5.9654999999999903E-2</v>
      </c>
      <c r="S216">
        <v>2.987854</v>
      </c>
      <c r="T216">
        <v>-0.45607520000000001</v>
      </c>
      <c r="U216">
        <v>-0.400177</v>
      </c>
      <c r="V216">
        <v>5.5988250000000003E-2</v>
      </c>
      <c r="W216">
        <v>1.5763889999999999E-2</v>
      </c>
      <c r="X216">
        <v>0.99830700000000006</v>
      </c>
      <c r="Y216">
        <v>0.1276988</v>
      </c>
      <c r="Z216">
        <v>-9.0930960000000002E-3</v>
      </c>
      <c r="AA216">
        <v>0.99177130000000002</v>
      </c>
      <c r="AB216">
        <v>11</v>
      </c>
      <c r="AC216">
        <v>0.60579999999998702</v>
      </c>
      <c r="AD216">
        <v>-0.1096099</v>
      </c>
      <c r="AE216">
        <v>-9.66000000000235E-2</v>
      </c>
      <c r="AF216">
        <v>9.1455867019401796E-2</v>
      </c>
      <c r="AG216">
        <v>-0.1096099</v>
      </c>
      <c r="AH216">
        <v>0.587397609540251</v>
      </c>
      <c r="AI216">
        <v>100.44692814778701</v>
      </c>
      <c r="AJ216">
        <v>81.150289915974994</v>
      </c>
      <c r="AK216">
        <v>0.60449520881797003</v>
      </c>
      <c r="AL216">
        <v>89.096758245220002</v>
      </c>
      <c r="AM216">
        <v>86.790032050178894</v>
      </c>
      <c r="AN216">
        <v>1.0000000253074901</v>
      </c>
    </row>
    <row r="217" spans="1:40" x14ac:dyDescent="0.25">
      <c r="A217" t="str">
        <f>"20190312160910285"</f>
        <v>20190312160910285</v>
      </c>
      <c r="B217" t="str">
        <f>"1552378150274656"</f>
        <v>1552378150274656</v>
      </c>
      <c r="C217" t="s">
        <v>40</v>
      </c>
      <c r="D217">
        <v>5.6722219999999997</v>
      </c>
      <c r="E217">
        <v>0.52772430000000004</v>
      </c>
      <c r="F217" t="s">
        <v>42</v>
      </c>
      <c r="G217">
        <v>-463.59859999999998</v>
      </c>
      <c r="H217">
        <v>1.001376</v>
      </c>
      <c r="I217">
        <v>366.9871</v>
      </c>
      <c r="J217">
        <v>-464.19420000000002</v>
      </c>
      <c r="K217">
        <v>1.109057</v>
      </c>
      <c r="L217">
        <v>367.08280000000002</v>
      </c>
      <c r="M217">
        <v>0.99999249999999995</v>
      </c>
      <c r="N217">
        <v>0</v>
      </c>
      <c r="O217">
        <v>-3.4337830000000001E-3</v>
      </c>
      <c r="P217">
        <v>0.99818059999999997</v>
      </c>
      <c r="Q217">
        <v>1.379144E-2</v>
      </c>
      <c r="R217">
        <v>-5.8700639999999998E-2</v>
      </c>
      <c r="S217">
        <v>2.9879760000000002</v>
      </c>
      <c r="T217">
        <v>-0.45219280000000001</v>
      </c>
      <c r="U217">
        <v>-0.4005127</v>
      </c>
      <c r="V217">
        <v>5.5269949999999998E-2</v>
      </c>
      <c r="W217">
        <v>1.560798E-2</v>
      </c>
      <c r="X217">
        <v>0.99834940000000005</v>
      </c>
      <c r="Y217">
        <v>0.12805519999999901</v>
      </c>
      <c r="Z217">
        <v>-9.078315E-3</v>
      </c>
      <c r="AA217">
        <v>0.99172550000000004</v>
      </c>
      <c r="AB217">
        <v>12</v>
      </c>
      <c r="AC217">
        <v>0.59560000000004698</v>
      </c>
      <c r="AD217">
        <v>-0.107680999999999</v>
      </c>
      <c r="AE217">
        <v>-9.5700000000022101E-2</v>
      </c>
      <c r="AF217">
        <v>9.0762234339850395E-2</v>
      </c>
      <c r="AG217">
        <v>-0.107680999999999</v>
      </c>
      <c r="AH217">
        <v>0.57752297879174896</v>
      </c>
      <c r="AI217">
        <v>100.436471795522</v>
      </c>
      <c r="AJ217">
        <v>81.068574996435004</v>
      </c>
      <c r="AK217">
        <v>0.59444576874249599</v>
      </c>
      <c r="AL217">
        <v>89.105692262209402</v>
      </c>
      <c r="AM217">
        <v>86.831264096690703</v>
      </c>
      <c r="AN217">
        <v>0.99999995044652001</v>
      </c>
    </row>
    <row r="218" spans="1:40" x14ac:dyDescent="0.25">
      <c r="A218" t="str">
        <f>"20190312160910308"</f>
        <v>20190312160910308</v>
      </c>
      <c r="B218" t="str">
        <f>"1552378150304911"</f>
        <v>1552378150304911</v>
      </c>
      <c r="C218" t="s">
        <v>40</v>
      </c>
      <c r="D218">
        <v>5.667853</v>
      </c>
      <c r="E218">
        <v>0.52827579999999996</v>
      </c>
      <c r="F218" t="s">
        <v>42</v>
      </c>
      <c r="G218">
        <v>-463.39179999999999</v>
      </c>
      <c r="H218">
        <v>0.98354529999999996</v>
      </c>
      <c r="I218">
        <v>366.97649999999999</v>
      </c>
      <c r="J218">
        <v>-464.0652</v>
      </c>
      <c r="K218">
        <v>1.109046</v>
      </c>
      <c r="L218">
        <v>367.08260000000001</v>
      </c>
      <c r="M218">
        <v>0.99999340000000003</v>
      </c>
      <c r="N218">
        <v>0</v>
      </c>
      <c r="O218">
        <v>-3.1725360000000001E-3</v>
      </c>
      <c r="P218">
        <v>0.99822650000000002</v>
      </c>
      <c r="Q218">
        <v>1.343753E-2</v>
      </c>
      <c r="R218">
        <v>-5.7994820000000002E-2</v>
      </c>
      <c r="S218">
        <v>2.9887079999999999</v>
      </c>
      <c r="T218">
        <v>-0.46759529999999999</v>
      </c>
      <c r="U218">
        <v>-0.39480589999999999</v>
      </c>
      <c r="V218">
        <v>5.4824890000000001E-2</v>
      </c>
      <c r="W218">
        <v>1.518794E-2</v>
      </c>
      <c r="X218">
        <v>0.9983805</v>
      </c>
      <c r="Y218">
        <v>0.12634300000000001</v>
      </c>
      <c r="Z218">
        <v>-9.2907149999999997E-3</v>
      </c>
      <c r="AA218">
        <v>0.99194309999999997</v>
      </c>
      <c r="AB218">
        <v>12</v>
      </c>
      <c r="AC218">
        <v>0.67340000000001499</v>
      </c>
      <c r="AD218">
        <v>-0.12550069999999899</v>
      </c>
      <c r="AE218">
        <v>-0.10610000000002601</v>
      </c>
      <c r="AF218">
        <v>0.100555070189526</v>
      </c>
      <c r="AG218">
        <v>-0.12550069999999899</v>
      </c>
      <c r="AH218">
        <v>0.65164761352451295</v>
      </c>
      <c r="AI218">
        <v>100.776605949919</v>
      </c>
      <c r="AJ218">
        <v>81.227935407368406</v>
      </c>
      <c r="AK218">
        <v>0.67119770563784298</v>
      </c>
      <c r="AL218">
        <v>89.129761707718401</v>
      </c>
      <c r="AM218">
        <v>86.8568266145911</v>
      </c>
      <c r="AN218">
        <v>1.0000000324325999</v>
      </c>
    </row>
    <row r="219" spans="1:40" x14ac:dyDescent="0.25">
      <c r="A219" t="str">
        <f>"20190312160910331"</f>
        <v>20190312160910331</v>
      </c>
      <c r="B219" t="str">
        <f>"1552378150325407"</f>
        <v>1552378150325407</v>
      </c>
      <c r="C219" t="s">
        <v>40</v>
      </c>
      <c r="D219">
        <v>5.7290640000000002</v>
      </c>
      <c r="E219">
        <v>0.52823469999999995</v>
      </c>
      <c r="F219" t="s">
        <v>42</v>
      </c>
      <c r="G219">
        <v>-463.28039999999999</v>
      </c>
      <c r="H219">
        <v>0.98673379999999999</v>
      </c>
      <c r="I219">
        <v>366.97789999999998</v>
      </c>
      <c r="J219">
        <v>-463.9436</v>
      </c>
      <c r="K219">
        <v>1.10904</v>
      </c>
      <c r="L219">
        <v>367.08260000000001</v>
      </c>
      <c r="M219">
        <v>0.9999943</v>
      </c>
      <c r="N219">
        <v>0</v>
      </c>
      <c r="O219">
        <v>-2.926316E-3</v>
      </c>
      <c r="P219">
        <v>0.99826389999999998</v>
      </c>
      <c r="Q219">
        <v>1.3381870000000001E-2</v>
      </c>
      <c r="R219">
        <v>-5.7360429999999997E-2</v>
      </c>
      <c r="S219">
        <v>2.9885860000000002</v>
      </c>
      <c r="T219">
        <v>-0.46607949999999998</v>
      </c>
      <c r="U219">
        <v>-0.3965149</v>
      </c>
      <c r="V219">
        <v>5.4436270000000002E-2</v>
      </c>
      <c r="W219">
        <v>1.5070170000000001E-2</v>
      </c>
      <c r="X219">
        <v>0.9984035</v>
      </c>
      <c r="Y219">
        <v>0.1271468</v>
      </c>
      <c r="Z219">
        <v>-9.3610240000000008E-3</v>
      </c>
      <c r="AA219">
        <v>0.99183969999999999</v>
      </c>
      <c r="AB219">
        <v>12</v>
      </c>
      <c r="AC219">
        <v>0.663200000000017</v>
      </c>
      <c r="AD219">
        <v>-0.1223062</v>
      </c>
      <c r="AE219">
        <v>-0.104700000000036</v>
      </c>
      <c r="AF219">
        <v>9.9458478446754997E-2</v>
      </c>
      <c r="AG219">
        <v>-0.1223062</v>
      </c>
      <c r="AH219">
        <v>0.64219359068619197</v>
      </c>
      <c r="AI219">
        <v>100.658777747901</v>
      </c>
      <c r="AJ219">
        <v>81.196370341245199</v>
      </c>
      <c r="AK219">
        <v>0.66125895336986396</v>
      </c>
      <c r="AL219">
        <v>89.136510161280498</v>
      </c>
      <c r="AM219">
        <v>86.879134194813304</v>
      </c>
      <c r="AN219">
        <v>0.99999998316379501</v>
      </c>
    </row>
    <row r="220" spans="1:40" x14ac:dyDescent="0.25">
      <c r="A220" t="str">
        <f>"20190312160910351"</f>
        <v>20190312160910351</v>
      </c>
      <c r="B220" t="str">
        <f>"1552378150344928"</f>
        <v>1552378150344928</v>
      </c>
      <c r="C220" t="s">
        <v>40</v>
      </c>
      <c r="D220">
        <v>5.6729479999999999</v>
      </c>
      <c r="E220">
        <v>0.52549380000000001</v>
      </c>
      <c r="F220" t="s">
        <v>42</v>
      </c>
      <c r="G220">
        <v>-463.16800000000001</v>
      </c>
      <c r="H220">
        <v>0.9886199</v>
      </c>
      <c r="I220">
        <v>366.98020000000002</v>
      </c>
      <c r="J220">
        <v>-463.82580000000002</v>
      </c>
      <c r="K220">
        <v>1.1090370000000001</v>
      </c>
      <c r="L220">
        <v>367.08249999999998</v>
      </c>
      <c r="M220">
        <v>0.99999519999999997</v>
      </c>
      <c r="N220">
        <v>0</v>
      </c>
      <c r="O220">
        <v>-2.6877310000000001E-3</v>
      </c>
      <c r="P220">
        <v>0.99831309999999995</v>
      </c>
      <c r="Q220">
        <v>1.392211E-2</v>
      </c>
      <c r="R220">
        <v>-5.6366979999999997E-2</v>
      </c>
      <c r="S220">
        <v>2.9887700000000001</v>
      </c>
      <c r="T220">
        <v>-0.46407910000000002</v>
      </c>
      <c r="U220">
        <v>-0.39440920000000002</v>
      </c>
      <c r="V220">
        <v>5.3680749999999999E-2</v>
      </c>
      <c r="W220">
        <v>1.5551239999999999E-2</v>
      </c>
      <c r="X220">
        <v>0.99843700000000002</v>
      </c>
      <c r="Y220">
        <v>0.1267037</v>
      </c>
      <c r="Z220">
        <v>-9.3237890000000007E-3</v>
      </c>
      <c r="AA220">
        <v>0.99189680000000002</v>
      </c>
      <c r="AB220">
        <v>12</v>
      </c>
      <c r="AC220">
        <v>0.65780000000000804</v>
      </c>
      <c r="AD220">
        <v>-0.120417099999999</v>
      </c>
      <c r="AE220">
        <v>-0.102299999999956</v>
      </c>
      <c r="AF220">
        <v>9.7346487741266294E-2</v>
      </c>
      <c r="AG220">
        <v>-0.120417099999999</v>
      </c>
      <c r="AH220">
        <v>0.63722281803664205</v>
      </c>
      <c r="AI220">
        <v>100.581155193966</v>
      </c>
      <c r="AJ220">
        <v>81.314260322516503</v>
      </c>
      <c r="AK220">
        <v>0.655766373394161</v>
      </c>
      <c r="AL220">
        <v>89.108943622217197</v>
      </c>
      <c r="AM220">
        <v>86.9224678456916</v>
      </c>
      <c r="AN220">
        <v>0.999999953477549</v>
      </c>
    </row>
    <row r="221" spans="1:40" x14ac:dyDescent="0.25">
      <c r="A221" t="str">
        <f>"20190312160910373"</f>
        <v>20190312160910373</v>
      </c>
      <c r="B221" t="str">
        <f>"1552378150364955"</f>
        <v>1552378150364955</v>
      </c>
      <c r="C221" t="s">
        <v>40</v>
      </c>
      <c r="D221">
        <v>5.700939</v>
      </c>
      <c r="E221">
        <v>0.52348269999999997</v>
      </c>
      <c r="F221" t="s">
        <v>42</v>
      </c>
      <c r="G221">
        <v>-463.05599999999998</v>
      </c>
      <c r="H221">
        <v>0.98642989999999997</v>
      </c>
      <c r="I221">
        <v>366.98689999999999</v>
      </c>
      <c r="J221">
        <v>-463.7013</v>
      </c>
      <c r="K221">
        <v>1.1090279999999999</v>
      </c>
      <c r="L221">
        <v>367.08249999999998</v>
      </c>
      <c r="M221">
        <v>0.99999590000000005</v>
      </c>
      <c r="N221">
        <v>0</v>
      </c>
      <c r="O221">
        <v>-2.4353180000000001E-3</v>
      </c>
      <c r="P221">
        <v>0.99834400000000001</v>
      </c>
      <c r="Q221">
        <v>1.424695E-2</v>
      </c>
      <c r="R221">
        <v>-5.5736939999999999E-2</v>
      </c>
      <c r="S221">
        <v>2.9908450000000002</v>
      </c>
      <c r="T221">
        <v>-0.47655769999999997</v>
      </c>
      <c r="U221">
        <v>-0.36978149999999999</v>
      </c>
      <c r="V221">
        <v>5.3302559999999999E-2</v>
      </c>
      <c r="W221">
        <v>1.58149E-2</v>
      </c>
      <c r="X221">
        <v>0.99845309999999998</v>
      </c>
      <c r="Y221">
        <v>0.118839899999999</v>
      </c>
      <c r="Z221">
        <v>-8.9893790000000005E-3</v>
      </c>
      <c r="AA221">
        <v>0.99287270000000005</v>
      </c>
      <c r="AB221">
        <v>12</v>
      </c>
      <c r="AC221">
        <v>0.64530000000001997</v>
      </c>
      <c r="AD221">
        <v>-0.1225981</v>
      </c>
      <c r="AE221">
        <v>-9.5599999999990304E-2</v>
      </c>
      <c r="AF221">
        <v>9.0820464295418901E-2</v>
      </c>
      <c r="AG221">
        <v>-0.1225981</v>
      </c>
      <c r="AH221">
        <v>0.62350883915480004</v>
      </c>
      <c r="AI221">
        <v>101.01062691089101</v>
      </c>
      <c r="AJ221">
        <v>81.712564717932594</v>
      </c>
      <c r="AK221">
        <v>0.64190491769623603</v>
      </c>
      <c r="AL221">
        <v>89.093835139934797</v>
      </c>
      <c r="AM221">
        <v>86.944157524949503</v>
      </c>
      <c r="AN221">
        <v>0.99999993343208404</v>
      </c>
    </row>
    <row r="222" spans="1:40" x14ac:dyDescent="0.25">
      <c r="A222" t="str">
        <f>"20190312160910396"</f>
        <v>20190312160910396</v>
      </c>
      <c r="B222" t="str">
        <f>"1552378150385451"</f>
        <v>1552378150385451</v>
      </c>
      <c r="C222" t="s">
        <v>40</v>
      </c>
      <c r="D222">
        <v>5.565499</v>
      </c>
      <c r="E222">
        <v>0.47170430000000002</v>
      </c>
      <c r="F222" t="s">
        <v>42</v>
      </c>
      <c r="G222">
        <v>-462.9391</v>
      </c>
      <c r="H222">
        <v>0.99105469999999896</v>
      </c>
      <c r="I222">
        <v>366.99259999999998</v>
      </c>
      <c r="J222">
        <v>-463.57060000000001</v>
      </c>
      <c r="K222">
        <v>1.10902099999999</v>
      </c>
      <c r="L222">
        <v>367.08249999999998</v>
      </c>
      <c r="M222">
        <v>0.99999669999999896</v>
      </c>
      <c r="N222">
        <v>0</v>
      </c>
      <c r="O222">
        <v>-2.1713430000000001E-3</v>
      </c>
      <c r="P222">
        <v>0.99836519999999995</v>
      </c>
      <c r="Q222">
        <v>1.4039319999999999E-2</v>
      </c>
      <c r="R222">
        <v>-5.5408390000000002E-2</v>
      </c>
      <c r="S222">
        <v>2.9918520000000002</v>
      </c>
      <c r="T222">
        <v>-0.46315299999999998</v>
      </c>
      <c r="U222">
        <v>-0.35256959999999998</v>
      </c>
      <c r="V222">
        <v>5.323754E-2</v>
      </c>
      <c r="W222">
        <v>1.554552E-2</v>
      </c>
      <c r="X222">
        <v>0.99846089999999998</v>
      </c>
      <c r="Y222">
        <v>0.113568</v>
      </c>
      <c r="Z222">
        <v>-8.3757889999999998E-3</v>
      </c>
      <c r="AA222">
        <v>0.99349489999999996</v>
      </c>
      <c r="AB222">
        <v>13</v>
      </c>
      <c r="AC222">
        <v>0.63150000000001605</v>
      </c>
      <c r="AD222">
        <v>-0.117966299999999</v>
      </c>
      <c r="AE222">
        <v>-8.9899999999999994E-2</v>
      </c>
      <c r="AF222">
        <v>8.5600835600025293E-2</v>
      </c>
      <c r="AG222">
        <v>-0.117966299999999</v>
      </c>
      <c r="AH222">
        <v>0.61080283477872299</v>
      </c>
      <c r="AI222">
        <v>100.827852499089</v>
      </c>
      <c r="AJ222">
        <v>82.022253330530901</v>
      </c>
      <c r="AK222">
        <v>0.62795195195559095</v>
      </c>
      <c r="AL222">
        <v>89.109271465302996</v>
      </c>
      <c r="AM222">
        <v>86.947901875860495</v>
      </c>
      <c r="AN222">
        <v>1.0000000338430599</v>
      </c>
    </row>
    <row r="223" spans="1:40" x14ac:dyDescent="0.25">
      <c r="A223" t="str">
        <f>"20190312160910420"</f>
        <v>20190312160910420</v>
      </c>
      <c r="B223" t="str">
        <f>"1552378150414732"</f>
        <v>1552378150414732</v>
      </c>
      <c r="C223" t="s">
        <v>40</v>
      </c>
      <c r="D223">
        <v>5.7222790000000003</v>
      </c>
      <c r="E223">
        <v>0.47486400000000001</v>
      </c>
      <c r="F223" t="s">
        <v>41</v>
      </c>
      <c r="G223">
        <v>-440.36880000000002</v>
      </c>
      <c r="H223" s="1">
        <v>-4.9010299999999997E-6</v>
      </c>
      <c r="I223">
        <v>367.5428</v>
      </c>
      <c r="J223">
        <v>-463.43450000000001</v>
      </c>
      <c r="K223">
        <v>1.109011</v>
      </c>
      <c r="L223">
        <v>367.08249999999998</v>
      </c>
      <c r="M223">
        <v>0.99999729999999998</v>
      </c>
      <c r="N223">
        <v>0</v>
      </c>
      <c r="O223">
        <v>-1.8962829999999999E-3</v>
      </c>
      <c r="P223">
        <v>0.99837810000000005</v>
      </c>
      <c r="Q223">
        <v>1.3374870000000001E-2</v>
      </c>
      <c r="R223">
        <v>-5.5340239999999999E-2</v>
      </c>
      <c r="S223">
        <v>3.010284</v>
      </c>
      <c r="T223">
        <v>-0.14388899999999999</v>
      </c>
      <c r="U223">
        <v>5.9722900000000002E-2</v>
      </c>
      <c r="V223">
        <v>5.3443829999999998E-2</v>
      </c>
      <c r="W223">
        <v>1.481843E-2</v>
      </c>
      <c r="X223">
        <v>0.99846089999999998</v>
      </c>
      <c r="Y223">
        <v>-2.1704660000000001E-2</v>
      </c>
      <c r="Z223">
        <v>6.0896529999999896E-4</v>
      </c>
      <c r="AA223">
        <v>0.99976430000000005</v>
      </c>
      <c r="AB223">
        <v>13</v>
      </c>
      <c r="AC223">
        <v>23.0657</v>
      </c>
      <c r="AD223">
        <v>-1.10901590102999</v>
      </c>
      <c r="AE223">
        <v>0.46030000000001697</v>
      </c>
      <c r="AF223">
        <v>-0.50287624153368304</v>
      </c>
      <c r="AG223">
        <v>-1.10901590102999</v>
      </c>
      <c r="AH223">
        <v>23.0116095860717</v>
      </c>
      <c r="AI223">
        <v>92.758506387625303</v>
      </c>
      <c r="AJ223">
        <v>91.251894217337494</v>
      </c>
      <c r="AK223">
        <v>23.043805599874801</v>
      </c>
      <c r="AL223">
        <v>89.150935425300105</v>
      </c>
      <c r="AM223">
        <v>86.936097798960304</v>
      </c>
      <c r="AN223">
        <v>0.99999999883077095</v>
      </c>
    </row>
    <row r="224" spans="1:40" x14ac:dyDescent="0.25">
      <c r="A224" t="str">
        <f>"20190312160910442"</f>
        <v>20190312160910442</v>
      </c>
      <c r="B224" t="str">
        <f>"1552378150435227"</f>
        <v>1552378150435227</v>
      </c>
      <c r="C224" t="s">
        <v>40</v>
      </c>
      <c r="D224">
        <v>8.1599719999999998</v>
      </c>
      <c r="E224">
        <v>0.47554170000000001</v>
      </c>
      <c r="F224" t="s">
        <v>43</v>
      </c>
      <c r="G224">
        <v>-420.16910000000001</v>
      </c>
      <c r="H224">
        <v>-0.05</v>
      </c>
      <c r="I224">
        <v>367.58109999999999</v>
      </c>
      <c r="J224">
        <v>-463.30349999999999</v>
      </c>
      <c r="K224">
        <v>1.109002</v>
      </c>
      <c r="L224">
        <v>367.08249999999998</v>
      </c>
      <c r="M224">
        <v>0.99999769999999999</v>
      </c>
      <c r="N224">
        <v>0</v>
      </c>
      <c r="O224">
        <v>-1.632077E-3</v>
      </c>
      <c r="P224">
        <v>0.99838919999999998</v>
      </c>
      <c r="Q224">
        <v>1.376468E-2</v>
      </c>
      <c r="R224">
        <v>-5.504237E-2</v>
      </c>
      <c r="S224">
        <v>3.0078429999999998</v>
      </c>
      <c r="T224">
        <v>-8.0575350000000004E-2</v>
      </c>
      <c r="U224">
        <v>3.4667969999999999E-2</v>
      </c>
      <c r="V224">
        <v>5.3409640000000001E-2</v>
      </c>
      <c r="W224">
        <v>1.5150749999999999E-2</v>
      </c>
      <c r="X224">
        <v>0.9984577</v>
      </c>
      <c r="Y224">
        <v>-1.315174E-2</v>
      </c>
      <c r="Z224">
        <v>2.198313E-4</v>
      </c>
      <c r="AA224">
        <v>0.99991350000000001</v>
      </c>
      <c r="AB224">
        <v>13</v>
      </c>
      <c r="AC224">
        <v>43.1343999999999</v>
      </c>
      <c r="AD224">
        <v>-1.1590020000000001</v>
      </c>
      <c r="AE224">
        <v>0.49860000000000998</v>
      </c>
      <c r="AF224">
        <v>-0.56858761628784105</v>
      </c>
      <c r="AG224">
        <v>-1.1590020000000001</v>
      </c>
      <c r="AH224">
        <v>43.102414183333202</v>
      </c>
      <c r="AI224">
        <v>91.540149281093093</v>
      </c>
      <c r="AJ224">
        <v>90.755776255739093</v>
      </c>
      <c r="AK224">
        <v>43.121742612573101</v>
      </c>
      <c r="AL224">
        <v>89.131892717213702</v>
      </c>
      <c r="AM224">
        <v>86.938044365132797</v>
      </c>
      <c r="AN224">
        <v>0.99999995677988995</v>
      </c>
    </row>
    <row r="225" spans="1:40" x14ac:dyDescent="0.25">
      <c r="A225" t="str">
        <f>"20190312160910463"</f>
        <v>20190312160910463</v>
      </c>
      <c r="B225" t="str">
        <f>"1552378150454747"</f>
        <v>1552378150454747</v>
      </c>
      <c r="C225" t="s">
        <v>40</v>
      </c>
      <c r="D225">
        <v>5.6722159999999997</v>
      </c>
      <c r="E225">
        <v>0.47643790000000003</v>
      </c>
      <c r="F225" t="s">
        <v>43</v>
      </c>
      <c r="G225">
        <v>-400.8141</v>
      </c>
      <c r="H225">
        <v>-0.05</v>
      </c>
      <c r="I225">
        <v>367.70769999999999</v>
      </c>
      <c r="J225">
        <v>-463.17140000000001</v>
      </c>
      <c r="K225">
        <v>1.108994</v>
      </c>
      <c r="L225">
        <v>367.08260000000001</v>
      </c>
      <c r="M225">
        <v>0.99999819999999995</v>
      </c>
      <c r="N225">
        <v>0</v>
      </c>
      <c r="O225">
        <v>-1.3658469999999999E-3</v>
      </c>
      <c r="P225">
        <v>0.99839169999999999</v>
      </c>
      <c r="Q225">
        <v>1.410369E-2</v>
      </c>
      <c r="R225">
        <v>-5.4910979999999998E-2</v>
      </c>
      <c r="S225">
        <v>3.0073240000000001</v>
      </c>
      <c r="T225">
        <v>-5.5777430000000003E-2</v>
      </c>
      <c r="U225">
        <v>3.0090329999999998E-2</v>
      </c>
      <c r="V225">
        <v>5.3544040000000001E-2</v>
      </c>
      <c r="W225">
        <v>1.543396E-2</v>
      </c>
      <c r="X225">
        <v>0.99844619999999995</v>
      </c>
      <c r="Y225">
        <v>-1.136876E-2</v>
      </c>
      <c r="Z225">
        <v>1.3074749999999999E-4</v>
      </c>
      <c r="AA225">
        <v>0.99993540000000003</v>
      </c>
      <c r="AB225">
        <v>13</v>
      </c>
      <c r="AC225">
        <v>62.357300000000002</v>
      </c>
      <c r="AD225">
        <v>-1.1589940000000001</v>
      </c>
      <c r="AE225">
        <v>0.62509999999997401</v>
      </c>
      <c r="AF225">
        <v>-0.71002476705694895</v>
      </c>
      <c r="AG225">
        <v>-1.1589940000000001</v>
      </c>
      <c r="AH225">
        <v>62.334856503151698</v>
      </c>
      <c r="AI225">
        <v>91.065110468279599</v>
      </c>
      <c r="AJ225">
        <v>90.652598971745903</v>
      </c>
      <c r="AK225">
        <v>62.349673114863897</v>
      </c>
      <c r="AL225">
        <v>89.115664112920101</v>
      </c>
      <c r="AM225">
        <v>86.930318689974598</v>
      </c>
      <c r="AN225">
        <v>0.99999999281762098</v>
      </c>
    </row>
    <row r="226" spans="1:40" x14ac:dyDescent="0.25">
      <c r="A226" t="str">
        <f>"20190312160910487"</f>
        <v>20190312160910487</v>
      </c>
      <c r="B226" t="str">
        <f>"1552378150475242"</f>
        <v>1552378150475242</v>
      </c>
      <c r="C226" t="s">
        <v>40</v>
      </c>
      <c r="D226">
        <v>5.6472749999999996</v>
      </c>
      <c r="E226">
        <v>0.4778964</v>
      </c>
      <c r="F226" t="s">
        <v>41</v>
      </c>
      <c r="G226">
        <v>-376.44839999999999</v>
      </c>
      <c r="H226" s="1">
        <v>-1.8370299999999999E-6</v>
      </c>
      <c r="I226">
        <v>367.74970000000002</v>
      </c>
      <c r="J226">
        <v>-463.02510000000001</v>
      </c>
      <c r="K226">
        <v>1.1089830000000001</v>
      </c>
      <c r="L226">
        <v>367.08269999999999</v>
      </c>
      <c r="M226">
        <v>0.99999859999999896</v>
      </c>
      <c r="N226">
        <v>0</v>
      </c>
      <c r="O226">
        <v>-1.071008E-3</v>
      </c>
      <c r="P226">
        <v>0.99837030000000004</v>
      </c>
      <c r="Q226">
        <v>1.407825E-2</v>
      </c>
      <c r="R226">
        <v>-5.5303669999999999E-2</v>
      </c>
      <c r="S226">
        <v>3.0066830000000002</v>
      </c>
      <c r="T226">
        <v>-3.844881E-2</v>
      </c>
      <c r="U226">
        <v>2.3132320000000001E-2</v>
      </c>
      <c r="V226">
        <v>5.4230970000000003E-2</v>
      </c>
      <c r="W226">
        <v>1.535099E-2</v>
      </c>
      <c r="X226">
        <v>0.99841040000000003</v>
      </c>
      <c r="Y226">
        <v>-8.7635760000000004E-3</v>
      </c>
      <c r="Z226" s="1">
        <v>6.9725309999999995E-5</v>
      </c>
      <c r="AA226">
        <v>0.99996160000000001</v>
      </c>
      <c r="AB226">
        <v>13</v>
      </c>
      <c r="AC226">
        <v>86.576700000000002</v>
      </c>
      <c r="AD226">
        <v>-1.1089848370299999</v>
      </c>
      <c r="AE226">
        <v>0.66700000000003001</v>
      </c>
      <c r="AF226">
        <v>-0.75959940659104097</v>
      </c>
      <c r="AG226">
        <v>-1.1089848370299999</v>
      </c>
      <c r="AH226">
        <v>86.561733988504898</v>
      </c>
      <c r="AI226">
        <v>90.733975924986296</v>
      </c>
      <c r="AJ226">
        <v>90.502770924698396</v>
      </c>
      <c r="AK226">
        <v>86.572170064772706</v>
      </c>
      <c r="AL226">
        <v>89.120418503607198</v>
      </c>
      <c r="AM226">
        <v>86.890902483257605</v>
      </c>
      <c r="AN226">
        <v>0.99999998891464004</v>
      </c>
    </row>
    <row r="227" spans="1:40" x14ac:dyDescent="0.25">
      <c r="A227" t="str">
        <f>"20190312160910511"</f>
        <v>20190312160910511</v>
      </c>
      <c r="B227" t="str">
        <f>"1552378150505499"</f>
        <v>1552378150505499</v>
      </c>
      <c r="C227" t="s">
        <v>40</v>
      </c>
      <c r="D227">
        <v>5.5923089999999904</v>
      </c>
      <c r="E227">
        <v>0.47902430000000001</v>
      </c>
      <c r="F227" t="s">
        <v>41</v>
      </c>
      <c r="G227">
        <v>-392.02050000000003</v>
      </c>
      <c r="H227" s="1">
        <v>-3.8109120000000001E-6</v>
      </c>
      <c r="I227">
        <v>367.3306</v>
      </c>
      <c r="J227">
        <v>-462.87630000000001</v>
      </c>
      <c r="K227">
        <v>1.108975</v>
      </c>
      <c r="L227">
        <v>367.0829</v>
      </c>
      <c r="M227">
        <v>0.99999899999999997</v>
      </c>
      <c r="N227">
        <v>0</v>
      </c>
      <c r="O227">
        <v>-7.7176060000000001E-4</v>
      </c>
      <c r="P227">
        <v>0.99834670000000003</v>
      </c>
      <c r="Q227">
        <v>1.343305E-2</v>
      </c>
      <c r="R227">
        <v>-5.5888319999999998E-2</v>
      </c>
      <c r="S227">
        <v>3.0061339999999999</v>
      </c>
      <c r="T227">
        <v>-4.695129E-2</v>
      </c>
      <c r="U227">
        <v>1.049805E-2</v>
      </c>
      <c r="V227">
        <v>5.5114490000000002E-2</v>
      </c>
      <c r="W227">
        <v>1.46506E-2</v>
      </c>
      <c r="X227">
        <v>0.99837260000000005</v>
      </c>
      <c r="Y227">
        <v>-4.2633289999999997E-3</v>
      </c>
      <c r="Z227" s="1">
        <v>4.5344240000000001E-5</v>
      </c>
      <c r="AA227">
        <v>0.99999090000000002</v>
      </c>
      <c r="AB227">
        <v>14</v>
      </c>
      <c r="AC227">
        <v>70.855799999999903</v>
      </c>
      <c r="AD227">
        <v>-1.108978810912</v>
      </c>
      <c r="AE227">
        <v>0.247700000000008</v>
      </c>
      <c r="AF227">
        <v>-0.30230962640474202</v>
      </c>
      <c r="AG227">
        <v>-1.108978810912</v>
      </c>
      <c r="AH227">
        <v>70.838235390846705</v>
      </c>
      <c r="AI227">
        <v>90.896889039836196</v>
      </c>
      <c r="AJ227">
        <v>90.244514285988402</v>
      </c>
      <c r="AK227">
        <v>70.847560426610897</v>
      </c>
      <c r="AL227">
        <v>89.160552461084293</v>
      </c>
      <c r="AM227">
        <v>86.8402321194433</v>
      </c>
      <c r="AN227">
        <v>1.0000000477595301</v>
      </c>
    </row>
    <row r="228" spans="1:40" x14ac:dyDescent="0.25">
      <c r="A228" t="str">
        <f>"20190312160910555"</f>
        <v>20190312160910555</v>
      </c>
      <c r="B228" t="str">
        <f>"1552378150545516"</f>
        <v>1552378150545516</v>
      </c>
      <c r="C228" t="s">
        <v>40</v>
      </c>
      <c r="D228">
        <v>5.6695000000000002</v>
      </c>
      <c r="E228">
        <v>0.47988789999999998</v>
      </c>
      <c r="F228" t="s">
        <v>43</v>
      </c>
      <c r="G228">
        <v>-397.6902</v>
      </c>
      <c r="H228">
        <v>-0.05</v>
      </c>
      <c r="I228">
        <v>367.07760000000002</v>
      </c>
      <c r="J228">
        <v>-462.59570000000002</v>
      </c>
      <c r="K228">
        <v>1.1089599999999999</v>
      </c>
      <c r="L228">
        <v>367.08330000000001</v>
      </c>
      <c r="M228">
        <v>0.99999939999999998</v>
      </c>
      <c r="N228">
        <v>0</v>
      </c>
      <c r="O228">
        <v>-2.077313E-4</v>
      </c>
      <c r="P228">
        <v>0.99844319999999998</v>
      </c>
      <c r="Q228">
        <v>1.356196E-2</v>
      </c>
      <c r="R228">
        <v>-5.4105880000000002E-2</v>
      </c>
      <c r="S228">
        <v>3.0056759999999998</v>
      </c>
      <c r="T228">
        <v>-5.3439380000000002E-2</v>
      </c>
      <c r="U228">
        <v>-2.4414059999999999E-4</v>
      </c>
      <c r="V228">
        <v>5.3894829999999998E-2</v>
      </c>
      <c r="W228">
        <v>1.4684930000000001E-2</v>
      </c>
      <c r="X228">
        <v>0.99843870000000001</v>
      </c>
      <c r="Y228">
        <v>-1.264521E-4</v>
      </c>
      <c r="Z228" s="1">
        <v>4.8171059999999998E-6</v>
      </c>
      <c r="AA228">
        <v>1</v>
      </c>
      <c r="AB228">
        <v>14</v>
      </c>
      <c r="AC228">
        <v>64.905500000000004</v>
      </c>
      <c r="AD228">
        <v>-1.15896</v>
      </c>
      <c r="AE228">
        <v>-5.6999999999902597E-3</v>
      </c>
      <c r="AF228">
        <v>-7.7804310951009696E-3</v>
      </c>
      <c r="AG228">
        <v>-1.15896</v>
      </c>
      <c r="AH228">
        <v>64.884811858287705</v>
      </c>
      <c r="AI228">
        <v>91.023297343592802</v>
      </c>
      <c r="AJ228">
        <v>90.006870419280503</v>
      </c>
      <c r="AK228">
        <v>64.895162059294506</v>
      </c>
      <c r="AL228">
        <v>89.158585303118301</v>
      </c>
      <c r="AM228">
        <v>86.910223564812199</v>
      </c>
      <c r="AN228">
        <v>1.00000006876375</v>
      </c>
    </row>
    <row r="229" spans="1:40" x14ac:dyDescent="0.25">
      <c r="A229" t="str">
        <f>"20190312160910575"</f>
        <v>20190312160910575</v>
      </c>
      <c r="B229" t="str">
        <f>"1552378150565035"</f>
        <v>1552378150565035</v>
      </c>
      <c r="C229" t="s">
        <v>40</v>
      </c>
      <c r="D229">
        <v>5.6343430000000003</v>
      </c>
      <c r="E229">
        <v>0.48057250000000001</v>
      </c>
      <c r="F229" t="s">
        <v>41</v>
      </c>
      <c r="G229">
        <v>-397.54719999999998</v>
      </c>
      <c r="H229" s="1">
        <v>-1.5071829999999999E-6</v>
      </c>
      <c r="I229">
        <v>367.03640000000001</v>
      </c>
      <c r="J229">
        <v>-462.45819999999998</v>
      </c>
      <c r="K229">
        <v>1.1089549999999999</v>
      </c>
      <c r="L229">
        <v>367.08359999999999</v>
      </c>
      <c r="M229">
        <v>0.99999939999999998</v>
      </c>
      <c r="N229">
        <v>0</v>
      </c>
      <c r="O229" s="1">
        <v>6.8794819999999995E-5</v>
      </c>
      <c r="P229">
        <v>0.99848939999999997</v>
      </c>
      <c r="Q229">
        <v>1.312019E-2</v>
      </c>
      <c r="R229">
        <v>-5.335558E-2</v>
      </c>
      <c r="S229">
        <v>3.0052490000000001</v>
      </c>
      <c r="T229">
        <v>-5.1234130000000003E-2</v>
      </c>
      <c r="U229">
        <v>-2.166748E-3</v>
      </c>
      <c r="V229">
        <v>5.3420620000000002E-2</v>
      </c>
      <c r="W229">
        <v>1.420099E-2</v>
      </c>
      <c r="X229">
        <v>0.99847109999999994</v>
      </c>
      <c r="Y229">
        <v>7.8965789999999904E-4</v>
      </c>
      <c r="Z229" s="1">
        <v>-7.9033839999999907E-6</v>
      </c>
      <c r="AA229">
        <v>0.99999970000000005</v>
      </c>
      <c r="AB229">
        <v>14</v>
      </c>
      <c r="AC229">
        <v>64.911000000000001</v>
      </c>
      <c r="AD229">
        <v>-1.1089565071830001</v>
      </c>
      <c r="AE229">
        <v>-4.7199999999975199E-2</v>
      </c>
      <c r="AF229">
        <v>5.1650467800915902E-2</v>
      </c>
      <c r="AG229">
        <v>-1.1089565071830001</v>
      </c>
      <c r="AH229">
        <v>64.892056435276103</v>
      </c>
      <c r="AI229">
        <v>90.979046229425407</v>
      </c>
      <c r="AJ229">
        <v>89.954395755775096</v>
      </c>
      <c r="AK229">
        <v>64.901551912914201</v>
      </c>
      <c r="AL229">
        <v>89.186315844604295</v>
      </c>
      <c r="AM229">
        <v>86.937457107064205</v>
      </c>
      <c r="AN229">
        <v>0.999999984146687</v>
      </c>
    </row>
    <row r="230" spans="1:40" x14ac:dyDescent="0.25">
      <c r="A230" t="str">
        <f>"20190312160910597"</f>
        <v>20190312160910597</v>
      </c>
      <c r="B230" t="str">
        <f>"1552378150585534"</f>
        <v>1552378150585534</v>
      </c>
      <c r="C230" t="s">
        <v>40</v>
      </c>
      <c r="D230">
        <v>5.6411720000000001</v>
      </c>
      <c r="E230">
        <v>0.48084900000000003</v>
      </c>
      <c r="F230" t="s">
        <v>43</v>
      </c>
      <c r="G230">
        <v>-399.72089999999997</v>
      </c>
      <c r="H230">
        <v>-0.05</v>
      </c>
      <c r="I230">
        <v>366.97980000000001</v>
      </c>
      <c r="J230">
        <v>-462.32029999999997</v>
      </c>
      <c r="K230">
        <v>1.1089560000000001</v>
      </c>
      <c r="L230">
        <v>367.08390000000003</v>
      </c>
      <c r="M230">
        <v>0.99999950000000004</v>
      </c>
      <c r="N230">
        <v>0</v>
      </c>
      <c r="O230">
        <v>3.4496139999999999E-4</v>
      </c>
      <c r="P230">
        <v>0.99852600000000002</v>
      </c>
      <c r="Q230">
        <v>1.308017E-2</v>
      </c>
      <c r="R230">
        <v>-5.2675840000000002E-2</v>
      </c>
      <c r="S230">
        <v>3.0050050000000001</v>
      </c>
      <c r="T230">
        <v>-5.5511949999999997E-2</v>
      </c>
      <c r="U230">
        <v>-4.9743649999999997E-3</v>
      </c>
      <c r="V230">
        <v>5.3016699999999903E-2</v>
      </c>
      <c r="W230">
        <v>1.4122799999999901E-2</v>
      </c>
      <c r="X230">
        <v>0.99849370000000004</v>
      </c>
      <c r="Y230">
        <v>1.9999190000000002E-3</v>
      </c>
      <c r="Z230" s="1">
        <v>-2.4842809999999999E-5</v>
      </c>
      <c r="AA230">
        <v>0.99999800000000005</v>
      </c>
      <c r="AB230">
        <v>14</v>
      </c>
      <c r="AC230">
        <v>62.599400000000003</v>
      </c>
      <c r="AD230">
        <v>-1.1589559999999901</v>
      </c>
      <c r="AE230">
        <v>-0.104100000000016</v>
      </c>
      <c r="AF230">
        <v>0.125651311517961</v>
      </c>
      <c r="AG230">
        <v>-1.1589559999999901</v>
      </c>
      <c r="AH230">
        <v>62.577911050451803</v>
      </c>
      <c r="AI230">
        <v>91.061006383990801</v>
      </c>
      <c r="AJ230">
        <v>89.884954929874894</v>
      </c>
      <c r="AK230">
        <v>62.588768311097802</v>
      </c>
      <c r="AL230">
        <v>89.190796220485694</v>
      </c>
      <c r="AM230">
        <v>86.960638460179098</v>
      </c>
      <c r="AN230">
        <v>0.99999994644920798</v>
      </c>
    </row>
    <row r="231" spans="1:40" x14ac:dyDescent="0.25">
      <c r="A231" t="str">
        <f>"20190312160910620"</f>
        <v>20190312160910620</v>
      </c>
      <c r="B231" t="str">
        <f>"1552378150614813"</f>
        <v>1552378150614813</v>
      </c>
      <c r="C231" t="s">
        <v>40</v>
      </c>
      <c r="D231">
        <v>5.6708030000000003</v>
      </c>
      <c r="E231">
        <v>0.48086400000000001</v>
      </c>
      <c r="F231" t="s">
        <v>43</v>
      </c>
      <c r="G231">
        <v>-400.75670000000002</v>
      </c>
      <c r="H231">
        <v>-0.05</v>
      </c>
      <c r="I231">
        <v>366.97629999999998</v>
      </c>
      <c r="J231">
        <v>-462.1651</v>
      </c>
      <c r="K231">
        <v>1.1089519999999999</v>
      </c>
      <c r="L231">
        <v>367.08440000000002</v>
      </c>
      <c r="M231">
        <v>0.99999930000000004</v>
      </c>
      <c r="N231">
        <v>0</v>
      </c>
      <c r="O231">
        <v>6.5557919999999995E-4</v>
      </c>
      <c r="P231">
        <v>0.99857340000000006</v>
      </c>
      <c r="Q231">
        <v>1.316867E-2</v>
      </c>
      <c r="R231">
        <v>-5.1747439999999999E-2</v>
      </c>
      <c r="S231">
        <v>3.004883</v>
      </c>
      <c r="T231">
        <v>-5.6568029999999998E-2</v>
      </c>
      <c r="U231">
        <v>-5.2490230000000002E-3</v>
      </c>
      <c r="V231">
        <v>5.2398340000000002E-2</v>
      </c>
      <c r="W231">
        <v>1.4171909999999999E-2</v>
      </c>
      <c r="X231">
        <v>0.99852569999999996</v>
      </c>
      <c r="Y231">
        <v>2.401865E-3</v>
      </c>
      <c r="Z231" s="1">
        <v>-3.49464099999999E-5</v>
      </c>
      <c r="AA231">
        <v>0.99999709999999997</v>
      </c>
      <c r="AB231">
        <v>15</v>
      </c>
      <c r="AC231">
        <v>61.408399999999901</v>
      </c>
      <c r="AD231">
        <v>-1.158952</v>
      </c>
      <c r="AE231">
        <v>-0.108100000000035</v>
      </c>
      <c r="AF231">
        <v>0.148305242141443</v>
      </c>
      <c r="AG231">
        <v>-1.158952</v>
      </c>
      <c r="AH231">
        <v>61.386451085011899</v>
      </c>
      <c r="AI231">
        <v>91.081590082108505</v>
      </c>
      <c r="AJ231">
        <v>89.861577794900597</v>
      </c>
      <c r="AK231">
        <v>61.397569503977103</v>
      </c>
      <c r="AL231">
        <v>89.187982187527496</v>
      </c>
      <c r="AM231">
        <v>86.996118820779898</v>
      </c>
      <c r="AN231">
        <v>1.0000000013141399</v>
      </c>
    </row>
    <row r="232" spans="1:40" x14ac:dyDescent="0.25">
      <c r="A232" t="str">
        <f>"20190312160910642"</f>
        <v>20190312160910642</v>
      </c>
      <c r="B232" t="str">
        <f>"1552378150635307"</f>
        <v>1552378150635307</v>
      </c>
      <c r="C232" t="s">
        <v>40</v>
      </c>
      <c r="D232">
        <v>5.6459440000000001</v>
      </c>
      <c r="E232">
        <v>0.48089080000000001</v>
      </c>
      <c r="F232" t="s">
        <v>41</v>
      </c>
      <c r="G232">
        <v>-397.51330000000002</v>
      </c>
      <c r="H232" s="1">
        <v>-1.5208450000000001E-6</v>
      </c>
      <c r="I232">
        <v>367.02850000000001</v>
      </c>
      <c r="J232">
        <v>-462.01760000000002</v>
      </c>
      <c r="K232">
        <v>1.1089500000000001</v>
      </c>
      <c r="L232">
        <v>367.08479999999997</v>
      </c>
      <c r="M232">
        <v>0.99999910000000003</v>
      </c>
      <c r="N232">
        <v>0</v>
      </c>
      <c r="O232">
        <v>9.5117309999999996E-4</v>
      </c>
      <c r="P232">
        <v>0.99858659999999999</v>
      </c>
      <c r="Q232">
        <v>1.3337389999999999E-2</v>
      </c>
      <c r="R232">
        <v>-5.1451330000000003E-2</v>
      </c>
      <c r="S232">
        <v>3.0047609999999998</v>
      </c>
      <c r="T232">
        <v>-5.1539660000000001E-2</v>
      </c>
      <c r="U232">
        <v>-2.5939940000000001E-3</v>
      </c>
      <c r="V232">
        <v>5.2397100000000002E-2</v>
      </c>
      <c r="W232">
        <v>1.430731E-2</v>
      </c>
      <c r="X232">
        <v>0.99852379999999996</v>
      </c>
      <c r="Y232">
        <v>1.8140599999999999E-3</v>
      </c>
      <c r="Z232" s="1">
        <v>-3.18708E-5</v>
      </c>
      <c r="AA232">
        <v>0.99999830000000001</v>
      </c>
      <c r="AB232">
        <v>15</v>
      </c>
      <c r="AC232">
        <v>64.504300000000001</v>
      </c>
      <c r="AD232">
        <v>-1.108951520845</v>
      </c>
      <c r="AE232">
        <v>-5.6299999999964698E-2</v>
      </c>
      <c r="AF232">
        <v>0.11761999308141401</v>
      </c>
      <c r="AG232">
        <v>-1.108951520845</v>
      </c>
      <c r="AH232">
        <v>64.485157957134305</v>
      </c>
      <c r="AI232">
        <v>90.985216998077405</v>
      </c>
      <c r="AJ232">
        <v>89.895493444849706</v>
      </c>
      <c r="AK232">
        <v>64.4947998267684</v>
      </c>
      <c r="AL232">
        <v>89.180223524371797</v>
      </c>
      <c r="AM232">
        <v>86.996184071848205</v>
      </c>
      <c r="AN232">
        <v>0.99999996718714201</v>
      </c>
    </row>
    <row r="233" spans="1:40" x14ac:dyDescent="0.25">
      <c r="A233" t="str">
        <f>"20190312160910664"</f>
        <v>20190312160910664</v>
      </c>
      <c r="B233" t="str">
        <f>"1552378150654827"</f>
        <v>1552378150654827</v>
      </c>
      <c r="C233" t="s">
        <v>40</v>
      </c>
      <c r="D233">
        <v>5.740119</v>
      </c>
      <c r="E233">
        <v>0.48096080000000002</v>
      </c>
      <c r="F233" t="s">
        <v>41</v>
      </c>
      <c r="G233">
        <v>-393.6026</v>
      </c>
      <c r="H233" s="1">
        <v>-3.1824849999999998E-6</v>
      </c>
      <c r="I233">
        <v>367.04719999999998</v>
      </c>
      <c r="J233">
        <v>-461.86349999999999</v>
      </c>
      <c r="K233">
        <v>1.108938</v>
      </c>
      <c r="L233">
        <v>367.08530000000002</v>
      </c>
      <c r="M233">
        <v>0.99999890000000002</v>
      </c>
      <c r="N233">
        <v>0</v>
      </c>
      <c r="O233">
        <v>1.2586870000000001E-3</v>
      </c>
      <c r="P233">
        <v>0.99858630000000004</v>
      </c>
      <c r="Q233">
        <v>1.34352999999999E-2</v>
      </c>
      <c r="R233">
        <v>-5.143176E-2</v>
      </c>
      <c r="S233">
        <v>3.004791</v>
      </c>
      <c r="T233">
        <v>-4.870522E-2</v>
      </c>
      <c r="U233">
        <v>-1.6479489999999999E-3</v>
      </c>
      <c r="V233">
        <v>5.2684590000000003E-2</v>
      </c>
      <c r="W233">
        <v>1.437359E-2</v>
      </c>
      <c r="X233">
        <v>0.9985077</v>
      </c>
      <c r="Y233">
        <v>1.806724E-3</v>
      </c>
      <c r="Z233" s="1">
        <v>-3.5042749999999999E-5</v>
      </c>
      <c r="AA233">
        <v>0.99999839999999995</v>
      </c>
      <c r="AB233">
        <v>15</v>
      </c>
      <c r="AC233">
        <v>68.260899999999907</v>
      </c>
      <c r="AD233">
        <v>-1.108941182485</v>
      </c>
      <c r="AE233">
        <v>-3.81000000000426E-2</v>
      </c>
      <c r="AF233">
        <v>0.123986381179605</v>
      </c>
      <c r="AG233">
        <v>-1.108941182485</v>
      </c>
      <c r="AH233">
        <v>68.242787311414105</v>
      </c>
      <c r="AI233">
        <v>90.930969490547895</v>
      </c>
      <c r="AJ233">
        <v>89.895902719948396</v>
      </c>
      <c r="AK233">
        <v>68.251909447280894</v>
      </c>
      <c r="AL233">
        <v>89.176425552429606</v>
      </c>
      <c r="AM233">
        <v>86.979684695030599</v>
      </c>
      <c r="AN233">
        <v>0.99999994653612101</v>
      </c>
    </row>
    <row r="234" spans="1:40" x14ac:dyDescent="0.25">
      <c r="A234" t="str">
        <f>"20190312160910687"</f>
        <v>20190312160910687</v>
      </c>
      <c r="B234" t="str">
        <f>"1552378150675324"</f>
        <v>1552378150675324</v>
      </c>
      <c r="C234" t="s">
        <v>40</v>
      </c>
      <c r="D234">
        <v>5.6276440000000001</v>
      </c>
      <c r="E234">
        <v>0.48100609999999999</v>
      </c>
      <c r="F234" t="s">
        <v>41</v>
      </c>
      <c r="G234">
        <v>-393.31209999999999</v>
      </c>
      <c r="H234" s="1">
        <v>-3.3103860000000001E-6</v>
      </c>
      <c r="I234">
        <v>367.02879999999999</v>
      </c>
      <c r="J234">
        <v>-461.70600000000002</v>
      </c>
      <c r="K234">
        <v>1.10894</v>
      </c>
      <c r="L234">
        <v>367.08580000000001</v>
      </c>
      <c r="M234">
        <v>0.99999839999999995</v>
      </c>
      <c r="N234">
        <v>0</v>
      </c>
      <c r="O234">
        <v>1.572934E-3</v>
      </c>
      <c r="P234">
        <v>0.99859799999999999</v>
      </c>
      <c r="Q234">
        <v>1.311789E-2</v>
      </c>
      <c r="R234">
        <v>-5.1283389999999998E-2</v>
      </c>
      <c r="S234">
        <v>3.0047299999999999</v>
      </c>
      <c r="T234">
        <v>-4.8606749999999997E-2</v>
      </c>
      <c r="U234">
        <v>-2.4719239999999999E-3</v>
      </c>
      <c r="V234">
        <v>5.2849930000000003E-2</v>
      </c>
      <c r="W234">
        <v>1.4029349999999999E-2</v>
      </c>
      <c r="X234">
        <v>0.9985039</v>
      </c>
      <c r="Y234">
        <v>2.3950909999999998E-3</v>
      </c>
      <c r="Z234" s="1">
        <v>-4.4814410000000003E-5</v>
      </c>
      <c r="AA234">
        <v>0.99999709999999997</v>
      </c>
      <c r="AB234">
        <v>15</v>
      </c>
      <c r="AC234">
        <v>68.393899999999903</v>
      </c>
      <c r="AD234">
        <v>-1.108943310386</v>
      </c>
      <c r="AE234">
        <v>-5.7000000000016302E-2</v>
      </c>
      <c r="AF234">
        <v>0.164535803462632</v>
      </c>
      <c r="AG234">
        <v>-1.108943310386</v>
      </c>
      <c r="AH234">
        <v>68.375750037573297</v>
      </c>
      <c r="AI234">
        <v>90.9291600814866</v>
      </c>
      <c r="AJ234">
        <v>89.8621267201313</v>
      </c>
      <c r="AK234">
        <v>68.384940012381193</v>
      </c>
      <c r="AL234">
        <v>89.196151075321396</v>
      </c>
      <c r="AM234">
        <v>86.970212165750297</v>
      </c>
      <c r="AN234">
        <v>0.99999998803881796</v>
      </c>
    </row>
    <row r="235" spans="1:40" x14ac:dyDescent="0.25">
      <c r="A235" t="str">
        <f>"20190312160910712"</f>
        <v>20190312160910712</v>
      </c>
      <c r="B235" t="str">
        <f>"1552378150705579"</f>
        <v>1552378150705579</v>
      </c>
      <c r="C235" t="s">
        <v>40</v>
      </c>
      <c r="D235">
        <v>5.6081599999999998</v>
      </c>
      <c r="E235">
        <v>0.48111330000000002</v>
      </c>
      <c r="F235" t="s">
        <v>41</v>
      </c>
      <c r="G235">
        <v>-391.26220000000001</v>
      </c>
      <c r="H235" s="1">
        <v>-4.18969E-6</v>
      </c>
      <c r="I235">
        <v>367.0292</v>
      </c>
      <c r="J235">
        <v>-461.52539999999999</v>
      </c>
      <c r="K235">
        <v>1.108935</v>
      </c>
      <c r="L235">
        <v>367.0865</v>
      </c>
      <c r="M235">
        <v>0.99999769999999999</v>
      </c>
      <c r="N235">
        <v>0</v>
      </c>
      <c r="O235">
        <v>1.933195E-3</v>
      </c>
      <c r="P235">
        <v>0.99863959999999996</v>
      </c>
      <c r="Q235">
        <v>1.3174780000000001E-2</v>
      </c>
      <c r="R235">
        <v>-5.0450120000000001E-2</v>
      </c>
      <c r="S235">
        <v>3.0046689999999998</v>
      </c>
      <c r="T235">
        <v>-4.7300219999999997E-2</v>
      </c>
      <c r="U235">
        <v>-2.4108889999999998E-3</v>
      </c>
      <c r="V235">
        <v>5.2376329999999999E-2</v>
      </c>
      <c r="W235">
        <v>1.405938E-2</v>
      </c>
      <c r="X235">
        <v>0.99852839999999998</v>
      </c>
      <c r="Y235">
        <v>2.734995E-3</v>
      </c>
      <c r="Z235" s="1">
        <v>-5.1957070000000002E-5</v>
      </c>
      <c r="AA235">
        <v>0.9999962</v>
      </c>
      <c r="AB235">
        <v>16</v>
      </c>
      <c r="AC235">
        <v>70.263199999999898</v>
      </c>
      <c r="AD235">
        <v>-1.10893918969</v>
      </c>
      <c r="AE235">
        <v>-5.7299999999997901E-2</v>
      </c>
      <c r="AF235">
        <v>0.193084322736984</v>
      </c>
      <c r="AG235">
        <v>-1.10893918969</v>
      </c>
      <c r="AH235">
        <v>70.245460368447496</v>
      </c>
      <c r="AI235">
        <v>90.904428806792396</v>
      </c>
      <c r="AJ235">
        <v>89.842510977029903</v>
      </c>
      <c r="AK235">
        <v>70.254478363000104</v>
      </c>
      <c r="AL235">
        <v>89.194430287403094</v>
      </c>
      <c r="AM235">
        <v>86.997386400252097</v>
      </c>
      <c r="AN235">
        <v>0.99999995585840495</v>
      </c>
    </row>
    <row r="236" spans="1:40" x14ac:dyDescent="0.25">
      <c r="A236" t="str">
        <f>"20190312160910734"</f>
        <v>20190312160910734</v>
      </c>
      <c r="B236" t="str">
        <f>"1552378150725099"</f>
        <v>1552378150725099</v>
      </c>
      <c r="C236" t="s">
        <v>40</v>
      </c>
      <c r="D236">
        <v>5.5762210000000003</v>
      </c>
      <c r="E236">
        <v>0.48128290000000001</v>
      </c>
      <c r="F236" t="s">
        <v>41</v>
      </c>
      <c r="G236">
        <v>-386.12180000000001</v>
      </c>
      <c r="H236" s="1">
        <v>-2.0980589999999998E-6</v>
      </c>
      <c r="I236">
        <v>367.06810000000002</v>
      </c>
      <c r="J236">
        <v>-461.3689</v>
      </c>
      <c r="K236">
        <v>1.108932</v>
      </c>
      <c r="L236">
        <v>367.0872</v>
      </c>
      <c r="M236">
        <v>0.99999709999999997</v>
      </c>
      <c r="N236">
        <v>0</v>
      </c>
      <c r="O236">
        <v>2.2449340000000001E-3</v>
      </c>
      <c r="P236">
        <v>0.99867899999999998</v>
      </c>
      <c r="Q236">
        <v>1.3235200000000001E-2</v>
      </c>
      <c r="R236">
        <v>-4.9650220000000002E-2</v>
      </c>
      <c r="S236">
        <v>3.0046390000000001</v>
      </c>
      <c r="T236">
        <v>-4.418826E-2</v>
      </c>
      <c r="U236">
        <v>-7.3242190000000001E-4</v>
      </c>
      <c r="V236">
        <v>5.1887709999999997E-2</v>
      </c>
      <c r="W236">
        <v>1.4100390000000001E-2</v>
      </c>
      <c r="X236">
        <v>0.99855340000000004</v>
      </c>
      <c r="Y236">
        <v>2.4881859999999999E-3</v>
      </c>
      <c r="Z236" s="1">
        <v>-5.1309230000000002E-5</v>
      </c>
      <c r="AA236">
        <v>0.99999689999999997</v>
      </c>
      <c r="AB236">
        <v>16</v>
      </c>
      <c r="AC236">
        <v>75.247099999999904</v>
      </c>
      <c r="AD236">
        <v>-1.1089340980589999</v>
      </c>
      <c r="AE236">
        <v>-1.9099999999980299E-2</v>
      </c>
      <c r="AF236">
        <v>0.187983961782691</v>
      </c>
      <c r="AG236">
        <v>-1.1089340980589999</v>
      </c>
      <c r="AH236">
        <v>75.230528488069197</v>
      </c>
      <c r="AI236">
        <v>90.844503492277298</v>
      </c>
      <c r="AJ236">
        <v>89.856831190396406</v>
      </c>
      <c r="AK236">
        <v>75.238935993260299</v>
      </c>
      <c r="AL236">
        <v>89.192080409537198</v>
      </c>
      <c r="AM236">
        <v>87.025421648380799</v>
      </c>
      <c r="AN236">
        <v>1.0000000240493701</v>
      </c>
    </row>
    <row r="237" spans="1:40" x14ac:dyDescent="0.25">
      <c r="A237" t="str">
        <f>"20190312160910756"</f>
        <v>20190312160910756</v>
      </c>
      <c r="B237" t="str">
        <f>"1552378150745595"</f>
        <v>1552378150745595</v>
      </c>
      <c r="C237" t="s">
        <v>40</v>
      </c>
      <c r="D237">
        <v>5.5309670000000004</v>
      </c>
      <c r="E237">
        <v>0.48142210000000002</v>
      </c>
      <c r="F237" t="s">
        <v>41</v>
      </c>
      <c r="G237">
        <v>-385.34410000000003</v>
      </c>
      <c r="H237" s="1">
        <v>-2.425833E-6</v>
      </c>
      <c r="I237">
        <v>367.101</v>
      </c>
      <c r="J237">
        <v>-461.21050000000002</v>
      </c>
      <c r="K237">
        <v>1.108943</v>
      </c>
      <c r="L237">
        <v>367.08789999999999</v>
      </c>
      <c r="M237">
        <v>0.99999640000000001</v>
      </c>
      <c r="N237">
        <v>0</v>
      </c>
      <c r="O237">
        <v>2.559534E-3</v>
      </c>
      <c r="P237">
        <v>0.99868579999999996</v>
      </c>
      <c r="Q237">
        <v>1.3131459999999999E-2</v>
      </c>
      <c r="R237">
        <v>-4.9542320000000001E-2</v>
      </c>
      <c r="S237">
        <v>3.0045470000000001</v>
      </c>
      <c r="T237">
        <v>-4.3825749999999997E-2</v>
      </c>
      <c r="U237">
        <v>5.4931640000000002E-4</v>
      </c>
      <c r="V237">
        <v>5.2093859999999999E-2</v>
      </c>
      <c r="W237">
        <v>1.3981189999999999E-2</v>
      </c>
      <c r="X237">
        <v>0.99854430000000005</v>
      </c>
      <c r="Y237">
        <v>2.3761820000000001E-3</v>
      </c>
      <c r="Z237" s="1">
        <v>-5.4661709999999898E-5</v>
      </c>
      <c r="AA237">
        <v>0.99999720000000003</v>
      </c>
      <c r="AB237">
        <v>16</v>
      </c>
      <c r="AC237">
        <v>75.866399999999999</v>
      </c>
      <c r="AD237">
        <v>-1.108945425833</v>
      </c>
      <c r="AE237">
        <v>1.3100000000008501E-2</v>
      </c>
      <c r="AF237">
        <v>0.18104405444978</v>
      </c>
      <c r="AG237">
        <v>-1.108945425833</v>
      </c>
      <c r="AH237">
        <v>75.849978983049795</v>
      </c>
      <c r="AI237">
        <v>90.837616384087696</v>
      </c>
      <c r="AJ237">
        <v>89.863242671044901</v>
      </c>
      <c r="AK237">
        <v>75.858301118837403</v>
      </c>
      <c r="AL237">
        <v>89.198910705513001</v>
      </c>
      <c r="AM237">
        <v>87.013597825116705</v>
      </c>
      <c r="AN237">
        <v>0.99999998149300195</v>
      </c>
    </row>
    <row r="238" spans="1:40" x14ac:dyDescent="0.25">
      <c r="A238" t="str">
        <f>"20190312160910800"</f>
        <v>20190312160910800</v>
      </c>
      <c r="B238" t="str">
        <f>"1552378150795371"</f>
        <v>1552378150795371</v>
      </c>
      <c r="C238" t="s">
        <v>40</v>
      </c>
      <c r="D238">
        <v>5.453703</v>
      </c>
      <c r="E238">
        <v>0.48191580000000001</v>
      </c>
      <c r="F238" t="s">
        <v>41</v>
      </c>
      <c r="G238">
        <v>-387.04390000000001</v>
      </c>
      <c r="H238" s="1">
        <v>-1.6996650000000001E-6</v>
      </c>
      <c r="I238">
        <v>367.08409999999998</v>
      </c>
      <c r="J238">
        <v>-460.89069999999998</v>
      </c>
      <c r="K238">
        <v>1.108941</v>
      </c>
      <c r="L238">
        <v>367.08949999999999</v>
      </c>
      <c r="M238">
        <v>0.99999470000000001</v>
      </c>
      <c r="N238">
        <v>0</v>
      </c>
      <c r="O238">
        <v>3.195346E-3</v>
      </c>
      <c r="P238">
        <v>0.99877490000000002</v>
      </c>
      <c r="Q238">
        <v>1.3937130000000001E-2</v>
      </c>
      <c r="R238">
        <v>-4.7482539999999997E-2</v>
      </c>
      <c r="S238">
        <v>3.0045169999999999</v>
      </c>
      <c r="T238">
        <v>-4.4923659999999997E-2</v>
      </c>
      <c r="U238">
        <v>-1.5258789999999999E-4</v>
      </c>
      <c r="V238">
        <v>5.0668970000000001E-2</v>
      </c>
      <c r="W238">
        <v>1.4765510000000001E-2</v>
      </c>
      <c r="X238">
        <v>0.99860629999999995</v>
      </c>
      <c r="Y238">
        <v>3.2454129999999999E-3</v>
      </c>
      <c r="Z238" s="1">
        <v>-7.2035660000000003E-5</v>
      </c>
      <c r="AA238">
        <v>0.99999479999999996</v>
      </c>
      <c r="AB238">
        <v>16</v>
      </c>
      <c r="AC238">
        <v>73.846799999999902</v>
      </c>
      <c r="AD238">
        <v>-1.108942699665</v>
      </c>
      <c r="AE238">
        <v>-5.4000000000087303E-3</v>
      </c>
      <c r="AF238">
        <v>0.241311678583533</v>
      </c>
      <c r="AG238">
        <v>-1.108942699665</v>
      </c>
      <c r="AH238">
        <v>73.829756818953697</v>
      </c>
      <c r="AI238">
        <v>90.860528630626206</v>
      </c>
      <c r="AJ238">
        <v>89.812730095680493</v>
      </c>
      <c r="AK238">
        <v>73.838478973928005</v>
      </c>
      <c r="AL238">
        <v>89.153967811457903</v>
      </c>
      <c r="AM238">
        <v>87.095321148852307</v>
      </c>
      <c r="AN238">
        <v>0.99999995360305405</v>
      </c>
    </row>
    <row r="239" spans="1:40" x14ac:dyDescent="0.25">
      <c r="A239" t="str">
        <f>"20190312160910820"</f>
        <v>20190312160910820</v>
      </c>
      <c r="B239" t="str">
        <f>"1552378150814890"</f>
        <v>1552378150814890</v>
      </c>
      <c r="C239" t="s">
        <v>40</v>
      </c>
      <c r="D239">
        <v>5.3853929999999997</v>
      </c>
      <c r="E239">
        <v>0.48214030000000002</v>
      </c>
      <c r="F239" t="s">
        <v>41</v>
      </c>
      <c r="G239">
        <v>-387.13709999999998</v>
      </c>
      <c r="H239" s="1">
        <v>-1.651131E-6</v>
      </c>
      <c r="I239">
        <v>367.13209999999998</v>
      </c>
      <c r="J239">
        <v>-460.73579999999998</v>
      </c>
      <c r="K239">
        <v>1.10894</v>
      </c>
      <c r="L239">
        <v>367.09030000000001</v>
      </c>
      <c r="M239">
        <v>0.99999360000000004</v>
      </c>
      <c r="N239">
        <v>0</v>
      </c>
      <c r="O239">
        <v>3.5024919999999998E-3</v>
      </c>
      <c r="P239">
        <v>0.99879070000000003</v>
      </c>
      <c r="Q239">
        <v>1.4211349999999999E-2</v>
      </c>
      <c r="R239">
        <v>-4.7066360000000002E-2</v>
      </c>
      <c r="S239">
        <v>3.0043950000000001</v>
      </c>
      <c r="T239">
        <v>-4.5173409999999997E-2</v>
      </c>
      <c r="U239">
        <v>1.739502E-3</v>
      </c>
      <c r="V239">
        <v>5.0559359999999998E-2</v>
      </c>
      <c r="W239">
        <v>1.5035369999999999E-2</v>
      </c>
      <c r="X239">
        <v>0.99860789999999999</v>
      </c>
      <c r="Y239">
        <v>2.9227839999999999E-3</v>
      </c>
      <c r="Z239" s="1">
        <v>-7.4631539999999995E-5</v>
      </c>
      <c r="AA239">
        <v>0.99999570000000004</v>
      </c>
      <c r="AB239">
        <v>17</v>
      </c>
      <c r="AC239">
        <v>73.598699999999994</v>
      </c>
      <c r="AD239">
        <v>-1.108941651131</v>
      </c>
      <c r="AE239">
        <v>4.1799999999966503E-2</v>
      </c>
      <c r="AF239">
        <v>0.215930161070782</v>
      </c>
      <c r="AG239">
        <v>-1.108941651131</v>
      </c>
      <c r="AH239">
        <v>73.581689959053193</v>
      </c>
      <c r="AI239">
        <v>90.863429380778697</v>
      </c>
      <c r="AJ239">
        <v>89.831862364239996</v>
      </c>
      <c r="AK239">
        <v>73.590362647905906</v>
      </c>
      <c r="AL239">
        <v>89.138504316063504</v>
      </c>
      <c r="AM239">
        <v>87.101598625541101</v>
      </c>
      <c r="AN239">
        <v>1.0000000245885201</v>
      </c>
    </row>
    <row r="240" spans="1:40" x14ac:dyDescent="0.25">
      <c r="A240" t="str">
        <f>"20190312160910843"</f>
        <v>20190312160910843</v>
      </c>
      <c r="B240" t="str">
        <f>"1552378150835387"</f>
        <v>1552378150835387</v>
      </c>
      <c r="C240" t="s">
        <v>40</v>
      </c>
      <c r="D240">
        <v>5.4103469999999998</v>
      </c>
      <c r="E240">
        <v>0.482296</v>
      </c>
      <c r="F240" t="s">
        <v>41</v>
      </c>
      <c r="G240">
        <v>-388.11349999999999</v>
      </c>
      <c r="H240" s="1">
        <v>-1.290346E-6</v>
      </c>
      <c r="I240">
        <v>367.12709999999998</v>
      </c>
      <c r="J240">
        <v>-460.56229999999999</v>
      </c>
      <c r="K240">
        <v>1.1089420000000001</v>
      </c>
      <c r="L240">
        <v>367.09129999999999</v>
      </c>
      <c r="M240">
        <v>0.9999924</v>
      </c>
      <c r="N240">
        <v>0</v>
      </c>
      <c r="O240">
        <v>3.8462940000000001E-3</v>
      </c>
      <c r="P240">
        <v>0.99879030000000002</v>
      </c>
      <c r="Q240">
        <v>1.4552570000000001E-2</v>
      </c>
      <c r="R240">
        <v>-4.6972350000000003E-2</v>
      </c>
      <c r="S240">
        <v>3.0043639999999998</v>
      </c>
      <c r="T240">
        <v>-4.5876500000000001E-2</v>
      </c>
      <c r="U240">
        <v>1.525879E-3</v>
      </c>
      <c r="V240">
        <v>5.0808289999999999E-2</v>
      </c>
      <c r="W240">
        <v>1.5373879999999999E-2</v>
      </c>
      <c r="X240">
        <v>0.99859010000000004</v>
      </c>
      <c r="Y240">
        <v>3.3375729999999999E-3</v>
      </c>
      <c r="Z240" s="1">
        <v>-8.4210009999999996E-5</v>
      </c>
      <c r="AA240">
        <v>0.99999439999999995</v>
      </c>
      <c r="AB240">
        <v>17</v>
      </c>
      <c r="AC240">
        <v>72.448800000000006</v>
      </c>
      <c r="AD240">
        <v>-1.1089432903459999</v>
      </c>
      <c r="AE240">
        <v>3.5799999999994697E-2</v>
      </c>
      <c r="AF240">
        <v>0.24280281953337399</v>
      </c>
      <c r="AG240">
        <v>-1.1089432903459999</v>
      </c>
      <c r="AH240">
        <v>72.431431737342805</v>
      </c>
      <c r="AI240">
        <v>90.877139220234994</v>
      </c>
      <c r="AJ240">
        <v>89.807935251708699</v>
      </c>
      <c r="AK240">
        <v>72.440327249065703</v>
      </c>
      <c r="AL240">
        <v>89.119106869779003</v>
      </c>
      <c r="AM240">
        <v>87.087300973091899</v>
      </c>
      <c r="AN240">
        <v>1.0000000131684901</v>
      </c>
    </row>
    <row r="241" spans="1:40" x14ac:dyDescent="0.25">
      <c r="A241" t="str">
        <f>"20190312160910865"</f>
        <v>20190312160910865</v>
      </c>
      <c r="B241" t="str">
        <f>"1552378150854907"</f>
        <v>1552378150854907</v>
      </c>
      <c r="C241" t="s">
        <v>40</v>
      </c>
      <c r="D241">
        <v>5.3501880000000002</v>
      </c>
      <c r="E241">
        <v>0.4824657</v>
      </c>
      <c r="F241" t="s">
        <v>41</v>
      </c>
      <c r="G241">
        <v>-388.51580000000001</v>
      </c>
      <c r="H241" s="1">
        <v>-1.160634E-6</v>
      </c>
      <c r="I241">
        <v>367.1</v>
      </c>
      <c r="J241">
        <v>-460.38580000000002</v>
      </c>
      <c r="K241">
        <v>1.1089519999999999</v>
      </c>
      <c r="L241">
        <v>367.09249999999997</v>
      </c>
      <c r="M241">
        <v>0.99999099999999996</v>
      </c>
      <c r="N241">
        <v>0</v>
      </c>
      <c r="O241">
        <v>4.1961150000000003E-3</v>
      </c>
      <c r="P241">
        <v>0.99880020000000003</v>
      </c>
      <c r="Q241">
        <v>1.4852000000000001E-2</v>
      </c>
      <c r="R241">
        <v>-4.6666369999999999E-2</v>
      </c>
      <c r="S241">
        <v>3.0043329999999999</v>
      </c>
      <c r="T241">
        <v>-4.6242829999999999E-2</v>
      </c>
      <c r="U241">
        <v>3.6621089999999999E-4</v>
      </c>
      <c r="V241">
        <v>5.0851449999999999E-2</v>
      </c>
      <c r="W241">
        <v>1.5674730000000001E-2</v>
      </c>
      <c r="X241">
        <v>0.9985832</v>
      </c>
      <c r="Y241">
        <v>4.0732429999999998E-3</v>
      </c>
      <c r="Z241" s="1">
        <v>-9.5928740000000005E-5</v>
      </c>
      <c r="AA241">
        <v>0.99999170000000004</v>
      </c>
      <c r="AB241">
        <v>17</v>
      </c>
      <c r="AC241">
        <v>71.87</v>
      </c>
      <c r="AD241">
        <v>-1.108953160634</v>
      </c>
      <c r="AE241">
        <v>7.5000000000500196E-3</v>
      </c>
      <c r="AF241">
        <v>0.29400491225694497</v>
      </c>
      <c r="AG241">
        <v>-1.108953160634</v>
      </c>
      <c r="AH241">
        <v>71.852291830048301</v>
      </c>
      <c r="AI241">
        <v>90.884213406840104</v>
      </c>
      <c r="AJ241">
        <v>89.765558673380994</v>
      </c>
      <c r="AK241">
        <v>71.861450425324307</v>
      </c>
      <c r="AL241">
        <v>89.101867333850507</v>
      </c>
      <c r="AM241">
        <v>87.084810886998895</v>
      </c>
      <c r="AN241">
        <v>0.99999998722495698</v>
      </c>
    </row>
    <row r="242" spans="1:40" x14ac:dyDescent="0.25">
      <c r="A242" t="str">
        <f>"20190312160910890"</f>
        <v>20190312160910890</v>
      </c>
      <c r="B242" t="str">
        <f>"1552378150885163"</f>
        <v>1552378150885163</v>
      </c>
      <c r="C242" t="s">
        <v>40</v>
      </c>
      <c r="D242">
        <v>5.2845199999999997</v>
      </c>
      <c r="E242">
        <v>0.48270259999999998</v>
      </c>
      <c r="F242" t="s">
        <v>41</v>
      </c>
      <c r="G242">
        <v>-387.1046</v>
      </c>
      <c r="H242" s="1">
        <v>-1.6717180000000001E-6</v>
      </c>
      <c r="I242">
        <v>367.09460000000001</v>
      </c>
      <c r="J242">
        <v>-460.202</v>
      </c>
      <c r="K242">
        <v>1.108957</v>
      </c>
      <c r="L242">
        <v>367.09359999999998</v>
      </c>
      <c r="M242">
        <v>0.99998929999999997</v>
      </c>
      <c r="N242">
        <v>0</v>
      </c>
      <c r="O242">
        <v>4.5586309999999996E-3</v>
      </c>
      <c r="P242">
        <v>0.99884949999999995</v>
      </c>
      <c r="Q242">
        <v>1.543104E-2</v>
      </c>
      <c r="R242">
        <v>-4.540777E-2</v>
      </c>
      <c r="S242">
        <v>3.0042420000000001</v>
      </c>
      <c r="T242">
        <v>-4.546273E-2</v>
      </c>
      <c r="U242" s="1">
        <v>9.1552730000000004E-5</v>
      </c>
      <c r="V242">
        <v>4.9954779999999997E-2</v>
      </c>
      <c r="W242">
        <v>1.6257830000000001E-2</v>
      </c>
      <c r="X242">
        <v>0.99861909999999998</v>
      </c>
      <c r="Y242">
        <v>4.5271180000000001E-3</v>
      </c>
      <c r="Z242">
        <v>-1.032331E-4</v>
      </c>
      <c r="AA242">
        <v>0.99998969999999998</v>
      </c>
      <c r="AB242">
        <v>17</v>
      </c>
      <c r="AC242">
        <v>73.097399999999993</v>
      </c>
      <c r="AD242">
        <v>-1.108958671718</v>
      </c>
      <c r="AE242">
        <v>1.0000000000331901E-3</v>
      </c>
      <c r="AF242">
        <v>0.33214774054602503</v>
      </c>
      <c r="AG242">
        <v>-1.108958671718</v>
      </c>
      <c r="AH242">
        <v>73.079825094521695</v>
      </c>
      <c r="AI242">
        <v>90.869366053359201</v>
      </c>
      <c r="AJ242">
        <v>89.739592525759406</v>
      </c>
      <c r="AK242">
        <v>73.088993338963206</v>
      </c>
      <c r="AL242">
        <v>89.068453871901099</v>
      </c>
      <c r="AM242">
        <v>87.136231224806394</v>
      </c>
      <c r="AN242">
        <v>0.99999995198298197</v>
      </c>
    </row>
    <row r="243" spans="1:40" x14ac:dyDescent="0.25">
      <c r="A243" t="str">
        <f>"20190312160910909"</f>
        <v>20190312160910909</v>
      </c>
      <c r="B243" t="str">
        <f>"1552378150905660"</f>
        <v>1552378150905660</v>
      </c>
      <c r="C243" t="s">
        <v>40</v>
      </c>
      <c r="D243">
        <v>5.2790819999999998</v>
      </c>
      <c r="E243">
        <v>0.48253239999999997</v>
      </c>
      <c r="F243" t="s">
        <v>41</v>
      </c>
      <c r="G243">
        <v>-386.13679999999999</v>
      </c>
      <c r="H243" s="1">
        <v>-2.0793609999999999E-6</v>
      </c>
      <c r="I243">
        <v>367.13720000000001</v>
      </c>
      <c r="J243">
        <v>-460.04390000000001</v>
      </c>
      <c r="K243">
        <v>1.1089530000000001</v>
      </c>
      <c r="L243">
        <v>367.09469999999999</v>
      </c>
      <c r="M243">
        <v>0.99998799999999999</v>
      </c>
      <c r="N243">
        <v>0</v>
      </c>
      <c r="O243">
        <v>4.8685739999999996E-3</v>
      </c>
      <c r="P243">
        <v>0.99886799999999998</v>
      </c>
      <c r="Q243">
        <v>1.5820399999999998E-2</v>
      </c>
      <c r="R243">
        <v>-4.4861860000000003E-2</v>
      </c>
      <c r="S243">
        <v>3.0042110000000002</v>
      </c>
      <c r="T243">
        <v>-4.4981239999999999E-2</v>
      </c>
      <c r="U243">
        <v>1.77002E-3</v>
      </c>
      <c r="V243">
        <v>4.971834E-2</v>
      </c>
      <c r="W243">
        <v>1.6653069999999999E-2</v>
      </c>
      <c r="X243">
        <v>0.99862439999999997</v>
      </c>
      <c r="Y243">
        <v>4.2783780000000002E-3</v>
      </c>
      <c r="Z243">
        <v>-1.049192E-4</v>
      </c>
      <c r="AA243">
        <v>0.99999079999999996</v>
      </c>
      <c r="AB243">
        <v>17</v>
      </c>
      <c r="AC243">
        <v>73.9071</v>
      </c>
      <c r="AD243">
        <v>-1.1089550793609999</v>
      </c>
      <c r="AE243">
        <v>4.25000000000181E-2</v>
      </c>
      <c r="AF243">
        <v>0.31725131615433499</v>
      </c>
      <c r="AG243">
        <v>-1.1089550793609999</v>
      </c>
      <c r="AH243">
        <v>73.889795343479506</v>
      </c>
      <c r="AI243">
        <v>90.859835785621897</v>
      </c>
      <c r="AJ243">
        <v>89.753997833123805</v>
      </c>
      <c r="AK243">
        <v>73.898797592835905</v>
      </c>
      <c r="AL243">
        <v>89.045805232729805</v>
      </c>
      <c r="AM243">
        <v>87.149778371591495</v>
      </c>
      <c r="AN243">
        <v>0.99999996517406897</v>
      </c>
    </row>
    <row r="244" spans="1:40" x14ac:dyDescent="0.25">
      <c r="A244" t="str">
        <f>"20190312160910933"</f>
        <v>20190312160910933</v>
      </c>
      <c r="B244" t="str">
        <f>"1552378150925178"</f>
        <v>1552378150925178</v>
      </c>
      <c r="C244" t="s">
        <v>40</v>
      </c>
      <c r="D244">
        <v>5.2237289999999996</v>
      </c>
      <c r="E244">
        <v>0.4823421</v>
      </c>
      <c r="F244" t="s">
        <v>41</v>
      </c>
      <c r="G244">
        <v>-389.05990000000003</v>
      </c>
      <c r="H244" s="1">
        <v>-9.4775329999999995E-7</v>
      </c>
      <c r="I244">
        <v>367.20429999999999</v>
      </c>
      <c r="J244">
        <v>-459.84789999999998</v>
      </c>
      <c r="K244">
        <v>1.1089450000000001</v>
      </c>
      <c r="L244">
        <v>367.09609999999998</v>
      </c>
      <c r="M244">
        <v>0.99998600000000004</v>
      </c>
      <c r="N244">
        <v>0</v>
      </c>
      <c r="O244">
        <v>5.2467640000000001E-3</v>
      </c>
      <c r="P244">
        <v>0.9989228</v>
      </c>
      <c r="Q244">
        <v>1.5668439999999999E-2</v>
      </c>
      <c r="R244">
        <v>-4.3682899999999997E-2</v>
      </c>
      <c r="S244">
        <v>3.0043950000000001</v>
      </c>
      <c r="T244">
        <v>-4.6936390000000001E-2</v>
      </c>
      <c r="U244">
        <v>4.6386719999999999E-3</v>
      </c>
      <c r="V244">
        <v>4.891728E-2</v>
      </c>
      <c r="W244">
        <v>1.651099E-2</v>
      </c>
      <c r="X244">
        <v>0.99866630000000001</v>
      </c>
      <c r="Y244">
        <v>3.701729E-3</v>
      </c>
      <c r="Z244">
        <v>-1.1087609999999999E-4</v>
      </c>
      <c r="AA244">
        <v>0.99999309999999997</v>
      </c>
      <c r="AB244">
        <v>18</v>
      </c>
      <c r="AC244">
        <v>70.787999999999897</v>
      </c>
      <c r="AD244">
        <v>-1.1089459477532999</v>
      </c>
      <c r="AE244">
        <v>0.10820000000001</v>
      </c>
      <c r="AF244">
        <v>0.26314492723734501</v>
      </c>
      <c r="AG244">
        <v>-1.1089459477532999</v>
      </c>
      <c r="AH244">
        <v>70.770225298957001</v>
      </c>
      <c r="AI244">
        <v>90.897726177345106</v>
      </c>
      <c r="AJ244">
        <v>89.786958086062299</v>
      </c>
      <c r="AK244">
        <v>70.779402337353005</v>
      </c>
      <c r="AL244">
        <v>89.053946918564804</v>
      </c>
      <c r="AM244">
        <v>87.195744599095903</v>
      </c>
      <c r="AN244">
        <v>0.99999994591453201</v>
      </c>
    </row>
    <row r="245" spans="1:40" x14ac:dyDescent="0.25">
      <c r="A245" t="str">
        <f>"20190312160910956"</f>
        <v>20190312160910956</v>
      </c>
      <c r="B245" t="str">
        <f>"1552378150944700"</f>
        <v>1552378150944700</v>
      </c>
      <c r="C245" t="s">
        <v>40</v>
      </c>
      <c r="D245">
        <v>5.2408380000000001</v>
      </c>
      <c r="E245">
        <v>0.48216799999999999</v>
      </c>
      <c r="F245" t="s">
        <v>41</v>
      </c>
      <c r="G245">
        <v>-393.92380000000003</v>
      </c>
      <c r="H245" s="1">
        <v>-2.9970650000000002E-6</v>
      </c>
      <c r="I245">
        <v>367.31569999999999</v>
      </c>
      <c r="J245">
        <v>-459.66559999999998</v>
      </c>
      <c r="K245">
        <v>1.108941</v>
      </c>
      <c r="L245">
        <v>367.09750000000003</v>
      </c>
      <c r="M245">
        <v>0.99998410000000004</v>
      </c>
      <c r="N245">
        <v>0</v>
      </c>
      <c r="O245">
        <v>5.5894269999999897E-3</v>
      </c>
      <c r="P245">
        <v>0.9989517</v>
      </c>
      <c r="Q245">
        <v>1.4825909999999999E-2</v>
      </c>
      <c r="R245">
        <v>-4.3311450000000001E-2</v>
      </c>
      <c r="S245">
        <v>3.0044559999999998</v>
      </c>
      <c r="T245">
        <v>-5.0539609999999999E-2</v>
      </c>
      <c r="U245">
        <v>1.0009769999999999E-2</v>
      </c>
      <c r="V245">
        <v>4.8888630000000002E-2</v>
      </c>
      <c r="W245">
        <v>1.567998E-2</v>
      </c>
      <c r="X245">
        <v>0.99868109999999999</v>
      </c>
      <c r="Y245">
        <v>2.256718E-3</v>
      </c>
      <c r="Z245">
        <v>-1.129948E-4</v>
      </c>
      <c r="AA245">
        <v>0.99999740000000004</v>
      </c>
      <c r="AB245">
        <v>18</v>
      </c>
      <c r="AC245">
        <v>65.741799999999898</v>
      </c>
      <c r="AD245">
        <v>-1.1089439970649999</v>
      </c>
      <c r="AE245">
        <v>0.218199999999967</v>
      </c>
      <c r="AF245">
        <v>0.14922004508466399</v>
      </c>
      <c r="AG245">
        <v>-1.1089439970649999</v>
      </c>
      <c r="AH245">
        <v>65.723292276015897</v>
      </c>
      <c r="AI245">
        <v>90.966653011713902</v>
      </c>
      <c r="AJ245">
        <v>89.869914244778201</v>
      </c>
      <c r="AK245">
        <v>65.732816545535997</v>
      </c>
      <c r="AL245">
        <v>89.101566460321294</v>
      </c>
      <c r="AM245">
        <v>87.197425850651896</v>
      </c>
      <c r="AN245">
        <v>0.99999994970664197</v>
      </c>
    </row>
    <row r="246" spans="1:40" x14ac:dyDescent="0.25">
      <c r="A246" t="str">
        <f>"20190312160910977"</f>
        <v>20190312160910977</v>
      </c>
      <c r="B246" t="str">
        <f>"1552378150974955"</f>
        <v>1552378150974955</v>
      </c>
      <c r="C246" t="s">
        <v>40</v>
      </c>
      <c r="D246">
        <v>5.1761249999999999</v>
      </c>
      <c r="E246">
        <v>0.48191850000000003</v>
      </c>
      <c r="F246" t="s">
        <v>41</v>
      </c>
      <c r="G246">
        <v>-399.58780000000002</v>
      </c>
      <c r="H246" s="1">
        <v>-7.2949179999999997E-7</v>
      </c>
      <c r="I246">
        <v>367.3494</v>
      </c>
      <c r="J246">
        <v>-459.49189999999999</v>
      </c>
      <c r="K246">
        <v>1.108938</v>
      </c>
      <c r="L246">
        <v>367.09879999999998</v>
      </c>
      <c r="M246">
        <v>0.99998229999999999</v>
      </c>
      <c r="N246">
        <v>0</v>
      </c>
      <c r="O246">
        <v>5.9032399999999997E-3</v>
      </c>
      <c r="P246">
        <v>0.9989787</v>
      </c>
      <c r="Q246">
        <v>1.422125E-2</v>
      </c>
      <c r="R246">
        <v>-4.2890919999999999E-2</v>
      </c>
      <c r="S246">
        <v>3.0045169999999999</v>
      </c>
      <c r="T246">
        <v>-5.5458550000000002E-2</v>
      </c>
      <c r="U246">
        <v>1.260376E-2</v>
      </c>
      <c r="V246">
        <v>4.8782100000000002E-2</v>
      </c>
      <c r="W246">
        <v>1.508877E-2</v>
      </c>
      <c r="X246">
        <v>0.99869549999999996</v>
      </c>
      <c r="Y246">
        <v>1.7070659999999999E-3</v>
      </c>
      <c r="Z246">
        <v>-1.2470719999999901E-4</v>
      </c>
      <c r="AA246">
        <v>0.99999850000000001</v>
      </c>
      <c r="AB246">
        <v>18</v>
      </c>
      <c r="AC246">
        <v>59.9040999999999</v>
      </c>
      <c r="AD246">
        <v>-1.1089387294918001</v>
      </c>
      <c r="AE246">
        <v>0.25060000000001897</v>
      </c>
      <c r="AF246">
        <v>0.102997447687927</v>
      </c>
      <c r="AG246">
        <v>-1.1089387294918001</v>
      </c>
      <c r="AH246">
        <v>59.884014245459703</v>
      </c>
      <c r="AI246">
        <v>91.060886691004299</v>
      </c>
      <c r="AJ246">
        <v>89.901454281107107</v>
      </c>
      <c r="AK246">
        <v>59.8943696496626</v>
      </c>
      <c r="AL246">
        <v>89.1354443816589</v>
      </c>
      <c r="AM246">
        <v>87.203563309125101</v>
      </c>
      <c r="AN246">
        <v>1.00000003299038</v>
      </c>
    </row>
    <row r="247" spans="1:40" x14ac:dyDescent="0.25">
      <c r="A247" t="str">
        <f>"20190312160911002"</f>
        <v>20190312160911002</v>
      </c>
      <c r="B247" t="str">
        <f>"1552378150995451"</f>
        <v>1552378150995451</v>
      </c>
      <c r="C247" t="s">
        <v>40</v>
      </c>
      <c r="D247">
        <v>5.1817080000000004</v>
      </c>
      <c r="E247">
        <v>0.48187770000000002</v>
      </c>
      <c r="F247" t="s">
        <v>43</v>
      </c>
      <c r="G247">
        <v>-399.45280000000002</v>
      </c>
      <c r="H247">
        <v>-0.05</v>
      </c>
      <c r="I247">
        <v>367.41219999999998</v>
      </c>
      <c r="J247">
        <v>-459.29239999999999</v>
      </c>
      <c r="K247">
        <v>1.1089290000000001</v>
      </c>
      <c r="L247">
        <v>367.10039999999998</v>
      </c>
      <c r="M247">
        <v>0.99998019999999999</v>
      </c>
      <c r="N247">
        <v>0</v>
      </c>
      <c r="O247">
        <v>6.2461359999999898E-3</v>
      </c>
      <c r="P247">
        <v>0.99897939999999996</v>
      </c>
      <c r="Q247">
        <v>1.44946E-2</v>
      </c>
      <c r="R247">
        <v>-4.2779570000000003E-2</v>
      </c>
      <c r="S247">
        <v>3.004578</v>
      </c>
      <c r="T247">
        <v>-5.7997470000000002E-2</v>
      </c>
      <c r="U247">
        <v>1.5686039999999998E-2</v>
      </c>
      <c r="V247">
        <v>4.9013389999999997E-2</v>
      </c>
      <c r="W247">
        <v>1.538198E-2</v>
      </c>
      <c r="X247">
        <v>0.99867969999999895</v>
      </c>
      <c r="Y247">
        <v>1.024159E-3</v>
      </c>
      <c r="Z247">
        <v>-1.3044E-4</v>
      </c>
      <c r="AA247">
        <v>0.99999950000000004</v>
      </c>
      <c r="AB247">
        <v>18</v>
      </c>
      <c r="AC247">
        <v>59.839599999999898</v>
      </c>
      <c r="AD247">
        <v>-1.1589290000000001</v>
      </c>
      <c r="AE247">
        <v>0.31180000000000502</v>
      </c>
      <c r="AF247">
        <v>6.1949235613394098E-2</v>
      </c>
      <c r="AG247">
        <v>-1.1589290000000001</v>
      </c>
      <c r="AH247">
        <v>59.817943690944901</v>
      </c>
      <c r="AI247">
        <v>91.109924454037895</v>
      </c>
      <c r="AJ247">
        <v>89.940662813584893</v>
      </c>
      <c r="AK247">
        <v>59.829201411584002</v>
      </c>
      <c r="AL247">
        <v>89.118642734318897</v>
      </c>
      <c r="AM247">
        <v>87.190281411793407</v>
      </c>
      <c r="AN247">
        <v>1.00000003045005</v>
      </c>
    </row>
    <row r="248" spans="1:40" x14ac:dyDescent="0.25">
      <c r="A248" t="str">
        <f>"20190312160911022"</f>
        <v>20190312160911022</v>
      </c>
      <c r="B248" t="str">
        <f>"1552378151014971"</f>
        <v>1552378151014971</v>
      </c>
      <c r="C248" t="s">
        <v>40</v>
      </c>
      <c r="D248">
        <v>5.2016609999999996</v>
      </c>
      <c r="E248">
        <v>0.48174</v>
      </c>
      <c r="F248" t="s">
        <v>43</v>
      </c>
      <c r="G248">
        <v>-400.33409999999998</v>
      </c>
      <c r="H248">
        <v>-0.05</v>
      </c>
      <c r="I248">
        <v>367.41840000000002</v>
      </c>
      <c r="J248">
        <v>-459.12200000000001</v>
      </c>
      <c r="K248">
        <v>1.108924</v>
      </c>
      <c r="L248">
        <v>367.10180000000003</v>
      </c>
      <c r="M248">
        <v>0.99997840000000005</v>
      </c>
      <c r="N248">
        <v>0</v>
      </c>
      <c r="O248">
        <v>6.5225700000000001E-3</v>
      </c>
      <c r="P248">
        <v>0.9989555</v>
      </c>
      <c r="Q248">
        <v>1.496932E-2</v>
      </c>
      <c r="R248">
        <v>-4.3175129999999999E-2</v>
      </c>
      <c r="S248">
        <v>3.0046080000000002</v>
      </c>
      <c r="T248">
        <v>-5.9060809999999998E-2</v>
      </c>
      <c r="U248">
        <v>1.620483E-2</v>
      </c>
      <c r="V248">
        <v>4.9684899999999997E-2</v>
      </c>
      <c r="W248">
        <v>1.587736E-2</v>
      </c>
      <c r="X248">
        <v>0.99863869999999999</v>
      </c>
      <c r="Y248">
        <v>1.127865E-3</v>
      </c>
      <c r="Z248">
        <v>-1.3928190000000001E-4</v>
      </c>
      <c r="AA248">
        <v>0.99999930000000004</v>
      </c>
      <c r="AB248">
        <v>18</v>
      </c>
      <c r="AC248">
        <v>58.787899999999901</v>
      </c>
      <c r="AD248">
        <v>-1.1589240000000001</v>
      </c>
      <c r="AE248">
        <v>0.316599999999993</v>
      </c>
      <c r="AF248">
        <v>6.6829082483185004E-2</v>
      </c>
      <c r="AG248">
        <v>-1.1589240000000001</v>
      </c>
      <c r="AH248">
        <v>58.765877099010403</v>
      </c>
      <c r="AI248">
        <v>91.129784971717001</v>
      </c>
      <c r="AJ248">
        <v>89.9348427537643</v>
      </c>
      <c r="AK248">
        <v>58.777341571221399</v>
      </c>
      <c r="AL248">
        <v>89.090256025997704</v>
      </c>
      <c r="AM248">
        <v>87.151732960087401</v>
      </c>
      <c r="AN248">
        <v>0.99999996649313405</v>
      </c>
    </row>
    <row r="249" spans="1:40" x14ac:dyDescent="0.25">
      <c r="A249" t="str">
        <f>"20190312160911044"</f>
        <v>20190312160911044</v>
      </c>
      <c r="B249" t="str">
        <f>"1552378151035468"</f>
        <v>1552378151035468</v>
      </c>
      <c r="C249" t="s">
        <v>40</v>
      </c>
      <c r="D249">
        <v>5.1719970000000002</v>
      </c>
      <c r="E249">
        <v>0.48168179999999999</v>
      </c>
      <c r="F249" t="s">
        <v>43</v>
      </c>
      <c r="G249">
        <v>-399.74520000000001</v>
      </c>
      <c r="H249">
        <v>-0.05</v>
      </c>
      <c r="I249">
        <v>367.4178</v>
      </c>
      <c r="J249">
        <v>-458.94099999999997</v>
      </c>
      <c r="K249">
        <v>1.108911</v>
      </c>
      <c r="L249">
        <v>367.10329999999999</v>
      </c>
      <c r="M249">
        <v>0.99997659999999999</v>
      </c>
      <c r="N249">
        <v>0</v>
      </c>
      <c r="O249">
        <v>6.7964369999999998E-3</v>
      </c>
      <c r="P249">
        <v>0.99896980000000002</v>
      </c>
      <c r="Q249">
        <v>1.4157970000000001E-2</v>
      </c>
      <c r="R249">
        <v>-4.3119240000000003E-2</v>
      </c>
      <c r="S249">
        <v>3.0047000000000001</v>
      </c>
      <c r="T249">
        <v>-5.8646080000000003E-2</v>
      </c>
      <c r="U249">
        <v>1.5991209999999999E-2</v>
      </c>
      <c r="V249">
        <v>4.9903349999999999E-2</v>
      </c>
      <c r="W249">
        <v>1.508924E-2</v>
      </c>
      <c r="X249">
        <v>0.99864010000000003</v>
      </c>
      <c r="Y249">
        <v>1.4729000000000001E-3</v>
      </c>
      <c r="Z249">
        <v>-1.4701140000000001E-4</v>
      </c>
      <c r="AA249">
        <v>0.99999890000000002</v>
      </c>
      <c r="AB249">
        <v>19</v>
      </c>
      <c r="AC249">
        <v>59.195799999999899</v>
      </c>
      <c r="AD249">
        <v>-1.158911</v>
      </c>
      <c r="AE249">
        <v>0.31450000000000899</v>
      </c>
      <c r="AF249">
        <v>8.7794262352350605E-2</v>
      </c>
      <c r="AG249">
        <v>-1.158911</v>
      </c>
      <c r="AH249">
        <v>59.173890645640199</v>
      </c>
      <c r="AI249">
        <v>91.121983828076097</v>
      </c>
      <c r="AJ249">
        <v>89.9149922887879</v>
      </c>
      <c r="AK249">
        <v>59.185303215246002</v>
      </c>
      <c r="AL249">
        <v>89.135417455133606</v>
      </c>
      <c r="AM249">
        <v>87.139234722669102</v>
      </c>
      <c r="AN249">
        <v>1.0000000394165001</v>
      </c>
    </row>
    <row r="250" spans="1:40" x14ac:dyDescent="0.25">
      <c r="A250" t="str">
        <f>"20190312160911090"</f>
        <v>20190312160911090</v>
      </c>
      <c r="B250" t="str">
        <f>"1552378151085244"</f>
        <v>1552378151085244</v>
      </c>
      <c r="C250" t="s">
        <v>40</v>
      </c>
      <c r="D250">
        <v>5.1394659999999996</v>
      </c>
      <c r="E250">
        <v>0.4814948</v>
      </c>
      <c r="F250" t="s">
        <v>43</v>
      </c>
      <c r="G250">
        <v>-403.4101</v>
      </c>
      <c r="H250">
        <v>-0.05</v>
      </c>
      <c r="I250">
        <v>367.41289999999998</v>
      </c>
      <c r="J250">
        <v>-458.55340000000001</v>
      </c>
      <c r="K250">
        <v>1.1088849999999999</v>
      </c>
      <c r="L250">
        <v>367.10660000000001</v>
      </c>
      <c r="M250">
        <v>0.99997290000000005</v>
      </c>
      <c r="N250">
        <v>0</v>
      </c>
      <c r="O250">
        <v>7.3032100000000001E-3</v>
      </c>
      <c r="P250">
        <v>0.99900169999999999</v>
      </c>
      <c r="Q250">
        <v>1.3552710000000001E-2</v>
      </c>
      <c r="R250">
        <v>-4.2567059999999997E-2</v>
      </c>
      <c r="S250">
        <v>3.0047000000000001</v>
      </c>
      <c r="T250">
        <v>-6.2707070000000004E-2</v>
      </c>
      <c r="U250">
        <v>1.6754149999999999E-2</v>
      </c>
      <c r="V250">
        <v>4.9858739999999999E-2</v>
      </c>
      <c r="W250">
        <v>1.454094E-2</v>
      </c>
      <c r="X250">
        <v>0.99865040000000005</v>
      </c>
      <c r="Y250">
        <v>1.7253870000000001E-3</v>
      </c>
      <c r="Z250">
        <v>-1.7039799999999999E-4</v>
      </c>
      <c r="AA250">
        <v>0.99999850000000001</v>
      </c>
      <c r="AB250">
        <v>19</v>
      </c>
      <c r="AC250">
        <v>55.143300000000004</v>
      </c>
      <c r="AD250">
        <v>-1.1588849999999999</v>
      </c>
      <c r="AE250">
        <v>0.30629999999996399</v>
      </c>
      <c r="AF250">
        <v>9.63888718111367E-2</v>
      </c>
      <c r="AG250">
        <v>-1.1588849999999999</v>
      </c>
      <c r="AH250">
        <v>55.119722543506697</v>
      </c>
      <c r="AI250">
        <v>91.204457019627995</v>
      </c>
      <c r="AJ250">
        <v>89.899805919505795</v>
      </c>
      <c r="AK250">
        <v>55.131988160513401</v>
      </c>
      <c r="AL250">
        <v>89.166836126506695</v>
      </c>
      <c r="AM250">
        <v>87.141817228804101</v>
      </c>
      <c r="AN250">
        <v>0.99999997715531497</v>
      </c>
    </row>
    <row r="251" spans="1:40" x14ac:dyDescent="0.25">
      <c r="A251" t="str">
        <f>"20190312160911446"</f>
        <v>20190312160911446</v>
      </c>
      <c r="B251" t="str">
        <f>"1552378151435627"</f>
        <v>1552378151435627</v>
      </c>
      <c r="C251" t="s">
        <v>40</v>
      </c>
      <c r="D251">
        <v>5.5116959999999997</v>
      </c>
      <c r="E251">
        <v>0.46657549999999998</v>
      </c>
      <c r="F251" t="s">
        <v>43</v>
      </c>
      <c r="G251">
        <v>-405.61200000000002</v>
      </c>
      <c r="H251">
        <v>-0.05</v>
      </c>
      <c r="I251">
        <v>367.45609999999999</v>
      </c>
      <c r="J251">
        <v>-455.2251</v>
      </c>
      <c r="K251">
        <v>1.1087929999999999</v>
      </c>
      <c r="L251">
        <v>367.13639999999998</v>
      </c>
      <c r="M251">
        <v>0.99995820000000002</v>
      </c>
      <c r="N251">
        <v>0</v>
      </c>
      <c r="O251">
        <v>9.0128069999999994E-3</v>
      </c>
      <c r="P251">
        <v>0.99908209999999997</v>
      </c>
      <c r="Q251">
        <v>1.1509299999999899E-2</v>
      </c>
      <c r="R251">
        <v>-4.1262189999999997E-2</v>
      </c>
      <c r="S251">
        <v>3.0047609999999998</v>
      </c>
      <c r="T251">
        <v>-6.5774079999999999E-2</v>
      </c>
      <c r="U251">
        <v>1.9836429999999999E-2</v>
      </c>
      <c r="V251">
        <v>5.0265299999999999E-2</v>
      </c>
      <c r="W251">
        <v>1.3033319999999999E-2</v>
      </c>
      <c r="X251">
        <v>0.99865079999999995</v>
      </c>
      <c r="Y251">
        <v>2.408632E-3</v>
      </c>
      <c r="Z251">
        <v>-2.2362E-4</v>
      </c>
      <c r="AA251">
        <v>0.99999709999999997</v>
      </c>
      <c r="AB251">
        <v>22</v>
      </c>
      <c r="AC251">
        <v>49.613100000000003</v>
      </c>
      <c r="AD251">
        <v>-1.158793</v>
      </c>
      <c r="AE251">
        <v>0.31970000000001098</v>
      </c>
      <c r="AF251">
        <v>0.12739731309659899</v>
      </c>
      <c r="AG251">
        <v>-1.158793</v>
      </c>
      <c r="AH251">
        <v>49.586916249342003</v>
      </c>
      <c r="AI251">
        <v>91.338692787284003</v>
      </c>
      <c r="AJ251">
        <v>89.852797615705398</v>
      </c>
      <c r="AK251">
        <v>49.600617883364102</v>
      </c>
      <c r="AL251">
        <v>89.253224586039394</v>
      </c>
      <c r="AM251">
        <v>87.118551198958599</v>
      </c>
      <c r="AN251">
        <v>0.99999994407747395</v>
      </c>
    </row>
    <row r="252" spans="1:40" x14ac:dyDescent="0.25">
      <c r="A252" t="str">
        <f>"20190312160911468"</f>
        <v>20190312160911468</v>
      </c>
      <c r="B252" t="str">
        <f>"1552378151464907"</f>
        <v>1552378151464907</v>
      </c>
      <c r="C252" t="s">
        <v>40</v>
      </c>
      <c r="D252">
        <v>5.5335510000000001</v>
      </c>
      <c r="E252">
        <v>0.4781301</v>
      </c>
      <c r="F252" t="s">
        <v>42</v>
      </c>
      <c r="G252">
        <v>-454.35</v>
      </c>
      <c r="H252">
        <v>0.96461870000000005</v>
      </c>
      <c r="I252">
        <v>367.17750000000001</v>
      </c>
      <c r="J252">
        <v>-454.99619999999999</v>
      </c>
      <c r="K252">
        <v>1.1087819999999999</v>
      </c>
      <c r="L252">
        <v>367.13850000000002</v>
      </c>
      <c r="M252">
        <v>0.99995800000000001</v>
      </c>
      <c r="N252">
        <v>0</v>
      </c>
      <c r="O252">
        <v>9.0241420000000006E-3</v>
      </c>
      <c r="P252">
        <v>0.99908269999999999</v>
      </c>
      <c r="Q252">
        <v>1.08767E-2</v>
      </c>
      <c r="R252">
        <v>-4.1417099999999998E-2</v>
      </c>
      <c r="S252">
        <v>3.0143430000000002</v>
      </c>
      <c r="T252">
        <v>-0.49669799999999997</v>
      </c>
      <c r="U252">
        <v>0.14227290000000001</v>
      </c>
      <c r="V252">
        <v>5.0431959999999998E-2</v>
      </c>
      <c r="W252">
        <v>1.243876E-2</v>
      </c>
      <c r="X252">
        <v>0.99865000000000004</v>
      </c>
      <c r="Y252">
        <v>-3.774375E-2</v>
      </c>
      <c r="Z252">
        <v>1.6110359999999999E-3</v>
      </c>
      <c r="AA252">
        <v>0.99928620000000001</v>
      </c>
      <c r="AB252">
        <v>22</v>
      </c>
      <c r="AC252">
        <v>0.64619999999996403</v>
      </c>
      <c r="AD252">
        <v>-0.14416329999999999</v>
      </c>
      <c r="AE252">
        <v>3.8999999999987198E-2</v>
      </c>
      <c r="AF252">
        <v>-3.1599953633535897E-2</v>
      </c>
      <c r="AG252">
        <v>-0.14416329999999999</v>
      </c>
      <c r="AH252">
        <v>0.61597906024956395</v>
      </c>
      <c r="AI252">
        <v>103.15567908106399</v>
      </c>
      <c r="AJ252">
        <v>92.936720271204905</v>
      </c>
      <c r="AK252">
        <v>0.63341283283690097</v>
      </c>
      <c r="AL252">
        <v>89.287293144442003</v>
      </c>
      <c r="AM252">
        <v>87.109011314550401</v>
      </c>
      <c r="AN252">
        <v>0.99999996391988899</v>
      </c>
    </row>
    <row r="253" spans="1:40" x14ac:dyDescent="0.25">
      <c r="A253" t="str">
        <f>"20190312160911490"</f>
        <v>20190312160911490</v>
      </c>
      <c r="B253" t="str">
        <f>"1552378151485404"</f>
        <v>1552378151485404</v>
      </c>
      <c r="C253" t="s">
        <v>40</v>
      </c>
      <c r="D253">
        <v>5.4526440000000003</v>
      </c>
      <c r="E253">
        <v>0.48214689999999999</v>
      </c>
      <c r="F253" t="s">
        <v>42</v>
      </c>
      <c r="G253">
        <v>-454.11489999999998</v>
      </c>
      <c r="H253">
        <v>1.035676</v>
      </c>
      <c r="I253">
        <v>367.15300000000002</v>
      </c>
      <c r="J253">
        <v>-454.77600000000001</v>
      </c>
      <c r="K253">
        <v>1.1087830000000001</v>
      </c>
      <c r="L253">
        <v>367.14049999999997</v>
      </c>
      <c r="M253">
        <v>0.99995800000000001</v>
      </c>
      <c r="N253">
        <v>0</v>
      </c>
      <c r="O253">
        <v>9.0271380000000005E-3</v>
      </c>
      <c r="P253">
        <v>0.99907919999999995</v>
      </c>
      <c r="Q253">
        <v>1.1546549999999999E-2</v>
      </c>
      <c r="R253">
        <v>-4.1320129999999997E-2</v>
      </c>
      <c r="S253">
        <v>3.007568</v>
      </c>
      <c r="T253">
        <v>-0.24970539999999999</v>
      </c>
      <c r="U253">
        <v>5.0537110000000003E-2</v>
      </c>
      <c r="V253">
        <v>5.0338180000000003E-2</v>
      </c>
      <c r="W253">
        <v>1.3146329999999999E-2</v>
      </c>
      <c r="X253">
        <v>0.99864569999999997</v>
      </c>
      <c r="Y253">
        <v>-7.7786740000000002E-3</v>
      </c>
      <c r="Z253">
        <v>-4.2578599999999999E-4</v>
      </c>
      <c r="AA253">
        <v>0.99996969999999996</v>
      </c>
      <c r="AB253">
        <v>22</v>
      </c>
      <c r="AC253">
        <v>0.66110000000003299</v>
      </c>
      <c r="AD253">
        <v>-7.3107000000000005E-2</v>
      </c>
      <c r="AE253">
        <v>1.25000000000454E-2</v>
      </c>
      <c r="AF253">
        <v>-6.4527609814526597E-3</v>
      </c>
      <c r="AG253">
        <v>-7.3107000000000005E-2</v>
      </c>
      <c r="AH253">
        <v>0.65320089829850503</v>
      </c>
      <c r="AI253">
        <v>96.385724838944199</v>
      </c>
      <c r="AJ253">
        <v>90.565988114015198</v>
      </c>
      <c r="AK253">
        <v>0.657310950092312</v>
      </c>
      <c r="AL253">
        <v>89.2467490741316</v>
      </c>
      <c r="AM253">
        <v>87.114365711054404</v>
      </c>
      <c r="AN253">
        <v>0.99999999624333502</v>
      </c>
    </row>
    <row r="254" spans="1:40" x14ac:dyDescent="0.25">
      <c r="A254" t="str">
        <f>"20190312160911512"</f>
        <v>20190312160911512</v>
      </c>
      <c r="B254" t="str">
        <f>"1552378151504923"</f>
        <v>1552378151504923</v>
      </c>
      <c r="C254" t="s">
        <v>40</v>
      </c>
      <c r="D254">
        <v>5.4165210000000004</v>
      </c>
      <c r="E254">
        <v>0.48386859999999998</v>
      </c>
      <c r="F254" t="s">
        <v>43</v>
      </c>
      <c r="G254">
        <v>-431.98099999999999</v>
      </c>
      <c r="H254">
        <v>-0.05</v>
      </c>
      <c r="I254">
        <v>367.2826</v>
      </c>
      <c r="J254">
        <v>-454.55130000000003</v>
      </c>
      <c r="K254">
        <v>1.1087830000000001</v>
      </c>
      <c r="L254">
        <v>367.14249999999998</v>
      </c>
      <c r="M254">
        <v>0.99995800000000001</v>
      </c>
      <c r="N254">
        <v>0</v>
      </c>
      <c r="O254">
        <v>9.0222110000000005E-3</v>
      </c>
      <c r="P254">
        <v>0.99911450000000002</v>
      </c>
      <c r="Q254">
        <v>1.242128E-2</v>
      </c>
      <c r="R254">
        <v>-4.020104E-2</v>
      </c>
      <c r="S254">
        <v>3.0053100000000001</v>
      </c>
      <c r="T254">
        <v>-0.1527752</v>
      </c>
      <c r="U254">
        <v>1.8737790000000001E-2</v>
      </c>
      <c r="V254">
        <v>4.9214639999999997E-2</v>
      </c>
      <c r="W254">
        <v>1.405986E-2</v>
      </c>
      <c r="X254">
        <v>0.99868920000000005</v>
      </c>
      <c r="Y254">
        <v>2.7722979999999999E-3</v>
      </c>
      <c r="Z254">
        <v>-5.2875589999999998E-4</v>
      </c>
      <c r="AA254">
        <v>0.999996</v>
      </c>
      <c r="AB254">
        <v>23</v>
      </c>
      <c r="AC254">
        <v>22.5703</v>
      </c>
      <c r="AD254">
        <v>-1.1587829999999999</v>
      </c>
      <c r="AE254">
        <v>0.14010000000001799</v>
      </c>
      <c r="AF254">
        <v>6.3372937136021601E-2</v>
      </c>
      <c r="AG254">
        <v>-1.1587829999999999</v>
      </c>
      <c r="AH254">
        <v>22.5113100149246</v>
      </c>
      <c r="AI254">
        <v>92.9467216364027</v>
      </c>
      <c r="AJ254">
        <v>89.838703645463895</v>
      </c>
      <c r="AK254">
        <v>22.541203888840901</v>
      </c>
      <c r="AL254">
        <v>89.1944027693891</v>
      </c>
      <c r="AM254">
        <v>87.178790043032294</v>
      </c>
      <c r="AN254">
        <v>0.99999993932509201</v>
      </c>
    </row>
    <row r="255" spans="1:40" x14ac:dyDescent="0.25">
      <c r="A255" t="str">
        <f>"20190312160911581"</f>
        <v>20190312160911581</v>
      </c>
      <c r="B255" t="str">
        <f>"1552378151575196"</f>
        <v>1552378151575196</v>
      </c>
      <c r="C255" t="s">
        <v>40</v>
      </c>
      <c r="D255">
        <v>4.6443510000000003</v>
      </c>
      <c r="E255">
        <v>0.48548920000000001</v>
      </c>
      <c r="F255" t="s">
        <v>43</v>
      </c>
      <c r="G255">
        <v>-428.12459999999999</v>
      </c>
      <c r="H255">
        <v>-0.05</v>
      </c>
      <c r="I255">
        <v>367.21390000000002</v>
      </c>
      <c r="J255">
        <v>-453.83760000000001</v>
      </c>
      <c r="K255">
        <v>1.108765</v>
      </c>
      <c r="L255">
        <v>367.14890000000003</v>
      </c>
      <c r="M255">
        <v>0.99995889999999998</v>
      </c>
      <c r="N255">
        <v>0</v>
      </c>
      <c r="O255">
        <v>8.9077710000000001E-3</v>
      </c>
      <c r="P255">
        <v>0.99914760000000002</v>
      </c>
      <c r="Q255">
        <v>1.158578E-2</v>
      </c>
      <c r="R255">
        <v>-3.9623819999999997E-2</v>
      </c>
      <c r="S255">
        <v>3.0046390000000001</v>
      </c>
      <c r="T255">
        <v>-0.13175049999999999</v>
      </c>
      <c r="U255">
        <v>8.1176759999999903E-3</v>
      </c>
      <c r="V255">
        <v>4.8524299999999999E-2</v>
      </c>
      <c r="W255">
        <v>1.334801E-2</v>
      </c>
      <c r="X255">
        <v>0.99873279999999998</v>
      </c>
      <c r="Y255">
        <v>6.1916460000000003E-3</v>
      </c>
      <c r="Z255">
        <v>-5.2608769999999997E-4</v>
      </c>
      <c r="AA255">
        <v>0.99998069999999895</v>
      </c>
      <c r="AB255">
        <v>23</v>
      </c>
      <c r="AC255">
        <v>25.713000000000001</v>
      </c>
      <c r="AD255">
        <v>-1.158765</v>
      </c>
      <c r="AE255">
        <v>6.4999999999997699E-2</v>
      </c>
      <c r="AF255">
        <v>0.16371593494585299</v>
      </c>
      <c r="AG255">
        <v>-1.158765</v>
      </c>
      <c r="AH255">
        <v>25.660445770120599</v>
      </c>
      <c r="AI255">
        <v>92.585532685211106</v>
      </c>
      <c r="AJ255">
        <v>89.634452771289503</v>
      </c>
      <c r="AK255">
        <v>25.687117712072698</v>
      </c>
      <c r="AL255">
        <v>89.235192643525096</v>
      </c>
      <c r="AM255">
        <v>87.218422161291301</v>
      </c>
      <c r="AN255">
        <v>0.99999999142864404</v>
      </c>
    </row>
    <row r="256" spans="1:40" x14ac:dyDescent="0.25">
      <c r="A256" t="str">
        <f>"20190312160911601"</f>
        <v>20190312160911601</v>
      </c>
      <c r="B256" t="str">
        <f>"1552378151594716"</f>
        <v>1552378151594716</v>
      </c>
      <c r="C256" t="s">
        <v>40</v>
      </c>
      <c r="D256">
        <v>5.8019889999999998</v>
      </c>
      <c r="E256">
        <v>0.50003359999999997</v>
      </c>
      <c r="F256" t="s">
        <v>43</v>
      </c>
      <c r="G256">
        <v>-427.7774</v>
      </c>
      <c r="H256">
        <v>-0.05</v>
      </c>
      <c r="I256">
        <v>367.12099999999998</v>
      </c>
      <c r="J256">
        <v>-453.61790000000002</v>
      </c>
      <c r="K256">
        <v>1.1087499999999999</v>
      </c>
      <c r="L256">
        <v>367.1508</v>
      </c>
      <c r="M256">
        <v>0.9999595</v>
      </c>
      <c r="N256">
        <v>0</v>
      </c>
      <c r="O256">
        <v>8.8262700000000006E-3</v>
      </c>
      <c r="P256">
        <v>0.99916110000000002</v>
      </c>
      <c r="Q256">
        <v>1.1982390000000001E-2</v>
      </c>
      <c r="R256">
        <v>-3.9163570000000002E-2</v>
      </c>
      <c r="S256">
        <v>3.0039669999999998</v>
      </c>
      <c r="T256">
        <v>-0.13357140000000001</v>
      </c>
      <c r="U256">
        <v>-3.2043459999999998E-3</v>
      </c>
      <c r="V256">
        <v>4.7983249999999998E-2</v>
      </c>
      <c r="W256">
        <v>1.378237E-2</v>
      </c>
      <c r="X256">
        <v>0.99875309999999995</v>
      </c>
      <c r="Y256">
        <v>9.8744620000000005E-3</v>
      </c>
      <c r="Z256">
        <v>-6.1168889999999997E-4</v>
      </c>
      <c r="AA256">
        <v>0.99995109999999998</v>
      </c>
      <c r="AB256">
        <v>23</v>
      </c>
      <c r="AC256">
        <v>25.840499999999999</v>
      </c>
      <c r="AD256">
        <v>-1.1587499999999999</v>
      </c>
      <c r="AE256">
        <v>-2.9800000000022898E-2</v>
      </c>
      <c r="AF256">
        <v>0.25735691905571101</v>
      </c>
      <c r="AG256">
        <v>-1.1587499999999999</v>
      </c>
      <c r="AH256">
        <v>25.787376190397602</v>
      </c>
      <c r="AI256">
        <v>92.5727144268579</v>
      </c>
      <c r="AJ256">
        <v>89.428209536964005</v>
      </c>
      <c r="AK256">
        <v>25.8146800276775</v>
      </c>
      <c r="AL256">
        <v>89.210303404785904</v>
      </c>
      <c r="AM256">
        <v>87.249444908884101</v>
      </c>
      <c r="AN256">
        <v>1.0000000503814901</v>
      </c>
    </row>
    <row r="257" spans="1:40" x14ac:dyDescent="0.25">
      <c r="A257" t="str">
        <f>"20190312160911624"</f>
        <v>20190312160911624</v>
      </c>
      <c r="B257" t="str">
        <f>"1552378151615212"</f>
        <v>1552378151615212</v>
      </c>
      <c r="C257" t="s">
        <v>40</v>
      </c>
      <c r="D257">
        <v>5.466342</v>
      </c>
      <c r="E257">
        <v>0.4907454</v>
      </c>
      <c r="F257" t="s">
        <v>42</v>
      </c>
      <c r="G257">
        <v>-452.91160000000002</v>
      </c>
      <c r="H257">
        <v>0.94903680000000001</v>
      </c>
      <c r="I257">
        <v>367.12259999999998</v>
      </c>
      <c r="J257">
        <v>-453.37959999999998</v>
      </c>
      <c r="K257">
        <v>1.10873</v>
      </c>
      <c r="L257">
        <v>367.15269999999998</v>
      </c>
      <c r="M257">
        <v>0.99996050000000003</v>
      </c>
      <c r="N257">
        <v>0</v>
      </c>
      <c r="O257">
        <v>8.7088069999999903E-3</v>
      </c>
      <c r="P257">
        <v>0.99915860000000001</v>
      </c>
      <c r="Q257">
        <v>1.217847E-2</v>
      </c>
      <c r="R257">
        <v>-3.9169000000000002E-2</v>
      </c>
      <c r="S257">
        <v>3.0060419999999999</v>
      </c>
      <c r="T257">
        <v>-0.67978780000000005</v>
      </c>
      <c r="U257">
        <v>-0.118103</v>
      </c>
      <c r="V257">
        <v>4.7872400000000002E-2</v>
      </c>
      <c r="W257">
        <v>1.4018849999999999E-2</v>
      </c>
      <c r="X257">
        <v>0.99875510000000001</v>
      </c>
      <c r="Y257">
        <v>4.6565160000000001E-2</v>
      </c>
      <c r="Z257">
        <v>-7.1417579999999998E-3</v>
      </c>
      <c r="AA257">
        <v>0.99888969999999999</v>
      </c>
      <c r="AB257">
        <v>23</v>
      </c>
      <c r="AC257">
        <v>0.46799999999996</v>
      </c>
      <c r="AD257">
        <v>-0.15969319999999901</v>
      </c>
      <c r="AE257">
        <v>-3.0100000000004401E-2</v>
      </c>
      <c r="AF257">
        <v>3.0623632542576999E-2</v>
      </c>
      <c r="AG257">
        <v>-0.15969319999999901</v>
      </c>
      <c r="AH257">
        <v>0.419121060340371</v>
      </c>
      <c r="AI257">
        <v>110.807104025491</v>
      </c>
      <c r="AJ257">
        <v>85.821034543605094</v>
      </c>
      <c r="AK257">
        <v>0.44955776961051302</v>
      </c>
      <c r="AL257">
        <v>89.196752767709896</v>
      </c>
      <c r="AM257">
        <v>87.255794951800596</v>
      </c>
      <c r="AN257">
        <v>1.0000000223065399</v>
      </c>
    </row>
    <row r="258" spans="1:40" x14ac:dyDescent="0.25">
      <c r="A258" t="str">
        <f>"20190312160911646"</f>
        <v>20190312160911646</v>
      </c>
      <c r="B258" t="str">
        <f>"1552378151634735"</f>
        <v>1552378151634735</v>
      </c>
      <c r="C258" t="s">
        <v>40</v>
      </c>
      <c r="D258">
        <v>5.1910860000000003</v>
      </c>
      <c r="E258">
        <v>0.49046289999999998</v>
      </c>
      <c r="F258" t="s">
        <v>41</v>
      </c>
      <c r="G258">
        <v>-398.7174</v>
      </c>
      <c r="H258" s="1">
        <v>-1.2906599999999999E-6</v>
      </c>
      <c r="I258">
        <v>366.3535</v>
      </c>
      <c r="J258">
        <v>-453.142</v>
      </c>
      <c r="K258">
        <v>1.108714</v>
      </c>
      <c r="L258">
        <v>367.15469999999999</v>
      </c>
      <c r="M258">
        <v>0.99996160000000001</v>
      </c>
      <c r="N258">
        <v>0</v>
      </c>
      <c r="O258">
        <v>8.556648E-3</v>
      </c>
      <c r="P258">
        <v>0.99915540000000003</v>
      </c>
      <c r="Q258">
        <v>1.2143040000000001E-2</v>
      </c>
      <c r="R258">
        <v>-3.9256720000000002E-2</v>
      </c>
      <c r="S258">
        <v>3.0015559999999999</v>
      </c>
      <c r="T258">
        <v>-6.0881499999999998E-2</v>
      </c>
      <c r="U258">
        <v>-4.3884279999999998E-2</v>
      </c>
      <c r="V258">
        <v>4.7808730000000001E-2</v>
      </c>
      <c r="W258">
        <v>1.4023620000000001E-2</v>
      </c>
      <c r="X258">
        <v>0.99875809999999998</v>
      </c>
      <c r="Y258">
        <v>2.316764E-2</v>
      </c>
      <c r="Z258">
        <v>-4.0845299999999997E-4</v>
      </c>
      <c r="AA258">
        <v>0.9997315</v>
      </c>
      <c r="AB258">
        <v>24</v>
      </c>
      <c r="AC258">
        <v>54.424599999999998</v>
      </c>
      <c r="AD258">
        <v>-1.10871529066</v>
      </c>
      <c r="AE258">
        <v>-0.80119999999999403</v>
      </c>
      <c r="AF258">
        <v>1.2663382295094301</v>
      </c>
      <c r="AG258">
        <v>-1.10871529066</v>
      </c>
      <c r="AH258">
        <v>54.393183618357497</v>
      </c>
      <c r="AI258">
        <v>91.167401970932602</v>
      </c>
      <c r="AJ258">
        <v>88.6663267956786</v>
      </c>
      <c r="AK258">
        <v>54.419217986365901</v>
      </c>
      <c r="AL258">
        <v>89.196479453754094</v>
      </c>
      <c r="AM258">
        <v>87.259447379144703</v>
      </c>
      <c r="AN258">
        <v>1.00000003944886</v>
      </c>
    </row>
    <row r="259" spans="1:40" x14ac:dyDescent="0.25">
      <c r="A259" t="str">
        <f>"20190312160911668"</f>
        <v>20190312160911668</v>
      </c>
      <c r="B259" t="str">
        <f>"1552378151664988"</f>
        <v>1552378151664988</v>
      </c>
      <c r="C259" t="s">
        <v>40</v>
      </c>
      <c r="D259">
        <v>5.3607670000000001</v>
      </c>
      <c r="E259">
        <v>0.48258400000000001</v>
      </c>
      <c r="F259" t="s">
        <v>41</v>
      </c>
      <c r="G259">
        <v>-274.24590000000001</v>
      </c>
      <c r="H259" s="1">
        <v>-3.3285820000000001E-6</v>
      </c>
      <c r="I259">
        <v>364.66789999999997</v>
      </c>
      <c r="J259">
        <v>-452.90170000000001</v>
      </c>
      <c r="K259">
        <v>1.1086959999999999</v>
      </c>
      <c r="L259">
        <v>367.15660000000003</v>
      </c>
      <c r="M259">
        <v>0.99996300000000005</v>
      </c>
      <c r="N259">
        <v>0</v>
      </c>
      <c r="O259">
        <v>8.3755819999999995E-3</v>
      </c>
      <c r="P259">
        <v>0.99913790000000002</v>
      </c>
      <c r="Q259">
        <v>1.2707100000000001E-2</v>
      </c>
      <c r="R259">
        <v>-3.9523910000000002E-2</v>
      </c>
      <c r="S259">
        <v>3.0011290000000002</v>
      </c>
      <c r="T259">
        <v>-1.8599629999999999E-2</v>
      </c>
      <c r="U259">
        <v>-4.1717530000000003E-2</v>
      </c>
      <c r="V259">
        <v>4.7895920000000002E-2</v>
      </c>
      <c r="W259">
        <v>1.462915E-2</v>
      </c>
      <c r="X259">
        <v>0.9987452</v>
      </c>
      <c r="Y259">
        <v>2.2272980000000001E-2</v>
      </c>
      <c r="Z259">
        <v>-1.2092029999999999E-4</v>
      </c>
      <c r="AA259">
        <v>0.99975190000000003</v>
      </c>
      <c r="AB259">
        <v>24</v>
      </c>
      <c r="AC259">
        <v>178.6558</v>
      </c>
      <c r="AD259">
        <v>-1.1086993285819999</v>
      </c>
      <c r="AE259">
        <v>-2.4887000000000499</v>
      </c>
      <c r="AF259">
        <v>3.9848084561617201</v>
      </c>
      <c r="AG259">
        <v>-1.1086993285819999</v>
      </c>
      <c r="AH259">
        <v>178.62181142424299</v>
      </c>
      <c r="AI259">
        <v>90.355539871692898</v>
      </c>
      <c r="AJ259">
        <v>88.722021454111498</v>
      </c>
      <c r="AK259">
        <v>178.66969365035399</v>
      </c>
      <c r="AL259">
        <v>89.161781549575593</v>
      </c>
      <c r="AM259">
        <v>87.254421596239098</v>
      </c>
      <c r="AN259">
        <v>1.0000000028527001</v>
      </c>
    </row>
    <row r="260" spans="1:40" x14ac:dyDescent="0.25">
      <c r="A260" t="str">
        <f>"20190312160911690"</f>
        <v>20190312160911690</v>
      </c>
      <c r="B260" t="str">
        <f>"1552378151685484"</f>
        <v>1552378151685484</v>
      </c>
      <c r="C260" t="s">
        <v>40</v>
      </c>
      <c r="D260">
        <v>5.5070819999999996</v>
      </c>
      <c r="E260">
        <v>0.48483870000000001</v>
      </c>
      <c r="F260" t="s">
        <v>44</v>
      </c>
      <c r="G260">
        <v>-158.78319999999999</v>
      </c>
      <c r="H260">
        <v>6.1829549999999998</v>
      </c>
      <c r="I260">
        <v>369.14440000000002</v>
      </c>
      <c r="J260">
        <v>-452.6671</v>
      </c>
      <c r="K260">
        <v>1.108673</v>
      </c>
      <c r="L260">
        <v>367.1583</v>
      </c>
      <c r="M260">
        <v>0.99996459999999998</v>
      </c>
      <c r="N260">
        <v>0</v>
      </c>
      <c r="O260">
        <v>8.1728229999999992E-3</v>
      </c>
      <c r="P260">
        <v>0.99914219999999998</v>
      </c>
      <c r="Q260">
        <v>1.3164489999999999E-2</v>
      </c>
      <c r="R260">
        <v>-3.9261699999999997E-2</v>
      </c>
      <c r="S260">
        <v>3.0027159999999999</v>
      </c>
      <c r="T260">
        <v>5.180502E-2</v>
      </c>
      <c r="U260">
        <v>2.029419E-2</v>
      </c>
      <c r="V260">
        <v>4.7432269999999999E-2</v>
      </c>
      <c r="W260">
        <v>1.512786E-2</v>
      </c>
      <c r="X260">
        <v>0.99875990000000003</v>
      </c>
      <c r="Y260">
        <v>1.4129959999999999E-3</v>
      </c>
      <c r="Z260">
        <v>1.531774E-4</v>
      </c>
      <c r="AA260">
        <v>0.99999899999999997</v>
      </c>
      <c r="AB260">
        <v>24</v>
      </c>
      <c r="AC260">
        <v>293.88389999999998</v>
      </c>
      <c r="AD260">
        <v>5.0742820000000002</v>
      </c>
      <c r="AE260">
        <v>1.98610000000002</v>
      </c>
      <c r="AF260">
        <v>0.415708310471125</v>
      </c>
      <c r="AG260">
        <v>5.0742820000000002</v>
      </c>
      <c r="AH260">
        <v>293.80273109999501</v>
      </c>
      <c r="AI260">
        <v>89.010541024907297</v>
      </c>
      <c r="AJ260">
        <v>89.918930924452198</v>
      </c>
      <c r="AK260">
        <v>293.84684097847799</v>
      </c>
      <c r="AL260">
        <v>89.133204409887696</v>
      </c>
      <c r="AM260">
        <v>87.280999676634806</v>
      </c>
      <c r="AN260">
        <v>1.0000000051167699</v>
      </c>
    </row>
    <row r="261" spans="1:40" x14ac:dyDescent="0.25">
      <c r="A261" t="str">
        <f>"20190312160911714"</f>
        <v>20190312160911714</v>
      </c>
      <c r="B261" t="str">
        <f>"1552378151705004"</f>
        <v>1552378151705004</v>
      </c>
      <c r="C261" t="s">
        <v>40</v>
      </c>
      <c r="D261">
        <v>5.4666969999999999</v>
      </c>
      <c r="E261">
        <v>0.48681930000000001</v>
      </c>
      <c r="F261" t="s">
        <v>44</v>
      </c>
      <c r="G261">
        <v>-158.78319999999999</v>
      </c>
      <c r="H261">
        <v>2.928588</v>
      </c>
      <c r="I261">
        <v>367.46</v>
      </c>
      <c r="J261">
        <v>-452.39940000000001</v>
      </c>
      <c r="K261">
        <v>1.1086579999999999</v>
      </c>
      <c r="L261">
        <v>367.16019999999997</v>
      </c>
      <c r="M261">
        <v>0.99996669999999999</v>
      </c>
      <c r="N261">
        <v>0</v>
      </c>
      <c r="O261">
        <v>7.9111000000000008E-3</v>
      </c>
      <c r="P261">
        <v>0.99911899999999998</v>
      </c>
      <c r="Q261">
        <v>1.3234940000000001E-2</v>
      </c>
      <c r="R261">
        <v>-3.9821500000000003E-2</v>
      </c>
      <c r="S261">
        <v>3.0024410000000001</v>
      </c>
      <c r="T261">
        <v>1.8593910000000002E-2</v>
      </c>
      <c r="U261">
        <v>3.0822750000000002E-3</v>
      </c>
      <c r="V261">
        <v>4.7731179999999998E-2</v>
      </c>
      <c r="W261">
        <v>1.524563E-2</v>
      </c>
      <c r="X261">
        <v>0.99874390000000002</v>
      </c>
      <c r="Y261">
        <v>6.884271E-3</v>
      </c>
      <c r="Z261" s="1">
        <v>7.0308760000000004E-5</v>
      </c>
      <c r="AA261">
        <v>0.99997630000000004</v>
      </c>
      <c r="AB261">
        <v>24</v>
      </c>
      <c r="AC261">
        <v>293.61619999999999</v>
      </c>
      <c r="AD261">
        <v>1.8199299999999901</v>
      </c>
      <c r="AE261">
        <v>0.29980000000000401</v>
      </c>
      <c r="AF261">
        <v>2.0229634420493499</v>
      </c>
      <c r="AG261">
        <v>1.8199299999999901</v>
      </c>
      <c r="AH261">
        <v>293.59810369399997</v>
      </c>
      <c r="AI261">
        <v>89.644852960126499</v>
      </c>
      <c r="AJ261">
        <v>89.605224176584599</v>
      </c>
      <c r="AK261">
        <v>293.61071339275998</v>
      </c>
      <c r="AL261">
        <v>89.126455934919306</v>
      </c>
      <c r="AM261">
        <v>87.263847195173796</v>
      </c>
      <c r="AN261">
        <v>1.0000000362827399</v>
      </c>
    </row>
    <row r="262" spans="1:40" x14ac:dyDescent="0.25">
      <c r="A262" t="str">
        <f>"20190312160911804"</f>
        <v>20190312160911804</v>
      </c>
      <c r="B262" t="str">
        <f>"1552378151795772"</f>
        <v>1552378151795772</v>
      </c>
      <c r="C262" t="s">
        <v>40</v>
      </c>
      <c r="D262">
        <v>5.5377850000000004</v>
      </c>
      <c r="E262">
        <v>0.48967169999999999</v>
      </c>
      <c r="F262" t="s">
        <v>44</v>
      </c>
      <c r="G262">
        <v>-158.19499999999999</v>
      </c>
      <c r="H262">
        <v>2.9229669999999999</v>
      </c>
      <c r="I262">
        <v>365.75740000000002</v>
      </c>
      <c r="J262">
        <v>-451.39780000000002</v>
      </c>
      <c r="K262">
        <v>1.108609</v>
      </c>
      <c r="L262">
        <v>367.16649999999998</v>
      </c>
      <c r="M262">
        <v>0.99997510000000001</v>
      </c>
      <c r="N262">
        <v>0</v>
      </c>
      <c r="O262">
        <v>6.7080109999999998E-3</v>
      </c>
      <c r="P262">
        <v>0.99900789999999995</v>
      </c>
      <c r="Q262">
        <v>1.485182E-2</v>
      </c>
      <c r="R262">
        <v>-4.198433E-2</v>
      </c>
      <c r="S262">
        <v>3.0018009999999999</v>
      </c>
      <c r="T262">
        <v>1.851249E-2</v>
      </c>
      <c r="U262">
        <v>-1.4312739999999999E-2</v>
      </c>
      <c r="V262">
        <v>4.8694969999999997E-2</v>
      </c>
      <c r="W262">
        <v>1.704116E-2</v>
      </c>
      <c r="X262">
        <v>0.99866829999999995</v>
      </c>
      <c r="Y262">
        <v>1.14755E-2</v>
      </c>
      <c r="Z262" s="1">
        <v>7.6753450000000006E-5</v>
      </c>
      <c r="AA262">
        <v>0.99993410000000005</v>
      </c>
      <c r="AB262">
        <v>25</v>
      </c>
      <c r="AC262">
        <v>293.20280000000002</v>
      </c>
      <c r="AD262">
        <v>1.8143579999999999</v>
      </c>
      <c r="AE262">
        <v>-1.4090999999999601</v>
      </c>
      <c r="AF262">
        <v>3.3757513646974999</v>
      </c>
      <c r="AG262">
        <v>1.8143579999999999</v>
      </c>
      <c r="AH262">
        <v>293.17552486795699</v>
      </c>
      <c r="AI262">
        <v>89.645445033248805</v>
      </c>
      <c r="AJ262">
        <v>89.340300460649004</v>
      </c>
      <c r="AK262">
        <v>293.20057294253502</v>
      </c>
      <c r="AL262">
        <v>89.023566178151299</v>
      </c>
      <c r="AM262">
        <v>87.208474225876998</v>
      </c>
      <c r="AN262">
        <v>0.99999998733116802</v>
      </c>
    </row>
    <row r="263" spans="1:40" x14ac:dyDescent="0.25">
      <c r="A263" t="str">
        <f>"20190312160911827"</f>
        <v>20190312160911827</v>
      </c>
      <c r="B263" t="str">
        <f>"1552378151815292"</f>
        <v>1552378151815292</v>
      </c>
      <c r="C263" t="s">
        <v>40</v>
      </c>
      <c r="D263">
        <v>5.5617409999999996</v>
      </c>
      <c r="E263">
        <v>0.49025560000000001</v>
      </c>
      <c r="F263" t="s">
        <v>44</v>
      </c>
      <c r="G263">
        <v>-158.19499999999999</v>
      </c>
      <c r="H263">
        <v>2.9870760000000001</v>
      </c>
      <c r="I263">
        <v>362.89060000000001</v>
      </c>
      <c r="J263">
        <v>-451.14940000000001</v>
      </c>
      <c r="K263">
        <v>1.108598</v>
      </c>
      <c r="L263">
        <v>367.1678</v>
      </c>
      <c r="M263">
        <v>0.99997720000000001</v>
      </c>
      <c r="N263">
        <v>0</v>
      </c>
      <c r="O263">
        <v>6.3701290000000004E-3</v>
      </c>
      <c r="P263">
        <v>0.99903399999999998</v>
      </c>
      <c r="Q263">
        <v>1.432491E-2</v>
      </c>
      <c r="R263">
        <v>-4.1545440000000003E-2</v>
      </c>
      <c r="S263">
        <v>3.0008240000000002</v>
      </c>
      <c r="T263">
        <v>1.922631E-2</v>
      </c>
      <c r="U263">
        <v>-4.3762210000000003E-2</v>
      </c>
      <c r="V263">
        <v>4.7918660000000002E-2</v>
      </c>
      <c r="W263">
        <v>1.6561059999999999E-2</v>
      </c>
      <c r="X263">
        <v>0.99871390000000004</v>
      </c>
      <c r="Y263">
        <v>2.0950460000000001E-2</v>
      </c>
      <c r="Z263">
        <v>1.07922E-4</v>
      </c>
      <c r="AA263">
        <v>0.99978049999999996</v>
      </c>
      <c r="AB263">
        <v>25</v>
      </c>
      <c r="AC263">
        <v>292.95440000000002</v>
      </c>
      <c r="AD263">
        <v>1.8784780000000001</v>
      </c>
      <c r="AE263">
        <v>-4.2771999999999899</v>
      </c>
      <c r="AF263">
        <v>6.1430226980164404</v>
      </c>
      <c r="AG263">
        <v>1.8784780000000001</v>
      </c>
      <c r="AH263">
        <v>292.90916897099498</v>
      </c>
      <c r="AI263">
        <v>89.632637909502904</v>
      </c>
      <c r="AJ263">
        <v>88.798543298983603</v>
      </c>
      <c r="AK263">
        <v>292.97960112394099</v>
      </c>
      <c r="AL263">
        <v>89.051077740143398</v>
      </c>
      <c r="AM263">
        <v>87.253034091775305</v>
      </c>
      <c r="AN263">
        <v>0.99999996036886396</v>
      </c>
    </row>
    <row r="264" spans="1:40" x14ac:dyDescent="0.25">
      <c r="A264" t="str">
        <f>"20190312160911849"</f>
        <v>20190312160911849</v>
      </c>
      <c r="B264" t="str">
        <f>"1552378151845549"</f>
        <v>1552378151845549</v>
      </c>
      <c r="C264" t="s">
        <v>40</v>
      </c>
      <c r="D264">
        <v>5.5678269999999896</v>
      </c>
      <c r="E264">
        <v>0.49101519999999999</v>
      </c>
      <c r="F264" t="s">
        <v>44</v>
      </c>
      <c r="G264">
        <v>-158.19499999999999</v>
      </c>
      <c r="H264">
        <v>2.7217690000000001</v>
      </c>
      <c r="I264">
        <v>362.58850000000001</v>
      </c>
      <c r="J264">
        <v>-450.892</v>
      </c>
      <c r="K264">
        <v>1.1085879999999999</v>
      </c>
      <c r="L264">
        <v>367.16910000000001</v>
      </c>
      <c r="M264">
        <v>0.99997939999999996</v>
      </c>
      <c r="N264">
        <v>0</v>
      </c>
      <c r="O264">
        <v>6.0095369999999997E-3</v>
      </c>
      <c r="P264">
        <v>0.99905529999999998</v>
      </c>
      <c r="Q264">
        <v>1.3760700000000001E-2</v>
      </c>
      <c r="R264">
        <v>-4.1225699999999997E-2</v>
      </c>
      <c r="S264">
        <v>3.000702</v>
      </c>
      <c r="T264">
        <v>1.652443E-2</v>
      </c>
      <c r="U264">
        <v>-4.6905519999999999E-2</v>
      </c>
      <c r="V264">
        <v>4.7239080000000003E-2</v>
      </c>
      <c r="W264">
        <v>1.604471E-2</v>
      </c>
      <c r="X264">
        <v>0.9987547</v>
      </c>
      <c r="Y264">
        <v>2.1637719999999999E-2</v>
      </c>
      <c r="Z264" s="1">
        <v>9.2665550000000006E-5</v>
      </c>
      <c r="AA264">
        <v>0.99976589999999999</v>
      </c>
      <c r="AB264">
        <v>25</v>
      </c>
      <c r="AC264">
        <v>292.697</v>
      </c>
      <c r="AD264">
        <v>1.61318099999999</v>
      </c>
      <c r="AE264">
        <v>-4.5805999999999996</v>
      </c>
      <c r="AF264">
        <v>6.3393026941477597</v>
      </c>
      <c r="AG264">
        <v>1.61318099999999</v>
      </c>
      <c r="AH264">
        <v>292.65529976050902</v>
      </c>
      <c r="AI264">
        <v>89.6842502055827</v>
      </c>
      <c r="AJ264">
        <v>88.7590913362923</v>
      </c>
      <c r="AK264">
        <v>292.72839559820602</v>
      </c>
      <c r="AL264">
        <v>89.080666346729402</v>
      </c>
      <c r="AM264">
        <v>87.292043475472099</v>
      </c>
      <c r="AN264">
        <v>0.99999995708515899</v>
      </c>
    </row>
    <row r="265" spans="1:40" x14ac:dyDescent="0.25">
      <c r="A265" t="str">
        <f>"20190312160911870"</f>
        <v>20190312160911870</v>
      </c>
      <c r="B265" t="str">
        <f>"1552378151865068"</f>
        <v>1552378151865068</v>
      </c>
      <c r="C265" t="s">
        <v>40</v>
      </c>
      <c r="D265">
        <v>5.6598480000000002</v>
      </c>
      <c r="E265">
        <v>0.49137540000000002</v>
      </c>
      <c r="F265" t="s">
        <v>44</v>
      </c>
      <c r="G265">
        <v>-158.19499999999999</v>
      </c>
      <c r="H265">
        <v>2.3526220000000002</v>
      </c>
      <c r="I265">
        <v>362.08150000000001</v>
      </c>
      <c r="J265">
        <v>-450.64949999999999</v>
      </c>
      <c r="K265">
        <v>1.108589</v>
      </c>
      <c r="L265">
        <v>367.17020000000002</v>
      </c>
      <c r="M265">
        <v>0.99998129999999996</v>
      </c>
      <c r="N265">
        <v>0</v>
      </c>
      <c r="O265">
        <v>5.661648E-3</v>
      </c>
      <c r="P265">
        <v>0.99908039999999998</v>
      </c>
      <c r="Q265">
        <v>1.3326589999999999E-2</v>
      </c>
      <c r="R265">
        <v>-4.0753299999999999E-2</v>
      </c>
      <c r="S265">
        <v>3.0005489999999999</v>
      </c>
      <c r="T265">
        <v>1.275396E-2</v>
      </c>
      <c r="U265">
        <v>-5.2154539999999999E-2</v>
      </c>
      <c r="V265">
        <v>4.6419509999999997E-2</v>
      </c>
      <c r="W265">
        <v>1.5656610000000001E-2</v>
      </c>
      <c r="X265">
        <v>0.99879929999999995</v>
      </c>
      <c r="Y265">
        <v>2.303931E-2</v>
      </c>
      <c r="Z265" s="1">
        <v>7.3024300000000005E-5</v>
      </c>
      <c r="AA265">
        <v>0.99973460000000003</v>
      </c>
      <c r="AB265">
        <v>25</v>
      </c>
      <c r="AC265">
        <v>292.4545</v>
      </c>
      <c r="AD265">
        <v>1.2440329999999999</v>
      </c>
      <c r="AE265">
        <v>-5.08870000000001</v>
      </c>
      <c r="AF265">
        <v>6.7442753045527901</v>
      </c>
      <c r="AG265">
        <v>1.2440329999999999</v>
      </c>
      <c r="AH265">
        <v>292.41571270423998</v>
      </c>
      <c r="AI265">
        <v>89.756311110490799</v>
      </c>
      <c r="AJ265">
        <v>88.678764520107805</v>
      </c>
      <c r="AK265">
        <v>292.496122886813</v>
      </c>
      <c r="AL265">
        <v>89.102905646260993</v>
      </c>
      <c r="AM265">
        <v>87.339075442074602</v>
      </c>
      <c r="AN265">
        <v>0.99999997101291005</v>
      </c>
    </row>
    <row r="266" spans="1:40" x14ac:dyDescent="0.25">
      <c r="A266" t="str">
        <f>"20190312160911892"</f>
        <v>20190312160911892</v>
      </c>
      <c r="B266" t="str">
        <f>"1552378151885564"</f>
        <v>1552378151885564</v>
      </c>
      <c r="C266" t="s">
        <v>40</v>
      </c>
      <c r="D266">
        <v>5.592454</v>
      </c>
      <c r="E266">
        <v>0.49158540000000001</v>
      </c>
      <c r="F266" t="s">
        <v>44</v>
      </c>
      <c r="G266">
        <v>-158.19499999999999</v>
      </c>
      <c r="H266">
        <v>2.2161140000000001</v>
      </c>
      <c r="I266">
        <v>361.96170000000001</v>
      </c>
      <c r="J266">
        <v>-450.39139999999998</v>
      </c>
      <c r="K266">
        <v>1.1085879999999999</v>
      </c>
      <c r="L266">
        <v>367.17129999999997</v>
      </c>
      <c r="M266">
        <v>0.99998310000000001</v>
      </c>
      <c r="N266">
        <v>0</v>
      </c>
      <c r="O266">
        <v>5.2839509999999899E-3</v>
      </c>
      <c r="P266">
        <v>0.99908719999999995</v>
      </c>
      <c r="Q266">
        <v>1.338347E-2</v>
      </c>
      <c r="R266">
        <v>-4.0568069999999998E-2</v>
      </c>
      <c r="S266">
        <v>3.0004270000000002</v>
      </c>
      <c r="T266">
        <v>1.136351E-2</v>
      </c>
      <c r="U266">
        <v>-5.3436280000000003E-2</v>
      </c>
      <c r="V266">
        <v>4.5857269999999999E-2</v>
      </c>
      <c r="W266">
        <v>1.5761979999999998E-2</v>
      </c>
      <c r="X266">
        <v>0.99882360000000003</v>
      </c>
      <c r="Y266">
        <v>2.3089410000000001E-2</v>
      </c>
      <c r="Z266" s="1">
        <v>6.3730050000000005E-5</v>
      </c>
      <c r="AA266">
        <v>0.99973339999999999</v>
      </c>
      <c r="AB266">
        <v>26</v>
      </c>
      <c r="AC266">
        <v>292.19639999999998</v>
      </c>
      <c r="AD266">
        <v>1.107526</v>
      </c>
      <c r="AE266">
        <v>-5.20959999999996</v>
      </c>
      <c r="AF266">
        <v>6.7533862782833598</v>
      </c>
      <c r="AG266">
        <v>1.107526</v>
      </c>
      <c r="AH266">
        <v>292.16059745294899</v>
      </c>
      <c r="AI266">
        <v>89.782861494217997</v>
      </c>
      <c r="AJ266">
        <v>88.675825418687296</v>
      </c>
      <c r="AK266">
        <v>292.24073902200598</v>
      </c>
      <c r="AL266">
        <v>89.096867631671103</v>
      </c>
      <c r="AM266">
        <v>87.3713233334487</v>
      </c>
      <c r="AN266">
        <v>0.99999995657116503</v>
      </c>
    </row>
    <row r="267" spans="1:40" x14ac:dyDescent="0.25">
      <c r="A267" t="str">
        <f>"20190312160911914"</f>
        <v>20190312160911914</v>
      </c>
      <c r="B267" t="str">
        <f>"1552378151905084"</f>
        <v>1552378151905084</v>
      </c>
      <c r="C267" t="s">
        <v>40</v>
      </c>
      <c r="D267">
        <v>5.5595249999999998</v>
      </c>
      <c r="E267">
        <v>0.4920351</v>
      </c>
      <c r="F267" t="s">
        <v>44</v>
      </c>
      <c r="G267">
        <v>-158.19499999999999</v>
      </c>
      <c r="H267">
        <v>2.1218629999999998</v>
      </c>
      <c r="I267">
        <v>361.83359999999999</v>
      </c>
      <c r="J267">
        <v>-450.1361</v>
      </c>
      <c r="K267">
        <v>1.108584</v>
      </c>
      <c r="L267">
        <v>367.17219999999998</v>
      </c>
      <c r="M267">
        <v>0.99998509999999996</v>
      </c>
      <c r="N267">
        <v>0</v>
      </c>
      <c r="O267">
        <v>4.9043469999999999E-3</v>
      </c>
      <c r="P267">
        <v>0.99906899999999998</v>
      </c>
      <c r="Q267">
        <v>1.267365E-2</v>
      </c>
      <c r="R267">
        <v>-4.1241640000000003E-2</v>
      </c>
      <c r="S267">
        <v>3.0003660000000001</v>
      </c>
      <c r="T267">
        <v>1.040554E-2</v>
      </c>
      <c r="U267">
        <v>-5.4809570000000002E-2</v>
      </c>
      <c r="V267">
        <v>4.615118E-2</v>
      </c>
      <c r="W267">
        <v>1.5100209999999999E-2</v>
      </c>
      <c r="X267">
        <v>0.99882029999999999</v>
      </c>
      <c r="Y267">
        <v>2.3167739999999999E-2</v>
      </c>
      <c r="Z267" s="1">
        <v>5.7177869999999903E-5</v>
      </c>
      <c r="AA267">
        <v>0.99973160000000005</v>
      </c>
      <c r="AB267">
        <v>26</v>
      </c>
      <c r="AC267">
        <v>291.94110000000001</v>
      </c>
      <c r="AD267">
        <v>1.013279</v>
      </c>
      <c r="AE267">
        <v>-5.33859999999998</v>
      </c>
      <c r="AF267">
        <v>6.7702388362218597</v>
      </c>
      <c r="AG267">
        <v>1.013279</v>
      </c>
      <c r="AH267">
        <v>291.907891215191</v>
      </c>
      <c r="AI267">
        <v>89.801167524539906</v>
      </c>
      <c r="AJ267">
        <v>88.671373430480998</v>
      </c>
      <c r="AK267">
        <v>291.988150139575</v>
      </c>
      <c r="AL267">
        <v>89.134788788536198</v>
      </c>
      <c r="AM267">
        <v>87.354490659222407</v>
      </c>
      <c r="AN267">
        <v>0.99999996972476202</v>
      </c>
    </row>
    <row r="268" spans="1:40" x14ac:dyDescent="0.25">
      <c r="A268" t="str">
        <f>"20190312160911938"</f>
        <v>20190312160911938</v>
      </c>
      <c r="B268" t="str">
        <f>"1552378151935340"</f>
        <v>1552378151935340</v>
      </c>
      <c r="C268" t="s">
        <v>40</v>
      </c>
      <c r="D268">
        <v>5.6990429999999996</v>
      </c>
      <c r="E268">
        <v>0.49244480000000002</v>
      </c>
      <c r="F268" t="s">
        <v>44</v>
      </c>
      <c r="G268">
        <v>-158.19499999999999</v>
      </c>
      <c r="H268">
        <v>2.0232760000000001</v>
      </c>
      <c r="I268">
        <v>361.30439999999999</v>
      </c>
      <c r="J268">
        <v>-449.86430000000001</v>
      </c>
      <c r="K268">
        <v>1.1085769999999999</v>
      </c>
      <c r="L268">
        <v>367.17309999999998</v>
      </c>
      <c r="M268">
        <v>0.99998679999999995</v>
      </c>
      <c r="N268">
        <v>0</v>
      </c>
      <c r="O268">
        <v>4.493978E-3</v>
      </c>
      <c r="P268">
        <v>0.99903249999999999</v>
      </c>
      <c r="Q268">
        <v>1.259511E-2</v>
      </c>
      <c r="R268">
        <v>-4.213389E-2</v>
      </c>
      <c r="S268">
        <v>3.0002439999999999</v>
      </c>
      <c r="T268">
        <v>9.4010829999999993E-3</v>
      </c>
      <c r="U268">
        <v>-6.0302729999999999E-2</v>
      </c>
      <c r="V268">
        <v>4.6633710000000002E-2</v>
      </c>
      <c r="W268">
        <v>1.507208E-2</v>
      </c>
      <c r="X268">
        <v>0.99879839999999998</v>
      </c>
      <c r="Y268">
        <v>2.4587959999999999E-2</v>
      </c>
      <c r="Z268" s="1">
        <v>5.2598780000000001E-5</v>
      </c>
      <c r="AA268">
        <v>0.99969770000000002</v>
      </c>
      <c r="AB268">
        <v>26</v>
      </c>
      <c r="AC268">
        <v>291.66930000000002</v>
      </c>
      <c r="AD268">
        <v>0.91469899999999904</v>
      </c>
      <c r="AE268">
        <v>-5.8686999999999898</v>
      </c>
      <c r="AF268">
        <v>7.1793296408939904</v>
      </c>
      <c r="AG268">
        <v>0.91469899999999904</v>
      </c>
      <c r="AH268">
        <v>291.63711372910302</v>
      </c>
      <c r="AI268">
        <v>89.820350890932602</v>
      </c>
      <c r="AJ268">
        <v>88.589815200415998</v>
      </c>
      <c r="AK268">
        <v>291.726902346347</v>
      </c>
      <c r="AL268">
        <v>89.136400777828499</v>
      </c>
      <c r="AM268">
        <v>87.326812132612403</v>
      </c>
      <c r="AN268">
        <v>1.0000000571732199</v>
      </c>
    </row>
    <row r="269" spans="1:40" x14ac:dyDescent="0.25">
      <c r="A269" t="str">
        <f>"20190312160911962"</f>
        <v>20190312160911962</v>
      </c>
      <c r="B269" t="str">
        <f>"1552378151954861"</f>
        <v>1552378151954861</v>
      </c>
      <c r="C269" t="s">
        <v>40</v>
      </c>
      <c r="D269">
        <v>5.8455779999999997</v>
      </c>
      <c r="E269">
        <v>0.49268669999999998</v>
      </c>
      <c r="F269" t="s">
        <v>44</v>
      </c>
      <c r="G269">
        <v>-158.19499999999999</v>
      </c>
      <c r="H269">
        <v>2.0498530000000001</v>
      </c>
      <c r="I269">
        <v>360.73169999999999</v>
      </c>
      <c r="J269">
        <v>-449.5806</v>
      </c>
      <c r="K269">
        <v>1.1085769999999999</v>
      </c>
      <c r="L269">
        <v>367.17399999999998</v>
      </c>
      <c r="M269">
        <v>0.99998860000000001</v>
      </c>
      <c r="N269">
        <v>0</v>
      </c>
      <c r="O269">
        <v>4.0596989999999999E-3</v>
      </c>
      <c r="P269">
        <v>0.99900230000000001</v>
      </c>
      <c r="Q269">
        <v>1.2735049999999999E-2</v>
      </c>
      <c r="R269">
        <v>-4.2806499999999997E-2</v>
      </c>
      <c r="S269">
        <v>2.9999690000000001</v>
      </c>
      <c r="T269">
        <v>9.6824170000000005E-3</v>
      </c>
      <c r="U269">
        <v>-6.6253660000000006E-2</v>
      </c>
      <c r="V269">
        <v>4.6872869999999997E-2</v>
      </c>
      <c r="W269">
        <v>1.526517E-2</v>
      </c>
      <c r="X269">
        <v>0.99878420000000001</v>
      </c>
      <c r="Y269">
        <v>2.6137779999999999E-2</v>
      </c>
      <c r="Z269" s="1">
        <v>5.5275890000000003E-5</v>
      </c>
      <c r="AA269">
        <v>0.9996583</v>
      </c>
      <c r="AB269">
        <v>26</v>
      </c>
      <c r="AC269">
        <v>291.38560000000001</v>
      </c>
      <c r="AD269">
        <v>0.941275999999999</v>
      </c>
      <c r="AE269">
        <v>-6.4423000000000403</v>
      </c>
      <c r="AF269">
        <v>7.6251089473295597</v>
      </c>
      <c r="AG269">
        <v>0.941275999999999</v>
      </c>
      <c r="AH269">
        <v>291.35400607662399</v>
      </c>
      <c r="AI269">
        <v>89.814958801390702</v>
      </c>
      <c r="AJ269">
        <v>88.500837996395404</v>
      </c>
      <c r="AK269">
        <v>291.45528841292997</v>
      </c>
      <c r="AL269">
        <v>89.125336200063899</v>
      </c>
      <c r="AM269">
        <v>87.3130846399456</v>
      </c>
      <c r="AN269">
        <v>0.99999998476340202</v>
      </c>
    </row>
    <row r="270" spans="1:40" x14ac:dyDescent="0.25">
      <c r="A270" t="str">
        <f>"20190312160911985"</f>
        <v>20190312160911985</v>
      </c>
      <c r="B270" t="str">
        <f>"1552378151975062"</f>
        <v>1552378151975062</v>
      </c>
      <c r="C270" t="s">
        <v>40</v>
      </c>
      <c r="D270">
        <v>5.6105809999999998</v>
      </c>
      <c r="E270">
        <v>0.53027369999999996</v>
      </c>
      <c r="F270" t="s">
        <v>44</v>
      </c>
      <c r="G270">
        <v>-158.19499999999999</v>
      </c>
      <c r="H270">
        <v>1.747215</v>
      </c>
      <c r="I270">
        <v>360.34730000000002</v>
      </c>
      <c r="J270">
        <v>-449.31139999999999</v>
      </c>
      <c r="K270">
        <v>1.108571</v>
      </c>
      <c r="L270">
        <v>367.1746</v>
      </c>
      <c r="M270">
        <v>0.99999000000000005</v>
      </c>
      <c r="N270">
        <v>0</v>
      </c>
      <c r="O270">
        <v>3.6434280000000002E-3</v>
      </c>
      <c r="P270">
        <v>0.99898799999999999</v>
      </c>
      <c r="Q270">
        <v>1.338954E-2</v>
      </c>
      <c r="R270">
        <v>-4.2938339999999998E-2</v>
      </c>
      <c r="S270">
        <v>2.9998779999999998</v>
      </c>
      <c r="T270">
        <v>6.5758229999999997E-3</v>
      </c>
      <c r="U270">
        <v>-7.0281979999999994E-2</v>
      </c>
      <c r="V270">
        <v>4.6589650000000003E-2</v>
      </c>
      <c r="W270">
        <v>1.5970330000000001E-2</v>
      </c>
      <c r="X270">
        <v>0.99878639999999996</v>
      </c>
      <c r="Y270">
        <v>2.7064069999999999E-2</v>
      </c>
      <c r="Z270" s="1">
        <v>3.7644030000000003E-5</v>
      </c>
      <c r="AA270">
        <v>0.99963369999999996</v>
      </c>
      <c r="AB270">
        <v>26</v>
      </c>
      <c r="AC270">
        <v>291.1164</v>
      </c>
      <c r="AD270">
        <v>0.63864399999999999</v>
      </c>
      <c r="AE270">
        <v>-6.8272999999999797</v>
      </c>
      <c r="AF270">
        <v>7.8878819537534897</v>
      </c>
      <c r="AG270">
        <v>0.63864399999999999</v>
      </c>
      <c r="AH270">
        <v>291.08819276312403</v>
      </c>
      <c r="AI270">
        <v>89.8743400765876</v>
      </c>
      <c r="AJ270">
        <v>88.447783918224403</v>
      </c>
      <c r="AK270">
        <v>291.195746043751</v>
      </c>
      <c r="AL270">
        <v>89.084928555658095</v>
      </c>
      <c r="AM270">
        <v>87.329302088609694</v>
      </c>
      <c r="AN270">
        <v>0.99999995987619394</v>
      </c>
    </row>
    <row r="271" spans="1:40" x14ac:dyDescent="0.25">
      <c r="A271" t="str">
        <f>"20190312160912007"</f>
        <v>20190312160912007</v>
      </c>
      <c r="B271" t="str">
        <f>"1552378151995557"</f>
        <v>1552378151995557</v>
      </c>
      <c r="C271" t="s">
        <v>40</v>
      </c>
      <c r="D271">
        <v>5.551234</v>
      </c>
      <c r="E271">
        <v>0.5373831</v>
      </c>
      <c r="F271" t="s">
        <v>42</v>
      </c>
      <c r="G271">
        <v>-448.38900000000001</v>
      </c>
      <c r="H271">
        <v>0.95580799999999999</v>
      </c>
      <c r="I271">
        <v>367.05939999999998</v>
      </c>
      <c r="J271">
        <v>-449.0523</v>
      </c>
      <c r="K271">
        <v>1.1085670000000001</v>
      </c>
      <c r="L271">
        <v>367.17509999999999</v>
      </c>
      <c r="M271">
        <v>0.99999119999999997</v>
      </c>
      <c r="N271">
        <v>0</v>
      </c>
      <c r="O271">
        <v>3.2402780000000001E-3</v>
      </c>
      <c r="P271">
        <v>0.99899139999999997</v>
      </c>
      <c r="Q271">
        <v>1.250303E-2</v>
      </c>
      <c r="R271">
        <v>-4.3122309999999997E-2</v>
      </c>
      <c r="S271">
        <v>2.993652</v>
      </c>
      <c r="T271">
        <v>-0.49583460000000001</v>
      </c>
      <c r="U271">
        <v>-0.37255860000000002</v>
      </c>
      <c r="V271">
        <v>4.6370710000000002E-2</v>
      </c>
      <c r="W271">
        <v>1.513311E-2</v>
      </c>
      <c r="X271">
        <v>0.99880959999999996</v>
      </c>
      <c r="Y271">
        <v>0.124991</v>
      </c>
      <c r="Z271">
        <v>-1.0773370000000001E-2</v>
      </c>
      <c r="AA271">
        <v>0.99209939999999996</v>
      </c>
      <c r="AB271">
        <v>27</v>
      </c>
      <c r="AC271">
        <v>0.66329999999999201</v>
      </c>
      <c r="AD271">
        <v>-0.15275900000000001</v>
      </c>
      <c r="AE271">
        <v>-0.11570000000000299</v>
      </c>
      <c r="AF271">
        <v>0.112079637648311</v>
      </c>
      <c r="AG271">
        <v>-0.15275900000000001</v>
      </c>
      <c r="AH271">
        <v>0.63046965543196298</v>
      </c>
      <c r="AI271">
        <v>103.417360224052</v>
      </c>
      <c r="AJ271">
        <v>79.919741759586898</v>
      </c>
      <c r="AK271">
        <v>0.65832297823855102</v>
      </c>
      <c r="AL271">
        <v>89.132903512160595</v>
      </c>
      <c r="AM271">
        <v>87.341896182208203</v>
      </c>
      <c r="AN271">
        <v>0.99999993540816601</v>
      </c>
    </row>
    <row r="272" spans="1:40" x14ac:dyDescent="0.25">
      <c r="A272" t="str">
        <f>"20190312160912026"</f>
        <v>20190312160912026</v>
      </c>
      <c r="B272" t="str">
        <f>"1552378152015077"</f>
        <v>1552378152015077</v>
      </c>
      <c r="C272" t="s">
        <v>40</v>
      </c>
      <c r="D272">
        <v>5.543736</v>
      </c>
      <c r="E272">
        <v>0.54015360000000001</v>
      </c>
      <c r="F272" t="s">
        <v>42</v>
      </c>
      <c r="G272">
        <v>-448.1601</v>
      </c>
      <c r="H272">
        <v>0.9301758</v>
      </c>
      <c r="I272">
        <v>367.04680000000002</v>
      </c>
      <c r="J272">
        <v>-448.8014</v>
      </c>
      <c r="K272">
        <v>1.108562</v>
      </c>
      <c r="L272">
        <v>367.1755</v>
      </c>
      <c r="M272">
        <v>0.99999229999999995</v>
      </c>
      <c r="N272">
        <v>0</v>
      </c>
      <c r="O272">
        <v>2.8486369999999998E-3</v>
      </c>
      <c r="P272">
        <v>0.99895140000000004</v>
      </c>
      <c r="Q272">
        <v>1.152997E-2</v>
      </c>
      <c r="R272">
        <v>-4.4306480000000002E-2</v>
      </c>
      <c r="S272">
        <v>2.991943</v>
      </c>
      <c r="T272">
        <v>-0.5982904</v>
      </c>
      <c r="U272">
        <v>-0.43051149999999999</v>
      </c>
      <c r="V272">
        <v>4.7162879999999997E-2</v>
      </c>
      <c r="W272">
        <v>1.420766E-2</v>
      </c>
      <c r="X272">
        <v>0.99878619999999996</v>
      </c>
      <c r="Y272">
        <v>0.14242389999999999</v>
      </c>
      <c r="Z272">
        <v>-1.459158E-2</v>
      </c>
      <c r="AA272">
        <v>0.98969819999999997</v>
      </c>
      <c r="AB272">
        <v>27</v>
      </c>
      <c r="AC272">
        <v>0.64130000000000098</v>
      </c>
      <c r="AD272">
        <v>-0.17838619999999999</v>
      </c>
      <c r="AE272">
        <v>-0.12869999999998</v>
      </c>
      <c r="AF272">
        <v>0.121489979558391</v>
      </c>
      <c r="AG272">
        <v>-0.17838619999999999</v>
      </c>
      <c r="AH272">
        <v>0.59655914426922496</v>
      </c>
      <c r="AI272">
        <v>106.331152340375</v>
      </c>
      <c r="AJ272">
        <v>78.489057788912902</v>
      </c>
      <c r="AK272">
        <v>0.63440071255852803</v>
      </c>
      <c r="AL272">
        <v>89.185933683842904</v>
      </c>
      <c r="AM272">
        <v>87.296490256092298</v>
      </c>
      <c r="AN272">
        <v>1.0000000340815001</v>
      </c>
    </row>
    <row r="273" spans="1:40" x14ac:dyDescent="0.25">
      <c r="A273" t="str">
        <f>"20190312160912051"</f>
        <v>20190312160912051</v>
      </c>
      <c r="B273" t="str">
        <f>"1552378152045334"</f>
        <v>1552378152045334</v>
      </c>
      <c r="C273" t="s">
        <v>40</v>
      </c>
      <c r="D273">
        <v>5.5798540000000001</v>
      </c>
      <c r="E273">
        <v>0.53938759999999997</v>
      </c>
      <c r="F273" t="s">
        <v>42</v>
      </c>
      <c r="G273">
        <v>-447.92340000000002</v>
      </c>
      <c r="H273">
        <v>0.9181935</v>
      </c>
      <c r="I273">
        <v>367.04169999999999</v>
      </c>
      <c r="J273">
        <v>-448.52179999999998</v>
      </c>
      <c r="K273">
        <v>1.108563</v>
      </c>
      <c r="L273">
        <v>367.17590000000001</v>
      </c>
      <c r="M273">
        <v>0.99999329999999997</v>
      </c>
      <c r="N273">
        <v>0</v>
      </c>
      <c r="O273">
        <v>2.4111499999999999E-3</v>
      </c>
      <c r="P273">
        <v>0.99891560000000001</v>
      </c>
      <c r="Q273">
        <v>1.089884E-2</v>
      </c>
      <c r="R273">
        <v>-4.5264199999999997E-2</v>
      </c>
      <c r="S273">
        <v>2.9904169999999999</v>
      </c>
      <c r="T273">
        <v>-0.6484432</v>
      </c>
      <c r="U273">
        <v>-0.4548645</v>
      </c>
      <c r="V273">
        <v>4.7683009999999998E-2</v>
      </c>
      <c r="W273">
        <v>1.362932E-2</v>
      </c>
      <c r="X273">
        <v>0.99876949999999998</v>
      </c>
      <c r="Y273">
        <v>0.14931349999999999</v>
      </c>
      <c r="Z273">
        <v>-1.64282E-2</v>
      </c>
      <c r="AA273">
        <v>0.98865340000000002</v>
      </c>
      <c r="AB273">
        <v>27</v>
      </c>
      <c r="AC273">
        <v>0.59839999999996896</v>
      </c>
      <c r="AD273">
        <v>-0.1903695</v>
      </c>
      <c r="AE273">
        <v>-0.134200000000021</v>
      </c>
      <c r="AF273">
        <v>0.123720628389765</v>
      </c>
      <c r="AG273">
        <v>-0.1903695</v>
      </c>
      <c r="AH273">
        <v>0.54550899772262695</v>
      </c>
      <c r="AI273">
        <v>108.79511963093</v>
      </c>
      <c r="AJ273">
        <v>77.221572666673595</v>
      </c>
      <c r="AK273">
        <v>0.59087004240844099</v>
      </c>
      <c r="AL273">
        <v>89.219073285143693</v>
      </c>
      <c r="AM273">
        <v>87.266674267976299</v>
      </c>
      <c r="AN273">
        <v>0.99999997096828497</v>
      </c>
    </row>
    <row r="274" spans="1:40" x14ac:dyDescent="0.25">
      <c r="A274" t="str">
        <f>"20190312160912070"</f>
        <v>20190312160912070</v>
      </c>
      <c r="B274" t="str">
        <f>"1552378152065435"</f>
        <v>1552378152065435</v>
      </c>
      <c r="C274" t="s">
        <v>40</v>
      </c>
      <c r="D274">
        <v>5.402933</v>
      </c>
      <c r="E274">
        <v>0.53993840000000004</v>
      </c>
      <c r="F274" t="s">
        <v>42</v>
      </c>
      <c r="G274">
        <v>-447.68110000000001</v>
      </c>
      <c r="H274">
        <v>0.91826140000000001</v>
      </c>
      <c r="I274">
        <v>367.0489</v>
      </c>
      <c r="J274">
        <v>-448.27499999999998</v>
      </c>
      <c r="K274">
        <v>1.108552</v>
      </c>
      <c r="L274">
        <v>367.17610000000002</v>
      </c>
      <c r="M274">
        <v>0.99999400000000005</v>
      </c>
      <c r="N274">
        <v>0</v>
      </c>
      <c r="O274">
        <v>2.0254119999999999E-3</v>
      </c>
      <c r="P274">
        <v>0.99889450000000002</v>
      </c>
      <c r="Q274">
        <v>1.134139E-2</v>
      </c>
      <c r="R274">
        <v>-4.5624869999999998E-2</v>
      </c>
      <c r="S274">
        <v>2.9902039999999999</v>
      </c>
      <c r="T274">
        <v>-0.67689119999999903</v>
      </c>
      <c r="U274">
        <v>-0.45108029999999999</v>
      </c>
      <c r="V274">
        <v>4.7658880000000001E-2</v>
      </c>
      <c r="W274">
        <v>1.411898E-2</v>
      </c>
      <c r="X274">
        <v>0.99876390000000004</v>
      </c>
      <c r="Y274">
        <v>0.14746790000000001</v>
      </c>
      <c r="Z274">
        <v>-1.6843589999999999E-2</v>
      </c>
      <c r="AA274">
        <v>0.98892340000000001</v>
      </c>
      <c r="AB274">
        <v>27</v>
      </c>
      <c r="AC274">
        <v>0.59389999999996201</v>
      </c>
      <c r="AD274">
        <v>-0.1902906</v>
      </c>
      <c r="AE274">
        <v>-0.12720000000001599</v>
      </c>
      <c r="AF274">
        <v>0.116925374971819</v>
      </c>
      <c r="AG274">
        <v>-0.1902906</v>
      </c>
      <c r="AH274">
        <v>0.54057857393689701</v>
      </c>
      <c r="AI274">
        <v>108.986117585598</v>
      </c>
      <c r="AJ274">
        <v>77.795124565595302</v>
      </c>
      <c r="AK274">
        <v>0.58489935062394305</v>
      </c>
      <c r="AL274">
        <v>89.191015172668799</v>
      </c>
      <c r="AM274">
        <v>87.268040077514499</v>
      </c>
      <c r="AN274">
        <v>1.0000000211911499</v>
      </c>
    </row>
    <row r="275" spans="1:40" x14ac:dyDescent="0.25">
      <c r="A275" t="str">
        <f>"20190312160912093"</f>
        <v>20190312160912093</v>
      </c>
      <c r="B275" t="str">
        <f>"1552378152084955"</f>
        <v>1552378152084955</v>
      </c>
      <c r="C275" t="s">
        <v>40</v>
      </c>
      <c r="D275">
        <v>5.3894669999999998</v>
      </c>
      <c r="E275">
        <v>0.53963079999999997</v>
      </c>
      <c r="F275" t="s">
        <v>42</v>
      </c>
      <c r="G275">
        <v>-447.43720000000002</v>
      </c>
      <c r="H275">
        <v>0.91755719999999996</v>
      </c>
      <c r="I275">
        <v>367.0478</v>
      </c>
      <c r="J275">
        <v>-447.98809999999997</v>
      </c>
      <c r="K275">
        <v>1.108549</v>
      </c>
      <c r="L275">
        <v>367.17619999999999</v>
      </c>
      <c r="M275">
        <v>0.99999459999999996</v>
      </c>
      <c r="N275">
        <v>0</v>
      </c>
      <c r="O275">
        <v>1.5774300000000001E-3</v>
      </c>
      <c r="P275">
        <v>0.99889130000000004</v>
      </c>
      <c r="Q275">
        <v>1.145875E-2</v>
      </c>
      <c r="R275">
        <v>-4.5659430000000001E-2</v>
      </c>
      <c r="S275">
        <v>2.990173</v>
      </c>
      <c r="T275">
        <v>-0.68173269999999997</v>
      </c>
      <c r="U275">
        <v>-0.45748899999999998</v>
      </c>
      <c r="V275">
        <v>4.7246339999999998E-2</v>
      </c>
      <c r="W275">
        <v>1.429158E-2</v>
      </c>
      <c r="X275">
        <v>0.99878100000000003</v>
      </c>
      <c r="Y275">
        <v>0.1490194</v>
      </c>
      <c r="Z275">
        <v>-1.7032019999999998E-2</v>
      </c>
      <c r="AA275">
        <v>0.9886876</v>
      </c>
      <c r="AB275">
        <v>27</v>
      </c>
      <c r="AC275">
        <v>0.55089999999995598</v>
      </c>
      <c r="AD275">
        <v>-0.19099179999999999</v>
      </c>
      <c r="AE275">
        <v>-0.12839999999999899</v>
      </c>
      <c r="AF275">
        <v>0.116040114692482</v>
      </c>
      <c r="AG275">
        <v>-0.19099179999999999</v>
      </c>
      <c r="AH275">
        <v>0.49434118528495602</v>
      </c>
      <c r="AI275">
        <v>110.612910150687</v>
      </c>
      <c r="AJ275">
        <v>76.789735536839302</v>
      </c>
      <c r="AK275">
        <v>0.542509339416401</v>
      </c>
      <c r="AL275">
        <v>89.181124886330807</v>
      </c>
      <c r="AM275">
        <v>87.291699130182494</v>
      </c>
      <c r="AN275">
        <v>0.99999997593164502</v>
      </c>
    </row>
    <row r="276" spans="1:40" x14ac:dyDescent="0.25">
      <c r="A276" t="str">
        <f>"20190312160912116"</f>
        <v>20190312160912116</v>
      </c>
      <c r="B276" t="str">
        <f>"1552378152105451"</f>
        <v>1552378152105451</v>
      </c>
      <c r="C276" t="s">
        <v>40</v>
      </c>
      <c r="D276">
        <v>5.3633860000000002</v>
      </c>
      <c r="E276">
        <v>0.54008599999999996</v>
      </c>
      <c r="F276" t="s">
        <v>42</v>
      </c>
      <c r="G276">
        <v>-447.18869999999998</v>
      </c>
      <c r="H276">
        <v>0.92600950000000004</v>
      </c>
      <c r="I276">
        <v>367.05459999999999</v>
      </c>
      <c r="J276">
        <v>-447.71559999999999</v>
      </c>
      <c r="K276">
        <v>1.1085480000000001</v>
      </c>
      <c r="L276">
        <v>367.17619999999999</v>
      </c>
      <c r="M276">
        <v>0.99999510000000003</v>
      </c>
      <c r="N276">
        <v>0</v>
      </c>
      <c r="O276">
        <v>1.1527569999999999E-3</v>
      </c>
      <c r="P276">
        <v>0.99888319999999997</v>
      </c>
      <c r="Q276">
        <v>1.1344170000000001E-2</v>
      </c>
      <c r="R276">
        <v>-4.58661E-2</v>
      </c>
      <c r="S276">
        <v>2.990326</v>
      </c>
      <c r="T276">
        <v>-0.68269230000000003</v>
      </c>
      <c r="U276">
        <v>-0.45516970000000001</v>
      </c>
      <c r="V276">
        <v>4.7028630000000002E-2</v>
      </c>
      <c r="W276">
        <v>1.4230069999999999E-2</v>
      </c>
      <c r="X276">
        <v>0.99879220000000002</v>
      </c>
      <c r="Y276">
        <v>0.14787159999999999</v>
      </c>
      <c r="Z276">
        <v>-1.6831680000000002E-2</v>
      </c>
      <c r="AA276">
        <v>0.9888633</v>
      </c>
      <c r="AB276">
        <v>27</v>
      </c>
      <c r="AC276">
        <v>0.52690000000001103</v>
      </c>
      <c r="AD276">
        <v>-0.18253849999999899</v>
      </c>
      <c r="AE276">
        <v>-0.1216</v>
      </c>
      <c r="AF276">
        <v>0.109706223344952</v>
      </c>
      <c r="AG276">
        <v>-0.18253849999999899</v>
      </c>
      <c r="AH276">
        <v>0.472875090493934</v>
      </c>
      <c r="AI276">
        <v>110.60783889029901</v>
      </c>
      <c r="AJ276">
        <v>76.938540627463993</v>
      </c>
      <c r="AK276">
        <v>0.51861990959903204</v>
      </c>
      <c r="AL276">
        <v>89.184649546498207</v>
      </c>
      <c r="AM276">
        <v>87.304190647817606</v>
      </c>
      <c r="AN276">
        <v>1.0000000228563599</v>
      </c>
    </row>
    <row r="277" spans="1:40" x14ac:dyDescent="0.25">
      <c r="A277" t="str">
        <f>"20190312160912137"</f>
        <v>20190312160912137</v>
      </c>
      <c r="B277" t="str">
        <f>"1552378152134731"</f>
        <v>1552378152134731</v>
      </c>
      <c r="C277" t="s">
        <v>40</v>
      </c>
      <c r="D277">
        <v>5.401173</v>
      </c>
      <c r="E277">
        <v>0.53977900000000001</v>
      </c>
      <c r="F277" t="s">
        <v>42</v>
      </c>
      <c r="G277">
        <v>-446.94029999999998</v>
      </c>
      <c r="H277">
        <v>0.92998809999999998</v>
      </c>
      <c r="I277">
        <v>367.05700000000002</v>
      </c>
      <c r="J277">
        <v>-447.44220000000001</v>
      </c>
      <c r="K277">
        <v>1.1085480000000001</v>
      </c>
      <c r="L277">
        <v>367.17610000000002</v>
      </c>
      <c r="M277">
        <v>0.99999530000000003</v>
      </c>
      <c r="N277">
        <v>0</v>
      </c>
      <c r="O277">
        <v>7.2784110000000005E-4</v>
      </c>
      <c r="P277">
        <v>0.99889439999999996</v>
      </c>
      <c r="Q277">
        <v>1.035524E-2</v>
      </c>
      <c r="R277">
        <v>-4.5861409999999998E-2</v>
      </c>
      <c r="S277">
        <v>2.9900820000000001</v>
      </c>
      <c r="T277">
        <v>-0.68878130000000004</v>
      </c>
      <c r="U277">
        <v>-0.45846559999999997</v>
      </c>
      <c r="V277">
        <v>4.6598899999999999E-2</v>
      </c>
      <c r="W277">
        <v>1.3294129999999999E-2</v>
      </c>
      <c r="X277">
        <v>0.99882519999999997</v>
      </c>
      <c r="Y277">
        <v>0.14845849999999999</v>
      </c>
      <c r="Z277">
        <v>-1.6948310000000001E-2</v>
      </c>
      <c r="AA277">
        <v>0.98877340000000002</v>
      </c>
      <c r="AB277">
        <v>27</v>
      </c>
      <c r="AC277">
        <v>0.50190000000003399</v>
      </c>
      <c r="AD277">
        <v>-0.17855989999999899</v>
      </c>
      <c r="AE277">
        <v>-0.11910000000005901</v>
      </c>
      <c r="AF277">
        <v>0.106682237594539</v>
      </c>
      <c r="AG277">
        <v>-0.17855989999999899</v>
      </c>
      <c r="AH277">
        <v>0.44811811335639801</v>
      </c>
      <c r="AI277">
        <v>111.187964455507</v>
      </c>
      <c r="AJ277">
        <v>76.609020954147795</v>
      </c>
      <c r="AK277">
        <v>0.49403904827886402</v>
      </c>
      <c r="AL277">
        <v>89.238280009777696</v>
      </c>
      <c r="AM277">
        <v>87.328876226220302</v>
      </c>
      <c r="AN277">
        <v>0.99999998576435301</v>
      </c>
    </row>
    <row r="278" spans="1:40" x14ac:dyDescent="0.25">
      <c r="A278" t="str">
        <f>"20190312160912162"</f>
        <v>20190312160912162</v>
      </c>
      <c r="B278" t="str">
        <f>"1552378152155228"</f>
        <v>1552378152155228</v>
      </c>
      <c r="C278" t="s">
        <v>40</v>
      </c>
      <c r="D278">
        <v>5.3112919999999999</v>
      </c>
      <c r="E278">
        <v>0.54015089999999999</v>
      </c>
      <c r="F278" t="s">
        <v>42</v>
      </c>
      <c r="G278">
        <v>-446.69139999999999</v>
      </c>
      <c r="H278">
        <v>0.93249939999999998</v>
      </c>
      <c r="I278">
        <v>367.06150000000002</v>
      </c>
      <c r="J278">
        <v>-447.14980000000003</v>
      </c>
      <c r="K278">
        <v>1.108552</v>
      </c>
      <c r="L278">
        <v>367.17579999999998</v>
      </c>
      <c r="M278">
        <v>0.99999550000000004</v>
      </c>
      <c r="N278">
        <v>0</v>
      </c>
      <c r="O278">
        <v>2.7299559999999999E-4</v>
      </c>
      <c r="P278">
        <v>0.99889799999999995</v>
      </c>
      <c r="Q278">
        <v>1.065819E-2</v>
      </c>
      <c r="R278">
        <v>-4.5714299999999999E-2</v>
      </c>
      <c r="S278">
        <v>2.9896240000000001</v>
      </c>
      <c r="T278">
        <v>-0.70105899999999999</v>
      </c>
      <c r="U278">
        <v>-0.45608520000000002</v>
      </c>
      <c r="V278">
        <v>4.5998009999999999E-2</v>
      </c>
      <c r="W278">
        <v>1.365363E-2</v>
      </c>
      <c r="X278">
        <v>0.99884819999999996</v>
      </c>
      <c r="Y278">
        <v>0.1471712</v>
      </c>
      <c r="Z278">
        <v>-1.6993419999999999E-2</v>
      </c>
      <c r="AA278">
        <v>0.98896499999999998</v>
      </c>
      <c r="AB278">
        <v>28</v>
      </c>
      <c r="AC278">
        <v>0.45840000000004</v>
      </c>
      <c r="AD278">
        <v>-0.176052599999999</v>
      </c>
      <c r="AE278">
        <v>-0.11429999999995701</v>
      </c>
      <c r="AF278">
        <v>0.10047274750844699</v>
      </c>
      <c r="AG278">
        <v>-0.176052599999999</v>
      </c>
      <c r="AH278">
        <v>0.40247773915724699</v>
      </c>
      <c r="AI278">
        <v>112.996270579301</v>
      </c>
      <c r="AJ278">
        <v>75.983411915252702</v>
      </c>
      <c r="AK278">
        <v>0.450641344614301</v>
      </c>
      <c r="AL278">
        <v>89.2176803041787</v>
      </c>
      <c r="AM278">
        <v>87.363331908335397</v>
      </c>
      <c r="AN278">
        <v>0.99999998258968803</v>
      </c>
    </row>
    <row r="279" spans="1:40" x14ac:dyDescent="0.25">
      <c r="A279" t="str">
        <f>"20190312160912184"</f>
        <v>20190312160912184</v>
      </c>
      <c r="B279" t="str">
        <f>"1552378152175335"</f>
        <v>1552378152175335</v>
      </c>
      <c r="C279" t="s">
        <v>40</v>
      </c>
      <c r="D279">
        <v>5.3680190000000003</v>
      </c>
      <c r="E279">
        <v>0.53981519999999905</v>
      </c>
      <c r="F279" t="s">
        <v>42</v>
      </c>
      <c r="G279">
        <v>-446.4384</v>
      </c>
      <c r="H279">
        <v>0.94141830000000004</v>
      </c>
      <c r="I279">
        <v>367.06659999999999</v>
      </c>
      <c r="J279">
        <v>-446.87139999999999</v>
      </c>
      <c r="K279">
        <v>1.1085560000000001</v>
      </c>
      <c r="L279">
        <v>367.1755</v>
      </c>
      <c r="M279">
        <v>0.99999530000000003</v>
      </c>
      <c r="N279">
        <v>0</v>
      </c>
      <c r="O279">
        <v>-1.5949399999999999E-4</v>
      </c>
      <c r="P279">
        <v>0.99886620000000004</v>
      </c>
      <c r="Q279">
        <v>1.104201E-2</v>
      </c>
      <c r="R279">
        <v>-4.6311930000000001E-2</v>
      </c>
      <c r="S279">
        <v>2.9898069999999999</v>
      </c>
      <c r="T279">
        <v>-0.70245859999999904</v>
      </c>
      <c r="U279">
        <v>-0.45800780000000002</v>
      </c>
      <c r="V279">
        <v>4.6163919999999997E-2</v>
      </c>
      <c r="W279">
        <v>1.409085E-2</v>
      </c>
      <c r="X279">
        <v>0.99883449999999996</v>
      </c>
      <c r="Y279">
        <v>0.14734839999999999</v>
      </c>
      <c r="Z279">
        <v>-1.6945399999999999E-2</v>
      </c>
      <c r="AA279">
        <v>0.98893949999999997</v>
      </c>
      <c r="AB279">
        <v>28</v>
      </c>
      <c r="AC279">
        <v>0.432999999999992</v>
      </c>
      <c r="AD279">
        <v>-0.167137699999999</v>
      </c>
      <c r="AE279">
        <v>-0.10890000000000501</v>
      </c>
      <c r="AF279">
        <v>9.54547039965533E-2</v>
      </c>
      <c r="AG279">
        <v>-0.167137699999999</v>
      </c>
      <c r="AH279">
        <v>0.37979590406031399</v>
      </c>
      <c r="AI279">
        <v>113.11273587423101</v>
      </c>
      <c r="AJ279">
        <v>75.891973115574004</v>
      </c>
      <c r="AK279">
        <v>0.42578344262940898</v>
      </c>
      <c r="AL279">
        <v>89.192627053400003</v>
      </c>
      <c r="AM279">
        <v>87.353798973173994</v>
      </c>
      <c r="AN279">
        <v>1.0000000089768599</v>
      </c>
    </row>
    <row r="280" spans="1:40" x14ac:dyDescent="0.25">
      <c r="A280" t="str">
        <f>"20190312160912206"</f>
        <v>20190312160912206</v>
      </c>
      <c r="B280" t="str">
        <f>"1552378152194856"</f>
        <v>1552378152194856</v>
      </c>
      <c r="C280" t="s">
        <v>40</v>
      </c>
      <c r="D280">
        <v>5.2258459999999998</v>
      </c>
      <c r="E280">
        <v>0.53982959999999902</v>
      </c>
      <c r="F280" t="s">
        <v>42</v>
      </c>
      <c r="G280">
        <v>-446.18529999999998</v>
      </c>
      <c r="H280">
        <v>0.94745409999999997</v>
      </c>
      <c r="I280">
        <v>367.07060000000001</v>
      </c>
      <c r="J280">
        <v>-446.59640000000002</v>
      </c>
      <c r="K280">
        <v>1.10856</v>
      </c>
      <c r="L280">
        <v>367.17500000000001</v>
      </c>
      <c r="M280">
        <v>0.99999510000000003</v>
      </c>
      <c r="N280">
        <v>0</v>
      </c>
      <c r="O280">
        <v>-5.8626329999999995E-4</v>
      </c>
      <c r="P280">
        <v>0.99884919999999999</v>
      </c>
      <c r="Q280">
        <v>1.143313E-2</v>
      </c>
      <c r="R280">
        <v>-4.6585939999999999E-2</v>
      </c>
      <c r="S280">
        <v>2.9899290000000001</v>
      </c>
      <c r="T280">
        <v>-0.70212980000000003</v>
      </c>
      <c r="U280">
        <v>-0.45715329999999899</v>
      </c>
      <c r="V280">
        <v>4.601206E-2</v>
      </c>
      <c r="W280">
        <v>1.453522E-2</v>
      </c>
      <c r="X280">
        <v>0.99883509999999998</v>
      </c>
      <c r="Y280">
        <v>0.14667729999999901</v>
      </c>
      <c r="Z280">
        <v>-1.6761729999999999E-2</v>
      </c>
      <c r="AA280">
        <v>0.98904239999999999</v>
      </c>
      <c r="AB280">
        <v>28</v>
      </c>
      <c r="AC280">
        <v>0.41110000000003299</v>
      </c>
      <c r="AD280">
        <v>-0.1611059</v>
      </c>
      <c r="AE280">
        <v>-0.10439999999999799</v>
      </c>
      <c r="AF280">
        <v>9.1026314651432294E-2</v>
      </c>
      <c r="AG280">
        <v>-0.1611059</v>
      </c>
      <c r="AH280">
        <v>0.35932079192335498</v>
      </c>
      <c r="AI280">
        <v>113.491345163514</v>
      </c>
      <c r="AJ280">
        <v>75.784389161940297</v>
      </c>
      <c r="AK280">
        <v>0.40416869310011899</v>
      </c>
      <c r="AL280">
        <v>89.167163886752107</v>
      </c>
      <c r="AM280">
        <v>87.362493138068501</v>
      </c>
      <c r="AN280">
        <v>0.99999996963894999</v>
      </c>
    </row>
    <row r="281" spans="1:40" x14ac:dyDescent="0.25">
      <c r="A281" t="str">
        <f>"20190312160912227"</f>
        <v>20190312160912227</v>
      </c>
      <c r="B281" t="str">
        <f>"1552378152215351"</f>
        <v>1552378152215351</v>
      </c>
      <c r="C281" t="s">
        <v>40</v>
      </c>
      <c r="D281">
        <v>5.187754</v>
      </c>
      <c r="E281">
        <v>0.54065620000000003</v>
      </c>
      <c r="F281" t="s">
        <v>42</v>
      </c>
      <c r="G281">
        <v>-445.70139999999998</v>
      </c>
      <c r="H281">
        <v>0.89719280000000001</v>
      </c>
      <c r="I281">
        <v>367.0376</v>
      </c>
      <c r="J281">
        <v>-446.32319999999999</v>
      </c>
      <c r="K281">
        <v>1.1085579999999999</v>
      </c>
      <c r="L281">
        <v>367.17439999999999</v>
      </c>
      <c r="M281">
        <v>0.99999439999999995</v>
      </c>
      <c r="N281">
        <v>0</v>
      </c>
      <c r="O281">
        <v>-1.009696E-3</v>
      </c>
      <c r="P281">
        <v>0.9988011</v>
      </c>
      <c r="Q281">
        <v>1.14698E-2</v>
      </c>
      <c r="R281">
        <v>-4.7591019999999998E-2</v>
      </c>
      <c r="S281">
        <v>2.9902039999999999</v>
      </c>
      <c r="T281">
        <v>-0.70624969999999998</v>
      </c>
      <c r="U281">
        <v>-0.45803830000000001</v>
      </c>
      <c r="V281">
        <v>4.6594740000000003E-2</v>
      </c>
      <c r="W281">
        <v>1.462342E-2</v>
      </c>
      <c r="X281">
        <v>0.99880679999999999</v>
      </c>
      <c r="Y281">
        <v>0.14650299999999999</v>
      </c>
      <c r="Z281">
        <v>-1.673736E-2</v>
      </c>
      <c r="AA281">
        <v>0.98906859999999996</v>
      </c>
      <c r="AB281">
        <v>28</v>
      </c>
      <c r="AC281">
        <v>0.62180000000000701</v>
      </c>
      <c r="AD281">
        <v>-0.211365199999999</v>
      </c>
      <c r="AE281">
        <v>-0.13679999999999301</v>
      </c>
      <c r="AF281">
        <v>0.12265390265962001</v>
      </c>
      <c r="AG281">
        <v>-0.211365199999999</v>
      </c>
      <c r="AH281">
        <v>0.56019625674144702</v>
      </c>
      <c r="AI281">
        <v>110.232606503917</v>
      </c>
      <c r="AJ281">
        <v>77.650081532372994</v>
      </c>
      <c r="AK281">
        <v>0.61117843030968</v>
      </c>
      <c r="AL281">
        <v>89.162109861119404</v>
      </c>
      <c r="AM281">
        <v>87.329065207029899</v>
      </c>
      <c r="AN281">
        <v>0.999999968967201</v>
      </c>
    </row>
    <row r="282" spans="1:40" x14ac:dyDescent="0.25">
      <c r="A282" t="str">
        <f>"20190312160912248"</f>
        <v>20190312160912248</v>
      </c>
      <c r="B282" t="str">
        <f>"1552378152234871"</f>
        <v>1552378152234871</v>
      </c>
      <c r="C282" t="s">
        <v>40</v>
      </c>
      <c r="D282">
        <v>5.1402359999999998</v>
      </c>
      <c r="E282">
        <v>0.54093800000000003</v>
      </c>
      <c r="F282" t="s">
        <v>42</v>
      </c>
      <c r="G282">
        <v>-445.44659999999999</v>
      </c>
      <c r="H282">
        <v>0.89865799999999996</v>
      </c>
      <c r="I282">
        <v>367.03680000000003</v>
      </c>
      <c r="J282">
        <v>-446.04759999999999</v>
      </c>
      <c r="K282">
        <v>1.108554</v>
      </c>
      <c r="L282">
        <v>367.1737</v>
      </c>
      <c r="M282">
        <v>0.99999380000000004</v>
      </c>
      <c r="N282">
        <v>0</v>
      </c>
      <c r="O282">
        <v>-1.436826E-3</v>
      </c>
      <c r="P282">
        <v>0.99874600000000002</v>
      </c>
      <c r="Q282">
        <v>1.068067E-2</v>
      </c>
      <c r="R282">
        <v>-4.8911820000000002E-2</v>
      </c>
      <c r="S282">
        <v>2.9895019999999999</v>
      </c>
      <c r="T282">
        <v>-0.7158004</v>
      </c>
      <c r="U282">
        <v>-0.46817019999999998</v>
      </c>
      <c r="V282">
        <v>4.7488460000000003E-2</v>
      </c>
      <c r="W282">
        <v>1.3886310000000001E-2</v>
      </c>
      <c r="X282">
        <v>0.99877519999999997</v>
      </c>
      <c r="Y282">
        <v>0.14922089999999999</v>
      </c>
      <c r="Z282">
        <v>-1.717598E-2</v>
      </c>
      <c r="AA282">
        <v>0.9886547</v>
      </c>
      <c r="AB282">
        <v>28</v>
      </c>
      <c r="AC282">
        <v>0.60099999999999898</v>
      </c>
      <c r="AD282">
        <v>-0.209896</v>
      </c>
      <c r="AE282">
        <v>-0.13689999999996799</v>
      </c>
      <c r="AF282">
        <v>0.121901236495719</v>
      </c>
      <c r="AG282">
        <v>-0.209896</v>
      </c>
      <c r="AH282">
        <v>0.53872778106809105</v>
      </c>
      <c r="AI282">
        <v>110.807156134397</v>
      </c>
      <c r="AJ282">
        <v>77.250041967661303</v>
      </c>
      <c r="AK282">
        <v>0.59088396861797998</v>
      </c>
      <c r="AL282">
        <v>89.204347425378202</v>
      </c>
      <c r="AM282">
        <v>87.277825130062794</v>
      </c>
      <c r="AN282">
        <v>0.99999994178681195</v>
      </c>
    </row>
    <row r="283" spans="1:40" x14ac:dyDescent="0.25">
      <c r="A283" t="str">
        <f>"20190312160912272"</f>
        <v>20190312160912272</v>
      </c>
      <c r="B283" t="str">
        <f>"1552378152265256"</f>
        <v>1552378152265256</v>
      </c>
      <c r="C283" t="s">
        <v>40</v>
      </c>
      <c r="D283">
        <v>5.2139379999999997</v>
      </c>
      <c r="E283">
        <v>0.54189480000000001</v>
      </c>
      <c r="F283" t="s">
        <v>42</v>
      </c>
      <c r="G283">
        <v>-445.18959999999998</v>
      </c>
      <c r="H283">
        <v>0.90260459999999998</v>
      </c>
      <c r="I283">
        <v>367.03739999999999</v>
      </c>
      <c r="J283">
        <v>-445.7527</v>
      </c>
      <c r="K283">
        <v>1.1085529999999999</v>
      </c>
      <c r="L283">
        <v>367.1728</v>
      </c>
      <c r="M283">
        <v>0.99999280000000002</v>
      </c>
      <c r="N283">
        <v>0</v>
      </c>
      <c r="O283">
        <v>-1.893294E-3</v>
      </c>
      <c r="P283">
        <v>0.99867760000000005</v>
      </c>
      <c r="Q283">
        <v>9.3722289999999993E-3</v>
      </c>
      <c r="R283">
        <v>-5.0553590000000002E-2</v>
      </c>
      <c r="S283">
        <v>2.988251</v>
      </c>
      <c r="T283">
        <v>-0.71732879999999999</v>
      </c>
      <c r="U283">
        <v>-0.47363280000000002</v>
      </c>
      <c r="V283">
        <v>4.8673260000000003E-2</v>
      </c>
      <c r="W283">
        <v>1.2633770000000001E-2</v>
      </c>
      <c r="X283">
        <v>0.99873480000000003</v>
      </c>
      <c r="Y283">
        <v>0.1505532</v>
      </c>
      <c r="Z283">
        <v>-1.7265590000000001E-2</v>
      </c>
      <c r="AA283">
        <v>0.98845110000000003</v>
      </c>
      <c r="AB283">
        <v>28</v>
      </c>
      <c r="AC283">
        <v>0.56310000000001903</v>
      </c>
      <c r="AD283">
        <v>-0.2059484</v>
      </c>
      <c r="AE283">
        <v>-0.13540000000000399</v>
      </c>
      <c r="AF283">
        <v>0.11925348494186799</v>
      </c>
      <c r="AG283">
        <v>-0.2059484</v>
      </c>
      <c r="AH283">
        <v>0.50011366622528497</v>
      </c>
      <c r="AI283">
        <v>111.829676615455</v>
      </c>
      <c r="AJ283">
        <v>76.588118166572301</v>
      </c>
      <c r="AK283">
        <v>0.55384999438353</v>
      </c>
      <c r="AL283">
        <v>89.276119005574898</v>
      </c>
      <c r="AM283">
        <v>87.209902318265307</v>
      </c>
      <c r="AN283">
        <v>0.99999994955723903</v>
      </c>
    </row>
    <row r="284" spans="1:40" x14ac:dyDescent="0.25">
      <c r="A284" t="str">
        <f>"20190312160912295"</f>
        <v>20190312160912295</v>
      </c>
      <c r="B284" t="str">
        <f>"1552378152284777"</f>
        <v>1552378152284777</v>
      </c>
      <c r="C284" t="s">
        <v>40</v>
      </c>
      <c r="D284">
        <v>5.0967250000000002</v>
      </c>
      <c r="E284">
        <v>0.5425934</v>
      </c>
      <c r="F284" t="s">
        <v>42</v>
      </c>
      <c r="G284">
        <v>-444.9307</v>
      </c>
      <c r="H284">
        <v>0.90845140000000002</v>
      </c>
      <c r="I284">
        <v>367.03870000000001</v>
      </c>
      <c r="J284">
        <v>-445.45179999999999</v>
      </c>
      <c r="K284">
        <v>1.1085510000000001</v>
      </c>
      <c r="L284">
        <v>367.17169999999999</v>
      </c>
      <c r="M284">
        <v>0.99999170000000004</v>
      </c>
      <c r="N284">
        <v>0</v>
      </c>
      <c r="O284">
        <v>-2.3585870000000001E-3</v>
      </c>
      <c r="P284">
        <v>0.99864810000000004</v>
      </c>
      <c r="Q284">
        <v>9.3198919999999998E-3</v>
      </c>
      <c r="R284">
        <v>-5.1139579999999997E-2</v>
      </c>
      <c r="S284">
        <v>2.986237</v>
      </c>
      <c r="T284">
        <v>-0.72698699999999905</v>
      </c>
      <c r="U284">
        <v>-0.48522949999999998</v>
      </c>
      <c r="V284">
        <v>4.8794740000000003E-2</v>
      </c>
      <c r="W284">
        <v>1.2639009999999999E-2</v>
      </c>
      <c r="X284">
        <v>0.99872890000000003</v>
      </c>
      <c r="Y284">
        <v>0.15374769999999999</v>
      </c>
      <c r="Z284">
        <v>-1.7767740000000001E-2</v>
      </c>
      <c r="AA284">
        <v>0.98795040000000001</v>
      </c>
      <c r="AB284">
        <v>29</v>
      </c>
      <c r="AC284">
        <v>0.52109999999998902</v>
      </c>
      <c r="AD284">
        <v>-0.20009959999999999</v>
      </c>
      <c r="AE284">
        <v>-0.13299999999998099</v>
      </c>
      <c r="AF284">
        <v>0.115747213342709</v>
      </c>
      <c r="AG284">
        <v>-0.20009959999999999</v>
      </c>
      <c r="AH284">
        <v>0.45800831872069397</v>
      </c>
      <c r="AI284">
        <v>112.956250584725</v>
      </c>
      <c r="AJ284">
        <v>75.817249779922307</v>
      </c>
      <c r="AK284">
        <v>0.51303887507100199</v>
      </c>
      <c r="AL284">
        <v>89.275818819708604</v>
      </c>
      <c r="AM284">
        <v>87.202933266501006</v>
      </c>
      <c r="AN284">
        <v>1.00000004346032</v>
      </c>
    </row>
    <row r="285" spans="1:40" x14ac:dyDescent="0.25">
      <c r="A285" t="str">
        <f>"20190312160912317"</f>
        <v>20190312160912317</v>
      </c>
      <c r="B285" t="str">
        <f>"1552378152305272"</f>
        <v>1552378152305272</v>
      </c>
      <c r="C285" t="s">
        <v>40</v>
      </c>
      <c r="D285">
        <v>5.1236379999999997</v>
      </c>
      <c r="E285">
        <v>0.5428518</v>
      </c>
      <c r="F285" t="s">
        <v>42</v>
      </c>
      <c r="G285">
        <v>-444.66919999999999</v>
      </c>
      <c r="H285">
        <v>0.91795300000000002</v>
      </c>
      <c r="I285">
        <v>367.0419</v>
      </c>
      <c r="J285">
        <v>-445.16390000000001</v>
      </c>
      <c r="K285">
        <v>1.108552</v>
      </c>
      <c r="L285">
        <v>367.17059999999998</v>
      </c>
      <c r="M285">
        <v>0.99999020000000005</v>
      </c>
      <c r="N285">
        <v>0</v>
      </c>
      <c r="O285">
        <v>-2.80182E-3</v>
      </c>
      <c r="P285">
        <v>0.99863440000000003</v>
      </c>
      <c r="Q285">
        <v>9.817882E-3</v>
      </c>
      <c r="R285">
        <v>-5.1312799999999999E-2</v>
      </c>
      <c r="S285">
        <v>2.985535</v>
      </c>
      <c r="T285">
        <v>-0.72718859999999996</v>
      </c>
      <c r="U285">
        <v>-0.49343870000000001</v>
      </c>
      <c r="V285">
        <v>4.8525840000000001E-2</v>
      </c>
      <c r="W285">
        <v>1.3194000000000001E-2</v>
      </c>
      <c r="X285">
        <v>0.99873480000000003</v>
      </c>
      <c r="Y285">
        <v>0.1559401</v>
      </c>
      <c r="Z285">
        <v>-1.792854E-2</v>
      </c>
      <c r="AA285">
        <v>0.98760380000000003</v>
      </c>
      <c r="AB285">
        <v>29</v>
      </c>
      <c r="AC285">
        <v>0.49470000000002201</v>
      </c>
      <c r="AD285">
        <v>-0.19059899999999999</v>
      </c>
      <c r="AE285">
        <v>-0.12869999999998</v>
      </c>
      <c r="AF285">
        <v>0.11177333090803999</v>
      </c>
      <c r="AG285">
        <v>-0.19059899999999999</v>
      </c>
      <c r="AH285">
        <v>0.434630945138684</v>
      </c>
      <c r="AI285">
        <v>113.011477121843</v>
      </c>
      <c r="AJ285">
        <v>75.577855863045698</v>
      </c>
      <c r="AK285">
        <v>0.48757083052149802</v>
      </c>
      <c r="AL285">
        <v>89.244017565182602</v>
      </c>
      <c r="AM285">
        <v>87.218339583534899</v>
      </c>
      <c r="AN285">
        <v>1.00000001975737</v>
      </c>
    </row>
    <row r="286" spans="1:40" x14ac:dyDescent="0.25">
      <c r="A286" t="str">
        <f>"20190312160912339"</f>
        <v>20190312160912339</v>
      </c>
      <c r="B286" t="str">
        <f>"1552378152335530"</f>
        <v>1552378152335530</v>
      </c>
      <c r="C286" t="s">
        <v>40</v>
      </c>
      <c r="D286">
        <v>5.2784760000000004</v>
      </c>
      <c r="E286">
        <v>0.54291080000000003</v>
      </c>
      <c r="F286" t="s">
        <v>42</v>
      </c>
      <c r="G286">
        <v>-444.40730000000002</v>
      </c>
      <c r="H286">
        <v>0.92499920000000002</v>
      </c>
      <c r="I286">
        <v>367.0444</v>
      </c>
      <c r="J286">
        <v>-444.87819999999999</v>
      </c>
      <c r="K286">
        <v>1.108555</v>
      </c>
      <c r="L286">
        <v>367.1694</v>
      </c>
      <c r="M286">
        <v>0.99998869999999895</v>
      </c>
      <c r="N286">
        <v>0</v>
      </c>
      <c r="O286">
        <v>-3.2358719999999999E-3</v>
      </c>
      <c r="P286">
        <v>0.99863970000000002</v>
      </c>
      <c r="Q286">
        <v>9.3861900000000009E-3</v>
      </c>
      <c r="R286">
        <v>-5.1288930000000003E-2</v>
      </c>
      <c r="S286">
        <v>2.985687</v>
      </c>
      <c r="T286">
        <v>-0.72431449999999997</v>
      </c>
      <c r="U286">
        <v>-0.49670409999999998</v>
      </c>
      <c r="V286">
        <v>4.8068270000000003E-2</v>
      </c>
      <c r="W286">
        <v>1.2822099999999999E-2</v>
      </c>
      <c r="X286">
        <v>0.99876180000000003</v>
      </c>
      <c r="Y286">
        <v>0.15658420000000001</v>
      </c>
      <c r="Z286">
        <v>-1.7830639999999998E-2</v>
      </c>
      <c r="AA286">
        <v>0.98750360000000004</v>
      </c>
      <c r="AB286">
        <v>29</v>
      </c>
      <c r="AC286">
        <v>0.47089999999997101</v>
      </c>
      <c r="AD286">
        <v>-0.18355579999999999</v>
      </c>
      <c r="AE286">
        <v>-0.125</v>
      </c>
      <c r="AF286">
        <v>0.10812782069732101</v>
      </c>
      <c r="AG286">
        <v>-0.18355579999999999</v>
      </c>
      <c r="AH286">
        <v>0.41272020709991802</v>
      </c>
      <c r="AI286">
        <v>113.278654059462</v>
      </c>
      <c r="AJ286">
        <v>75.3191336280548</v>
      </c>
      <c r="AK286">
        <v>0.46445917653868302</v>
      </c>
      <c r="AL286">
        <v>89.265327689769407</v>
      </c>
      <c r="AM286">
        <v>87.244602756628495</v>
      </c>
      <c r="AN286">
        <v>1.00000004898422</v>
      </c>
    </row>
    <row r="287" spans="1:40" x14ac:dyDescent="0.25">
      <c r="A287" t="str">
        <f>"20190312160912361"</f>
        <v>20190312160912361</v>
      </c>
      <c r="B287" t="str">
        <f>"1552378152355048"</f>
        <v>1552378152355048</v>
      </c>
      <c r="C287" t="s">
        <v>40</v>
      </c>
      <c r="D287">
        <v>5.0397030000000003</v>
      </c>
      <c r="E287">
        <v>0.54272259999999894</v>
      </c>
      <c r="F287" t="s">
        <v>42</v>
      </c>
      <c r="G287">
        <v>-444.14429999999999</v>
      </c>
      <c r="H287">
        <v>0.93151300000000004</v>
      </c>
      <c r="I287">
        <v>367.04719999999998</v>
      </c>
      <c r="J287">
        <v>-444.58730000000003</v>
      </c>
      <c r="K287">
        <v>1.1085670000000001</v>
      </c>
      <c r="L287">
        <v>367.16800000000001</v>
      </c>
      <c r="M287">
        <v>0.99998710000000002</v>
      </c>
      <c r="N287">
        <v>0</v>
      </c>
      <c r="O287">
        <v>-3.668728E-3</v>
      </c>
      <c r="P287">
        <v>0.99863040000000003</v>
      </c>
      <c r="Q287">
        <v>8.6121759999999992E-3</v>
      </c>
      <c r="R287">
        <v>-5.160638E-2</v>
      </c>
      <c r="S287">
        <v>2.985382</v>
      </c>
      <c r="T287">
        <v>-0.72015949999999995</v>
      </c>
      <c r="U287">
        <v>-0.49563600000000002</v>
      </c>
      <c r="V287">
        <v>4.7952729999999999E-2</v>
      </c>
      <c r="W287">
        <v>1.2114049999999999E-2</v>
      </c>
      <c r="X287">
        <v>0.99877609999999994</v>
      </c>
      <c r="Y287">
        <v>0.1559082</v>
      </c>
      <c r="Z287">
        <v>-1.7551279999999999E-2</v>
      </c>
      <c r="AA287">
        <v>0.98761560000000004</v>
      </c>
      <c r="AB287">
        <v>29</v>
      </c>
      <c r="AC287">
        <v>0.44300000000003997</v>
      </c>
      <c r="AD287">
        <v>-0.17705399999999999</v>
      </c>
      <c r="AE287">
        <v>-0.12080000000003099</v>
      </c>
      <c r="AF287">
        <v>0.10374851134825699</v>
      </c>
      <c r="AG287">
        <v>-0.17705399999999999</v>
      </c>
      <c r="AH287">
        <v>0.386042994617949</v>
      </c>
      <c r="AI287">
        <v>113.889591291274</v>
      </c>
      <c r="AJ287">
        <v>74.957274479326003</v>
      </c>
      <c r="AK287">
        <v>0.43719682777505697</v>
      </c>
      <c r="AL287">
        <v>89.305899054523394</v>
      </c>
      <c r="AM287">
        <v>87.251254932838904</v>
      </c>
      <c r="AN287">
        <v>0.99999995622653104</v>
      </c>
    </row>
    <row r="288" spans="1:40" x14ac:dyDescent="0.25">
      <c r="A288" t="str">
        <f>"20190312160912385"</f>
        <v>20190312160912385</v>
      </c>
      <c r="B288" t="str">
        <f>"1552378152375075"</f>
        <v>1552378152375075</v>
      </c>
      <c r="C288" t="s">
        <v>40</v>
      </c>
      <c r="D288">
        <v>5.1852029999999996</v>
      </c>
      <c r="E288">
        <v>0.54254419999999903</v>
      </c>
      <c r="F288" t="s">
        <v>42</v>
      </c>
      <c r="G288">
        <v>-443.87990000000002</v>
      </c>
      <c r="H288">
        <v>0.93835210000000002</v>
      </c>
      <c r="I288">
        <v>367.05009999999999</v>
      </c>
      <c r="J288">
        <v>-444.27769999999998</v>
      </c>
      <c r="K288">
        <v>1.1085769999999999</v>
      </c>
      <c r="L288">
        <v>367.16640000000001</v>
      </c>
      <c r="M288">
        <v>0.99998500000000001</v>
      </c>
      <c r="N288">
        <v>0</v>
      </c>
      <c r="O288">
        <v>-4.1135049999999999E-3</v>
      </c>
      <c r="P288">
        <v>0.99862499999999998</v>
      </c>
      <c r="Q288">
        <v>8.5663890000000006E-3</v>
      </c>
      <c r="R288">
        <v>-5.1722869999999997E-2</v>
      </c>
      <c r="S288">
        <v>2.9847410000000001</v>
      </c>
      <c r="T288">
        <v>-0.71813850000000001</v>
      </c>
      <c r="U288">
        <v>-0.49465940000000003</v>
      </c>
      <c r="V288">
        <v>4.7624600000000003E-2</v>
      </c>
      <c r="W288">
        <v>1.2143620000000001E-2</v>
      </c>
      <c r="X288">
        <v>0.99879150000000005</v>
      </c>
      <c r="Y288">
        <v>0.155241299999999</v>
      </c>
      <c r="Z288">
        <v>-1.7324030000000001E-2</v>
      </c>
      <c r="AA288">
        <v>0.98772470000000001</v>
      </c>
      <c r="AB288">
        <v>29</v>
      </c>
      <c r="AC288">
        <v>0.39779999999996102</v>
      </c>
      <c r="AD288">
        <v>-0.17022490000000001</v>
      </c>
      <c r="AE288">
        <v>-0.116300000000023</v>
      </c>
      <c r="AF288">
        <v>9.8111852800160604E-2</v>
      </c>
      <c r="AG288">
        <v>-0.17022490000000001</v>
      </c>
      <c r="AH288">
        <v>0.340786654403402</v>
      </c>
      <c r="AI288">
        <v>115.641419184239</v>
      </c>
      <c r="AJ288">
        <v>73.938987385496603</v>
      </c>
      <c r="AK288">
        <v>0.39336750763040201</v>
      </c>
      <c r="AL288">
        <v>89.304204734688497</v>
      </c>
      <c r="AM288">
        <v>87.270077468250804</v>
      </c>
      <c r="AN288">
        <v>1.0000000152520501</v>
      </c>
    </row>
    <row r="289" spans="1:40" x14ac:dyDescent="0.25">
      <c r="A289" t="str">
        <f>"20190312160912408"</f>
        <v>20190312160912408</v>
      </c>
      <c r="B289" t="str">
        <f>"1552378152395573"</f>
        <v>1552378152395573</v>
      </c>
      <c r="C289" t="s">
        <v>40</v>
      </c>
      <c r="D289">
        <v>5.1764489999999999</v>
      </c>
      <c r="E289">
        <v>0.54293780000000003</v>
      </c>
      <c r="F289" t="s">
        <v>42</v>
      </c>
      <c r="G289">
        <v>-443.37240000000003</v>
      </c>
      <c r="H289">
        <v>0.89185479999999995</v>
      </c>
      <c r="I289">
        <v>367.01609999999999</v>
      </c>
      <c r="J289">
        <v>-443.97480000000002</v>
      </c>
      <c r="K289">
        <v>1.108592</v>
      </c>
      <c r="L289">
        <v>367.16469999999998</v>
      </c>
      <c r="M289">
        <v>0.99998299999999996</v>
      </c>
      <c r="N289">
        <v>0</v>
      </c>
      <c r="O289">
        <v>-4.5277520000000003E-3</v>
      </c>
      <c r="P289">
        <v>0.99859940000000003</v>
      </c>
      <c r="Q289">
        <v>8.3995690000000008E-3</v>
      </c>
      <c r="R289">
        <v>-5.2236360000000003E-2</v>
      </c>
      <c r="S289">
        <v>2.9847109999999999</v>
      </c>
      <c r="T289">
        <v>-0.71453710000000004</v>
      </c>
      <c r="U289">
        <v>-0.4941101</v>
      </c>
      <c r="V289">
        <v>4.7724349999999999E-2</v>
      </c>
      <c r="W289">
        <v>1.205588E-2</v>
      </c>
      <c r="X289">
        <v>0.9987878</v>
      </c>
      <c r="Y289">
        <v>0.154724</v>
      </c>
      <c r="Z289">
        <v>-1.7082110000000001E-2</v>
      </c>
      <c r="AA289">
        <v>0.98781010000000002</v>
      </c>
      <c r="AB289">
        <v>29</v>
      </c>
      <c r="AC289">
        <v>0.60239999999998795</v>
      </c>
      <c r="AD289">
        <v>-0.21673719999999999</v>
      </c>
      <c r="AE289">
        <v>-0.14859999999998699</v>
      </c>
      <c r="AF289">
        <v>0.13000705649570199</v>
      </c>
      <c r="AG289">
        <v>-0.21673719999999999</v>
      </c>
      <c r="AH289">
        <v>0.53748142160437196</v>
      </c>
      <c r="AI289">
        <v>111.402359557681</v>
      </c>
      <c r="AJ289">
        <v>76.402354959299899</v>
      </c>
      <c r="AK289">
        <v>0.59393865606843099</v>
      </c>
      <c r="AL289">
        <v>89.309232233221806</v>
      </c>
      <c r="AM289">
        <v>87.264358187800497</v>
      </c>
      <c r="AN289">
        <v>1.0000000136271601</v>
      </c>
    </row>
    <row r="290" spans="1:40" x14ac:dyDescent="0.25">
      <c r="A290" t="str">
        <f>"20190312160912430"</f>
        <v>20190312160912430</v>
      </c>
      <c r="B290" t="str">
        <f>"1552378152424852"</f>
        <v>1552378152424852</v>
      </c>
      <c r="C290" t="s">
        <v>40</v>
      </c>
      <c r="D290">
        <v>6.1382729999999999</v>
      </c>
      <c r="E290">
        <v>0.54310839999999905</v>
      </c>
      <c r="F290" t="s">
        <v>42</v>
      </c>
      <c r="G290">
        <v>-443.10449999999997</v>
      </c>
      <c r="H290">
        <v>0.89992340000000004</v>
      </c>
      <c r="I290">
        <v>367.0188</v>
      </c>
      <c r="J290">
        <v>-443.69420000000002</v>
      </c>
      <c r="K290">
        <v>1.1086100000000001</v>
      </c>
      <c r="L290">
        <v>367.16309999999999</v>
      </c>
      <c r="M290">
        <v>0.99998089999999995</v>
      </c>
      <c r="N290">
        <v>0</v>
      </c>
      <c r="O290">
        <v>-4.8945509999999996E-3</v>
      </c>
      <c r="P290">
        <v>0.9985754</v>
      </c>
      <c r="Q290">
        <v>8.0339550000000006E-3</v>
      </c>
      <c r="R290">
        <v>-5.2750499999999999E-2</v>
      </c>
      <c r="S290">
        <v>2.9841310000000001</v>
      </c>
      <c r="T290">
        <v>-0.71560979999999996</v>
      </c>
      <c r="U290">
        <v>-0.4992065</v>
      </c>
      <c r="V290">
        <v>4.7871400000000001E-2</v>
      </c>
      <c r="W290">
        <v>1.1767420000000001E-2</v>
      </c>
      <c r="X290">
        <v>0.99878420000000001</v>
      </c>
      <c r="Y290">
        <v>0.15599689999999999</v>
      </c>
      <c r="Z290">
        <v>-1.717132E-2</v>
      </c>
      <c r="AA290">
        <v>0.98760829999999999</v>
      </c>
      <c r="AB290">
        <v>29</v>
      </c>
      <c r="AC290">
        <v>0.58970000000004996</v>
      </c>
      <c r="AD290">
        <v>-0.2086866</v>
      </c>
      <c r="AE290">
        <v>-0.14429999999998699</v>
      </c>
      <c r="AF290">
        <v>0.12646841479103599</v>
      </c>
      <c r="AG290">
        <v>-0.2086866</v>
      </c>
      <c r="AH290">
        <v>0.52800956646563202</v>
      </c>
      <c r="AI290">
        <v>111.024816629651</v>
      </c>
      <c r="AJ290">
        <v>76.530318489146893</v>
      </c>
      <c r="AK290">
        <v>0.58166868511081304</v>
      </c>
      <c r="AL290">
        <v>89.325760944248103</v>
      </c>
      <c r="AM290">
        <v>87.255932017203094</v>
      </c>
      <c r="AN290">
        <v>1.00000001064052</v>
      </c>
    </row>
    <row r="291" spans="1:40" x14ac:dyDescent="0.25">
      <c r="A291" t="str">
        <f>"20190312160912450"</f>
        <v>20190312160912450</v>
      </c>
      <c r="B291" t="str">
        <f>"1552378152445347"</f>
        <v>1552378152445347</v>
      </c>
      <c r="C291" t="s">
        <v>40</v>
      </c>
      <c r="D291">
        <v>5.1825060000000001</v>
      </c>
      <c r="E291">
        <v>0.54274769999999894</v>
      </c>
      <c r="F291" t="s">
        <v>42</v>
      </c>
      <c r="G291">
        <v>-442.83710000000002</v>
      </c>
      <c r="H291">
        <v>0.90375380000000005</v>
      </c>
      <c r="I291">
        <v>367.0188</v>
      </c>
      <c r="J291">
        <v>-443.4178</v>
      </c>
      <c r="K291">
        <v>1.1086259999999999</v>
      </c>
      <c r="L291">
        <v>367.16129999999998</v>
      </c>
      <c r="M291">
        <v>0.9999789</v>
      </c>
      <c r="N291">
        <v>0</v>
      </c>
      <c r="O291">
        <v>-5.2377439999999999E-3</v>
      </c>
      <c r="P291">
        <v>0.99854219999999905</v>
      </c>
      <c r="Q291">
        <v>8.1454479999999996E-3</v>
      </c>
      <c r="R291">
        <v>-5.3360890000000001E-2</v>
      </c>
      <c r="S291">
        <v>2.9835509999999998</v>
      </c>
      <c r="T291">
        <v>-0.71318890000000001</v>
      </c>
      <c r="U291">
        <v>-0.50152589999999997</v>
      </c>
      <c r="V291">
        <v>4.8138849999999997E-2</v>
      </c>
      <c r="W291">
        <v>1.195623E-2</v>
      </c>
      <c r="X291">
        <v>0.99876909999999997</v>
      </c>
      <c r="Y291">
        <v>0.15645970000000001</v>
      </c>
      <c r="Z291">
        <v>-1.709078E-2</v>
      </c>
      <c r="AA291">
        <v>0.98753650000000004</v>
      </c>
      <c r="AB291">
        <v>30</v>
      </c>
      <c r="AC291">
        <v>0.58069999999997801</v>
      </c>
      <c r="AD291">
        <v>-0.2048722</v>
      </c>
      <c r="AE291">
        <v>-0.142499999999984</v>
      </c>
      <c r="AF291">
        <v>0.124804450892224</v>
      </c>
      <c r="AG291">
        <v>-0.2048722</v>
      </c>
      <c r="AH291">
        <v>0.52034950544123704</v>
      </c>
      <c r="AI291">
        <v>110.949941544569</v>
      </c>
      <c r="AJ291">
        <v>76.512536764911204</v>
      </c>
      <c r="AK291">
        <v>0.57298549467529203</v>
      </c>
      <c r="AL291">
        <v>89.314942165069596</v>
      </c>
      <c r="AM291">
        <v>87.240583315229102</v>
      </c>
      <c r="AN291">
        <v>1.00000000771497</v>
      </c>
    </row>
    <row r="292" spans="1:40" x14ac:dyDescent="0.25">
      <c r="A292" t="str">
        <f>"20190312160912473"</f>
        <v>20190312160912473</v>
      </c>
      <c r="B292" t="str">
        <f>"1552378152464868"</f>
        <v>1552378152464868</v>
      </c>
      <c r="C292" t="s">
        <v>40</v>
      </c>
      <c r="D292">
        <v>5.0981480000000001</v>
      </c>
      <c r="E292">
        <v>0.54300179999999998</v>
      </c>
      <c r="F292" t="s">
        <v>42</v>
      </c>
      <c r="G292">
        <v>-442.5686</v>
      </c>
      <c r="H292">
        <v>0.90737029999999996</v>
      </c>
      <c r="I292">
        <v>367.01900000000001</v>
      </c>
      <c r="J292">
        <v>-443.10180000000003</v>
      </c>
      <c r="K292">
        <v>1.1086499999999999</v>
      </c>
      <c r="L292">
        <v>367.15929999999997</v>
      </c>
      <c r="M292">
        <v>0.99997659999999999</v>
      </c>
      <c r="N292">
        <v>0</v>
      </c>
      <c r="O292">
        <v>-5.6021689999999997E-3</v>
      </c>
      <c r="P292">
        <v>0.99854339999999997</v>
      </c>
      <c r="Q292">
        <v>8.3115140000000007E-3</v>
      </c>
      <c r="R292">
        <v>-5.3314680000000003E-2</v>
      </c>
      <c r="S292">
        <v>2.9834589999999999</v>
      </c>
      <c r="T292">
        <v>-0.70710059999999997</v>
      </c>
      <c r="U292">
        <v>-0.49972529999999998</v>
      </c>
      <c r="V292">
        <v>4.7728520000000003E-2</v>
      </c>
      <c r="W292">
        <v>1.221561E-2</v>
      </c>
      <c r="X292">
        <v>0.9987857</v>
      </c>
      <c r="Y292">
        <v>0.1556263</v>
      </c>
      <c r="Z292">
        <v>-1.6768700000000001E-2</v>
      </c>
      <c r="AA292">
        <v>0.98767360000000004</v>
      </c>
      <c r="AB292">
        <v>30</v>
      </c>
      <c r="AC292">
        <v>0.53320000000002199</v>
      </c>
      <c r="AD292">
        <v>-0.20127969999999901</v>
      </c>
      <c r="AE292">
        <v>-0.14029999999996701</v>
      </c>
      <c r="AF292">
        <v>0.121162826882807</v>
      </c>
      <c r="AG292">
        <v>-0.20127969999999901</v>
      </c>
      <c r="AH292">
        <v>0.47118133453536598</v>
      </c>
      <c r="AI292">
        <v>112.475923983893</v>
      </c>
      <c r="AJ292">
        <v>75.579008760096997</v>
      </c>
      <c r="AK292">
        <v>0.52650336966144096</v>
      </c>
      <c r="AL292">
        <v>89.300079732479901</v>
      </c>
      <c r="AM292">
        <v>87.264113775793604</v>
      </c>
      <c r="AN292">
        <v>1.0000000536367699</v>
      </c>
    </row>
    <row r="293" spans="1:40" x14ac:dyDescent="0.25">
      <c r="A293" t="str">
        <f>"20190312160912495"</f>
        <v>20190312160912495</v>
      </c>
      <c r="B293" t="str">
        <f>"1552378152485363"</f>
        <v>1552378152485363</v>
      </c>
      <c r="C293" t="s">
        <v>40</v>
      </c>
      <c r="D293">
        <v>5.1440530000000004</v>
      </c>
      <c r="E293">
        <v>0.54324249999999996</v>
      </c>
      <c r="F293" t="s">
        <v>42</v>
      </c>
      <c r="G293">
        <v>-442.29660000000001</v>
      </c>
      <c r="H293">
        <v>0.91772710000000002</v>
      </c>
      <c r="I293">
        <v>367.02339999999998</v>
      </c>
      <c r="J293">
        <v>-442.81470000000002</v>
      </c>
      <c r="K293">
        <v>1.1086769999999999</v>
      </c>
      <c r="L293">
        <v>367.1574</v>
      </c>
      <c r="M293">
        <v>0.99997449999999999</v>
      </c>
      <c r="N293">
        <v>0</v>
      </c>
      <c r="O293">
        <v>-5.9029190000000004E-3</v>
      </c>
      <c r="P293">
        <v>0.99854180000000003</v>
      </c>
      <c r="Q293">
        <v>8.2775880000000007E-3</v>
      </c>
      <c r="R293">
        <v>-5.3345770000000001E-2</v>
      </c>
      <c r="S293">
        <v>2.9834290000000001</v>
      </c>
      <c r="T293">
        <v>-0.7074819</v>
      </c>
      <c r="U293">
        <v>-0.50195310000000004</v>
      </c>
      <c r="V293">
        <v>4.7458760000000003E-2</v>
      </c>
      <c r="W293">
        <v>1.227283E-2</v>
      </c>
      <c r="X293">
        <v>0.99879779999999996</v>
      </c>
      <c r="Y293">
        <v>0.1560415</v>
      </c>
      <c r="Z293">
        <v>-1.675505E-2</v>
      </c>
      <c r="AA293">
        <v>0.98760840000000005</v>
      </c>
      <c r="AB293">
        <v>30</v>
      </c>
      <c r="AC293">
        <v>0.518100000000004</v>
      </c>
      <c r="AD293">
        <v>-0.19094990000000001</v>
      </c>
      <c r="AE293">
        <v>-0.134000000000014</v>
      </c>
      <c r="AF293">
        <v>0.116151172572567</v>
      </c>
      <c r="AG293">
        <v>-0.19094990000000001</v>
      </c>
      <c r="AH293">
        <v>0.46027992895070002</v>
      </c>
      <c r="AI293">
        <v>111.91226751881899</v>
      </c>
      <c r="AJ293">
        <v>75.837156698411803</v>
      </c>
      <c r="AK293">
        <v>0.51167428330418696</v>
      </c>
      <c r="AL293">
        <v>89.296800985191695</v>
      </c>
      <c r="AM293">
        <v>87.279586525146499</v>
      </c>
      <c r="AN293">
        <v>1.00000000077089</v>
      </c>
    </row>
    <row r="294" spans="1:40" x14ac:dyDescent="0.25">
      <c r="A294" t="str">
        <f>"20190312160912522"</f>
        <v>20190312160912522</v>
      </c>
      <c r="B294" t="str">
        <f>"1552378152515619"</f>
        <v>1552378152515619</v>
      </c>
      <c r="C294" t="s">
        <v>40</v>
      </c>
      <c r="D294">
        <v>5.14344</v>
      </c>
      <c r="E294">
        <v>0.54371539999999996</v>
      </c>
      <c r="F294" t="s">
        <v>42</v>
      </c>
      <c r="G294">
        <v>-442.02600000000001</v>
      </c>
      <c r="H294">
        <v>0.92168099999999997</v>
      </c>
      <c r="I294">
        <v>367.024</v>
      </c>
      <c r="J294">
        <v>-442.46199999999999</v>
      </c>
      <c r="K294">
        <v>1.1087199999999999</v>
      </c>
      <c r="L294">
        <v>367.15499999999997</v>
      </c>
      <c r="M294">
        <v>0.99997210000000003</v>
      </c>
      <c r="N294">
        <v>0</v>
      </c>
      <c r="O294">
        <v>-6.2283540000000002E-3</v>
      </c>
      <c r="P294">
        <v>0.99854679999999996</v>
      </c>
      <c r="Q294">
        <v>8.5146930000000003E-3</v>
      </c>
      <c r="R294">
        <v>-5.321998E-2</v>
      </c>
      <c r="S294">
        <v>2.9833069999999999</v>
      </c>
      <c r="T294">
        <v>-0.7072967</v>
      </c>
      <c r="U294">
        <v>-0.5044556</v>
      </c>
      <c r="V294">
        <v>4.7007180000000003E-2</v>
      </c>
      <c r="W294">
        <v>1.263043E-2</v>
      </c>
      <c r="X294">
        <v>0.99881470000000006</v>
      </c>
      <c r="Y294">
        <v>0.15653049999999999</v>
      </c>
      <c r="Z294">
        <v>-1.673154E-2</v>
      </c>
      <c r="AA294">
        <v>0.98753139999999995</v>
      </c>
      <c r="AB294">
        <v>30</v>
      </c>
      <c r="AC294">
        <v>0.43599999999997802</v>
      </c>
      <c r="AD294">
        <v>-0.18703900000000001</v>
      </c>
      <c r="AE294">
        <v>-0.130999999999971</v>
      </c>
      <c r="AF294">
        <v>0.109755828070175</v>
      </c>
      <c r="AG294">
        <v>-0.18703900000000001</v>
      </c>
      <c r="AH294">
        <v>0.37372516952715601</v>
      </c>
      <c r="AI294">
        <v>115.649964061841</v>
      </c>
      <c r="AJ294">
        <v>73.633510195021202</v>
      </c>
      <c r="AK294">
        <v>0.432088453507464</v>
      </c>
      <c r="AL294">
        <v>89.276310428040404</v>
      </c>
      <c r="AM294">
        <v>87.305479018279698</v>
      </c>
      <c r="AN294">
        <v>1.00000000383481</v>
      </c>
    </row>
    <row r="295" spans="1:40" x14ac:dyDescent="0.25">
      <c r="A295" t="str">
        <f>"20190312160912540"</f>
        <v>20190312160912540</v>
      </c>
      <c r="B295" t="str">
        <f>"1552378152535140"</f>
        <v>1552378152535140</v>
      </c>
      <c r="C295" t="s">
        <v>40</v>
      </c>
      <c r="D295">
        <v>5.1635489999999997</v>
      </c>
      <c r="E295">
        <v>0.5441378</v>
      </c>
      <c r="F295" t="s">
        <v>42</v>
      </c>
      <c r="G295">
        <v>-441.74829999999997</v>
      </c>
      <c r="H295">
        <v>0.93924319999999895</v>
      </c>
      <c r="I295">
        <v>367.0333</v>
      </c>
      <c r="J295">
        <v>-442.20740000000001</v>
      </c>
      <c r="K295">
        <v>1.108754</v>
      </c>
      <c r="L295">
        <v>367.15320000000003</v>
      </c>
      <c r="M295">
        <v>0.99997049999999998</v>
      </c>
      <c r="N295">
        <v>0</v>
      </c>
      <c r="O295">
        <v>-6.4263109999999997E-3</v>
      </c>
      <c r="P295">
        <v>0.99856719999999999</v>
      </c>
      <c r="Q295">
        <v>8.3586830000000004E-3</v>
      </c>
      <c r="R295">
        <v>-5.2858870000000002E-2</v>
      </c>
      <c r="S295">
        <v>2.983368</v>
      </c>
      <c r="T295">
        <v>-0.70847380000000004</v>
      </c>
      <c r="U295">
        <v>-0.50787349999999998</v>
      </c>
      <c r="V295">
        <v>4.6447370000000002E-2</v>
      </c>
      <c r="W295">
        <v>1.256702E-2</v>
      </c>
      <c r="X295">
        <v>0.99884170000000005</v>
      </c>
      <c r="Y295">
        <v>0.15740109999999999</v>
      </c>
      <c r="Z295">
        <v>-1.681202E-2</v>
      </c>
      <c r="AA295">
        <v>0.98739169999999998</v>
      </c>
      <c r="AB295">
        <v>30</v>
      </c>
      <c r="AC295">
        <v>0.45910000000003398</v>
      </c>
      <c r="AD295">
        <v>-0.16951079999999999</v>
      </c>
      <c r="AE295">
        <v>-0.119900000000029</v>
      </c>
      <c r="AF295">
        <v>0.10371134397250099</v>
      </c>
      <c r="AG295">
        <v>-0.16951079999999999</v>
      </c>
      <c r="AH295">
        <v>0.40781493999240498</v>
      </c>
      <c r="AI295">
        <v>111.941247669939</v>
      </c>
      <c r="AJ295">
        <v>75.731584307761196</v>
      </c>
      <c r="AK295">
        <v>0.45365513274538399</v>
      </c>
      <c r="AL295">
        <v>89.279943849758396</v>
      </c>
      <c r="AM295">
        <v>87.337593568444504</v>
      </c>
      <c r="AN295">
        <v>1.0000000149152399</v>
      </c>
    </row>
    <row r="296" spans="1:40" x14ac:dyDescent="0.25">
      <c r="A296" t="str">
        <f>"20190312160912564"</f>
        <v>20190312160912564</v>
      </c>
      <c r="B296" t="str">
        <f>"1552378152555635"</f>
        <v>1552378152555635</v>
      </c>
      <c r="C296" t="s">
        <v>40</v>
      </c>
      <c r="D296">
        <v>5.2280629999999997</v>
      </c>
      <c r="E296">
        <v>0.54444859999999995</v>
      </c>
      <c r="F296" t="s">
        <v>42</v>
      </c>
      <c r="G296">
        <v>-441.47890000000001</v>
      </c>
      <c r="H296">
        <v>0.93532630000000005</v>
      </c>
      <c r="I296">
        <v>367.02839999999998</v>
      </c>
      <c r="J296">
        <v>-441.89569999999998</v>
      </c>
      <c r="K296">
        <v>1.108808</v>
      </c>
      <c r="L296">
        <v>367.15100000000001</v>
      </c>
      <c r="M296">
        <v>0.99996859999999999</v>
      </c>
      <c r="N296">
        <v>0</v>
      </c>
      <c r="O296">
        <v>-6.6264089999999998E-3</v>
      </c>
      <c r="P296">
        <v>0.99859589999999998</v>
      </c>
      <c r="Q296">
        <v>8.3437249999999998E-3</v>
      </c>
      <c r="R296">
        <v>-5.231719E-2</v>
      </c>
      <c r="S296">
        <v>2.9832459999999998</v>
      </c>
      <c r="T296">
        <v>-0.71016650000000003</v>
      </c>
      <c r="U296">
        <v>-0.51034550000000001</v>
      </c>
      <c r="V296">
        <v>4.5704580000000002E-2</v>
      </c>
      <c r="W296">
        <v>1.2669049999999999E-2</v>
      </c>
      <c r="X296">
        <v>0.9988747</v>
      </c>
      <c r="Y296">
        <v>0.15797620000000001</v>
      </c>
      <c r="Z296">
        <v>-1.687106E-2</v>
      </c>
      <c r="AA296">
        <v>0.98729880000000003</v>
      </c>
      <c r="AB296">
        <v>30</v>
      </c>
      <c r="AC296">
        <v>0.41679999999996598</v>
      </c>
      <c r="AD296">
        <v>-0.17348169999999899</v>
      </c>
      <c r="AE296">
        <v>-0.122600000000034</v>
      </c>
      <c r="AF296">
        <v>0.103355741214798</v>
      </c>
      <c r="AG296">
        <v>-0.17348169999999899</v>
      </c>
      <c r="AH296">
        <v>0.360174837533143</v>
      </c>
      <c r="AI296">
        <v>114.84294210801301</v>
      </c>
      <c r="AJ296">
        <v>73.988642826832603</v>
      </c>
      <c r="AK296">
        <v>0.41292157011831698</v>
      </c>
      <c r="AL296">
        <v>89.274097514151094</v>
      </c>
      <c r="AM296">
        <v>87.380197610488807</v>
      </c>
      <c r="AN296">
        <v>1.00000003988048</v>
      </c>
    </row>
    <row r="297" spans="1:40" x14ac:dyDescent="0.25">
      <c r="A297" t="str">
        <f>"20190312160912586"</f>
        <v>20190312160912586</v>
      </c>
      <c r="B297" t="str">
        <f>"1552378152575155"</f>
        <v>1552378152575155</v>
      </c>
      <c r="C297" t="s">
        <v>40</v>
      </c>
      <c r="D297">
        <v>5.2136760000000004</v>
      </c>
      <c r="E297">
        <v>0.54436839999999997</v>
      </c>
      <c r="F297" t="s">
        <v>42</v>
      </c>
      <c r="G297">
        <v>-441.20310000000001</v>
      </c>
      <c r="H297">
        <v>0.94367719999999999</v>
      </c>
      <c r="I297">
        <v>367.03160000000003</v>
      </c>
      <c r="J297">
        <v>-441.577</v>
      </c>
      <c r="K297">
        <v>1.108867</v>
      </c>
      <c r="L297">
        <v>367.14870000000002</v>
      </c>
      <c r="M297">
        <v>0.9999673</v>
      </c>
      <c r="N297">
        <v>0</v>
      </c>
      <c r="O297">
        <v>-6.7726139999999997E-3</v>
      </c>
      <c r="P297">
        <v>0.99861630000000001</v>
      </c>
      <c r="Q297">
        <v>8.64177E-3</v>
      </c>
      <c r="R297">
        <v>-5.1878809999999997E-2</v>
      </c>
      <c r="S297">
        <v>2.9833980000000002</v>
      </c>
      <c r="T297">
        <v>-0.71149399999999996</v>
      </c>
      <c r="U297">
        <v>-0.5111694</v>
      </c>
      <c r="V297">
        <v>4.5119079999999999E-2</v>
      </c>
      <c r="W297">
        <v>1.308816E-2</v>
      </c>
      <c r="X297">
        <v>0.99889589999999995</v>
      </c>
      <c r="Y297">
        <v>0.1580753</v>
      </c>
      <c r="Z297">
        <v>-1.6877969999999999E-2</v>
      </c>
      <c r="AA297">
        <v>0.98728280000000002</v>
      </c>
      <c r="AB297">
        <v>30</v>
      </c>
      <c r="AC297">
        <v>0.37389999999999102</v>
      </c>
      <c r="AD297">
        <v>-0.1651898</v>
      </c>
      <c r="AE297">
        <v>-0.117099999999993</v>
      </c>
      <c r="AF297">
        <v>9.7274136091692803E-2</v>
      </c>
      <c r="AG297">
        <v>-0.1651898</v>
      </c>
      <c r="AH297">
        <v>0.31813475882553499</v>
      </c>
      <c r="AI297">
        <v>116.40677009556001</v>
      </c>
      <c r="AJ297">
        <v>72.9982575335018</v>
      </c>
      <c r="AK297">
        <v>0.37142920233795101</v>
      </c>
      <c r="AL297">
        <v>89.250082278105694</v>
      </c>
      <c r="AM297">
        <v>87.413767624404301</v>
      </c>
      <c r="AN297">
        <v>1.00000002517452</v>
      </c>
    </row>
    <row r="298" spans="1:40" x14ac:dyDescent="0.25">
      <c r="A298" t="str">
        <f>"20190312160912609"</f>
        <v>20190312160912609</v>
      </c>
      <c r="B298" t="str">
        <f>"1552378152594676"</f>
        <v>1552378152594676</v>
      </c>
      <c r="C298" t="s">
        <v>40</v>
      </c>
      <c r="D298">
        <v>5.2435999999999998</v>
      </c>
      <c r="E298">
        <v>0.54421009999999903</v>
      </c>
      <c r="F298" t="s">
        <v>42</v>
      </c>
      <c r="G298">
        <v>-440.67579999999998</v>
      </c>
      <c r="H298">
        <v>0.89472149999999995</v>
      </c>
      <c r="I298">
        <v>366.99439999999998</v>
      </c>
      <c r="J298">
        <v>-441.26589999999999</v>
      </c>
      <c r="K298">
        <v>1.1088819999999999</v>
      </c>
      <c r="L298">
        <v>367.1465</v>
      </c>
      <c r="M298">
        <v>0.99996660000000004</v>
      </c>
      <c r="N298">
        <v>0</v>
      </c>
      <c r="O298">
        <v>-6.8652490000000004E-3</v>
      </c>
      <c r="P298">
        <v>0.99863480000000004</v>
      </c>
      <c r="Q298">
        <v>9.4533699999999991E-3</v>
      </c>
      <c r="R298">
        <v>-5.1374459999999997E-2</v>
      </c>
      <c r="S298">
        <v>2.9838260000000001</v>
      </c>
      <c r="T298">
        <v>-0.70912810000000004</v>
      </c>
      <c r="U298">
        <v>-0.50942989999999999</v>
      </c>
      <c r="V298">
        <v>4.4521249999999998E-2</v>
      </c>
      <c r="W298">
        <v>1.389632E-2</v>
      </c>
      <c r="X298">
        <v>0.99891180000000002</v>
      </c>
      <c r="Y298">
        <v>0.15744820000000001</v>
      </c>
      <c r="Z298">
        <v>-1.6727280000000001E-2</v>
      </c>
      <c r="AA298">
        <v>0.98738559999999997</v>
      </c>
      <c r="AB298">
        <v>31</v>
      </c>
      <c r="AC298">
        <v>0.59010000000000595</v>
      </c>
      <c r="AD298">
        <v>-0.214160499999999</v>
      </c>
      <c r="AE298">
        <v>-0.152100000000018</v>
      </c>
      <c r="AF298">
        <v>0.131770570221342</v>
      </c>
      <c r="AG298">
        <v>-0.214160499999999</v>
      </c>
      <c r="AH298">
        <v>0.52614729716503805</v>
      </c>
      <c r="AI298">
        <v>111.546133731019</v>
      </c>
      <c r="AJ298">
        <v>75.939802149173104</v>
      </c>
      <c r="AK298">
        <v>0.58314593478029297</v>
      </c>
      <c r="AL298">
        <v>89.203773898974504</v>
      </c>
      <c r="AM298">
        <v>87.448030288389802</v>
      </c>
      <c r="AN298">
        <v>1.0000000167951699</v>
      </c>
    </row>
    <row r="299" spans="1:40" x14ac:dyDescent="0.25">
      <c r="A299" t="str">
        <f>"20190312160912629"</f>
        <v>20190312160912629</v>
      </c>
      <c r="B299" t="str">
        <f>"1552378152624931"</f>
        <v>1552378152624931</v>
      </c>
      <c r="C299" t="s">
        <v>40</v>
      </c>
      <c r="D299">
        <v>5.2574370000000004</v>
      </c>
      <c r="E299">
        <v>0.54439280000000001</v>
      </c>
      <c r="F299" t="s">
        <v>42</v>
      </c>
      <c r="G299">
        <v>-440.3956</v>
      </c>
      <c r="H299">
        <v>0.90381489999999998</v>
      </c>
      <c r="I299">
        <v>366.99889999999999</v>
      </c>
      <c r="J299">
        <v>-440.98070000000001</v>
      </c>
      <c r="K299">
        <v>1.1087610000000001</v>
      </c>
      <c r="L299">
        <v>367.14449999999999</v>
      </c>
      <c r="M299">
        <v>0.99996779999999996</v>
      </c>
      <c r="N299">
        <v>0</v>
      </c>
      <c r="O299">
        <v>-6.9181700000000004E-3</v>
      </c>
      <c r="P299">
        <v>0.9986216</v>
      </c>
      <c r="Q299">
        <v>1.007999E-2</v>
      </c>
      <c r="R299">
        <v>-5.1509430000000002E-2</v>
      </c>
      <c r="S299">
        <v>2.9847410000000001</v>
      </c>
      <c r="T299">
        <v>-0.70335319999999901</v>
      </c>
      <c r="U299">
        <v>-0.50595089999999998</v>
      </c>
      <c r="V299">
        <v>4.4602679999999999E-2</v>
      </c>
      <c r="W299">
        <v>1.4154740000000001E-2</v>
      </c>
      <c r="X299">
        <v>0.99890449999999997</v>
      </c>
      <c r="Y299">
        <v>0.15632509999999999</v>
      </c>
      <c r="Z299">
        <v>-1.6449430000000001E-2</v>
      </c>
      <c r="AA299">
        <v>0.98756869999999997</v>
      </c>
      <c r="AB299">
        <v>31</v>
      </c>
      <c r="AC299">
        <v>0.58510000000001094</v>
      </c>
      <c r="AD299">
        <v>-0.20494609999999999</v>
      </c>
      <c r="AE299">
        <v>-0.14560000000000101</v>
      </c>
      <c r="AF299">
        <v>0.126888227519279</v>
      </c>
      <c r="AG299">
        <v>-0.20494609999999999</v>
      </c>
      <c r="AH299">
        <v>0.525390621767448</v>
      </c>
      <c r="AI299">
        <v>110.765802105131</v>
      </c>
      <c r="AJ299">
        <v>76.422372808501095</v>
      </c>
      <c r="AK299">
        <v>0.57804743025930005</v>
      </c>
      <c r="AL299">
        <v>89.188966035775707</v>
      </c>
      <c r="AM299">
        <v>87.443350227994401</v>
      </c>
      <c r="AN299">
        <v>0.99999997792394901</v>
      </c>
    </row>
    <row r="300" spans="1:40" x14ac:dyDescent="0.25">
      <c r="A300" t="str">
        <f>"20190312160912652"</f>
        <v>20190312160912652</v>
      </c>
      <c r="B300" t="str">
        <f>"1552378152645427"</f>
        <v>1552378152645427</v>
      </c>
      <c r="C300" t="s">
        <v>40</v>
      </c>
      <c r="D300">
        <v>5.2732080000000003</v>
      </c>
      <c r="E300">
        <v>0.54427959999999997</v>
      </c>
      <c r="F300" t="s">
        <v>42</v>
      </c>
      <c r="G300">
        <v>-440.11619999999999</v>
      </c>
      <c r="H300">
        <v>0.90526280000000003</v>
      </c>
      <c r="I300">
        <v>366.99700000000001</v>
      </c>
      <c r="J300">
        <v>-440.67469999999997</v>
      </c>
      <c r="K300">
        <v>1.1085210000000001</v>
      </c>
      <c r="L300">
        <v>367.14229999999998</v>
      </c>
      <c r="M300">
        <v>0.99996859999999999</v>
      </c>
      <c r="N300">
        <v>0</v>
      </c>
      <c r="O300">
        <v>-6.9499369999999998E-3</v>
      </c>
      <c r="P300">
        <v>0.99862770000000001</v>
      </c>
      <c r="Q300">
        <v>1.000066E-2</v>
      </c>
      <c r="R300">
        <v>-5.1409429999999999E-2</v>
      </c>
      <c r="S300">
        <v>2.9850159999999999</v>
      </c>
      <c r="T300">
        <v>-0.70275549999999998</v>
      </c>
      <c r="U300">
        <v>-0.50811770000000001</v>
      </c>
      <c r="V300">
        <v>4.4470160000000002E-2</v>
      </c>
      <c r="W300">
        <v>1.3807160000000001E-2</v>
      </c>
      <c r="X300">
        <v>0.99891529999999995</v>
      </c>
      <c r="Y300">
        <v>0.156967299999999</v>
      </c>
      <c r="Z300">
        <v>-1.650014E-2</v>
      </c>
      <c r="AA300">
        <v>0.98746599999999995</v>
      </c>
      <c r="AB300">
        <v>31</v>
      </c>
      <c r="AC300">
        <v>0.55849999999998001</v>
      </c>
      <c r="AD300">
        <v>-0.203258199999999</v>
      </c>
      <c r="AE300">
        <v>-0.14530000000002</v>
      </c>
      <c r="AF300">
        <v>0.12580806047079901</v>
      </c>
      <c r="AG300">
        <v>-0.203258199999999</v>
      </c>
      <c r="AH300">
        <v>0.497749095618499</v>
      </c>
      <c r="AI300">
        <v>111.59883116519801</v>
      </c>
      <c r="AJ300">
        <v>75.815343938819694</v>
      </c>
      <c r="AK300">
        <v>0.55217363766816896</v>
      </c>
      <c r="AL300">
        <v>89.208882871166793</v>
      </c>
      <c r="AM300">
        <v>87.450963835225906</v>
      </c>
      <c r="AN300">
        <v>1.0000000046858899</v>
      </c>
    </row>
    <row r="301" spans="1:40" x14ac:dyDescent="0.25">
      <c r="A301" t="str">
        <f>"20190312160912673"</f>
        <v>20190312160912673</v>
      </c>
      <c r="B301" t="str">
        <f>"1552378152664947"</f>
        <v>1552378152664947</v>
      </c>
      <c r="C301" t="s">
        <v>40</v>
      </c>
      <c r="D301">
        <v>5.4321169999999999</v>
      </c>
      <c r="E301">
        <v>0.54391599999999996</v>
      </c>
      <c r="F301" t="s">
        <v>42</v>
      </c>
      <c r="G301">
        <v>-439.83359999999999</v>
      </c>
      <c r="H301">
        <v>0.91111030000000004</v>
      </c>
      <c r="I301">
        <v>366.99950000000001</v>
      </c>
      <c r="J301">
        <v>-440.35989999999998</v>
      </c>
      <c r="K301">
        <v>1.1081479999999999</v>
      </c>
      <c r="L301">
        <v>367.14010000000002</v>
      </c>
      <c r="M301">
        <v>0.99996830000000003</v>
      </c>
      <c r="N301">
        <v>0</v>
      </c>
      <c r="O301">
        <v>-6.9539900000000002E-3</v>
      </c>
      <c r="P301">
        <v>0.99862949999999995</v>
      </c>
      <c r="Q301">
        <v>1.0124889999999999E-2</v>
      </c>
      <c r="R301">
        <v>-5.1347209999999997E-2</v>
      </c>
      <c r="S301">
        <v>2.985077</v>
      </c>
      <c r="T301">
        <v>-0.70061370000000001</v>
      </c>
      <c r="U301">
        <v>-0.50634769999999996</v>
      </c>
      <c r="V301">
        <v>4.4403150000000002E-2</v>
      </c>
      <c r="W301">
        <v>1.3988820000000001E-2</v>
      </c>
      <c r="X301">
        <v>0.99891569999999996</v>
      </c>
      <c r="Y301">
        <v>0.15642879999999901</v>
      </c>
      <c r="Z301">
        <v>-1.6388759999999999E-2</v>
      </c>
      <c r="AA301">
        <v>0.98755320000000002</v>
      </c>
      <c r="AB301">
        <v>31</v>
      </c>
      <c r="AC301">
        <v>0.526299999999992</v>
      </c>
      <c r="AD301">
        <v>-0.19703769999999901</v>
      </c>
      <c r="AE301">
        <v>-0.140600000000006</v>
      </c>
      <c r="AF301">
        <v>0.12109441993486</v>
      </c>
      <c r="AG301">
        <v>-0.19703769999999901</v>
      </c>
      <c r="AH301">
        <v>0.46626548254545502</v>
      </c>
      <c r="AI301">
        <v>112.245439465495</v>
      </c>
      <c r="AJ301">
        <v>75.441278182502103</v>
      </c>
      <c r="AK301">
        <v>0.52047210681649003</v>
      </c>
      <c r="AL301">
        <v>89.198473471716795</v>
      </c>
      <c r="AM301">
        <v>87.454800821338793</v>
      </c>
      <c r="AN301">
        <v>0.99999995126070096</v>
      </c>
    </row>
    <row r="302" spans="1:40" x14ac:dyDescent="0.25">
      <c r="A302" t="str">
        <f>"20190312160912698"</f>
        <v>20190312160912698</v>
      </c>
      <c r="B302" t="str">
        <f>"1552378152685443"</f>
        <v>1552378152685443</v>
      </c>
      <c r="C302" t="s">
        <v>40</v>
      </c>
      <c r="D302">
        <v>5.5607340000000001</v>
      </c>
      <c r="E302">
        <v>0.54363450000000002</v>
      </c>
      <c r="F302" t="s">
        <v>42</v>
      </c>
      <c r="G302">
        <v>-439.54840000000002</v>
      </c>
      <c r="H302">
        <v>0.91926620000000003</v>
      </c>
      <c r="I302">
        <v>367.00279999999998</v>
      </c>
      <c r="J302">
        <v>-440.02659999999997</v>
      </c>
      <c r="K302">
        <v>1.107564</v>
      </c>
      <c r="L302">
        <v>367.13780000000003</v>
      </c>
      <c r="M302">
        <v>0.99996689999999999</v>
      </c>
      <c r="N302">
        <v>0</v>
      </c>
      <c r="O302">
        <v>-6.9146750000000003E-3</v>
      </c>
      <c r="P302">
        <v>0.99866960000000005</v>
      </c>
      <c r="Q302">
        <v>1.031089E-2</v>
      </c>
      <c r="R302">
        <v>-5.0527639999999999E-2</v>
      </c>
      <c r="S302">
        <v>2.9852289999999999</v>
      </c>
      <c r="T302">
        <v>-0.69489400000000001</v>
      </c>
      <c r="U302">
        <v>-0.50393679999999996</v>
      </c>
      <c r="V302">
        <v>4.3621590000000002E-2</v>
      </c>
      <c r="W302">
        <v>1.461675E-2</v>
      </c>
      <c r="X302">
        <v>0.99894119999999997</v>
      </c>
      <c r="Y302">
        <v>0.15576329999999999</v>
      </c>
      <c r="Z302">
        <v>-1.6191690000000002E-2</v>
      </c>
      <c r="AA302">
        <v>0.98766169999999998</v>
      </c>
      <c r="AB302">
        <v>31</v>
      </c>
      <c r="AC302">
        <v>0.47819999999995799</v>
      </c>
      <c r="AD302">
        <v>-0.18829779999999999</v>
      </c>
      <c r="AE302">
        <v>-0.135000000000047</v>
      </c>
      <c r="AF302">
        <v>0.11515354226701401</v>
      </c>
      <c r="AG302">
        <v>-0.18829779999999999</v>
      </c>
      <c r="AH302">
        <v>0.41895771521109199</v>
      </c>
      <c r="AI302">
        <v>113.430539399195</v>
      </c>
      <c r="AJ302">
        <v>74.631355904507402</v>
      </c>
      <c r="AK302">
        <v>0.47354193786440901</v>
      </c>
      <c r="AL302">
        <v>89.162492096497701</v>
      </c>
      <c r="AM302">
        <v>87.499606407335705</v>
      </c>
      <c r="AN302">
        <v>1.0000000067760599</v>
      </c>
    </row>
    <row r="303" spans="1:40" x14ac:dyDescent="0.25">
      <c r="A303" t="str">
        <f>"20190312160912719"</f>
        <v>20190312160912719</v>
      </c>
      <c r="B303" t="str">
        <f>"1552378152715699"</f>
        <v>1552378152715699</v>
      </c>
      <c r="C303" t="s">
        <v>40</v>
      </c>
      <c r="D303">
        <v>5.4861519999999997</v>
      </c>
      <c r="E303">
        <v>0.54318769999999905</v>
      </c>
      <c r="F303" t="s">
        <v>42</v>
      </c>
      <c r="G303">
        <v>-439.2604</v>
      </c>
      <c r="H303">
        <v>0.9307474</v>
      </c>
      <c r="I303">
        <v>367.00920000000002</v>
      </c>
      <c r="J303">
        <v>-439.7122</v>
      </c>
      <c r="K303">
        <v>1.1068</v>
      </c>
      <c r="L303">
        <v>367.13569999999999</v>
      </c>
      <c r="M303">
        <v>0.99996399999999996</v>
      </c>
      <c r="N303">
        <v>0</v>
      </c>
      <c r="O303">
        <v>-6.8212739999999996E-3</v>
      </c>
      <c r="P303">
        <v>0.99873889999999999</v>
      </c>
      <c r="Q303">
        <v>9.1883150000000007E-3</v>
      </c>
      <c r="R303">
        <v>-4.9356560000000001E-2</v>
      </c>
      <c r="S303">
        <v>2.9858090000000002</v>
      </c>
      <c r="T303">
        <v>-0.68910459999999996</v>
      </c>
      <c r="U303">
        <v>-0.50012209999999901</v>
      </c>
      <c r="V303">
        <v>4.254165E-2</v>
      </c>
      <c r="W303">
        <v>1.424771E-2</v>
      </c>
      <c r="X303">
        <v>0.99899309999999997</v>
      </c>
      <c r="Y303">
        <v>0.15468570000000001</v>
      </c>
      <c r="Z303">
        <v>-1.595802E-2</v>
      </c>
      <c r="AA303">
        <v>0.98783480000000001</v>
      </c>
      <c r="AB303">
        <v>32</v>
      </c>
      <c r="AC303">
        <v>0.45179999999999099</v>
      </c>
      <c r="AD303">
        <v>-0.1760526</v>
      </c>
      <c r="AE303">
        <v>-0.126499999999964</v>
      </c>
      <c r="AF303">
        <v>0.10818263394667101</v>
      </c>
      <c r="AG303">
        <v>-0.1760526</v>
      </c>
      <c r="AH303">
        <v>0.39678371351384001</v>
      </c>
      <c r="AI303">
        <v>113.174479737094</v>
      </c>
      <c r="AJ303">
        <v>74.749062151447205</v>
      </c>
      <c r="AK303">
        <v>0.447364857319205</v>
      </c>
      <c r="AL303">
        <v>89.183638729091598</v>
      </c>
      <c r="AM303">
        <v>87.5615595303682</v>
      </c>
      <c r="AN303">
        <v>1.00000000153628</v>
      </c>
    </row>
    <row r="304" spans="1:40" x14ac:dyDescent="0.25">
      <c r="A304" t="str">
        <f>"20190312160912743"</f>
        <v>20190312160912743</v>
      </c>
      <c r="B304" t="str">
        <f>"1552378152735220"</f>
        <v>1552378152735220</v>
      </c>
      <c r="C304" t="s">
        <v>40</v>
      </c>
      <c r="D304">
        <v>5.4895670000000001</v>
      </c>
      <c r="E304">
        <v>0.54316350000000002</v>
      </c>
      <c r="F304" t="s">
        <v>42</v>
      </c>
      <c r="G304">
        <v>-438.97280000000001</v>
      </c>
      <c r="H304">
        <v>0.93713369999999996</v>
      </c>
      <c r="I304">
        <v>367.01319999999998</v>
      </c>
      <c r="J304">
        <v>-439.38010000000003</v>
      </c>
      <c r="K304">
        <v>1.1058209999999999</v>
      </c>
      <c r="L304">
        <v>367.13350000000003</v>
      </c>
      <c r="M304">
        <v>0.9999576</v>
      </c>
      <c r="N304">
        <v>0</v>
      </c>
      <c r="O304">
        <v>-6.6591460000000003E-3</v>
      </c>
      <c r="P304">
        <v>0.99879629999999997</v>
      </c>
      <c r="Q304">
        <v>7.2874180000000004E-3</v>
      </c>
      <c r="R304">
        <v>-4.850956E-2</v>
      </c>
      <c r="S304">
        <v>2.985779</v>
      </c>
      <c r="T304">
        <v>-0.68538080000000001</v>
      </c>
      <c r="U304">
        <v>-0.49258420000000003</v>
      </c>
      <c r="V304">
        <v>4.185415E-2</v>
      </c>
      <c r="W304">
        <v>1.3668410000000001E-2</v>
      </c>
      <c r="X304">
        <v>0.99903019999999998</v>
      </c>
      <c r="Y304">
        <v>0.15250949999999999</v>
      </c>
      <c r="Z304">
        <v>-1.5668729999999999E-2</v>
      </c>
      <c r="AA304">
        <v>0.9881778</v>
      </c>
      <c r="AB304">
        <v>32</v>
      </c>
      <c r="AC304">
        <v>0.40730000000001998</v>
      </c>
      <c r="AD304">
        <v>-0.16868729999999901</v>
      </c>
      <c r="AE304">
        <v>-0.120300000000042</v>
      </c>
      <c r="AF304">
        <v>0.10156203821778299</v>
      </c>
      <c r="AG304">
        <v>-0.16868729999999901</v>
      </c>
      <c r="AH304">
        <v>0.35248255136381201</v>
      </c>
      <c r="AI304">
        <v>114.695844659277</v>
      </c>
      <c r="AJ304">
        <v>73.926535522945599</v>
      </c>
      <c r="AK304">
        <v>0.40375017251288298</v>
      </c>
      <c r="AL304">
        <v>89.216833382013505</v>
      </c>
      <c r="AM304">
        <v>87.601008839233302</v>
      </c>
      <c r="AN304">
        <v>0.99999996790809398</v>
      </c>
    </row>
    <row r="305" spans="1:40" x14ac:dyDescent="0.25">
      <c r="A305" t="str">
        <f>"20190312160912765"</f>
        <v>20190312160912765</v>
      </c>
      <c r="B305" t="str">
        <f>"1552378152755715"</f>
        <v>1552378152755715</v>
      </c>
      <c r="C305" t="s">
        <v>40</v>
      </c>
      <c r="D305">
        <v>5.3401820000000004</v>
      </c>
      <c r="E305">
        <v>0.50139309999999904</v>
      </c>
      <c r="F305" t="s">
        <v>42</v>
      </c>
      <c r="G305">
        <v>-438.68400000000003</v>
      </c>
      <c r="H305">
        <v>0.94488989999999995</v>
      </c>
      <c r="I305">
        <v>367.01940000000002</v>
      </c>
      <c r="J305">
        <v>-439.07499999999999</v>
      </c>
      <c r="K305">
        <v>1.1048020000000001</v>
      </c>
      <c r="L305">
        <v>367.1318</v>
      </c>
      <c r="M305">
        <v>0.99994640000000001</v>
      </c>
      <c r="N305">
        <v>0</v>
      </c>
      <c r="O305">
        <v>-6.4416339999999999E-3</v>
      </c>
      <c r="P305">
        <v>0.99884150000000005</v>
      </c>
      <c r="Q305">
        <v>5.3055169999999896E-3</v>
      </c>
      <c r="R305">
        <v>-4.7831249999999999E-2</v>
      </c>
      <c r="S305">
        <v>2.9848629999999998</v>
      </c>
      <c r="T305">
        <v>-0.69003459999999905</v>
      </c>
      <c r="U305">
        <v>-0.48953249999999998</v>
      </c>
      <c r="V305">
        <v>4.1390469999999999E-2</v>
      </c>
      <c r="W305">
        <v>1.344003E-2</v>
      </c>
      <c r="X305">
        <v>0.99905259999999996</v>
      </c>
      <c r="Y305">
        <v>0.1517503</v>
      </c>
      <c r="Z305">
        <v>-1.574159E-2</v>
      </c>
      <c r="AA305">
        <v>0.98829350000000005</v>
      </c>
      <c r="AB305">
        <v>32</v>
      </c>
      <c r="AC305">
        <v>0.39099999999996199</v>
      </c>
      <c r="AD305">
        <v>-0.1599121</v>
      </c>
      <c r="AE305">
        <v>-0.112399999999979</v>
      </c>
      <c r="AF305">
        <v>9.5174528224808E-2</v>
      </c>
      <c r="AG305">
        <v>-0.1599121</v>
      </c>
      <c r="AH305">
        <v>0.33929515767864399</v>
      </c>
      <c r="AI305">
        <v>114.40815312711101</v>
      </c>
      <c r="AJ305">
        <v>74.330841691146901</v>
      </c>
      <c r="AK305">
        <v>0.38697709825440701</v>
      </c>
      <c r="AL305">
        <v>89.229919782095905</v>
      </c>
      <c r="AM305">
        <v>87.627608588642403</v>
      </c>
      <c r="AN305">
        <v>0.99999995148998899</v>
      </c>
    </row>
    <row r="306" spans="1:40" x14ac:dyDescent="0.25">
      <c r="A306" t="str">
        <f>"20190312160912787"</f>
        <v>20190312160912787</v>
      </c>
      <c r="B306" t="str">
        <f>"1552378152775235"</f>
        <v>1552378152775235</v>
      </c>
      <c r="C306" t="s">
        <v>40</v>
      </c>
      <c r="D306">
        <v>5.3180180000000004</v>
      </c>
      <c r="E306">
        <v>0.4914867</v>
      </c>
      <c r="F306" t="s">
        <v>42</v>
      </c>
      <c r="G306">
        <v>-438.10329999999999</v>
      </c>
      <c r="H306">
        <v>0.96453789999999995</v>
      </c>
      <c r="I306">
        <v>367.08159999999998</v>
      </c>
      <c r="J306">
        <v>-438.75020000000001</v>
      </c>
      <c r="K306">
        <v>1.103537</v>
      </c>
      <c r="L306">
        <v>367.13</v>
      </c>
      <c r="M306">
        <v>0.99992970000000003</v>
      </c>
      <c r="N306">
        <v>0</v>
      </c>
      <c r="O306">
        <v>-6.1271140000000003E-3</v>
      </c>
      <c r="P306">
        <v>0.99889640000000002</v>
      </c>
      <c r="Q306">
        <v>2.9745969999999998E-3</v>
      </c>
      <c r="R306">
        <v>-4.6874899999999997E-2</v>
      </c>
      <c r="S306">
        <v>2.9983520000000001</v>
      </c>
      <c r="T306">
        <v>-0.43275180000000002</v>
      </c>
      <c r="U306">
        <v>-0.1548157</v>
      </c>
      <c r="V306">
        <v>4.0745749999999997E-2</v>
      </c>
      <c r="W306">
        <v>1.3151090000000001E-2</v>
      </c>
      <c r="X306">
        <v>0.99908300000000005</v>
      </c>
      <c r="Y306">
        <v>4.5042520000000003E-2</v>
      </c>
      <c r="Z306">
        <v>-2.35242E-3</v>
      </c>
      <c r="AA306">
        <v>0.99898229999999999</v>
      </c>
      <c r="AB306">
        <v>32</v>
      </c>
      <c r="AC306">
        <v>0.64690000000001602</v>
      </c>
      <c r="AD306">
        <v>-0.13899909999999899</v>
      </c>
      <c r="AE306">
        <v>-4.8400000000015098E-2</v>
      </c>
      <c r="AF306">
        <v>4.2484703206722298E-2</v>
      </c>
      <c r="AG306">
        <v>-0.13899909999999899</v>
      </c>
      <c r="AH306">
        <v>0.61877526867876498</v>
      </c>
      <c r="AI306">
        <v>102.631741177282</v>
      </c>
      <c r="AJ306">
        <v>86.072273606725005</v>
      </c>
      <c r="AK306">
        <v>0.63561665564698</v>
      </c>
      <c r="AL306">
        <v>89.246476328561897</v>
      </c>
      <c r="AM306">
        <v>87.664591963086494</v>
      </c>
      <c r="AN306">
        <v>1.00000000410012</v>
      </c>
    </row>
    <row r="307" spans="1:40" x14ac:dyDescent="0.25">
      <c r="A307" t="str">
        <f>"20190312160912830"</f>
        <v>20190312160912830</v>
      </c>
      <c r="B307" t="str">
        <f>"1552378152825012"</f>
        <v>1552378152825012</v>
      </c>
      <c r="C307" t="s">
        <v>40</v>
      </c>
      <c r="D307">
        <v>5.3391500000000001</v>
      </c>
      <c r="E307">
        <v>0.48478139999999997</v>
      </c>
      <c r="F307" t="s">
        <v>42</v>
      </c>
      <c r="G307">
        <v>-437.79840000000002</v>
      </c>
      <c r="H307">
        <v>0.99888600000000005</v>
      </c>
      <c r="I307">
        <v>367.1062</v>
      </c>
      <c r="J307">
        <v>-438.13560000000001</v>
      </c>
      <c r="K307">
        <v>1.1004050000000001</v>
      </c>
      <c r="L307">
        <v>367.12709999999998</v>
      </c>
      <c r="M307">
        <v>0.99990409999999996</v>
      </c>
      <c r="N307">
        <v>0</v>
      </c>
      <c r="O307">
        <v>-5.3094379999999997E-3</v>
      </c>
      <c r="P307">
        <v>0.99888909999999997</v>
      </c>
      <c r="Q307">
        <v>-9.8416980000000007E-4</v>
      </c>
      <c r="R307">
        <v>-4.7116449999999997E-2</v>
      </c>
      <c r="S307">
        <v>3.0007929999999998</v>
      </c>
      <c r="T307">
        <v>-0.33024439999999999</v>
      </c>
      <c r="U307">
        <v>-7.3364260000000001E-2</v>
      </c>
      <c r="V307">
        <v>4.1801770000000002E-2</v>
      </c>
      <c r="W307">
        <v>1.183799E-2</v>
      </c>
      <c r="X307">
        <v>0.99905580000000005</v>
      </c>
      <c r="Y307">
        <v>1.9049449999999999E-2</v>
      </c>
      <c r="Z307">
        <v>-4.624017E-4</v>
      </c>
      <c r="AA307">
        <v>0.9998184</v>
      </c>
      <c r="AB307">
        <v>32</v>
      </c>
      <c r="AC307">
        <v>0.337199999999995</v>
      </c>
      <c r="AD307">
        <v>-0.101518999999999</v>
      </c>
      <c r="AE307">
        <v>-2.0899999999983199E-2</v>
      </c>
      <c r="AF307">
        <v>1.7526679097248098E-2</v>
      </c>
      <c r="AG307">
        <v>-0.101518999999999</v>
      </c>
      <c r="AH307">
        <v>0.30937207461619598</v>
      </c>
      <c r="AI307">
        <v>108.13983061853099</v>
      </c>
      <c r="AJ307">
        <v>86.757520937815102</v>
      </c>
      <c r="AK307">
        <v>0.32607418234737201</v>
      </c>
      <c r="AL307">
        <v>89.321717298188901</v>
      </c>
      <c r="AM307">
        <v>87.604068972489003</v>
      </c>
      <c r="AN307">
        <v>1.0000000087480001</v>
      </c>
    </row>
    <row r="308" spans="1:40" x14ac:dyDescent="0.25">
      <c r="A308" t="str">
        <f>"20190312160912853"</f>
        <v>20190312160912853</v>
      </c>
      <c r="B308" t="str">
        <f>"1552378152845507"</f>
        <v>1552378152845507</v>
      </c>
      <c r="C308" t="s">
        <v>40</v>
      </c>
      <c r="D308">
        <v>5.335407</v>
      </c>
      <c r="E308">
        <v>0.48419849999999998</v>
      </c>
      <c r="F308" t="s">
        <v>42</v>
      </c>
      <c r="G308">
        <v>-437.20940000000002</v>
      </c>
      <c r="H308">
        <v>1.019004</v>
      </c>
      <c r="I308">
        <v>367.1207</v>
      </c>
      <c r="J308">
        <v>-437.80900000000003</v>
      </c>
      <c r="K308">
        <v>1.098433</v>
      </c>
      <c r="L308">
        <v>367.12580000000003</v>
      </c>
      <c r="M308">
        <v>0.9998918</v>
      </c>
      <c r="N308">
        <v>0</v>
      </c>
      <c r="O308">
        <v>-4.8305240000000001E-3</v>
      </c>
      <c r="P308">
        <v>0.99891589999999997</v>
      </c>
      <c r="Q308">
        <v>-1.837694E-3</v>
      </c>
      <c r="R308">
        <v>-4.6517280000000001E-2</v>
      </c>
      <c r="S308">
        <v>3.0021059999999999</v>
      </c>
      <c r="T308">
        <v>-0.26410899999999998</v>
      </c>
      <c r="U308">
        <v>-2.0172120000000002E-2</v>
      </c>
      <c r="V308">
        <v>4.1679359999999999E-2</v>
      </c>
      <c r="W308">
        <v>1.2095939999999999E-2</v>
      </c>
      <c r="X308">
        <v>0.9990578</v>
      </c>
      <c r="Y308">
        <v>1.8995329999999999E-3</v>
      </c>
      <c r="Z308">
        <v>3.4078420000000002E-4</v>
      </c>
      <c r="AA308">
        <v>0.99999819999999995</v>
      </c>
      <c r="AB308">
        <v>32</v>
      </c>
      <c r="AC308">
        <v>0.59960000000000901</v>
      </c>
      <c r="AD308">
        <v>-7.9428999999999902E-2</v>
      </c>
      <c r="AE308">
        <v>-5.1000000000271904E-3</v>
      </c>
      <c r="AF308">
        <v>2.1652843746307101E-3</v>
      </c>
      <c r="AG308">
        <v>-7.9428999999999902E-2</v>
      </c>
      <c r="AH308">
        <v>0.589277572178728</v>
      </c>
      <c r="AI308">
        <v>97.676605843199695</v>
      </c>
      <c r="AJ308">
        <v>89.789469167631793</v>
      </c>
      <c r="AK308">
        <v>0.59461055453992695</v>
      </c>
      <c r="AL308">
        <v>89.306936776608495</v>
      </c>
      <c r="AM308">
        <v>87.611081721236999</v>
      </c>
      <c r="AN308">
        <v>0.99999998427766601</v>
      </c>
    </row>
    <row r="309" spans="1:40" x14ac:dyDescent="0.25">
      <c r="A309" t="str">
        <f>"20190312160912874"</f>
        <v>20190312160912874</v>
      </c>
      <c r="B309" t="str">
        <f>"1552378152865027"</f>
        <v>1552378152865027</v>
      </c>
      <c r="C309" t="s">
        <v>40</v>
      </c>
      <c r="D309">
        <v>5.3389759999999997</v>
      </c>
      <c r="E309">
        <v>0.48370750000000001</v>
      </c>
      <c r="F309" t="s">
        <v>42</v>
      </c>
      <c r="G309">
        <v>-436.91609999999997</v>
      </c>
      <c r="H309">
        <v>1.0220039999999999</v>
      </c>
      <c r="I309">
        <v>367.12119999999999</v>
      </c>
      <c r="J309">
        <v>-437.48140000000001</v>
      </c>
      <c r="K309">
        <v>1.0962379999999901</v>
      </c>
      <c r="L309">
        <v>367.12470000000002</v>
      </c>
      <c r="M309">
        <v>0.99988169999999998</v>
      </c>
      <c r="N309">
        <v>0</v>
      </c>
      <c r="O309">
        <v>-4.3255489999999997E-3</v>
      </c>
      <c r="P309">
        <v>0.99897740000000002</v>
      </c>
      <c r="Q309">
        <v>-2.78166E-3</v>
      </c>
      <c r="R309">
        <v>-4.5128269999999998E-2</v>
      </c>
      <c r="S309">
        <v>3.0021059999999999</v>
      </c>
      <c r="T309">
        <v>-0.25713960000000002</v>
      </c>
      <c r="U309">
        <v>-1.434326E-2</v>
      </c>
      <c r="V309">
        <v>4.0793339999999997E-2</v>
      </c>
      <c r="W309">
        <v>1.2017740000000001E-2</v>
      </c>
      <c r="X309">
        <v>0.99909530000000002</v>
      </c>
      <c r="Y309">
        <v>4.6579759999999999E-4</v>
      </c>
      <c r="Z309">
        <v>3.499439E-4</v>
      </c>
      <c r="AA309">
        <v>0.99999979999999999</v>
      </c>
      <c r="AB309">
        <v>32</v>
      </c>
      <c r="AC309">
        <v>0.565300000000036</v>
      </c>
      <c r="AD309">
        <v>-7.4233999999999606E-2</v>
      </c>
      <c r="AE309">
        <v>-3.5000000000309198E-3</v>
      </c>
      <c r="AF309">
        <v>1.03659324836054E-3</v>
      </c>
      <c r="AG309">
        <v>-7.4233999999999606E-2</v>
      </c>
      <c r="AH309">
        <v>0.55572704663497596</v>
      </c>
      <c r="AI309">
        <v>97.608514020134606</v>
      </c>
      <c r="AJ309">
        <v>89.893126761274303</v>
      </c>
      <c r="AK309">
        <v>0.56066417010827097</v>
      </c>
      <c r="AL309">
        <v>89.311417622897494</v>
      </c>
      <c r="AM309">
        <v>87.661896044529797</v>
      </c>
      <c r="AN309">
        <v>0.99999997057257595</v>
      </c>
    </row>
    <row r="310" spans="1:40" x14ac:dyDescent="0.25">
      <c r="A310" t="str">
        <f>"20190312160912898"</f>
        <v>20190312160912898</v>
      </c>
      <c r="B310" t="str">
        <f>"1552378152885523"</f>
        <v>1552378152885523</v>
      </c>
      <c r="C310" t="s">
        <v>40</v>
      </c>
      <c r="D310">
        <v>5.2990199999999996</v>
      </c>
      <c r="E310">
        <v>0.48321389999999997</v>
      </c>
      <c r="F310" t="s">
        <v>42</v>
      </c>
      <c r="G310">
        <v>-436.61410000000001</v>
      </c>
      <c r="H310">
        <v>1.024546</v>
      </c>
      <c r="I310">
        <v>367.1223</v>
      </c>
      <c r="J310">
        <v>-437.15839999999997</v>
      </c>
      <c r="K310">
        <v>1.09385</v>
      </c>
      <c r="L310">
        <v>367.12380000000002</v>
      </c>
      <c r="M310">
        <v>0.9998764</v>
      </c>
      <c r="N310">
        <v>0</v>
      </c>
      <c r="O310">
        <v>-3.7942570000000001E-3</v>
      </c>
      <c r="P310">
        <v>0.9990137</v>
      </c>
      <c r="Q310">
        <v>-4.2705119999999997E-3</v>
      </c>
      <c r="R310">
        <v>-4.4201459999999998E-2</v>
      </c>
      <c r="S310">
        <v>3.002075</v>
      </c>
      <c r="T310">
        <v>-0.24862519999999999</v>
      </c>
      <c r="U310">
        <v>-6.3781740000000003E-3</v>
      </c>
      <c r="V310">
        <v>4.0396960000000003E-2</v>
      </c>
      <c r="W310">
        <v>1.102408E-2</v>
      </c>
      <c r="X310">
        <v>0.99912290000000004</v>
      </c>
      <c r="Y310">
        <v>-1.6514769999999999E-3</v>
      </c>
      <c r="Z310">
        <v>3.8199920000000001E-4</v>
      </c>
      <c r="AA310">
        <v>0.99999859999999896</v>
      </c>
      <c r="AB310">
        <v>32</v>
      </c>
      <c r="AC310">
        <v>0.54429999999996403</v>
      </c>
      <c r="AD310">
        <v>-6.9304000000000004E-2</v>
      </c>
      <c r="AE310">
        <v>-1.5000000000213701E-3</v>
      </c>
      <c r="AF310">
        <v>-5.5644423105221698E-4</v>
      </c>
      <c r="AG310">
        <v>-6.9304000000000004E-2</v>
      </c>
      <c r="AH310">
        <v>0.53561832799608899</v>
      </c>
      <c r="AI310">
        <v>97.372572186914198</v>
      </c>
      <c r="AJ310">
        <v>90.059523531659494</v>
      </c>
      <c r="AK310">
        <v>0.54008364845781798</v>
      </c>
      <c r="AL310">
        <v>89.368353952946705</v>
      </c>
      <c r="AM310">
        <v>87.684653935574005</v>
      </c>
      <c r="AN310">
        <v>1.00000000701074</v>
      </c>
    </row>
    <row r="311" spans="1:40" x14ac:dyDescent="0.25">
      <c r="A311" t="str">
        <f>"20190312160912920"</f>
        <v>20190312160912920</v>
      </c>
      <c r="B311" t="str">
        <f>"1552378152914804"</f>
        <v>1552378152914804</v>
      </c>
      <c r="C311" t="s">
        <v>40</v>
      </c>
      <c r="D311">
        <v>5.3026669999999996</v>
      </c>
      <c r="E311">
        <v>0.48313129999999999</v>
      </c>
      <c r="F311" t="s">
        <v>43</v>
      </c>
      <c r="G311">
        <v>-423.20670000000001</v>
      </c>
      <c r="H311">
        <v>-0.05</v>
      </c>
      <c r="I311">
        <v>367.1277</v>
      </c>
      <c r="J311">
        <v>-436.82909999999998</v>
      </c>
      <c r="K311">
        <v>1.0912230000000001</v>
      </c>
      <c r="L311">
        <v>367.12310000000002</v>
      </c>
      <c r="M311">
        <v>0.99987610000000005</v>
      </c>
      <c r="N311">
        <v>0</v>
      </c>
      <c r="O311">
        <v>-3.2620850000000001E-3</v>
      </c>
      <c r="P311">
        <v>0.99907610000000002</v>
      </c>
      <c r="Q311">
        <v>-4.2378090000000004E-3</v>
      </c>
      <c r="R311">
        <v>-4.2769410000000001E-2</v>
      </c>
      <c r="S311">
        <v>3.0019230000000001</v>
      </c>
      <c r="T311">
        <v>-0.2461151</v>
      </c>
      <c r="U311">
        <v>8.2397459999999998E-4</v>
      </c>
      <c r="V311">
        <v>3.9495099999999998E-2</v>
      </c>
      <c r="W311">
        <v>1.121289E-2</v>
      </c>
      <c r="X311">
        <v>0.99915679999999996</v>
      </c>
      <c r="Y311">
        <v>-3.5142160000000001E-3</v>
      </c>
      <c r="Z311">
        <v>4.108448E-4</v>
      </c>
      <c r="AA311">
        <v>0.99999369999999999</v>
      </c>
      <c r="AB311">
        <v>32</v>
      </c>
      <c r="AC311">
        <v>13.622399999999899</v>
      </c>
      <c r="AD311">
        <v>-1.1412229999999901</v>
      </c>
      <c r="AE311">
        <v>4.5999999999821696E-3</v>
      </c>
      <c r="AF311">
        <v>-4.87008734290355E-2</v>
      </c>
      <c r="AG311">
        <v>-1.1412229999999901</v>
      </c>
      <c r="AH311">
        <v>13.5273729416383</v>
      </c>
      <c r="AI311">
        <v>94.822249930568603</v>
      </c>
      <c r="AJ311">
        <v>90.206273787433204</v>
      </c>
      <c r="AK311">
        <v>13.5755140017964</v>
      </c>
      <c r="AL311">
        <v>89.3575352324238</v>
      </c>
      <c r="AM311">
        <v>87.736366251545206</v>
      </c>
      <c r="AN311">
        <v>0.99999995140619902</v>
      </c>
    </row>
    <row r="312" spans="1:40" x14ac:dyDescent="0.25">
      <c r="A312" t="str">
        <f>"20190312160912942"</f>
        <v>20190312160912942</v>
      </c>
      <c r="B312" t="str">
        <f>"1552378152935300"</f>
        <v>1552378152935300</v>
      </c>
      <c r="C312" t="s">
        <v>40</v>
      </c>
      <c r="D312">
        <v>5.2984730000000004</v>
      </c>
      <c r="E312">
        <v>0.48325600000000002</v>
      </c>
      <c r="F312" t="s">
        <v>43</v>
      </c>
      <c r="G312">
        <v>-422.31830000000002</v>
      </c>
      <c r="H312">
        <v>-0.05</v>
      </c>
      <c r="I312">
        <v>367.15159999999997</v>
      </c>
      <c r="J312">
        <v>-436.52170000000001</v>
      </c>
      <c r="K312">
        <v>1.088673</v>
      </c>
      <c r="L312">
        <v>367.12259999999998</v>
      </c>
      <c r="M312">
        <v>0.9998766</v>
      </c>
      <c r="N312">
        <v>0</v>
      </c>
      <c r="O312">
        <v>-2.7565250000000001E-3</v>
      </c>
      <c r="P312">
        <v>0.99919000000000002</v>
      </c>
      <c r="Q312">
        <v>-3.423204E-3</v>
      </c>
      <c r="R312">
        <v>-4.009712E-2</v>
      </c>
      <c r="S312">
        <v>3.0020449999999999</v>
      </c>
      <c r="T312">
        <v>-0.2360988</v>
      </c>
      <c r="U312">
        <v>5.8898930000000002E-3</v>
      </c>
      <c r="V312">
        <v>3.7325400000000002E-2</v>
      </c>
      <c r="W312">
        <v>1.2086879999999999E-2</v>
      </c>
      <c r="X312">
        <v>0.99923010000000001</v>
      </c>
      <c r="Y312">
        <v>-4.6957860000000004E-3</v>
      </c>
      <c r="Z312">
        <v>4.0084860000000002E-4</v>
      </c>
      <c r="AA312">
        <v>0.99998889999999996</v>
      </c>
      <c r="AB312">
        <v>32</v>
      </c>
      <c r="AC312">
        <v>14.203399999999901</v>
      </c>
      <c r="AD312">
        <v>-1.138673</v>
      </c>
      <c r="AE312">
        <v>2.89999999999963E-2</v>
      </c>
      <c r="AF312">
        <v>-6.7721351702328195E-2</v>
      </c>
      <c r="AG312">
        <v>-1.138673</v>
      </c>
      <c r="AH312">
        <v>14.112563938908</v>
      </c>
      <c r="AI312">
        <v>94.612867411696499</v>
      </c>
      <c r="AJ312">
        <v>90.274940674835094</v>
      </c>
      <c r="AK312">
        <v>14.158588323423</v>
      </c>
      <c r="AL312">
        <v>89.3074559497705</v>
      </c>
      <c r="AM312">
        <v>87.860758958655396</v>
      </c>
      <c r="AN312">
        <v>1.0000000354496501</v>
      </c>
    </row>
    <row r="313" spans="1:40" x14ac:dyDescent="0.25">
      <c r="A313" t="str">
        <f>"20190312160912964"</f>
        <v>20190312160912964</v>
      </c>
      <c r="B313" t="str">
        <f>"1552378152954820"</f>
        <v>1552378152954820</v>
      </c>
      <c r="C313" t="s">
        <v>40</v>
      </c>
      <c r="D313">
        <v>5.306775</v>
      </c>
      <c r="E313">
        <v>0.48339070000000001</v>
      </c>
      <c r="F313" t="s">
        <v>43</v>
      </c>
      <c r="G313">
        <v>-421.54259999999999</v>
      </c>
      <c r="H313">
        <v>-0.05</v>
      </c>
      <c r="I313">
        <v>367.18560000000002</v>
      </c>
      <c r="J313">
        <v>-436.19170000000003</v>
      </c>
      <c r="K313">
        <v>1.085909</v>
      </c>
      <c r="L313">
        <v>367.12240000000003</v>
      </c>
      <c r="M313">
        <v>0.99987610000000005</v>
      </c>
      <c r="N313">
        <v>0</v>
      </c>
      <c r="O313">
        <v>-2.1622830000000001E-3</v>
      </c>
      <c r="P313">
        <v>0.99927860000000002</v>
      </c>
      <c r="Q313">
        <v>-3.0877220000000002E-3</v>
      </c>
      <c r="R313">
        <v>-3.7852780000000003E-2</v>
      </c>
      <c r="S313">
        <v>3.002167</v>
      </c>
      <c r="T313">
        <v>-0.22821630000000001</v>
      </c>
      <c r="U313">
        <v>1.2634279999999999E-2</v>
      </c>
      <c r="V313">
        <v>3.5673290000000003E-2</v>
      </c>
      <c r="W313">
        <v>1.25446E-2</v>
      </c>
      <c r="X313">
        <v>0.99928470000000003</v>
      </c>
      <c r="Y313">
        <v>-6.3463169999999998E-3</v>
      </c>
      <c r="Z313">
        <v>4.050193E-4</v>
      </c>
      <c r="AA313">
        <v>0.99997979999999997</v>
      </c>
      <c r="AB313">
        <v>33</v>
      </c>
      <c r="AC313">
        <v>14.649100000000001</v>
      </c>
      <c r="AD313">
        <v>-1.1359090000000001</v>
      </c>
      <c r="AE313">
        <v>6.3199999999994802E-2</v>
      </c>
      <c r="AF313">
        <v>-9.4312148686219094E-2</v>
      </c>
      <c r="AG313">
        <v>-1.1359090000000001</v>
      </c>
      <c r="AH313">
        <v>14.5613783781157</v>
      </c>
      <c r="AI313">
        <v>94.4604224207729</v>
      </c>
      <c r="AJ313">
        <v>90.371092102466804</v>
      </c>
      <c r="AK313">
        <v>14.605920864783799</v>
      </c>
      <c r="AL313">
        <v>89.281228462158595</v>
      </c>
      <c r="AM313">
        <v>87.955476195666606</v>
      </c>
      <c r="AN313">
        <v>0.99999993113133401</v>
      </c>
    </row>
    <row r="314" spans="1:40" x14ac:dyDescent="0.25">
      <c r="A314" t="str">
        <f>"20190312160912991"</f>
        <v>20190312160912991</v>
      </c>
      <c r="B314" t="str">
        <f>"1552378152985076"</f>
        <v>1552378152985076</v>
      </c>
      <c r="C314" t="s">
        <v>40</v>
      </c>
      <c r="D314">
        <v>5.4330629999999998</v>
      </c>
      <c r="E314">
        <v>0.48365809999999998</v>
      </c>
      <c r="F314" t="s">
        <v>43</v>
      </c>
      <c r="G314">
        <v>-420.59359999999998</v>
      </c>
      <c r="H314">
        <v>-0.05</v>
      </c>
      <c r="I314">
        <v>367.2167</v>
      </c>
      <c r="J314">
        <v>-435.7978</v>
      </c>
      <c r="K314">
        <v>1.082684</v>
      </c>
      <c r="L314">
        <v>367.12240000000003</v>
      </c>
      <c r="M314">
        <v>0.99987369999999998</v>
      </c>
      <c r="N314">
        <v>0</v>
      </c>
      <c r="O314">
        <v>-1.3681819999999999E-3</v>
      </c>
      <c r="P314">
        <v>0.99932089999999996</v>
      </c>
      <c r="Q314">
        <v>-4.1776900000000004E-3</v>
      </c>
      <c r="R314">
        <v>-3.6610320000000002E-2</v>
      </c>
      <c r="S314">
        <v>3.002167</v>
      </c>
      <c r="T314">
        <v>-0.2186294</v>
      </c>
      <c r="U314">
        <v>1.8157960000000001E-2</v>
      </c>
      <c r="V314">
        <v>3.5225600000000003E-2</v>
      </c>
      <c r="W314">
        <v>1.1705429999999999E-2</v>
      </c>
      <c r="X314">
        <v>0.9993109</v>
      </c>
      <c r="Y314">
        <v>-7.3932950000000002E-3</v>
      </c>
      <c r="Z314">
        <v>3.6836189999999997E-4</v>
      </c>
      <c r="AA314">
        <v>0.99997259999999999</v>
      </c>
      <c r="AB314">
        <v>32</v>
      </c>
      <c r="AC314">
        <v>15.2042</v>
      </c>
      <c r="AD314">
        <v>-1.132684</v>
      </c>
      <c r="AE314">
        <v>9.4299999999975598E-2</v>
      </c>
      <c r="AF314">
        <v>-0.114469355956555</v>
      </c>
      <c r="AG314">
        <v>-1.132684</v>
      </c>
      <c r="AH314">
        <v>15.1201436629641</v>
      </c>
      <c r="AI314">
        <v>94.2840314711665</v>
      </c>
      <c r="AJ314">
        <v>90.433758159221597</v>
      </c>
      <c r="AK314">
        <v>15.162942348567499</v>
      </c>
      <c r="AL314">
        <v>89.329312992309596</v>
      </c>
      <c r="AM314">
        <v>87.981165928379099</v>
      </c>
      <c r="AN314">
        <v>1.00000006742282</v>
      </c>
    </row>
    <row r="315" spans="1:40" x14ac:dyDescent="0.25">
      <c r="A315" t="str">
        <f>"20190312160913013"</f>
        <v>20190312160913013</v>
      </c>
      <c r="B315" t="str">
        <f>"1552378153005571"</f>
        <v>1552378153005571</v>
      </c>
      <c r="C315" t="s">
        <v>40</v>
      </c>
      <c r="D315">
        <v>5.2637179999999999</v>
      </c>
      <c r="E315">
        <v>0.48371199999999998</v>
      </c>
      <c r="F315" t="s">
        <v>43</v>
      </c>
      <c r="G315">
        <v>-419.50599999999997</v>
      </c>
      <c r="H315">
        <v>-0.05</v>
      </c>
      <c r="I315">
        <v>367.23129999999998</v>
      </c>
      <c r="J315">
        <v>-435.50009999999997</v>
      </c>
      <c r="K315">
        <v>1.08034599999999</v>
      </c>
      <c r="L315">
        <v>367.12270000000001</v>
      </c>
      <c r="M315">
        <v>0.99987119999999996</v>
      </c>
      <c r="N315">
        <v>0</v>
      </c>
      <c r="O315">
        <v>-7.4678020000000002E-4</v>
      </c>
      <c r="P315">
        <v>0.99934940000000005</v>
      </c>
      <c r="Q315">
        <v>-4.4053259999999898E-3</v>
      </c>
      <c r="R315">
        <v>-3.5800899999999997E-2</v>
      </c>
      <c r="S315">
        <v>3.0018919999999998</v>
      </c>
      <c r="T315">
        <v>-0.20870610000000001</v>
      </c>
      <c r="U315">
        <v>2.005005E-2</v>
      </c>
      <c r="V315">
        <v>3.5036999999999999E-2</v>
      </c>
      <c r="W315">
        <v>1.167349E-2</v>
      </c>
      <c r="X315">
        <v>0.99931780000000003</v>
      </c>
      <c r="Y315">
        <v>-7.4061659999999996E-3</v>
      </c>
      <c r="Z315">
        <v>3.0900650000000002E-4</v>
      </c>
      <c r="AA315">
        <v>0.99997250000000004</v>
      </c>
      <c r="AB315">
        <v>32</v>
      </c>
      <c r="AC315">
        <v>15.9941</v>
      </c>
      <c r="AD315">
        <v>-1.1303460000000001</v>
      </c>
      <c r="AE315">
        <v>0.108599999999967</v>
      </c>
      <c r="AF315">
        <v>-0.119946521477025</v>
      </c>
      <c r="AG315">
        <v>-1.1303460000000001</v>
      </c>
      <c r="AH315">
        <v>15.9145309233706</v>
      </c>
      <c r="AI315">
        <v>94.062554452825793</v>
      </c>
      <c r="AJ315">
        <v>90.431825440263495</v>
      </c>
      <c r="AK315">
        <v>15.9550732921742</v>
      </c>
      <c r="AL315">
        <v>89.331143074959797</v>
      </c>
      <c r="AM315">
        <v>87.991979869497698</v>
      </c>
      <c r="AN315">
        <v>0.99999996356730902</v>
      </c>
    </row>
    <row r="316" spans="1:40" x14ac:dyDescent="0.25">
      <c r="A316" t="str">
        <f>"20190312160913033"</f>
        <v>20190312160913033</v>
      </c>
      <c r="B316" t="str">
        <f>"1552378153025092"</f>
        <v>1552378153025092</v>
      </c>
      <c r="C316" t="s">
        <v>40</v>
      </c>
      <c r="D316">
        <v>5.1467479999999997</v>
      </c>
      <c r="E316">
        <v>0.48368250000000002</v>
      </c>
      <c r="F316" t="s">
        <v>43</v>
      </c>
      <c r="G316">
        <v>-418.50240000000002</v>
      </c>
      <c r="H316">
        <v>-0.05</v>
      </c>
      <c r="I316">
        <v>367.24709999999999</v>
      </c>
      <c r="J316">
        <v>-435.1952</v>
      </c>
      <c r="K316">
        <v>1.0780529999999999</v>
      </c>
      <c r="L316">
        <v>367.12310000000002</v>
      </c>
      <c r="M316">
        <v>0.99987119999999996</v>
      </c>
      <c r="N316">
        <v>0</v>
      </c>
      <c r="O316">
        <v>-1.010712E-4</v>
      </c>
      <c r="P316">
        <v>0.99938590000000005</v>
      </c>
      <c r="Q316">
        <v>-4.282826E-3</v>
      </c>
      <c r="R316">
        <v>-3.4776710000000002E-2</v>
      </c>
      <c r="S316">
        <v>3.0018310000000001</v>
      </c>
      <c r="T316">
        <v>-0.1996213</v>
      </c>
      <c r="U316">
        <v>2.1972660000000001E-2</v>
      </c>
      <c r="V316">
        <v>3.4657680000000003E-2</v>
      </c>
      <c r="W316">
        <v>1.180985E-2</v>
      </c>
      <c r="X316">
        <v>0.99932940000000003</v>
      </c>
      <c r="Y316">
        <v>-7.4040619999999899E-3</v>
      </c>
      <c r="Z316">
        <v>2.5262430000000001E-4</v>
      </c>
      <c r="AA316">
        <v>0.99997259999999999</v>
      </c>
      <c r="AB316">
        <v>32</v>
      </c>
      <c r="AC316">
        <v>16.692799999999899</v>
      </c>
      <c r="AD316">
        <v>-1.128053</v>
      </c>
      <c r="AE316">
        <v>0.123999999999966</v>
      </c>
      <c r="AF316">
        <v>-0.12511604454299399</v>
      </c>
      <c r="AG316">
        <v>-1.128053</v>
      </c>
      <c r="AH316">
        <v>16.616907459808299</v>
      </c>
      <c r="AI316">
        <v>93.883504786264993</v>
      </c>
      <c r="AJ316">
        <v>90.431397108914993</v>
      </c>
      <c r="AK316">
        <v>16.655622808026301</v>
      </c>
      <c r="AL316">
        <v>89.323329666604295</v>
      </c>
      <c r="AM316">
        <v>88.013724765362596</v>
      </c>
      <c r="AN316">
        <v>0.99999993852218005</v>
      </c>
    </row>
    <row r="317" spans="1:40" x14ac:dyDescent="0.25">
      <c r="A317" t="str">
        <f>"20190312160913054"</f>
        <v>20190312160913054</v>
      </c>
      <c r="B317" t="str">
        <f>"1552378153045588"</f>
        <v>1552378153045588</v>
      </c>
      <c r="C317" t="s">
        <v>40</v>
      </c>
      <c r="D317">
        <v>5.1524199999999896</v>
      </c>
      <c r="E317">
        <v>0.4834639</v>
      </c>
      <c r="F317" t="s">
        <v>43</v>
      </c>
      <c r="G317">
        <v>-417.53269999999998</v>
      </c>
      <c r="H317">
        <v>-0.05</v>
      </c>
      <c r="I317">
        <v>367.27089999999998</v>
      </c>
      <c r="J317">
        <v>-434.89949999999999</v>
      </c>
      <c r="K317">
        <v>1.0759510000000001</v>
      </c>
      <c r="L317">
        <v>367.12369999999999</v>
      </c>
      <c r="M317">
        <v>0.99987329999999996</v>
      </c>
      <c r="N317">
        <v>0</v>
      </c>
      <c r="O317">
        <v>5.1960730000000005E-4</v>
      </c>
      <c r="P317">
        <v>0.99939940000000005</v>
      </c>
      <c r="Q317">
        <v>-4.3611229999999997E-3</v>
      </c>
      <c r="R317">
        <v>-3.43795E-2</v>
      </c>
      <c r="S317">
        <v>3.001862</v>
      </c>
      <c r="T317">
        <v>-0.1917201</v>
      </c>
      <c r="U317">
        <v>2.5115970000000001E-2</v>
      </c>
      <c r="V317">
        <v>3.4880769999999998E-2</v>
      </c>
      <c r="W317">
        <v>1.15972E-2</v>
      </c>
      <c r="X317">
        <v>0.9993242</v>
      </c>
      <c r="Y317">
        <v>-7.8319529999999991E-3</v>
      </c>
      <c r="Z317">
        <v>2.166875E-4</v>
      </c>
      <c r="AA317">
        <v>0.99996929999999995</v>
      </c>
      <c r="AB317">
        <v>32</v>
      </c>
      <c r="AC317">
        <v>17.366800000000001</v>
      </c>
      <c r="AD317">
        <v>-1.1259509999999999</v>
      </c>
      <c r="AE317">
        <v>0.147199999999998</v>
      </c>
      <c r="AF317">
        <v>-0.137596591633948</v>
      </c>
      <c r="AG317">
        <v>-1.1259509999999999</v>
      </c>
      <c r="AH317">
        <v>17.294185219692402</v>
      </c>
      <c r="AI317">
        <v>93.724910238098602</v>
      </c>
      <c r="AJ317">
        <v>90.455849034322696</v>
      </c>
      <c r="AK317">
        <v>17.331345616814001</v>
      </c>
      <c r="AL317">
        <v>89.335514496863198</v>
      </c>
      <c r="AM317">
        <v>88.000939143567706</v>
      </c>
      <c r="AN317">
        <v>1.00000000993463</v>
      </c>
    </row>
    <row r="318" spans="1:40" x14ac:dyDescent="0.25">
      <c r="A318" t="str">
        <f>"20190312160913075"</f>
        <v>20190312160913075</v>
      </c>
      <c r="B318" t="str">
        <f>"1552378153065108"</f>
        <v>1552378153065108</v>
      </c>
      <c r="C318" t="s">
        <v>40</v>
      </c>
      <c r="D318">
        <v>5.1180070000000004</v>
      </c>
      <c r="E318">
        <v>0.48333589999999998</v>
      </c>
      <c r="F318" t="s">
        <v>43</v>
      </c>
      <c r="G318">
        <v>-416.72969999999998</v>
      </c>
      <c r="H318">
        <v>-0.05</v>
      </c>
      <c r="I318">
        <v>367.29379999999998</v>
      </c>
      <c r="J318">
        <v>-434.58819999999997</v>
      </c>
      <c r="K318">
        <v>1.0739110000000001</v>
      </c>
      <c r="L318">
        <v>367.12459999999999</v>
      </c>
      <c r="M318">
        <v>0.99987599999999999</v>
      </c>
      <c r="N318">
        <v>0</v>
      </c>
      <c r="O318">
        <v>1.1735879999999999E-3</v>
      </c>
      <c r="P318">
        <v>0.99939339999999999</v>
      </c>
      <c r="Q318">
        <v>-4.6238240000000003E-3</v>
      </c>
      <c r="R318">
        <v>-3.4515650000000002E-2</v>
      </c>
      <c r="S318">
        <v>3.0019529999999999</v>
      </c>
      <c r="T318">
        <v>-0.186026</v>
      </c>
      <c r="U318">
        <v>2.810669E-2</v>
      </c>
      <c r="V318">
        <v>3.5671300000000003E-2</v>
      </c>
      <c r="W318">
        <v>1.112611E-2</v>
      </c>
      <c r="X318">
        <v>0.99930160000000001</v>
      </c>
      <c r="Y318">
        <v>-8.1752739999999997E-3</v>
      </c>
      <c r="Z318">
        <v>1.8039290000000001E-4</v>
      </c>
      <c r="AA318">
        <v>0.99996660000000004</v>
      </c>
      <c r="AB318">
        <v>32</v>
      </c>
      <c r="AC318">
        <v>17.8584999999999</v>
      </c>
      <c r="AD318">
        <v>-1.1239110000000001</v>
      </c>
      <c r="AE318">
        <v>0.169199999999989</v>
      </c>
      <c r="AF318">
        <v>-0.147654014039826</v>
      </c>
      <c r="AG318">
        <v>-1.1239110000000001</v>
      </c>
      <c r="AH318">
        <v>17.788238427522401</v>
      </c>
      <c r="AI318">
        <v>93.615178762222001</v>
      </c>
      <c r="AJ318">
        <v>90.475581524040905</v>
      </c>
      <c r="AK318">
        <v>17.824320576060401</v>
      </c>
      <c r="AL318">
        <v>89.3625076759905</v>
      </c>
      <c r="AM318">
        <v>87.955624696001905</v>
      </c>
      <c r="AN318">
        <v>0.99999995986499002</v>
      </c>
    </row>
    <row r="319" spans="1:40" x14ac:dyDescent="0.25">
      <c r="A319" t="str">
        <f>"20190312160913099"</f>
        <v>20190312160913099</v>
      </c>
      <c r="B319" t="str">
        <f>"1552378153095364"</f>
        <v>1552378153095364</v>
      </c>
      <c r="C319" t="s">
        <v>40</v>
      </c>
      <c r="D319">
        <v>5.004264</v>
      </c>
      <c r="E319">
        <v>0.48327340000000002</v>
      </c>
      <c r="F319" t="s">
        <v>43</v>
      </c>
      <c r="G319">
        <v>-415.97199999999998</v>
      </c>
      <c r="H319">
        <v>-0.05</v>
      </c>
      <c r="I319">
        <v>367.30450000000002</v>
      </c>
      <c r="J319">
        <v>-434.25069999999999</v>
      </c>
      <c r="K319">
        <v>1.071912</v>
      </c>
      <c r="L319">
        <v>367.12580000000003</v>
      </c>
      <c r="M319">
        <v>0.99987910000000002</v>
      </c>
      <c r="N319">
        <v>0</v>
      </c>
      <c r="O319">
        <v>1.8911119999999999E-3</v>
      </c>
      <c r="P319">
        <v>0.99940459999999998</v>
      </c>
      <c r="Q319">
        <v>-4.3117260000000001E-3</v>
      </c>
      <c r="R319">
        <v>-3.4237429999999999E-2</v>
      </c>
      <c r="S319">
        <v>3.0019840000000002</v>
      </c>
      <c r="T319">
        <v>-0.18123790000000001</v>
      </c>
      <c r="U319">
        <v>2.9022220000000001E-2</v>
      </c>
      <c r="V319">
        <v>3.6110290000000003E-2</v>
      </c>
      <c r="W319">
        <v>1.118095E-2</v>
      </c>
      <c r="X319">
        <v>0.99928530000000004</v>
      </c>
      <c r="Y319">
        <v>-7.7652679999999996E-3</v>
      </c>
      <c r="Z319">
        <v>1.201082E-4</v>
      </c>
      <c r="AA319">
        <v>0.99996980000000002</v>
      </c>
      <c r="AB319">
        <v>32</v>
      </c>
      <c r="AC319">
        <v>18.278700000000001</v>
      </c>
      <c r="AD319">
        <v>-1.121912</v>
      </c>
      <c r="AE319">
        <v>0.178699999999992</v>
      </c>
      <c r="AF319">
        <v>-0.143587611744595</v>
      </c>
      <c r="AG319">
        <v>-1.121912</v>
      </c>
      <c r="AH319">
        <v>18.210408284386599</v>
      </c>
      <c r="AI319">
        <v>93.525329472449499</v>
      </c>
      <c r="AJ319">
        <v>90.451763273272604</v>
      </c>
      <c r="AK319">
        <v>18.245500097888399</v>
      </c>
      <c r="AL319">
        <v>89.359365430389701</v>
      </c>
      <c r="AM319">
        <v>87.930453541732106</v>
      </c>
      <c r="AN319">
        <v>1.0000000387414301</v>
      </c>
    </row>
    <row r="320" spans="1:40" x14ac:dyDescent="0.25">
      <c r="A320" t="str">
        <f>"20190312160913120"</f>
        <v>20190312160913120</v>
      </c>
      <c r="B320" t="str">
        <f>"1552378153114883"</f>
        <v>1552378153114883</v>
      </c>
      <c r="C320" t="s">
        <v>40</v>
      </c>
      <c r="D320">
        <v>4.9616369999999996</v>
      </c>
      <c r="E320">
        <v>0.48324679999999998</v>
      </c>
      <c r="F320" t="s">
        <v>43</v>
      </c>
      <c r="G320">
        <v>-414.7276</v>
      </c>
      <c r="H320">
        <v>-0.05</v>
      </c>
      <c r="I320">
        <v>367.3236</v>
      </c>
      <c r="J320">
        <v>-433.94510000000002</v>
      </c>
      <c r="K320">
        <v>1.0703049999999901</v>
      </c>
      <c r="L320">
        <v>367.12700000000001</v>
      </c>
      <c r="M320">
        <v>0.99988140000000003</v>
      </c>
      <c r="N320">
        <v>0</v>
      </c>
      <c r="O320">
        <v>2.5446209999999999E-3</v>
      </c>
      <c r="P320">
        <v>0.99943210000000005</v>
      </c>
      <c r="Q320">
        <v>-3.7625039999999998E-3</v>
      </c>
      <c r="R320">
        <v>-3.3490039999999999E-2</v>
      </c>
      <c r="S320">
        <v>3.0021059999999999</v>
      </c>
      <c r="T320">
        <v>-0.1725188</v>
      </c>
      <c r="U320">
        <v>3.042603E-2</v>
      </c>
      <c r="V320">
        <v>3.6016029999999997E-2</v>
      </c>
      <c r="W320">
        <v>1.1479430000000001E-2</v>
      </c>
      <c r="X320">
        <v>0.99928530000000004</v>
      </c>
      <c r="Y320">
        <v>-7.5812509999999998E-3</v>
      </c>
      <c r="Z320" s="1">
        <v>7.1525689999999998E-5</v>
      </c>
      <c r="AA320">
        <v>0.99997130000000001</v>
      </c>
      <c r="AB320">
        <v>32</v>
      </c>
      <c r="AC320">
        <v>19.217500000000001</v>
      </c>
      <c r="AD320">
        <v>-1.1203050000000001</v>
      </c>
      <c r="AE320">
        <v>0.19660000000004599</v>
      </c>
      <c r="AF320">
        <v>-0.147192296405872</v>
      </c>
      <c r="AG320">
        <v>-1.1203050000000001</v>
      </c>
      <c r="AH320">
        <v>19.152855205939002</v>
      </c>
      <c r="AI320">
        <v>93.347480211008403</v>
      </c>
      <c r="AJ320">
        <v>90.440317187435099</v>
      </c>
      <c r="AK320">
        <v>19.186156764834699</v>
      </c>
      <c r="AL320">
        <v>89.342262677421004</v>
      </c>
      <c r="AM320">
        <v>87.935851074731502</v>
      </c>
      <c r="AN320">
        <v>1.00000002126308</v>
      </c>
    </row>
    <row r="321" spans="1:40" x14ac:dyDescent="0.25">
      <c r="A321" t="str">
        <f>"20190312160913142"</f>
        <v>20190312160913142</v>
      </c>
      <c r="B321" t="str">
        <f>"1552378153135380"</f>
        <v>1552378153135380</v>
      </c>
      <c r="C321" t="s">
        <v>40</v>
      </c>
      <c r="D321">
        <v>4.9759209999999996</v>
      </c>
      <c r="E321">
        <v>0.48331000000000002</v>
      </c>
      <c r="F321" t="s">
        <v>43</v>
      </c>
      <c r="G321">
        <v>-413.82470000000001</v>
      </c>
      <c r="H321">
        <v>-0.05</v>
      </c>
      <c r="I321">
        <v>367.34530000000001</v>
      </c>
      <c r="J321">
        <v>-433.6309</v>
      </c>
      <c r="K321">
        <v>1.068846</v>
      </c>
      <c r="L321">
        <v>367.12860000000001</v>
      </c>
      <c r="M321">
        <v>0.99988339999999998</v>
      </c>
      <c r="N321">
        <v>0</v>
      </c>
      <c r="O321">
        <v>3.211691E-3</v>
      </c>
      <c r="P321">
        <v>0.99943329999999997</v>
      </c>
      <c r="Q321">
        <v>-3.3304179999999999E-3</v>
      </c>
      <c r="R321">
        <v>-3.3503110000000003E-2</v>
      </c>
      <c r="S321">
        <v>3.0021360000000001</v>
      </c>
      <c r="T321">
        <v>-0.16715859999999999</v>
      </c>
      <c r="U321">
        <v>3.2562260000000003E-2</v>
      </c>
      <c r="V321">
        <v>3.6695730000000003E-2</v>
      </c>
      <c r="W321">
        <v>1.165013E-2</v>
      </c>
      <c r="X321">
        <v>0.9992586</v>
      </c>
      <c r="Y321">
        <v>-7.6269709999999998E-3</v>
      </c>
      <c r="Z321" s="1">
        <v>3.3462030000000001E-5</v>
      </c>
      <c r="AA321">
        <v>0.9999709</v>
      </c>
      <c r="AB321">
        <v>32</v>
      </c>
      <c r="AC321">
        <v>19.806199999999901</v>
      </c>
      <c r="AD321">
        <v>-1.118846</v>
      </c>
      <c r="AE321">
        <v>0.216700000000003</v>
      </c>
      <c r="AF321">
        <v>-0.152593517542431</v>
      </c>
      <c r="AG321">
        <v>-1.118846</v>
      </c>
      <c r="AH321">
        <v>19.743797293118998</v>
      </c>
      <c r="AI321">
        <v>93.243284778630098</v>
      </c>
      <c r="AJ321">
        <v>90.442812004850197</v>
      </c>
      <c r="AK321">
        <v>19.776062113198499</v>
      </c>
      <c r="AL321">
        <v>89.332481637050194</v>
      </c>
      <c r="AM321">
        <v>87.896874655086407</v>
      </c>
      <c r="AN321">
        <v>1.0000000259016</v>
      </c>
    </row>
    <row r="322" spans="1:40" x14ac:dyDescent="0.25">
      <c r="A322" t="str">
        <f>"20190312160913165"</f>
        <v>20190312160913165</v>
      </c>
      <c r="B322" t="str">
        <f>"1552378153155876"</f>
        <v>1552378153155876</v>
      </c>
      <c r="C322" t="s">
        <v>40</v>
      </c>
      <c r="D322">
        <v>4.9536660000000001</v>
      </c>
      <c r="E322">
        <v>0.48337190000000002</v>
      </c>
      <c r="F322" t="s">
        <v>43</v>
      </c>
      <c r="G322">
        <v>-412.7276</v>
      </c>
      <c r="H322">
        <v>-0.05</v>
      </c>
      <c r="I322">
        <v>367.35250000000002</v>
      </c>
      <c r="J322">
        <v>-433.30079999999998</v>
      </c>
      <c r="K322">
        <v>1.0675159999999999</v>
      </c>
      <c r="L322">
        <v>367.13040000000001</v>
      </c>
      <c r="M322">
        <v>0.99988480000000002</v>
      </c>
      <c r="N322">
        <v>0</v>
      </c>
      <c r="O322">
        <v>3.9034429999999999E-3</v>
      </c>
      <c r="P322">
        <v>0.99942549999999997</v>
      </c>
      <c r="Q322">
        <v>-3.5464759999999998E-3</v>
      </c>
      <c r="R322">
        <v>-3.3706880000000002E-2</v>
      </c>
      <c r="S322">
        <v>3.0022579999999999</v>
      </c>
      <c r="T322">
        <v>-0.16069520000000001</v>
      </c>
      <c r="U322">
        <v>3.2165529999999998E-2</v>
      </c>
      <c r="V322">
        <v>3.7591810000000003E-2</v>
      </c>
      <c r="W322">
        <v>1.1164260000000001E-2</v>
      </c>
      <c r="X322">
        <v>0.99923079999999997</v>
      </c>
      <c r="Y322">
        <v>-6.8052909999999998E-3</v>
      </c>
      <c r="Z322" s="1">
        <v>-2.6806110000000001E-5</v>
      </c>
      <c r="AA322">
        <v>0.9999768</v>
      </c>
      <c r="AB322">
        <v>32</v>
      </c>
      <c r="AC322">
        <v>20.5731999999999</v>
      </c>
      <c r="AD322">
        <v>-1.117516</v>
      </c>
      <c r="AE322">
        <v>0.22210000000001101</v>
      </c>
      <c r="AF322">
        <v>-0.14136629320487601</v>
      </c>
      <c r="AG322">
        <v>-1.117516</v>
      </c>
      <c r="AH322">
        <v>20.5133914291902</v>
      </c>
      <c r="AI322">
        <v>93.118168238533102</v>
      </c>
      <c r="AJ322">
        <v>90.394842743347198</v>
      </c>
      <c r="AK322">
        <v>20.544294934757101</v>
      </c>
      <c r="AL322">
        <v>89.360321724318396</v>
      </c>
      <c r="AM322">
        <v>87.845505974365196</v>
      </c>
      <c r="AN322">
        <v>0.99999998827453096</v>
      </c>
    </row>
    <row r="323" spans="1:40" x14ac:dyDescent="0.25">
      <c r="A323" t="str">
        <f>"20190312160913191"</f>
        <v>20190312160913191</v>
      </c>
      <c r="B323" t="str">
        <f>"1552378153175396"</f>
        <v>1552378153175396</v>
      </c>
      <c r="C323" t="s">
        <v>40</v>
      </c>
      <c r="D323">
        <v>4.938364</v>
      </c>
      <c r="E323">
        <v>0.48338730000000002</v>
      </c>
      <c r="F323" t="s">
        <v>43</v>
      </c>
      <c r="G323">
        <v>-411.8417</v>
      </c>
      <c r="H323">
        <v>-0.05</v>
      </c>
      <c r="I323">
        <v>367.3546</v>
      </c>
      <c r="J323">
        <v>-432.9563</v>
      </c>
      <c r="K323">
        <v>1.0663320000000001</v>
      </c>
      <c r="L323">
        <v>367.13249999999999</v>
      </c>
      <c r="M323">
        <v>0.99988580000000005</v>
      </c>
      <c r="N323">
        <v>0</v>
      </c>
      <c r="O323">
        <v>4.616986E-3</v>
      </c>
      <c r="P323">
        <v>0.99945620000000002</v>
      </c>
      <c r="Q323">
        <v>-2.916119E-3</v>
      </c>
      <c r="R323">
        <v>-3.2847500000000002E-2</v>
      </c>
      <c r="S323">
        <v>3.0022280000000001</v>
      </c>
      <c r="T323">
        <v>-0.15634609999999999</v>
      </c>
      <c r="U323">
        <v>3.1372070000000002E-2</v>
      </c>
      <c r="V323">
        <v>3.744517E-2</v>
      </c>
      <c r="W323">
        <v>1.152663E-2</v>
      </c>
      <c r="X323">
        <v>0.99923220000000001</v>
      </c>
      <c r="Y323">
        <v>-5.8300599999999998E-3</v>
      </c>
      <c r="Z323" s="1">
        <v>-8.8592579999999995E-5</v>
      </c>
      <c r="AA323">
        <v>0.99998299999999996</v>
      </c>
      <c r="AB323">
        <v>32</v>
      </c>
      <c r="AC323">
        <v>21.114599999999999</v>
      </c>
      <c r="AD323">
        <v>-1.1163319999999901</v>
      </c>
      <c r="AE323">
        <v>0.22210000000001101</v>
      </c>
      <c r="AF323">
        <v>-0.12425444081624901</v>
      </c>
      <c r="AG323">
        <v>-1.1163319999999901</v>
      </c>
      <c r="AH323">
        <v>21.056548589022501</v>
      </c>
      <c r="AI323">
        <v>93.0346938094536</v>
      </c>
      <c r="AJ323">
        <v>90.338097783755899</v>
      </c>
      <c r="AK323">
        <v>21.086485595806401</v>
      </c>
      <c r="AL323">
        <v>89.339558121548095</v>
      </c>
      <c r="AM323">
        <v>87.8539054617669</v>
      </c>
      <c r="AN323">
        <v>0.99999999673616202</v>
      </c>
    </row>
    <row r="324" spans="1:40" x14ac:dyDescent="0.25">
      <c r="A324" t="str">
        <f>"20190312160913211"</f>
        <v>20190312160913211</v>
      </c>
      <c r="B324" t="str">
        <f>"1552378153205652"</f>
        <v>1552378153205652</v>
      </c>
      <c r="C324" t="s">
        <v>40</v>
      </c>
      <c r="D324">
        <v>4.8434609999999996</v>
      </c>
      <c r="E324">
        <v>0.48343960000000002</v>
      </c>
      <c r="F324" t="s">
        <v>43</v>
      </c>
      <c r="G324">
        <v>-410.86329999999998</v>
      </c>
      <c r="H324">
        <v>-0.05</v>
      </c>
      <c r="I324">
        <v>367.37819999999999</v>
      </c>
      <c r="J324">
        <v>-432.65199999999999</v>
      </c>
      <c r="K324">
        <v>1.0654349999999999</v>
      </c>
      <c r="L324">
        <v>367.13459999999998</v>
      </c>
      <c r="M324">
        <v>0.99988589999999999</v>
      </c>
      <c r="N324">
        <v>0</v>
      </c>
      <c r="O324">
        <v>5.2452260000000004E-3</v>
      </c>
      <c r="P324">
        <v>0.99951109999999999</v>
      </c>
      <c r="Q324">
        <v>-1.69606799999999E-3</v>
      </c>
      <c r="R324">
        <v>-3.1224720000000001E-2</v>
      </c>
      <c r="S324">
        <v>3.0022890000000002</v>
      </c>
      <c r="T324">
        <v>-0.15170229999999901</v>
      </c>
      <c r="U324">
        <v>3.3386230000000003E-2</v>
      </c>
      <c r="V324">
        <v>3.6449370000000002E-2</v>
      </c>
      <c r="W324">
        <v>1.252267E-2</v>
      </c>
      <c r="X324">
        <v>0.99925699999999995</v>
      </c>
      <c r="Y324">
        <v>-5.8731900000000004E-3</v>
      </c>
      <c r="Z324">
        <v>-1.165984E-4</v>
      </c>
      <c r="AA324">
        <v>0.99998279999999995</v>
      </c>
      <c r="AB324">
        <v>32</v>
      </c>
      <c r="AC324">
        <v>21.788699999999999</v>
      </c>
      <c r="AD324">
        <v>-1.115435</v>
      </c>
      <c r="AE324">
        <v>0.243600000000014</v>
      </c>
      <c r="AF324">
        <v>-0.128960592141213</v>
      </c>
      <c r="AG324">
        <v>-1.115435</v>
      </c>
      <c r="AH324">
        <v>21.7327291022868</v>
      </c>
      <c r="AI324">
        <v>92.938083174462804</v>
      </c>
      <c r="AJ324">
        <v>90.339985415330801</v>
      </c>
      <c r="AK324">
        <v>21.761717310610699</v>
      </c>
      <c r="AL324">
        <v>89.282485080220994</v>
      </c>
      <c r="AM324">
        <v>87.910978277418707</v>
      </c>
      <c r="AN324">
        <v>0.99999996294316196</v>
      </c>
    </row>
    <row r="325" spans="1:40" x14ac:dyDescent="0.25">
      <c r="A325" t="str">
        <f>"20190312160913232"</f>
        <v>20190312160913232</v>
      </c>
      <c r="B325" t="str">
        <f>"1552378153225173"</f>
        <v>1552378153225173</v>
      </c>
      <c r="C325" t="s">
        <v>40</v>
      </c>
      <c r="D325">
        <v>5.0201949999999904</v>
      </c>
      <c r="E325">
        <v>0.50542509999999996</v>
      </c>
      <c r="F325" t="s">
        <v>43</v>
      </c>
      <c r="G325">
        <v>-409.53100000000001</v>
      </c>
      <c r="H325">
        <v>-0.05</v>
      </c>
      <c r="I325">
        <v>367.42680000000001</v>
      </c>
      <c r="J325">
        <v>-432.3288</v>
      </c>
      <c r="K325">
        <v>1.0646150000000001</v>
      </c>
      <c r="L325">
        <v>367.13709999999998</v>
      </c>
      <c r="M325">
        <v>0.99988520000000003</v>
      </c>
      <c r="N325">
        <v>0</v>
      </c>
      <c r="O325">
        <v>5.9124030000000001E-3</v>
      </c>
      <c r="P325">
        <v>0.9995444</v>
      </c>
      <c r="Q325">
        <v>-1.914663E-3</v>
      </c>
      <c r="R325">
        <v>-3.0124660000000001E-2</v>
      </c>
      <c r="S325">
        <v>3.00238</v>
      </c>
      <c r="T325">
        <v>-0.144844899999999</v>
      </c>
      <c r="U325">
        <v>3.7933349999999998E-2</v>
      </c>
      <c r="V325">
        <v>3.6017109999999998E-2</v>
      </c>
      <c r="W325">
        <v>1.208354E-2</v>
      </c>
      <c r="X325">
        <v>0.99927809999999995</v>
      </c>
      <c r="Y325">
        <v>-6.7197519999999998E-3</v>
      </c>
      <c r="Z325">
        <v>-1.2308990000000001E-4</v>
      </c>
      <c r="AA325">
        <v>0.99997740000000002</v>
      </c>
      <c r="AB325">
        <v>32</v>
      </c>
      <c r="AC325">
        <v>22.797799999999899</v>
      </c>
      <c r="AD325">
        <v>-1.1146149999999999</v>
      </c>
      <c r="AE325">
        <v>0.28970000000003798</v>
      </c>
      <c r="AF325">
        <v>-0.15452272959612401</v>
      </c>
      <c r="AG325">
        <v>-1.1146149999999999</v>
      </c>
      <c r="AH325">
        <v>22.744754996312299</v>
      </c>
      <c r="AI325">
        <v>92.8054914612364</v>
      </c>
      <c r="AJ325">
        <v>90.389248599851697</v>
      </c>
      <c r="AK325">
        <v>22.772573936963301</v>
      </c>
      <c r="AL325">
        <v>89.307647295082901</v>
      </c>
      <c r="AM325">
        <v>87.935774371182603</v>
      </c>
      <c r="AN325">
        <v>0.99999998264564605</v>
      </c>
    </row>
    <row r="326" spans="1:40" x14ac:dyDescent="0.25">
      <c r="A326" t="str">
        <f>"20190312160913256"</f>
        <v>20190312160913256</v>
      </c>
      <c r="B326" t="str">
        <f>"1552378153245668"</f>
        <v>1552378153245668</v>
      </c>
      <c r="C326" t="s">
        <v>40</v>
      </c>
      <c r="D326">
        <v>4.8290350000000002</v>
      </c>
      <c r="E326">
        <v>0.54074109999999997</v>
      </c>
      <c r="F326" t="s">
        <v>42</v>
      </c>
      <c r="G326">
        <v>-431.45310000000001</v>
      </c>
      <c r="H326">
        <v>0.97846659999999996</v>
      </c>
      <c r="I326">
        <v>367.09769999999997</v>
      </c>
      <c r="J326">
        <v>-432.00540000000001</v>
      </c>
      <c r="K326">
        <v>1.063925</v>
      </c>
      <c r="L326">
        <v>367.13979999999998</v>
      </c>
      <c r="M326">
        <v>0.99988379999999999</v>
      </c>
      <c r="N326">
        <v>0</v>
      </c>
      <c r="O326">
        <v>6.5805859999999898E-3</v>
      </c>
      <c r="P326">
        <v>0.99954259999999995</v>
      </c>
      <c r="Q326">
        <v>-2.4724740000000001E-3</v>
      </c>
      <c r="R326">
        <v>-3.0146900000000001E-2</v>
      </c>
      <c r="S326">
        <v>2.9967649999999999</v>
      </c>
      <c r="T326">
        <v>-0.29502399999999901</v>
      </c>
      <c r="U326">
        <v>-0.13378909999999999</v>
      </c>
      <c r="V326">
        <v>3.6708299999999999E-2</v>
      </c>
      <c r="W326">
        <v>1.1323990000000001E-2</v>
      </c>
      <c r="X326">
        <v>0.99926190000000004</v>
      </c>
      <c r="Y326">
        <v>5.0896440000000001E-2</v>
      </c>
      <c r="Z326">
        <v>-3.1440800000000001E-3</v>
      </c>
      <c r="AA326">
        <v>0.998699</v>
      </c>
      <c r="AB326">
        <v>32</v>
      </c>
      <c r="AC326">
        <v>0.55230000000000201</v>
      </c>
      <c r="AD326">
        <v>-8.5458400000000004E-2</v>
      </c>
      <c r="AE326">
        <v>-4.2100000000004897E-2</v>
      </c>
      <c r="AF326">
        <v>4.4670567733762302E-2</v>
      </c>
      <c r="AG326">
        <v>-8.5458400000000004E-2</v>
      </c>
      <c r="AH326">
        <v>0.53917660779929399</v>
      </c>
      <c r="AI326">
        <v>98.976095426675201</v>
      </c>
      <c r="AJ326">
        <v>85.263883990673605</v>
      </c>
      <c r="AK326">
        <v>0.54773169722973802</v>
      </c>
      <c r="AL326">
        <v>89.351169323282903</v>
      </c>
      <c r="AM326">
        <v>87.896161825351797</v>
      </c>
      <c r="AN326">
        <v>1.0000000384150001</v>
      </c>
    </row>
    <row r="327" spans="1:40" x14ac:dyDescent="0.25">
      <c r="A327" t="str">
        <f>"20190312160913276"</f>
        <v>20190312160913276</v>
      </c>
      <c r="B327" t="str">
        <f>"1552378153265188"</f>
        <v>1552378153265188</v>
      </c>
      <c r="C327" t="s">
        <v>40</v>
      </c>
      <c r="D327">
        <v>4.835407</v>
      </c>
      <c r="E327">
        <v>0.53984149999999997</v>
      </c>
      <c r="F327" t="s">
        <v>42</v>
      </c>
      <c r="G327">
        <v>-431.19290000000001</v>
      </c>
      <c r="H327">
        <v>0.92200309999999996</v>
      </c>
      <c r="I327">
        <v>367.02699999999999</v>
      </c>
      <c r="J327">
        <v>-431.702</v>
      </c>
      <c r="K327">
        <v>1.063369</v>
      </c>
      <c r="L327">
        <v>367.14240000000001</v>
      </c>
      <c r="M327">
        <v>0.99988189999999999</v>
      </c>
      <c r="N327">
        <v>0</v>
      </c>
      <c r="O327">
        <v>7.20770099999999E-3</v>
      </c>
      <c r="P327">
        <v>0.99955210000000005</v>
      </c>
      <c r="Q327">
        <v>-2.1572380000000001E-3</v>
      </c>
      <c r="R327">
        <v>-2.9848010000000001E-2</v>
      </c>
      <c r="S327">
        <v>2.9875790000000002</v>
      </c>
      <c r="T327">
        <v>-0.521825599999999</v>
      </c>
      <c r="U327">
        <v>-0.41476439999999998</v>
      </c>
      <c r="V327">
        <v>3.7036329999999999E-2</v>
      </c>
      <c r="W327">
        <v>1.1465120000000001E-2</v>
      </c>
      <c r="X327">
        <v>0.99924809999999997</v>
      </c>
      <c r="Y327">
        <v>0.14242369999999999</v>
      </c>
      <c r="Z327">
        <v>-1.3531059999999999E-2</v>
      </c>
      <c r="AA327">
        <v>0.98971330000000002</v>
      </c>
      <c r="AB327">
        <v>32</v>
      </c>
      <c r="AC327">
        <v>0.50909999999998901</v>
      </c>
      <c r="AD327">
        <v>-0.14136589999999999</v>
      </c>
      <c r="AE327">
        <v>-0.115400000000022</v>
      </c>
      <c r="AF327">
        <v>0.110931408887081</v>
      </c>
      <c r="AG327">
        <v>-0.14136589999999999</v>
      </c>
      <c r="AH327">
        <v>0.47352783876316601</v>
      </c>
      <c r="AI327">
        <v>106.207467521542</v>
      </c>
      <c r="AJ327">
        <v>76.8153167901974</v>
      </c>
      <c r="AK327">
        <v>0.50647676081356197</v>
      </c>
      <c r="AL327">
        <v>89.343082588489594</v>
      </c>
      <c r="AM327">
        <v>87.877349495481695</v>
      </c>
      <c r="AN327">
        <v>0.99999995203504499</v>
      </c>
    </row>
    <row r="328" spans="1:40" x14ac:dyDescent="0.25">
      <c r="A328" t="str">
        <f>"20190312160913300"</f>
        <v>20190312160913300</v>
      </c>
      <c r="B328" t="str">
        <f>"1552378153295444"</f>
        <v>1552378153295444</v>
      </c>
      <c r="C328" t="s">
        <v>40</v>
      </c>
      <c r="D328">
        <v>4.8819169999999996</v>
      </c>
      <c r="E328">
        <v>0.55178990000000006</v>
      </c>
      <c r="F328" t="s">
        <v>42</v>
      </c>
      <c r="G328">
        <v>-430.90530000000001</v>
      </c>
      <c r="H328">
        <v>0.92390879999999997</v>
      </c>
      <c r="I328">
        <v>367.03339999999997</v>
      </c>
      <c r="J328">
        <v>-431.38049999999998</v>
      </c>
      <c r="K328">
        <v>1.0628789999999999</v>
      </c>
      <c r="L328">
        <v>367.1454</v>
      </c>
      <c r="M328">
        <v>0.99987890000000001</v>
      </c>
      <c r="N328">
        <v>0</v>
      </c>
      <c r="O328">
        <v>7.8724269999999996E-3</v>
      </c>
      <c r="P328">
        <v>0.99956460000000003</v>
      </c>
      <c r="Q328">
        <v>-1.531616E-3</v>
      </c>
      <c r="R328">
        <v>-2.9468729999999999E-2</v>
      </c>
      <c r="S328">
        <v>2.9880680000000002</v>
      </c>
      <c r="T328">
        <v>-0.52331300000000003</v>
      </c>
      <c r="U328">
        <v>-0.40713500000000002</v>
      </c>
      <c r="V328">
        <v>3.7320819999999998E-2</v>
      </c>
      <c r="W328">
        <v>1.193573E-2</v>
      </c>
      <c r="X328">
        <v>0.99923209999999996</v>
      </c>
      <c r="Y328">
        <v>0.14058380000000001</v>
      </c>
      <c r="Z328">
        <v>-1.352507E-2</v>
      </c>
      <c r="AA328">
        <v>0.98997639999999998</v>
      </c>
      <c r="AB328">
        <v>32</v>
      </c>
      <c r="AC328">
        <v>0.47519999999997198</v>
      </c>
      <c r="AD328">
        <v>-0.13897019999999999</v>
      </c>
      <c r="AE328">
        <v>-0.112000000000023</v>
      </c>
      <c r="AF328">
        <v>0.107063193736659</v>
      </c>
      <c r="AG328">
        <v>-0.13897019999999999</v>
      </c>
      <c r="AH328">
        <v>0.438754032780374</v>
      </c>
      <c r="AI328">
        <v>107.103634548166</v>
      </c>
      <c r="AJ328">
        <v>76.286874546912202</v>
      </c>
      <c r="AK328">
        <v>0.472525496901675</v>
      </c>
      <c r="AL328">
        <v>89.3161168395429</v>
      </c>
      <c r="AM328">
        <v>87.861025486900104</v>
      </c>
      <c r="AN328">
        <v>1.00000004746325</v>
      </c>
    </row>
    <row r="329" spans="1:40" x14ac:dyDescent="0.25">
      <c r="A329" t="str">
        <f>"20190312160913320"</f>
        <v>20190312160913320</v>
      </c>
      <c r="B329" t="str">
        <f>"1552378153314964"</f>
        <v>1552378153314964</v>
      </c>
      <c r="C329" t="s">
        <v>40</v>
      </c>
      <c r="D329">
        <v>4.8627089999999997</v>
      </c>
      <c r="E329">
        <v>0.55226070000000005</v>
      </c>
      <c r="F329" t="s">
        <v>42</v>
      </c>
      <c r="G329">
        <v>-430.63319999999999</v>
      </c>
      <c r="H329">
        <v>0.8917292</v>
      </c>
      <c r="I329">
        <v>367.01979999999998</v>
      </c>
      <c r="J329">
        <v>-431.06819999999999</v>
      </c>
      <c r="K329">
        <v>1.0622450000000001</v>
      </c>
      <c r="L329">
        <v>367.14859999999999</v>
      </c>
      <c r="M329">
        <v>0.99988589999999999</v>
      </c>
      <c r="N329">
        <v>0</v>
      </c>
      <c r="O329">
        <v>8.5047969999999997E-3</v>
      </c>
      <c r="P329">
        <v>0.99958340000000001</v>
      </c>
      <c r="Q329" s="1">
        <v>-5.9409469999999897E-5</v>
      </c>
      <c r="R329">
        <v>-2.886557E-2</v>
      </c>
      <c r="S329">
        <v>2.9854430000000001</v>
      </c>
      <c r="T329">
        <v>-0.68370069999999905</v>
      </c>
      <c r="U329">
        <v>-0.50164790000000004</v>
      </c>
      <c r="V329">
        <v>3.7349790000000001E-2</v>
      </c>
      <c r="W329">
        <v>1.247499E-2</v>
      </c>
      <c r="X329">
        <v>0.99922440000000001</v>
      </c>
      <c r="Y329">
        <v>0.1696027</v>
      </c>
      <c r="Z329">
        <v>-2.0954199999999999E-2</v>
      </c>
      <c r="AA329">
        <v>0.98528979999999999</v>
      </c>
      <c r="AB329">
        <v>32</v>
      </c>
      <c r="AC329">
        <v>0.435000000000002</v>
      </c>
      <c r="AD329">
        <v>-0.1705158</v>
      </c>
      <c r="AE329">
        <v>-0.12880000000001199</v>
      </c>
      <c r="AF329">
        <v>0.116094425629239</v>
      </c>
      <c r="AG329">
        <v>-0.1705158</v>
      </c>
      <c r="AH329">
        <v>0.38018026686433298</v>
      </c>
      <c r="AI329">
        <v>113.217336460705</v>
      </c>
      <c r="AJ329">
        <v>73.019069435728696</v>
      </c>
      <c r="AK329">
        <v>0.43253969647288898</v>
      </c>
      <c r="AL329">
        <v>89.285217195050905</v>
      </c>
      <c r="AM329">
        <v>87.859350188082104</v>
      </c>
      <c r="AN329">
        <v>1.0000000168719501</v>
      </c>
    </row>
    <row r="330" spans="1:40" x14ac:dyDescent="0.25">
      <c r="A330" t="str">
        <f>"20190312160913343"</f>
        <v>20190312160913343</v>
      </c>
      <c r="B330" t="str">
        <f>"1552378153335460"</f>
        <v>1552378153335460</v>
      </c>
      <c r="C330" t="s">
        <v>40</v>
      </c>
      <c r="D330">
        <v>5.0031239999999997</v>
      </c>
      <c r="E330">
        <v>0.55283939999999998</v>
      </c>
      <c r="F330" t="s">
        <v>42</v>
      </c>
      <c r="G330">
        <v>-430.34190000000001</v>
      </c>
      <c r="H330">
        <v>0.89446650000000005</v>
      </c>
      <c r="I330">
        <v>367.0256</v>
      </c>
      <c r="J330">
        <v>-430.73779999999999</v>
      </c>
      <c r="K330">
        <v>1.0615330000000001</v>
      </c>
      <c r="L330">
        <v>367.15199999999999</v>
      </c>
      <c r="M330">
        <v>0.99989709999999998</v>
      </c>
      <c r="N330">
        <v>0</v>
      </c>
      <c r="O330">
        <v>9.152749E-3</v>
      </c>
      <c r="P330">
        <v>0.99959039999999999</v>
      </c>
      <c r="Q330">
        <v>9.1607489999999999E-4</v>
      </c>
      <c r="R330">
        <v>-2.860213E-2</v>
      </c>
      <c r="S330">
        <v>2.9866640000000002</v>
      </c>
      <c r="T330">
        <v>-0.69011350000000005</v>
      </c>
      <c r="U330">
        <v>-0.50341800000000003</v>
      </c>
      <c r="V330">
        <v>3.7735570000000003E-2</v>
      </c>
      <c r="W330">
        <v>1.200201E-2</v>
      </c>
      <c r="X330">
        <v>0.99921570000000004</v>
      </c>
      <c r="Y330">
        <v>0.17062040000000001</v>
      </c>
      <c r="Z330">
        <v>-2.1398589999999999E-2</v>
      </c>
      <c r="AA330">
        <v>0.98510439999999999</v>
      </c>
      <c r="AB330">
        <v>32</v>
      </c>
      <c r="AC330">
        <v>0.39589999999998299</v>
      </c>
      <c r="AD330">
        <v>-0.16706650000000001</v>
      </c>
      <c r="AE330">
        <v>-0.12639999999998899</v>
      </c>
      <c r="AF330">
        <v>0.11193015228141499</v>
      </c>
      <c r="AG330">
        <v>-0.16706650000000001</v>
      </c>
      <c r="AH330">
        <v>0.33981156865599299</v>
      </c>
      <c r="AI330">
        <v>115.030908868468</v>
      </c>
      <c r="AJ330">
        <v>71.768691730300603</v>
      </c>
      <c r="AK330">
        <v>0.39485627335074402</v>
      </c>
      <c r="AL330">
        <v>89.312318983368002</v>
      </c>
      <c r="AM330">
        <v>87.837241835498602</v>
      </c>
      <c r="AN330">
        <v>1.00000001830687</v>
      </c>
    </row>
    <row r="331" spans="1:40" x14ac:dyDescent="0.25">
      <c r="A331" t="str">
        <f>"20190312160913366"</f>
        <v>20190312160913366</v>
      </c>
      <c r="B331" t="str">
        <f>"1552378153354980"</f>
        <v>1552378153354980</v>
      </c>
      <c r="C331" t="s">
        <v>40</v>
      </c>
      <c r="D331">
        <v>4.7479979999999999</v>
      </c>
      <c r="E331">
        <v>0.55068669999999997</v>
      </c>
      <c r="F331" t="s">
        <v>42</v>
      </c>
      <c r="G331">
        <v>-430.04590000000002</v>
      </c>
      <c r="H331">
        <v>0.90211359999999996</v>
      </c>
      <c r="I331">
        <v>367.03469999999999</v>
      </c>
      <c r="J331">
        <v>-430.40289999999999</v>
      </c>
      <c r="K331">
        <v>1.060921</v>
      </c>
      <c r="L331">
        <v>367.15570000000002</v>
      </c>
      <c r="M331">
        <v>0.99990639999999997</v>
      </c>
      <c r="N331">
        <v>0</v>
      </c>
      <c r="O331">
        <v>9.7976929999999997E-3</v>
      </c>
      <c r="P331">
        <v>0.99958619999999998</v>
      </c>
      <c r="Q331">
        <v>1.4151039999999999E-3</v>
      </c>
      <c r="R331">
        <v>-2.873214E-2</v>
      </c>
      <c r="S331">
        <v>2.9873349999999999</v>
      </c>
      <c r="T331">
        <v>-0.68834839999999997</v>
      </c>
      <c r="U331">
        <v>-0.5063782</v>
      </c>
      <c r="V331">
        <v>3.8512119999999997E-2</v>
      </c>
      <c r="W331">
        <v>1.1007390000000001E-2</v>
      </c>
      <c r="X331">
        <v>0.99919749999999996</v>
      </c>
      <c r="Y331">
        <v>0.17213879999999901</v>
      </c>
      <c r="Z331">
        <v>-2.1656140000000001E-2</v>
      </c>
      <c r="AA331">
        <v>0.9848346</v>
      </c>
      <c r="AB331">
        <v>33</v>
      </c>
      <c r="AC331">
        <v>0.35699999999997001</v>
      </c>
      <c r="AD331">
        <v>-0.15880739999999899</v>
      </c>
      <c r="AE331">
        <v>-0.12100000000003699</v>
      </c>
      <c r="AF331">
        <v>0.105726546979083</v>
      </c>
      <c r="AG331">
        <v>-0.15880739999999899</v>
      </c>
      <c r="AH331">
        <v>0.302165441536905</v>
      </c>
      <c r="AI331">
        <v>116.384832704</v>
      </c>
      <c r="AJ331">
        <v>70.715250998095598</v>
      </c>
      <c r="AK331">
        <v>0.35735395211201099</v>
      </c>
      <c r="AL331">
        <v>89.369310269958603</v>
      </c>
      <c r="AM331">
        <v>87.792738438512202</v>
      </c>
      <c r="AN331">
        <v>0.99999999501387804</v>
      </c>
    </row>
    <row r="332" spans="1:40" x14ac:dyDescent="0.25">
      <c r="A332" t="str">
        <f>"20190312160913389"</f>
        <v>20190312160913389</v>
      </c>
      <c r="B332" t="str">
        <f>"1552378153385236"</f>
        <v>1552378153385236</v>
      </c>
      <c r="C332" t="s">
        <v>40</v>
      </c>
      <c r="D332">
        <v>4.7534679999999998</v>
      </c>
      <c r="E332">
        <v>0.54949840000000005</v>
      </c>
      <c r="F332" t="s">
        <v>42</v>
      </c>
      <c r="G332">
        <v>-429.47410000000002</v>
      </c>
      <c r="H332">
        <v>0.8514003</v>
      </c>
      <c r="I332">
        <v>367.00349999999997</v>
      </c>
      <c r="J332">
        <v>-430.07400000000001</v>
      </c>
      <c r="K332">
        <v>1.060433</v>
      </c>
      <c r="L332">
        <v>367.15940000000001</v>
      </c>
      <c r="M332">
        <v>0.99991260000000004</v>
      </c>
      <c r="N332">
        <v>0</v>
      </c>
      <c r="O332">
        <v>1.0416069999999999E-2</v>
      </c>
      <c r="P332">
        <v>0.99959529999999996</v>
      </c>
      <c r="Q332">
        <v>2.6544400000000001E-3</v>
      </c>
      <c r="R332">
        <v>-2.8320330000000001E-2</v>
      </c>
      <c r="S332">
        <v>2.9881289999999998</v>
      </c>
      <c r="T332">
        <v>-0.67419739999999995</v>
      </c>
      <c r="U332">
        <v>-0.48910520000000002</v>
      </c>
      <c r="V332">
        <v>3.8719169999999997E-2</v>
      </c>
      <c r="W332">
        <v>1.083574E-2</v>
      </c>
      <c r="X332">
        <v>0.99919139999999995</v>
      </c>
      <c r="Y332">
        <v>0.1674464</v>
      </c>
      <c r="Z332">
        <v>-2.0843440000000001E-2</v>
      </c>
      <c r="AA332">
        <v>0.9856608</v>
      </c>
      <c r="AB332">
        <v>33</v>
      </c>
      <c r="AC332">
        <v>0.599899999999991</v>
      </c>
      <c r="AD332">
        <v>-0.20903269999999899</v>
      </c>
      <c r="AE332">
        <v>-0.15590000000003101</v>
      </c>
      <c r="AF332">
        <v>0.145582722541856</v>
      </c>
      <c r="AG332">
        <v>-0.20903269999999899</v>
      </c>
      <c r="AH332">
        <v>0.53715144173782603</v>
      </c>
      <c r="AI332">
        <v>110.58617036246299</v>
      </c>
      <c r="AJ332">
        <v>74.835576709619602</v>
      </c>
      <c r="AK332">
        <v>0.59449194286635598</v>
      </c>
      <c r="AL332">
        <v>89.379145693069503</v>
      </c>
      <c r="AM332">
        <v>87.780869991682806</v>
      </c>
      <c r="AN332">
        <v>1.0000000206103901</v>
      </c>
    </row>
    <row r="333" spans="1:40" x14ac:dyDescent="0.25">
      <c r="A333" t="str">
        <f>"20190312160913412"</f>
        <v>20190312160913412</v>
      </c>
      <c r="B333" t="str">
        <f>"1552378153405732"</f>
        <v>1552378153405732</v>
      </c>
      <c r="C333" t="s">
        <v>40</v>
      </c>
      <c r="D333">
        <v>4.7716479999999999</v>
      </c>
      <c r="E333">
        <v>0.55047699999999999</v>
      </c>
      <c r="F333" t="s">
        <v>42</v>
      </c>
      <c r="G333">
        <v>-429.16969999999998</v>
      </c>
      <c r="H333">
        <v>0.86341229999999902</v>
      </c>
      <c r="I333">
        <v>367.01400000000001</v>
      </c>
      <c r="J333">
        <v>-429.72989999999999</v>
      </c>
      <c r="K333">
        <v>1.0600609999999999</v>
      </c>
      <c r="L333">
        <v>367.16340000000002</v>
      </c>
      <c r="M333">
        <v>0.99991609999999997</v>
      </c>
      <c r="N333">
        <v>0</v>
      </c>
      <c r="O333">
        <v>1.104105E-2</v>
      </c>
      <c r="P333">
        <v>0.99960749999999998</v>
      </c>
      <c r="Q333">
        <v>4.3236259999999997E-3</v>
      </c>
      <c r="R333">
        <v>-2.7685439999999999E-2</v>
      </c>
      <c r="S333">
        <v>2.9894099999999999</v>
      </c>
      <c r="T333">
        <v>-0.65142580000000005</v>
      </c>
      <c r="U333">
        <v>-0.47909550000000001</v>
      </c>
      <c r="V333">
        <v>3.8708359999999997E-2</v>
      </c>
      <c r="W333">
        <v>1.115472E-2</v>
      </c>
      <c r="X333">
        <v>0.99918830000000003</v>
      </c>
      <c r="Y333">
        <v>0.16510429999999901</v>
      </c>
      <c r="Z333">
        <v>-2.0035509999999999E-2</v>
      </c>
      <c r="AA333">
        <v>0.98607259999999997</v>
      </c>
      <c r="AB333">
        <v>33</v>
      </c>
      <c r="AC333">
        <v>0.56020000000000802</v>
      </c>
      <c r="AD333">
        <v>-0.19664870000000001</v>
      </c>
      <c r="AE333">
        <v>-0.14940000000001399</v>
      </c>
      <c r="AF333">
        <v>0.13952500128307199</v>
      </c>
      <c r="AG333">
        <v>-0.19664870000000001</v>
      </c>
      <c r="AH333">
        <v>0.50089261238250005</v>
      </c>
      <c r="AI333">
        <v>110.716523110791</v>
      </c>
      <c r="AJ333">
        <v>74.434676731212704</v>
      </c>
      <c r="AK333">
        <v>0.55590587902458499</v>
      </c>
      <c r="AL333">
        <v>89.360868375190407</v>
      </c>
      <c r="AM333">
        <v>87.781482055050404</v>
      </c>
      <c r="AN333">
        <v>1.00000001188452</v>
      </c>
    </row>
    <row r="334" spans="1:40" x14ac:dyDescent="0.25">
      <c r="A334" t="str">
        <f>"20190312160913434"</f>
        <v>20190312160913434</v>
      </c>
      <c r="B334" t="str">
        <f>"1552378153425253"</f>
        <v>1552378153425253</v>
      </c>
      <c r="C334" t="s">
        <v>40</v>
      </c>
      <c r="D334">
        <v>4.7375360000000004</v>
      </c>
      <c r="E334">
        <v>0.55116189999999998</v>
      </c>
      <c r="F334" t="s">
        <v>42</v>
      </c>
      <c r="G334">
        <v>-428.86500000000001</v>
      </c>
      <c r="H334">
        <v>0.87123050000000002</v>
      </c>
      <c r="I334">
        <v>367.0231</v>
      </c>
      <c r="J334">
        <v>-429.38830000000002</v>
      </c>
      <c r="K334">
        <v>1.0598749999999999</v>
      </c>
      <c r="L334">
        <v>367.16759999999999</v>
      </c>
      <c r="M334">
        <v>0.99991540000000001</v>
      </c>
      <c r="N334">
        <v>0</v>
      </c>
      <c r="O334">
        <v>1.1634230000000001E-2</v>
      </c>
      <c r="P334">
        <v>0.99960499999999997</v>
      </c>
      <c r="Q334">
        <v>5.6376580000000003E-3</v>
      </c>
      <c r="R334">
        <v>-2.7540769999999999E-2</v>
      </c>
      <c r="S334">
        <v>2.9905400000000002</v>
      </c>
      <c r="T334">
        <v>-0.65279719999999997</v>
      </c>
      <c r="U334">
        <v>-0.4856567</v>
      </c>
      <c r="V334">
        <v>3.9155179999999998E-2</v>
      </c>
      <c r="W334">
        <v>1.1530449999999999E-2</v>
      </c>
      <c r="X334">
        <v>0.99916660000000002</v>
      </c>
      <c r="Y334">
        <v>0.16765429999999901</v>
      </c>
      <c r="Z334">
        <v>-2.046663E-2</v>
      </c>
      <c r="AA334">
        <v>0.98563339999999999</v>
      </c>
      <c r="AB334">
        <v>34</v>
      </c>
      <c r="AC334">
        <v>0.52330000000000598</v>
      </c>
      <c r="AD334">
        <v>-0.18864449999999899</v>
      </c>
      <c r="AE334">
        <v>-0.144499999999993</v>
      </c>
      <c r="AF334">
        <v>0.13435556910451299</v>
      </c>
      <c r="AG334">
        <v>-0.18864449999999899</v>
      </c>
      <c r="AH334">
        <v>0.465389337156911</v>
      </c>
      <c r="AI334">
        <v>111.278098692829</v>
      </c>
      <c r="AJ334">
        <v>73.896836238649698</v>
      </c>
      <c r="AK334">
        <v>0.51983208968761796</v>
      </c>
      <c r="AL334">
        <v>89.339339230675606</v>
      </c>
      <c r="AM334">
        <v>87.755850508886397</v>
      </c>
      <c r="AN334">
        <v>0.99999998697679704</v>
      </c>
    </row>
    <row r="335" spans="1:40" x14ac:dyDescent="0.25">
      <c r="A335" t="str">
        <f>"20190312160913456"</f>
        <v>20190312160913456</v>
      </c>
      <c r="B335" t="str">
        <f>"1552378153445748"</f>
        <v>1552378153445748</v>
      </c>
      <c r="C335" t="s">
        <v>40</v>
      </c>
      <c r="D335">
        <v>4.7750380000000003</v>
      </c>
      <c r="E335">
        <v>0.55137740000000002</v>
      </c>
      <c r="F335" t="s">
        <v>42</v>
      </c>
      <c r="G335">
        <v>-428.55959999999999</v>
      </c>
      <c r="H335">
        <v>0.87862659999999904</v>
      </c>
      <c r="I335">
        <v>367.03129999999999</v>
      </c>
      <c r="J335">
        <v>-429.05380000000002</v>
      </c>
      <c r="K335">
        <v>1.059922</v>
      </c>
      <c r="L335">
        <v>367.1721</v>
      </c>
      <c r="M335">
        <v>0.99991010000000002</v>
      </c>
      <c r="N335">
        <v>0</v>
      </c>
      <c r="O335">
        <v>1.2183650000000001E-2</v>
      </c>
      <c r="P335">
        <v>0.99960970000000005</v>
      </c>
      <c r="Q335">
        <v>5.4217049999999998E-3</v>
      </c>
      <c r="R335">
        <v>-2.7408109999999999E-2</v>
      </c>
      <c r="S335">
        <v>2.9913639999999999</v>
      </c>
      <c r="T335">
        <v>-0.65436549999999905</v>
      </c>
      <c r="U335">
        <v>-0.49066159999999998</v>
      </c>
      <c r="V335">
        <v>3.9570830000000001E-2</v>
      </c>
      <c r="W335">
        <v>1.110847E-2</v>
      </c>
      <c r="X335">
        <v>0.99915500000000002</v>
      </c>
      <c r="Y335">
        <v>0.169683</v>
      </c>
      <c r="Z335">
        <v>-2.084254E-2</v>
      </c>
      <c r="AA335">
        <v>0.98527819999999999</v>
      </c>
      <c r="AB335">
        <v>34</v>
      </c>
      <c r="AC335">
        <v>0.494200000000034</v>
      </c>
      <c r="AD335">
        <v>-0.1812954</v>
      </c>
      <c r="AE335">
        <v>-0.140800000000012</v>
      </c>
      <c r="AF335">
        <v>0.13055969753243901</v>
      </c>
      <c r="AG335">
        <v>-0.1812954</v>
      </c>
      <c r="AH335">
        <v>0.43793670962471198</v>
      </c>
      <c r="AI335">
        <v>111.639293422893</v>
      </c>
      <c r="AJ335">
        <v>73.399387921602298</v>
      </c>
      <c r="AK335">
        <v>0.49163240161511002</v>
      </c>
      <c r="AL335">
        <v>89.363518449726598</v>
      </c>
      <c r="AM335">
        <v>87.732026286693596</v>
      </c>
      <c r="AN335">
        <v>0.99999998135881396</v>
      </c>
    </row>
    <row r="336" spans="1:40" x14ac:dyDescent="0.25">
      <c r="A336" t="str">
        <f>"20190312160913477"</f>
        <v>20190312160913477</v>
      </c>
      <c r="B336" t="str">
        <f>"1552378153465271"</f>
        <v>1552378153465271</v>
      </c>
      <c r="C336" t="s">
        <v>40</v>
      </c>
      <c r="D336">
        <v>4.9905540000000004</v>
      </c>
      <c r="E336">
        <v>0.55084239999999995</v>
      </c>
      <c r="F336" t="s">
        <v>42</v>
      </c>
      <c r="G336">
        <v>-428.25510000000003</v>
      </c>
      <c r="H336">
        <v>0.88521119999999898</v>
      </c>
      <c r="I336">
        <v>367.04050000000001</v>
      </c>
      <c r="J336">
        <v>-428.72239999999999</v>
      </c>
      <c r="K336">
        <v>1.0600989999999999</v>
      </c>
      <c r="L336">
        <v>367.17669999999998</v>
      </c>
      <c r="M336">
        <v>0.99990080000000003</v>
      </c>
      <c r="N336">
        <v>0</v>
      </c>
      <c r="O336">
        <v>1.2733660000000001E-2</v>
      </c>
      <c r="P336">
        <v>0.99961699999999998</v>
      </c>
      <c r="Q336">
        <v>4.9058649999999997E-3</v>
      </c>
      <c r="R336">
        <v>-2.7239949999999999E-2</v>
      </c>
      <c r="S336">
        <v>2.9912719999999999</v>
      </c>
      <c r="T336">
        <v>-0.65453709999999998</v>
      </c>
      <c r="U336">
        <v>-0.49157709999999999</v>
      </c>
      <c r="V336">
        <v>3.9951300000000002E-2</v>
      </c>
      <c r="W336">
        <v>1.098069E-2</v>
      </c>
      <c r="X336">
        <v>0.99914130000000001</v>
      </c>
      <c r="Y336">
        <v>0.17048959999999999</v>
      </c>
      <c r="Z336">
        <v>-2.1052899999999999E-2</v>
      </c>
      <c r="AA336">
        <v>0.98513450000000002</v>
      </c>
      <c r="AB336">
        <v>34</v>
      </c>
      <c r="AC336">
        <v>0.46729999999996602</v>
      </c>
      <c r="AD336">
        <v>-0.17488780000000001</v>
      </c>
      <c r="AE336">
        <v>-0.13619999999997301</v>
      </c>
      <c r="AF336">
        <v>0.125887715946539</v>
      </c>
      <c r="AG336">
        <v>-0.17488780000000001</v>
      </c>
      <c r="AH336">
        <v>0.41230076203064298</v>
      </c>
      <c r="AI336">
        <v>112.081720553197</v>
      </c>
      <c r="AJ336">
        <v>73.021006910906294</v>
      </c>
      <c r="AK336">
        <v>0.46521541030594099</v>
      </c>
      <c r="AL336">
        <v>89.370840168945904</v>
      </c>
      <c r="AM336">
        <v>87.710211658862306</v>
      </c>
      <c r="AN336">
        <v>1.00000000964512</v>
      </c>
    </row>
    <row r="337" spans="1:40" x14ac:dyDescent="0.25">
      <c r="A337" t="str">
        <f>"20190312160913500"</f>
        <v>20190312160913500</v>
      </c>
      <c r="B337" t="str">
        <f>"1552378153495523"</f>
        <v>1552378153495523</v>
      </c>
      <c r="C337" t="s">
        <v>40</v>
      </c>
      <c r="D337">
        <v>4.9432299999999998</v>
      </c>
      <c r="E337">
        <v>0.54966990000000004</v>
      </c>
      <c r="F337" t="s">
        <v>42</v>
      </c>
      <c r="G337">
        <v>-427.95100000000002</v>
      </c>
      <c r="H337">
        <v>0.89210739999999999</v>
      </c>
      <c r="I337">
        <v>367.05130000000003</v>
      </c>
      <c r="J337">
        <v>-428.39749999999998</v>
      </c>
      <c r="K337">
        <v>1.060281</v>
      </c>
      <c r="L337">
        <v>367.18150000000003</v>
      </c>
      <c r="M337">
        <v>0.99988929999999998</v>
      </c>
      <c r="N337">
        <v>0</v>
      </c>
      <c r="O337">
        <v>1.331978E-2</v>
      </c>
      <c r="P337">
        <v>0.99961889999999998</v>
      </c>
      <c r="Q337">
        <v>5.0668309999999999E-3</v>
      </c>
      <c r="R337">
        <v>-2.7142489999999998E-2</v>
      </c>
      <c r="S337">
        <v>2.9911189999999999</v>
      </c>
      <c r="T337">
        <v>-0.6514394</v>
      </c>
      <c r="U337">
        <v>-0.48510740000000002</v>
      </c>
      <c r="V337">
        <v>4.0438000000000002E-2</v>
      </c>
      <c r="W337">
        <v>1.1767420000000001E-2</v>
      </c>
      <c r="X337">
        <v>0.99911269999999996</v>
      </c>
      <c r="Y337">
        <v>0.1690557</v>
      </c>
      <c r="Z337">
        <v>-2.0932119999999999E-2</v>
      </c>
      <c r="AA337">
        <v>0.98538419999999904</v>
      </c>
      <c r="AB337">
        <v>34</v>
      </c>
      <c r="AC337">
        <v>0.446500000000014</v>
      </c>
      <c r="AD337">
        <v>-0.16817359999999901</v>
      </c>
      <c r="AE337">
        <v>-0.13020000000000201</v>
      </c>
      <c r="AF337">
        <v>0.120394667290403</v>
      </c>
      <c r="AG337">
        <v>-0.16817359999999901</v>
      </c>
      <c r="AH337">
        <v>0.393303072078514</v>
      </c>
      <c r="AI337">
        <v>112.237961314632</v>
      </c>
      <c r="AJ337">
        <v>72.9800381210121</v>
      </c>
      <c r="AK337">
        <v>0.44436982588304103</v>
      </c>
      <c r="AL337">
        <v>89.325760900433295</v>
      </c>
      <c r="AM337">
        <v>87.682280661902396</v>
      </c>
      <c r="AN337">
        <v>0.999999945659371</v>
      </c>
    </row>
    <row r="338" spans="1:40" x14ac:dyDescent="0.25">
      <c r="A338" t="str">
        <f>"20190312160913522"</f>
        <v>20190312160913522</v>
      </c>
      <c r="B338" t="str">
        <f>"1552378153515045"</f>
        <v>1552378153515045</v>
      </c>
      <c r="C338" t="s">
        <v>40</v>
      </c>
      <c r="D338">
        <v>5.0411970000000004</v>
      </c>
      <c r="E338">
        <v>0.54901650000000002</v>
      </c>
      <c r="F338" t="s">
        <v>42</v>
      </c>
      <c r="G338">
        <v>-427.64679999999998</v>
      </c>
      <c r="H338">
        <v>0.89919850000000001</v>
      </c>
      <c r="I338">
        <v>367.06200000000001</v>
      </c>
      <c r="J338">
        <v>-428.053</v>
      </c>
      <c r="K338">
        <v>1.060443</v>
      </c>
      <c r="L338">
        <v>367.18669999999997</v>
      </c>
      <c r="M338">
        <v>0.99987490000000001</v>
      </c>
      <c r="N338">
        <v>0</v>
      </c>
      <c r="O338">
        <v>1.399749E-2</v>
      </c>
      <c r="P338">
        <v>0.99963900000000006</v>
      </c>
      <c r="Q338">
        <v>4.6254299999999998E-3</v>
      </c>
      <c r="R338">
        <v>-2.6471560000000002E-2</v>
      </c>
      <c r="S338">
        <v>2.9914860000000001</v>
      </c>
      <c r="T338">
        <v>-0.641876</v>
      </c>
      <c r="U338">
        <v>-0.47552489999999997</v>
      </c>
      <c r="V338">
        <v>4.0444199999999902E-2</v>
      </c>
      <c r="W338">
        <v>1.2047779999999999E-2</v>
      </c>
      <c r="X338">
        <v>0.99910909999999997</v>
      </c>
      <c r="Y338">
        <v>0.16678080000000001</v>
      </c>
      <c r="Z338">
        <v>-2.0537300000000001E-2</v>
      </c>
      <c r="AA338">
        <v>0.98578010000000005</v>
      </c>
      <c r="AB338">
        <v>34</v>
      </c>
      <c r="AC338">
        <v>0.40620000000006901</v>
      </c>
      <c r="AD338">
        <v>-0.16124449999999901</v>
      </c>
      <c r="AE338">
        <v>-0.124700000000018</v>
      </c>
      <c r="AF338">
        <v>0.11396259786044401</v>
      </c>
      <c r="AG338">
        <v>-0.16124449999999901</v>
      </c>
      <c r="AH338">
        <v>0.35350795536226998</v>
      </c>
      <c r="AI338">
        <v>113.46691064149201</v>
      </c>
      <c r="AJ338">
        <v>72.131907011449499</v>
      </c>
      <c r="AK338">
        <v>0.40491374019137</v>
      </c>
      <c r="AL338">
        <v>89.309696310535799</v>
      </c>
      <c r="AM338">
        <v>87.681917350768501</v>
      </c>
      <c r="AN338">
        <v>0.99999993800968701</v>
      </c>
    </row>
    <row r="339" spans="1:40" x14ac:dyDescent="0.25">
      <c r="A339" t="str">
        <f>"20190312160913545"</f>
        <v>20190312160913545</v>
      </c>
      <c r="B339" t="str">
        <f>"1552378153535540"</f>
        <v>1552378153535540</v>
      </c>
      <c r="C339" t="s">
        <v>40</v>
      </c>
      <c r="D339">
        <v>4.8767250000000004</v>
      </c>
      <c r="E339">
        <v>0.54922569999999904</v>
      </c>
      <c r="F339" t="s">
        <v>42</v>
      </c>
      <c r="G339">
        <v>-427.34160000000003</v>
      </c>
      <c r="H339">
        <v>0.90915179999999995</v>
      </c>
      <c r="I339">
        <v>367.07510000000002</v>
      </c>
      <c r="J339">
        <v>-427.72460000000001</v>
      </c>
      <c r="K339">
        <v>1.0605450000000001</v>
      </c>
      <c r="L339">
        <v>367.19200000000001</v>
      </c>
      <c r="M339">
        <v>0.99985979999999997</v>
      </c>
      <c r="N339">
        <v>0</v>
      </c>
      <c r="O339">
        <v>1.4673810000000001E-2</v>
      </c>
      <c r="P339">
        <v>0.99964710000000001</v>
      </c>
      <c r="Q339">
        <v>3.8712830000000001E-3</v>
      </c>
      <c r="R339">
        <v>-2.6277350000000001E-2</v>
      </c>
      <c r="S339">
        <v>2.9916079999999998</v>
      </c>
      <c r="T339">
        <v>-0.63626110000000002</v>
      </c>
      <c r="U339">
        <v>-0.46881099999999998</v>
      </c>
      <c r="V339">
        <v>4.0926369999999997E-2</v>
      </c>
      <c r="W339">
        <v>1.198627E-2</v>
      </c>
      <c r="X339">
        <v>0.99909029999999999</v>
      </c>
      <c r="Y339">
        <v>0.16536629999999899</v>
      </c>
      <c r="Z339">
        <v>-2.0357759999999999E-2</v>
      </c>
      <c r="AA339">
        <v>0.98602210000000001</v>
      </c>
      <c r="AB339">
        <v>34</v>
      </c>
      <c r="AC339">
        <v>0.38299999999998102</v>
      </c>
      <c r="AD339">
        <v>-0.15139320000000001</v>
      </c>
      <c r="AE339">
        <v>-0.11689999999993</v>
      </c>
      <c r="AF339">
        <v>0.107187130092556</v>
      </c>
      <c r="AG339">
        <v>-0.15139320000000001</v>
      </c>
      <c r="AH339">
        <v>0.33356589676642801</v>
      </c>
      <c r="AI339">
        <v>113.36926870382101</v>
      </c>
      <c r="AJ339">
        <v>72.185856361910893</v>
      </c>
      <c r="AK339">
        <v>0.381674192668708</v>
      </c>
      <c r="AL339">
        <v>89.3132208938828</v>
      </c>
      <c r="AM339">
        <v>87.654268097436898</v>
      </c>
      <c r="AN339">
        <v>1.00000003299198</v>
      </c>
    </row>
    <row r="340" spans="1:40" x14ac:dyDescent="0.25">
      <c r="A340" t="str">
        <f>"20190312160913570"</f>
        <v>20190312160913570</v>
      </c>
      <c r="B340" t="str">
        <f>"1552378153555060"</f>
        <v>1552378153555060</v>
      </c>
      <c r="C340" t="s">
        <v>40</v>
      </c>
      <c r="D340">
        <v>4.9004649999999996</v>
      </c>
      <c r="E340">
        <v>0.5493133</v>
      </c>
      <c r="F340" t="s">
        <v>42</v>
      </c>
      <c r="G340">
        <v>-426.76190000000003</v>
      </c>
      <c r="H340">
        <v>0.85503719999999905</v>
      </c>
      <c r="I340">
        <v>367.04039999999998</v>
      </c>
      <c r="J340">
        <v>-427.3449</v>
      </c>
      <c r="K340">
        <v>1.0606450000000001</v>
      </c>
      <c r="L340">
        <v>367.19839999999999</v>
      </c>
      <c r="M340">
        <v>0.99984150000000005</v>
      </c>
      <c r="N340">
        <v>0</v>
      </c>
      <c r="O340">
        <v>1.5454890000000001E-2</v>
      </c>
      <c r="P340">
        <v>0.99964900000000001</v>
      </c>
      <c r="Q340">
        <v>2.3001060000000001E-3</v>
      </c>
      <c r="R340">
        <v>-2.6397710000000001E-2</v>
      </c>
      <c r="S340">
        <v>2.9911799999999999</v>
      </c>
      <c r="T340">
        <v>-0.63874750000000002</v>
      </c>
      <c r="U340">
        <v>-0.46948240000000002</v>
      </c>
      <c r="V340">
        <v>4.1828129999999998E-2</v>
      </c>
      <c r="W340">
        <v>1.1199539999999999E-2</v>
      </c>
      <c r="X340">
        <v>0.99906209999999995</v>
      </c>
      <c r="Y340">
        <v>0.16630429999999999</v>
      </c>
      <c r="Z340">
        <v>-2.0700610000000001E-2</v>
      </c>
      <c r="AA340">
        <v>0.98585719999999999</v>
      </c>
      <c r="AB340">
        <v>34</v>
      </c>
      <c r="AC340">
        <v>0.58299999999996999</v>
      </c>
      <c r="AD340">
        <v>-0.20560780000000001</v>
      </c>
      <c r="AE340">
        <v>-0.15800000000001499</v>
      </c>
      <c r="AF340">
        <v>0.149651904192657</v>
      </c>
      <c r="AG340">
        <v>-0.20560780000000001</v>
      </c>
      <c r="AH340">
        <v>0.52021270456577196</v>
      </c>
      <c r="AI340">
        <v>110.798452282124</v>
      </c>
      <c r="AJ340">
        <v>73.950824914878098</v>
      </c>
      <c r="AK340">
        <v>0.579043623435198</v>
      </c>
      <c r="AL340">
        <v>89.358300243001295</v>
      </c>
      <c r="AM340">
        <v>87.602574972401499</v>
      </c>
      <c r="AN340">
        <v>1.0000000509059499</v>
      </c>
    </row>
    <row r="341" spans="1:40" x14ac:dyDescent="0.25">
      <c r="A341" t="str">
        <f>"20190312160913613"</f>
        <v>20190312160913613</v>
      </c>
      <c r="B341" t="str">
        <f>"1552378153604836"</f>
        <v>1552378153604836</v>
      </c>
      <c r="C341" t="s">
        <v>40</v>
      </c>
      <c r="D341">
        <v>5.0529989999999998</v>
      </c>
      <c r="E341">
        <v>0.54857959999999995</v>
      </c>
      <c r="F341" t="s">
        <v>42</v>
      </c>
      <c r="G341">
        <v>-426.45679999999999</v>
      </c>
      <c r="H341">
        <v>0.86923059999999996</v>
      </c>
      <c r="I341">
        <v>367.05880000000002</v>
      </c>
      <c r="J341">
        <v>-426.69929999999999</v>
      </c>
      <c r="K341">
        <v>1.060746</v>
      </c>
      <c r="L341">
        <v>367.2099</v>
      </c>
      <c r="M341">
        <v>0.99980899999999995</v>
      </c>
      <c r="N341">
        <v>0</v>
      </c>
      <c r="O341">
        <v>1.6757979999999999E-2</v>
      </c>
      <c r="P341">
        <v>0.99968800000000002</v>
      </c>
      <c r="Q341">
        <v>2.1976169999999998E-3</v>
      </c>
      <c r="R341">
        <v>-2.489154E-2</v>
      </c>
      <c r="S341">
        <v>2.9901430000000002</v>
      </c>
      <c r="T341">
        <v>-0.64456199999999997</v>
      </c>
      <c r="U341">
        <v>-0.46960449999999998</v>
      </c>
      <c r="V341">
        <v>4.1623399999999998E-2</v>
      </c>
      <c r="W341">
        <v>1.231955E-2</v>
      </c>
      <c r="X341">
        <v>0.99905739999999998</v>
      </c>
      <c r="Y341">
        <v>0.1675478</v>
      </c>
      <c r="Z341">
        <v>-2.129984E-2</v>
      </c>
      <c r="AA341">
        <v>0.98563389999999995</v>
      </c>
      <c r="AB341">
        <v>34</v>
      </c>
      <c r="AC341">
        <v>0.24250000000000599</v>
      </c>
      <c r="AD341">
        <v>-0.191515399999999</v>
      </c>
      <c r="AE341">
        <v>-0.151099999999985</v>
      </c>
      <c r="AF341">
        <v>0.107048122516825</v>
      </c>
      <c r="AG341">
        <v>-0.191515399999999</v>
      </c>
      <c r="AH341">
        <v>0.16555361415908501</v>
      </c>
      <c r="AI341">
        <v>134.16972701996499</v>
      </c>
      <c r="AJ341">
        <v>57.113009224313402</v>
      </c>
      <c r="AK341">
        <v>0.27485532218363901</v>
      </c>
      <c r="AL341">
        <v>89.294123911877193</v>
      </c>
      <c r="AM341">
        <v>87.614284494339401</v>
      </c>
      <c r="AN341">
        <v>0.99999998361726095</v>
      </c>
    </row>
    <row r="342" spans="1:40" x14ac:dyDescent="0.25">
      <c r="A342" t="str">
        <f>"20190312160913636"</f>
        <v>20190312160913636</v>
      </c>
      <c r="B342" t="str">
        <f>"1552378153625333"</f>
        <v>1552378153625333</v>
      </c>
      <c r="C342" t="s">
        <v>40</v>
      </c>
      <c r="D342">
        <v>5.0909250000000004</v>
      </c>
      <c r="E342">
        <v>0.54787580000000002</v>
      </c>
      <c r="F342" t="s">
        <v>42</v>
      </c>
      <c r="G342">
        <v>-425.85419999999999</v>
      </c>
      <c r="H342">
        <v>0.87987719999999903</v>
      </c>
      <c r="I342">
        <v>367.07990000000001</v>
      </c>
      <c r="J342">
        <v>-426.35770000000002</v>
      </c>
      <c r="K342">
        <v>1.060759</v>
      </c>
      <c r="L342">
        <v>367.21640000000002</v>
      </c>
      <c r="M342">
        <v>0.99979130000000005</v>
      </c>
      <c r="N342">
        <v>0</v>
      </c>
      <c r="O342">
        <v>1.744217E-2</v>
      </c>
      <c r="P342">
        <v>0.99971370000000004</v>
      </c>
      <c r="Q342">
        <v>1.1638690000000001E-3</v>
      </c>
      <c r="R342">
        <v>-2.3896959999999998E-2</v>
      </c>
      <c r="S342">
        <v>2.9909669999999999</v>
      </c>
      <c r="T342">
        <v>-0.64016700000000004</v>
      </c>
      <c r="U342">
        <v>-0.45959470000000002</v>
      </c>
      <c r="V342">
        <v>4.1314099999999999E-2</v>
      </c>
      <c r="W342">
        <v>1.1851810000000001E-2</v>
      </c>
      <c r="X342">
        <v>0.99907590000000002</v>
      </c>
      <c r="Y342">
        <v>0.16505429999999999</v>
      </c>
      <c r="Z342">
        <v>-2.1039059999999998E-2</v>
      </c>
      <c r="AA342">
        <v>0.98606009999999999</v>
      </c>
      <c r="AB342">
        <v>33</v>
      </c>
      <c r="AC342">
        <v>0.50350000000003003</v>
      </c>
      <c r="AD342">
        <v>-0.18088180000000001</v>
      </c>
      <c r="AE342">
        <v>-0.136500000000012</v>
      </c>
      <c r="AF342">
        <v>0.129672188282874</v>
      </c>
      <c r="AG342">
        <v>-0.18088180000000001</v>
      </c>
      <c r="AH342">
        <v>0.44726994585445301</v>
      </c>
      <c r="AI342">
        <v>111.227088775769</v>
      </c>
      <c r="AJ342">
        <v>73.832106309957098</v>
      </c>
      <c r="AK342">
        <v>0.49958333283843098</v>
      </c>
      <c r="AL342">
        <v>89.3209254002752</v>
      </c>
      <c r="AM342">
        <v>87.6320360888501</v>
      </c>
      <c r="AN342">
        <v>0.99999998710994797</v>
      </c>
    </row>
    <row r="343" spans="1:40" x14ac:dyDescent="0.25">
      <c r="A343" t="str">
        <f>"20190312160913657"</f>
        <v>20190312160913657</v>
      </c>
      <c r="B343" t="str">
        <f>"1552378153644852"</f>
        <v>1552378153644852</v>
      </c>
      <c r="C343" t="s">
        <v>40</v>
      </c>
      <c r="D343">
        <v>5.2288750000000004</v>
      </c>
      <c r="E343">
        <v>0.54804869999999895</v>
      </c>
      <c r="F343" t="s">
        <v>42</v>
      </c>
      <c r="G343">
        <v>-425.55189999999999</v>
      </c>
      <c r="H343">
        <v>0.88889269999999998</v>
      </c>
      <c r="I343">
        <v>367.09449999999998</v>
      </c>
      <c r="J343">
        <v>-426.03769999999997</v>
      </c>
      <c r="K343">
        <v>1.060759</v>
      </c>
      <c r="L343">
        <v>367.2226</v>
      </c>
      <c r="M343">
        <v>0.99977490000000002</v>
      </c>
      <c r="N343">
        <v>0</v>
      </c>
      <c r="O343">
        <v>1.8081119999999999E-2</v>
      </c>
      <c r="P343">
        <v>0.99972490000000003</v>
      </c>
      <c r="Q343">
        <v>-3.0974319999999998E-4</v>
      </c>
      <c r="R343">
        <v>-2.3462839999999999E-2</v>
      </c>
      <c r="S343">
        <v>2.990875</v>
      </c>
      <c r="T343">
        <v>-0.63806799999999997</v>
      </c>
      <c r="U343">
        <v>-0.4512024</v>
      </c>
      <c r="V343">
        <v>4.1520189999999998E-2</v>
      </c>
      <c r="W343">
        <v>1.0854809999999999E-2</v>
      </c>
      <c r="X343">
        <v>0.99907869999999999</v>
      </c>
      <c r="Y343">
        <v>0.1630384</v>
      </c>
      <c r="Z343">
        <v>-2.0899109999999999E-2</v>
      </c>
      <c r="AA343">
        <v>0.98639829999999995</v>
      </c>
      <c r="AB343">
        <v>33</v>
      </c>
      <c r="AC343">
        <v>0.48579999999998302</v>
      </c>
      <c r="AD343">
        <v>-0.1718663</v>
      </c>
      <c r="AE343">
        <v>-0.12810000000001701</v>
      </c>
      <c r="AF343">
        <v>0.122525100369668</v>
      </c>
      <c r="AG343">
        <v>-0.1718663</v>
      </c>
      <c r="AH343">
        <v>0.43276106379589702</v>
      </c>
      <c r="AI343">
        <v>110.912807309721</v>
      </c>
      <c r="AJ343">
        <v>74.191902304999402</v>
      </c>
      <c r="AK343">
        <v>0.48148994136331003</v>
      </c>
      <c r="AL343">
        <v>89.378052986076298</v>
      </c>
      <c r="AM343">
        <v>87.6202440183242</v>
      </c>
      <c r="AN343">
        <v>1.0000000009357299</v>
      </c>
    </row>
    <row r="344" spans="1:40" x14ac:dyDescent="0.25">
      <c r="A344" t="str">
        <f>"20190312160913679"</f>
        <v>20190312160913679</v>
      </c>
      <c r="B344" t="str">
        <f>"1552378153665348"</f>
        <v>1552378153665348</v>
      </c>
      <c r="C344" t="s">
        <v>40</v>
      </c>
      <c r="D344">
        <v>5.1677790000000003</v>
      </c>
      <c r="E344">
        <v>0.54805419999999905</v>
      </c>
      <c r="F344" t="s">
        <v>42</v>
      </c>
      <c r="G344">
        <v>-425.2525</v>
      </c>
      <c r="H344">
        <v>0.89125599999999905</v>
      </c>
      <c r="I344">
        <v>367.10410000000002</v>
      </c>
      <c r="J344">
        <v>-425.71210000000002</v>
      </c>
      <c r="K344">
        <v>1.060751</v>
      </c>
      <c r="L344">
        <v>367.22919999999999</v>
      </c>
      <c r="M344">
        <v>0.99975800000000004</v>
      </c>
      <c r="N344">
        <v>0</v>
      </c>
      <c r="O344">
        <v>1.8724859999999999E-2</v>
      </c>
      <c r="P344">
        <v>0.99973900000000004</v>
      </c>
      <c r="Q344">
        <v>-5.3601009999999999E-4</v>
      </c>
      <c r="R344">
        <v>-2.2844280000000002E-2</v>
      </c>
      <c r="S344">
        <v>2.9900509999999998</v>
      </c>
      <c r="T344">
        <v>-0.64571769999999995</v>
      </c>
      <c r="U344">
        <v>-0.45019530000000002</v>
      </c>
      <c r="V344">
        <v>4.1545539999999999E-2</v>
      </c>
      <c r="W344">
        <v>1.1060789999999999E-2</v>
      </c>
      <c r="X344">
        <v>0.99907539999999995</v>
      </c>
      <c r="Y344">
        <v>0.1632711</v>
      </c>
      <c r="Z344">
        <v>-2.1311790000000001E-2</v>
      </c>
      <c r="AA344">
        <v>0.98635099999999998</v>
      </c>
      <c r="AB344">
        <v>33</v>
      </c>
      <c r="AC344">
        <v>0.45960000000002299</v>
      </c>
      <c r="AD344">
        <v>-0.16949500000000001</v>
      </c>
      <c r="AE344">
        <v>-0.12509999999997401</v>
      </c>
      <c r="AF344">
        <v>0.11865952939794799</v>
      </c>
      <c r="AG344">
        <v>-0.16949500000000001</v>
      </c>
      <c r="AH344">
        <v>0.40579384307661098</v>
      </c>
      <c r="AI344">
        <v>111.84581997567901</v>
      </c>
      <c r="AJ344">
        <v>73.700376496632103</v>
      </c>
      <c r="AK344">
        <v>0.45549674205292401</v>
      </c>
      <c r="AL344">
        <v>89.366250501032198</v>
      </c>
      <c r="AM344">
        <v>87.618784882782094</v>
      </c>
      <c r="AN344">
        <v>1.00000001392723</v>
      </c>
    </row>
    <row r="345" spans="1:40" x14ac:dyDescent="0.25">
      <c r="A345" t="str">
        <f>"20190312160913701"</f>
        <v>20190312160913701</v>
      </c>
      <c r="B345" t="str">
        <f>"1552378153695606"</f>
        <v>1552378153695606</v>
      </c>
      <c r="C345" t="s">
        <v>40</v>
      </c>
      <c r="D345">
        <v>5.2388349999999999</v>
      </c>
      <c r="E345">
        <v>0.54829759999999905</v>
      </c>
      <c r="F345" t="s">
        <v>42</v>
      </c>
      <c r="G345">
        <v>-424.95269999999999</v>
      </c>
      <c r="H345">
        <v>0.89561769999999996</v>
      </c>
      <c r="I345">
        <v>367.11500000000001</v>
      </c>
      <c r="J345">
        <v>-425.37990000000002</v>
      </c>
      <c r="K345">
        <v>1.0607310000000001</v>
      </c>
      <c r="L345">
        <v>367.23610000000002</v>
      </c>
      <c r="M345">
        <v>0.99974130000000005</v>
      </c>
      <c r="N345">
        <v>0</v>
      </c>
      <c r="O345">
        <v>1.93674E-2</v>
      </c>
      <c r="P345">
        <v>0.99976339999999997</v>
      </c>
      <c r="Q345">
        <v>-2.8889040000000001E-4</v>
      </c>
      <c r="R345">
        <v>-2.17567E-2</v>
      </c>
      <c r="S345">
        <v>2.990173</v>
      </c>
      <c r="T345">
        <v>-0.65040710000000002</v>
      </c>
      <c r="U345">
        <v>-0.4486694</v>
      </c>
      <c r="V345">
        <v>4.1100249999999998E-2</v>
      </c>
      <c r="W345">
        <v>1.16978E-2</v>
      </c>
      <c r="X345">
        <v>0.99908660000000005</v>
      </c>
      <c r="Y345">
        <v>0.16333129999999901</v>
      </c>
      <c r="Z345">
        <v>-2.160697E-2</v>
      </c>
      <c r="AA345">
        <v>0.98633459999999995</v>
      </c>
      <c r="AB345">
        <v>33</v>
      </c>
      <c r="AC345">
        <v>0.427200000000027</v>
      </c>
      <c r="AD345">
        <v>-0.16511329999999899</v>
      </c>
      <c r="AE345">
        <v>-0.121100000000012</v>
      </c>
      <c r="AF345">
        <v>0.113638591306944</v>
      </c>
      <c r="AG345">
        <v>-0.16511329999999899</v>
      </c>
      <c r="AH345">
        <v>0.37317469732307901</v>
      </c>
      <c r="AI345">
        <v>112.941276676811</v>
      </c>
      <c r="AJ345">
        <v>73.063538563467404</v>
      </c>
      <c r="AK345">
        <v>0.42359826013959101</v>
      </c>
      <c r="AL345">
        <v>89.329750178463797</v>
      </c>
      <c r="AM345">
        <v>87.644304497455494</v>
      </c>
      <c r="AN345">
        <v>1.0000000516872301</v>
      </c>
    </row>
    <row r="346" spans="1:40" x14ac:dyDescent="0.25">
      <c r="A346" t="str">
        <f>"20190312160913724"</f>
        <v>20190312160913724</v>
      </c>
      <c r="B346" t="str">
        <f>"1552378153715124"</f>
        <v>1552378153715124</v>
      </c>
      <c r="C346" t="s">
        <v>40</v>
      </c>
      <c r="D346">
        <v>5.3918699999999999</v>
      </c>
      <c r="E346">
        <v>0.54771359999999902</v>
      </c>
      <c r="F346" t="s">
        <v>42</v>
      </c>
      <c r="G346">
        <v>-424.65219999999999</v>
      </c>
      <c r="H346">
        <v>0.90221229999999997</v>
      </c>
      <c r="I346">
        <v>367.12689999999998</v>
      </c>
      <c r="J346">
        <v>-425.0333</v>
      </c>
      <c r="K346">
        <v>1.0606979999999999</v>
      </c>
      <c r="L346">
        <v>367.24349999999998</v>
      </c>
      <c r="M346">
        <v>0.9997241</v>
      </c>
      <c r="N346">
        <v>0</v>
      </c>
      <c r="O346">
        <v>2.0012619999999998E-2</v>
      </c>
      <c r="P346">
        <v>0.99977839999999996</v>
      </c>
      <c r="Q346">
        <v>-1.290037E-3</v>
      </c>
      <c r="R346">
        <v>-2.101923E-2</v>
      </c>
      <c r="S346">
        <v>2.9907530000000002</v>
      </c>
      <c r="T346">
        <v>-0.65151409999999998</v>
      </c>
      <c r="U346">
        <v>-0.44891360000000002</v>
      </c>
      <c r="V346">
        <v>4.1009570000000002E-2</v>
      </c>
      <c r="W346">
        <v>1.1053159999999999E-2</v>
      </c>
      <c r="X346">
        <v>0.99909760000000003</v>
      </c>
      <c r="Y346">
        <v>0.16397610000000001</v>
      </c>
      <c r="Z346">
        <v>-2.184606E-2</v>
      </c>
      <c r="AA346">
        <v>0.98622240000000005</v>
      </c>
      <c r="AB346">
        <v>33</v>
      </c>
      <c r="AC346">
        <v>0.38110000000000299</v>
      </c>
      <c r="AD346">
        <v>-0.15848569999999901</v>
      </c>
      <c r="AE346">
        <v>-0.11660000000000501</v>
      </c>
      <c r="AF346">
        <v>0.10724445791378399</v>
      </c>
      <c r="AG346">
        <v>-0.15848569999999901</v>
      </c>
      <c r="AH346">
        <v>0.32698138103549002</v>
      </c>
      <c r="AI346">
        <v>114.72863810995401</v>
      </c>
      <c r="AJ346">
        <v>71.841369397445007</v>
      </c>
      <c r="AK346">
        <v>0.37886133928072901</v>
      </c>
      <c r="AL346">
        <v>89.366687676704899</v>
      </c>
      <c r="AM346">
        <v>87.649521912172901</v>
      </c>
      <c r="AN346">
        <v>0.99999998575166504</v>
      </c>
    </row>
    <row r="347" spans="1:40" x14ac:dyDescent="0.25">
      <c r="A347" t="str">
        <f>"20190312160913747"</f>
        <v>20190312160913747</v>
      </c>
      <c r="B347" t="str">
        <f>"1552378153735620"</f>
        <v>1552378153735620</v>
      </c>
      <c r="C347" t="s">
        <v>40</v>
      </c>
      <c r="D347">
        <v>5.2027020000000004</v>
      </c>
      <c r="E347">
        <v>0.54775169999999995</v>
      </c>
      <c r="F347" t="s">
        <v>42</v>
      </c>
      <c r="G347">
        <v>-424.07769999999999</v>
      </c>
      <c r="H347">
        <v>0.85237379999999996</v>
      </c>
      <c r="I347">
        <v>367.10160000000002</v>
      </c>
      <c r="J347">
        <v>-424.70299999999997</v>
      </c>
      <c r="K347">
        <v>1.060654</v>
      </c>
      <c r="L347">
        <v>367.25069999999999</v>
      </c>
      <c r="M347">
        <v>0.99970879999999995</v>
      </c>
      <c r="N347">
        <v>0</v>
      </c>
      <c r="O347">
        <v>2.0590379999999998E-2</v>
      </c>
      <c r="P347">
        <v>0.99976189999999998</v>
      </c>
      <c r="Q347">
        <v>-2.5663560000000001E-3</v>
      </c>
      <c r="R347">
        <v>-2.1680720000000001E-2</v>
      </c>
      <c r="S347">
        <v>2.9905089999999999</v>
      </c>
      <c r="T347">
        <v>-0.652061</v>
      </c>
      <c r="U347">
        <v>-0.44268800000000003</v>
      </c>
      <c r="V347">
        <v>4.2250210000000003E-2</v>
      </c>
      <c r="W347">
        <v>1.0069979999999999E-2</v>
      </c>
      <c r="X347">
        <v>0.99905630000000001</v>
      </c>
      <c r="Y347">
        <v>0.16255910000000001</v>
      </c>
      <c r="Z347">
        <v>-2.1840990000000001E-2</v>
      </c>
      <c r="AA347">
        <v>0.98645700000000003</v>
      </c>
      <c r="AB347">
        <v>33</v>
      </c>
      <c r="AC347">
        <v>0.62530000000003805</v>
      </c>
      <c r="AD347">
        <v>-0.208280199999999</v>
      </c>
      <c r="AE347">
        <v>-0.149099999999975</v>
      </c>
      <c r="AF347">
        <v>0.14655893248565299</v>
      </c>
      <c r="AG347">
        <v>-0.208280199999999</v>
      </c>
      <c r="AH347">
        <v>0.56299444755161798</v>
      </c>
      <c r="AI347">
        <v>109.69831609152099</v>
      </c>
      <c r="AJ347">
        <v>75.408590665755696</v>
      </c>
      <c r="AK347">
        <v>0.61791820686667398</v>
      </c>
      <c r="AL347">
        <v>89.423022887470594</v>
      </c>
      <c r="AM347">
        <v>87.578397609347903</v>
      </c>
      <c r="AN347">
        <v>0.99999998765596698</v>
      </c>
    </row>
    <row r="348" spans="1:40" x14ac:dyDescent="0.25">
      <c r="A348" t="str">
        <f>"20190312160913769"</f>
        <v>20190312160913769</v>
      </c>
      <c r="B348" t="str">
        <f>"1552378153764900"</f>
        <v>1552378153764900</v>
      </c>
      <c r="C348" t="s">
        <v>40</v>
      </c>
      <c r="D348">
        <v>5.2382339999999896</v>
      </c>
      <c r="E348">
        <v>0.54732130000000001</v>
      </c>
      <c r="F348" t="s">
        <v>42</v>
      </c>
      <c r="G348">
        <v>-423.7792</v>
      </c>
      <c r="H348">
        <v>0.85756900000000003</v>
      </c>
      <c r="I348">
        <v>367.11309999999997</v>
      </c>
      <c r="J348">
        <v>-424.36540000000002</v>
      </c>
      <c r="K348">
        <v>1.0606139999999999</v>
      </c>
      <c r="L348">
        <v>367.25830000000002</v>
      </c>
      <c r="M348">
        <v>0.99969390000000002</v>
      </c>
      <c r="N348">
        <v>0</v>
      </c>
      <c r="O348">
        <v>2.114808E-2</v>
      </c>
      <c r="P348">
        <v>0.99976039999999999</v>
      </c>
      <c r="Q348">
        <v>-3.3137489999999999E-3</v>
      </c>
      <c r="R348">
        <v>-2.164222E-2</v>
      </c>
      <c r="S348">
        <v>2.9894099999999999</v>
      </c>
      <c r="T348">
        <v>-0.65725659999999997</v>
      </c>
      <c r="U348">
        <v>-0.44421389999999999</v>
      </c>
      <c r="V348">
        <v>4.2770420000000003E-2</v>
      </c>
      <c r="W348">
        <v>9.582676E-3</v>
      </c>
      <c r="X348">
        <v>0.99903900000000001</v>
      </c>
      <c r="Y348">
        <v>0.16354859999999999</v>
      </c>
      <c r="Z348">
        <v>-2.2245629999999999E-2</v>
      </c>
      <c r="AA348">
        <v>0.98628439999999995</v>
      </c>
      <c r="AB348">
        <v>33</v>
      </c>
      <c r="AC348">
        <v>0.58620000000001904</v>
      </c>
      <c r="AD348">
        <v>-0.203044999999999</v>
      </c>
      <c r="AE348">
        <v>-0.14520000000004499</v>
      </c>
      <c r="AF348">
        <v>0.14156321825836099</v>
      </c>
      <c r="AG348">
        <v>-0.203044999999999</v>
      </c>
      <c r="AH348">
        <v>0.52378875548293702</v>
      </c>
      <c r="AI348">
        <v>110.516864409297</v>
      </c>
      <c r="AJ348">
        <v>74.876126259785295</v>
      </c>
      <c r="AK348">
        <v>0.57932898870937699</v>
      </c>
      <c r="AL348">
        <v>89.4509447219408</v>
      </c>
      <c r="AM348">
        <v>87.548575138380102</v>
      </c>
      <c r="AN348">
        <v>1.00000003001364</v>
      </c>
    </row>
    <row r="349" spans="1:40" x14ac:dyDescent="0.25">
      <c r="A349" t="str">
        <f>"20190312160913790"</f>
        <v>20190312160913790</v>
      </c>
      <c r="B349" t="str">
        <f>"1552378153785396"</f>
        <v>1552378153785396</v>
      </c>
      <c r="C349" t="s">
        <v>40</v>
      </c>
      <c r="D349">
        <v>5.3396220000000003</v>
      </c>
      <c r="E349">
        <v>0.5475042</v>
      </c>
      <c r="F349" t="s">
        <v>42</v>
      </c>
      <c r="G349">
        <v>-423.47989999999999</v>
      </c>
      <c r="H349">
        <v>0.86609959999999997</v>
      </c>
      <c r="I349">
        <v>367.1277</v>
      </c>
      <c r="J349">
        <v>-424.06869999999998</v>
      </c>
      <c r="K349">
        <v>1.060575</v>
      </c>
      <c r="L349">
        <v>367.26499999999999</v>
      </c>
      <c r="M349">
        <v>0.99968120000000005</v>
      </c>
      <c r="N349">
        <v>0</v>
      </c>
      <c r="O349">
        <v>2.1608929999999998E-2</v>
      </c>
      <c r="P349">
        <v>0.99977179999999999</v>
      </c>
      <c r="Q349">
        <v>-2.7651030000000001E-3</v>
      </c>
      <c r="R349">
        <v>-2.1192909999999999E-2</v>
      </c>
      <c r="S349">
        <v>2.9890140000000001</v>
      </c>
      <c r="T349">
        <v>-0.65667089999999995</v>
      </c>
      <c r="U349">
        <v>-0.44058229999999998</v>
      </c>
      <c r="V349">
        <v>4.2781779999999998E-2</v>
      </c>
      <c r="W349">
        <v>1.033032E-2</v>
      </c>
      <c r="X349">
        <v>0.999031</v>
      </c>
      <c r="Y349">
        <v>0.16286030000000001</v>
      </c>
      <c r="Z349">
        <v>-2.225628E-2</v>
      </c>
      <c r="AA349">
        <v>0.98639810000000006</v>
      </c>
      <c r="AB349">
        <v>33</v>
      </c>
      <c r="AC349">
        <v>0.588799999999992</v>
      </c>
      <c r="AD349">
        <v>-0.19447539999999999</v>
      </c>
      <c r="AE349">
        <v>-0.13729999999998199</v>
      </c>
      <c r="AF349">
        <v>0.13592837164511001</v>
      </c>
      <c r="AG349">
        <v>-0.19447539999999999</v>
      </c>
      <c r="AH349">
        <v>0.53077779327436803</v>
      </c>
      <c r="AI349">
        <v>109.54194384460899</v>
      </c>
      <c r="AJ349">
        <v>75.635673505509203</v>
      </c>
      <c r="AK349">
        <v>0.58139682597728304</v>
      </c>
      <c r="AL349">
        <v>89.408105716092606</v>
      </c>
      <c r="AM349">
        <v>87.5479052127979</v>
      </c>
      <c r="AN349">
        <v>0.99999996758613396</v>
      </c>
    </row>
    <row r="350" spans="1:40" x14ac:dyDescent="0.25">
      <c r="A350" t="str">
        <f>"20190312160913813"</f>
        <v>20190312160913813</v>
      </c>
      <c r="B350" t="str">
        <f>"1552378153804916"</f>
        <v>1552378153804916</v>
      </c>
      <c r="C350" t="s">
        <v>40</v>
      </c>
      <c r="D350">
        <v>5.3010060000000001</v>
      </c>
      <c r="E350">
        <v>0.54772799999999999</v>
      </c>
      <c r="F350" t="s">
        <v>42</v>
      </c>
      <c r="G350">
        <v>-423.18389999999999</v>
      </c>
      <c r="H350">
        <v>0.86633680000000002</v>
      </c>
      <c r="I350">
        <v>367.13409999999999</v>
      </c>
      <c r="J350">
        <v>-423.71230000000003</v>
      </c>
      <c r="K350">
        <v>1.0605370000000001</v>
      </c>
      <c r="L350">
        <v>367.27330000000001</v>
      </c>
      <c r="M350">
        <v>0.99966750000000004</v>
      </c>
      <c r="N350">
        <v>0</v>
      </c>
      <c r="O350">
        <v>2.211815E-2</v>
      </c>
      <c r="P350">
        <v>0.99977119999999997</v>
      </c>
      <c r="Q350">
        <v>-3.1723010000000002E-3</v>
      </c>
      <c r="R350">
        <v>-2.1163250000000002E-2</v>
      </c>
      <c r="S350">
        <v>2.989471</v>
      </c>
      <c r="T350">
        <v>-0.65638960000000002</v>
      </c>
      <c r="U350">
        <v>-0.44146730000000001</v>
      </c>
      <c r="V350">
        <v>4.3262090000000003E-2</v>
      </c>
      <c r="W350">
        <v>1.013053E-2</v>
      </c>
      <c r="X350">
        <v>0.99901240000000002</v>
      </c>
      <c r="Y350">
        <v>0.16360239999999901</v>
      </c>
      <c r="Z350">
        <v>-2.2433310000000001E-2</v>
      </c>
      <c r="AA350">
        <v>0.98627129999999996</v>
      </c>
      <c r="AB350">
        <v>33</v>
      </c>
      <c r="AC350">
        <v>0.52840000000003295</v>
      </c>
      <c r="AD350">
        <v>-0.19420019999999999</v>
      </c>
      <c r="AE350">
        <v>-0.13920000000001601</v>
      </c>
      <c r="AF350">
        <v>0.133936788464071</v>
      </c>
      <c r="AG350">
        <v>-0.19420019999999999</v>
      </c>
      <c r="AH350">
        <v>0.46629445193240598</v>
      </c>
      <c r="AI350">
        <v>111.815721376837</v>
      </c>
      <c r="AJ350">
        <v>73.974002240709098</v>
      </c>
      <c r="AK350">
        <v>0.52257372387736101</v>
      </c>
      <c r="AL350">
        <v>89.419553461486302</v>
      </c>
      <c r="AM350">
        <v>87.520363666343897</v>
      </c>
      <c r="AN350">
        <v>1.0000000057114999</v>
      </c>
    </row>
    <row r="351" spans="1:40" x14ac:dyDescent="0.25">
      <c r="A351" t="str">
        <f>"20190312160913837"</f>
        <v>20190312160913837</v>
      </c>
      <c r="B351" t="str">
        <f>"1552378153825412"</f>
        <v>1552378153825412</v>
      </c>
      <c r="C351" t="s">
        <v>40</v>
      </c>
      <c r="D351">
        <v>5.5483799999999999</v>
      </c>
      <c r="E351">
        <v>0.54754749999999996</v>
      </c>
      <c r="F351" t="s">
        <v>42</v>
      </c>
      <c r="G351">
        <v>-422.8843</v>
      </c>
      <c r="H351">
        <v>0.87734599999999996</v>
      </c>
      <c r="I351">
        <v>367.15030000000002</v>
      </c>
      <c r="J351">
        <v>-423.37779999999998</v>
      </c>
      <c r="K351">
        <v>1.060495</v>
      </c>
      <c r="L351">
        <v>367.28120000000001</v>
      </c>
      <c r="M351">
        <v>0.99965539999999997</v>
      </c>
      <c r="N351">
        <v>0</v>
      </c>
      <c r="O351">
        <v>2.2552240000000001E-2</v>
      </c>
      <c r="P351">
        <v>0.99975349999999996</v>
      </c>
      <c r="Q351">
        <v>-4.1129779999999998E-3</v>
      </c>
      <c r="R351">
        <v>-2.182941E-2</v>
      </c>
      <c r="S351">
        <v>2.9892270000000001</v>
      </c>
      <c r="T351">
        <v>-0.66140719999999997</v>
      </c>
      <c r="U351">
        <v>-0.44296259999999998</v>
      </c>
      <c r="V351">
        <v>4.4363260000000002E-2</v>
      </c>
      <c r="W351">
        <v>9.3566659999999996E-3</v>
      </c>
      <c r="X351">
        <v>0.99897159999999996</v>
      </c>
      <c r="Y351">
        <v>0.16442889999999999</v>
      </c>
      <c r="Z351">
        <v>-2.278618E-2</v>
      </c>
      <c r="AA351">
        <v>0.98612569999999999</v>
      </c>
      <c r="AB351">
        <v>33</v>
      </c>
      <c r="AC351">
        <v>0.49349999999998301</v>
      </c>
      <c r="AD351">
        <v>-0.18314900000000001</v>
      </c>
      <c r="AE351">
        <v>-0.13089999999999599</v>
      </c>
      <c r="AF351">
        <v>0.12580839041519601</v>
      </c>
      <c r="AG351">
        <v>-0.18314900000000001</v>
      </c>
      <c r="AH351">
        <v>0.43450997804021402</v>
      </c>
      <c r="AI351">
        <v>112.041907787431</v>
      </c>
      <c r="AJ351">
        <v>73.852110256518401</v>
      </c>
      <c r="AK351">
        <v>0.48802687253507898</v>
      </c>
      <c r="AL351">
        <v>89.463894679443399</v>
      </c>
      <c r="AM351">
        <v>87.457226431454004</v>
      </c>
      <c r="AN351">
        <v>0.99999995182151002</v>
      </c>
    </row>
    <row r="352" spans="1:40" x14ac:dyDescent="0.25">
      <c r="A352" t="str">
        <f>"20190312160913858"</f>
        <v>20190312160913858</v>
      </c>
      <c r="B352" t="str">
        <f>"1552378153855668"</f>
        <v>1552378153855668</v>
      </c>
      <c r="C352" t="s">
        <v>40</v>
      </c>
      <c r="D352">
        <v>5.39039</v>
      </c>
      <c r="E352">
        <v>0.54694469999999995</v>
      </c>
      <c r="F352" t="s">
        <v>42</v>
      </c>
      <c r="G352">
        <v>-422.58609999999999</v>
      </c>
      <c r="H352">
        <v>0.88507009999999897</v>
      </c>
      <c r="I352">
        <v>367.16379999999998</v>
      </c>
      <c r="J352">
        <v>-423.05239999999998</v>
      </c>
      <c r="K352">
        <v>1.060467</v>
      </c>
      <c r="L352">
        <v>367.28899999999999</v>
      </c>
      <c r="M352">
        <v>0.99964470000000005</v>
      </c>
      <c r="N352">
        <v>0</v>
      </c>
      <c r="O352">
        <v>2.2935770000000001E-2</v>
      </c>
      <c r="P352">
        <v>0.99973769999999995</v>
      </c>
      <c r="Q352">
        <v>-4.9619199999999999E-3</v>
      </c>
      <c r="R352">
        <v>-2.235821E-2</v>
      </c>
      <c r="S352">
        <v>2.9883120000000001</v>
      </c>
      <c r="T352">
        <v>-0.66215930000000001</v>
      </c>
      <c r="U352">
        <v>-0.44253540000000002</v>
      </c>
      <c r="V352">
        <v>4.527627E-2</v>
      </c>
      <c r="W352">
        <v>8.6471599999999992E-3</v>
      </c>
      <c r="X352">
        <v>0.99893710000000002</v>
      </c>
      <c r="Y352">
        <v>0.164685</v>
      </c>
      <c r="Z352">
        <v>-2.2929939999999999E-2</v>
      </c>
      <c r="AA352">
        <v>0.98607959999999995</v>
      </c>
      <c r="AB352">
        <v>33</v>
      </c>
      <c r="AC352">
        <v>0.466299999999989</v>
      </c>
      <c r="AD352">
        <v>-0.17539689999999999</v>
      </c>
      <c r="AE352">
        <v>-0.125200000000006</v>
      </c>
      <c r="AF352">
        <v>0.12002328979491</v>
      </c>
      <c r="AG352">
        <v>-0.17539689999999999</v>
      </c>
      <c r="AH352">
        <v>0.40929061754702201</v>
      </c>
      <c r="AI352">
        <v>112.35354753946299</v>
      </c>
      <c r="AJ352">
        <v>73.656377512569406</v>
      </c>
      <c r="AK352">
        <v>0.46118160439768802</v>
      </c>
      <c r="AL352">
        <v>89.5045480634992</v>
      </c>
      <c r="AM352">
        <v>87.404876658635999</v>
      </c>
      <c r="AN352">
        <v>1.0000000218787899</v>
      </c>
    </row>
    <row r="353" spans="1:40" x14ac:dyDescent="0.25">
      <c r="A353" t="str">
        <f>"20190312160913878"</f>
        <v>20190312160913878</v>
      </c>
      <c r="B353" t="str">
        <f>"1552378153874943"</f>
        <v>1552378153874943</v>
      </c>
      <c r="C353" t="s">
        <v>40</v>
      </c>
      <c r="D353">
        <v>5.4117689999999996</v>
      </c>
      <c r="E353">
        <v>0.54699109999999995</v>
      </c>
      <c r="F353" t="s">
        <v>42</v>
      </c>
      <c r="G353">
        <v>-422.28820000000002</v>
      </c>
      <c r="H353">
        <v>0.89214720000000003</v>
      </c>
      <c r="I353">
        <v>367.17649999999998</v>
      </c>
      <c r="J353">
        <v>-422.7516</v>
      </c>
      <c r="K353">
        <v>1.060438</v>
      </c>
      <c r="L353">
        <v>367.29629999999997</v>
      </c>
      <c r="M353">
        <v>0.99963579999999996</v>
      </c>
      <c r="N353">
        <v>0</v>
      </c>
      <c r="O353">
        <v>2.3260630000000001E-2</v>
      </c>
      <c r="P353">
        <v>0.99973330000000005</v>
      </c>
      <c r="Q353">
        <v>-4.2259109999999997E-3</v>
      </c>
      <c r="R353">
        <v>-2.271024E-2</v>
      </c>
      <c r="S353">
        <v>2.9877009999999999</v>
      </c>
      <c r="T353">
        <v>-0.6580433</v>
      </c>
      <c r="U353">
        <v>-0.43939210000000001</v>
      </c>
      <c r="V353">
        <v>4.5952689999999997E-2</v>
      </c>
      <c r="W353">
        <v>9.4944639999999993E-3</v>
      </c>
      <c r="X353">
        <v>0.99889850000000002</v>
      </c>
      <c r="Y353">
        <v>0.164077799999999</v>
      </c>
      <c r="Z353">
        <v>-2.280153E-2</v>
      </c>
      <c r="AA353">
        <v>0.98618380000000005</v>
      </c>
      <c r="AB353">
        <v>33</v>
      </c>
      <c r="AC353">
        <v>0.463399999999978</v>
      </c>
      <c r="AD353">
        <v>-0.16829079999999899</v>
      </c>
      <c r="AE353">
        <v>-0.11979999999999701</v>
      </c>
      <c r="AF353">
        <v>0.116184127861666</v>
      </c>
      <c r="AG353">
        <v>-0.16829079999999899</v>
      </c>
      <c r="AH353">
        <v>0.40982275792537198</v>
      </c>
      <c r="AI353">
        <v>111.557656681767</v>
      </c>
      <c r="AJ353">
        <v>74.1720475217124</v>
      </c>
      <c r="AK353">
        <v>0.45801226822561703</v>
      </c>
      <c r="AL353">
        <v>89.455999112846101</v>
      </c>
      <c r="AM353">
        <v>87.366058504570503</v>
      </c>
      <c r="AN353">
        <v>1.0000000039335599</v>
      </c>
    </row>
    <row r="354" spans="1:40" x14ac:dyDescent="0.25">
      <c r="A354" t="str">
        <f>"20190312160913902"</f>
        <v>20190312160913902</v>
      </c>
      <c r="B354" t="str">
        <f>"1552378153895440"</f>
        <v>1552378153895440</v>
      </c>
      <c r="C354" t="s">
        <v>40</v>
      </c>
      <c r="D354">
        <v>5.32951</v>
      </c>
      <c r="E354">
        <v>0.54713310000000004</v>
      </c>
      <c r="F354" t="s">
        <v>42</v>
      </c>
      <c r="G354">
        <v>-421.99299999999999</v>
      </c>
      <c r="H354">
        <v>0.8938431</v>
      </c>
      <c r="I354">
        <v>367.18400000000003</v>
      </c>
      <c r="J354">
        <v>-422.41730000000001</v>
      </c>
      <c r="K354">
        <v>1.060419</v>
      </c>
      <c r="L354">
        <v>367.30439999999999</v>
      </c>
      <c r="M354">
        <v>0.99962629999999997</v>
      </c>
      <c r="N354">
        <v>0</v>
      </c>
      <c r="O354">
        <v>2.3594759999999999E-2</v>
      </c>
      <c r="P354">
        <v>0.99974960000000002</v>
      </c>
      <c r="Q354">
        <v>-3.1577810000000001E-3</v>
      </c>
      <c r="R354">
        <v>-2.215435E-2</v>
      </c>
      <c r="S354">
        <v>2.9879760000000002</v>
      </c>
      <c r="T354">
        <v>-0.65623640000000005</v>
      </c>
      <c r="U354">
        <v>-0.44070429999999999</v>
      </c>
      <c r="V354">
        <v>4.573116E-2</v>
      </c>
      <c r="W354">
        <v>1.0670290000000001E-2</v>
      </c>
      <c r="X354">
        <v>0.99889680000000003</v>
      </c>
      <c r="Y354">
        <v>0.16481799999999999</v>
      </c>
      <c r="Z354">
        <v>-2.2889759999999999E-2</v>
      </c>
      <c r="AA354">
        <v>0.9860584</v>
      </c>
      <c r="AB354">
        <v>33</v>
      </c>
      <c r="AC354">
        <v>0.42429999999995899</v>
      </c>
      <c r="AD354">
        <v>-0.1665759</v>
      </c>
      <c r="AE354">
        <v>-0.12039999999996</v>
      </c>
      <c r="AF354">
        <v>0.114102901472978</v>
      </c>
      <c r="AG354">
        <v>-0.1665759</v>
      </c>
      <c r="AH354">
        <v>0.368742825776044</v>
      </c>
      <c r="AI354">
        <v>113.342680165025</v>
      </c>
      <c r="AJ354">
        <v>72.805965567458202</v>
      </c>
      <c r="AK354">
        <v>0.42040251443903598</v>
      </c>
      <c r="AL354">
        <v>89.388625818505005</v>
      </c>
      <c r="AM354">
        <v>87.378734074529206</v>
      </c>
      <c r="AN354">
        <v>1.00000000556693</v>
      </c>
    </row>
    <row r="355" spans="1:40" x14ac:dyDescent="0.25">
      <c r="A355" t="str">
        <f>"20190312160913925"</f>
        <v>20190312160913925</v>
      </c>
      <c r="B355" t="str">
        <f>"1552378153914959"</f>
        <v>1552378153914959</v>
      </c>
      <c r="C355" t="s">
        <v>40</v>
      </c>
      <c r="D355">
        <v>5.383813</v>
      </c>
      <c r="E355">
        <v>0.54709700000000006</v>
      </c>
      <c r="F355" t="s">
        <v>42</v>
      </c>
      <c r="G355">
        <v>-421.69540000000001</v>
      </c>
      <c r="H355">
        <v>0.90193809999999996</v>
      </c>
      <c r="I355">
        <v>367.19799999999998</v>
      </c>
      <c r="J355">
        <v>-422.06849999999997</v>
      </c>
      <c r="K355">
        <v>1.06040499999999</v>
      </c>
      <c r="L355">
        <v>367.31299999999999</v>
      </c>
      <c r="M355">
        <v>0.99961730000000004</v>
      </c>
      <c r="N355">
        <v>0</v>
      </c>
      <c r="O355">
        <v>2.3918479999999999E-2</v>
      </c>
      <c r="P355">
        <v>0.99976339999999997</v>
      </c>
      <c r="Q355">
        <v>-3.0585780000000002E-3</v>
      </c>
      <c r="R355">
        <v>-2.1539969999999999E-2</v>
      </c>
      <c r="S355">
        <v>2.988953</v>
      </c>
      <c r="T355">
        <v>-0.65613779999999999</v>
      </c>
      <c r="U355">
        <v>-0.44003300000000001</v>
      </c>
      <c r="V355">
        <v>4.5441339999999997E-2</v>
      </c>
      <c r="W355">
        <v>1.086435E-2</v>
      </c>
      <c r="X355">
        <v>0.99890789999999996</v>
      </c>
      <c r="Y355">
        <v>0.16486899999999999</v>
      </c>
      <c r="Z355">
        <v>-2.295496E-2</v>
      </c>
      <c r="AA355">
        <v>0.98604829999999999</v>
      </c>
      <c r="AB355">
        <v>33</v>
      </c>
      <c r="AC355">
        <v>0.37309999999996502</v>
      </c>
      <c r="AD355">
        <v>-0.15846689999999899</v>
      </c>
      <c r="AE355">
        <v>-0.115000000000009</v>
      </c>
      <c r="AF355">
        <v>0.106368351278113</v>
      </c>
      <c r="AG355">
        <v>-0.15846689999999899</v>
      </c>
      <c r="AH355">
        <v>0.31787433557760603</v>
      </c>
      <c r="AI355">
        <v>115.30266761839999</v>
      </c>
      <c r="AJ355">
        <v>71.498527115668097</v>
      </c>
      <c r="AK355">
        <v>0.37076957503028501</v>
      </c>
      <c r="AL355">
        <v>89.377506333522504</v>
      </c>
      <c r="AM355">
        <v>87.395352229854794</v>
      </c>
      <c r="AN355">
        <v>0.99999997108216299</v>
      </c>
    </row>
    <row r="356" spans="1:40" x14ac:dyDescent="0.25">
      <c r="A356" t="str">
        <f>"20190312160913947"</f>
        <v>20190312160913947</v>
      </c>
      <c r="B356" t="str">
        <f>"1552378153935456"</f>
        <v>1552378153935456</v>
      </c>
      <c r="C356" t="s">
        <v>40</v>
      </c>
      <c r="D356">
        <v>5.4519580000000003</v>
      </c>
      <c r="E356">
        <v>0.54708699999999999</v>
      </c>
      <c r="F356" t="s">
        <v>42</v>
      </c>
      <c r="G356">
        <v>-421.1275</v>
      </c>
      <c r="H356">
        <v>0.85336429999999996</v>
      </c>
      <c r="I356">
        <v>367.17500000000001</v>
      </c>
      <c r="J356">
        <v>-421.7586</v>
      </c>
      <c r="K356">
        <v>1.0603910000000001</v>
      </c>
      <c r="L356">
        <v>367.32069999999999</v>
      </c>
      <c r="M356">
        <v>0.99960970000000005</v>
      </c>
      <c r="N356">
        <v>0</v>
      </c>
      <c r="O356">
        <v>2.4190030000000001E-2</v>
      </c>
      <c r="P356">
        <v>0.99977479999999996</v>
      </c>
      <c r="Q356">
        <v>-2.8606899999999999E-3</v>
      </c>
      <c r="R356">
        <v>-2.103412E-2</v>
      </c>
      <c r="S356">
        <v>2.9892880000000002</v>
      </c>
      <c r="T356">
        <v>-0.65776169999999901</v>
      </c>
      <c r="U356">
        <v>-0.4376526</v>
      </c>
      <c r="V356">
        <v>4.5207490000000003E-2</v>
      </c>
      <c r="W356">
        <v>1.1134700000000001E-2</v>
      </c>
      <c r="X356">
        <v>0.99891560000000001</v>
      </c>
      <c r="Y356">
        <v>0.16433699999999901</v>
      </c>
      <c r="Z356">
        <v>-2.301048E-2</v>
      </c>
      <c r="AA356">
        <v>0.98613580000000001</v>
      </c>
      <c r="AB356">
        <v>33</v>
      </c>
      <c r="AC356">
        <v>0.63110000000000299</v>
      </c>
      <c r="AD356">
        <v>-0.20702670000000001</v>
      </c>
      <c r="AE356">
        <v>-0.14569999999997599</v>
      </c>
      <c r="AF356">
        <v>0.14600816977234299</v>
      </c>
      <c r="AG356">
        <v>-0.20702670000000001</v>
      </c>
      <c r="AH356">
        <v>0.56923431853040696</v>
      </c>
      <c r="AI356">
        <v>109.406800257988</v>
      </c>
      <c r="AJ356">
        <v>75.613821677642605</v>
      </c>
      <c r="AK356">
        <v>0.62306191469703598</v>
      </c>
      <c r="AL356">
        <v>89.362015524146003</v>
      </c>
      <c r="AM356">
        <v>87.408757885159005</v>
      </c>
      <c r="AN356">
        <v>1.0000000373097699</v>
      </c>
    </row>
    <row r="357" spans="1:40" x14ac:dyDescent="0.25">
      <c r="A357" t="str">
        <f>"20190312160913968"</f>
        <v>20190312160913968</v>
      </c>
      <c r="B357" t="str">
        <f>"1552378153965711"</f>
        <v>1552378153965711</v>
      </c>
      <c r="C357" t="s">
        <v>40</v>
      </c>
      <c r="D357">
        <v>5.3823679999999996</v>
      </c>
      <c r="E357">
        <v>0.54718599999999995</v>
      </c>
      <c r="F357" t="s">
        <v>42</v>
      </c>
      <c r="G357">
        <v>-420.83330000000001</v>
      </c>
      <c r="H357">
        <v>0.8563963</v>
      </c>
      <c r="I357">
        <v>367.18549999999999</v>
      </c>
      <c r="J357">
        <v>-421.43799999999999</v>
      </c>
      <c r="K357">
        <v>1.060376</v>
      </c>
      <c r="L357">
        <v>367.32870000000003</v>
      </c>
      <c r="M357">
        <v>0.99960210000000005</v>
      </c>
      <c r="N357">
        <v>0</v>
      </c>
      <c r="O357">
        <v>2.446361E-2</v>
      </c>
      <c r="P357">
        <v>0.99977079999999996</v>
      </c>
      <c r="Q357">
        <v>-3.5123250000000002E-3</v>
      </c>
      <c r="R357">
        <v>-2.1121250000000001E-2</v>
      </c>
      <c r="S357">
        <v>2.9895939999999999</v>
      </c>
      <c r="T357">
        <v>-0.65916859999999999</v>
      </c>
      <c r="U357">
        <v>-0.43566890000000003</v>
      </c>
      <c r="V357">
        <v>4.5568629999999999E-2</v>
      </c>
      <c r="W357">
        <v>1.0548220000000001E-2</v>
      </c>
      <c r="X357">
        <v>0.9989055</v>
      </c>
      <c r="Y357">
        <v>0.16393629999999901</v>
      </c>
      <c r="Z357">
        <v>-2.3073260000000002E-2</v>
      </c>
      <c r="AA357">
        <v>0.98620099999999999</v>
      </c>
      <c r="AB357">
        <v>33</v>
      </c>
      <c r="AC357">
        <v>0.60470000000003599</v>
      </c>
      <c r="AD357">
        <v>-0.20397970000000001</v>
      </c>
      <c r="AE357">
        <v>-0.14320000000003499</v>
      </c>
      <c r="AF357">
        <v>0.142588532766282</v>
      </c>
      <c r="AG357">
        <v>-0.20397970000000001</v>
      </c>
      <c r="AH357">
        <v>0.54255757427657703</v>
      </c>
      <c r="AI357">
        <v>109.981883104318</v>
      </c>
      <c r="AJ357">
        <v>75.275181753341499</v>
      </c>
      <c r="AK357">
        <v>0.59691534499744103</v>
      </c>
      <c r="AL357">
        <v>89.395620293351897</v>
      </c>
      <c r="AM357">
        <v>87.388059929904799</v>
      </c>
      <c r="AN357">
        <v>0.99999998145774704</v>
      </c>
    </row>
    <row r="358" spans="1:40" x14ac:dyDescent="0.25">
      <c r="A358" t="str">
        <f>"20190312160913993"</f>
        <v>20190312160913993</v>
      </c>
      <c r="B358" t="str">
        <f>"1552378153985232"</f>
        <v>1552378153985232</v>
      </c>
      <c r="C358" t="s">
        <v>40</v>
      </c>
      <c r="D358">
        <v>5.6352260000000003</v>
      </c>
      <c r="E358">
        <v>0.54708219999999996</v>
      </c>
      <c r="F358" t="s">
        <v>42</v>
      </c>
      <c r="G358">
        <v>-420.53930000000003</v>
      </c>
      <c r="H358">
        <v>0.86015869999999905</v>
      </c>
      <c r="I358">
        <v>367.19740000000002</v>
      </c>
      <c r="J358">
        <v>-421.09030000000001</v>
      </c>
      <c r="K358">
        <v>1.060378</v>
      </c>
      <c r="L358">
        <v>367.33760000000001</v>
      </c>
      <c r="M358">
        <v>0.99959399999999998</v>
      </c>
      <c r="N358">
        <v>0</v>
      </c>
      <c r="O358">
        <v>2.4756210000000001E-2</v>
      </c>
      <c r="P358">
        <v>0.9997743</v>
      </c>
      <c r="Q358">
        <v>-3.451731E-3</v>
      </c>
      <c r="R358">
        <v>-2.0971110000000001E-2</v>
      </c>
      <c r="S358">
        <v>2.9891359999999998</v>
      </c>
      <c r="T358">
        <v>-0.66598029999999997</v>
      </c>
      <c r="U358">
        <v>-0.43609619999999999</v>
      </c>
      <c r="V358">
        <v>4.5711219999999997E-2</v>
      </c>
      <c r="W358">
        <v>1.066838E-2</v>
      </c>
      <c r="X358">
        <v>0.9988977</v>
      </c>
      <c r="Y358">
        <v>0.1642769</v>
      </c>
      <c r="Z358">
        <v>-2.3410739999999999E-2</v>
      </c>
      <c r="AA358">
        <v>0.98613640000000002</v>
      </c>
      <c r="AB358">
        <v>33</v>
      </c>
      <c r="AC358">
        <v>0.55099999999998694</v>
      </c>
      <c r="AD358">
        <v>-0.20021929999999999</v>
      </c>
      <c r="AE358">
        <v>-0.140199999999993</v>
      </c>
      <c r="AF358">
        <v>0.13683042957734101</v>
      </c>
      <c r="AG358">
        <v>-0.20021929999999999</v>
      </c>
      <c r="AH358">
        <v>0.48696980520538002</v>
      </c>
      <c r="AI358">
        <v>111.594883632502</v>
      </c>
      <c r="AJ358">
        <v>74.305518715900106</v>
      </c>
      <c r="AK358">
        <v>0.544012799235988</v>
      </c>
      <c r="AL358">
        <v>89.388735239468602</v>
      </c>
      <c r="AM358">
        <v>87.379877780391894</v>
      </c>
      <c r="AN358">
        <v>0.99999997251550099</v>
      </c>
    </row>
    <row r="359" spans="1:40" x14ac:dyDescent="0.25">
      <c r="A359" t="str">
        <f>"20190312160914015"</f>
        <v>20190312160914015</v>
      </c>
      <c r="B359" t="str">
        <f>"1552378154005727"</f>
        <v>1552378154005727</v>
      </c>
      <c r="C359" t="s">
        <v>40</v>
      </c>
      <c r="D359">
        <v>5.2995219999999996</v>
      </c>
      <c r="E359">
        <v>0.54707469999999903</v>
      </c>
      <c r="F359" t="s">
        <v>42</v>
      </c>
      <c r="G359">
        <v>-420.24279999999999</v>
      </c>
      <c r="H359">
        <v>0.87135989999999997</v>
      </c>
      <c r="I359">
        <v>367.21390000000002</v>
      </c>
      <c r="J359">
        <v>-420.75889999999998</v>
      </c>
      <c r="K359">
        <v>1.060379</v>
      </c>
      <c r="L359">
        <v>367.34609999999998</v>
      </c>
      <c r="M359">
        <v>0.99958639999999999</v>
      </c>
      <c r="N359">
        <v>0</v>
      </c>
      <c r="O359">
        <v>2.5033920000000001E-2</v>
      </c>
      <c r="P359">
        <v>0.99977550000000004</v>
      </c>
      <c r="Q359">
        <v>-3.6004660000000001E-3</v>
      </c>
      <c r="R359">
        <v>-2.0886189999999999E-2</v>
      </c>
      <c r="S359">
        <v>2.989258</v>
      </c>
      <c r="T359">
        <v>-0.66687879999999999</v>
      </c>
      <c r="U359">
        <v>-0.43453979999999998</v>
      </c>
      <c r="V359">
        <v>4.5904140000000003E-2</v>
      </c>
      <c r="W359">
        <v>1.056872E-2</v>
      </c>
      <c r="X359">
        <v>0.9988899</v>
      </c>
      <c r="Y359">
        <v>0.16402929999999999</v>
      </c>
      <c r="Z359">
        <v>-2.3475280000000001E-2</v>
      </c>
      <c r="AA359">
        <v>0.9861761</v>
      </c>
      <c r="AB359">
        <v>33</v>
      </c>
      <c r="AC359">
        <v>0.51609999999999401</v>
      </c>
      <c r="AD359">
        <v>-0.1890191</v>
      </c>
      <c r="AE359">
        <v>-0.13219999999995399</v>
      </c>
      <c r="AF359">
        <v>0.12885950814227601</v>
      </c>
      <c r="AG359">
        <v>-0.1890191</v>
      </c>
      <c r="AH359">
        <v>0.45531505184288301</v>
      </c>
      <c r="AI359">
        <v>111.774245037966</v>
      </c>
      <c r="AJ359">
        <v>74.197863802103001</v>
      </c>
      <c r="AK359">
        <v>0.50955351969951801</v>
      </c>
      <c r="AL359">
        <v>89.394445651450098</v>
      </c>
      <c r="AM359">
        <v>87.368814785981399</v>
      </c>
      <c r="AN359">
        <v>0.99999996011679304</v>
      </c>
    </row>
    <row r="360" spans="1:40" x14ac:dyDescent="0.25">
      <c r="A360" t="str">
        <f>"20190312160914037"</f>
        <v>20190312160914037</v>
      </c>
      <c r="B360" t="str">
        <f>"1552378154025247"</f>
        <v>1552378154025247</v>
      </c>
      <c r="C360" t="s">
        <v>40</v>
      </c>
      <c r="D360">
        <v>5.3919879999999996</v>
      </c>
      <c r="E360">
        <v>0.54705609999999905</v>
      </c>
      <c r="F360" t="s">
        <v>42</v>
      </c>
      <c r="G360">
        <v>-419.94779999999997</v>
      </c>
      <c r="H360">
        <v>0.87926349999999998</v>
      </c>
      <c r="I360">
        <v>367.2278</v>
      </c>
      <c r="J360">
        <v>-420.42410000000001</v>
      </c>
      <c r="K360">
        <v>1.0603819999999999</v>
      </c>
      <c r="L360">
        <v>367.35469999999998</v>
      </c>
      <c r="M360">
        <v>0.99957870000000004</v>
      </c>
      <c r="N360">
        <v>0</v>
      </c>
      <c r="O360">
        <v>2.5313180000000001E-2</v>
      </c>
      <c r="P360">
        <v>0.99978129999999998</v>
      </c>
      <c r="Q360">
        <v>-3.7195209999999999E-3</v>
      </c>
      <c r="R360">
        <v>-2.0587000000000001E-2</v>
      </c>
      <c r="S360">
        <v>2.9891969999999999</v>
      </c>
      <c r="T360">
        <v>-0.66753269999999998</v>
      </c>
      <c r="U360">
        <v>-0.43481449999999999</v>
      </c>
      <c r="V360">
        <v>4.5884439999999999E-2</v>
      </c>
      <c r="W360">
        <v>1.0491479999999999E-2</v>
      </c>
      <c r="X360">
        <v>0.99889170000000005</v>
      </c>
      <c r="Y360">
        <v>0.1643722</v>
      </c>
      <c r="Z360">
        <v>-2.359706E-2</v>
      </c>
      <c r="AA360">
        <v>0.98611610000000005</v>
      </c>
      <c r="AB360">
        <v>33</v>
      </c>
      <c r="AC360">
        <v>0.47630000000003703</v>
      </c>
      <c r="AD360">
        <v>-0.18111849999999999</v>
      </c>
      <c r="AE360">
        <v>-0.126899999999977</v>
      </c>
      <c r="AF360">
        <v>0.122392424260006</v>
      </c>
      <c r="AG360">
        <v>-0.18111849999999999</v>
      </c>
      <c r="AH360">
        <v>0.416677194482034</v>
      </c>
      <c r="AI360">
        <v>112.638768217074</v>
      </c>
      <c r="AJ360">
        <v>73.630672101837007</v>
      </c>
      <c r="AK360">
        <v>0.47053554696740002</v>
      </c>
      <c r="AL360">
        <v>89.398871471432798</v>
      </c>
      <c r="AM360">
        <v>87.3699471195999</v>
      </c>
      <c r="AN360">
        <v>1.00000004065779</v>
      </c>
    </row>
    <row r="361" spans="1:40" x14ac:dyDescent="0.25">
      <c r="A361" t="str">
        <f>"20190312160914072"</f>
        <v>20190312160914072</v>
      </c>
      <c r="B361" t="str">
        <f>"1552378154065264"</f>
        <v>1552378154065264</v>
      </c>
      <c r="C361" t="s">
        <v>40</v>
      </c>
      <c r="D361">
        <v>5.3997260000000002</v>
      </c>
      <c r="E361">
        <v>0.54698440000000004</v>
      </c>
      <c r="F361" t="s">
        <v>42</v>
      </c>
      <c r="G361">
        <v>-419.6524</v>
      </c>
      <c r="H361">
        <v>0.88814099999999996</v>
      </c>
      <c r="I361">
        <v>367.24250000000001</v>
      </c>
      <c r="J361">
        <v>-419.94409999999999</v>
      </c>
      <c r="K361">
        <v>1.060379</v>
      </c>
      <c r="L361">
        <v>367.36739999999998</v>
      </c>
      <c r="M361">
        <v>0.99956809999999996</v>
      </c>
      <c r="N361">
        <v>0</v>
      </c>
      <c r="O361">
        <v>2.5699130000000001E-2</v>
      </c>
      <c r="P361">
        <v>0.99979430000000002</v>
      </c>
      <c r="Q361">
        <v>-3.9347100000000001E-3</v>
      </c>
      <c r="R361">
        <v>-1.989486E-2</v>
      </c>
      <c r="S361">
        <v>2.989258</v>
      </c>
      <c r="T361">
        <v>-0.66725219999999996</v>
      </c>
      <c r="U361">
        <v>-0.43386839999999999</v>
      </c>
      <c r="V361">
        <v>4.5579059999999998E-2</v>
      </c>
      <c r="W361">
        <v>1.032508E-2</v>
      </c>
      <c r="X361">
        <v>0.9989074</v>
      </c>
      <c r="Y361">
        <v>0.1644371</v>
      </c>
      <c r="Z361">
        <v>-2.367928E-2</v>
      </c>
      <c r="AA361">
        <v>0.98610330000000002</v>
      </c>
      <c r="AB361">
        <v>33</v>
      </c>
      <c r="AC361">
        <v>0.29169999999999102</v>
      </c>
      <c r="AD361">
        <v>-0.172238</v>
      </c>
      <c r="AE361">
        <v>-0.12489999999996799</v>
      </c>
      <c r="AF361">
        <v>0.102234600201299</v>
      </c>
      <c r="AG361">
        <v>-0.172238</v>
      </c>
      <c r="AH361">
        <v>0.22276139433603101</v>
      </c>
      <c r="AI361">
        <v>125.096566400546</v>
      </c>
      <c r="AJ361">
        <v>65.347613424437796</v>
      </c>
      <c r="AK361">
        <v>0.29956715595814598</v>
      </c>
      <c r="AL361">
        <v>89.4084059964879</v>
      </c>
      <c r="AM361">
        <v>87.387467885192805</v>
      </c>
      <c r="AN361">
        <v>1.0000000258811199</v>
      </c>
    </row>
    <row r="362" spans="1:40" x14ac:dyDescent="0.25">
      <c r="A362" t="str">
        <f>"20190312160914094"</f>
        <v>20190312160914094</v>
      </c>
      <c r="B362" t="str">
        <f>"1552378154085291"</f>
        <v>1552378154085291</v>
      </c>
      <c r="C362" t="s">
        <v>40</v>
      </c>
      <c r="D362">
        <v>5.254232</v>
      </c>
      <c r="E362">
        <v>0.54686349999999995</v>
      </c>
      <c r="F362" t="s">
        <v>42</v>
      </c>
      <c r="G362">
        <v>-419.0788</v>
      </c>
      <c r="H362">
        <v>0.86608220000000002</v>
      </c>
      <c r="I362">
        <v>367.24209999999999</v>
      </c>
      <c r="J362">
        <v>-419.61709999999999</v>
      </c>
      <c r="K362">
        <v>1.060365</v>
      </c>
      <c r="L362">
        <v>367.37610000000001</v>
      </c>
      <c r="M362">
        <v>0.99956149999999999</v>
      </c>
      <c r="N362">
        <v>0</v>
      </c>
      <c r="O362">
        <v>2.594463E-2</v>
      </c>
      <c r="P362">
        <v>0.9998068</v>
      </c>
      <c r="Q362">
        <v>-4.9309080000000003E-3</v>
      </c>
      <c r="R362">
        <v>-1.9033669999999999E-2</v>
      </c>
      <c r="S362">
        <v>2.9893800000000001</v>
      </c>
      <c r="T362">
        <v>-0.6712555</v>
      </c>
      <c r="U362">
        <v>-0.4316101</v>
      </c>
      <c r="V362">
        <v>4.4964759999999999E-2</v>
      </c>
      <c r="W362">
        <v>9.3552370000000006E-3</v>
      </c>
      <c r="X362">
        <v>0.99894479999999997</v>
      </c>
      <c r="Y362">
        <v>0.16389609999999999</v>
      </c>
      <c r="Z362">
        <v>-2.381277E-2</v>
      </c>
      <c r="AA362">
        <v>0.98619009999999996</v>
      </c>
      <c r="AB362">
        <v>33</v>
      </c>
      <c r="AC362">
        <v>0.53829999999999201</v>
      </c>
      <c r="AD362">
        <v>-0.19428280000000001</v>
      </c>
      <c r="AE362">
        <v>-0.134000000000014</v>
      </c>
      <c r="AF362">
        <v>0.131760354476185</v>
      </c>
      <c r="AG362">
        <v>-0.19428280000000001</v>
      </c>
      <c r="AH362">
        <v>0.47622702077933898</v>
      </c>
      <c r="AI362">
        <v>111.464295769641</v>
      </c>
      <c r="AJ362">
        <v>74.534536857132395</v>
      </c>
      <c r="AK362">
        <v>0.53094140232976295</v>
      </c>
      <c r="AL362">
        <v>89.463976601557704</v>
      </c>
      <c r="AM362">
        <v>87.422727318780602</v>
      </c>
      <c r="AN362">
        <v>1.00000003177411</v>
      </c>
    </row>
    <row r="363" spans="1:40" x14ac:dyDescent="0.25">
      <c r="A363" t="str">
        <f>"20190312160914115"</f>
        <v>20190312160914115</v>
      </c>
      <c r="B363" t="str">
        <f>"1552378154105786"</f>
        <v>1552378154105786</v>
      </c>
      <c r="C363" t="s">
        <v>40</v>
      </c>
      <c r="D363">
        <v>5.306832</v>
      </c>
      <c r="E363">
        <v>0.54672670000000001</v>
      </c>
      <c r="F363" t="s">
        <v>42</v>
      </c>
      <c r="G363">
        <v>-418.78579999999999</v>
      </c>
      <c r="H363">
        <v>0.87267289999999997</v>
      </c>
      <c r="I363">
        <v>367.25670000000002</v>
      </c>
      <c r="J363">
        <v>-419.29910000000001</v>
      </c>
      <c r="K363">
        <v>1.060354</v>
      </c>
      <c r="L363">
        <v>367.38459999999998</v>
      </c>
      <c r="M363">
        <v>0.99955530000000004</v>
      </c>
      <c r="N363">
        <v>0</v>
      </c>
      <c r="O363">
        <v>2.616549E-2</v>
      </c>
      <c r="P363">
        <v>0.99981810000000004</v>
      </c>
      <c r="Q363">
        <v>-4.5859539999999997E-3</v>
      </c>
      <c r="R363">
        <v>-1.8513080000000001E-2</v>
      </c>
      <c r="S363">
        <v>2.9891049999999999</v>
      </c>
      <c r="T363">
        <v>-0.67501449999999996</v>
      </c>
      <c r="U363">
        <v>-0.4276123</v>
      </c>
      <c r="V363">
        <v>4.4665469999999999E-2</v>
      </c>
      <c r="W363">
        <v>9.7209500000000008E-3</v>
      </c>
      <c r="X363">
        <v>0.99895469999999997</v>
      </c>
      <c r="Y363">
        <v>0.16280259999999999</v>
      </c>
      <c r="Z363">
        <v>-2.3874900000000001E-2</v>
      </c>
      <c r="AA363">
        <v>0.98636979999999996</v>
      </c>
      <c r="AB363">
        <v>33</v>
      </c>
      <c r="AC363">
        <v>0.51330000000001497</v>
      </c>
      <c r="AD363">
        <v>-0.18768109999999999</v>
      </c>
      <c r="AE363">
        <v>-0.12789999999995399</v>
      </c>
      <c r="AF363">
        <v>0.12549204310888901</v>
      </c>
      <c r="AG363">
        <v>-0.18768109999999999</v>
      </c>
      <c r="AH363">
        <v>0.45278333088657102</v>
      </c>
      <c r="AI363">
        <v>111.774099196783</v>
      </c>
      <c r="AJ363">
        <v>74.508917503599605</v>
      </c>
      <c r="AK363">
        <v>0.50594979287434305</v>
      </c>
      <c r="AL363">
        <v>89.443021818045906</v>
      </c>
      <c r="AM363">
        <v>87.439884344488405</v>
      </c>
      <c r="AN363">
        <v>0.99999999686565599</v>
      </c>
    </row>
    <row r="364" spans="1:40" x14ac:dyDescent="0.25">
      <c r="A364" t="str">
        <f>"20190312160914137"</f>
        <v>20190312160914137</v>
      </c>
      <c r="B364" t="str">
        <f>"1552378154125306"</f>
        <v>1552378154125306</v>
      </c>
      <c r="C364" t="s">
        <v>40</v>
      </c>
      <c r="D364">
        <v>5.3042069999999999</v>
      </c>
      <c r="E364">
        <v>0.54671630000000004</v>
      </c>
      <c r="F364" t="s">
        <v>42</v>
      </c>
      <c r="G364">
        <v>-418.49299999999999</v>
      </c>
      <c r="H364">
        <v>0.87895979999999996</v>
      </c>
      <c r="I364">
        <v>367.26960000000003</v>
      </c>
      <c r="J364">
        <v>-418.98309999999998</v>
      </c>
      <c r="K364">
        <v>1.060341</v>
      </c>
      <c r="L364">
        <v>367.3931</v>
      </c>
      <c r="M364">
        <v>0.99955020000000006</v>
      </c>
      <c r="N364">
        <v>0</v>
      </c>
      <c r="O364">
        <v>2.6356810000000001E-2</v>
      </c>
      <c r="P364">
        <v>0.99981240000000005</v>
      </c>
      <c r="Q364">
        <v>-4.5459929999999999E-3</v>
      </c>
      <c r="R364">
        <v>-1.8831799999999999E-2</v>
      </c>
      <c r="S364">
        <v>2.9895939999999999</v>
      </c>
      <c r="T364">
        <v>-0.67292050000000003</v>
      </c>
      <c r="U364">
        <v>-0.4255371</v>
      </c>
      <c r="V364">
        <v>4.5175699999999902E-2</v>
      </c>
      <c r="W364">
        <v>9.7772150000000006E-3</v>
      </c>
      <c r="X364">
        <v>0.99893120000000002</v>
      </c>
      <c r="Y364">
        <v>0.1623339</v>
      </c>
      <c r="Z364">
        <v>-2.3790479999999999E-2</v>
      </c>
      <c r="AA364">
        <v>0.98644909999999997</v>
      </c>
      <c r="AB364">
        <v>33</v>
      </c>
      <c r="AC364">
        <v>0.49009999999992698</v>
      </c>
      <c r="AD364">
        <v>-0.18138119999999999</v>
      </c>
      <c r="AE364">
        <v>-0.123499999999978</v>
      </c>
      <c r="AF364">
        <v>0.12081611612130699</v>
      </c>
      <c r="AG364">
        <v>-0.18138119999999999</v>
      </c>
      <c r="AH364">
        <v>0.43114734336100302</v>
      </c>
      <c r="AI364">
        <v>112.052390009774</v>
      </c>
      <c r="AJ364">
        <v>74.346064599445896</v>
      </c>
      <c r="AK364">
        <v>0.483098028680855</v>
      </c>
      <c r="AL364">
        <v>89.439797913982403</v>
      </c>
      <c r="AM364">
        <v>87.410617954084998</v>
      </c>
      <c r="AN364">
        <v>0.99999999006854301</v>
      </c>
    </row>
    <row r="365" spans="1:40" x14ac:dyDescent="0.25">
      <c r="A365" t="str">
        <f>"20190312160914158"</f>
        <v>20190312160914158</v>
      </c>
      <c r="B365" t="str">
        <f>"1552378154155563"</f>
        <v>1552378154155563</v>
      </c>
      <c r="C365" t="s">
        <v>40</v>
      </c>
      <c r="D365">
        <v>5.2081879999999998</v>
      </c>
      <c r="E365">
        <v>0.51158139999999996</v>
      </c>
      <c r="F365" t="s">
        <v>42</v>
      </c>
      <c r="G365">
        <v>-418.20080000000002</v>
      </c>
      <c r="H365">
        <v>0.88406189999999996</v>
      </c>
      <c r="I365">
        <v>367.28109999999998</v>
      </c>
      <c r="J365">
        <v>-418.66640000000001</v>
      </c>
      <c r="K365">
        <v>1.0603229999999999</v>
      </c>
      <c r="L365">
        <v>367.40159999999997</v>
      </c>
      <c r="M365">
        <v>0.99954569999999998</v>
      </c>
      <c r="N365">
        <v>0</v>
      </c>
      <c r="O365">
        <v>2.6515750000000001E-2</v>
      </c>
      <c r="P365">
        <v>0.99980409999999997</v>
      </c>
      <c r="Q365">
        <v>-5.1868979999999997E-3</v>
      </c>
      <c r="R365">
        <v>-1.911231E-2</v>
      </c>
      <c r="S365">
        <v>2.9894409999999998</v>
      </c>
      <c r="T365">
        <v>-0.67377869999999995</v>
      </c>
      <c r="U365">
        <v>-0.42687989999999998</v>
      </c>
      <c r="V365">
        <v>4.5615370000000002E-2</v>
      </c>
      <c r="W365">
        <v>9.1492499999999994E-3</v>
      </c>
      <c r="X365">
        <v>0.99891719999999895</v>
      </c>
      <c r="Y365">
        <v>0.1629023</v>
      </c>
      <c r="Z365">
        <v>-2.3918740000000001E-2</v>
      </c>
      <c r="AA365">
        <v>0.98635229999999996</v>
      </c>
      <c r="AB365">
        <v>32</v>
      </c>
      <c r="AC365">
        <v>0.46559999999999402</v>
      </c>
      <c r="AD365">
        <v>-0.176261099999999</v>
      </c>
      <c r="AE365">
        <v>-0.120499999999992</v>
      </c>
      <c r="AF365">
        <v>0.11707894681733801</v>
      </c>
      <c r="AG365">
        <v>-0.176261099999999</v>
      </c>
      <c r="AH365">
        <v>0.407505872855488</v>
      </c>
      <c r="AI365">
        <v>112.573574190817</v>
      </c>
      <c r="AJ365">
        <v>73.970315612745694</v>
      </c>
      <c r="AK365">
        <v>0.45916934955719801</v>
      </c>
      <c r="AL365">
        <v>89.475779286797106</v>
      </c>
      <c r="AM365">
        <v>87.385415145836902</v>
      </c>
      <c r="AN365">
        <v>1.00000002160581</v>
      </c>
    </row>
    <row r="366" spans="1:40" x14ac:dyDescent="0.25">
      <c r="A366" t="str">
        <f>"20190312160914180"</f>
        <v>20190312160914180</v>
      </c>
      <c r="B366" t="str">
        <f>"1552378154175083"</f>
        <v>1552378154175083</v>
      </c>
      <c r="C366" t="s">
        <v>40</v>
      </c>
      <c r="D366">
        <v>5.2200470000000001</v>
      </c>
      <c r="E366">
        <v>0.50697250000000005</v>
      </c>
      <c r="F366" t="s">
        <v>42</v>
      </c>
      <c r="G366">
        <v>-417.87549999999999</v>
      </c>
      <c r="H366">
        <v>0.96353599999999995</v>
      </c>
      <c r="I366">
        <v>367.36169999999998</v>
      </c>
      <c r="J366">
        <v>-418.35770000000002</v>
      </c>
      <c r="K366">
        <v>1.060298</v>
      </c>
      <c r="L366">
        <v>367.40989999999999</v>
      </c>
      <c r="M366">
        <v>0.99954229999999999</v>
      </c>
      <c r="N366">
        <v>0</v>
      </c>
      <c r="O366">
        <v>2.6636099999999999E-2</v>
      </c>
      <c r="P366">
        <v>0.99980469999999999</v>
      </c>
      <c r="Q366">
        <v>-5.0207999999999997E-3</v>
      </c>
      <c r="R366">
        <v>-1.912169E-2</v>
      </c>
      <c r="S366">
        <v>2.9958499999999999</v>
      </c>
      <c r="T366">
        <v>-0.36691390000000002</v>
      </c>
      <c r="U366">
        <v>-0.14871219999999999</v>
      </c>
      <c r="V366">
        <v>4.5745670000000002E-2</v>
      </c>
      <c r="W366">
        <v>9.3256710000000007E-3</v>
      </c>
      <c r="X366">
        <v>0.99890959999999995</v>
      </c>
      <c r="Y366">
        <v>7.5406009999999996E-2</v>
      </c>
      <c r="Z366">
        <v>-7.846347E-3</v>
      </c>
      <c r="AA366">
        <v>0.99712199999999995</v>
      </c>
      <c r="AB366">
        <v>32</v>
      </c>
      <c r="AC366">
        <v>0.48220000000003399</v>
      </c>
      <c r="AD366">
        <v>-9.6761999999999904E-2</v>
      </c>
      <c r="AE366">
        <v>-4.8200000000008403E-2</v>
      </c>
      <c r="AF366">
        <v>5.8688288854753003E-2</v>
      </c>
      <c r="AG366">
        <v>-9.6761999999999904E-2</v>
      </c>
      <c r="AH366">
        <v>0.46231284586930399</v>
      </c>
      <c r="AI366">
        <v>101.72985439030499</v>
      </c>
      <c r="AJ366">
        <v>82.765286094317602</v>
      </c>
      <c r="AK366">
        <v>0.47596256927249397</v>
      </c>
      <c r="AL366">
        <v>89.465670671704899</v>
      </c>
      <c r="AM366">
        <v>87.377937088505305</v>
      </c>
      <c r="AN366">
        <v>1.0000000117177501</v>
      </c>
    </row>
    <row r="367" spans="1:40" x14ac:dyDescent="0.25">
      <c r="A367" t="str">
        <f>"20190312160914204"</f>
        <v>20190312160914204</v>
      </c>
      <c r="B367" t="str">
        <f>"1552378154195579"</f>
        <v>1552378154195579</v>
      </c>
      <c r="C367" t="s">
        <v>40</v>
      </c>
      <c r="D367">
        <v>5.1943699999999904</v>
      </c>
      <c r="E367">
        <v>0.5048762</v>
      </c>
      <c r="F367" t="s">
        <v>42</v>
      </c>
      <c r="G367">
        <v>-417.57440000000003</v>
      </c>
      <c r="H367">
        <v>0.98773560000000005</v>
      </c>
      <c r="I367">
        <v>367.38049999999998</v>
      </c>
      <c r="J367">
        <v>-418.01530000000002</v>
      </c>
      <c r="K367">
        <v>1.0602750000000001</v>
      </c>
      <c r="L367">
        <v>367.41919999999999</v>
      </c>
      <c r="M367">
        <v>0.99953950000000003</v>
      </c>
      <c r="N367">
        <v>0</v>
      </c>
      <c r="O367">
        <v>2.673273E-2</v>
      </c>
      <c r="P367">
        <v>0.99981419999999999</v>
      </c>
      <c r="Q367">
        <v>-4.7994709999999996E-3</v>
      </c>
      <c r="R367">
        <v>-1.867102E-2</v>
      </c>
      <c r="S367">
        <v>2.9970400000000001</v>
      </c>
      <c r="T367">
        <v>-0.27776099999999998</v>
      </c>
      <c r="U367">
        <v>-0.1118469</v>
      </c>
      <c r="V367">
        <v>4.53929E-2</v>
      </c>
      <c r="W367">
        <v>9.5559730000000006E-3</v>
      </c>
      <c r="X367">
        <v>0.99892349999999996</v>
      </c>
      <c r="Y367">
        <v>6.3610009999999995E-2</v>
      </c>
      <c r="Z367">
        <v>-5.4120560000000002E-3</v>
      </c>
      <c r="AA367">
        <v>0.99796019999999996</v>
      </c>
      <c r="AB367">
        <v>32</v>
      </c>
      <c r="AC367">
        <v>0.44089999999999901</v>
      </c>
      <c r="AD367">
        <v>-7.2539400000000101E-2</v>
      </c>
      <c r="AE367">
        <v>-3.8700000000005702E-2</v>
      </c>
      <c r="AF367">
        <v>4.9153492582811299E-2</v>
      </c>
      <c r="AG367">
        <v>-7.2539400000000101E-2</v>
      </c>
      <c r="AH367">
        <v>0.42820538162910199</v>
      </c>
      <c r="AI367">
        <v>99.553246894841493</v>
      </c>
      <c r="AJ367">
        <v>83.451705780332702</v>
      </c>
      <c r="AK367">
        <v>0.43707880209588501</v>
      </c>
      <c r="AL367">
        <v>89.452474742210399</v>
      </c>
      <c r="AM367">
        <v>87.398165517082404</v>
      </c>
      <c r="AN367">
        <v>0.99999999542131801</v>
      </c>
    </row>
    <row r="368" spans="1:40" x14ac:dyDescent="0.25">
      <c r="A368" t="str">
        <f>"20190312160914227"</f>
        <v>20190312160914227</v>
      </c>
      <c r="B368" t="str">
        <f>"1552378154215099"</f>
        <v>1552378154215099</v>
      </c>
      <c r="C368" t="s">
        <v>40</v>
      </c>
      <c r="D368">
        <v>5.2393219999999996</v>
      </c>
      <c r="E368">
        <v>0.50315140000000003</v>
      </c>
      <c r="F368" t="s">
        <v>43</v>
      </c>
      <c r="G368">
        <v>-403.08</v>
      </c>
      <c r="H368">
        <v>-0.05</v>
      </c>
      <c r="I368">
        <v>366.94900000000001</v>
      </c>
      <c r="J368">
        <v>-417.67779999999999</v>
      </c>
      <c r="K368">
        <v>1.060254</v>
      </c>
      <c r="L368">
        <v>367.42829999999998</v>
      </c>
      <c r="M368">
        <v>0.99953769999999997</v>
      </c>
      <c r="N368">
        <v>0</v>
      </c>
      <c r="O368">
        <v>2.6792570000000002E-2</v>
      </c>
      <c r="P368">
        <v>0.99982629999999995</v>
      </c>
      <c r="Q368">
        <v>-4.3137169999999999E-3</v>
      </c>
      <c r="R368">
        <v>-1.81382E-2</v>
      </c>
      <c r="S368">
        <v>2.9977420000000001</v>
      </c>
      <c r="T368">
        <v>-0.2228501</v>
      </c>
      <c r="U368">
        <v>-9.4360349999999996E-2</v>
      </c>
      <c r="V368">
        <v>4.492078E-2</v>
      </c>
      <c r="W368">
        <v>1.0048049999999999E-2</v>
      </c>
      <c r="X368">
        <v>0.99894000000000005</v>
      </c>
      <c r="Y368">
        <v>5.7998559999999998E-2</v>
      </c>
      <c r="Z368">
        <v>-4.1410290000000001E-3</v>
      </c>
      <c r="AA368">
        <v>0.99830810000000003</v>
      </c>
      <c r="AB368">
        <v>32</v>
      </c>
      <c r="AC368">
        <v>14.597799999999999</v>
      </c>
      <c r="AD368">
        <v>-1.1102540000000001</v>
      </c>
      <c r="AE368">
        <v>-0.47929999999996598</v>
      </c>
      <c r="AF368">
        <v>0.86528100394401197</v>
      </c>
      <c r="AG368">
        <v>-1.1102540000000001</v>
      </c>
      <c r="AH368">
        <v>14.495953192991999</v>
      </c>
      <c r="AI368">
        <v>94.372016719180806</v>
      </c>
      <c r="AJ368">
        <v>86.583998792249901</v>
      </c>
      <c r="AK368">
        <v>14.5641352003378</v>
      </c>
      <c r="AL368">
        <v>89.424279444070706</v>
      </c>
      <c r="AM368">
        <v>87.425232398052302</v>
      </c>
      <c r="AN368">
        <v>0.99999998169230497</v>
      </c>
    </row>
    <row r="369" spans="1:40" x14ac:dyDescent="0.25">
      <c r="A369" t="str">
        <f>"20190312160914251"</f>
        <v>20190312160914251</v>
      </c>
      <c r="B369" t="str">
        <f>"1552378154245355"</f>
        <v>1552378154245355</v>
      </c>
      <c r="C369" t="s">
        <v>40</v>
      </c>
      <c r="D369">
        <v>5.2486110000000004</v>
      </c>
      <c r="E369">
        <v>0.50234069999999997</v>
      </c>
      <c r="F369" t="s">
        <v>42</v>
      </c>
      <c r="G369">
        <v>-416.702</v>
      </c>
      <c r="H369">
        <v>0.99702619999999997</v>
      </c>
      <c r="I369">
        <v>367.40210000000002</v>
      </c>
      <c r="J369">
        <v>-417.34050000000002</v>
      </c>
      <c r="K369">
        <v>1.0602400000000001</v>
      </c>
      <c r="L369">
        <v>367.43729999999999</v>
      </c>
      <c r="M369">
        <v>0.9995366</v>
      </c>
      <c r="N369">
        <v>0</v>
      </c>
      <c r="O369">
        <v>2.6830920000000001E-2</v>
      </c>
      <c r="P369">
        <v>0.99983999999999995</v>
      </c>
      <c r="Q369">
        <v>-4.0783399999999997E-3</v>
      </c>
      <c r="R369">
        <v>-1.7426830000000001E-2</v>
      </c>
      <c r="S369">
        <v>2.998291</v>
      </c>
      <c r="T369">
        <v>-0.19467999999999999</v>
      </c>
      <c r="U369">
        <v>-7.8765870000000002E-2</v>
      </c>
      <c r="V369">
        <v>4.4248830000000003E-2</v>
      </c>
      <c r="W369">
        <v>1.0289309999999999E-2</v>
      </c>
      <c r="X369">
        <v>0.99896750000000001</v>
      </c>
      <c r="Y369">
        <v>5.2908360000000001E-2</v>
      </c>
      <c r="Z369">
        <v>-3.4557609999999999E-3</v>
      </c>
      <c r="AA369">
        <v>0.99859339999999996</v>
      </c>
      <c r="AB369">
        <v>32</v>
      </c>
      <c r="AC369">
        <v>0.63850000000002105</v>
      </c>
      <c r="AD369">
        <v>-6.3213800000000195E-2</v>
      </c>
      <c r="AE369">
        <v>-3.51999999999748E-2</v>
      </c>
      <c r="AF369">
        <v>5.1814307882664903E-2</v>
      </c>
      <c r="AG369">
        <v>-6.3213800000000195E-2</v>
      </c>
      <c r="AH369">
        <v>0.63115785427387705</v>
      </c>
      <c r="AI369">
        <v>95.700353158222498</v>
      </c>
      <c r="AJ369">
        <v>85.306881206897202</v>
      </c>
      <c r="AK369">
        <v>0.63642827091778698</v>
      </c>
      <c r="AL369">
        <v>89.4104555291065</v>
      </c>
      <c r="AM369">
        <v>87.463766256584293</v>
      </c>
      <c r="AN369">
        <v>0.99999994745644605</v>
      </c>
    </row>
    <row r="370" spans="1:40" x14ac:dyDescent="0.25">
      <c r="A370" t="str">
        <f>"20190312160914270"</f>
        <v>20190312160914270</v>
      </c>
      <c r="B370" t="str">
        <f>"1552378154264875"</f>
        <v>1552378154264875</v>
      </c>
      <c r="C370" t="s">
        <v>40</v>
      </c>
      <c r="D370">
        <v>5.2480710000000004</v>
      </c>
      <c r="E370">
        <v>0.50193049999999995</v>
      </c>
      <c r="F370" t="s">
        <v>41</v>
      </c>
      <c r="G370">
        <v>-398.73320000000001</v>
      </c>
      <c r="H370" s="1">
        <v>-1.1135189999999999E-6</v>
      </c>
      <c r="I370">
        <v>366.9991</v>
      </c>
      <c r="J370">
        <v>-417.05810000000002</v>
      </c>
      <c r="K370">
        <v>1.0602419999999999</v>
      </c>
      <c r="L370">
        <v>367.44490000000002</v>
      </c>
      <c r="M370">
        <v>0.99953599999999998</v>
      </c>
      <c r="N370">
        <v>0</v>
      </c>
      <c r="O370">
        <v>2.6852310000000001E-2</v>
      </c>
      <c r="P370">
        <v>0.99985310000000005</v>
      </c>
      <c r="Q370">
        <v>-3.5983870000000002E-3</v>
      </c>
      <c r="R370">
        <v>-1.6771769999999998E-2</v>
      </c>
      <c r="S370">
        <v>2.998596</v>
      </c>
      <c r="T370">
        <v>-0.17085890000000001</v>
      </c>
      <c r="U370">
        <v>-7.0617680000000002E-2</v>
      </c>
      <c r="V370">
        <v>4.3615849999999998E-2</v>
      </c>
      <c r="W370">
        <v>1.077328E-2</v>
      </c>
      <c r="X370">
        <v>0.9989903</v>
      </c>
      <c r="Y370">
        <v>5.025785E-2</v>
      </c>
      <c r="Z370">
        <v>-2.9592030000000001E-3</v>
      </c>
      <c r="AA370">
        <v>0.99873190000000001</v>
      </c>
      <c r="AB370">
        <v>32</v>
      </c>
      <c r="AC370">
        <v>18.3249</v>
      </c>
      <c r="AD370">
        <v>-1.06024311351899</v>
      </c>
      <c r="AE370">
        <v>-0.44580000000001901</v>
      </c>
      <c r="AF370">
        <v>0.93462911271187699</v>
      </c>
      <c r="AG370">
        <v>-1.06024311351899</v>
      </c>
      <c r="AH370">
        <v>18.2452779499367</v>
      </c>
      <c r="AI370">
        <v>93.321403853580506</v>
      </c>
      <c r="AJ370">
        <v>87.067540589421199</v>
      </c>
      <c r="AK370">
        <v>18.299940287021201</v>
      </c>
      <c r="AL370">
        <v>89.382724591412099</v>
      </c>
      <c r="AM370">
        <v>87.500057728539701</v>
      </c>
      <c r="AN370">
        <v>1.0000000127136299</v>
      </c>
    </row>
    <row r="371" spans="1:40" x14ac:dyDescent="0.25">
      <c r="A371" t="str">
        <f>"20190312160914293"</f>
        <v>20190312160914293</v>
      </c>
      <c r="B371" t="str">
        <f>"1552378154285370"</f>
        <v>1552378154285370</v>
      </c>
      <c r="C371" t="s">
        <v>40</v>
      </c>
      <c r="D371">
        <v>5.2164279999999996</v>
      </c>
      <c r="E371">
        <v>0.50150059999999996</v>
      </c>
      <c r="F371" t="s">
        <v>41</v>
      </c>
      <c r="G371">
        <v>-397.0616</v>
      </c>
      <c r="H371" s="1">
        <v>-1.7054269999999999E-6</v>
      </c>
      <c r="I371">
        <v>367.00880000000001</v>
      </c>
      <c r="J371">
        <v>-416.73379999999997</v>
      </c>
      <c r="K371">
        <v>1.060243</v>
      </c>
      <c r="L371">
        <v>367.45370000000003</v>
      </c>
      <c r="M371">
        <v>0.99953539999999996</v>
      </c>
      <c r="N371">
        <v>0</v>
      </c>
      <c r="O371">
        <v>2.6869589999999999E-2</v>
      </c>
      <c r="P371">
        <v>0.99986280000000005</v>
      </c>
      <c r="Q371">
        <v>-2.629831E-3</v>
      </c>
      <c r="R371">
        <v>-1.6362950000000001E-2</v>
      </c>
      <c r="S371">
        <v>2.9987789999999999</v>
      </c>
      <c r="T371">
        <v>-0.15899869999999999</v>
      </c>
      <c r="U371">
        <v>-6.5399170000000006E-2</v>
      </c>
      <c r="V371">
        <v>4.3224949999999998E-2</v>
      </c>
      <c r="W371">
        <v>1.174644E-2</v>
      </c>
      <c r="X371">
        <v>0.99899629999999995</v>
      </c>
      <c r="Y371">
        <v>4.8555620000000001E-2</v>
      </c>
      <c r="Z371">
        <v>-2.7097919999999999E-3</v>
      </c>
      <c r="AA371">
        <v>0.99881679999999995</v>
      </c>
      <c r="AB371">
        <v>32</v>
      </c>
      <c r="AC371">
        <v>19.672199999999901</v>
      </c>
      <c r="AD371">
        <v>-1.0602447054269999</v>
      </c>
      <c r="AE371">
        <v>-0.444900000000018</v>
      </c>
      <c r="AF371">
        <v>0.97056022417092203</v>
      </c>
      <c r="AG371">
        <v>-1.0602447054269999</v>
      </c>
      <c r="AH371">
        <v>19.596247524926898</v>
      </c>
      <c r="AI371">
        <v>93.093154535318604</v>
      </c>
      <c r="AJ371">
        <v>87.164579517244803</v>
      </c>
      <c r="AK371">
        <v>19.6488936849466</v>
      </c>
      <c r="AL371">
        <v>89.326963079748097</v>
      </c>
      <c r="AM371">
        <v>87.522449873364806</v>
      </c>
      <c r="AN371">
        <v>0.99999999128443295</v>
      </c>
    </row>
    <row r="372" spans="1:40" x14ac:dyDescent="0.25">
      <c r="A372" t="str">
        <f>"20190312160914314"</f>
        <v>20190312160914314</v>
      </c>
      <c r="B372" t="str">
        <f>"1552378154304891"</f>
        <v>1552378154304891</v>
      </c>
      <c r="C372" t="s">
        <v>40</v>
      </c>
      <c r="D372">
        <v>5.2655120000000002</v>
      </c>
      <c r="E372">
        <v>0.50126729999999997</v>
      </c>
      <c r="F372" t="s">
        <v>41</v>
      </c>
      <c r="G372">
        <v>-396.03919999999999</v>
      </c>
      <c r="H372" s="1">
        <v>-2.1396280000000002E-6</v>
      </c>
      <c r="I372">
        <v>367.0333</v>
      </c>
      <c r="J372">
        <v>-416.41489999999999</v>
      </c>
      <c r="K372">
        <v>1.0602480000000001</v>
      </c>
      <c r="L372">
        <v>367.46230000000003</v>
      </c>
      <c r="M372">
        <v>0.9995349</v>
      </c>
      <c r="N372">
        <v>0</v>
      </c>
      <c r="O372">
        <v>2.6884789999999999E-2</v>
      </c>
      <c r="P372">
        <v>0.99987939999999997</v>
      </c>
      <c r="Q372">
        <v>-1.9875460000000002E-3</v>
      </c>
      <c r="R372">
        <v>-1.540266E-2</v>
      </c>
      <c r="S372">
        <v>2.9990230000000002</v>
      </c>
      <c r="T372">
        <v>-0.1536489</v>
      </c>
      <c r="U372">
        <v>-6.0913090000000003E-2</v>
      </c>
      <c r="V372">
        <v>4.2280850000000002E-2</v>
      </c>
      <c r="W372">
        <v>1.239203E-2</v>
      </c>
      <c r="X372">
        <v>0.9990289</v>
      </c>
      <c r="Y372">
        <v>4.708449E-2</v>
      </c>
      <c r="Z372">
        <v>-2.5816789999999999E-3</v>
      </c>
      <c r="AA372">
        <v>0.99888759999999999</v>
      </c>
      <c r="AB372">
        <v>32</v>
      </c>
      <c r="AC372">
        <v>20.375699999999899</v>
      </c>
      <c r="AD372">
        <v>-1.060250139628</v>
      </c>
      <c r="AE372">
        <v>-0.42900000000003002</v>
      </c>
      <c r="AF372">
        <v>0.97406183055651696</v>
      </c>
      <c r="AG372">
        <v>-1.060250139628</v>
      </c>
      <c r="AH372">
        <v>20.301852838770799</v>
      </c>
      <c r="AI372">
        <v>92.986087593666596</v>
      </c>
      <c r="AJ372">
        <v>87.253114425770704</v>
      </c>
      <c r="AK372">
        <v>20.352841459988699</v>
      </c>
      <c r="AL372">
        <v>89.289970799690707</v>
      </c>
      <c r="AM372">
        <v>87.576577162458094</v>
      </c>
      <c r="AN372">
        <v>0.99999998785972599</v>
      </c>
    </row>
    <row r="373" spans="1:40" x14ac:dyDescent="0.25">
      <c r="A373" t="str">
        <f>"20190312160914337"</f>
        <v>20190312160914337</v>
      </c>
      <c r="B373" t="str">
        <f>"1552378154325388"</f>
        <v>1552378154325388</v>
      </c>
      <c r="C373" t="s">
        <v>40</v>
      </c>
      <c r="D373">
        <v>5.2949339999999996</v>
      </c>
      <c r="E373">
        <v>0.50106390000000001</v>
      </c>
      <c r="F373" t="s">
        <v>41</v>
      </c>
      <c r="G373">
        <v>-395.12520000000001</v>
      </c>
      <c r="H373" s="1">
        <v>-2.5268550000000001E-6</v>
      </c>
      <c r="I373">
        <v>367.06110000000001</v>
      </c>
      <c r="J373">
        <v>-416.09320000000002</v>
      </c>
      <c r="K373">
        <v>1.0602560000000001</v>
      </c>
      <c r="L373">
        <v>367.471</v>
      </c>
      <c r="M373">
        <v>0.99953449999999999</v>
      </c>
      <c r="N373">
        <v>0</v>
      </c>
      <c r="O373">
        <v>2.6901629999999999E-2</v>
      </c>
      <c r="P373">
        <v>0.99988169999999998</v>
      </c>
      <c r="Q373">
        <v>-1.4656490000000001E-3</v>
      </c>
      <c r="R373">
        <v>-1.5302899999999999E-2</v>
      </c>
      <c r="S373">
        <v>2.9992070000000002</v>
      </c>
      <c r="T373">
        <v>-0.14936289999999999</v>
      </c>
      <c r="U373">
        <v>-5.6518550000000001E-2</v>
      </c>
      <c r="V373">
        <v>4.2198329999999999E-2</v>
      </c>
      <c r="W373">
        <v>1.291603E-2</v>
      </c>
      <c r="X373">
        <v>0.99902579999999996</v>
      </c>
      <c r="Y373">
        <v>4.5644089999999998E-2</v>
      </c>
      <c r="Z373">
        <v>-2.4746289999999999E-3</v>
      </c>
      <c r="AA373">
        <v>0.99895469999999997</v>
      </c>
      <c r="AB373">
        <v>32</v>
      </c>
      <c r="AC373">
        <v>20.968</v>
      </c>
      <c r="AD373">
        <v>-1.06025852685499</v>
      </c>
      <c r="AE373">
        <v>-0.40989999999999299</v>
      </c>
      <c r="AF373">
        <v>0.971400611913249</v>
      </c>
      <c r="AG373">
        <v>-1.06025852685499</v>
      </c>
      <c r="AH373">
        <v>20.895973701126699</v>
      </c>
      <c r="AI373">
        <v>92.901559907042298</v>
      </c>
      <c r="AJ373">
        <v>87.338381320218701</v>
      </c>
      <c r="AK373">
        <v>20.945392911348598</v>
      </c>
      <c r="AL373">
        <v>89.259945442131595</v>
      </c>
      <c r="AM373">
        <v>87.581293864458402</v>
      </c>
      <c r="AN373">
        <v>1.00000003597569</v>
      </c>
    </row>
    <row r="374" spans="1:40" x14ac:dyDescent="0.25">
      <c r="A374" t="str">
        <f>"20190312160914358"</f>
        <v>20190312160914358</v>
      </c>
      <c r="B374" t="str">
        <f>"1552378154344907"</f>
        <v>1552378154344907</v>
      </c>
      <c r="C374" t="s">
        <v>40</v>
      </c>
      <c r="D374">
        <v>5.2483019999999998</v>
      </c>
      <c r="E374">
        <v>0.5009344</v>
      </c>
      <c r="F374" t="s">
        <v>41</v>
      </c>
      <c r="G374">
        <v>-394.19150000000002</v>
      </c>
      <c r="H374" s="1">
        <v>-2.925018E-6</v>
      </c>
      <c r="I374">
        <v>367.0745</v>
      </c>
      <c r="J374">
        <v>-415.79660000000001</v>
      </c>
      <c r="K374">
        <v>1.0602529999999999</v>
      </c>
      <c r="L374">
        <v>367.47910000000002</v>
      </c>
      <c r="M374">
        <v>0.99953400000000003</v>
      </c>
      <c r="N374">
        <v>0</v>
      </c>
      <c r="O374">
        <v>2.6919200000000001E-2</v>
      </c>
      <c r="P374">
        <v>0.99987139999999997</v>
      </c>
      <c r="Q374">
        <v>-8.1651490000000005E-4</v>
      </c>
      <c r="R374">
        <v>-1.6010699999999999E-2</v>
      </c>
      <c r="S374">
        <v>2.999298</v>
      </c>
      <c r="T374">
        <v>-0.14519509999999999</v>
      </c>
      <c r="U374">
        <v>-5.4290770000000002E-2</v>
      </c>
      <c r="V374">
        <v>4.2923259999999998E-2</v>
      </c>
      <c r="W374">
        <v>1.3566379999999999E-2</v>
      </c>
      <c r="X374">
        <v>0.99898620000000005</v>
      </c>
      <c r="Y374">
        <v>4.4925100000000003E-2</v>
      </c>
      <c r="Z374">
        <v>-2.3890579999999999E-3</v>
      </c>
      <c r="AA374">
        <v>0.99898750000000003</v>
      </c>
      <c r="AB374">
        <v>32</v>
      </c>
      <c r="AC374">
        <v>21.6051</v>
      </c>
      <c r="AD374">
        <v>-1.0602559250179999</v>
      </c>
      <c r="AE374">
        <v>-0.404600000000016</v>
      </c>
      <c r="AF374">
        <v>0.98373730578457697</v>
      </c>
      <c r="AG374">
        <v>-1.0602559250179999</v>
      </c>
      <c r="AH374">
        <v>21.5345330988503</v>
      </c>
      <c r="AI374">
        <v>92.815758319163194</v>
      </c>
      <c r="AJ374">
        <v>87.384441206801199</v>
      </c>
      <c r="AK374">
        <v>21.583048846231399</v>
      </c>
      <c r="AL374">
        <v>89.222679791253896</v>
      </c>
      <c r="AM374">
        <v>87.539695852099598</v>
      </c>
      <c r="AN374">
        <v>0.99999994035288398</v>
      </c>
    </row>
    <row r="375" spans="1:40" x14ac:dyDescent="0.25">
      <c r="A375" t="str">
        <f>"20190312160914381"</f>
        <v>20190312160914381</v>
      </c>
      <c r="B375" t="str">
        <f>"1552378154375163"</f>
        <v>1552378154375163</v>
      </c>
      <c r="C375" t="s">
        <v>40</v>
      </c>
      <c r="D375">
        <v>5.2811269999999997</v>
      </c>
      <c r="E375">
        <v>0.50071659999999996</v>
      </c>
      <c r="F375" t="s">
        <v>41</v>
      </c>
      <c r="G375">
        <v>-393.24590000000001</v>
      </c>
      <c r="H375" s="1">
        <v>-3.3322929999999999E-6</v>
      </c>
      <c r="I375">
        <v>367.06529999999998</v>
      </c>
      <c r="J375">
        <v>-415.46800000000002</v>
      </c>
      <c r="K375">
        <v>1.0602590000000001</v>
      </c>
      <c r="L375">
        <v>367.48790000000002</v>
      </c>
      <c r="M375">
        <v>0.99953349999999996</v>
      </c>
      <c r="N375">
        <v>0</v>
      </c>
      <c r="O375">
        <v>2.6940619999999998E-2</v>
      </c>
      <c r="P375">
        <v>0.99984680000000004</v>
      </c>
      <c r="Q375">
        <v>-1.268808E-3</v>
      </c>
      <c r="R375">
        <v>-1.747464E-2</v>
      </c>
      <c r="S375">
        <v>2.99939</v>
      </c>
      <c r="T375">
        <v>-0.14102029999999999</v>
      </c>
      <c r="U375">
        <v>-5.502319E-2</v>
      </c>
      <c r="V375">
        <v>4.4407170000000003E-2</v>
      </c>
      <c r="W375">
        <v>1.311438E-2</v>
      </c>
      <c r="X375">
        <v>0.99892740000000002</v>
      </c>
      <c r="Y375">
        <v>4.519426E-2</v>
      </c>
      <c r="Z375">
        <v>-2.3276960000000002E-3</v>
      </c>
      <c r="AA375">
        <v>0.99897550000000002</v>
      </c>
      <c r="AB375">
        <v>32</v>
      </c>
      <c r="AC375">
        <v>22.222100000000001</v>
      </c>
      <c r="AD375">
        <v>-1.060262332293</v>
      </c>
      <c r="AE375">
        <v>-0.422600000000045</v>
      </c>
      <c r="AF375">
        <v>1.01886714670149</v>
      </c>
      <c r="AG375">
        <v>-1.060262332293</v>
      </c>
      <c r="AH375">
        <v>22.152236178612799</v>
      </c>
      <c r="AI375">
        <v>92.737341066025294</v>
      </c>
      <c r="AJ375">
        <v>87.366601052707196</v>
      </c>
      <c r="AK375">
        <v>22.2009867841263</v>
      </c>
      <c r="AL375">
        <v>89.248579810210501</v>
      </c>
      <c r="AM375">
        <v>87.454600471325904</v>
      </c>
      <c r="AN375">
        <v>0.99999996709047601</v>
      </c>
    </row>
    <row r="376" spans="1:40" x14ac:dyDescent="0.25">
      <c r="A376" t="str">
        <f>"20190312160914405"</f>
        <v>20190312160914405</v>
      </c>
      <c r="B376" t="str">
        <f>"1552378154395659"</f>
        <v>1552378154395659</v>
      </c>
      <c r="C376" t="s">
        <v>40</v>
      </c>
      <c r="D376">
        <v>5.2812349999999997</v>
      </c>
      <c r="E376">
        <v>0.50055090000000002</v>
      </c>
      <c r="F376" t="s">
        <v>41</v>
      </c>
      <c r="G376">
        <v>-391.79140000000001</v>
      </c>
      <c r="H376" s="1">
        <v>-3.9622150000000001E-6</v>
      </c>
      <c r="I376">
        <v>367.0317</v>
      </c>
      <c r="J376">
        <v>-415.1275</v>
      </c>
      <c r="K376">
        <v>1.0602659999999999</v>
      </c>
      <c r="L376">
        <v>367.49709999999999</v>
      </c>
      <c r="M376">
        <v>0.9995328</v>
      </c>
      <c r="N376">
        <v>0</v>
      </c>
      <c r="O376">
        <v>2.6964189999999999E-2</v>
      </c>
      <c r="P376">
        <v>0.9998319</v>
      </c>
      <c r="Q376">
        <v>-1.1351569999999999E-3</v>
      </c>
      <c r="R376">
        <v>-1.830559E-2</v>
      </c>
      <c r="S376">
        <v>2.9992369999999999</v>
      </c>
      <c r="T376">
        <v>-0.1343086</v>
      </c>
      <c r="U376">
        <v>-5.776978E-2</v>
      </c>
      <c r="V376">
        <v>4.5261120000000002E-2</v>
      </c>
      <c r="W376">
        <v>1.324788E-2</v>
      </c>
      <c r="X376">
        <v>0.99888739999999998</v>
      </c>
      <c r="Y376">
        <v>4.6139659999999999E-2</v>
      </c>
      <c r="Z376">
        <v>-2.239333E-3</v>
      </c>
      <c r="AA376">
        <v>0.9989325</v>
      </c>
      <c r="AB376">
        <v>32</v>
      </c>
      <c r="AC376">
        <v>23.336099999999899</v>
      </c>
      <c r="AD376">
        <v>-1.060269962215</v>
      </c>
      <c r="AE376">
        <v>-0.46539999999998799</v>
      </c>
      <c r="AF376">
        <v>1.0922810344062801</v>
      </c>
      <c r="AG376">
        <v>-1.060269962215</v>
      </c>
      <c r="AH376">
        <v>23.267051334554399</v>
      </c>
      <c r="AI376">
        <v>92.606273676392107</v>
      </c>
      <c r="AJ376">
        <v>87.312200067824193</v>
      </c>
      <c r="AK376">
        <v>23.316794978205898</v>
      </c>
      <c r="AL376">
        <v>89.240930226768597</v>
      </c>
      <c r="AM376">
        <v>87.405614930678297</v>
      </c>
      <c r="AN376">
        <v>1.0000000565934499</v>
      </c>
    </row>
    <row r="377" spans="1:40" x14ac:dyDescent="0.25">
      <c r="A377" t="str">
        <f>"20190312160914428"</f>
        <v>20190312160914428</v>
      </c>
      <c r="B377" t="str">
        <f>"1552378154415179"</f>
        <v>1552378154415179</v>
      </c>
      <c r="C377" t="s">
        <v>40</v>
      </c>
      <c r="D377">
        <v>5.1611900000000004</v>
      </c>
      <c r="E377">
        <v>0.50043549999999903</v>
      </c>
      <c r="F377" t="s">
        <v>41</v>
      </c>
      <c r="G377">
        <v>-390.26</v>
      </c>
      <c r="H377" s="1">
        <v>-4.6230880000000003E-6</v>
      </c>
      <c r="I377">
        <v>367.00970000000001</v>
      </c>
      <c r="J377">
        <v>-414.79480000000001</v>
      </c>
      <c r="K377">
        <v>1.06027</v>
      </c>
      <c r="L377">
        <v>367.5061</v>
      </c>
      <c r="M377">
        <v>0.99953210000000003</v>
      </c>
      <c r="N377">
        <v>0</v>
      </c>
      <c r="O377">
        <v>2.698731E-2</v>
      </c>
      <c r="P377">
        <v>0.99981739999999997</v>
      </c>
      <c r="Q377">
        <v>-8.4644530000000003E-4</v>
      </c>
      <c r="R377">
        <v>-1.909543E-2</v>
      </c>
      <c r="S377">
        <v>2.9992369999999999</v>
      </c>
      <c r="T377">
        <v>-0.12787750000000001</v>
      </c>
      <c r="U377">
        <v>-5.877686E-2</v>
      </c>
      <c r="V377">
        <v>4.6073309999999999E-2</v>
      </c>
      <c r="W377">
        <v>1.353587E-2</v>
      </c>
      <c r="X377">
        <v>0.99884640000000002</v>
      </c>
      <c r="Y377">
        <v>4.6504549999999999E-2</v>
      </c>
      <c r="Z377">
        <v>-2.1409609999999998E-3</v>
      </c>
      <c r="AA377">
        <v>0.99891580000000002</v>
      </c>
      <c r="AB377">
        <v>32</v>
      </c>
      <c r="AC377">
        <v>24.534800000000001</v>
      </c>
      <c r="AD377">
        <v>-1.060274623088</v>
      </c>
      <c r="AE377">
        <v>-0.49639999999999401</v>
      </c>
      <c r="AF377">
        <v>1.15625756177543</v>
      </c>
      <c r="AG377">
        <v>-1.060274623088</v>
      </c>
      <c r="AH377">
        <v>24.466789901388701</v>
      </c>
      <c r="AI377">
        <v>92.478612005787895</v>
      </c>
      <c r="AJ377">
        <v>87.294315031844704</v>
      </c>
      <c r="AK377">
        <v>24.517033301446201</v>
      </c>
      <c r="AL377">
        <v>89.224428131341597</v>
      </c>
      <c r="AM377">
        <v>87.359016964193202</v>
      </c>
      <c r="AN377">
        <v>1.0000000502319799</v>
      </c>
    </row>
    <row r="378" spans="1:40" x14ac:dyDescent="0.25">
      <c r="A378" t="str">
        <f>"20190312160914450"</f>
        <v>20190312160914450</v>
      </c>
      <c r="B378" t="str">
        <f>"1552378154435676"</f>
        <v>1552378154435676</v>
      </c>
      <c r="C378" t="s">
        <v>40</v>
      </c>
      <c r="D378">
        <v>5.2606400000000004</v>
      </c>
      <c r="E378">
        <v>0.50028839999999997</v>
      </c>
      <c r="F378" t="s">
        <v>41</v>
      </c>
      <c r="G378">
        <v>-388.5598</v>
      </c>
      <c r="H378" s="1">
        <v>-1.17837E-6</v>
      </c>
      <c r="I378">
        <v>366.97719999999998</v>
      </c>
      <c r="J378">
        <v>-414.48500000000001</v>
      </c>
      <c r="K378">
        <v>1.060271</v>
      </c>
      <c r="L378">
        <v>367.51440000000002</v>
      </c>
      <c r="M378">
        <v>0.99953150000000002</v>
      </c>
      <c r="N378">
        <v>0</v>
      </c>
      <c r="O378">
        <v>2.7009419999999999E-2</v>
      </c>
      <c r="P378">
        <v>0.99981430000000004</v>
      </c>
      <c r="Q378">
        <v>-5.3076570000000001E-4</v>
      </c>
      <c r="R378">
        <v>-1.9271779999999999E-2</v>
      </c>
      <c r="S378">
        <v>2.9992369999999999</v>
      </c>
      <c r="T378">
        <v>-0.1212116</v>
      </c>
      <c r="U378">
        <v>-6.045532E-2</v>
      </c>
      <c r="V378">
        <v>4.6271479999999997E-2</v>
      </c>
      <c r="W378">
        <v>1.385055E-2</v>
      </c>
      <c r="X378">
        <v>0.99883290000000002</v>
      </c>
      <c r="Y378">
        <v>4.7091710000000002E-2</v>
      </c>
      <c r="Z378">
        <v>-2.042196E-3</v>
      </c>
      <c r="AA378">
        <v>0.99888849999999996</v>
      </c>
      <c r="AB378">
        <v>32</v>
      </c>
      <c r="AC378">
        <v>25.9252</v>
      </c>
      <c r="AD378">
        <v>-1.06027217837</v>
      </c>
      <c r="AE378">
        <v>-0.53720000000004098</v>
      </c>
      <c r="AF378">
        <v>1.2352360111441301</v>
      </c>
      <c r="AG378">
        <v>-1.06027217837</v>
      </c>
      <c r="AH378">
        <v>25.857997652634399</v>
      </c>
      <c r="AI378">
        <v>92.3453490410878</v>
      </c>
      <c r="AJ378">
        <v>87.265060887990302</v>
      </c>
      <c r="AK378">
        <v>25.9091880941704</v>
      </c>
      <c r="AL378">
        <v>89.206396585568001</v>
      </c>
      <c r="AM378">
        <v>87.347637987403203</v>
      </c>
      <c r="AN378">
        <v>1.00000002485955</v>
      </c>
    </row>
    <row r="379" spans="1:40" x14ac:dyDescent="0.25">
      <c r="A379" t="str">
        <f>"20190312160914471"</f>
        <v>20190312160914471</v>
      </c>
      <c r="B379" t="str">
        <f>"1552378154464955"</f>
        <v>1552378154464955</v>
      </c>
      <c r="C379" t="s">
        <v>40</v>
      </c>
      <c r="D379">
        <v>5.2435340000000004</v>
      </c>
      <c r="E379">
        <v>0.480597</v>
      </c>
      <c r="F379" t="s">
        <v>41</v>
      </c>
      <c r="G379">
        <v>-387.03980000000001</v>
      </c>
      <c r="H379" s="1">
        <v>-1.7223009999999901E-6</v>
      </c>
      <c r="I379">
        <v>366.96620000000001</v>
      </c>
      <c r="J379">
        <v>-414.17520000000002</v>
      </c>
      <c r="K379">
        <v>1.0602659999999999</v>
      </c>
      <c r="L379">
        <v>367.52289999999999</v>
      </c>
      <c r="M379">
        <v>0.9995309</v>
      </c>
      <c r="N379">
        <v>0</v>
      </c>
      <c r="O379">
        <v>2.7031349999999999E-2</v>
      </c>
      <c r="P379">
        <v>0.99982459999999995</v>
      </c>
      <c r="Q379">
        <v>-6.5183339999999904E-4</v>
      </c>
      <c r="R379">
        <v>-1.871078E-2</v>
      </c>
      <c r="S379">
        <v>2.9993590000000001</v>
      </c>
      <c r="T379">
        <v>-0.11587210000000001</v>
      </c>
      <c r="U379">
        <v>-5.9906010000000003E-2</v>
      </c>
      <c r="V379">
        <v>4.5733280000000001E-2</v>
      </c>
      <c r="W379">
        <v>1.3729440000000001E-2</v>
      </c>
      <c r="X379">
        <v>0.99885930000000001</v>
      </c>
      <c r="Y379">
        <v>4.6935259999999999E-2</v>
      </c>
      <c r="Z379">
        <v>-1.9500539999999999E-3</v>
      </c>
      <c r="AA379">
        <v>0.99889600000000001</v>
      </c>
      <c r="AB379">
        <v>32</v>
      </c>
      <c r="AC379">
        <v>27.135400000000001</v>
      </c>
      <c r="AD379">
        <v>-1.060267722301</v>
      </c>
      <c r="AE379">
        <v>-0.55669999999997799</v>
      </c>
      <c r="AF379">
        <v>1.2881133039666799</v>
      </c>
      <c r="AG379">
        <v>-1.060267722301</v>
      </c>
      <c r="AH379">
        <v>27.069122873122499</v>
      </c>
      <c r="AI379">
        <v>92.240533179210701</v>
      </c>
      <c r="AJ379">
        <v>87.275573942094695</v>
      </c>
      <c r="AK379">
        <v>27.1204870282046</v>
      </c>
      <c r="AL379">
        <v>89.213336290677702</v>
      </c>
      <c r="AM379">
        <v>87.378514450678495</v>
      </c>
      <c r="AN379">
        <v>0.99999996580938</v>
      </c>
    </row>
    <row r="380" spans="1:40" x14ac:dyDescent="0.25">
      <c r="A380" t="str">
        <f>"20190312160914494"</f>
        <v>20190312160914494</v>
      </c>
      <c r="B380" t="str">
        <f>"1552378154485451"</f>
        <v>1552378154485451</v>
      </c>
      <c r="C380" t="s">
        <v>40</v>
      </c>
      <c r="D380">
        <v>5.1974780000000003</v>
      </c>
      <c r="E380">
        <v>0.47968749999999999</v>
      </c>
      <c r="F380" t="s">
        <v>41</v>
      </c>
      <c r="G380">
        <v>-385.34519999999998</v>
      </c>
      <c r="H380" s="1">
        <v>-2.1820719999999999E-6</v>
      </c>
      <c r="I380">
        <v>368.4726</v>
      </c>
      <c r="J380">
        <v>-413.86200000000002</v>
      </c>
      <c r="K380">
        <v>1.0602720000000001</v>
      </c>
      <c r="L380">
        <v>367.53140000000002</v>
      </c>
      <c r="M380">
        <v>0.99953029999999998</v>
      </c>
      <c r="N380">
        <v>0</v>
      </c>
      <c r="O380">
        <v>2.7053649999999999E-2</v>
      </c>
      <c r="P380">
        <v>0.99983929999999999</v>
      </c>
      <c r="Q380">
        <v>-1.2121269999999999E-3</v>
      </c>
      <c r="R380">
        <v>-1.788849E-2</v>
      </c>
      <c r="S380">
        <v>3.0023499999999999</v>
      </c>
      <c r="T380">
        <v>-0.110415899999999</v>
      </c>
      <c r="U380">
        <v>9.8907469999999997E-2</v>
      </c>
      <c r="V380">
        <v>4.4933899999999999E-2</v>
      </c>
      <c r="W380">
        <v>1.3168259999999999E-2</v>
      </c>
      <c r="X380">
        <v>0.99890319999999999</v>
      </c>
      <c r="Y380">
        <v>-5.8859400000000001E-3</v>
      </c>
      <c r="Z380">
        <v>-8.8606839999999997E-4</v>
      </c>
      <c r="AA380">
        <v>0.99998229999999999</v>
      </c>
      <c r="AB380">
        <v>32</v>
      </c>
      <c r="AC380">
        <v>28.5167999999999</v>
      </c>
      <c r="AD380">
        <v>-1.0602741820720001</v>
      </c>
      <c r="AE380">
        <v>0.94119999999998005</v>
      </c>
      <c r="AF380">
        <v>-0.16905848559869999</v>
      </c>
      <c r="AG380">
        <v>-1.0602741820720001</v>
      </c>
      <c r="AH380">
        <v>28.492480495900701</v>
      </c>
      <c r="AI380">
        <v>92.131093853535006</v>
      </c>
      <c r="AJ380">
        <v>90.3399572054782</v>
      </c>
      <c r="AK380">
        <v>28.512702553809302</v>
      </c>
      <c r="AL380">
        <v>89.245492494912597</v>
      </c>
      <c r="AM380">
        <v>87.424386643458902</v>
      </c>
      <c r="AN380">
        <v>1.00000003070543</v>
      </c>
    </row>
    <row r="381" spans="1:40" x14ac:dyDescent="0.25">
      <c r="A381" t="str">
        <f>"20190312160914516"</f>
        <v>20190312160914516</v>
      </c>
      <c r="B381" t="str">
        <f>"1552378154504971"</f>
        <v>1552378154504971</v>
      </c>
      <c r="C381" t="s">
        <v>40</v>
      </c>
      <c r="D381">
        <v>5.2253759999999998</v>
      </c>
      <c r="E381">
        <v>0.4795584</v>
      </c>
      <c r="F381" t="s">
        <v>41</v>
      </c>
      <c r="G381">
        <v>-385.00549999999998</v>
      </c>
      <c r="H381" s="1">
        <v>-2.3096030000000002E-6</v>
      </c>
      <c r="I381">
        <v>368.5752</v>
      </c>
      <c r="J381">
        <v>-413.53519999999997</v>
      </c>
      <c r="K381">
        <v>1.0602739999999999</v>
      </c>
      <c r="L381">
        <v>367.5403</v>
      </c>
      <c r="M381">
        <v>0.99952969999999997</v>
      </c>
      <c r="N381">
        <v>0</v>
      </c>
      <c r="O381">
        <v>2.707762E-2</v>
      </c>
      <c r="P381">
        <v>0.99984879999999998</v>
      </c>
      <c r="Q381">
        <v>-1.175695E-3</v>
      </c>
      <c r="R381">
        <v>-1.7354479999999999E-2</v>
      </c>
      <c r="S381">
        <v>3.0022890000000002</v>
      </c>
      <c r="T381">
        <v>-0.11031290000000001</v>
      </c>
      <c r="U381">
        <v>0.1086121</v>
      </c>
      <c r="V381">
        <v>4.4424110000000003E-2</v>
      </c>
      <c r="W381">
        <v>1.320354E-2</v>
      </c>
      <c r="X381">
        <v>0.99892550000000002</v>
      </c>
      <c r="Y381">
        <v>-9.0889079999999997E-3</v>
      </c>
      <c r="Z381">
        <v>-8.2727530000000003E-4</v>
      </c>
      <c r="AA381">
        <v>0.99995829999999997</v>
      </c>
      <c r="AB381">
        <v>32</v>
      </c>
      <c r="AC381">
        <v>28.529699999999899</v>
      </c>
      <c r="AD381">
        <v>-1.0602763096029999</v>
      </c>
      <c r="AE381">
        <v>1.0348999999999899</v>
      </c>
      <c r="AF381">
        <v>-0.261563259767227</v>
      </c>
      <c r="AG381">
        <v>-1.0602763096029999</v>
      </c>
      <c r="AH381">
        <v>28.5079402348249</v>
      </c>
      <c r="AI381">
        <v>92.129891397696497</v>
      </c>
      <c r="AJ381">
        <v>90.525679871126997</v>
      </c>
      <c r="AK381">
        <v>28.528849567129701</v>
      </c>
      <c r="AL381">
        <v>89.243470896945396</v>
      </c>
      <c r="AM381">
        <v>87.453625918832998</v>
      </c>
      <c r="AN381">
        <v>0.99999999478403601</v>
      </c>
    </row>
    <row r="382" spans="1:40" x14ac:dyDescent="0.25">
      <c r="A382" t="str">
        <f>"20190312160914538"</f>
        <v>20190312160914538</v>
      </c>
      <c r="B382" t="str">
        <f>"1552378154535228"</f>
        <v>1552378154535228</v>
      </c>
      <c r="C382" t="s">
        <v>40</v>
      </c>
      <c r="D382">
        <v>5.2007599999999998</v>
      </c>
      <c r="E382">
        <v>0.47936839999999997</v>
      </c>
      <c r="F382" t="s">
        <v>41</v>
      </c>
      <c r="G382">
        <v>-384.90289999999999</v>
      </c>
      <c r="H382" s="1">
        <v>-2.3492100000000002E-6</v>
      </c>
      <c r="I382">
        <v>368.60019999999997</v>
      </c>
      <c r="J382">
        <v>-413.23500000000001</v>
      </c>
      <c r="K382">
        <v>1.0602739999999999</v>
      </c>
      <c r="L382">
        <v>367.54840000000002</v>
      </c>
      <c r="M382">
        <v>0.99952929999999995</v>
      </c>
      <c r="N382">
        <v>0</v>
      </c>
      <c r="O382">
        <v>2.7099560000000002E-2</v>
      </c>
      <c r="P382">
        <v>0.99986090000000005</v>
      </c>
      <c r="Q382">
        <v>-7.0765539999999999E-4</v>
      </c>
      <c r="R382">
        <v>-1.667368E-2</v>
      </c>
      <c r="S382">
        <v>3.0022280000000001</v>
      </c>
      <c r="T382">
        <v>-0.1111746</v>
      </c>
      <c r="U382">
        <v>0.11114499999999999</v>
      </c>
      <c r="V382">
        <v>4.376588E-2</v>
      </c>
      <c r="W382">
        <v>1.367032E-2</v>
      </c>
      <c r="X382">
        <v>0.99894830000000001</v>
      </c>
      <c r="Y382">
        <v>-9.9098699999999994E-3</v>
      </c>
      <c r="Z382">
        <v>-8.1935549999999997E-4</v>
      </c>
      <c r="AA382">
        <v>0.99995060000000002</v>
      </c>
      <c r="AB382">
        <v>32</v>
      </c>
      <c r="AC382">
        <v>28.332100000000001</v>
      </c>
      <c r="AD382">
        <v>-1.06027634921</v>
      </c>
      <c r="AE382">
        <v>1.0517999999999501</v>
      </c>
      <c r="AF382">
        <v>-0.28315078839519098</v>
      </c>
      <c r="AG382">
        <v>-1.06027634921</v>
      </c>
      <c r="AH382">
        <v>28.3106046450254</v>
      </c>
      <c r="AI382">
        <v>92.144706829047493</v>
      </c>
      <c r="AJ382">
        <v>90.5730292386054</v>
      </c>
      <c r="AK382">
        <v>28.331867140599801</v>
      </c>
      <c r="AL382">
        <v>89.216723976073695</v>
      </c>
      <c r="AM382">
        <v>87.491364047424895</v>
      </c>
      <c r="AN382">
        <v>1.0000000179869799</v>
      </c>
    </row>
    <row r="383" spans="1:40" x14ac:dyDescent="0.25">
      <c r="A383" t="str">
        <f>"20190312160914560"</f>
        <v>20190312160914560</v>
      </c>
      <c r="B383" t="str">
        <f>"1552378154555723"</f>
        <v>1552378154555723</v>
      </c>
      <c r="C383" t="s">
        <v>40</v>
      </c>
      <c r="D383">
        <v>5.1448720000000003</v>
      </c>
      <c r="E383">
        <v>0.47946630000000001</v>
      </c>
      <c r="F383" t="s">
        <v>41</v>
      </c>
      <c r="G383">
        <v>-380.7441</v>
      </c>
      <c r="H383" s="1">
        <v>-4.0990540000000003E-6</v>
      </c>
      <c r="I383">
        <v>368.79309999999998</v>
      </c>
      <c r="J383">
        <v>-412.91989999999998</v>
      </c>
      <c r="K383">
        <v>1.0602739999999999</v>
      </c>
      <c r="L383">
        <v>367.55700000000002</v>
      </c>
      <c r="M383">
        <v>0.99952859999999999</v>
      </c>
      <c r="N383">
        <v>0</v>
      </c>
      <c r="O383">
        <v>2.7122520000000001E-2</v>
      </c>
      <c r="P383">
        <v>0.99986350000000002</v>
      </c>
      <c r="Q383">
        <v>-4.4933069999999998E-4</v>
      </c>
      <c r="R383">
        <v>-1.653657E-2</v>
      </c>
      <c r="S383">
        <v>3.0022579999999999</v>
      </c>
      <c r="T383">
        <v>-9.7972749999999997E-2</v>
      </c>
      <c r="U383">
        <v>0.11502080000000001</v>
      </c>
      <c r="V383">
        <v>4.365173E-2</v>
      </c>
      <c r="W383">
        <v>1.392636E-2</v>
      </c>
      <c r="X383">
        <v>0.9989498</v>
      </c>
      <c r="Y383">
        <v>-1.117228E-2</v>
      </c>
      <c r="Z383">
        <v>-7.0224779999999997E-4</v>
      </c>
      <c r="AA383">
        <v>0.99993739999999998</v>
      </c>
      <c r="AB383">
        <v>32</v>
      </c>
      <c r="AC383">
        <v>32.175799999999903</v>
      </c>
      <c r="AD383">
        <v>-1.0602780990539999</v>
      </c>
      <c r="AE383">
        <v>1.23610000000002</v>
      </c>
      <c r="AF383">
        <v>-0.36247305103571698</v>
      </c>
      <c r="AG383">
        <v>-1.0602780990539999</v>
      </c>
      <c r="AH383">
        <v>32.162617032250502</v>
      </c>
      <c r="AI383">
        <v>91.888018446170506</v>
      </c>
      <c r="AJ383">
        <v>90.645696734833507</v>
      </c>
      <c r="AK383">
        <v>32.182130301197702</v>
      </c>
      <c r="AL383">
        <v>89.202052601677494</v>
      </c>
      <c r="AM383">
        <v>87.4979024881019</v>
      </c>
      <c r="AN383">
        <v>1.0000000599774299</v>
      </c>
    </row>
    <row r="384" spans="1:40" x14ac:dyDescent="0.25">
      <c r="A384" t="str">
        <f>"20190312160914584"</f>
        <v>20190312160914584</v>
      </c>
      <c r="B384" t="str">
        <f>"1552378154575243"</f>
        <v>1552378154575243</v>
      </c>
      <c r="C384" t="s">
        <v>40</v>
      </c>
      <c r="D384">
        <v>5.1254429999999997</v>
      </c>
      <c r="E384">
        <v>0.47945320000000002</v>
      </c>
      <c r="F384" t="s">
        <v>41</v>
      </c>
      <c r="G384">
        <v>-378.85390000000001</v>
      </c>
      <c r="H384" s="1">
        <v>-6.0906430000000001E-7</v>
      </c>
      <c r="I384">
        <v>368.85469999999998</v>
      </c>
      <c r="J384">
        <v>-412.59309999999999</v>
      </c>
      <c r="K384">
        <v>1.060279</v>
      </c>
      <c r="L384">
        <v>367.5659</v>
      </c>
      <c r="M384">
        <v>0.99952810000000003</v>
      </c>
      <c r="N384">
        <v>0</v>
      </c>
      <c r="O384">
        <v>2.714397E-2</v>
      </c>
      <c r="P384">
        <v>0.99986710000000001</v>
      </c>
      <c r="Q384">
        <v>-1.104835E-3</v>
      </c>
      <c r="R384">
        <v>-1.626884E-2</v>
      </c>
      <c r="S384">
        <v>3.0022579999999999</v>
      </c>
      <c r="T384">
        <v>-9.344268E-2</v>
      </c>
      <c r="U384">
        <v>0.11437990000000001</v>
      </c>
      <c r="V384">
        <v>4.3405949999999999E-2</v>
      </c>
      <c r="W384">
        <v>1.326838E-2</v>
      </c>
      <c r="X384">
        <v>0.99896940000000001</v>
      </c>
      <c r="Y384">
        <v>-1.093704E-2</v>
      </c>
      <c r="Z384">
        <v>-6.7412250000000004E-4</v>
      </c>
      <c r="AA384">
        <v>0.99994000000000005</v>
      </c>
      <c r="AB384">
        <v>32</v>
      </c>
      <c r="AC384">
        <v>33.739199999999897</v>
      </c>
      <c r="AD384">
        <v>-1.0602796090643001</v>
      </c>
      <c r="AE384">
        <v>1.28879999999998</v>
      </c>
      <c r="AF384">
        <v>-0.37204759844451002</v>
      </c>
      <c r="AG384">
        <v>-1.0602796090643001</v>
      </c>
      <c r="AH384">
        <v>33.728491493519698</v>
      </c>
      <c r="AI384">
        <v>91.800432008403604</v>
      </c>
      <c r="AJ384">
        <v>90.631984761615797</v>
      </c>
      <c r="AK384">
        <v>33.747203598125502</v>
      </c>
      <c r="AL384">
        <v>89.239755512726205</v>
      </c>
      <c r="AM384">
        <v>87.5120214878296</v>
      </c>
      <c r="AN384">
        <v>0.99999999426979302</v>
      </c>
    </row>
    <row r="385" spans="1:40" x14ac:dyDescent="0.25">
      <c r="A385" t="str">
        <f>"20190312160914606"</f>
        <v>20190312160914606</v>
      </c>
      <c r="B385" t="str">
        <f>"1552378154595741"</f>
        <v>1552378154595741</v>
      </c>
      <c r="C385" t="s">
        <v>40</v>
      </c>
      <c r="D385">
        <v>5.1364429999999999</v>
      </c>
      <c r="E385">
        <v>0.4795546</v>
      </c>
      <c r="F385" t="s">
        <v>41</v>
      </c>
      <c r="G385">
        <v>-382.23610000000002</v>
      </c>
      <c r="H385" s="1">
        <v>-3.4698670000000002E-6</v>
      </c>
      <c r="I385">
        <v>368.73200000000003</v>
      </c>
      <c r="J385">
        <v>-412.2731</v>
      </c>
      <c r="K385">
        <v>1.060276</v>
      </c>
      <c r="L385">
        <v>367.57459999999998</v>
      </c>
      <c r="M385">
        <v>0.99952770000000002</v>
      </c>
      <c r="N385">
        <v>0</v>
      </c>
      <c r="O385">
        <v>2.7158720000000001E-2</v>
      </c>
      <c r="P385">
        <v>0.99986759999999997</v>
      </c>
      <c r="Q385">
        <v>-1.2702729999999999E-3</v>
      </c>
      <c r="R385">
        <v>-1.623262E-2</v>
      </c>
      <c r="S385">
        <v>3.0021360000000001</v>
      </c>
      <c r="T385">
        <v>-0.1048558</v>
      </c>
      <c r="U385">
        <v>0.1153259</v>
      </c>
      <c r="V385">
        <v>4.338446E-2</v>
      </c>
      <c r="W385">
        <v>1.310103E-2</v>
      </c>
      <c r="X385">
        <v>0.99897250000000004</v>
      </c>
      <c r="Y385">
        <v>-1.124033E-2</v>
      </c>
      <c r="Z385">
        <v>-7.5165899999999903E-4</v>
      </c>
      <c r="AA385">
        <v>0.99993650000000001</v>
      </c>
      <c r="AB385">
        <v>32</v>
      </c>
      <c r="AC385">
        <v>30.0369999999999</v>
      </c>
      <c r="AD385">
        <v>-1.0602794698669999</v>
      </c>
      <c r="AE385">
        <v>1.15739999999999</v>
      </c>
      <c r="AF385">
        <v>-0.34069826792172297</v>
      </c>
      <c r="AG385">
        <v>-1.0602794698669999</v>
      </c>
      <c r="AH385">
        <v>30.020004538402599</v>
      </c>
      <c r="AI385">
        <v>92.022664255680795</v>
      </c>
      <c r="AJ385">
        <v>90.650224246004797</v>
      </c>
      <c r="AK385">
        <v>30.040654792292798</v>
      </c>
      <c r="AL385">
        <v>89.249344763324004</v>
      </c>
      <c r="AM385">
        <v>87.513259430073404</v>
      </c>
      <c r="AN385">
        <v>0.99999995205640002</v>
      </c>
    </row>
    <row r="386" spans="1:40" x14ac:dyDescent="0.25">
      <c r="A386" t="str">
        <f>"20190312160914629"</f>
        <v>20190312160914629</v>
      </c>
      <c r="B386" t="str">
        <f>"1552378154625020"</f>
        <v>1552378154625020</v>
      </c>
      <c r="C386" t="s">
        <v>40</v>
      </c>
      <c r="D386">
        <v>5.1778170000000001</v>
      </c>
      <c r="E386">
        <v>0.47976089999999999</v>
      </c>
      <c r="F386" t="s">
        <v>41</v>
      </c>
      <c r="G386">
        <v>-383.4785</v>
      </c>
      <c r="H386" s="1">
        <v>-2.9473339999999998E-6</v>
      </c>
      <c r="I386">
        <v>368.67309999999998</v>
      </c>
      <c r="J386">
        <v>-411.94760000000002</v>
      </c>
      <c r="K386">
        <v>1.0602720000000001</v>
      </c>
      <c r="L386">
        <v>367.58339999999998</v>
      </c>
      <c r="M386">
        <v>0.99952750000000001</v>
      </c>
      <c r="N386">
        <v>0</v>
      </c>
      <c r="O386">
        <v>2.716915E-2</v>
      </c>
      <c r="P386">
        <v>0.99986949999999997</v>
      </c>
      <c r="Q386">
        <v>-1.7433829999999901E-3</v>
      </c>
      <c r="R386">
        <v>-1.606633E-2</v>
      </c>
      <c r="S386">
        <v>3.002075</v>
      </c>
      <c r="T386">
        <v>-0.11054269999999999</v>
      </c>
      <c r="U386">
        <v>0.1145325</v>
      </c>
      <c r="V386">
        <v>4.3229030000000002E-2</v>
      </c>
      <c r="W386">
        <v>1.2624710000000001E-2</v>
      </c>
      <c r="X386">
        <v>0.99898540000000002</v>
      </c>
      <c r="Y386">
        <v>-1.096805E-2</v>
      </c>
      <c r="Z386">
        <v>-7.9781250000000002E-4</v>
      </c>
      <c r="AA386">
        <v>0.99993949999999998</v>
      </c>
      <c r="AB386">
        <v>32</v>
      </c>
      <c r="AC386">
        <v>28.469100000000001</v>
      </c>
      <c r="AD386">
        <v>-1.0602749473340001</v>
      </c>
      <c r="AE386">
        <v>1.0896999999999899</v>
      </c>
      <c r="AF386">
        <v>-0.315299793795844</v>
      </c>
      <c r="AG386">
        <v>-1.0602749473340001</v>
      </c>
      <c r="AH386">
        <v>28.448795816759301</v>
      </c>
      <c r="AI386">
        <v>92.134271359604199</v>
      </c>
      <c r="AJ386">
        <v>90.634986730383005</v>
      </c>
      <c r="AK386">
        <v>28.470292944533799</v>
      </c>
      <c r="AL386">
        <v>89.276638169421503</v>
      </c>
      <c r="AM386">
        <v>87.522189307449096</v>
      </c>
      <c r="AN386">
        <v>0.999999980875242</v>
      </c>
    </row>
    <row r="387" spans="1:40" x14ac:dyDescent="0.25">
      <c r="A387" t="str">
        <f>"20190312160914672"</f>
        <v>20190312160914672</v>
      </c>
      <c r="B387" t="str">
        <f>"1552378154665035"</f>
        <v>1552378154665035</v>
      </c>
      <c r="C387" t="s">
        <v>40</v>
      </c>
      <c r="D387">
        <v>5.1691129999999896</v>
      </c>
      <c r="E387">
        <v>0.47990969999999999</v>
      </c>
      <c r="F387" t="s">
        <v>41</v>
      </c>
      <c r="G387">
        <v>-382.88749999999999</v>
      </c>
      <c r="H387" s="1">
        <v>-3.1991489999999999E-6</v>
      </c>
      <c r="I387">
        <v>368.68259999999998</v>
      </c>
      <c r="J387">
        <v>-411.3415</v>
      </c>
      <c r="K387">
        <v>1.060252</v>
      </c>
      <c r="L387">
        <v>367.59989999999999</v>
      </c>
      <c r="M387">
        <v>0.99952719999999995</v>
      </c>
      <c r="N387">
        <v>0</v>
      </c>
      <c r="O387">
        <v>2.7178540000000001E-2</v>
      </c>
      <c r="P387">
        <v>0.9998937</v>
      </c>
      <c r="Q387">
        <v>-1.1499800000000001E-3</v>
      </c>
      <c r="R387">
        <v>-1.4546109999999999E-2</v>
      </c>
      <c r="S387">
        <v>3.0019840000000002</v>
      </c>
      <c r="T387">
        <v>-0.1095291</v>
      </c>
      <c r="U387">
        <v>0.1135559</v>
      </c>
      <c r="V387">
        <v>4.1719489999999998E-2</v>
      </c>
      <c r="W387">
        <v>1.321307E-2</v>
      </c>
      <c r="X387">
        <v>0.99904199999999999</v>
      </c>
      <c r="Y387">
        <v>-1.063503E-2</v>
      </c>
      <c r="Z387">
        <v>-7.9694589999999995E-4</v>
      </c>
      <c r="AA387">
        <v>0.99994309999999997</v>
      </c>
      <c r="AB387">
        <v>32</v>
      </c>
      <c r="AC387">
        <v>28.454000000000001</v>
      </c>
      <c r="AD387">
        <v>-1.0602551991489999</v>
      </c>
      <c r="AE387">
        <v>1.08269999999998</v>
      </c>
      <c r="AF387">
        <v>-0.30845418950318199</v>
      </c>
      <c r="AG387">
        <v>-1.0602551991489999</v>
      </c>
      <c r="AH387">
        <v>28.433494266679102</v>
      </c>
      <c r="AI387">
        <v>92.135384615260804</v>
      </c>
      <c r="AJ387">
        <v>90.6215356377962</v>
      </c>
      <c r="AK387">
        <v>28.454927188232599</v>
      </c>
      <c r="AL387">
        <v>89.242924831604498</v>
      </c>
      <c r="AM387">
        <v>87.608746502076002</v>
      </c>
      <c r="AN387">
        <v>1.00000000941434</v>
      </c>
    </row>
    <row r="388" spans="1:40" x14ac:dyDescent="0.25">
      <c r="A388" t="str">
        <f>"20190312160914695"</f>
        <v>20190312160914695</v>
      </c>
      <c r="B388" t="str">
        <f>"1552378154685531"</f>
        <v>1552378154685531</v>
      </c>
      <c r="C388" t="s">
        <v>40</v>
      </c>
      <c r="D388">
        <v>5.2357589999999998</v>
      </c>
      <c r="E388">
        <v>0.48002899999999998</v>
      </c>
      <c r="F388" t="s">
        <v>41</v>
      </c>
      <c r="G388">
        <v>-381.12049999999999</v>
      </c>
      <c r="H388" s="1">
        <v>-3.9411810000000002E-6</v>
      </c>
      <c r="I388">
        <v>368.77289999999999</v>
      </c>
      <c r="J388">
        <v>-411.01740000000001</v>
      </c>
      <c r="K388">
        <v>1.0602529999999999</v>
      </c>
      <c r="L388">
        <v>367.6087</v>
      </c>
      <c r="M388">
        <v>0.99952730000000001</v>
      </c>
      <c r="N388">
        <v>0</v>
      </c>
      <c r="O388">
        <v>2.7179180000000001E-2</v>
      </c>
      <c r="P388">
        <v>0.99988129999999997</v>
      </c>
      <c r="Q388">
        <v>-2.2002520000000002E-3</v>
      </c>
      <c r="R388">
        <v>-1.524496E-2</v>
      </c>
      <c r="S388">
        <v>3.0018919999999998</v>
      </c>
      <c r="T388">
        <v>-0.10531649999999999</v>
      </c>
      <c r="U388">
        <v>0.1165161</v>
      </c>
      <c r="V388">
        <v>4.2418549999999999E-2</v>
      </c>
      <c r="W388">
        <v>1.215983E-2</v>
      </c>
      <c r="X388">
        <v>0.99902590000000002</v>
      </c>
      <c r="Y388">
        <v>-1.1618720000000001E-2</v>
      </c>
      <c r="Z388">
        <v>-7.4909789999999998E-4</v>
      </c>
      <c r="AA388">
        <v>0.99993220000000005</v>
      </c>
      <c r="AB388">
        <v>31</v>
      </c>
      <c r="AC388">
        <v>29.896899999999999</v>
      </c>
      <c r="AD388">
        <v>-1.0602569411809999</v>
      </c>
      <c r="AE388">
        <v>1.1641999999999899</v>
      </c>
      <c r="AF388">
        <v>-0.35067233927922198</v>
      </c>
      <c r="AG388">
        <v>-1.0602569411809999</v>
      </c>
      <c r="AH388">
        <v>29.879975879126398</v>
      </c>
      <c r="AI388">
        <v>92.032083071889403</v>
      </c>
      <c r="AJ388">
        <v>90.672394205894904</v>
      </c>
      <c r="AK388">
        <v>29.900837352957801</v>
      </c>
      <c r="AL388">
        <v>89.303275871302802</v>
      </c>
      <c r="AM388">
        <v>87.568686738170996</v>
      </c>
      <c r="AN388">
        <v>0.99999997186027001</v>
      </c>
    </row>
    <row r="389" spans="1:40" x14ac:dyDescent="0.25">
      <c r="A389" t="str">
        <f>"20190312160914719"</f>
        <v>20190312160914719</v>
      </c>
      <c r="B389" t="str">
        <f>"1552378154715788"</f>
        <v>1552378154715788</v>
      </c>
      <c r="C389" t="s">
        <v>40</v>
      </c>
      <c r="D389">
        <v>5.1596190000000002</v>
      </c>
      <c r="E389">
        <v>0.47994819999999999</v>
      </c>
      <c r="F389" t="s">
        <v>41</v>
      </c>
      <c r="G389">
        <v>-381.2629</v>
      </c>
      <c r="H389" s="1">
        <v>-3.8869360000000002E-6</v>
      </c>
      <c r="I389">
        <v>368.73419999999999</v>
      </c>
      <c r="J389">
        <v>-410.68180000000001</v>
      </c>
      <c r="K389">
        <v>1.0602499999999999</v>
      </c>
      <c r="L389">
        <v>367.61779999999999</v>
      </c>
      <c r="M389">
        <v>0.99952770000000002</v>
      </c>
      <c r="N389">
        <v>0</v>
      </c>
      <c r="O389">
        <v>2.7166940000000001E-2</v>
      </c>
      <c r="P389">
        <v>0.99987060000000005</v>
      </c>
      <c r="Q389">
        <v>-2.3748189999999998E-3</v>
      </c>
      <c r="R389">
        <v>-1.5926240000000001E-2</v>
      </c>
      <c r="S389">
        <v>3.0018310000000001</v>
      </c>
      <c r="T389">
        <v>-0.1069659</v>
      </c>
      <c r="U389">
        <v>0.1135559</v>
      </c>
      <c r="V389">
        <v>4.308704E-2</v>
      </c>
      <c r="W389">
        <v>1.198103E-2</v>
      </c>
      <c r="X389">
        <v>0.99899950000000004</v>
      </c>
      <c r="Y389">
        <v>-1.0648029999999999E-2</v>
      </c>
      <c r="Z389">
        <v>-7.7770240000000004E-4</v>
      </c>
      <c r="AA389">
        <v>0.99994300000000003</v>
      </c>
      <c r="AB389">
        <v>31</v>
      </c>
      <c r="AC389">
        <v>29.418900000000001</v>
      </c>
      <c r="AD389">
        <v>-1.0602538869360001</v>
      </c>
      <c r="AE389">
        <v>1.1163999999999901</v>
      </c>
      <c r="AF389">
        <v>-0.31627369735704602</v>
      </c>
      <c r="AG389">
        <v>-1.0602538869360001</v>
      </c>
      <c r="AH389">
        <v>29.400239573829399</v>
      </c>
      <c r="AI389">
        <v>92.065229720830601</v>
      </c>
      <c r="AJ389">
        <v>90.616336782350601</v>
      </c>
      <c r="AK389">
        <v>29.421051210909599</v>
      </c>
      <c r="AL389">
        <v>89.313521136088099</v>
      </c>
      <c r="AM389">
        <v>87.530352640912</v>
      </c>
      <c r="AN389">
        <v>1.0000000195480301</v>
      </c>
    </row>
    <row r="390" spans="1:40" x14ac:dyDescent="0.25">
      <c r="A390" t="str">
        <f>"20190312160914741"</f>
        <v>20190312160914741</v>
      </c>
      <c r="B390" t="str">
        <f>"1552378154735307"</f>
        <v>1552378154735307</v>
      </c>
      <c r="C390" t="s">
        <v>40</v>
      </c>
      <c r="D390">
        <v>5.2270899999999996</v>
      </c>
      <c r="E390">
        <v>0.47994819999999999</v>
      </c>
      <c r="F390" t="s">
        <v>41</v>
      </c>
      <c r="G390">
        <v>-380.98860000000002</v>
      </c>
      <c r="H390" s="1">
        <v>-4.0057859999999999E-6</v>
      </c>
      <c r="I390">
        <v>368.72770000000003</v>
      </c>
      <c r="J390">
        <v>-410.38619999999997</v>
      </c>
      <c r="K390">
        <v>1.0602339999999999</v>
      </c>
      <c r="L390">
        <v>367.6259</v>
      </c>
      <c r="M390">
        <v>0.99952870000000005</v>
      </c>
      <c r="N390">
        <v>0</v>
      </c>
      <c r="O390">
        <v>2.7131479999999999E-2</v>
      </c>
      <c r="P390">
        <v>0.99985930000000001</v>
      </c>
      <c r="Q390">
        <v>-2.447336E-3</v>
      </c>
      <c r="R390">
        <v>-1.6618109999999998E-2</v>
      </c>
      <c r="S390">
        <v>3.0018919999999998</v>
      </c>
      <c r="T390">
        <v>-0.1071883</v>
      </c>
      <c r="U390">
        <v>0.1122131</v>
      </c>
      <c r="V390">
        <v>4.3743110000000002E-2</v>
      </c>
      <c r="W390">
        <v>1.1903789999999999E-2</v>
      </c>
      <c r="X390">
        <v>0.99897190000000002</v>
      </c>
      <c r="Y390">
        <v>-1.023637E-2</v>
      </c>
      <c r="Z390">
        <v>-7.8539080000000002E-4</v>
      </c>
      <c r="AA390">
        <v>0.99994729999999998</v>
      </c>
      <c r="AB390">
        <v>31</v>
      </c>
      <c r="AC390">
        <v>29.397599999999901</v>
      </c>
      <c r="AD390">
        <v>-1.0602380057859999</v>
      </c>
      <c r="AE390">
        <v>1.1018000000000201</v>
      </c>
      <c r="AF390">
        <v>-0.30331767152520001</v>
      </c>
      <c r="AG390">
        <v>-1.0602380057859999</v>
      </c>
      <c r="AH390">
        <v>29.378512740323298</v>
      </c>
      <c r="AI390">
        <v>92.066734228781797</v>
      </c>
      <c r="AJ390">
        <v>90.591527730697194</v>
      </c>
      <c r="AK390">
        <v>29.399202660482299</v>
      </c>
      <c r="AL390">
        <v>89.317946970055701</v>
      </c>
      <c r="AM390">
        <v>87.492726703449193</v>
      </c>
      <c r="AN390">
        <v>1.00000000843922</v>
      </c>
    </row>
    <row r="391" spans="1:40" x14ac:dyDescent="0.25">
      <c r="A391" t="str">
        <f>"20190312160914762"</f>
        <v>20190312160914762</v>
      </c>
      <c r="B391" t="str">
        <f>"1552378154755804"</f>
        <v>1552378154755804</v>
      </c>
      <c r="C391" t="s">
        <v>40</v>
      </c>
      <c r="D391">
        <v>5.2828249999999999</v>
      </c>
      <c r="E391">
        <v>0.53219539999999999</v>
      </c>
      <c r="F391" t="s">
        <v>41</v>
      </c>
      <c r="G391">
        <v>-380.80009999999999</v>
      </c>
      <c r="H391" s="1">
        <v>-4.0894729999999999E-6</v>
      </c>
      <c r="I391">
        <v>368.71190000000001</v>
      </c>
      <c r="J391">
        <v>-410.084</v>
      </c>
      <c r="K391">
        <v>1.060217</v>
      </c>
      <c r="L391">
        <v>367.63400000000001</v>
      </c>
      <c r="M391">
        <v>0.99953040000000004</v>
      </c>
      <c r="N391">
        <v>0</v>
      </c>
      <c r="O391">
        <v>2.7067259999999999E-2</v>
      </c>
      <c r="P391">
        <v>0.99985279999999999</v>
      </c>
      <c r="Q391">
        <v>-2.0746919999999999E-3</v>
      </c>
      <c r="R391">
        <v>-1.7040960000000001E-2</v>
      </c>
      <c r="S391">
        <v>3.0019529999999999</v>
      </c>
      <c r="T391">
        <v>-0.1075768</v>
      </c>
      <c r="U391">
        <v>0.11019900000000001</v>
      </c>
      <c r="V391">
        <v>4.4102349999999998E-2</v>
      </c>
      <c r="W391">
        <v>1.227045E-2</v>
      </c>
      <c r="X391">
        <v>0.9989517</v>
      </c>
      <c r="Y391">
        <v>-9.6302739999999994E-3</v>
      </c>
      <c r="Z391">
        <v>-7.9678559999999895E-4</v>
      </c>
      <c r="AA391">
        <v>0.99995330000000004</v>
      </c>
      <c r="AB391">
        <v>31</v>
      </c>
      <c r="AC391">
        <v>29.283899999999999</v>
      </c>
      <c r="AD391">
        <v>-1.060221089473</v>
      </c>
      <c r="AE391">
        <v>1.0778999999999901</v>
      </c>
      <c r="AF391">
        <v>-0.28441595976025902</v>
      </c>
      <c r="AG391">
        <v>-1.060221089473</v>
      </c>
      <c r="AH391">
        <v>29.264040122064799</v>
      </c>
      <c r="AI391">
        <v>92.074791157477506</v>
      </c>
      <c r="AJ391">
        <v>90.556837709016804</v>
      </c>
      <c r="AK391">
        <v>29.2846206303334</v>
      </c>
      <c r="AL391">
        <v>89.296937387050903</v>
      </c>
      <c r="AM391">
        <v>87.472111289744305</v>
      </c>
      <c r="AN391">
        <v>1.0000000400758</v>
      </c>
    </row>
    <row r="392" spans="1:40" x14ac:dyDescent="0.25">
      <c r="A392" t="str">
        <f>"20190312160914786"</f>
        <v>20190312160914786</v>
      </c>
      <c r="B392" t="str">
        <f>"1552378154775324"</f>
        <v>1552378154775324</v>
      </c>
      <c r="C392" t="s">
        <v>40</v>
      </c>
      <c r="D392">
        <v>5.188339</v>
      </c>
      <c r="E392">
        <v>0.54255659999999895</v>
      </c>
      <c r="F392" t="s">
        <v>42</v>
      </c>
      <c r="G392">
        <v>-409.35250000000002</v>
      </c>
      <c r="H392">
        <v>0.93637190000000003</v>
      </c>
      <c r="I392">
        <v>367.55849999999998</v>
      </c>
      <c r="J392">
        <v>-409.76179999999999</v>
      </c>
      <c r="K392">
        <v>1.06019</v>
      </c>
      <c r="L392">
        <v>367.64260000000002</v>
      </c>
      <c r="M392">
        <v>0.99953329999999996</v>
      </c>
      <c r="N392">
        <v>0</v>
      </c>
      <c r="O392">
        <v>2.6966819999999999E-2</v>
      </c>
      <c r="P392">
        <v>0.99984260000000003</v>
      </c>
      <c r="Q392">
        <v>-1.941604E-3</v>
      </c>
      <c r="R392">
        <v>-1.764543E-2</v>
      </c>
      <c r="S392">
        <v>2.9941409999999999</v>
      </c>
      <c r="T392">
        <v>-0.50709369999999998</v>
      </c>
      <c r="U392">
        <v>-0.30764770000000002</v>
      </c>
      <c r="V392">
        <v>4.4606960000000001E-2</v>
      </c>
      <c r="W392">
        <v>1.239727E-2</v>
      </c>
      <c r="X392">
        <v>0.99892769999999997</v>
      </c>
      <c r="Y392">
        <v>0.126834</v>
      </c>
      <c r="Z392">
        <v>-1.5161890000000001E-2</v>
      </c>
      <c r="AA392">
        <v>0.99180809999999997</v>
      </c>
      <c r="AB392">
        <v>31</v>
      </c>
      <c r="AC392">
        <v>0.40929999999997302</v>
      </c>
      <c r="AD392">
        <v>-0.123818099999999</v>
      </c>
      <c r="AE392">
        <v>-8.4100000000034897E-2</v>
      </c>
      <c r="AF392">
        <v>8.7431065263775296E-2</v>
      </c>
      <c r="AG392">
        <v>-0.123818099999999</v>
      </c>
      <c r="AH392">
        <v>0.37403990809494098</v>
      </c>
      <c r="AI392">
        <v>107.866217389287</v>
      </c>
      <c r="AJ392">
        <v>76.843450053538405</v>
      </c>
      <c r="AK392">
        <v>0.403585140841979</v>
      </c>
      <c r="AL392">
        <v>89.289670563535196</v>
      </c>
      <c r="AM392">
        <v>87.443164526478796</v>
      </c>
      <c r="AN392">
        <v>1.00000001150559</v>
      </c>
    </row>
    <row r="393" spans="1:40" x14ac:dyDescent="0.25">
      <c r="A393" t="str">
        <f>"20190312160914808"</f>
        <v>20190312160914808</v>
      </c>
      <c r="B393" t="str">
        <f>"1552378154794844"</f>
        <v>1552378154794844</v>
      </c>
      <c r="C393" t="s">
        <v>40</v>
      </c>
      <c r="D393">
        <v>5.2171240000000001</v>
      </c>
      <c r="E393">
        <v>0.54530559999999995</v>
      </c>
      <c r="F393" t="s">
        <v>42</v>
      </c>
      <c r="G393">
        <v>-408.8227</v>
      </c>
      <c r="H393">
        <v>0.86942260000000005</v>
      </c>
      <c r="I393">
        <v>367.51920000000001</v>
      </c>
      <c r="J393">
        <v>-409.44459999999998</v>
      </c>
      <c r="K393">
        <v>1.0601659999999999</v>
      </c>
      <c r="L393">
        <v>367.65100000000001</v>
      </c>
      <c r="M393">
        <v>0.99953689999999995</v>
      </c>
      <c r="N393">
        <v>0</v>
      </c>
      <c r="O393">
        <v>2.683634E-2</v>
      </c>
      <c r="P393">
        <v>0.99982219999999999</v>
      </c>
      <c r="Q393">
        <v>-2.5615109999999998E-3</v>
      </c>
      <c r="R393">
        <v>-1.8698820000000001E-2</v>
      </c>
      <c r="S393">
        <v>2.9923709999999999</v>
      </c>
      <c r="T393">
        <v>-0.60798419999999997</v>
      </c>
      <c r="U393">
        <v>-0.39184570000000002</v>
      </c>
      <c r="V393">
        <v>4.5529600000000003E-2</v>
      </c>
      <c r="W393">
        <v>1.1770279999999999E-2</v>
      </c>
      <c r="X393">
        <v>0.99889360000000005</v>
      </c>
      <c r="Y393">
        <v>0.15279289999999901</v>
      </c>
      <c r="Z393">
        <v>-2.0679289999999999E-2</v>
      </c>
      <c r="AA393">
        <v>0.98804190000000003</v>
      </c>
      <c r="AB393">
        <v>31</v>
      </c>
      <c r="AC393">
        <v>0.62189999999998202</v>
      </c>
      <c r="AD393">
        <v>-0.19074339999999901</v>
      </c>
      <c r="AE393">
        <v>-0.131799999999998</v>
      </c>
      <c r="AF393">
        <v>0.13618345093919701</v>
      </c>
      <c r="AG393">
        <v>-0.19074339999999901</v>
      </c>
      <c r="AH393">
        <v>0.56708510588461503</v>
      </c>
      <c r="AI393">
        <v>108.110799373609</v>
      </c>
      <c r="AJ393">
        <v>76.496335313632002</v>
      </c>
      <c r="AK393">
        <v>0.61360776907519099</v>
      </c>
      <c r="AL393">
        <v>89.325597028800601</v>
      </c>
      <c r="AM393">
        <v>87.390262942309803</v>
      </c>
      <c r="AN393">
        <v>0.99999995404419795</v>
      </c>
    </row>
    <row r="394" spans="1:40" x14ac:dyDescent="0.25">
      <c r="A394" t="str">
        <f>"20190312160914829"</f>
        <v>20190312160914829</v>
      </c>
      <c r="B394" t="str">
        <f>"1552378154815343"</f>
        <v>1552378154815343</v>
      </c>
      <c r="C394" t="s">
        <v>40</v>
      </c>
      <c r="D394">
        <v>5.1490780000000003</v>
      </c>
      <c r="E394">
        <v>0.54648799999999997</v>
      </c>
      <c r="F394" t="s">
        <v>42</v>
      </c>
      <c r="G394">
        <v>-408.5446</v>
      </c>
      <c r="H394">
        <v>0.86792080000000005</v>
      </c>
      <c r="I394">
        <v>367.5258</v>
      </c>
      <c r="J394">
        <v>-409.15179999999998</v>
      </c>
      <c r="K394">
        <v>1.0601529999999999</v>
      </c>
      <c r="L394">
        <v>367.65870000000001</v>
      </c>
      <c r="M394">
        <v>0.9995406</v>
      </c>
      <c r="N394">
        <v>0</v>
      </c>
      <c r="O394">
        <v>2.669467E-2</v>
      </c>
      <c r="P394">
        <v>0.99981200000000003</v>
      </c>
      <c r="Q394">
        <v>-2.2957089999999999E-3</v>
      </c>
      <c r="R394">
        <v>-1.9258500000000001E-2</v>
      </c>
      <c r="S394">
        <v>2.9910890000000001</v>
      </c>
      <c r="T394">
        <v>-0.63883330000000005</v>
      </c>
      <c r="U394">
        <v>-0.41592410000000002</v>
      </c>
      <c r="V394">
        <v>4.5947910000000002E-2</v>
      </c>
      <c r="W394">
        <v>1.2031089999999999E-2</v>
      </c>
      <c r="X394">
        <v>0.99887139999999996</v>
      </c>
      <c r="Y394">
        <v>0.15998789999999999</v>
      </c>
      <c r="Z394">
        <v>-2.243061E-2</v>
      </c>
      <c r="AA394">
        <v>0.98686410000000002</v>
      </c>
      <c r="AB394">
        <v>31</v>
      </c>
      <c r="AC394">
        <v>0.60719999999997698</v>
      </c>
      <c r="AD394">
        <v>-0.19223219999999999</v>
      </c>
      <c r="AE394">
        <v>-0.13290000000000601</v>
      </c>
      <c r="AF394">
        <v>0.13605061255960399</v>
      </c>
      <c r="AG394">
        <v>-0.19223219999999999</v>
      </c>
      <c r="AH394">
        <v>0.55075773662777605</v>
      </c>
      <c r="AI394">
        <v>108.718791079442</v>
      </c>
      <c r="AJ394">
        <v>76.124327786572493</v>
      </c>
      <c r="AK394">
        <v>0.59899672148521299</v>
      </c>
      <c r="AL394">
        <v>89.3106526999902</v>
      </c>
      <c r="AM394">
        <v>87.366260749013705</v>
      </c>
      <c r="AN394">
        <v>1.0000000156489499</v>
      </c>
    </row>
    <row r="395" spans="1:40" x14ac:dyDescent="0.25">
      <c r="A395" t="str">
        <f>"20190312160914852"</f>
        <v>20190312160914852</v>
      </c>
      <c r="B395" t="str">
        <f>"1552378154845595"</f>
        <v>1552378154845595</v>
      </c>
      <c r="C395" t="s">
        <v>40</v>
      </c>
      <c r="D395">
        <v>5.149044</v>
      </c>
      <c r="E395">
        <v>0.54750989999999999</v>
      </c>
      <c r="F395" t="s">
        <v>42</v>
      </c>
      <c r="G395">
        <v>-408.26670000000001</v>
      </c>
      <c r="H395">
        <v>0.86641659999999998</v>
      </c>
      <c r="I395">
        <v>367.53210000000001</v>
      </c>
      <c r="J395">
        <v>-408.83429999999998</v>
      </c>
      <c r="K395">
        <v>1.0601400000000001</v>
      </c>
      <c r="L395">
        <v>367.66699999999997</v>
      </c>
      <c r="M395">
        <v>0.99954529999999997</v>
      </c>
      <c r="N395">
        <v>0</v>
      </c>
      <c r="O395">
        <v>2.6522509999999999E-2</v>
      </c>
      <c r="P395">
        <v>0.99981109999999895</v>
      </c>
      <c r="Q395">
        <v>-1.669423E-3</v>
      </c>
      <c r="R395">
        <v>-1.93803E-2</v>
      </c>
      <c r="S395">
        <v>2.990875</v>
      </c>
      <c r="T395">
        <v>-0.65484600000000004</v>
      </c>
      <c r="U395">
        <v>-0.426178</v>
      </c>
      <c r="V395">
        <v>4.5897920000000002E-2</v>
      </c>
      <c r="W395">
        <v>1.265284E-2</v>
      </c>
      <c r="X395">
        <v>0.99886600000000003</v>
      </c>
      <c r="Y395">
        <v>0.16287570000000001</v>
      </c>
      <c r="Z395">
        <v>-2.3250360000000001E-2</v>
      </c>
      <c r="AA395">
        <v>0.98637260000000004</v>
      </c>
      <c r="AB395">
        <v>31</v>
      </c>
      <c r="AC395">
        <v>0.56759999999997002</v>
      </c>
      <c r="AD395">
        <v>-0.19372339999999899</v>
      </c>
      <c r="AE395">
        <v>-0.134899999999959</v>
      </c>
      <c r="AF395">
        <v>0.135020929720119</v>
      </c>
      <c r="AG395">
        <v>-0.19372339999999899</v>
      </c>
      <c r="AH395">
        <v>0.507829087004107</v>
      </c>
      <c r="AI395">
        <v>110.237183539406</v>
      </c>
      <c r="AJ395">
        <v>75.110741744030193</v>
      </c>
      <c r="AK395">
        <v>0.56004445250129098</v>
      </c>
      <c r="AL395">
        <v>89.275026324009303</v>
      </c>
      <c r="AM395">
        <v>87.3691079502523</v>
      </c>
      <c r="AN395">
        <v>0.99999999968819597</v>
      </c>
    </row>
    <row r="396" spans="1:40" x14ac:dyDescent="0.25">
      <c r="A396" t="str">
        <f>"20190312160914875"</f>
        <v>20190312160914875</v>
      </c>
      <c r="B396" t="str">
        <f>"1552378154865116"</f>
        <v>1552378154865116</v>
      </c>
      <c r="C396" t="s">
        <v>40</v>
      </c>
      <c r="D396">
        <v>5.1600919999999997</v>
      </c>
      <c r="E396">
        <v>0.54823009999999905</v>
      </c>
      <c r="F396" t="s">
        <v>42</v>
      </c>
      <c r="G396">
        <v>-407.98570000000001</v>
      </c>
      <c r="H396">
        <v>0.87366309999999903</v>
      </c>
      <c r="I396">
        <v>367.54340000000002</v>
      </c>
      <c r="J396">
        <v>-408.50119999999998</v>
      </c>
      <c r="K396">
        <v>1.060133</v>
      </c>
      <c r="L396">
        <v>367.67570000000001</v>
      </c>
      <c r="M396">
        <v>0.9995503</v>
      </c>
      <c r="N396">
        <v>0</v>
      </c>
      <c r="O396">
        <v>2.6330590000000001E-2</v>
      </c>
      <c r="P396">
        <v>0.99980650000000004</v>
      </c>
      <c r="Q396">
        <v>-6.9964690000000004E-4</v>
      </c>
      <c r="R396">
        <v>-1.9663670000000001E-2</v>
      </c>
      <c r="S396">
        <v>2.991028</v>
      </c>
      <c r="T396">
        <v>-0.65739579999999997</v>
      </c>
      <c r="U396">
        <v>-0.4346313</v>
      </c>
      <c r="V396">
        <v>4.5989919999999997E-2</v>
      </c>
      <c r="W396">
        <v>1.3617870000000001E-2</v>
      </c>
      <c r="X396">
        <v>0.99884910000000005</v>
      </c>
      <c r="Y396">
        <v>0.165325799999999</v>
      </c>
      <c r="Z396">
        <v>-2.3556440000000001E-2</v>
      </c>
      <c r="AA396">
        <v>0.98595759999999999</v>
      </c>
      <c r="AB396">
        <v>31</v>
      </c>
      <c r="AC396">
        <v>0.51549999999997398</v>
      </c>
      <c r="AD396">
        <v>-0.18646989999999999</v>
      </c>
      <c r="AE396">
        <v>-0.13229999999998601</v>
      </c>
      <c r="AF396">
        <v>0.129884317353052</v>
      </c>
      <c r="AG396">
        <v>-0.18646989999999999</v>
      </c>
      <c r="AH396">
        <v>0.45587415239020901</v>
      </c>
      <c r="AI396">
        <v>111.473838931458</v>
      </c>
      <c r="AJ396">
        <v>74.097076460708607</v>
      </c>
      <c r="AK396">
        <v>0.50937432436055297</v>
      </c>
      <c r="AL396">
        <v>89.219729422429893</v>
      </c>
      <c r="AM396">
        <v>87.363797355789103</v>
      </c>
      <c r="AN396">
        <v>1.00000002184787</v>
      </c>
    </row>
    <row r="397" spans="1:40" x14ac:dyDescent="0.25">
      <c r="A397" t="str">
        <f>"20190312160914908"</f>
        <v>20190312160914908</v>
      </c>
      <c r="B397" t="str">
        <f>"1552378154895371"</f>
        <v>1552378154895371</v>
      </c>
      <c r="C397" t="s">
        <v>40</v>
      </c>
      <c r="D397">
        <v>5.2141479999999998</v>
      </c>
      <c r="E397">
        <v>0.5473498</v>
      </c>
      <c r="F397" t="s">
        <v>42</v>
      </c>
      <c r="G397">
        <v>-407.70460000000003</v>
      </c>
      <c r="H397">
        <v>0.88243510000000003</v>
      </c>
      <c r="I397">
        <v>367.55770000000001</v>
      </c>
      <c r="J397">
        <v>-408.05829999999997</v>
      </c>
      <c r="K397">
        <v>1.0601290000000001</v>
      </c>
      <c r="L397">
        <v>367.68709999999999</v>
      </c>
      <c r="M397">
        <v>0.99955720000000003</v>
      </c>
      <c r="N397">
        <v>0</v>
      </c>
      <c r="O397">
        <v>2.6071E-2</v>
      </c>
      <c r="P397">
        <v>0.9997954</v>
      </c>
      <c r="Q397">
        <v>-9.6719839999999998E-4</v>
      </c>
      <c r="R397">
        <v>-2.0210140000000001E-2</v>
      </c>
      <c r="S397">
        <v>2.991425</v>
      </c>
      <c r="T397">
        <v>-0.66745779999999999</v>
      </c>
      <c r="U397">
        <v>-0.44140629999999997</v>
      </c>
      <c r="V397">
        <v>4.6276669999999999E-2</v>
      </c>
      <c r="W397">
        <v>1.334515E-2</v>
      </c>
      <c r="X397">
        <v>0.99883949999999999</v>
      </c>
      <c r="Y397">
        <v>0.16706760000000001</v>
      </c>
      <c r="Z397">
        <v>-2.4035730000000002E-2</v>
      </c>
      <c r="AA397">
        <v>0.98565239999999998</v>
      </c>
      <c r="AB397">
        <v>31</v>
      </c>
      <c r="AC397">
        <v>0.353699999999946</v>
      </c>
      <c r="AD397">
        <v>-0.17769389999999999</v>
      </c>
      <c r="AE397">
        <v>-0.12939999999997501</v>
      </c>
      <c r="AF397">
        <v>0.113347350888923</v>
      </c>
      <c r="AG397">
        <v>-0.17769389999999999</v>
      </c>
      <c r="AH397">
        <v>0.28644391342167902</v>
      </c>
      <c r="AI397">
        <v>119.97745251529101</v>
      </c>
      <c r="AJ397">
        <v>68.411036014555506</v>
      </c>
      <c r="AK397">
        <v>0.35563022873073202</v>
      </c>
      <c r="AL397">
        <v>89.235356519127194</v>
      </c>
      <c r="AM397">
        <v>87.347358415313394</v>
      </c>
      <c r="AN397">
        <v>0.99999998498752996</v>
      </c>
    </row>
    <row r="398" spans="1:40" x14ac:dyDescent="0.25">
      <c r="A398" t="str">
        <f>"20190312160914928"</f>
        <v>20190312160914928</v>
      </c>
      <c r="B398" t="str">
        <f>"1552378154914891"</f>
        <v>1552378154914891</v>
      </c>
      <c r="C398" t="s">
        <v>40</v>
      </c>
      <c r="D398">
        <v>5.3649420000000001</v>
      </c>
      <c r="E398">
        <v>0.54769799999999902</v>
      </c>
      <c r="F398" t="s">
        <v>42</v>
      </c>
      <c r="G398">
        <v>-407.15859999999998</v>
      </c>
      <c r="H398">
        <v>0.86001399999999995</v>
      </c>
      <c r="I398">
        <v>367.55540000000002</v>
      </c>
      <c r="J398">
        <v>-407.7672</v>
      </c>
      <c r="K398">
        <v>1.0601179999999999</v>
      </c>
      <c r="L398">
        <v>367.69450000000001</v>
      </c>
      <c r="M398">
        <v>0.9995617</v>
      </c>
      <c r="N398">
        <v>0</v>
      </c>
      <c r="O398">
        <v>2.59023E-2</v>
      </c>
      <c r="P398">
        <v>0.99979839999999998</v>
      </c>
      <c r="Q398">
        <v>-1.809263E-3</v>
      </c>
      <c r="R398">
        <v>-2.00047E-2</v>
      </c>
      <c r="S398">
        <v>2.9911500000000002</v>
      </c>
      <c r="T398">
        <v>-0.66538949999999997</v>
      </c>
      <c r="U398">
        <v>-0.43627929999999998</v>
      </c>
      <c r="V398">
        <v>4.5902499999999999E-2</v>
      </c>
      <c r="W398">
        <v>1.2500259999999999E-2</v>
      </c>
      <c r="X398">
        <v>0.99886770000000003</v>
      </c>
      <c r="Y398">
        <v>0.16533229999999999</v>
      </c>
      <c r="Z398">
        <v>-2.3741330000000001E-2</v>
      </c>
      <c r="AA398">
        <v>0.9859521</v>
      </c>
      <c r="AB398">
        <v>31</v>
      </c>
      <c r="AC398">
        <v>0.60860000000002301</v>
      </c>
      <c r="AD398">
        <v>-0.200104</v>
      </c>
      <c r="AE398">
        <v>-0.13909999999998399</v>
      </c>
      <c r="AF398">
        <v>0.140395089779358</v>
      </c>
      <c r="AG398">
        <v>-0.200104</v>
      </c>
      <c r="AH398">
        <v>0.54844584384139905</v>
      </c>
      <c r="AI398">
        <v>109.46642369857</v>
      </c>
      <c r="AJ398">
        <v>75.641354299415397</v>
      </c>
      <c r="AK398">
        <v>0.60045419115621002</v>
      </c>
      <c r="AL398">
        <v>89.283769197898707</v>
      </c>
      <c r="AM398">
        <v>87.368850262984793</v>
      </c>
      <c r="AN398">
        <v>0.99999998905480303</v>
      </c>
    </row>
    <row r="399" spans="1:40" x14ac:dyDescent="0.25">
      <c r="A399" t="str">
        <f>"20190312160914951"</f>
        <v>20190312160914951</v>
      </c>
      <c r="B399" t="str">
        <f>"1552378154945147"</f>
        <v>1552378154945147</v>
      </c>
      <c r="C399" t="s">
        <v>40</v>
      </c>
      <c r="D399">
        <v>5.2823200000000003</v>
      </c>
      <c r="E399">
        <v>0.54781289999999905</v>
      </c>
      <c r="F399" t="s">
        <v>42</v>
      </c>
      <c r="G399">
        <v>-406.88209999999998</v>
      </c>
      <c r="H399">
        <v>0.85962190000000005</v>
      </c>
      <c r="I399">
        <v>367.56459999999998</v>
      </c>
      <c r="J399">
        <v>-407.44319999999999</v>
      </c>
      <c r="K399">
        <v>1.060111</v>
      </c>
      <c r="L399">
        <v>367.70260000000002</v>
      </c>
      <c r="M399">
        <v>0.99956650000000002</v>
      </c>
      <c r="N399">
        <v>0</v>
      </c>
      <c r="O399">
        <v>2.5716280000000001E-2</v>
      </c>
      <c r="P399">
        <v>0.99979119999999999</v>
      </c>
      <c r="Q399">
        <v>-2.3671930000000001E-3</v>
      </c>
      <c r="R399">
        <v>-2.0299689999999999E-2</v>
      </c>
      <c r="S399">
        <v>2.990631</v>
      </c>
      <c r="T399">
        <v>-0.67742440000000004</v>
      </c>
      <c r="U399">
        <v>-0.43872070000000002</v>
      </c>
      <c r="V399">
        <v>4.6011259999999998E-2</v>
      </c>
      <c r="W399">
        <v>1.1938590000000001E-2</v>
      </c>
      <c r="X399">
        <v>0.99886960000000002</v>
      </c>
      <c r="Y399">
        <v>0.1657884</v>
      </c>
      <c r="Z399">
        <v>-2.4172389999999998E-2</v>
      </c>
      <c r="AA399">
        <v>0.98586510000000005</v>
      </c>
      <c r="AB399">
        <v>31</v>
      </c>
      <c r="AC399">
        <v>0.56110000000001004</v>
      </c>
      <c r="AD399">
        <v>-0.2004891</v>
      </c>
      <c r="AE399">
        <v>-0.13800000000003301</v>
      </c>
      <c r="AF399">
        <v>0.136010742001058</v>
      </c>
      <c r="AG399">
        <v>-0.2004891</v>
      </c>
      <c r="AH399">
        <v>0.49747372407201002</v>
      </c>
      <c r="AI399">
        <v>111.24344432094399</v>
      </c>
      <c r="AJ399">
        <v>74.708858656821903</v>
      </c>
      <c r="AK399">
        <v>0.55333073952254197</v>
      </c>
      <c r="AL399">
        <v>89.315952944451496</v>
      </c>
      <c r="AM399">
        <v>87.362629897732305</v>
      </c>
      <c r="AN399">
        <v>1.0000000218910601</v>
      </c>
    </row>
    <row r="400" spans="1:40" x14ac:dyDescent="0.25">
      <c r="A400" t="str">
        <f>"20190312160914973"</f>
        <v>20190312160914973</v>
      </c>
      <c r="B400" t="str">
        <f>"1552378154965644"</f>
        <v>1552378154965644</v>
      </c>
      <c r="C400" t="s">
        <v>40</v>
      </c>
      <c r="D400">
        <v>5.2382239999999998</v>
      </c>
      <c r="E400">
        <v>0.547045</v>
      </c>
      <c r="F400" t="s">
        <v>42</v>
      </c>
      <c r="G400">
        <v>-406.60270000000003</v>
      </c>
      <c r="H400">
        <v>0.86748099999999995</v>
      </c>
      <c r="I400">
        <v>367.57839999999999</v>
      </c>
      <c r="J400">
        <v>-407.14069999999998</v>
      </c>
      <c r="K400">
        <v>1.0601100000000001</v>
      </c>
      <c r="L400">
        <v>367.71030000000002</v>
      </c>
      <c r="M400">
        <v>0.99957099999999999</v>
      </c>
      <c r="N400">
        <v>0</v>
      </c>
      <c r="O400">
        <v>2.5544219999999999E-2</v>
      </c>
      <c r="P400">
        <v>0.9997819</v>
      </c>
      <c r="Q400">
        <v>-2.7616910000000001E-3</v>
      </c>
      <c r="R400">
        <v>-2.0710220000000001E-2</v>
      </c>
      <c r="S400">
        <v>2.9900509999999998</v>
      </c>
      <c r="T400">
        <v>-0.68544099999999997</v>
      </c>
      <c r="U400">
        <v>-0.44012449999999997</v>
      </c>
      <c r="V400">
        <v>4.62493E-2</v>
      </c>
      <c r="W400">
        <v>1.154094E-2</v>
      </c>
      <c r="X400">
        <v>0.99886330000000001</v>
      </c>
      <c r="Y400">
        <v>0.16598550000000001</v>
      </c>
      <c r="Z400">
        <v>-2.443857E-2</v>
      </c>
      <c r="AA400">
        <v>0.98582539999999996</v>
      </c>
      <c r="AB400">
        <v>31</v>
      </c>
      <c r="AC400">
        <v>0.53799999999995396</v>
      </c>
      <c r="AD400">
        <v>-0.19262899999999999</v>
      </c>
      <c r="AE400">
        <v>-0.13190000000002999</v>
      </c>
      <c r="AF400">
        <v>0.12989333162891001</v>
      </c>
      <c r="AG400">
        <v>-0.19262899999999999</v>
      </c>
      <c r="AH400">
        <v>0.47679644721276299</v>
      </c>
      <c r="AI400">
        <v>111.29586634434899</v>
      </c>
      <c r="AJ400">
        <v>74.760772093191605</v>
      </c>
      <c r="AK400">
        <v>0.53038953733776795</v>
      </c>
      <c r="AL400">
        <v>89.338738194046101</v>
      </c>
      <c r="AM400">
        <v>87.348988139229704</v>
      </c>
      <c r="AN400">
        <v>1.0000000415667301</v>
      </c>
    </row>
    <row r="401" spans="1:40" x14ac:dyDescent="0.25">
      <c r="A401" t="str">
        <f>"20190312160914997"</f>
        <v>20190312160914997</v>
      </c>
      <c r="B401" t="str">
        <f>"1552378154985163"</f>
        <v>1552378154985163</v>
      </c>
      <c r="C401" t="s">
        <v>40</v>
      </c>
      <c r="D401">
        <v>5.3225600000000002</v>
      </c>
      <c r="E401">
        <v>0.54679549999999999</v>
      </c>
      <c r="F401" t="s">
        <v>42</v>
      </c>
      <c r="G401">
        <v>-406.32420000000002</v>
      </c>
      <c r="H401">
        <v>0.874181599999999</v>
      </c>
      <c r="I401">
        <v>367.59179999999998</v>
      </c>
      <c r="J401">
        <v>-406.80950000000001</v>
      </c>
      <c r="K401">
        <v>1.06012</v>
      </c>
      <c r="L401">
        <v>367.71850000000001</v>
      </c>
      <c r="M401">
        <v>0.99957569999999996</v>
      </c>
      <c r="N401">
        <v>0</v>
      </c>
      <c r="O401">
        <v>2.5356679999999999E-2</v>
      </c>
      <c r="P401">
        <v>0.99976509999999996</v>
      </c>
      <c r="Q401">
        <v>-1.9557110000000002E-3</v>
      </c>
      <c r="R401">
        <v>-2.158086E-2</v>
      </c>
      <c r="S401">
        <v>2.9898069999999999</v>
      </c>
      <c r="T401">
        <v>-0.68079639999999997</v>
      </c>
      <c r="U401">
        <v>-0.43356319999999998</v>
      </c>
      <c r="V401">
        <v>4.6932179999999997E-2</v>
      </c>
      <c r="W401">
        <v>1.234244E-2</v>
      </c>
      <c r="X401">
        <v>0.99882179999999998</v>
      </c>
      <c r="Y401">
        <v>0.16381509999999999</v>
      </c>
      <c r="Z401">
        <v>-2.3997870000000001E-2</v>
      </c>
      <c r="AA401">
        <v>0.9861991</v>
      </c>
      <c r="AB401">
        <v>31</v>
      </c>
      <c r="AC401">
        <v>0.48529999999999501</v>
      </c>
      <c r="AD401">
        <v>-0.1859384</v>
      </c>
      <c r="AE401">
        <v>-0.12670000000002801</v>
      </c>
      <c r="AF401">
        <v>0.12217554686590799</v>
      </c>
      <c r="AG401">
        <v>-0.1859384</v>
      </c>
      <c r="AH401">
        <v>0.42370165024732698</v>
      </c>
      <c r="AI401">
        <v>112.86333754355201</v>
      </c>
      <c r="AJ401">
        <v>73.914936768563294</v>
      </c>
      <c r="AK401">
        <v>0.47856351853108497</v>
      </c>
      <c r="AL401">
        <v>89.292812306885494</v>
      </c>
      <c r="AM401">
        <v>87.309790903261799</v>
      </c>
      <c r="AN401">
        <v>0.99999997674997199</v>
      </c>
    </row>
    <row r="402" spans="1:40" x14ac:dyDescent="0.25">
      <c r="A402" t="str">
        <f>"20190312160915017"</f>
        <v>20190312160915017</v>
      </c>
      <c r="B402" t="str">
        <f>"1552378155005659"</f>
        <v>1552378155005659</v>
      </c>
      <c r="C402" t="s">
        <v>40</v>
      </c>
      <c r="D402">
        <v>5.3229709999999999</v>
      </c>
      <c r="E402">
        <v>0.5469733</v>
      </c>
      <c r="F402" t="s">
        <v>42</v>
      </c>
      <c r="G402">
        <v>-406.04320000000001</v>
      </c>
      <c r="H402">
        <v>0.88636119999999996</v>
      </c>
      <c r="I402">
        <v>367.60660000000001</v>
      </c>
      <c r="J402">
        <v>-406.53719999999998</v>
      </c>
      <c r="K402">
        <v>1.0601259999999999</v>
      </c>
      <c r="L402">
        <v>367.7253</v>
      </c>
      <c r="M402">
        <v>0.99957969999999896</v>
      </c>
      <c r="N402">
        <v>0</v>
      </c>
      <c r="O402">
        <v>2.5202929999999998E-2</v>
      </c>
      <c r="P402">
        <v>0.99975599999999998</v>
      </c>
      <c r="Q402">
        <v>-1.031356E-3</v>
      </c>
      <c r="R402">
        <v>-2.207098E-2</v>
      </c>
      <c r="S402">
        <v>2.9899900000000001</v>
      </c>
      <c r="T402">
        <v>-0.67807099999999998</v>
      </c>
      <c r="U402">
        <v>-0.43450929999999999</v>
      </c>
      <c r="V402">
        <v>4.7268440000000002E-2</v>
      </c>
      <c r="W402">
        <v>1.326362E-2</v>
      </c>
      <c r="X402">
        <v>0.99879410000000002</v>
      </c>
      <c r="Y402">
        <v>0.16399810000000001</v>
      </c>
      <c r="Z402">
        <v>-2.3888329999999999E-2</v>
      </c>
      <c r="AA402">
        <v>0.98617140000000003</v>
      </c>
      <c r="AB402">
        <v>31</v>
      </c>
      <c r="AC402">
        <v>0.49399999999997102</v>
      </c>
      <c r="AD402">
        <v>-0.1737648</v>
      </c>
      <c r="AE402">
        <v>-0.11869999999998899</v>
      </c>
      <c r="AF402">
        <v>0.11738296240244001</v>
      </c>
      <c r="AG402">
        <v>-0.1737648</v>
      </c>
      <c r="AH402">
        <v>0.43944693163929599</v>
      </c>
      <c r="AI402">
        <v>110.90800957629899</v>
      </c>
      <c r="AJ402">
        <v>75.044591700657193</v>
      </c>
      <c r="AK402">
        <v>0.48691536359885501</v>
      </c>
      <c r="AL402">
        <v>89.240028224621298</v>
      </c>
      <c r="AM402">
        <v>87.290469665099593</v>
      </c>
      <c r="AN402">
        <v>0.99999994161517203</v>
      </c>
    </row>
    <row r="403" spans="1:40" x14ac:dyDescent="0.25">
      <c r="A403" t="str">
        <f>"20190312160915040"</f>
        <v>20190312160915040</v>
      </c>
      <c r="B403" t="str">
        <f>"1552378155034939"</f>
        <v>1552378155034939</v>
      </c>
      <c r="C403" t="s">
        <v>40</v>
      </c>
      <c r="D403">
        <v>5.2526260000000002</v>
      </c>
      <c r="E403">
        <v>0.54721299999999995</v>
      </c>
      <c r="F403" t="s">
        <v>42</v>
      </c>
      <c r="G403">
        <v>-405.76900000000001</v>
      </c>
      <c r="H403">
        <v>0.88352799999999998</v>
      </c>
      <c r="I403">
        <v>367.61239999999998</v>
      </c>
      <c r="J403">
        <v>-406.22340000000003</v>
      </c>
      <c r="K403">
        <v>1.060125</v>
      </c>
      <c r="L403">
        <v>367.733</v>
      </c>
      <c r="M403">
        <v>0.99958409999999998</v>
      </c>
      <c r="N403">
        <v>0</v>
      </c>
      <c r="O403">
        <v>2.5026070000000001E-2</v>
      </c>
      <c r="P403">
        <v>0.99973840000000003</v>
      </c>
      <c r="Q403">
        <v>-1.311216E-3</v>
      </c>
      <c r="R403">
        <v>-2.2838319999999999E-2</v>
      </c>
      <c r="S403">
        <v>2.9903559999999998</v>
      </c>
      <c r="T403">
        <v>-0.68746189999999996</v>
      </c>
      <c r="U403">
        <v>-0.4386292</v>
      </c>
      <c r="V403">
        <v>4.7858350000000001E-2</v>
      </c>
      <c r="W403">
        <v>1.2979920000000001E-2</v>
      </c>
      <c r="X403">
        <v>0.99876980000000004</v>
      </c>
      <c r="Y403">
        <v>0.16498850000000001</v>
      </c>
      <c r="Z403">
        <v>-2.4277630000000001E-2</v>
      </c>
      <c r="AA403">
        <v>0.98599669999999895</v>
      </c>
      <c r="AB403">
        <v>31</v>
      </c>
      <c r="AC403">
        <v>0.45440000000002101</v>
      </c>
      <c r="AD403">
        <v>-0.176596999999999</v>
      </c>
      <c r="AE403">
        <v>-0.12060000000002399</v>
      </c>
      <c r="AF403">
        <v>0.115621072672614</v>
      </c>
      <c r="AG403">
        <v>-0.176596999999999</v>
      </c>
      <c r="AH403">
        <v>0.395442207068046</v>
      </c>
      <c r="AI403">
        <v>113.201669854942</v>
      </c>
      <c r="AJ403">
        <v>73.701911545863595</v>
      </c>
      <c r="AK403">
        <v>0.448251349117672</v>
      </c>
      <c r="AL403">
        <v>89.256284486237405</v>
      </c>
      <c r="AM403">
        <v>87.256639429878007</v>
      </c>
      <c r="AN403">
        <v>1.0000000066899799</v>
      </c>
    </row>
    <row r="404" spans="1:40" x14ac:dyDescent="0.25">
      <c r="A404" t="str">
        <f>"20190312160915066"</f>
        <v>20190312160915066</v>
      </c>
      <c r="B404" t="str">
        <f>"1552378155055436"</f>
        <v>1552378155055436</v>
      </c>
      <c r="C404" t="s">
        <v>40</v>
      </c>
      <c r="D404">
        <v>5.2755530000000004</v>
      </c>
      <c r="E404">
        <v>0.54698849999999999</v>
      </c>
      <c r="F404" t="s">
        <v>42</v>
      </c>
      <c r="G404">
        <v>-405.49099999999999</v>
      </c>
      <c r="H404">
        <v>0.88994340000000005</v>
      </c>
      <c r="I404">
        <v>367.62400000000002</v>
      </c>
      <c r="J404">
        <v>-405.88490000000002</v>
      </c>
      <c r="K404">
        <v>1.060119</v>
      </c>
      <c r="L404">
        <v>367.74119999999999</v>
      </c>
      <c r="M404">
        <v>0.99958899999999995</v>
      </c>
      <c r="N404">
        <v>0</v>
      </c>
      <c r="O404">
        <v>2.4836150000000001E-2</v>
      </c>
      <c r="P404">
        <v>0.9997317</v>
      </c>
      <c r="Q404">
        <v>-1.9609100000000002E-3</v>
      </c>
      <c r="R404">
        <v>-2.3084759999999999E-2</v>
      </c>
      <c r="S404">
        <v>2.9897459999999998</v>
      </c>
      <c r="T404">
        <v>-0.69490529999999995</v>
      </c>
      <c r="U404">
        <v>-0.44314579999999998</v>
      </c>
      <c r="V404">
        <v>4.7914419999999999E-2</v>
      </c>
      <c r="W404">
        <v>1.2326230000000001E-2</v>
      </c>
      <c r="X404">
        <v>0.99877539999999998</v>
      </c>
      <c r="Y404">
        <v>0.16615729999999901</v>
      </c>
      <c r="Z404">
        <v>-2.462605E-2</v>
      </c>
      <c r="AA404">
        <v>0.98579170000000005</v>
      </c>
      <c r="AB404">
        <v>31</v>
      </c>
      <c r="AC404">
        <v>0.39390000000003</v>
      </c>
      <c r="AD404">
        <v>-0.17017559999999901</v>
      </c>
      <c r="AE404">
        <v>-0.117199999999968</v>
      </c>
      <c r="AF404">
        <v>0.10836643840749</v>
      </c>
      <c r="AG404">
        <v>-0.17017559999999901</v>
      </c>
      <c r="AH404">
        <v>0.33365607298581401</v>
      </c>
      <c r="AI404">
        <v>115.87753216996801</v>
      </c>
      <c r="AJ404">
        <v>72.006988495240805</v>
      </c>
      <c r="AK404">
        <v>0.38990947006811599</v>
      </c>
      <c r="AL404">
        <v>89.293741168189598</v>
      </c>
      <c r="AM404">
        <v>87.253445651682895</v>
      </c>
      <c r="AN404">
        <v>1.00000001361755</v>
      </c>
    </row>
    <row r="405" spans="1:40" x14ac:dyDescent="0.25">
      <c r="A405" t="str">
        <f>"20190312160915086"</f>
        <v>20190312160915086</v>
      </c>
      <c r="B405" t="str">
        <f>"1552378155074955"</f>
        <v>1552378155074955</v>
      </c>
      <c r="C405" t="s">
        <v>40</v>
      </c>
      <c r="D405">
        <v>5.3870829999999996</v>
      </c>
      <c r="E405">
        <v>0.54702030000000001</v>
      </c>
      <c r="F405" t="s">
        <v>42</v>
      </c>
      <c r="G405">
        <v>-404.95979999999997</v>
      </c>
      <c r="H405">
        <v>0.84351810000000005</v>
      </c>
      <c r="I405">
        <v>367.6044</v>
      </c>
      <c r="J405">
        <v>-405.58800000000002</v>
      </c>
      <c r="K405">
        <v>1.0601210000000001</v>
      </c>
      <c r="L405">
        <v>367.7484</v>
      </c>
      <c r="M405">
        <v>0.99959319999999896</v>
      </c>
      <c r="N405">
        <v>0</v>
      </c>
      <c r="O405">
        <v>2.4668699999999998E-2</v>
      </c>
      <c r="P405">
        <v>0.99973339999999999</v>
      </c>
      <c r="Q405">
        <v>-2.4635220000000001E-3</v>
      </c>
      <c r="R405">
        <v>-2.2964350000000001E-2</v>
      </c>
      <c r="S405">
        <v>2.989258</v>
      </c>
      <c r="T405">
        <v>-0.70001669999999905</v>
      </c>
      <c r="U405">
        <v>-0.44097900000000001</v>
      </c>
      <c r="V405">
        <v>4.762657E-2</v>
      </c>
      <c r="W405">
        <v>1.1820819999999999E-2</v>
      </c>
      <c r="X405">
        <v>0.99879530000000005</v>
      </c>
      <c r="Y405">
        <v>0.16526939999999901</v>
      </c>
      <c r="Z405">
        <v>-2.4667089999999999E-2</v>
      </c>
      <c r="AA405">
        <v>0.98593989999999998</v>
      </c>
      <c r="AB405">
        <v>31</v>
      </c>
      <c r="AC405">
        <v>0.62820000000004905</v>
      </c>
      <c r="AD405">
        <v>-0.21660289999999899</v>
      </c>
      <c r="AE405">
        <v>-0.14400000000000501</v>
      </c>
      <c r="AF405">
        <v>0.14327185889118599</v>
      </c>
      <c r="AG405">
        <v>-0.21660289999999899</v>
      </c>
      <c r="AH405">
        <v>0.56108115697782501</v>
      </c>
      <c r="AI405">
        <v>110.50799166069</v>
      </c>
      <c r="AJ405">
        <v>75.675641142297707</v>
      </c>
      <c r="AK405">
        <v>0.61826831275273997</v>
      </c>
      <c r="AL405">
        <v>89.322701154437993</v>
      </c>
      <c r="AM405">
        <v>87.269975086291694</v>
      </c>
      <c r="AN405">
        <v>1.00000003662876</v>
      </c>
    </row>
    <row r="406" spans="1:40" x14ac:dyDescent="0.25">
      <c r="A406" t="str">
        <f>"20190312160915109"</f>
        <v>20190312160915109</v>
      </c>
      <c r="B406" t="str">
        <f>"1552378155105212"</f>
        <v>1552378155105212</v>
      </c>
      <c r="C406" t="s">
        <v>40</v>
      </c>
      <c r="D406">
        <v>5.3248959999999999</v>
      </c>
      <c r="E406">
        <v>0.5469349</v>
      </c>
      <c r="F406" t="s">
        <v>42</v>
      </c>
      <c r="G406">
        <v>-404.68470000000002</v>
      </c>
      <c r="H406">
        <v>0.84632359999999895</v>
      </c>
      <c r="I406">
        <v>367.61489999999998</v>
      </c>
      <c r="J406">
        <v>-405.28680000000003</v>
      </c>
      <c r="K406">
        <v>1.0601210000000001</v>
      </c>
      <c r="L406">
        <v>367.75569999999999</v>
      </c>
      <c r="M406">
        <v>0.99959730000000002</v>
      </c>
      <c r="N406">
        <v>0</v>
      </c>
      <c r="O406">
        <v>2.4499759999999999E-2</v>
      </c>
      <c r="P406">
        <v>0.99975060000000004</v>
      </c>
      <c r="Q406">
        <v>-1.8130500000000001E-3</v>
      </c>
      <c r="R406">
        <v>-2.2261039999999999E-2</v>
      </c>
      <c r="S406">
        <v>2.9889220000000001</v>
      </c>
      <c r="T406">
        <v>-0.70755429999999997</v>
      </c>
      <c r="U406">
        <v>-0.44064330000000002</v>
      </c>
      <c r="V406">
        <v>4.6755390000000001E-2</v>
      </c>
      <c r="W406">
        <v>1.2469269999999999E-2</v>
      </c>
      <c r="X406">
        <v>0.99882850000000001</v>
      </c>
      <c r="Y406">
        <v>0.1649158</v>
      </c>
      <c r="Z406">
        <v>-2.4848249999999999E-2</v>
      </c>
      <c r="AA406">
        <v>0.98599460000000005</v>
      </c>
      <c r="AB406">
        <v>31</v>
      </c>
      <c r="AC406">
        <v>0.60210000000000696</v>
      </c>
      <c r="AD406">
        <v>-0.2137974</v>
      </c>
      <c r="AE406">
        <v>-0.140800000000012</v>
      </c>
      <c r="AF406">
        <v>0.138904674061924</v>
      </c>
      <c r="AG406">
        <v>-0.2137974</v>
      </c>
      <c r="AH406">
        <v>0.53456300679001401</v>
      </c>
      <c r="AI406">
        <v>111.161075313193</v>
      </c>
      <c r="AJ406">
        <v>75.433987210379897</v>
      </c>
      <c r="AK406">
        <v>0.59225116711695103</v>
      </c>
      <c r="AL406">
        <v>89.285544912334402</v>
      </c>
      <c r="AM406">
        <v>87.319927867020795</v>
      </c>
      <c r="AN406">
        <v>0.99999996080031595</v>
      </c>
    </row>
    <row r="407" spans="1:40" x14ac:dyDescent="0.25">
      <c r="A407" t="str">
        <f>"20190312160915130"</f>
        <v>20190312160915130</v>
      </c>
      <c r="B407" t="str">
        <f>"1552378155125708"</f>
        <v>1552378155125708</v>
      </c>
      <c r="C407" t="s">
        <v>40</v>
      </c>
      <c r="D407">
        <v>5.2678399999999996</v>
      </c>
      <c r="E407">
        <v>0.54635180000000005</v>
      </c>
      <c r="F407" t="s">
        <v>42</v>
      </c>
      <c r="G407">
        <v>-404.40859999999998</v>
      </c>
      <c r="H407">
        <v>0.85225629999999997</v>
      </c>
      <c r="I407">
        <v>367.62639999999999</v>
      </c>
      <c r="J407">
        <v>-404.99770000000001</v>
      </c>
      <c r="K407">
        <v>1.060122</v>
      </c>
      <c r="L407">
        <v>367.76260000000002</v>
      </c>
      <c r="M407">
        <v>0.99960150000000003</v>
      </c>
      <c r="N407">
        <v>0</v>
      </c>
      <c r="O407">
        <v>2.433695E-2</v>
      </c>
      <c r="P407">
        <v>0.99976799999999999</v>
      </c>
      <c r="Q407">
        <v>-1.276367E-3</v>
      </c>
      <c r="R407">
        <v>-2.1515780000000002E-2</v>
      </c>
      <c r="S407">
        <v>2.9896850000000001</v>
      </c>
      <c r="T407">
        <v>-0.70775509999999997</v>
      </c>
      <c r="U407">
        <v>-0.43872070000000002</v>
      </c>
      <c r="V407">
        <v>4.5848079999999999E-2</v>
      </c>
      <c r="W407">
        <v>1.300376E-2</v>
      </c>
      <c r="X407">
        <v>0.99886379999999997</v>
      </c>
      <c r="Y407">
        <v>0.1641233</v>
      </c>
      <c r="Z407">
        <v>-2.4720200000000001E-2</v>
      </c>
      <c r="AA407">
        <v>0.98613010000000001</v>
      </c>
      <c r="AB407">
        <v>31</v>
      </c>
      <c r="AC407">
        <v>0.58910000000003004</v>
      </c>
      <c r="AD407">
        <v>-0.20786569999999999</v>
      </c>
      <c r="AE407">
        <v>-0.13620000000002999</v>
      </c>
      <c r="AF407">
        <v>0.13459101371041099</v>
      </c>
      <c r="AG407">
        <v>-0.20786569999999999</v>
      </c>
      <c r="AH407">
        <v>0.52371391086030294</v>
      </c>
      <c r="AI407">
        <v>111.027531017238</v>
      </c>
      <c r="AJ407">
        <v>75.587259819234106</v>
      </c>
      <c r="AK407">
        <v>0.57930920123598795</v>
      </c>
      <c r="AL407">
        <v>89.254918447687899</v>
      </c>
      <c r="AM407">
        <v>87.371955016730595</v>
      </c>
      <c r="AN407">
        <v>1.00000001758213</v>
      </c>
    </row>
    <row r="408" spans="1:40" x14ac:dyDescent="0.25">
      <c r="A408" t="str">
        <f>"20190312160915153"</f>
        <v>20190312160915153</v>
      </c>
      <c r="B408" t="str">
        <f>"1552378155145229"</f>
        <v>1552378155145229</v>
      </c>
      <c r="C408" t="s">
        <v>40</v>
      </c>
      <c r="D408">
        <v>5.3389089999999904</v>
      </c>
      <c r="E408">
        <v>0.54594540000000003</v>
      </c>
      <c r="F408" t="s">
        <v>42</v>
      </c>
      <c r="G408">
        <v>-404.1336</v>
      </c>
      <c r="H408">
        <v>0.85645659999999901</v>
      </c>
      <c r="I408">
        <v>367.6377</v>
      </c>
      <c r="J408">
        <v>-404.68290000000002</v>
      </c>
      <c r="K408">
        <v>1.060125</v>
      </c>
      <c r="L408">
        <v>367.77010000000001</v>
      </c>
      <c r="M408">
        <v>0.99960570000000004</v>
      </c>
      <c r="N408">
        <v>0</v>
      </c>
      <c r="O408">
        <v>2.4159960000000001E-2</v>
      </c>
      <c r="P408">
        <v>0.99977729999999998</v>
      </c>
      <c r="Q408">
        <v>-1.0598249999999999E-3</v>
      </c>
      <c r="R408">
        <v>-2.1079730000000001E-2</v>
      </c>
      <c r="S408">
        <v>2.9905400000000002</v>
      </c>
      <c r="T408">
        <v>-0.70479399999999903</v>
      </c>
      <c r="U408">
        <v>-0.43179319999999999</v>
      </c>
      <c r="V408">
        <v>4.5235650000000002E-2</v>
      </c>
      <c r="W408">
        <v>1.3217370000000001E-2</v>
      </c>
      <c r="X408">
        <v>0.99888889999999997</v>
      </c>
      <c r="Y408">
        <v>0.16178139999999999</v>
      </c>
      <c r="Z408">
        <v>-2.4304760000000002E-2</v>
      </c>
      <c r="AA408">
        <v>0.9865273</v>
      </c>
      <c r="AB408">
        <v>31</v>
      </c>
      <c r="AC408">
        <v>0.549300000000016</v>
      </c>
      <c r="AD408">
        <v>-0.2036684</v>
      </c>
      <c r="AE408">
        <v>-0.132400000000018</v>
      </c>
      <c r="AF408">
        <v>0.128887665063879</v>
      </c>
      <c r="AG408">
        <v>-0.2036684</v>
      </c>
      <c r="AH408">
        <v>0.48316403047028</v>
      </c>
      <c r="AI408">
        <v>112.160494019349</v>
      </c>
      <c r="AJ408">
        <v>75.063720075014601</v>
      </c>
      <c r="AK408">
        <v>0.53994474504754997</v>
      </c>
      <c r="AL408">
        <v>89.2426784301406</v>
      </c>
      <c r="AM408">
        <v>87.407076776338101</v>
      </c>
      <c r="AN408">
        <v>0.99999999872192402</v>
      </c>
    </row>
    <row r="409" spans="1:40" x14ac:dyDescent="0.25">
      <c r="A409" t="str">
        <f>"20190312160915175"</f>
        <v>20190312160915175</v>
      </c>
      <c r="B409" t="str">
        <f>"1552378155165724"</f>
        <v>1552378155165724</v>
      </c>
      <c r="C409" t="s">
        <v>40</v>
      </c>
      <c r="D409">
        <v>5.2796529999999997</v>
      </c>
      <c r="E409">
        <v>0.50748679999999902</v>
      </c>
      <c r="F409" t="s">
        <v>42</v>
      </c>
      <c r="G409">
        <v>-403.85680000000002</v>
      </c>
      <c r="H409">
        <v>0.86614020000000003</v>
      </c>
      <c r="I409">
        <v>367.65190000000001</v>
      </c>
      <c r="J409">
        <v>-404.37759999999997</v>
      </c>
      <c r="K409">
        <v>1.060125</v>
      </c>
      <c r="L409">
        <v>367.77730000000003</v>
      </c>
      <c r="M409">
        <v>0.99961009999999995</v>
      </c>
      <c r="N409">
        <v>0</v>
      </c>
      <c r="O409">
        <v>2.39878E-2</v>
      </c>
      <c r="P409">
        <v>0.99977199999999999</v>
      </c>
      <c r="Q409">
        <v>-1.1223349999999999E-3</v>
      </c>
      <c r="R409">
        <v>-2.1338639999999999E-2</v>
      </c>
      <c r="S409">
        <v>2.9909059999999998</v>
      </c>
      <c r="T409">
        <v>-0.70222559999999901</v>
      </c>
      <c r="U409">
        <v>-0.42709350000000001</v>
      </c>
      <c r="V409">
        <v>4.532216E-2</v>
      </c>
      <c r="W409">
        <v>1.315157E-2</v>
      </c>
      <c r="X409">
        <v>0.99888589999999999</v>
      </c>
      <c r="Y409">
        <v>0.1601591</v>
      </c>
      <c r="Z409">
        <v>-2.3991499999999999E-2</v>
      </c>
      <c r="AA409">
        <v>0.9867996</v>
      </c>
      <c r="AB409">
        <v>31</v>
      </c>
      <c r="AC409">
        <v>0.52079999999995097</v>
      </c>
      <c r="AD409">
        <v>-0.19398480000000001</v>
      </c>
      <c r="AE409">
        <v>-0.125400000000013</v>
      </c>
      <c r="AF409">
        <v>0.121875883230536</v>
      </c>
      <c r="AG409">
        <v>-0.19398480000000001</v>
      </c>
      <c r="AH409">
        <v>0.45763052643547902</v>
      </c>
      <c r="AI409">
        <v>112.27460929379799</v>
      </c>
      <c r="AJ409">
        <v>75.087160851392497</v>
      </c>
      <c r="AK409">
        <v>0.51177097638482505</v>
      </c>
      <c r="AL409">
        <v>89.246448860004605</v>
      </c>
      <c r="AM409">
        <v>87.402116988436404</v>
      </c>
      <c r="AN409">
        <v>1.0000000515996601</v>
      </c>
    </row>
    <row r="410" spans="1:40" x14ac:dyDescent="0.25">
      <c r="A410" t="str">
        <f>"20190312160915197"</f>
        <v>20190312160915197</v>
      </c>
      <c r="B410" t="str">
        <f>"1552378155185247"</f>
        <v>1552378155185247</v>
      </c>
      <c r="C410" t="s">
        <v>40</v>
      </c>
      <c r="D410">
        <v>5.4477229999999999</v>
      </c>
      <c r="E410">
        <v>0.5018513</v>
      </c>
      <c r="F410" t="s">
        <v>42</v>
      </c>
      <c r="G410">
        <v>-403.5378</v>
      </c>
      <c r="H410">
        <v>0.96854929999999995</v>
      </c>
      <c r="I410">
        <v>367.74270000000001</v>
      </c>
      <c r="J410">
        <v>-404.06950000000001</v>
      </c>
      <c r="K410">
        <v>1.0601320000000001</v>
      </c>
      <c r="L410">
        <v>367.78449999999998</v>
      </c>
      <c r="M410">
        <v>0.99961420000000001</v>
      </c>
      <c r="N410">
        <v>0</v>
      </c>
      <c r="O410">
        <v>2.3813790000000001E-2</v>
      </c>
      <c r="P410">
        <v>0.99976889999999996</v>
      </c>
      <c r="Q410">
        <v>-1.1778239999999901E-3</v>
      </c>
      <c r="R410">
        <v>-2.1474119999999999E-2</v>
      </c>
      <c r="S410">
        <v>2.9977420000000001</v>
      </c>
      <c r="T410">
        <v>-0.3269475</v>
      </c>
      <c r="U410">
        <v>-0.1227417</v>
      </c>
      <c r="V410">
        <v>4.5283669999999998E-2</v>
      </c>
      <c r="W410">
        <v>1.3092919999999999E-2</v>
      </c>
      <c r="X410">
        <v>0.99888840000000001</v>
      </c>
      <c r="Y410">
        <v>6.4174120000000001E-2</v>
      </c>
      <c r="Z410">
        <v>-6.0766509999999998E-3</v>
      </c>
      <c r="AA410">
        <v>0.99792020000000003</v>
      </c>
      <c r="AB410">
        <v>31</v>
      </c>
      <c r="AC410">
        <v>0.53169999999999995</v>
      </c>
      <c r="AD410">
        <v>-9.1582700000000003E-2</v>
      </c>
      <c r="AE410">
        <v>-4.1799999999966503E-2</v>
      </c>
      <c r="AF410">
        <v>5.2891659602164097E-2</v>
      </c>
      <c r="AG410">
        <v>-9.1582700000000003E-2</v>
      </c>
      <c r="AH410">
        <v>0.51535776379822495</v>
      </c>
      <c r="AI410">
        <v>100.02508589256099</v>
      </c>
      <c r="AJ410">
        <v>84.1401959364579</v>
      </c>
      <c r="AK410">
        <v>0.52609746559156501</v>
      </c>
      <c r="AL410">
        <v>89.249809534569394</v>
      </c>
      <c r="AM410">
        <v>87.404326718280799</v>
      </c>
      <c r="AN410">
        <v>1.00000003548867</v>
      </c>
    </row>
    <row r="411" spans="1:40" x14ac:dyDescent="0.25">
      <c r="A411" t="str">
        <f>"20190312160915220"</f>
        <v>20190312160915220</v>
      </c>
      <c r="B411" t="str">
        <f>"1552378155215500"</f>
        <v>1552378155215500</v>
      </c>
      <c r="C411" t="s">
        <v>40</v>
      </c>
      <c r="D411">
        <v>5.288367</v>
      </c>
      <c r="E411">
        <v>0.5014845</v>
      </c>
      <c r="F411" t="s">
        <v>41</v>
      </c>
      <c r="G411">
        <v>-388.74310000000003</v>
      </c>
      <c r="H411" s="1">
        <v>-1.008066E-6</v>
      </c>
      <c r="I411">
        <v>367.38279999999997</v>
      </c>
      <c r="J411">
        <v>-403.767</v>
      </c>
      <c r="K411">
        <v>1.060135</v>
      </c>
      <c r="L411">
        <v>367.79149999999998</v>
      </c>
      <c r="M411">
        <v>0.99961829999999996</v>
      </c>
      <c r="N411">
        <v>0</v>
      </c>
      <c r="O411">
        <v>2.3643419999999998E-2</v>
      </c>
      <c r="P411">
        <v>0.99975809999999998</v>
      </c>
      <c r="Q411">
        <v>-8.8784970000000004E-4</v>
      </c>
      <c r="R411">
        <v>-2.1977799999999999E-2</v>
      </c>
      <c r="S411">
        <v>2.9987490000000001</v>
      </c>
      <c r="T411">
        <v>-0.20742340000000001</v>
      </c>
      <c r="U411">
        <v>-7.8582760000000001E-2</v>
      </c>
      <c r="V411">
        <v>4.5616940000000002E-2</v>
      </c>
      <c r="W411">
        <v>1.3379479999999999E-2</v>
      </c>
      <c r="X411">
        <v>0.99886940000000002</v>
      </c>
      <c r="Y411">
        <v>4.9651550000000003E-2</v>
      </c>
      <c r="Z411">
        <v>-3.3482199999999998E-3</v>
      </c>
      <c r="AA411">
        <v>0.99876100000000001</v>
      </c>
      <c r="AB411">
        <v>31</v>
      </c>
      <c r="AC411">
        <v>15.0238999999999</v>
      </c>
      <c r="AD411">
        <v>-1.0601360080660001</v>
      </c>
      <c r="AE411">
        <v>-0.40870000000001</v>
      </c>
      <c r="AF411">
        <v>0.76005672472028996</v>
      </c>
      <c r="AG411">
        <v>-1.0601360080660001</v>
      </c>
      <c r="AH411">
        <v>14.9357225829224</v>
      </c>
      <c r="AI411">
        <v>94.054809825156696</v>
      </c>
      <c r="AJ411">
        <v>87.086815899715802</v>
      </c>
      <c r="AK411">
        <v>14.992577618755501</v>
      </c>
      <c r="AL411">
        <v>89.233389388553903</v>
      </c>
      <c r="AM411">
        <v>87.385200332092396</v>
      </c>
      <c r="AN411">
        <v>0.99999999697819697</v>
      </c>
    </row>
    <row r="412" spans="1:40" x14ac:dyDescent="0.25">
      <c r="A412" t="str">
        <f>"20190312160915242"</f>
        <v>20190312160915242</v>
      </c>
      <c r="B412" t="str">
        <f>"1552378155235020"</f>
        <v>1552378155235020</v>
      </c>
      <c r="C412" t="s">
        <v>40</v>
      </c>
      <c r="D412">
        <v>5.2842440000000002</v>
      </c>
      <c r="E412">
        <v>0.50049719999999998</v>
      </c>
      <c r="F412" t="s">
        <v>41</v>
      </c>
      <c r="G412">
        <v>-383.60599999999999</v>
      </c>
      <c r="H412" s="1">
        <v>-3.1413759999999999E-6</v>
      </c>
      <c r="I412">
        <v>367.27069999999998</v>
      </c>
      <c r="J412">
        <v>-403.47399999999999</v>
      </c>
      <c r="K412">
        <v>1.0601400000000001</v>
      </c>
      <c r="L412">
        <v>367.79820000000001</v>
      </c>
      <c r="M412">
        <v>0.99962220000000002</v>
      </c>
      <c r="N412">
        <v>0</v>
      </c>
      <c r="O412">
        <v>2.347817E-2</v>
      </c>
      <c r="P412">
        <v>0.99975530000000001</v>
      </c>
      <c r="Q412">
        <v>-2.2075900000000001E-4</v>
      </c>
      <c r="R412">
        <v>-2.212867E-2</v>
      </c>
      <c r="S412">
        <v>2.9989319999999999</v>
      </c>
      <c r="T412">
        <v>-0.157694</v>
      </c>
      <c r="U412">
        <v>-7.7453610000000006E-2</v>
      </c>
      <c r="V412">
        <v>4.5602940000000002E-2</v>
      </c>
      <c r="W412">
        <v>1.4043170000000001E-2</v>
      </c>
      <c r="X412">
        <v>0.998861</v>
      </c>
      <c r="Y412">
        <v>4.9183749999999998E-2</v>
      </c>
      <c r="Z412">
        <v>-2.5256549999999999E-3</v>
      </c>
      <c r="AA412">
        <v>0.99878659999999997</v>
      </c>
      <c r="AB412">
        <v>30</v>
      </c>
      <c r="AC412">
        <v>19.867999999999899</v>
      </c>
      <c r="AD412">
        <v>-1.0601431413760001</v>
      </c>
      <c r="AE412">
        <v>-0.52750000000003106</v>
      </c>
      <c r="AF412">
        <v>0.99104674889047295</v>
      </c>
      <c r="AG412">
        <v>-1.0601431413760001</v>
      </c>
      <c r="AH412">
        <v>19.793818646212099</v>
      </c>
      <c r="AI412">
        <v>93.061964541438698</v>
      </c>
      <c r="AJ412">
        <v>87.133679987042598</v>
      </c>
      <c r="AK412">
        <v>19.846947718423301</v>
      </c>
      <c r="AL412">
        <v>89.195359234002794</v>
      </c>
      <c r="AM412">
        <v>87.385979757944398</v>
      </c>
      <c r="AN412">
        <v>1.00000006804064</v>
      </c>
    </row>
    <row r="413" spans="1:40" x14ac:dyDescent="0.25">
      <c r="A413" t="str">
        <f>"20190312160915266"</f>
        <v>20190312160915266</v>
      </c>
      <c r="B413" t="str">
        <f>"1552378155255516"</f>
        <v>1552378155255516</v>
      </c>
      <c r="C413" t="s">
        <v>40</v>
      </c>
      <c r="D413">
        <v>5.291544</v>
      </c>
      <c r="E413">
        <v>0.50006059999999997</v>
      </c>
      <c r="F413" t="s">
        <v>41</v>
      </c>
      <c r="G413">
        <v>-382.21190000000001</v>
      </c>
      <c r="H413" s="1">
        <v>-3.7339759999999999E-6</v>
      </c>
      <c r="I413">
        <v>367.30169999999998</v>
      </c>
      <c r="J413">
        <v>-403.15039999999999</v>
      </c>
      <c r="K413">
        <v>1.0601419999999999</v>
      </c>
      <c r="L413">
        <v>367.80560000000003</v>
      </c>
      <c r="M413">
        <v>0.99962649999999997</v>
      </c>
      <c r="N413">
        <v>0</v>
      </c>
      <c r="O413">
        <v>2.3295819999999998E-2</v>
      </c>
      <c r="P413">
        <v>0.99974359999999995</v>
      </c>
      <c r="Q413">
        <v>4.043621E-4</v>
      </c>
      <c r="R413">
        <v>-2.2638869999999998E-2</v>
      </c>
      <c r="S413">
        <v>2.9991460000000001</v>
      </c>
      <c r="T413">
        <v>-0.14953859999999999</v>
      </c>
      <c r="U413">
        <v>-7.0037840000000004E-2</v>
      </c>
      <c r="V413">
        <v>4.5930690000000003E-2</v>
      </c>
      <c r="W413">
        <v>1.4664429999999999E-2</v>
      </c>
      <c r="X413">
        <v>0.99883699999999997</v>
      </c>
      <c r="Y413">
        <v>4.6545019999999999E-2</v>
      </c>
      <c r="Z413">
        <v>-2.3202779999999998E-3</v>
      </c>
      <c r="AA413">
        <v>0.99891350000000001</v>
      </c>
      <c r="AB413">
        <v>30</v>
      </c>
      <c r="AC413">
        <v>20.938499999999902</v>
      </c>
      <c r="AD413">
        <v>-1.0601457339760001</v>
      </c>
      <c r="AE413">
        <v>-0.50390000000004398</v>
      </c>
      <c r="AF413">
        <v>0.98905852700166197</v>
      </c>
      <c r="AG413">
        <v>-1.0601457339760001</v>
      </c>
      <c r="AH413">
        <v>20.8676125101045</v>
      </c>
      <c r="AI413">
        <v>92.905064574364403</v>
      </c>
      <c r="AJ413">
        <v>87.286392892378998</v>
      </c>
      <c r="AK413">
        <v>20.917920489833001</v>
      </c>
      <c r="AL413">
        <v>89.1597599462999</v>
      </c>
      <c r="AM413">
        <v>87.3671558676524</v>
      </c>
      <c r="AN413">
        <v>1.0000000131800499</v>
      </c>
    </row>
    <row r="414" spans="1:40" x14ac:dyDescent="0.25">
      <c r="A414" t="str">
        <f>"20190312160915308"</f>
        <v>20190312160915308</v>
      </c>
      <c r="B414" t="str">
        <f>"1552378155295532"</f>
        <v>1552378155295532</v>
      </c>
      <c r="C414" t="s">
        <v>40</v>
      </c>
      <c r="D414">
        <v>5.2430450000000004</v>
      </c>
      <c r="E414">
        <v>0.49932109999999902</v>
      </c>
      <c r="F414" t="s">
        <v>41</v>
      </c>
      <c r="G414">
        <v>-380.94740000000002</v>
      </c>
      <c r="H414" s="1">
        <v>-4.2764460000000003E-6</v>
      </c>
      <c r="I414">
        <v>367.30149999999998</v>
      </c>
      <c r="J414">
        <v>-402.57749999999999</v>
      </c>
      <c r="K414">
        <v>1.0601370000000001</v>
      </c>
      <c r="L414">
        <v>367.8186</v>
      </c>
      <c r="M414">
        <v>0.99963409999999997</v>
      </c>
      <c r="N414">
        <v>0</v>
      </c>
      <c r="O414">
        <v>2.2972469999999998E-2</v>
      </c>
      <c r="P414">
        <v>0.99974269999999998</v>
      </c>
      <c r="Q414">
        <v>-1.9608999999999998E-3</v>
      </c>
      <c r="R414">
        <v>-2.2607749999999999E-2</v>
      </c>
      <c r="S414">
        <v>2.999298</v>
      </c>
      <c r="T414">
        <v>-0.1432097</v>
      </c>
      <c r="U414">
        <v>-6.8084720000000001E-2</v>
      </c>
      <c r="V414">
        <v>4.557539E-2</v>
      </c>
      <c r="W414">
        <v>1.2293810000000001E-2</v>
      </c>
      <c r="X414">
        <v>0.99888529999999998</v>
      </c>
      <c r="Y414">
        <v>4.5579210000000002E-2</v>
      </c>
      <c r="Z414">
        <v>-2.1836210000000002E-3</v>
      </c>
      <c r="AA414">
        <v>0.99895829999999997</v>
      </c>
      <c r="AB414">
        <v>30</v>
      </c>
      <c r="AC414">
        <v>21.630099999999899</v>
      </c>
      <c r="AD414">
        <v>-1.0601412764460001</v>
      </c>
      <c r="AE414">
        <v>-0.51710000000002698</v>
      </c>
      <c r="AF414">
        <v>1.0114826033084401</v>
      </c>
      <c r="AG414">
        <v>-1.0601412764460001</v>
      </c>
      <c r="AH414">
        <v>21.560746540128299</v>
      </c>
      <c r="AI414">
        <v>92.811877116483402</v>
      </c>
      <c r="AJ414">
        <v>87.314043625745597</v>
      </c>
      <c r="AK414">
        <v>21.610478660836701</v>
      </c>
      <c r="AL414">
        <v>89.295598862488305</v>
      </c>
      <c r="AM414">
        <v>87.387620236699505</v>
      </c>
      <c r="AN414">
        <v>1.0000000482470199</v>
      </c>
    </row>
    <row r="415" spans="1:40" x14ac:dyDescent="0.25">
      <c r="A415" t="str">
        <f>"20190312160915330"</f>
        <v>20190312160915330</v>
      </c>
      <c r="B415" t="str">
        <f>"1552378155315052"</f>
        <v>1552378155315052</v>
      </c>
      <c r="C415" t="s">
        <v>40</v>
      </c>
      <c r="D415">
        <v>5.2488149999999996</v>
      </c>
      <c r="E415">
        <v>0.4988939</v>
      </c>
      <c r="F415" t="s">
        <v>41</v>
      </c>
      <c r="G415">
        <v>-378.72550000000001</v>
      </c>
      <c r="H415" s="1">
        <v>-1.0296109999999999E-6</v>
      </c>
      <c r="I415">
        <v>367.32429999999999</v>
      </c>
      <c r="J415">
        <v>-402.267</v>
      </c>
      <c r="K415">
        <v>1.060128</v>
      </c>
      <c r="L415">
        <v>367.82549999999998</v>
      </c>
      <c r="M415">
        <v>0.99963820000000003</v>
      </c>
      <c r="N415">
        <v>0</v>
      </c>
      <c r="O415">
        <v>2.2797330000000001E-2</v>
      </c>
      <c r="P415">
        <v>0.99974419999999997</v>
      </c>
      <c r="Q415">
        <v>-2.48088E-3</v>
      </c>
      <c r="R415">
        <v>-2.2491810000000001E-2</v>
      </c>
      <c r="S415">
        <v>2.9991150000000002</v>
      </c>
      <c r="T415">
        <v>-0.1333001</v>
      </c>
      <c r="U415">
        <v>-6.2133790000000001E-2</v>
      </c>
      <c r="V415">
        <v>4.5284270000000001E-2</v>
      </c>
      <c r="W415">
        <v>1.177076E-2</v>
      </c>
      <c r="X415">
        <v>0.99890480000000004</v>
      </c>
      <c r="Y415">
        <v>4.343694E-2</v>
      </c>
      <c r="Z415">
        <v>-1.9774789999999999E-3</v>
      </c>
      <c r="AA415">
        <v>0.9990542</v>
      </c>
      <c r="AB415">
        <v>30</v>
      </c>
      <c r="AC415">
        <v>23.5414999999999</v>
      </c>
      <c r="AD415">
        <v>-1.060129029611</v>
      </c>
      <c r="AE415">
        <v>-0.50119999999998299</v>
      </c>
      <c r="AF415">
        <v>1.0357083682558501</v>
      </c>
      <c r="AG415">
        <v>-1.060129029611</v>
      </c>
      <c r="AH415">
        <v>23.476366852150601</v>
      </c>
      <c r="AI415">
        <v>92.583056329887299</v>
      </c>
      <c r="AJ415">
        <v>87.473916456232104</v>
      </c>
      <c r="AK415">
        <v>23.523102813197401</v>
      </c>
      <c r="AL415">
        <v>89.325569561096202</v>
      </c>
      <c r="AM415">
        <v>87.404334931135693</v>
      </c>
      <c r="AN415">
        <v>1.0000000076817199</v>
      </c>
    </row>
    <row r="416" spans="1:40" x14ac:dyDescent="0.25">
      <c r="A416" t="str">
        <f>"20190312160915354"</f>
        <v>20190312160915354</v>
      </c>
      <c r="B416" t="str">
        <f>"1552378155345308"</f>
        <v>1552378155345308</v>
      </c>
      <c r="C416" t="s">
        <v>40</v>
      </c>
      <c r="D416">
        <v>5.2632050000000001</v>
      </c>
      <c r="E416">
        <v>0.49855850000000002</v>
      </c>
      <c r="F416" t="s">
        <v>41</v>
      </c>
      <c r="G416">
        <v>-377.01900000000001</v>
      </c>
      <c r="H416" s="1">
        <v>-1.6657410000000001E-6</v>
      </c>
      <c r="I416">
        <v>367.33550000000002</v>
      </c>
      <c r="J416">
        <v>-401.9547</v>
      </c>
      <c r="K416">
        <v>1.0601339999999999</v>
      </c>
      <c r="L416">
        <v>367.83249999999998</v>
      </c>
      <c r="M416">
        <v>0.99964219999999904</v>
      </c>
      <c r="N416">
        <v>0</v>
      </c>
      <c r="O416">
        <v>2.262076E-2</v>
      </c>
      <c r="P416">
        <v>0.99974430000000003</v>
      </c>
      <c r="Q416">
        <v>-2.1882080000000001E-3</v>
      </c>
      <c r="R416">
        <v>-2.2509870000000001E-2</v>
      </c>
      <c r="S416">
        <v>2.9991460000000001</v>
      </c>
      <c r="T416">
        <v>-0.12592999999999999</v>
      </c>
      <c r="U416">
        <v>-5.8197020000000002E-2</v>
      </c>
      <c r="V416">
        <v>4.5125930000000002E-2</v>
      </c>
      <c r="W416">
        <v>1.2060649999999999E-2</v>
      </c>
      <c r="X416">
        <v>0.99890849999999998</v>
      </c>
      <c r="Y416">
        <v>4.1957840000000003E-2</v>
      </c>
      <c r="Z416">
        <v>-1.8297999999999999E-3</v>
      </c>
      <c r="AA416">
        <v>0.9991177</v>
      </c>
      <c r="AB416">
        <v>30</v>
      </c>
      <c r="AC416">
        <v>24.935700000000001</v>
      </c>
      <c r="AD416">
        <v>-1.0601356657409999</v>
      </c>
      <c r="AE416">
        <v>-0.49699999999995698</v>
      </c>
      <c r="AF416">
        <v>1.0590812296063301</v>
      </c>
      <c r="AG416">
        <v>-1.0601356657409999</v>
      </c>
      <c r="AH416">
        <v>24.873133948460101</v>
      </c>
      <c r="AI416">
        <v>92.438360636327999</v>
      </c>
      <c r="AJ416">
        <v>87.561857177886907</v>
      </c>
      <c r="AK416">
        <v>24.918232944948599</v>
      </c>
      <c r="AL416">
        <v>89.308958903140706</v>
      </c>
      <c r="AM416">
        <v>87.413408097388896</v>
      </c>
      <c r="AN416">
        <v>1.00000000010451</v>
      </c>
    </row>
    <row r="417" spans="1:40" x14ac:dyDescent="0.25">
      <c r="A417" t="str">
        <f>"20190312160915376"</f>
        <v>20190312160915376</v>
      </c>
      <c r="B417" t="str">
        <f>"1552378155365807"</f>
        <v>1552378155365807</v>
      </c>
      <c r="C417" t="s">
        <v>40</v>
      </c>
      <c r="D417">
        <v>5.2411269999999996</v>
      </c>
      <c r="E417">
        <v>0.49849270000000001</v>
      </c>
      <c r="F417" t="s">
        <v>41</v>
      </c>
      <c r="G417">
        <v>-374.13760000000002</v>
      </c>
      <c r="H417" s="1">
        <v>-2.9055840000000002E-6</v>
      </c>
      <c r="I417">
        <v>367.31439999999998</v>
      </c>
      <c r="J417">
        <v>-401.65159999999997</v>
      </c>
      <c r="K417">
        <v>1.060133</v>
      </c>
      <c r="L417">
        <v>367.83909999999997</v>
      </c>
      <c r="M417">
        <v>0.99964609999999998</v>
      </c>
      <c r="N417">
        <v>0</v>
      </c>
      <c r="O417">
        <v>2.244962E-2</v>
      </c>
      <c r="P417">
        <v>0.99975820000000004</v>
      </c>
      <c r="Q417">
        <v>-2.1606870000000001E-3</v>
      </c>
      <c r="R417">
        <v>-2.1888319999999999E-2</v>
      </c>
      <c r="S417">
        <v>2.9992369999999999</v>
      </c>
      <c r="T417">
        <v>-0.11430360000000001</v>
      </c>
      <c r="U417">
        <v>-5.5847170000000002E-2</v>
      </c>
      <c r="V417">
        <v>4.4333850000000001E-2</v>
      </c>
      <c r="W417">
        <v>1.208592E-2</v>
      </c>
      <c r="X417">
        <v>0.99894369999999999</v>
      </c>
      <c r="Y417">
        <v>4.1014500000000002E-2</v>
      </c>
      <c r="Z417">
        <v>-1.636466E-3</v>
      </c>
      <c r="AA417">
        <v>0.99915719999999997</v>
      </c>
      <c r="AB417">
        <v>30</v>
      </c>
      <c r="AC417">
        <v>27.5139999999999</v>
      </c>
      <c r="AD417">
        <v>-1.0601359055840001</v>
      </c>
      <c r="AE417">
        <v>-0.52469999999999495</v>
      </c>
      <c r="AF417">
        <v>1.14061672937776</v>
      </c>
      <c r="AG417">
        <v>-1.0601359055840001</v>
      </c>
      <c r="AH417">
        <v>27.454539100688201</v>
      </c>
      <c r="AI417">
        <v>92.209429736604505</v>
      </c>
      <c r="AJ417">
        <v>87.620977613054094</v>
      </c>
      <c r="AK417">
        <v>27.498665638406202</v>
      </c>
      <c r="AL417">
        <v>89.307510959323693</v>
      </c>
      <c r="AM417">
        <v>87.458839038799297</v>
      </c>
      <c r="AN417">
        <v>1.00000003774387</v>
      </c>
    </row>
    <row r="418" spans="1:40" x14ac:dyDescent="0.25">
      <c r="A418" t="str">
        <f>"20190312160915398"</f>
        <v>20190312160915398</v>
      </c>
      <c r="B418" t="str">
        <f>"1552378155385332"</f>
        <v>1552378155385332</v>
      </c>
      <c r="C418" t="s">
        <v>40</v>
      </c>
      <c r="D418">
        <v>5.2051220000000002</v>
      </c>
      <c r="E418">
        <v>0.4984343</v>
      </c>
      <c r="F418" t="s">
        <v>41</v>
      </c>
      <c r="G418">
        <v>-372.19729999999998</v>
      </c>
      <c r="H418" s="1">
        <v>-3.7379740000000002E-6</v>
      </c>
      <c r="I418">
        <v>367.3143</v>
      </c>
      <c r="J418">
        <v>-401.35820000000001</v>
      </c>
      <c r="K418">
        <v>1.060135</v>
      </c>
      <c r="L418">
        <v>367.84550000000002</v>
      </c>
      <c r="M418">
        <v>0.99964980000000003</v>
      </c>
      <c r="N418">
        <v>0</v>
      </c>
      <c r="O418">
        <v>2.2283770000000001E-2</v>
      </c>
      <c r="P418">
        <v>0.99976710000000002</v>
      </c>
      <c r="Q418">
        <v>-2.6345240000000001E-3</v>
      </c>
      <c r="R418">
        <v>-2.141788E-2</v>
      </c>
      <c r="S418">
        <v>2.9993289999999999</v>
      </c>
      <c r="T418">
        <v>-0.1079538</v>
      </c>
      <c r="U418">
        <v>-5.3436280000000003E-2</v>
      </c>
      <c r="V418">
        <v>4.3697949999999999E-2</v>
      </c>
      <c r="W418">
        <v>1.1609120000000001E-2</v>
      </c>
      <c r="X418">
        <v>0.99897740000000002</v>
      </c>
      <c r="Y418">
        <v>4.005098E-2</v>
      </c>
      <c r="Z418">
        <v>-1.5222809999999999E-3</v>
      </c>
      <c r="AA418">
        <v>0.99919650000000004</v>
      </c>
      <c r="AB418">
        <v>30</v>
      </c>
      <c r="AC418">
        <v>29.160900000000002</v>
      </c>
      <c r="AD418">
        <v>-1.0601387379739999</v>
      </c>
      <c r="AE418">
        <v>-0.531200000000012</v>
      </c>
      <c r="AF418">
        <v>1.17939080433928</v>
      </c>
      <c r="AG418">
        <v>-1.0601387379739999</v>
      </c>
      <c r="AH418">
        <v>29.1033667852546</v>
      </c>
      <c r="AI418">
        <v>92.084462713059594</v>
      </c>
      <c r="AJ418">
        <v>87.679403827559696</v>
      </c>
      <c r="AK418">
        <v>29.1465403615965</v>
      </c>
      <c r="AL418">
        <v>89.334831521233298</v>
      </c>
      <c r="AM418">
        <v>87.495325664374306</v>
      </c>
      <c r="AN418">
        <v>1.00000006410606</v>
      </c>
    </row>
    <row r="419" spans="1:40" x14ac:dyDescent="0.25">
      <c r="A419" t="str">
        <f>"20190312160915419"</f>
        <v>20190312160915419</v>
      </c>
      <c r="B419" t="str">
        <f>"1552378155415580"</f>
        <v>1552378155415580</v>
      </c>
      <c r="C419" t="s">
        <v>40</v>
      </c>
      <c r="D419">
        <v>5.1414600000000004</v>
      </c>
      <c r="E419">
        <v>0.49818289999999998</v>
      </c>
      <c r="F419" t="s">
        <v>41</v>
      </c>
      <c r="G419">
        <v>-370.89609999999999</v>
      </c>
      <c r="H419" s="1">
        <v>-4.2949619999999998E-6</v>
      </c>
      <c r="I419">
        <v>367.32130000000001</v>
      </c>
      <c r="J419">
        <v>-401.0754</v>
      </c>
      <c r="K419">
        <v>1.060316</v>
      </c>
      <c r="L419">
        <v>367.85169999999999</v>
      </c>
      <c r="M419">
        <v>0.99964310000000001</v>
      </c>
      <c r="N419">
        <v>0</v>
      </c>
      <c r="O419">
        <v>2.2138700000000001E-2</v>
      </c>
      <c r="P419">
        <v>0.99976189999999998</v>
      </c>
      <c r="Q419">
        <v>-3.490857E-3</v>
      </c>
      <c r="R419">
        <v>-2.154698E-2</v>
      </c>
      <c r="S419">
        <v>2.9993289999999999</v>
      </c>
      <c r="T419">
        <v>-0.104382</v>
      </c>
      <c r="U419">
        <v>-5.160522E-2</v>
      </c>
      <c r="V419">
        <v>4.368176E-2</v>
      </c>
      <c r="W419">
        <v>1.1428890000000001E-2</v>
      </c>
      <c r="X419">
        <v>0.99898010000000004</v>
      </c>
      <c r="Y419">
        <v>3.9299540000000001E-2</v>
      </c>
      <c r="Z419">
        <v>-1.4538419999999999E-3</v>
      </c>
      <c r="AA419">
        <v>0.99922639999999996</v>
      </c>
      <c r="AB419">
        <v>30</v>
      </c>
      <c r="AC419">
        <v>30.179300000000001</v>
      </c>
      <c r="AD419">
        <v>-1.0603202949619901</v>
      </c>
      <c r="AE419">
        <v>-0.53039999999998599</v>
      </c>
      <c r="AF419">
        <v>1.1969980187470499</v>
      </c>
      <c r="AG419">
        <v>-1.0603202949619901</v>
      </c>
      <c r="AH419">
        <v>30.122985666159298</v>
      </c>
      <c r="AI419">
        <v>92.014373927658795</v>
      </c>
      <c r="AJ419">
        <v>87.724433053446802</v>
      </c>
      <c r="AK419">
        <v>30.1653998619019</v>
      </c>
      <c r="AL419">
        <v>89.345158567660405</v>
      </c>
      <c r="AM419">
        <v>87.496259218313</v>
      </c>
      <c r="AN419">
        <v>0.99999997793966899</v>
      </c>
    </row>
    <row r="420" spans="1:40" x14ac:dyDescent="0.25">
      <c r="A420" t="str">
        <f>"20190312160915441"</f>
        <v>20190312160915441</v>
      </c>
      <c r="B420" t="str">
        <f>"1552378155435099"</f>
        <v>1552378155435099</v>
      </c>
      <c r="C420" t="s">
        <v>40</v>
      </c>
      <c r="D420">
        <v>5.1215519999999897</v>
      </c>
      <c r="E420">
        <v>0.49801960000000001</v>
      </c>
      <c r="F420" t="s">
        <v>41</v>
      </c>
      <c r="G420">
        <v>-369.1148</v>
      </c>
      <c r="H420" s="1">
        <v>-8.9823739999999997E-7</v>
      </c>
      <c r="I420">
        <v>367.3202</v>
      </c>
      <c r="J420">
        <v>-400.77190000000002</v>
      </c>
      <c r="K420">
        <v>1.0609219999999999</v>
      </c>
      <c r="L420">
        <v>367.85820000000001</v>
      </c>
      <c r="M420">
        <v>0.99962720000000005</v>
      </c>
      <c r="N420">
        <v>0</v>
      </c>
      <c r="O420">
        <v>2.1990229999999999E-2</v>
      </c>
      <c r="P420">
        <v>0.99974739999999995</v>
      </c>
      <c r="Q420">
        <v>-4.958868E-3</v>
      </c>
      <c r="R420">
        <v>-2.1927490000000001E-2</v>
      </c>
      <c r="S420">
        <v>2.9992679999999998</v>
      </c>
      <c r="T420">
        <v>-9.9502439999999998E-2</v>
      </c>
      <c r="U420">
        <v>-4.9865720000000002E-2</v>
      </c>
      <c r="V420">
        <v>4.3913359999999999E-2</v>
      </c>
      <c r="W420">
        <v>1.118953E-2</v>
      </c>
      <c r="X420">
        <v>0.99897270000000005</v>
      </c>
      <c r="Y420">
        <v>3.8576409999999998E-2</v>
      </c>
      <c r="Z420">
        <v>-1.3690499999999999E-3</v>
      </c>
      <c r="AA420">
        <v>0.99925469999999905</v>
      </c>
      <c r="AB420">
        <v>30</v>
      </c>
      <c r="AC420">
        <v>31.6571</v>
      </c>
      <c r="AD420">
        <v>-1.0609228982373999</v>
      </c>
      <c r="AE420">
        <v>-0.53800000000001003</v>
      </c>
      <c r="AF420">
        <v>1.2327238604634501</v>
      </c>
      <c r="AG420">
        <v>-1.0609228982373999</v>
      </c>
      <c r="AH420">
        <v>31.6021278894369</v>
      </c>
      <c r="AI420">
        <v>91.921308673646806</v>
      </c>
      <c r="AJ420">
        <v>87.766160428133702</v>
      </c>
      <c r="AK420">
        <v>31.643951280655301</v>
      </c>
      <c r="AL420">
        <v>89.358873791168406</v>
      </c>
      <c r="AM420">
        <v>87.482982830636203</v>
      </c>
      <c r="AN420">
        <v>1.0000000220567</v>
      </c>
    </row>
    <row r="421" spans="1:40" x14ac:dyDescent="0.25">
      <c r="A421" t="str">
        <f>"20190312160915466"</f>
        <v>20190312160915466</v>
      </c>
      <c r="B421" t="str">
        <f>"1552378155455596"</f>
        <v>1552378155455596</v>
      </c>
      <c r="C421" t="s">
        <v>40</v>
      </c>
      <c r="D421">
        <v>5.0794309999999996</v>
      </c>
      <c r="E421">
        <v>0.49789030000000001</v>
      </c>
      <c r="F421" t="s">
        <v>41</v>
      </c>
      <c r="G421">
        <v>-368.72699999999998</v>
      </c>
      <c r="H421" s="1">
        <v>-1.0281500000000001E-6</v>
      </c>
      <c r="I421">
        <v>367.32799999999997</v>
      </c>
      <c r="J421">
        <v>-400.45859999999999</v>
      </c>
      <c r="K421">
        <v>1.0616449999999999</v>
      </c>
      <c r="L421">
        <v>367.86489999999998</v>
      </c>
      <c r="M421">
        <v>0.99963460000000004</v>
      </c>
      <c r="N421">
        <v>0</v>
      </c>
      <c r="O421">
        <v>2.182133E-2</v>
      </c>
      <c r="P421">
        <v>0.99973049999999997</v>
      </c>
      <c r="Q421">
        <v>-4.7602679999999998E-3</v>
      </c>
      <c r="R421">
        <v>-2.2715780000000001E-2</v>
      </c>
      <c r="S421">
        <v>2.9991150000000002</v>
      </c>
      <c r="T421">
        <v>-9.9292519999999995E-2</v>
      </c>
      <c r="U421">
        <v>-4.9621579999999998E-2</v>
      </c>
      <c r="V421">
        <v>4.4532589999999997E-2</v>
      </c>
      <c r="W421">
        <v>1.115997E-2</v>
      </c>
      <c r="X421">
        <v>0.99894559999999999</v>
      </c>
      <c r="Y421">
        <v>3.8327380000000001E-2</v>
      </c>
      <c r="Z421">
        <v>-1.356519E-3</v>
      </c>
      <c r="AA421">
        <v>0.99926429999999999</v>
      </c>
      <c r="AB421">
        <v>30</v>
      </c>
      <c r="AC421">
        <v>31.7316</v>
      </c>
      <c r="AD421">
        <v>-1.06164602815</v>
      </c>
      <c r="AE421">
        <v>-0.53689999999994598</v>
      </c>
      <c r="AF421">
        <v>1.22791186568122</v>
      </c>
      <c r="AG421">
        <v>-1.06164602815</v>
      </c>
      <c r="AH421">
        <v>31.676876838429401</v>
      </c>
      <c r="AI421">
        <v>91.918101949553005</v>
      </c>
      <c r="AJ421">
        <v>87.780116990569198</v>
      </c>
      <c r="AK421">
        <v>31.718439212483201</v>
      </c>
      <c r="AL421">
        <v>89.360567548668797</v>
      </c>
      <c r="AM421">
        <v>87.447467391634106</v>
      </c>
      <c r="AN421">
        <v>1.00000000413093</v>
      </c>
    </row>
    <row r="422" spans="1:40" x14ac:dyDescent="0.25">
      <c r="A422" t="str">
        <f>"20190312160915488"</f>
        <v>20190312160915488</v>
      </c>
      <c r="B422" t="str">
        <f>"1552378155485836"</f>
        <v>1552378155485836</v>
      </c>
      <c r="C422" t="s">
        <v>40</v>
      </c>
      <c r="D422">
        <v>5.0446989999999996</v>
      </c>
      <c r="E422">
        <v>0.49767869999999997</v>
      </c>
      <c r="F422" t="s">
        <v>41</v>
      </c>
      <c r="G422">
        <v>-366.89269999999999</v>
      </c>
      <c r="H422" s="1">
        <v>-1.727484E-6</v>
      </c>
      <c r="I422">
        <v>367.2928</v>
      </c>
      <c r="J422">
        <v>-400.16239999999999</v>
      </c>
      <c r="K422">
        <v>1.062341</v>
      </c>
      <c r="L422">
        <v>367.87119999999999</v>
      </c>
      <c r="M422">
        <v>0.99966699999999997</v>
      </c>
      <c r="N422">
        <v>0</v>
      </c>
      <c r="O422">
        <v>2.1666189999999998E-2</v>
      </c>
      <c r="P422">
        <v>0.99971770000000004</v>
      </c>
      <c r="Q422">
        <v>-2.5522069999999999E-3</v>
      </c>
      <c r="R422">
        <v>-2.3628150000000001E-2</v>
      </c>
      <c r="S422">
        <v>2.9992369999999999</v>
      </c>
      <c r="T422">
        <v>-9.4861870000000001E-2</v>
      </c>
      <c r="U422">
        <v>-5.111694E-2</v>
      </c>
      <c r="V422">
        <v>4.5289120000000002E-2</v>
      </c>
      <c r="W422">
        <v>1.1432700000000001E-2</v>
      </c>
      <c r="X422">
        <v>0.99890849999999998</v>
      </c>
      <c r="Y422">
        <v>3.8671839999999999E-2</v>
      </c>
      <c r="Z422">
        <v>-1.2964820000000001E-3</v>
      </c>
      <c r="AA422">
        <v>0.99925109999999995</v>
      </c>
      <c r="AB422">
        <v>29</v>
      </c>
      <c r="AC422">
        <v>33.2697</v>
      </c>
      <c r="AD422">
        <v>-1.062342727484</v>
      </c>
      <c r="AE422">
        <v>-0.57839999999998704</v>
      </c>
      <c r="AF422">
        <v>1.2978397779277799</v>
      </c>
      <c r="AG422">
        <v>-1.062342727484</v>
      </c>
      <c r="AH422">
        <v>33.215499375774101</v>
      </c>
      <c r="AI422">
        <v>91.830490294347996</v>
      </c>
      <c r="AJ422">
        <v>87.762402041141598</v>
      </c>
      <c r="AK422">
        <v>33.257816508933097</v>
      </c>
      <c r="AL422">
        <v>89.3449402717075</v>
      </c>
      <c r="AM422">
        <v>87.404066914874804</v>
      </c>
      <c r="AN422">
        <v>1.00000000119595</v>
      </c>
    </row>
    <row r="423" spans="1:40" x14ac:dyDescent="0.25">
      <c r="A423" t="str">
        <f>"20190312160915509"</f>
        <v>20190312160915509</v>
      </c>
      <c r="B423" t="str">
        <f>"1552378155505355"</f>
        <v>1552378155505355</v>
      </c>
      <c r="C423" t="s">
        <v>40</v>
      </c>
      <c r="D423">
        <v>4.9916130000000001</v>
      </c>
      <c r="E423">
        <v>0.49751849999999997</v>
      </c>
      <c r="F423" t="s">
        <v>41</v>
      </c>
      <c r="G423">
        <v>-362.2115</v>
      </c>
      <c r="H423" s="1">
        <v>-3.7503209999999999E-6</v>
      </c>
      <c r="I423">
        <v>367.21039999999999</v>
      </c>
      <c r="J423">
        <v>-399.88749999999999</v>
      </c>
      <c r="K423">
        <v>1.063313</v>
      </c>
      <c r="L423">
        <v>367.87700000000001</v>
      </c>
      <c r="M423">
        <v>0.99969549999999996</v>
      </c>
      <c r="N423">
        <v>0</v>
      </c>
      <c r="O423">
        <v>2.1525639999999999E-2</v>
      </c>
      <c r="P423">
        <v>0.99970559999999997</v>
      </c>
      <c r="Q423">
        <v>-9.1619710000000003E-4</v>
      </c>
      <c r="R423">
        <v>-2.4250379999999998E-2</v>
      </c>
      <c r="S423">
        <v>2.99939</v>
      </c>
      <c r="T423">
        <v>-8.3960649999999998E-2</v>
      </c>
      <c r="U423">
        <v>-5.2215579999999998E-2</v>
      </c>
      <c r="V423">
        <v>4.576993E-2</v>
      </c>
      <c r="W423">
        <v>1.1115150000000001E-2</v>
      </c>
      <c r="X423">
        <v>0.99889019999999995</v>
      </c>
      <c r="Y423">
        <v>3.8902340000000001E-2</v>
      </c>
      <c r="Z423">
        <v>-1.1467719999999999E-3</v>
      </c>
      <c r="AA423">
        <v>0.99924239999999998</v>
      </c>
      <c r="AB423">
        <v>30</v>
      </c>
      <c r="AC423">
        <v>37.675999999999902</v>
      </c>
      <c r="AD423">
        <v>-1.0633167503209999</v>
      </c>
      <c r="AE423">
        <v>-0.666599999999959</v>
      </c>
      <c r="AF423">
        <v>1.4763290102665301</v>
      </c>
      <c r="AG423">
        <v>-1.0633167503209999</v>
      </c>
      <c r="AH423">
        <v>37.622961037277101</v>
      </c>
      <c r="AI423">
        <v>91.617643422886104</v>
      </c>
      <c r="AJ423">
        <v>87.752860389301404</v>
      </c>
      <c r="AK423">
        <v>37.666926966113699</v>
      </c>
      <c r="AL423">
        <v>89.363135722759793</v>
      </c>
      <c r="AM423">
        <v>87.376497609036605</v>
      </c>
      <c r="AN423">
        <v>1.00000003235388</v>
      </c>
    </row>
    <row r="424" spans="1:40" x14ac:dyDescent="0.25">
      <c r="A424" t="str">
        <f>"20190312160915531"</f>
        <v>20190312160915531</v>
      </c>
      <c r="B424" t="str">
        <f>"1552378155525851"</f>
        <v>1552378155525851</v>
      </c>
      <c r="C424" t="s">
        <v>40</v>
      </c>
      <c r="D424">
        <v>4.9858989999999999</v>
      </c>
      <c r="E424">
        <v>0.49741679999999999</v>
      </c>
      <c r="F424" t="s">
        <v>41</v>
      </c>
      <c r="G424">
        <v>-358.00650000000002</v>
      </c>
      <c r="H424" s="1">
        <v>-1.3238609999999999E-6</v>
      </c>
      <c r="I424">
        <v>367.13810000000001</v>
      </c>
      <c r="J424">
        <v>-399.58519999999999</v>
      </c>
      <c r="K424">
        <v>1.0647549999999999</v>
      </c>
      <c r="L424">
        <v>367.88330000000002</v>
      </c>
      <c r="M424">
        <v>0.99972019999999995</v>
      </c>
      <c r="N424">
        <v>0</v>
      </c>
      <c r="O424">
        <v>2.1357069999999999E-2</v>
      </c>
      <c r="P424">
        <v>0.99970539999999997</v>
      </c>
      <c r="Q424">
        <v>4.8000419999999998E-4</v>
      </c>
      <c r="R424">
        <v>-2.4279129999999999E-2</v>
      </c>
      <c r="S424">
        <v>2.999603</v>
      </c>
      <c r="T424">
        <v>-7.6156740000000001E-2</v>
      </c>
      <c r="U424">
        <v>-5.2917480000000003E-2</v>
      </c>
      <c r="V424">
        <v>4.562927E-2</v>
      </c>
      <c r="W424">
        <v>1.0626419999999999E-2</v>
      </c>
      <c r="X424">
        <v>0.99890190000000001</v>
      </c>
      <c r="Y424">
        <v>3.897014E-2</v>
      </c>
      <c r="Z424">
        <v>-1.0367130000000001E-3</v>
      </c>
      <c r="AA424">
        <v>0.99923989999999996</v>
      </c>
      <c r="AB424">
        <v>30</v>
      </c>
      <c r="AC424">
        <v>41.578699999999898</v>
      </c>
      <c r="AD424">
        <v>-1.0647563238609901</v>
      </c>
      <c r="AE424">
        <v>-0.74520000000001096</v>
      </c>
      <c r="AF424">
        <v>1.6320052354955701</v>
      </c>
      <c r="AG424">
        <v>-1.0647563238609901</v>
      </c>
      <c r="AH424">
        <v>41.526076040326799</v>
      </c>
      <c r="AI424">
        <v>91.467647736826805</v>
      </c>
      <c r="AJ424">
        <v>87.749392102435493</v>
      </c>
      <c r="AK424">
        <v>41.571770932026602</v>
      </c>
      <c r="AL424">
        <v>89.3911395103448</v>
      </c>
      <c r="AM424">
        <v>87.384579527108897</v>
      </c>
      <c r="AN424">
        <v>0.99999997845317901</v>
      </c>
    </row>
    <row r="425" spans="1:40" x14ac:dyDescent="0.25">
      <c r="A425" t="str">
        <f>"20190312160915555"</f>
        <v>20190312160915555</v>
      </c>
      <c r="B425" t="str">
        <f>"1552378155545372"</f>
        <v>1552378155545372</v>
      </c>
      <c r="C425" t="s">
        <v>40</v>
      </c>
      <c r="D425">
        <v>4.9565710000000003</v>
      </c>
      <c r="E425">
        <v>0.49734119999999998</v>
      </c>
      <c r="F425" t="s">
        <v>41</v>
      </c>
      <c r="G425">
        <v>-353.70260000000002</v>
      </c>
      <c r="H425" s="1">
        <v>-3.1328060000000001E-6</v>
      </c>
      <c r="I425">
        <v>367.08550000000002</v>
      </c>
      <c r="J425">
        <v>-399.27839999999998</v>
      </c>
      <c r="K425">
        <v>1.0664049999999901</v>
      </c>
      <c r="L425">
        <v>367.88959999999997</v>
      </c>
      <c r="M425">
        <v>0.99974110000000005</v>
      </c>
      <c r="N425">
        <v>0</v>
      </c>
      <c r="O425">
        <v>2.1168820000000001E-2</v>
      </c>
      <c r="P425">
        <v>0.99971710000000003</v>
      </c>
      <c r="Q425">
        <v>2.3380409999999999E-3</v>
      </c>
      <c r="R425">
        <v>-2.367783E-2</v>
      </c>
      <c r="S425">
        <v>2.999695</v>
      </c>
      <c r="T425">
        <v>-6.9611190000000003E-2</v>
      </c>
      <c r="U425">
        <v>-5.2154539999999999E-2</v>
      </c>
      <c r="V425">
        <v>4.4839690000000001E-2</v>
      </c>
      <c r="W425">
        <v>1.067219E-2</v>
      </c>
      <c r="X425">
        <v>0.99893719999999997</v>
      </c>
      <c r="Y425">
        <v>3.8530389999999998E-2</v>
      </c>
      <c r="Z425">
        <v>-9.3813049999999997E-4</v>
      </c>
      <c r="AA425">
        <v>0.99925699999999995</v>
      </c>
      <c r="AB425">
        <v>30</v>
      </c>
      <c r="AC425">
        <v>45.575799999999902</v>
      </c>
      <c r="AD425">
        <v>-1.06640813280599</v>
      </c>
      <c r="AE425">
        <v>-0.80409999999994797</v>
      </c>
      <c r="AF425">
        <v>1.7677717498038299</v>
      </c>
      <c r="AG425">
        <v>-1.06640813280599</v>
      </c>
      <c r="AH425">
        <v>45.523647907491998</v>
      </c>
      <c r="AI425">
        <v>91.340918955903206</v>
      </c>
      <c r="AJ425">
        <v>87.776210810198293</v>
      </c>
      <c r="AK425">
        <v>45.570437369751303</v>
      </c>
      <c r="AL425">
        <v>89.388516953948397</v>
      </c>
      <c r="AM425">
        <v>87.429866879288994</v>
      </c>
      <c r="AN425">
        <v>1.0000000114912599</v>
      </c>
    </row>
    <row r="426" spans="1:40" x14ac:dyDescent="0.25">
      <c r="A426" t="str">
        <f>"20190312160915576"</f>
        <v>20190312160915576</v>
      </c>
      <c r="B426" t="str">
        <f>"1552378155565869"</f>
        <v>1552378155565869</v>
      </c>
      <c r="C426" t="s">
        <v>40</v>
      </c>
      <c r="D426">
        <v>4.9088520000000004</v>
      </c>
      <c r="E426">
        <v>0.49729950000000001</v>
      </c>
      <c r="F426" t="s">
        <v>41</v>
      </c>
      <c r="G426">
        <v>-347.48489999999998</v>
      </c>
      <c r="H426" s="1">
        <v>-1.638299E-6</v>
      </c>
      <c r="I426">
        <v>367.02969999999999</v>
      </c>
      <c r="J426">
        <v>-398.98970000000003</v>
      </c>
      <c r="K426">
        <v>1.06799</v>
      </c>
      <c r="L426">
        <v>367.89550000000003</v>
      </c>
      <c r="M426">
        <v>0.99975729999999996</v>
      </c>
      <c r="N426">
        <v>0</v>
      </c>
      <c r="O426">
        <v>2.0987780000000001E-2</v>
      </c>
      <c r="P426">
        <v>0.99973659999999998</v>
      </c>
      <c r="Q426">
        <v>3.7907499999999998E-3</v>
      </c>
      <c r="R426">
        <v>-2.2636860000000002E-2</v>
      </c>
      <c r="S426">
        <v>2.9997560000000001</v>
      </c>
      <c r="T426">
        <v>-6.1763760000000001E-2</v>
      </c>
      <c r="U426">
        <v>-4.9804689999999999E-2</v>
      </c>
      <c r="V426">
        <v>4.36181E-2</v>
      </c>
      <c r="W426">
        <v>1.0457630000000001E-2</v>
      </c>
      <c r="X426">
        <v>0.99899349999999998</v>
      </c>
      <c r="Y426">
        <v>3.756992E-2</v>
      </c>
      <c r="Z426">
        <v>-8.1876619999999905E-4</v>
      </c>
      <c r="AA426">
        <v>0.99929369999999995</v>
      </c>
      <c r="AB426">
        <v>30</v>
      </c>
      <c r="AC426">
        <v>51.504800000000003</v>
      </c>
      <c r="AD426">
        <v>-1.067991638299</v>
      </c>
      <c r="AE426">
        <v>-0.86580000000003499</v>
      </c>
      <c r="AF426">
        <v>1.94576854898591</v>
      </c>
      <c r="AG426">
        <v>-1.067991638299</v>
      </c>
      <c r="AH426">
        <v>51.453165842182599</v>
      </c>
      <c r="AI426">
        <v>91.188244464291401</v>
      </c>
      <c r="AJ426">
        <v>87.834317365572304</v>
      </c>
      <c r="AK426">
        <v>51.501018403220399</v>
      </c>
      <c r="AL426">
        <v>89.400810989680593</v>
      </c>
      <c r="AM426">
        <v>87.499936926395407</v>
      </c>
      <c r="AN426">
        <v>0.99999995685753695</v>
      </c>
    </row>
    <row r="427" spans="1:40" x14ac:dyDescent="0.25">
      <c r="A427" t="str">
        <f>"20190312160915598"</f>
        <v>20190312160915598</v>
      </c>
      <c r="B427" t="str">
        <f>"1552378155595675"</f>
        <v>1552378155595675</v>
      </c>
      <c r="C427" t="s">
        <v>40</v>
      </c>
      <c r="D427">
        <v>4.9298789999999997</v>
      </c>
      <c r="E427">
        <v>0.49714000000000003</v>
      </c>
      <c r="F427" t="s">
        <v>41</v>
      </c>
      <c r="G427">
        <v>-345.72669999999999</v>
      </c>
      <c r="H427" s="1">
        <v>-2.4515589999999999E-6</v>
      </c>
      <c r="I427">
        <v>367.07350000000002</v>
      </c>
      <c r="J427">
        <v>-398.70370000000003</v>
      </c>
      <c r="K427">
        <v>1.069547</v>
      </c>
      <c r="L427">
        <v>367.90129999999999</v>
      </c>
      <c r="M427">
        <v>0.99977020000000005</v>
      </c>
      <c r="N427">
        <v>0</v>
      </c>
      <c r="O427">
        <v>2.0814889999999999E-2</v>
      </c>
      <c r="P427">
        <v>0.99974370000000001</v>
      </c>
      <c r="Q427">
        <v>4.9656489999999999E-3</v>
      </c>
      <c r="R427">
        <v>-2.2087030000000001E-2</v>
      </c>
      <c r="S427">
        <v>2.9999690000000001</v>
      </c>
      <c r="T427">
        <v>-6.0153249999999998E-2</v>
      </c>
      <c r="U427">
        <v>-4.6295169999999997E-2</v>
      </c>
      <c r="V427">
        <v>4.2895370000000002E-2</v>
      </c>
      <c r="W427">
        <v>1.0076649999999999E-2</v>
      </c>
      <c r="X427">
        <v>0.99902869999999999</v>
      </c>
      <c r="Y427">
        <v>3.6227919999999997E-2</v>
      </c>
      <c r="Z427">
        <v>-7.8044819999999995E-4</v>
      </c>
      <c r="AA427">
        <v>0.99934330000000005</v>
      </c>
      <c r="AB427">
        <v>30</v>
      </c>
      <c r="AC427">
        <v>52.976999999999997</v>
      </c>
      <c r="AD427">
        <v>-1.0695494515590001</v>
      </c>
      <c r="AE427">
        <v>-0.82779999999996701</v>
      </c>
      <c r="AF427">
        <v>1.9295592878597301</v>
      </c>
      <c r="AG427">
        <v>-1.0695494515590001</v>
      </c>
      <c r="AH427">
        <v>52.926723953188599</v>
      </c>
      <c r="AI427">
        <v>91.156913891726305</v>
      </c>
      <c r="AJ427">
        <v>87.912081959726805</v>
      </c>
      <c r="AK427">
        <v>52.9726839370229</v>
      </c>
      <c r="AL427">
        <v>89.422640682059694</v>
      </c>
      <c r="AM427">
        <v>87.541396975629198</v>
      </c>
      <c r="AN427">
        <v>0.99999994753317301</v>
      </c>
    </row>
    <row r="428" spans="1:40" x14ac:dyDescent="0.25">
      <c r="A428" t="str">
        <f>"20190312160915621"</f>
        <v>20190312160915621</v>
      </c>
      <c r="B428" t="str">
        <f>"1552378155615195"</f>
        <v>1552378155615195</v>
      </c>
      <c r="C428" t="s">
        <v>40</v>
      </c>
      <c r="D428">
        <v>4.913259</v>
      </c>
      <c r="E428">
        <v>0.49708940000000001</v>
      </c>
      <c r="F428" t="s">
        <v>41</v>
      </c>
      <c r="G428">
        <v>-344.90879999999999</v>
      </c>
      <c r="H428" s="1">
        <v>-2.8289039999999998E-6</v>
      </c>
      <c r="I428">
        <v>367.1259</v>
      </c>
      <c r="J428">
        <v>-398.41059999999999</v>
      </c>
      <c r="K428">
        <v>1.0712809999999999</v>
      </c>
      <c r="L428">
        <v>367.90730000000002</v>
      </c>
      <c r="M428">
        <v>0.9997781</v>
      </c>
      <c r="N428">
        <v>0</v>
      </c>
      <c r="O428">
        <v>2.063649E-2</v>
      </c>
      <c r="P428">
        <v>0.99973250000000002</v>
      </c>
      <c r="Q428">
        <v>5.2698210000000001E-3</v>
      </c>
      <c r="R428">
        <v>-2.2519049999999999E-2</v>
      </c>
      <c r="S428">
        <v>3.000092</v>
      </c>
      <c r="T428">
        <v>-5.9647800000000001E-2</v>
      </c>
      <c r="U428">
        <v>-4.3243410000000003E-2</v>
      </c>
      <c r="V428">
        <v>4.3148430000000002E-2</v>
      </c>
      <c r="W428">
        <v>9.5068630000000008E-3</v>
      </c>
      <c r="X428">
        <v>0.99902340000000001</v>
      </c>
      <c r="Y428">
        <v>3.503299E-2</v>
      </c>
      <c r="Z428">
        <v>-7.5843999999999998E-4</v>
      </c>
      <c r="AA428">
        <v>0.99938590000000005</v>
      </c>
      <c r="AB428">
        <v>30</v>
      </c>
      <c r="AC428">
        <v>53.501800000000003</v>
      </c>
      <c r="AD428">
        <v>-1.0712838289040001</v>
      </c>
      <c r="AE428">
        <v>-0.78140000000001897</v>
      </c>
      <c r="AF428">
        <v>1.88457739965353</v>
      </c>
      <c r="AG428">
        <v>-1.0712838289040001</v>
      </c>
      <c r="AH428">
        <v>53.452854353174402</v>
      </c>
      <c r="AI428">
        <v>91.147435968594493</v>
      </c>
      <c r="AJ428">
        <v>87.980769684964002</v>
      </c>
      <c r="AK428">
        <v>53.496793544277303</v>
      </c>
      <c r="AL428">
        <v>89.4552886468107</v>
      </c>
      <c r="AM428">
        <v>87.526897370006907</v>
      </c>
      <c r="AN428">
        <v>0.99999996060156204</v>
      </c>
    </row>
    <row r="429" spans="1:40" x14ac:dyDescent="0.25">
      <c r="A429" t="str">
        <f>"20190312160915643"</f>
        <v>20190312160915643</v>
      </c>
      <c r="B429" t="str">
        <f>"1552378155635692"</f>
        <v>1552378155635692</v>
      </c>
      <c r="C429" t="s">
        <v>40</v>
      </c>
      <c r="D429">
        <v>4.879302</v>
      </c>
      <c r="E429">
        <v>0.49720950000000003</v>
      </c>
      <c r="F429" t="s">
        <v>41</v>
      </c>
      <c r="G429">
        <v>-343.89420000000001</v>
      </c>
      <c r="H429" s="1">
        <v>-3.311633E-6</v>
      </c>
      <c r="I429">
        <v>367.10820000000001</v>
      </c>
      <c r="J429">
        <v>-398.11290000000002</v>
      </c>
      <c r="K429">
        <v>1.073496</v>
      </c>
      <c r="L429">
        <v>367.91329999999999</v>
      </c>
      <c r="M429">
        <v>0.99978140000000004</v>
      </c>
      <c r="N429">
        <v>0</v>
      </c>
      <c r="O429">
        <v>2.044814E-2</v>
      </c>
      <c r="P429">
        <v>0.99973089999999998</v>
      </c>
      <c r="Q429">
        <v>5.4550319999999899E-3</v>
      </c>
      <c r="R429">
        <v>-2.2546710000000001E-2</v>
      </c>
      <c r="S429">
        <v>3.000092</v>
      </c>
      <c r="T429">
        <v>-5.895388E-2</v>
      </c>
      <c r="U429">
        <v>-4.397583E-2</v>
      </c>
      <c r="V429">
        <v>4.2987949999999997E-2</v>
      </c>
      <c r="W429">
        <v>9.8215579999999993E-3</v>
      </c>
      <c r="X429">
        <v>0.99902729999999995</v>
      </c>
      <c r="Y429">
        <v>3.5088950000000001E-2</v>
      </c>
      <c r="Z429">
        <v>-7.4646700000000001E-4</v>
      </c>
      <c r="AA429">
        <v>0.99938389999999999</v>
      </c>
      <c r="AB429">
        <v>30</v>
      </c>
      <c r="AC429">
        <v>54.218699999999998</v>
      </c>
      <c r="AD429">
        <v>-1.0734993116329901</v>
      </c>
      <c r="AE429">
        <v>-0.80509999999998105</v>
      </c>
      <c r="AF429">
        <v>1.91286406676368</v>
      </c>
      <c r="AG429">
        <v>-1.0734993116329901</v>
      </c>
      <c r="AH429">
        <v>54.169669737731198</v>
      </c>
      <c r="AI429">
        <v>91.134594920554605</v>
      </c>
      <c r="AJ429">
        <v>87.977585670393395</v>
      </c>
      <c r="AK429">
        <v>54.214062467268299</v>
      </c>
      <c r="AL429">
        <v>89.437257123199203</v>
      </c>
      <c r="AM429">
        <v>87.5360937183696</v>
      </c>
      <c r="AN429">
        <v>0.99999998649601896</v>
      </c>
    </row>
    <row r="430" spans="1:40" x14ac:dyDescent="0.25">
      <c r="A430" t="str">
        <f>"20190312160915667"</f>
        <v>20190312160915667</v>
      </c>
      <c r="B430" t="str">
        <f>"1552378155655211"</f>
        <v>1552378155655211</v>
      </c>
      <c r="C430" t="s">
        <v>40</v>
      </c>
      <c r="D430">
        <v>4.8647470000000004</v>
      </c>
      <c r="E430">
        <v>0.51804220000000001</v>
      </c>
      <c r="F430" t="s">
        <v>41</v>
      </c>
      <c r="G430">
        <v>-342.98570000000001</v>
      </c>
      <c r="H430" s="1">
        <v>-3.746215E-6</v>
      </c>
      <c r="I430">
        <v>367.07940000000002</v>
      </c>
      <c r="J430">
        <v>-397.80380000000002</v>
      </c>
      <c r="K430">
        <v>1.076141</v>
      </c>
      <c r="L430">
        <v>367.9194</v>
      </c>
      <c r="M430">
        <v>0.99978420000000001</v>
      </c>
      <c r="N430">
        <v>0</v>
      </c>
      <c r="O430">
        <v>2.02565E-2</v>
      </c>
      <c r="P430">
        <v>0.99971849999999995</v>
      </c>
      <c r="Q430">
        <v>5.4322919999999896E-3</v>
      </c>
      <c r="R430">
        <v>-2.310775E-2</v>
      </c>
      <c r="S430">
        <v>3.0000309999999999</v>
      </c>
      <c r="T430">
        <v>-5.8420060000000003E-2</v>
      </c>
      <c r="U430">
        <v>-4.5379639999999999E-2</v>
      </c>
      <c r="V430">
        <v>4.3356980000000003E-2</v>
      </c>
      <c r="W430">
        <v>1.0030880000000001E-2</v>
      </c>
      <c r="X430">
        <v>0.99900929999999999</v>
      </c>
      <c r="Y430">
        <v>3.536541E-2</v>
      </c>
      <c r="Z430">
        <v>-7.3868289999999895E-4</v>
      </c>
      <c r="AA430">
        <v>0.99937419999999999</v>
      </c>
      <c r="AB430">
        <v>29</v>
      </c>
      <c r="AC430">
        <v>54.818100000000001</v>
      </c>
      <c r="AD430">
        <v>-1.076144746215</v>
      </c>
      <c r="AE430">
        <v>-0.83999999999997499</v>
      </c>
      <c r="AF430">
        <v>1.94951113690839</v>
      </c>
      <c r="AG430">
        <v>-1.076144746215</v>
      </c>
      <c r="AH430">
        <v>54.7687343000566</v>
      </c>
      <c r="AI430">
        <v>91.1249412698578</v>
      </c>
      <c r="AJ430">
        <v>87.961398553687005</v>
      </c>
      <c r="AK430">
        <v>54.813984876288004</v>
      </c>
      <c r="AL430">
        <v>89.425263280702694</v>
      </c>
      <c r="AM430">
        <v>87.514924002430007</v>
      </c>
      <c r="AN430">
        <v>1.0000000138773899</v>
      </c>
    </row>
    <row r="431" spans="1:40" x14ac:dyDescent="0.25">
      <c r="A431" t="str">
        <f>"20190312160915689"</f>
        <v>20190312160915689</v>
      </c>
      <c r="B431" t="str">
        <f>"1552378155685467"</f>
        <v>1552378155685467</v>
      </c>
      <c r="C431" t="s">
        <v>40</v>
      </c>
      <c r="D431">
        <v>4.7944360000000001</v>
      </c>
      <c r="E431">
        <v>0.51956179999999996</v>
      </c>
      <c r="F431" t="s">
        <v>44</v>
      </c>
      <c r="G431">
        <v>-158.78319999999999</v>
      </c>
      <c r="H431">
        <v>0.46531679999999997</v>
      </c>
      <c r="I431">
        <v>350.92039999999997</v>
      </c>
      <c r="J431">
        <v>-397.52530000000002</v>
      </c>
      <c r="K431">
        <v>1.0786549999999999</v>
      </c>
      <c r="L431">
        <v>367.92489999999998</v>
      </c>
      <c r="M431">
        <v>0.99978789999999995</v>
      </c>
      <c r="N431">
        <v>0</v>
      </c>
      <c r="O431">
        <v>2.0085349999999998E-2</v>
      </c>
      <c r="P431">
        <v>0.99970320000000001</v>
      </c>
      <c r="Q431">
        <v>5.2297990000000003E-3</v>
      </c>
      <c r="R431">
        <v>-2.3792629999999999E-2</v>
      </c>
      <c r="S431">
        <v>2.9960019999999998</v>
      </c>
      <c r="T431">
        <v>-7.6552629999999998E-3</v>
      </c>
      <c r="U431">
        <v>-0.2130737</v>
      </c>
      <c r="V431">
        <v>4.3870880000000001E-2</v>
      </c>
      <c r="W431">
        <v>9.7757850000000004E-3</v>
      </c>
      <c r="X431">
        <v>0.99898940000000003</v>
      </c>
      <c r="Y431">
        <v>9.0960470000000002E-2</v>
      </c>
      <c r="Z431">
        <v>-1.67325999999999E-4</v>
      </c>
      <c r="AA431">
        <v>0.99585449999999998</v>
      </c>
      <c r="AB431">
        <v>29</v>
      </c>
      <c r="AC431">
        <v>238.74209999999999</v>
      </c>
      <c r="AD431">
        <v>-0.61333819999999994</v>
      </c>
      <c r="AE431">
        <v>-17.0045</v>
      </c>
      <c r="AF431">
        <v>21.7961948164874</v>
      </c>
      <c r="AG431">
        <v>-0.61333819999999994</v>
      </c>
      <c r="AH431">
        <v>238.35082727797899</v>
      </c>
      <c r="AI431">
        <v>90.146823888862201</v>
      </c>
      <c r="AJ431">
        <v>84.775070427981902</v>
      </c>
      <c r="AK431">
        <v>239.34612417234399</v>
      </c>
      <c r="AL431">
        <v>89.439879868020697</v>
      </c>
      <c r="AM431">
        <v>87.485456545975595</v>
      </c>
      <c r="AN431">
        <v>1.0000000206983499</v>
      </c>
    </row>
    <row r="432" spans="1:40" x14ac:dyDescent="0.25">
      <c r="A432" t="str">
        <f>"20190312160915711"</f>
        <v>20190312160915711</v>
      </c>
      <c r="B432" t="str">
        <f>"1552378155704988"</f>
        <v>1552378155704988</v>
      </c>
      <c r="C432" t="s">
        <v>40</v>
      </c>
      <c r="D432">
        <v>4.7678190000000003</v>
      </c>
      <c r="E432">
        <v>0.51950289999999999</v>
      </c>
      <c r="F432" t="s">
        <v>41</v>
      </c>
      <c r="G432">
        <v>-242.90479999999999</v>
      </c>
      <c r="H432">
        <v>7.9985819999999999E-2</v>
      </c>
      <c r="I432">
        <v>356.19290000000001</v>
      </c>
      <c r="J432">
        <v>-397.22480000000002</v>
      </c>
      <c r="K432">
        <v>1.081518</v>
      </c>
      <c r="L432">
        <v>367.93079999999998</v>
      </c>
      <c r="M432">
        <v>0.99979130000000005</v>
      </c>
      <c r="N432">
        <v>0</v>
      </c>
      <c r="O432">
        <v>1.9907890000000001E-2</v>
      </c>
      <c r="P432">
        <v>0.9996872</v>
      </c>
      <c r="Q432">
        <v>5.1552890000000004E-3</v>
      </c>
      <c r="R432">
        <v>-2.448065E-2</v>
      </c>
      <c r="S432">
        <v>2.9956049999999999</v>
      </c>
      <c r="T432">
        <v>-1.934814E-2</v>
      </c>
      <c r="U432">
        <v>-0.22729489999999999</v>
      </c>
      <c r="V432">
        <v>4.438098E-2</v>
      </c>
      <c r="W432">
        <v>9.7252439999999992E-3</v>
      </c>
      <c r="X432">
        <v>0.9989673</v>
      </c>
      <c r="Y432">
        <v>9.5492289999999994E-2</v>
      </c>
      <c r="Z432">
        <v>-4.3635430000000001E-4</v>
      </c>
      <c r="AA432">
        <v>0.99543009999999998</v>
      </c>
      <c r="AB432">
        <v>29</v>
      </c>
      <c r="AC432">
        <v>154.32</v>
      </c>
      <c r="AD432">
        <v>-1.0015321800000001</v>
      </c>
      <c r="AE432">
        <v>-11.7378999999999</v>
      </c>
      <c r="AF432">
        <v>14.807171520971901</v>
      </c>
      <c r="AG432">
        <v>-1.0015321800000001</v>
      </c>
      <c r="AH432">
        <v>154.049285491864</v>
      </c>
      <c r="AI432">
        <v>90.370787237808997</v>
      </c>
      <c r="AJ432">
        <v>84.509613804411799</v>
      </c>
      <c r="AK432">
        <v>154.762520513569</v>
      </c>
      <c r="AL432">
        <v>89.442775757300097</v>
      </c>
      <c r="AM432">
        <v>87.456201171042196</v>
      </c>
      <c r="AN432">
        <v>0.99999995911295403</v>
      </c>
    </row>
    <row r="433" spans="1:40" x14ac:dyDescent="0.25">
      <c r="A433" t="str">
        <f>"20190312160915734"</f>
        <v>20190312160915734</v>
      </c>
      <c r="B433" t="str">
        <f>"1552378155725485"</f>
        <v>1552378155725485</v>
      </c>
      <c r="C433" t="s">
        <v>40</v>
      </c>
      <c r="D433">
        <v>4.8505469999999997</v>
      </c>
      <c r="E433">
        <v>0.51970499999999997</v>
      </c>
      <c r="F433" t="s">
        <v>45</v>
      </c>
      <c r="G433">
        <v>0</v>
      </c>
      <c r="H433">
        <v>0</v>
      </c>
      <c r="I433">
        <v>0</v>
      </c>
      <c r="J433">
        <v>-396.93270000000001</v>
      </c>
      <c r="K433">
        <v>1.084384</v>
      </c>
      <c r="L433">
        <v>367.93650000000002</v>
      </c>
      <c r="M433">
        <v>0.99979340000000005</v>
      </c>
      <c r="N433">
        <v>0</v>
      </c>
      <c r="O433">
        <v>1.974097E-2</v>
      </c>
      <c r="P433">
        <v>0.99966730000000004</v>
      </c>
      <c r="Q433">
        <v>4.8214140000000004E-3</v>
      </c>
      <c r="R433">
        <v>-2.5345099999999999E-2</v>
      </c>
      <c r="S433">
        <v>2.9953310000000002</v>
      </c>
      <c r="T433">
        <v>-2.8945210000000002E-3</v>
      </c>
      <c r="U433">
        <v>-0.229187</v>
      </c>
      <c r="V433">
        <v>4.507804E-2</v>
      </c>
      <c r="W433">
        <v>9.6527669999999996E-3</v>
      </c>
      <c r="X433">
        <v>0.99893679999999996</v>
      </c>
      <c r="Y433">
        <v>9.5960519999999994E-2</v>
      </c>
      <c r="Z433" s="1">
        <v>-6.5349390000000001E-5</v>
      </c>
      <c r="AA433">
        <v>0.99538510000000002</v>
      </c>
      <c r="AB433">
        <v>29</v>
      </c>
      <c r="AC433">
        <v>2.9953310000000002</v>
      </c>
      <c r="AD433">
        <v>-2.8945210000000002E-3</v>
      </c>
      <c r="AE433">
        <v>-0.229187</v>
      </c>
      <c r="AF433">
        <v>0.28827350198220097</v>
      </c>
      <c r="AG433">
        <v>-2.8945210000000002E-3</v>
      </c>
      <c r="AH433">
        <v>2.9902200775368701</v>
      </c>
      <c r="AI433">
        <v>90.055206117019907</v>
      </c>
      <c r="AJ433">
        <v>84.493392202097596</v>
      </c>
      <c r="AK433">
        <v>3.0040849026453098</v>
      </c>
      <c r="AL433">
        <v>89.446928583528006</v>
      </c>
      <c r="AM433">
        <v>87.416222503575497</v>
      </c>
      <c r="AN433">
        <v>0.99999996799761803</v>
      </c>
    </row>
    <row r="434" spans="1:40" x14ac:dyDescent="0.25">
      <c r="A434" t="str">
        <f>"20190312160915756"</f>
        <v>20190312160915756</v>
      </c>
      <c r="B434" t="str">
        <f>"1552378155745003"</f>
        <v>1552378155745003</v>
      </c>
      <c r="C434" t="s">
        <v>40</v>
      </c>
      <c r="D434">
        <v>4.8527899999999997</v>
      </c>
      <c r="E434">
        <v>0.51985389999999998</v>
      </c>
      <c r="F434" t="s">
        <v>45</v>
      </c>
      <c r="G434">
        <v>0</v>
      </c>
      <c r="H434">
        <v>0</v>
      </c>
      <c r="I434">
        <v>0</v>
      </c>
      <c r="J434">
        <v>-396.6354</v>
      </c>
      <c r="K434">
        <v>1.087291</v>
      </c>
      <c r="L434">
        <v>367.94209999999998</v>
      </c>
      <c r="M434">
        <v>0.99979419999999997</v>
      </c>
      <c r="N434">
        <v>0</v>
      </c>
      <c r="O434">
        <v>1.9571359999999999E-2</v>
      </c>
      <c r="P434">
        <v>0.99966980000000005</v>
      </c>
      <c r="Q434">
        <v>4.6480879999999999E-3</v>
      </c>
      <c r="R434">
        <v>-2.527505E-2</v>
      </c>
      <c r="S434">
        <v>2.9950869999999998</v>
      </c>
      <c r="T434">
        <v>5.9578419999999997E-3</v>
      </c>
      <c r="U434">
        <v>-0.23306270000000001</v>
      </c>
      <c r="V434">
        <v>4.4838879999999998E-2</v>
      </c>
      <c r="W434">
        <v>9.9655569999999999E-3</v>
      </c>
      <c r="X434">
        <v>0.99894450000000001</v>
      </c>
      <c r="Y434">
        <v>9.7078070000000002E-2</v>
      </c>
      <c r="Z434">
        <v>1.3528699999999999E-4</v>
      </c>
      <c r="AA434">
        <v>0.99527670000000001</v>
      </c>
      <c r="AB434">
        <v>29</v>
      </c>
      <c r="AC434">
        <v>2.9950869999999998</v>
      </c>
      <c r="AD434">
        <v>5.9578419999999997E-3</v>
      </c>
      <c r="AE434">
        <v>-0.23306270000000001</v>
      </c>
      <c r="AF434">
        <v>0.29163567326619799</v>
      </c>
      <c r="AG434">
        <v>5.9578419999999997E-3</v>
      </c>
      <c r="AH434">
        <v>2.9899401335871398</v>
      </c>
      <c r="AI434">
        <v>89.886370155809999</v>
      </c>
      <c r="AJ434">
        <v>84.429051286305196</v>
      </c>
      <c r="AK434">
        <v>3.0041352939303199</v>
      </c>
      <c r="AL434">
        <v>89.429006178188203</v>
      </c>
      <c r="AM434">
        <v>87.429932001101804</v>
      </c>
      <c r="AN434">
        <v>0.99999997578311195</v>
      </c>
    </row>
    <row r="435" spans="1:40" x14ac:dyDescent="0.25">
      <c r="A435" t="str">
        <f>"20190312160915778"</f>
        <v>20190312160915778</v>
      </c>
      <c r="B435" t="str">
        <f>"1552378155765499"</f>
        <v>1552378155765499</v>
      </c>
      <c r="C435" t="s">
        <v>40</v>
      </c>
      <c r="D435">
        <v>4.788932</v>
      </c>
      <c r="E435">
        <v>0.51965950000000005</v>
      </c>
      <c r="F435" t="s">
        <v>45</v>
      </c>
      <c r="G435">
        <v>0</v>
      </c>
      <c r="H435">
        <v>0</v>
      </c>
      <c r="I435">
        <v>0</v>
      </c>
      <c r="J435">
        <v>-396.34809999999999</v>
      </c>
      <c r="K435">
        <v>1.089985</v>
      </c>
      <c r="L435">
        <v>367.94760000000002</v>
      </c>
      <c r="M435">
        <v>0.99979419999999997</v>
      </c>
      <c r="N435">
        <v>0</v>
      </c>
      <c r="O435">
        <v>1.9406779999999998E-2</v>
      </c>
      <c r="P435">
        <v>0.99966239999999995</v>
      </c>
      <c r="Q435">
        <v>4.3656700000000003E-3</v>
      </c>
      <c r="R435">
        <v>-2.5614700000000001E-2</v>
      </c>
      <c r="S435">
        <v>2.9950260000000002</v>
      </c>
      <c r="T435">
        <v>8.1303119999999902E-3</v>
      </c>
      <c r="U435">
        <v>-0.23403930000000001</v>
      </c>
      <c r="V435">
        <v>4.5014119999999998E-2</v>
      </c>
      <c r="W435">
        <v>1.0273579999999999E-2</v>
      </c>
      <c r="X435">
        <v>0.99893350000000003</v>
      </c>
      <c r="Y435">
        <v>9.7238210000000005E-2</v>
      </c>
      <c r="Z435">
        <v>1.8439039999999999E-4</v>
      </c>
      <c r="AA435">
        <v>0.99526110000000001</v>
      </c>
      <c r="AB435">
        <v>29</v>
      </c>
      <c r="AC435">
        <v>2.9950260000000002</v>
      </c>
      <c r="AD435">
        <v>8.1303119999999902E-3</v>
      </c>
      <c r="AE435">
        <v>-0.23403930000000001</v>
      </c>
      <c r="AF435">
        <v>0.29211790839693103</v>
      </c>
      <c r="AG435">
        <v>8.1303119999999902E-3</v>
      </c>
      <c r="AH435">
        <v>2.9898980015579601</v>
      </c>
      <c r="AI435">
        <v>89.844936551145196</v>
      </c>
      <c r="AJ435">
        <v>84.419819382145803</v>
      </c>
      <c r="AK435">
        <v>3.0041453084196301</v>
      </c>
      <c r="AL435">
        <v>89.411356857051302</v>
      </c>
      <c r="AM435">
        <v>87.419872795715804</v>
      </c>
      <c r="AN435">
        <v>0.99999997743381996</v>
      </c>
    </row>
    <row r="436" spans="1:40" x14ac:dyDescent="0.25">
      <c r="A436" t="str">
        <f>"20190312160915800"</f>
        <v>20190312160915800</v>
      </c>
      <c r="B436" t="str">
        <f>"1552378155795287"</f>
        <v>1552378155795287</v>
      </c>
      <c r="C436" t="s">
        <v>40</v>
      </c>
      <c r="D436">
        <v>4.8728860000000003</v>
      </c>
      <c r="E436">
        <v>0.51936660000000001</v>
      </c>
      <c r="F436" t="s">
        <v>45</v>
      </c>
      <c r="G436">
        <v>0</v>
      </c>
      <c r="H436">
        <v>0</v>
      </c>
      <c r="I436">
        <v>0</v>
      </c>
      <c r="J436">
        <v>-396.0634</v>
      </c>
      <c r="K436">
        <v>1.092489</v>
      </c>
      <c r="L436">
        <v>367.9529</v>
      </c>
      <c r="M436">
        <v>0.99979340000000005</v>
      </c>
      <c r="N436">
        <v>0</v>
      </c>
      <c r="O436">
        <v>1.9243219999999998E-2</v>
      </c>
      <c r="P436">
        <v>0.99965859999999995</v>
      </c>
      <c r="Q436">
        <v>3.3996579999999998E-3</v>
      </c>
      <c r="R436">
        <v>-2.5914610000000001E-2</v>
      </c>
      <c r="S436">
        <v>2.9949650000000001</v>
      </c>
      <c r="T436">
        <v>1.133633E-2</v>
      </c>
      <c r="U436">
        <v>-0.23352049999999999</v>
      </c>
      <c r="V436">
        <v>4.5150339999999997E-2</v>
      </c>
      <c r="W436">
        <v>9.9464840000000002E-3</v>
      </c>
      <c r="X436">
        <v>0.99893069999999895</v>
      </c>
      <c r="Y436">
        <v>9.69053E-2</v>
      </c>
      <c r="Z436">
        <v>2.5586020000000002E-4</v>
      </c>
      <c r="AA436">
        <v>0.9952936</v>
      </c>
      <c r="AB436">
        <v>29</v>
      </c>
      <c r="AC436">
        <v>2.9949650000000001</v>
      </c>
      <c r="AD436">
        <v>1.133633E-2</v>
      </c>
      <c r="AE436">
        <v>-0.23352049999999999</v>
      </c>
      <c r="AF436">
        <v>0.29110711747354701</v>
      </c>
      <c r="AG436">
        <v>1.133633E-2</v>
      </c>
      <c r="AH436">
        <v>2.9898740445102199</v>
      </c>
      <c r="AI436">
        <v>89.783782252943496</v>
      </c>
      <c r="AJ436">
        <v>84.438962490033902</v>
      </c>
      <c r="AK436">
        <v>3.0040337328761</v>
      </c>
      <c r="AL436">
        <v>89.430099056889802</v>
      </c>
      <c r="AM436">
        <v>87.412068268931904</v>
      </c>
      <c r="AN436">
        <v>1.00000001457428</v>
      </c>
    </row>
    <row r="437" spans="1:40" x14ac:dyDescent="0.25">
      <c r="A437" t="str">
        <f>"20190312160915824"</f>
        <v>20190312160915824</v>
      </c>
      <c r="B437" t="str">
        <f>"1552378155815783"</f>
        <v>1552378155815783</v>
      </c>
      <c r="C437" t="s">
        <v>40</v>
      </c>
      <c r="D437">
        <v>4.92171</v>
      </c>
      <c r="E437">
        <v>0.51942920000000004</v>
      </c>
      <c r="F437" t="s">
        <v>45</v>
      </c>
      <c r="G437">
        <v>0</v>
      </c>
      <c r="H437">
        <v>0</v>
      </c>
      <c r="I437">
        <v>0</v>
      </c>
      <c r="J437">
        <v>-395.74250000000001</v>
      </c>
      <c r="K437">
        <v>1.095075</v>
      </c>
      <c r="L437">
        <v>367.95890000000003</v>
      </c>
      <c r="M437">
        <v>0.99979169999999995</v>
      </c>
      <c r="N437">
        <v>0</v>
      </c>
      <c r="O437">
        <v>1.9060649999999998E-2</v>
      </c>
      <c r="P437">
        <v>0.99964350000000002</v>
      </c>
      <c r="Q437">
        <v>2.210123E-3</v>
      </c>
      <c r="R437">
        <v>-2.6616440000000002E-2</v>
      </c>
      <c r="S437">
        <v>2.9949650000000001</v>
      </c>
      <c r="T437">
        <v>1.4166949999999999E-2</v>
      </c>
      <c r="U437">
        <v>-0.23217769999999999</v>
      </c>
      <c r="V437">
        <v>4.5669099999999997E-2</v>
      </c>
      <c r="W437">
        <v>9.4944650000000005E-3</v>
      </c>
      <c r="X437">
        <v>0.99891149999999995</v>
      </c>
      <c r="Y437">
        <v>9.6279610000000002E-2</v>
      </c>
      <c r="Z437">
        <v>3.1741240000000002E-4</v>
      </c>
      <c r="AA437">
        <v>0.99535430000000003</v>
      </c>
      <c r="AB437">
        <v>29</v>
      </c>
      <c r="AC437">
        <v>2.9949650000000001</v>
      </c>
      <c r="AD437">
        <v>1.4166949999999999E-2</v>
      </c>
      <c r="AE437">
        <v>-0.23217769999999999</v>
      </c>
      <c r="AF437">
        <v>0.28921658476775602</v>
      </c>
      <c r="AG437">
        <v>1.4166949999999999E-2</v>
      </c>
      <c r="AH437">
        <v>2.9899287970024302</v>
      </c>
      <c r="AI437">
        <v>89.729783052747095</v>
      </c>
      <c r="AJ437">
        <v>84.474953807952502</v>
      </c>
      <c r="AK437">
        <v>3.0039176331120401</v>
      </c>
      <c r="AL437">
        <v>89.455999052426606</v>
      </c>
      <c r="AM437">
        <v>87.382324811093895</v>
      </c>
      <c r="AN437">
        <v>0.99999999819634799</v>
      </c>
    </row>
    <row r="438" spans="1:40" x14ac:dyDescent="0.25">
      <c r="A438" t="str">
        <f>"20190312160915845"</f>
        <v>20190312160915845</v>
      </c>
      <c r="B438" t="str">
        <f>"1552378155835302"</f>
        <v>1552378155835302</v>
      </c>
      <c r="C438" t="s">
        <v>40</v>
      </c>
      <c r="D438">
        <v>5.2674909999999997</v>
      </c>
      <c r="E438">
        <v>0.53957129999999998</v>
      </c>
      <c r="F438" t="s">
        <v>45</v>
      </c>
      <c r="G438">
        <v>0</v>
      </c>
      <c r="H438">
        <v>0</v>
      </c>
      <c r="I438">
        <v>0</v>
      </c>
      <c r="J438">
        <v>-395.46940000000001</v>
      </c>
      <c r="K438">
        <v>1.097043</v>
      </c>
      <c r="L438">
        <v>367.964</v>
      </c>
      <c r="M438">
        <v>0.99978999999999996</v>
      </c>
      <c r="N438">
        <v>0</v>
      </c>
      <c r="O438">
        <v>1.8905680000000001E-2</v>
      </c>
      <c r="P438">
        <v>0.99964909999999996</v>
      </c>
      <c r="Q438">
        <v>1.9411579999999999E-3</v>
      </c>
      <c r="R438">
        <v>-2.6419430000000001E-2</v>
      </c>
      <c r="S438">
        <v>2.9947810000000001</v>
      </c>
      <c r="T438">
        <v>7.603645E-3</v>
      </c>
      <c r="U438">
        <v>-0.2345276</v>
      </c>
      <c r="V438">
        <v>4.5317740000000002E-2</v>
      </c>
      <c r="W438">
        <v>9.8411079999999995E-3</v>
      </c>
      <c r="X438">
        <v>0.99892409999999998</v>
      </c>
      <c r="Y438">
        <v>9.6907289999999993E-2</v>
      </c>
      <c r="Z438">
        <v>1.7076950000000001E-4</v>
      </c>
      <c r="AA438">
        <v>0.99529339999999999</v>
      </c>
      <c r="AB438">
        <v>29</v>
      </c>
      <c r="AC438">
        <v>2.9947810000000001</v>
      </c>
      <c r="AD438">
        <v>7.603645E-3</v>
      </c>
      <c r="AE438">
        <v>-0.2345276</v>
      </c>
      <c r="AF438">
        <v>0.291103957077194</v>
      </c>
      <c r="AG438">
        <v>7.603645E-3</v>
      </c>
      <c r="AH438">
        <v>2.9897925161411201</v>
      </c>
      <c r="AI438">
        <v>89.854971418232395</v>
      </c>
      <c r="AJ438">
        <v>84.438871793646001</v>
      </c>
      <c r="AK438">
        <v>3.0039405151927898</v>
      </c>
      <c r="AL438">
        <v>89.436136916690202</v>
      </c>
      <c r="AM438">
        <v>87.402469197709394</v>
      </c>
      <c r="AN438">
        <v>0.99999995126309105</v>
      </c>
    </row>
    <row r="439" spans="1:40" x14ac:dyDescent="0.25">
      <c r="A439" t="str">
        <f>"20190312160915868"</f>
        <v>20190312160915868</v>
      </c>
      <c r="B439" t="str">
        <f>"1552378155855798"</f>
        <v>1552378155855798</v>
      </c>
      <c r="C439" t="s">
        <v>40</v>
      </c>
      <c r="D439">
        <v>5.1949269999999999</v>
      </c>
      <c r="E439">
        <v>0.54058809999999902</v>
      </c>
      <c r="F439" t="s">
        <v>42</v>
      </c>
      <c r="G439">
        <v>-394.5428</v>
      </c>
      <c r="H439">
        <v>0.9221587</v>
      </c>
      <c r="I439">
        <v>367.84210000000002</v>
      </c>
      <c r="J439">
        <v>-395.1721</v>
      </c>
      <c r="K439">
        <v>1.098948</v>
      </c>
      <c r="L439">
        <v>367.96940000000001</v>
      </c>
      <c r="M439">
        <v>0.9997878</v>
      </c>
      <c r="N439">
        <v>0</v>
      </c>
      <c r="O439">
        <v>1.8737739999999999E-2</v>
      </c>
      <c r="P439">
        <v>0.9996661</v>
      </c>
      <c r="Q439">
        <v>1.8755429999999999E-3</v>
      </c>
      <c r="R439">
        <v>-2.5767419999999999E-2</v>
      </c>
      <c r="S439">
        <v>2.9916990000000001</v>
      </c>
      <c r="T439">
        <v>-0.56467819999999902</v>
      </c>
      <c r="U439">
        <v>-0.39312740000000002</v>
      </c>
      <c r="V439">
        <v>4.4498990000000002E-2</v>
      </c>
      <c r="W439">
        <v>1.041185E-2</v>
      </c>
      <c r="X439">
        <v>0.99895520000000004</v>
      </c>
      <c r="Y439">
        <v>0.14598059999999999</v>
      </c>
      <c r="Z439">
        <v>-1.7091470000000001E-2</v>
      </c>
      <c r="AA439">
        <v>0.98913980000000001</v>
      </c>
      <c r="AB439">
        <v>29</v>
      </c>
      <c r="AC439">
        <v>0.62929999999999997</v>
      </c>
      <c r="AD439">
        <v>-0.17678930000000001</v>
      </c>
      <c r="AE439">
        <v>-0.127299999999991</v>
      </c>
      <c r="AF439">
        <v>0.12926869761816601</v>
      </c>
      <c r="AG439">
        <v>-0.17678930000000001</v>
      </c>
      <c r="AH439">
        <v>0.58262962323070799</v>
      </c>
      <c r="AI439">
        <v>106.50085815836501</v>
      </c>
      <c r="AJ439">
        <v>77.490362733593003</v>
      </c>
      <c r="AK439">
        <v>0.62243243058531605</v>
      </c>
      <c r="AL439">
        <v>89.403434176533196</v>
      </c>
      <c r="AM439">
        <v>87.449415221453407</v>
      </c>
      <c r="AN439">
        <v>1.0000000291692399</v>
      </c>
    </row>
    <row r="440" spans="1:40" x14ac:dyDescent="0.25">
      <c r="A440" t="str">
        <f>"20190312160915890"</f>
        <v>20190312160915890</v>
      </c>
      <c r="B440" t="str">
        <f>"1552378155885078"</f>
        <v>1552378155885078</v>
      </c>
      <c r="C440" t="s">
        <v>40</v>
      </c>
      <c r="D440">
        <v>5.1669650000000003</v>
      </c>
      <c r="E440">
        <v>0.54082249999999998</v>
      </c>
      <c r="F440" t="s">
        <v>42</v>
      </c>
      <c r="G440">
        <v>-394.28559999999999</v>
      </c>
      <c r="H440">
        <v>0.9149313</v>
      </c>
      <c r="I440">
        <v>367.85050000000001</v>
      </c>
      <c r="J440">
        <v>-394.88040000000001</v>
      </c>
      <c r="K440">
        <v>1.100598</v>
      </c>
      <c r="L440">
        <v>367.97469999999998</v>
      </c>
      <c r="M440">
        <v>0.99978579999999995</v>
      </c>
      <c r="N440">
        <v>0</v>
      </c>
      <c r="O440">
        <v>1.85717E-2</v>
      </c>
      <c r="P440">
        <v>0.99966279999999996</v>
      </c>
      <c r="Q440">
        <v>3.6507299999999999E-4</v>
      </c>
      <c r="R440">
        <v>-2.5971350000000001E-2</v>
      </c>
      <c r="S440">
        <v>2.9918520000000002</v>
      </c>
      <c r="T440">
        <v>-0.62112840000000002</v>
      </c>
      <c r="U440">
        <v>-0.39950560000000002</v>
      </c>
      <c r="V440">
        <v>4.4536359999999997E-2</v>
      </c>
      <c r="W440">
        <v>9.4825440000000007E-3</v>
      </c>
      <c r="X440">
        <v>0.99896280000000004</v>
      </c>
      <c r="Y440">
        <v>0.1472657</v>
      </c>
      <c r="Z440">
        <v>-1.8860410000000001E-2</v>
      </c>
      <c r="AA440">
        <v>0.98891709999999999</v>
      </c>
      <c r="AB440">
        <v>29</v>
      </c>
      <c r="AC440">
        <v>0.59480000000001998</v>
      </c>
      <c r="AD440">
        <v>-0.18566669999999999</v>
      </c>
      <c r="AE440">
        <v>-0.124199999999973</v>
      </c>
      <c r="AF440">
        <v>0.12367808629852001</v>
      </c>
      <c r="AG440">
        <v>-0.18566669999999999</v>
      </c>
      <c r="AH440">
        <v>0.54180429413030495</v>
      </c>
      <c r="AI440">
        <v>108.473880325425</v>
      </c>
      <c r="AJ440">
        <v>77.141370376671603</v>
      </c>
      <c r="AK440">
        <v>0.58593539375718895</v>
      </c>
      <c r="AL440">
        <v>89.456682129363102</v>
      </c>
      <c r="AM440">
        <v>87.447295482181303</v>
      </c>
      <c r="AN440">
        <v>1.0000000408933001</v>
      </c>
    </row>
    <row r="441" spans="1:40" x14ac:dyDescent="0.25">
      <c r="A441" t="str">
        <f>"20190312160915911"</f>
        <v>20190312160915911</v>
      </c>
      <c r="B441" t="str">
        <f>"1552378155905575"</f>
        <v>1552378155905575</v>
      </c>
      <c r="C441" t="s">
        <v>40</v>
      </c>
      <c r="D441">
        <v>5.2249129999999999</v>
      </c>
      <c r="E441">
        <v>0.54112680000000002</v>
      </c>
      <c r="F441" t="s">
        <v>42</v>
      </c>
      <c r="G441">
        <v>-394.0258</v>
      </c>
      <c r="H441">
        <v>0.91397309999999998</v>
      </c>
      <c r="I441">
        <v>367.86</v>
      </c>
      <c r="J441">
        <v>-394.60509999999999</v>
      </c>
      <c r="K441">
        <v>1.1019669999999999</v>
      </c>
      <c r="L441">
        <v>367.9796</v>
      </c>
      <c r="M441">
        <v>0.99978409999999995</v>
      </c>
      <c r="N441">
        <v>0</v>
      </c>
      <c r="O441">
        <v>1.841518E-2</v>
      </c>
      <c r="P441">
        <v>0.9996545</v>
      </c>
      <c r="Q441">
        <v>-2.123893E-4</v>
      </c>
      <c r="R441">
        <v>-2.6292099999999999E-2</v>
      </c>
      <c r="S441">
        <v>2.990875</v>
      </c>
      <c r="T441">
        <v>-0.65321119999999899</v>
      </c>
      <c r="U441">
        <v>-0.40097050000000001</v>
      </c>
      <c r="V441">
        <v>4.4700610000000002E-2</v>
      </c>
      <c r="W441">
        <v>9.4114969999999996E-3</v>
      </c>
      <c r="X441">
        <v>0.99895610000000001</v>
      </c>
      <c r="Y441">
        <v>0.14726639999999999</v>
      </c>
      <c r="Z441">
        <v>-1.978506E-2</v>
      </c>
      <c r="AA441">
        <v>0.98889899999999997</v>
      </c>
      <c r="AB441">
        <v>29</v>
      </c>
      <c r="AC441">
        <v>0.57929999999998905</v>
      </c>
      <c r="AD441">
        <v>-0.18799389999999999</v>
      </c>
      <c r="AE441">
        <v>-0.11959999999999101</v>
      </c>
      <c r="AF441">
        <v>0.11829905836809999</v>
      </c>
      <c r="AG441">
        <v>-0.18799389999999999</v>
      </c>
      <c r="AH441">
        <v>0.52406483351948097</v>
      </c>
      <c r="AI441">
        <v>109.28587114254501</v>
      </c>
      <c r="AJ441">
        <v>77.279614206956296</v>
      </c>
      <c r="AK441">
        <v>0.56919269441885001</v>
      </c>
      <c r="AL441">
        <v>89.460752984892594</v>
      </c>
      <c r="AM441">
        <v>87.4378764743863</v>
      </c>
      <c r="AN441">
        <v>1.0000000052686799</v>
      </c>
    </row>
    <row r="442" spans="1:40" x14ac:dyDescent="0.25">
      <c r="A442" t="str">
        <f>"20190312160915933"</f>
        <v>20190312160915933</v>
      </c>
      <c r="B442" t="str">
        <f>"1552378155926071"</f>
        <v>1552378155926071</v>
      </c>
      <c r="C442" t="s">
        <v>40</v>
      </c>
      <c r="D442">
        <v>5.0098469999999997</v>
      </c>
      <c r="E442">
        <v>0.54115630000000003</v>
      </c>
      <c r="F442" t="s">
        <v>42</v>
      </c>
      <c r="G442">
        <v>-393.76490000000001</v>
      </c>
      <c r="H442">
        <v>0.91583570000000003</v>
      </c>
      <c r="I442">
        <v>367.8657</v>
      </c>
      <c r="J442">
        <v>-394.30689999999998</v>
      </c>
      <c r="K442">
        <v>1.1032470000000001</v>
      </c>
      <c r="L442">
        <v>367.98500000000001</v>
      </c>
      <c r="M442">
        <v>0.99978210000000001</v>
      </c>
      <c r="N442">
        <v>0</v>
      </c>
      <c r="O442">
        <v>1.8246080000000001E-2</v>
      </c>
      <c r="P442">
        <v>0.99964750000000002</v>
      </c>
      <c r="Q442">
        <v>-4.2898879999999999E-4</v>
      </c>
      <c r="R442">
        <v>-2.6546779999999999E-2</v>
      </c>
      <c r="S442">
        <v>2.990265</v>
      </c>
      <c r="T442">
        <v>-0.66261009999999998</v>
      </c>
      <c r="U442">
        <v>-0.4040222</v>
      </c>
      <c r="V442">
        <v>4.4786510000000002E-2</v>
      </c>
      <c r="W442">
        <v>9.6971100000000001E-3</v>
      </c>
      <c r="X442">
        <v>0.99894950000000005</v>
      </c>
      <c r="Y442">
        <v>0.14799289999999901</v>
      </c>
      <c r="Z442">
        <v>-2.0108109999999998E-2</v>
      </c>
      <c r="AA442">
        <v>0.988784</v>
      </c>
      <c r="AB442">
        <v>29</v>
      </c>
      <c r="AC442">
        <v>0.54199999999997295</v>
      </c>
      <c r="AD442">
        <v>-0.187411299999999</v>
      </c>
      <c r="AE442">
        <v>-0.119300000000009</v>
      </c>
      <c r="AF442">
        <v>0.115947694441973</v>
      </c>
      <c r="AG442">
        <v>-0.187411299999999</v>
      </c>
      <c r="AH442">
        <v>0.48448381278052199</v>
      </c>
      <c r="AI442">
        <v>110.616461161648</v>
      </c>
      <c r="AJ442">
        <v>76.540996564221402</v>
      </c>
      <c r="AK442">
        <v>0.53225128281710299</v>
      </c>
      <c r="AL442">
        <v>89.444387806939403</v>
      </c>
      <c r="AM442">
        <v>87.432942550515904</v>
      </c>
      <c r="AN442">
        <v>0.99999998448529004</v>
      </c>
    </row>
    <row r="443" spans="1:40" x14ac:dyDescent="0.25">
      <c r="A443" t="str">
        <f>"20190312160915957"</f>
        <v>20190312160915957</v>
      </c>
      <c r="B443" t="str">
        <f>"1552378155945591"</f>
        <v>1552378155945591</v>
      </c>
      <c r="C443" t="s">
        <v>40</v>
      </c>
      <c r="D443">
        <v>5.014786</v>
      </c>
      <c r="E443">
        <v>0.55347539999999995</v>
      </c>
      <c r="F443" t="s">
        <v>42</v>
      </c>
      <c r="G443">
        <v>-393.5016</v>
      </c>
      <c r="H443">
        <v>0.9240874</v>
      </c>
      <c r="I443">
        <v>367.87540000000001</v>
      </c>
      <c r="J443">
        <v>-394.00850000000003</v>
      </c>
      <c r="K443">
        <v>1.1043609999999999</v>
      </c>
      <c r="L443">
        <v>367.99020000000002</v>
      </c>
      <c r="M443">
        <v>0.99978040000000001</v>
      </c>
      <c r="N443">
        <v>0</v>
      </c>
      <c r="O443">
        <v>1.8076890000000002E-2</v>
      </c>
      <c r="P443">
        <v>0.99963009999999997</v>
      </c>
      <c r="Q443">
        <v>-6.5165749999999999E-4</v>
      </c>
      <c r="R443">
        <v>-2.7196310000000001E-2</v>
      </c>
      <c r="S443">
        <v>2.9900509999999998</v>
      </c>
      <c r="T443">
        <v>-0.66525339999999999</v>
      </c>
      <c r="U443">
        <v>-0.40524290000000002</v>
      </c>
      <c r="V443">
        <v>4.5266359999999999E-2</v>
      </c>
      <c r="W443">
        <v>9.9293190000000007E-3</v>
      </c>
      <c r="X443">
        <v>0.99892559999999997</v>
      </c>
      <c r="Y443">
        <v>0.148199</v>
      </c>
      <c r="Z443">
        <v>-2.0172840000000001E-2</v>
      </c>
      <c r="AA443">
        <v>0.98875179999999996</v>
      </c>
      <c r="AB443">
        <v>29</v>
      </c>
      <c r="AC443">
        <v>0.50690000000002999</v>
      </c>
      <c r="AD443">
        <v>-0.18027360000000001</v>
      </c>
      <c r="AE443">
        <v>-0.114800000000002</v>
      </c>
      <c r="AF443">
        <v>0.110634627963849</v>
      </c>
      <c r="AG443">
        <v>-0.18027360000000001</v>
      </c>
      <c r="AH443">
        <v>0.45053818192857198</v>
      </c>
      <c r="AI443">
        <v>111.235382820363</v>
      </c>
      <c r="AJ443">
        <v>76.203377867431897</v>
      </c>
      <c r="AK443">
        <v>0.49771803778561502</v>
      </c>
      <c r="AL443">
        <v>89.431082576095505</v>
      </c>
      <c r="AM443">
        <v>87.405414070269799</v>
      </c>
      <c r="AN443">
        <v>0.99999999452940602</v>
      </c>
    </row>
    <row r="444" spans="1:40" x14ac:dyDescent="0.25">
      <c r="A444" t="str">
        <f>"20190312160915978"</f>
        <v>20190312160915978</v>
      </c>
      <c r="B444" t="str">
        <f>"1552378155975846"</f>
        <v>1552378155975846</v>
      </c>
      <c r="C444" t="s">
        <v>40</v>
      </c>
      <c r="D444">
        <v>5.1318890000000001</v>
      </c>
      <c r="E444">
        <v>0.55039179999999999</v>
      </c>
      <c r="F444" t="s">
        <v>42</v>
      </c>
      <c r="G444">
        <v>-393.25560000000002</v>
      </c>
      <c r="H444">
        <v>0.8900266</v>
      </c>
      <c r="I444">
        <v>367.86270000000002</v>
      </c>
      <c r="J444">
        <v>-393.7287</v>
      </c>
      <c r="K444">
        <v>1.105251</v>
      </c>
      <c r="L444">
        <v>367.99509999999998</v>
      </c>
      <c r="M444">
        <v>0.99977899999999997</v>
      </c>
      <c r="N444">
        <v>0</v>
      </c>
      <c r="O444">
        <v>1.791831E-2</v>
      </c>
      <c r="P444">
        <v>0.99962530000000005</v>
      </c>
      <c r="Q444">
        <v>-1.1237860000000001E-3</v>
      </c>
      <c r="R444">
        <v>-2.735514E-2</v>
      </c>
      <c r="S444">
        <v>2.9868160000000001</v>
      </c>
      <c r="T444">
        <v>-0.85022430000000004</v>
      </c>
      <c r="U444">
        <v>-0.50488279999999996</v>
      </c>
      <c r="V444">
        <v>4.5266859999999999E-2</v>
      </c>
      <c r="W444">
        <v>9.8425390000000008E-3</v>
      </c>
      <c r="X444">
        <v>0.99892650000000005</v>
      </c>
      <c r="Y444">
        <v>0.17678489999999999</v>
      </c>
      <c r="Z444">
        <v>-2.947758E-2</v>
      </c>
      <c r="AA444">
        <v>0.98380800000000002</v>
      </c>
      <c r="AB444">
        <v>29</v>
      </c>
      <c r="AC444">
        <v>0.47309999999998797</v>
      </c>
      <c r="AD444">
        <v>-0.21522440000000001</v>
      </c>
      <c r="AE444">
        <v>-0.13239999999996099</v>
      </c>
      <c r="AF444">
        <v>0.11817564489376001</v>
      </c>
      <c r="AG444">
        <v>-0.21522440000000001</v>
      </c>
      <c r="AH444">
        <v>0.394866993613401</v>
      </c>
      <c r="AI444">
        <v>117.572295627061</v>
      </c>
      <c r="AJ444">
        <v>73.338629852148301</v>
      </c>
      <c r="AK444">
        <v>0.46498061039865102</v>
      </c>
      <c r="AL444">
        <v>89.4360549828167</v>
      </c>
      <c r="AM444">
        <v>87.405387784805995</v>
      </c>
      <c r="AN444">
        <v>1.00000005829523</v>
      </c>
    </row>
    <row r="445" spans="1:40" x14ac:dyDescent="0.25">
      <c r="A445" t="str">
        <f>"20190312160916001"</f>
        <v>20190312160916001</v>
      </c>
      <c r="B445" t="str">
        <f>"1552378155995367"</f>
        <v>1552378155995367</v>
      </c>
      <c r="C445" t="s">
        <v>40</v>
      </c>
      <c r="D445">
        <v>5.1334109999999997</v>
      </c>
      <c r="E445">
        <v>0.54952659999999998</v>
      </c>
      <c r="F445" t="s">
        <v>42</v>
      </c>
      <c r="G445">
        <v>-392.99549999999999</v>
      </c>
      <c r="H445">
        <v>0.89337979999999995</v>
      </c>
      <c r="I445">
        <v>367.87670000000003</v>
      </c>
      <c r="J445">
        <v>-393.44400000000002</v>
      </c>
      <c r="K445">
        <v>1.1060270000000001</v>
      </c>
      <c r="L445">
        <v>368</v>
      </c>
      <c r="M445">
        <v>0.99977800000000006</v>
      </c>
      <c r="N445">
        <v>0</v>
      </c>
      <c r="O445">
        <v>1.7756859999999999E-2</v>
      </c>
      <c r="P445">
        <v>0.99962600000000001</v>
      </c>
      <c r="Q445">
        <v>-2.1665399999999998E-3</v>
      </c>
      <c r="R445">
        <v>-2.7259350000000002E-2</v>
      </c>
      <c r="S445">
        <v>2.9870000000000001</v>
      </c>
      <c r="T445">
        <v>-0.86323189999999905</v>
      </c>
      <c r="U445">
        <v>-0.48129270000000002</v>
      </c>
      <c r="V445">
        <v>4.5009630000000002E-2</v>
      </c>
      <c r="W445">
        <v>9.1535420000000006E-3</v>
      </c>
      <c r="X445">
        <v>0.99894459999999996</v>
      </c>
      <c r="Y445">
        <v>0.1691211</v>
      </c>
      <c r="Z445">
        <v>-2.880338E-2</v>
      </c>
      <c r="AA445">
        <v>0.98517429999999995</v>
      </c>
      <c r="AB445">
        <v>29</v>
      </c>
      <c r="AC445">
        <v>0.44850000000002399</v>
      </c>
      <c r="AD445">
        <v>-0.21264720000000001</v>
      </c>
      <c r="AE445">
        <v>-0.123299999999972</v>
      </c>
      <c r="AF445">
        <v>0.108556423985237</v>
      </c>
      <c r="AG445">
        <v>-0.21264720000000001</v>
      </c>
      <c r="AH445">
        <v>0.36909733666977201</v>
      </c>
      <c r="AI445">
        <v>118.93020548464</v>
      </c>
      <c r="AJ445">
        <v>73.610690579128899</v>
      </c>
      <c r="AK445">
        <v>0.43958636556770198</v>
      </c>
      <c r="AL445">
        <v>89.475533343293407</v>
      </c>
      <c r="AM445">
        <v>87.420158434673596</v>
      </c>
      <c r="AN445">
        <v>0.99999998399652101</v>
      </c>
    </row>
    <row r="446" spans="1:40" x14ac:dyDescent="0.25">
      <c r="A446" t="str">
        <f>"20190312160916023"</f>
        <v>20190312160916023</v>
      </c>
      <c r="B446" t="str">
        <f>"1552378156015862"</f>
        <v>1552378156015862</v>
      </c>
      <c r="C446" t="s">
        <v>40</v>
      </c>
      <c r="D446">
        <v>5.1872759999999998</v>
      </c>
      <c r="E446">
        <v>0.54893639999999999</v>
      </c>
      <c r="F446" t="s">
        <v>42</v>
      </c>
      <c r="G446">
        <v>-392.73439999999999</v>
      </c>
      <c r="H446">
        <v>0.89917519999999995</v>
      </c>
      <c r="I446">
        <v>367.88690000000003</v>
      </c>
      <c r="J446">
        <v>-393.1472</v>
      </c>
      <c r="K446">
        <v>1.1067129999999901</v>
      </c>
      <c r="L446">
        <v>368.00510000000003</v>
      </c>
      <c r="M446">
        <v>0.99977720000000003</v>
      </c>
      <c r="N446">
        <v>0</v>
      </c>
      <c r="O446">
        <v>1.7588619999999999E-2</v>
      </c>
      <c r="P446">
        <v>0.99963259999999998</v>
      </c>
      <c r="Q446">
        <v>-3.0415870000000001E-3</v>
      </c>
      <c r="R446">
        <v>-2.6940510000000001E-2</v>
      </c>
      <c r="S446">
        <v>2.9862980000000001</v>
      </c>
      <c r="T446">
        <v>-0.87058060000000004</v>
      </c>
      <c r="U446">
        <v>-0.47485349999999998</v>
      </c>
      <c r="V446">
        <v>4.4522569999999997E-2</v>
      </c>
      <c r="W446">
        <v>8.6099680000000008E-3</v>
      </c>
      <c r="X446">
        <v>0.99897130000000001</v>
      </c>
      <c r="Y446">
        <v>0.16688639999999999</v>
      </c>
      <c r="Z446">
        <v>-2.868509E-2</v>
      </c>
      <c r="AA446">
        <v>0.98555870000000001</v>
      </c>
      <c r="AB446">
        <v>29</v>
      </c>
      <c r="AC446">
        <v>0.412800000000004</v>
      </c>
      <c r="AD446">
        <v>-0.207537799999999</v>
      </c>
      <c r="AE446">
        <v>-0.118200000000001</v>
      </c>
      <c r="AF446">
        <v>0.101687525096092</v>
      </c>
      <c r="AG446">
        <v>-0.207537799999999</v>
      </c>
      <c r="AH446">
        <v>0.332890363147962</v>
      </c>
      <c r="AI446">
        <v>120.80526277199699</v>
      </c>
      <c r="AJ446">
        <v>73.013737989680607</v>
      </c>
      <c r="AK446">
        <v>0.40525089150523802</v>
      </c>
      <c r="AL446">
        <v>89.506679088711493</v>
      </c>
      <c r="AM446">
        <v>87.448106527789506</v>
      </c>
      <c r="AN446">
        <v>1.0000000245060201</v>
      </c>
    </row>
    <row r="447" spans="1:40" x14ac:dyDescent="0.25">
      <c r="A447" t="str">
        <f>"20190312160916047"</f>
        <v>20190312160916047</v>
      </c>
      <c r="B447" t="str">
        <f>"1552378156035382"</f>
        <v>1552378156035382</v>
      </c>
      <c r="C447" t="s">
        <v>40</v>
      </c>
      <c r="D447">
        <v>5.1573099999999998</v>
      </c>
      <c r="E447">
        <v>0.54736509999999905</v>
      </c>
      <c r="F447" t="s">
        <v>42</v>
      </c>
      <c r="G447">
        <v>-392.46980000000002</v>
      </c>
      <c r="H447">
        <v>0.91381179999999995</v>
      </c>
      <c r="I447">
        <v>367.89850000000001</v>
      </c>
      <c r="J447">
        <v>-392.85059999999999</v>
      </c>
      <c r="K447">
        <v>1.1072930000000001</v>
      </c>
      <c r="L447">
        <v>368.01010000000002</v>
      </c>
      <c r="M447">
        <v>0.99977669999999996</v>
      </c>
      <c r="N447">
        <v>0</v>
      </c>
      <c r="O447">
        <v>1.7420049999999999E-2</v>
      </c>
      <c r="P447">
        <v>0.99963219999999997</v>
      </c>
      <c r="Q447">
        <v>-3.4530099999999998E-3</v>
      </c>
      <c r="R447">
        <v>-2.6909829999999999E-2</v>
      </c>
      <c r="S447">
        <v>2.98584</v>
      </c>
      <c r="T447">
        <v>-0.85040869999999902</v>
      </c>
      <c r="U447">
        <v>-0.46911619999999998</v>
      </c>
      <c r="V447">
        <v>4.4323429999999997E-2</v>
      </c>
      <c r="W447">
        <v>8.4907619999999902E-3</v>
      </c>
      <c r="X447">
        <v>0.99898120000000001</v>
      </c>
      <c r="Y447">
        <v>0.16529669999999999</v>
      </c>
      <c r="Z447">
        <v>-2.77862E-2</v>
      </c>
      <c r="AA447">
        <v>0.98585239999999996</v>
      </c>
      <c r="AB447">
        <v>29</v>
      </c>
      <c r="AC447">
        <v>0.380799999999965</v>
      </c>
      <c r="AD447">
        <v>-0.19348119999999999</v>
      </c>
      <c r="AE447">
        <v>-0.111600000000009</v>
      </c>
      <c r="AF447">
        <v>9.5510600781975097E-2</v>
      </c>
      <c r="AG447">
        <v>-0.19348119999999999</v>
      </c>
      <c r="AH447">
        <v>0.306040546996034</v>
      </c>
      <c r="AI447">
        <v>121.11101978208301</v>
      </c>
      <c r="AJ447">
        <v>72.667651016499207</v>
      </c>
      <c r="AK447">
        <v>0.37445702827000799</v>
      </c>
      <c r="AL447">
        <v>89.513509350701</v>
      </c>
      <c r="AM447">
        <v>87.459530760925603</v>
      </c>
      <c r="AN447">
        <v>1.0000000487198699</v>
      </c>
    </row>
    <row r="448" spans="1:40" x14ac:dyDescent="0.25">
      <c r="A448" t="str">
        <f>"20190312160916069"</f>
        <v>20190312160916069</v>
      </c>
      <c r="B448" t="str">
        <f>"1552378156065639"</f>
        <v>1552378156065639</v>
      </c>
      <c r="C448" t="s">
        <v>40</v>
      </c>
      <c r="D448">
        <v>5.1225940000000003</v>
      </c>
      <c r="E448">
        <v>0.54537340000000001</v>
      </c>
      <c r="F448" t="s">
        <v>42</v>
      </c>
      <c r="G448">
        <v>-391.97280000000001</v>
      </c>
      <c r="H448">
        <v>0.86306930000000004</v>
      </c>
      <c r="I448">
        <v>367.8759</v>
      </c>
      <c r="J448">
        <v>-392.5609</v>
      </c>
      <c r="K448">
        <v>1.1077709999999901</v>
      </c>
      <c r="L448">
        <v>368.01499999999999</v>
      </c>
      <c r="M448">
        <v>0.99977629999999995</v>
      </c>
      <c r="N448">
        <v>0</v>
      </c>
      <c r="O448">
        <v>1.7255489999999998E-2</v>
      </c>
      <c r="P448">
        <v>0.9996353</v>
      </c>
      <c r="Q448">
        <v>-3.431178E-3</v>
      </c>
      <c r="R448">
        <v>-2.678531E-2</v>
      </c>
      <c r="S448">
        <v>2.9859309999999999</v>
      </c>
      <c r="T448">
        <v>-0.8307196</v>
      </c>
      <c r="U448">
        <v>-0.45602419999999999</v>
      </c>
      <c r="V448">
        <v>4.4034999999999998E-2</v>
      </c>
      <c r="W448">
        <v>8.7668399999999997E-3</v>
      </c>
      <c r="X448">
        <v>0.99899150000000003</v>
      </c>
      <c r="Y448">
        <v>0.1613734</v>
      </c>
      <c r="Z448">
        <v>-2.6596649999999999E-2</v>
      </c>
      <c r="AA448">
        <v>0.98653500000000005</v>
      </c>
      <c r="AB448">
        <v>29</v>
      </c>
      <c r="AC448">
        <v>0.58809999999999696</v>
      </c>
      <c r="AD448">
        <v>-0.244701699999999</v>
      </c>
      <c r="AE448">
        <v>-0.13909999999998399</v>
      </c>
      <c r="AF448">
        <v>0.12820744958567201</v>
      </c>
      <c r="AG448">
        <v>-0.244701699999999</v>
      </c>
      <c r="AH448">
        <v>0.50312154729007397</v>
      </c>
      <c r="AI448">
        <v>115.23475740850201</v>
      </c>
      <c r="AJ448">
        <v>75.703916455790903</v>
      </c>
      <c r="AK448">
        <v>0.57397505473645005</v>
      </c>
      <c r="AL448">
        <v>89.497690622714899</v>
      </c>
      <c r="AM448">
        <v>87.476067134762204</v>
      </c>
      <c r="AN448">
        <v>0.99999997789041695</v>
      </c>
    </row>
    <row r="449" spans="1:40" x14ac:dyDescent="0.25">
      <c r="A449" t="str">
        <f>"20190312160916091"</f>
        <v>20190312160916091</v>
      </c>
      <c r="B449" t="str">
        <f>"1552378156085158"</f>
        <v>1552378156085158</v>
      </c>
      <c r="C449" t="s">
        <v>40</v>
      </c>
      <c r="D449">
        <v>5.1716329999999999</v>
      </c>
      <c r="E449">
        <v>0.54299259999999905</v>
      </c>
      <c r="F449" t="s">
        <v>42</v>
      </c>
      <c r="G449">
        <v>-391.70920000000001</v>
      </c>
      <c r="H449">
        <v>0.87788339999999998</v>
      </c>
      <c r="I449">
        <v>367.88929999999999</v>
      </c>
      <c r="J449">
        <v>-392.2706</v>
      </c>
      <c r="K449">
        <v>1.108177</v>
      </c>
      <c r="L449">
        <v>368.01979999999998</v>
      </c>
      <c r="M449">
        <v>0.99977649999999996</v>
      </c>
      <c r="N449">
        <v>0</v>
      </c>
      <c r="O449">
        <v>1.7090230000000001E-2</v>
      </c>
      <c r="P449">
        <v>0.99964310000000001</v>
      </c>
      <c r="Q449">
        <v>-3.0641129999999998E-3</v>
      </c>
      <c r="R449">
        <v>-2.654345E-2</v>
      </c>
      <c r="S449">
        <v>2.986542</v>
      </c>
      <c r="T449">
        <v>-0.8061353</v>
      </c>
      <c r="U449">
        <v>-0.4397278</v>
      </c>
      <c r="V449">
        <v>4.3628180000000003E-2</v>
      </c>
      <c r="W449">
        <v>9.3614340000000001E-3</v>
      </c>
      <c r="X449">
        <v>0.999004</v>
      </c>
      <c r="Y449">
        <v>0.1564682</v>
      </c>
      <c r="Z449">
        <v>-2.5150809999999999E-2</v>
      </c>
      <c r="AA449">
        <v>0.98736270000000004</v>
      </c>
      <c r="AB449">
        <v>29</v>
      </c>
      <c r="AC449">
        <v>0.56139999999999102</v>
      </c>
      <c r="AD449">
        <v>-0.23029359999999899</v>
      </c>
      <c r="AE449">
        <v>-0.13049999999998299</v>
      </c>
      <c r="AF449">
        <v>0.12079193014711299</v>
      </c>
      <c r="AG449">
        <v>-0.23029359999999899</v>
      </c>
      <c r="AH449">
        <v>0.48211826807263902</v>
      </c>
      <c r="AI449">
        <v>114.860596693676</v>
      </c>
      <c r="AJ449">
        <v>75.934414697499903</v>
      </c>
      <c r="AK449">
        <v>0.54778084760147105</v>
      </c>
      <c r="AL449">
        <v>89.463621519516195</v>
      </c>
      <c r="AM449">
        <v>87.499386152868496</v>
      </c>
      <c r="AN449">
        <v>1.00000002327632</v>
      </c>
    </row>
    <row r="450" spans="1:40" x14ac:dyDescent="0.25">
      <c r="A450" t="str">
        <f>"20190312160916113"</f>
        <v>20190312160916113</v>
      </c>
      <c r="B450" t="str">
        <f>"1552378156105655"</f>
        <v>1552378156105655</v>
      </c>
      <c r="C450" t="s">
        <v>40</v>
      </c>
      <c r="D450">
        <v>5.1606100000000001</v>
      </c>
      <c r="E450">
        <v>0.5428267</v>
      </c>
      <c r="F450" t="s">
        <v>42</v>
      </c>
      <c r="G450">
        <v>-391.44510000000002</v>
      </c>
      <c r="H450">
        <v>0.89471730000000005</v>
      </c>
      <c r="I450">
        <v>367.90339999999998</v>
      </c>
      <c r="J450">
        <v>-391.9932</v>
      </c>
      <c r="K450">
        <v>1.108501</v>
      </c>
      <c r="L450">
        <v>368.02440000000001</v>
      </c>
      <c r="M450">
        <v>0.99977669999999996</v>
      </c>
      <c r="N450">
        <v>0</v>
      </c>
      <c r="O450">
        <v>1.693221E-2</v>
      </c>
      <c r="P450">
        <v>0.99964739999999996</v>
      </c>
      <c r="Q450">
        <v>-2.9885160000000001E-3</v>
      </c>
      <c r="R450">
        <v>-2.6392800000000001E-2</v>
      </c>
      <c r="S450">
        <v>2.9874879999999999</v>
      </c>
      <c r="T450">
        <v>-0.77250419999999997</v>
      </c>
      <c r="U450">
        <v>-0.42086790000000002</v>
      </c>
      <c r="V450">
        <v>4.3319900000000001E-2</v>
      </c>
      <c r="W450">
        <v>9.6308350000000008E-3</v>
      </c>
      <c r="X450">
        <v>0.99901490000000004</v>
      </c>
      <c r="Y450">
        <v>0.15083189999999999</v>
      </c>
      <c r="Z450">
        <v>-2.3384470000000001E-2</v>
      </c>
      <c r="AA450">
        <v>0.98828280000000002</v>
      </c>
      <c r="AB450">
        <v>29</v>
      </c>
      <c r="AC450">
        <v>0.54809999999997605</v>
      </c>
      <c r="AD450">
        <v>-0.21378369999999899</v>
      </c>
      <c r="AE450">
        <v>-0.12100000000003699</v>
      </c>
      <c r="AF450">
        <v>0.113761149183604</v>
      </c>
      <c r="AG450">
        <v>-0.21378369999999899</v>
      </c>
      <c r="AH450">
        <v>0.47680467003972299</v>
      </c>
      <c r="AI450">
        <v>113.563263671074</v>
      </c>
      <c r="AJ450">
        <v>76.580641554111693</v>
      </c>
      <c r="AK450">
        <v>0.53477823704873595</v>
      </c>
      <c r="AL450">
        <v>89.448185308517907</v>
      </c>
      <c r="AM450">
        <v>87.517060542925407</v>
      </c>
      <c r="AN450">
        <v>1.0000000685704</v>
      </c>
    </row>
    <row r="451" spans="1:40" x14ac:dyDescent="0.25">
      <c r="A451" t="str">
        <f>"20190312160916135"</f>
        <v>20190312160916135</v>
      </c>
      <c r="B451" t="str">
        <f>"1552378156125175"</f>
        <v>1552378156125175</v>
      </c>
      <c r="C451" t="s">
        <v>40</v>
      </c>
      <c r="D451">
        <v>5.3270650000000002</v>
      </c>
      <c r="E451">
        <v>0.5423443</v>
      </c>
      <c r="F451" t="s">
        <v>42</v>
      </c>
      <c r="G451">
        <v>-391.18520000000001</v>
      </c>
      <c r="H451">
        <v>0.90130730000000003</v>
      </c>
      <c r="I451">
        <v>367.91079999999999</v>
      </c>
      <c r="J451">
        <v>-391.70190000000002</v>
      </c>
      <c r="K451">
        <v>1.1087849999999999</v>
      </c>
      <c r="L451">
        <v>368.02910000000003</v>
      </c>
      <c r="M451">
        <v>0.99977709999999997</v>
      </c>
      <c r="N451">
        <v>0</v>
      </c>
      <c r="O451">
        <v>1.6766679999999999E-2</v>
      </c>
      <c r="P451">
        <v>0.99964149999999996</v>
      </c>
      <c r="Q451">
        <v>-3.1087599999999999E-3</v>
      </c>
      <c r="R451">
        <v>-2.6595959999999998E-2</v>
      </c>
      <c r="S451">
        <v>2.9877009999999999</v>
      </c>
      <c r="T451">
        <v>-0.76613399999999998</v>
      </c>
      <c r="U451">
        <v>-0.41955569999999998</v>
      </c>
      <c r="V451">
        <v>4.3357619999999999E-2</v>
      </c>
      <c r="W451">
        <v>9.6909119999999994E-3</v>
      </c>
      <c r="X451">
        <v>0.99901260000000003</v>
      </c>
      <c r="Y451">
        <v>0.15034169999999999</v>
      </c>
      <c r="Z451">
        <v>-2.3093550000000001E-2</v>
      </c>
      <c r="AA451">
        <v>0.98836429999999997</v>
      </c>
      <c r="AB451">
        <v>29</v>
      </c>
      <c r="AC451">
        <v>0.51670000000001404</v>
      </c>
      <c r="AD451">
        <v>-0.20747769999999999</v>
      </c>
      <c r="AE451">
        <v>-0.118300000000033</v>
      </c>
      <c r="AF451">
        <v>0.110082131669877</v>
      </c>
      <c r="AG451">
        <v>-0.20747769999999999</v>
      </c>
      <c r="AH451">
        <v>0.44627195127132202</v>
      </c>
      <c r="AI451">
        <v>114.293626739224</v>
      </c>
      <c r="AJ451">
        <v>76.143440697582307</v>
      </c>
      <c r="AK451">
        <v>0.50430519152769704</v>
      </c>
      <c r="AL451">
        <v>89.444742943699595</v>
      </c>
      <c r="AM451">
        <v>87.514895564460801</v>
      </c>
      <c r="AN451">
        <v>0.99999998597310702</v>
      </c>
    </row>
    <row r="452" spans="1:40" x14ac:dyDescent="0.25">
      <c r="A452" t="str">
        <f>"20190312160916157"</f>
        <v>20190312160916157</v>
      </c>
      <c r="B452" t="str">
        <f>"1552378156145671"</f>
        <v>1552378156145671</v>
      </c>
      <c r="C452" t="s">
        <v>40</v>
      </c>
      <c r="D452">
        <v>5.1834429999999996</v>
      </c>
      <c r="E452">
        <v>0.54203299999999999</v>
      </c>
      <c r="F452" t="s">
        <v>42</v>
      </c>
      <c r="G452">
        <v>-390.92430000000002</v>
      </c>
      <c r="H452">
        <v>0.91158320000000004</v>
      </c>
      <c r="I452">
        <v>367.92070000000001</v>
      </c>
      <c r="J452">
        <v>-391.42809999999997</v>
      </c>
      <c r="K452">
        <v>1.1090100000000001</v>
      </c>
      <c r="L452">
        <v>368.03359999999998</v>
      </c>
      <c r="M452">
        <v>0.9997779</v>
      </c>
      <c r="N452">
        <v>0</v>
      </c>
      <c r="O452">
        <v>1.6610880000000001E-2</v>
      </c>
      <c r="P452">
        <v>0.99963080000000004</v>
      </c>
      <c r="Q452">
        <v>-2.9504560000000002E-3</v>
      </c>
      <c r="R452">
        <v>-2.7018029999999998E-2</v>
      </c>
      <c r="S452">
        <v>2.9876710000000002</v>
      </c>
      <c r="T452">
        <v>-0.757606</v>
      </c>
      <c r="U452">
        <v>-0.41583249999999999</v>
      </c>
      <c r="V452">
        <v>4.3623780000000001E-2</v>
      </c>
      <c r="W452">
        <v>9.9994119999999992E-3</v>
      </c>
      <c r="X452">
        <v>0.99899800000000005</v>
      </c>
      <c r="Y452">
        <v>0.14913789999999999</v>
      </c>
      <c r="Z452">
        <v>-2.26581E-2</v>
      </c>
      <c r="AA452">
        <v>0.98855680000000001</v>
      </c>
      <c r="AB452">
        <v>29</v>
      </c>
      <c r="AC452">
        <v>0.50379999999995495</v>
      </c>
      <c r="AD452">
        <v>-0.19742679999999899</v>
      </c>
      <c r="AE452">
        <v>-0.112899999999967</v>
      </c>
      <c r="AF452">
        <v>0.10578541895053301</v>
      </c>
      <c r="AG452">
        <v>-0.19742679999999899</v>
      </c>
      <c r="AH452">
        <v>0.43783358866573202</v>
      </c>
      <c r="AI452">
        <v>113.668110390718</v>
      </c>
      <c r="AJ452">
        <v>76.417021341043295</v>
      </c>
      <c r="AK452">
        <v>0.49179888936911398</v>
      </c>
      <c r="AL452">
        <v>89.427066354316096</v>
      </c>
      <c r="AM452">
        <v>87.499623027154996</v>
      </c>
      <c r="AN452">
        <v>1.0000000132129101</v>
      </c>
    </row>
    <row r="453" spans="1:40" x14ac:dyDescent="0.25">
      <c r="A453" t="str">
        <f>"20190312160916190"</f>
        <v>20190312160916190</v>
      </c>
      <c r="B453" t="str">
        <f>"1552378156174951"</f>
        <v>1552378156174951</v>
      </c>
      <c r="C453" t="s">
        <v>40</v>
      </c>
      <c r="D453">
        <v>5.2749610000000002</v>
      </c>
      <c r="E453">
        <v>0.54125849999999998</v>
      </c>
      <c r="F453" t="s">
        <v>42</v>
      </c>
      <c r="G453">
        <v>-390.66550000000001</v>
      </c>
      <c r="H453">
        <v>0.91689739999999997</v>
      </c>
      <c r="I453">
        <v>367.92759999999998</v>
      </c>
      <c r="J453">
        <v>-391.00709999999998</v>
      </c>
      <c r="K453">
        <v>1.109286</v>
      </c>
      <c r="L453">
        <v>368.0403</v>
      </c>
      <c r="M453">
        <v>0.99977919999999998</v>
      </c>
      <c r="N453">
        <v>0</v>
      </c>
      <c r="O453">
        <v>1.6371110000000001E-2</v>
      </c>
      <c r="P453">
        <v>0.99961339999999999</v>
      </c>
      <c r="Q453">
        <v>-2.5635240000000002E-3</v>
      </c>
      <c r="R453">
        <v>-2.7692080000000001E-2</v>
      </c>
      <c r="S453">
        <v>2.9876710000000002</v>
      </c>
      <c r="T453">
        <v>-0.75273699999999999</v>
      </c>
      <c r="U453">
        <v>-0.41369630000000002</v>
      </c>
      <c r="V453">
        <v>4.4058130000000001E-2</v>
      </c>
      <c r="W453">
        <v>1.0586369999999999E-2</v>
      </c>
      <c r="X453">
        <v>0.99897290000000005</v>
      </c>
      <c r="Y453">
        <v>0.14830479999999999</v>
      </c>
      <c r="Z453">
        <v>-2.2355799999999999E-2</v>
      </c>
      <c r="AA453">
        <v>0.98868900000000004</v>
      </c>
      <c r="AB453">
        <v>29</v>
      </c>
      <c r="AC453">
        <v>0.34159999999997098</v>
      </c>
      <c r="AD453">
        <v>-0.19238859999999999</v>
      </c>
      <c r="AE453">
        <v>-0.11270000000001799</v>
      </c>
      <c r="AF453">
        <v>9.1969330120904094E-2</v>
      </c>
      <c r="AG453">
        <v>-0.19238859999999999</v>
      </c>
      <c r="AH453">
        <v>0.26414783567975297</v>
      </c>
      <c r="AI453">
        <v>124.521655290975</v>
      </c>
      <c r="AJ453">
        <v>70.803226503275098</v>
      </c>
      <c r="AK453">
        <v>0.33947873304103399</v>
      </c>
      <c r="AL453">
        <v>89.393434362159695</v>
      </c>
      <c r="AM453">
        <v>87.474696162224703</v>
      </c>
      <c r="AN453">
        <v>1.0000000224916401</v>
      </c>
    </row>
    <row r="454" spans="1:40" x14ac:dyDescent="0.25">
      <c r="A454" t="str">
        <f>"20190312160916213"</f>
        <v>20190312160916213</v>
      </c>
      <c r="B454" t="str">
        <f>"1552378156205207"</f>
        <v>1552378156205207</v>
      </c>
      <c r="C454" t="s">
        <v>40</v>
      </c>
      <c r="D454">
        <v>5.2177030000000002</v>
      </c>
      <c r="E454">
        <v>0.54029050000000001</v>
      </c>
      <c r="F454" t="s">
        <v>42</v>
      </c>
      <c r="G454">
        <v>-390.16</v>
      </c>
      <c r="H454">
        <v>0.8990726</v>
      </c>
      <c r="I454">
        <v>367.92360000000002</v>
      </c>
      <c r="J454">
        <v>-390.71510000000001</v>
      </c>
      <c r="K454">
        <v>1.1094349999999999</v>
      </c>
      <c r="L454">
        <v>368.04489999999998</v>
      </c>
      <c r="M454">
        <v>0.99978040000000001</v>
      </c>
      <c r="N454">
        <v>0</v>
      </c>
      <c r="O454">
        <v>1.6204300000000001E-2</v>
      </c>
      <c r="P454">
        <v>0.99960079999999996</v>
      </c>
      <c r="Q454">
        <v>-3.3147390000000001E-3</v>
      </c>
      <c r="R454">
        <v>-2.8064260000000001E-2</v>
      </c>
      <c r="S454">
        <v>2.9878849999999999</v>
      </c>
      <c r="T454">
        <v>-0.7414868</v>
      </c>
      <c r="U454">
        <v>-0.41012569999999998</v>
      </c>
      <c r="V454">
        <v>4.4263259999999999E-2</v>
      </c>
      <c r="W454">
        <v>9.9536369999999996E-3</v>
      </c>
      <c r="X454">
        <v>0.99897029999999998</v>
      </c>
      <c r="Y454">
        <v>0.1471575</v>
      </c>
      <c r="Z454">
        <v>-2.1851410000000002E-2</v>
      </c>
      <c r="AA454">
        <v>0.98887170000000002</v>
      </c>
      <c r="AB454">
        <v>29</v>
      </c>
      <c r="AC454">
        <v>0.55509999999998105</v>
      </c>
      <c r="AD454">
        <v>-0.21036239999999901</v>
      </c>
      <c r="AE454">
        <v>-0.12129999999996199</v>
      </c>
      <c r="AF454">
        <v>0.11457527620171901</v>
      </c>
      <c r="AG454">
        <v>-0.21036239999999901</v>
      </c>
      <c r="AH454">
        <v>0.486392531908931</v>
      </c>
      <c r="AI454">
        <v>112.82978287388001</v>
      </c>
      <c r="AJ454">
        <v>76.7449734638151</v>
      </c>
      <c r="AK454">
        <v>0.54217850229167197</v>
      </c>
      <c r="AL454">
        <v>89.429689183415803</v>
      </c>
      <c r="AM454">
        <v>87.462947346923301</v>
      </c>
      <c r="AN454">
        <v>0.99999998567872195</v>
      </c>
    </row>
    <row r="455" spans="1:40" x14ac:dyDescent="0.25">
      <c r="A455" t="str">
        <f>"20190312160916236"</f>
        <v>20190312160916236</v>
      </c>
      <c r="B455" t="str">
        <f>"1552378156225703"</f>
        <v>1552378156225703</v>
      </c>
      <c r="C455" t="s">
        <v>40</v>
      </c>
      <c r="D455">
        <v>5.2874400000000001</v>
      </c>
      <c r="E455">
        <v>0.54061539999999997</v>
      </c>
      <c r="F455" t="s">
        <v>42</v>
      </c>
      <c r="G455">
        <v>-389.90039999999999</v>
      </c>
      <c r="H455">
        <v>0.90900360000000002</v>
      </c>
      <c r="I455">
        <v>367.9348</v>
      </c>
      <c r="J455">
        <v>-390.41199999999998</v>
      </c>
      <c r="K455">
        <v>1.109564</v>
      </c>
      <c r="L455">
        <v>368.0496</v>
      </c>
      <c r="M455">
        <v>0.9997817</v>
      </c>
      <c r="N455">
        <v>0</v>
      </c>
      <c r="O455">
        <v>1.603166E-2</v>
      </c>
      <c r="P455">
        <v>0.99959799999999999</v>
      </c>
      <c r="Q455">
        <v>-3.8625140000000001E-3</v>
      </c>
      <c r="R455">
        <v>-2.8088289999999998E-2</v>
      </c>
      <c r="S455">
        <v>2.987457</v>
      </c>
      <c r="T455">
        <v>-0.73500219999999905</v>
      </c>
      <c r="U455">
        <v>-0.40350340000000001</v>
      </c>
      <c r="V455">
        <v>4.4114529999999999E-2</v>
      </c>
      <c r="W455">
        <v>9.514013E-3</v>
      </c>
      <c r="X455">
        <v>0.99898120000000001</v>
      </c>
      <c r="Y455">
        <v>0.1450022</v>
      </c>
      <c r="Z455">
        <v>-2.137006E-2</v>
      </c>
      <c r="AA455">
        <v>0.98920050000000004</v>
      </c>
      <c r="AB455">
        <v>29</v>
      </c>
      <c r="AC455">
        <v>0.51159999999998695</v>
      </c>
      <c r="AD455">
        <v>-0.2005604</v>
      </c>
      <c r="AE455">
        <v>-0.114800000000002</v>
      </c>
      <c r="AF455">
        <v>0.107289519831272</v>
      </c>
      <c r="AG455">
        <v>-0.2005604</v>
      </c>
      <c r="AH455">
        <v>0.44463593895866299</v>
      </c>
      <c r="AI455">
        <v>113.67658382016801</v>
      </c>
      <c r="AJ455">
        <v>76.433997529816395</v>
      </c>
      <c r="AK455">
        <v>0.49943631558731999</v>
      </c>
      <c r="AL455">
        <v>89.4548789975006</v>
      </c>
      <c r="AM455">
        <v>87.471488626618694</v>
      </c>
      <c r="AN455">
        <v>1.0000000230769599</v>
      </c>
    </row>
    <row r="456" spans="1:40" x14ac:dyDescent="0.25">
      <c r="A456" t="str">
        <f>"20190312160916258"</f>
        <v>20190312160916258</v>
      </c>
      <c r="B456" t="str">
        <f>"1552378156245227"</f>
        <v>1552378156245227</v>
      </c>
      <c r="C456" t="s">
        <v>40</v>
      </c>
      <c r="D456">
        <v>5.2452670000000001</v>
      </c>
      <c r="E456">
        <v>0.54069149999999999</v>
      </c>
      <c r="F456" t="s">
        <v>42</v>
      </c>
      <c r="G456">
        <v>-389.64080000000001</v>
      </c>
      <c r="H456">
        <v>0.91948039999999998</v>
      </c>
      <c r="I456">
        <v>367.94450000000001</v>
      </c>
      <c r="J456">
        <v>-390.12689999999998</v>
      </c>
      <c r="K456">
        <v>1.1096710000000001</v>
      </c>
      <c r="L456">
        <v>368.0539</v>
      </c>
      <c r="M456">
        <v>0.99978310000000004</v>
      </c>
      <c r="N456">
        <v>0</v>
      </c>
      <c r="O456">
        <v>1.5868630000000002E-2</v>
      </c>
      <c r="P456">
        <v>0.99960599999999999</v>
      </c>
      <c r="Q456">
        <v>-3.8889160000000001E-3</v>
      </c>
      <c r="R456">
        <v>-2.780146E-2</v>
      </c>
      <c r="S456">
        <v>2.9869379999999999</v>
      </c>
      <c r="T456">
        <v>-0.73634419999999901</v>
      </c>
      <c r="U456">
        <v>-0.40582279999999998</v>
      </c>
      <c r="V456">
        <v>4.3664960000000003E-2</v>
      </c>
      <c r="W456">
        <v>9.5769549999999998E-3</v>
      </c>
      <c r="X456">
        <v>0.99900029999999995</v>
      </c>
      <c r="Y456">
        <v>0.14558760000000001</v>
      </c>
      <c r="Z456">
        <v>-2.144182E-2</v>
      </c>
      <c r="AA456">
        <v>0.98911300000000002</v>
      </c>
      <c r="AB456">
        <v>29</v>
      </c>
      <c r="AC456">
        <v>0.48609999999996401</v>
      </c>
      <c r="AD456">
        <v>-0.19019059999999899</v>
      </c>
      <c r="AE456">
        <v>-0.109399999999993</v>
      </c>
      <c r="AF456">
        <v>0.10220856685127699</v>
      </c>
      <c r="AG456">
        <v>-0.19019059999999899</v>
      </c>
      <c r="AH456">
        <v>0.42271215202575002</v>
      </c>
      <c r="AI456">
        <v>113.62106099141999</v>
      </c>
      <c r="AJ456">
        <v>76.4072049348798</v>
      </c>
      <c r="AK456">
        <v>0.47466263697113598</v>
      </c>
      <c r="AL456">
        <v>89.451272494896301</v>
      </c>
      <c r="AM456">
        <v>87.497271474431599</v>
      </c>
      <c r="AN456">
        <v>0.99999997309948097</v>
      </c>
    </row>
    <row r="457" spans="1:40" x14ac:dyDescent="0.25">
      <c r="A457" t="str">
        <f>"20190312160916281"</f>
        <v>20190312160916281</v>
      </c>
      <c r="B457" t="str">
        <f>"1552378156275478"</f>
        <v>1552378156275478</v>
      </c>
      <c r="C457" t="s">
        <v>40</v>
      </c>
      <c r="D457">
        <v>5.2334170000000002</v>
      </c>
      <c r="E457">
        <v>0.54096849999999996</v>
      </c>
      <c r="F457" t="s">
        <v>42</v>
      </c>
      <c r="G457">
        <v>-389.38279999999997</v>
      </c>
      <c r="H457">
        <v>0.92620130000000001</v>
      </c>
      <c r="I457">
        <v>367.95280000000002</v>
      </c>
      <c r="J457">
        <v>-389.84780000000001</v>
      </c>
      <c r="K457">
        <v>1.1097549999999901</v>
      </c>
      <c r="L457">
        <v>368.0582</v>
      </c>
      <c r="M457">
        <v>0.99978460000000002</v>
      </c>
      <c r="N457">
        <v>0</v>
      </c>
      <c r="O457">
        <v>1.570937E-2</v>
      </c>
      <c r="P457">
        <v>0.99959969999999998</v>
      </c>
      <c r="Q457">
        <v>-3.9411560000000003E-3</v>
      </c>
      <c r="R457">
        <v>-2.8018129999999999E-2</v>
      </c>
      <c r="S457">
        <v>2.9870299999999999</v>
      </c>
      <c r="T457">
        <v>-0.73640469999999902</v>
      </c>
      <c r="U457">
        <v>-0.40563959999999999</v>
      </c>
      <c r="V457">
        <v>4.372268E-2</v>
      </c>
      <c r="W457">
        <v>9.6017480000000002E-3</v>
      </c>
      <c r="X457">
        <v>0.99899760000000004</v>
      </c>
      <c r="Y457">
        <v>0.1453769</v>
      </c>
      <c r="Z457">
        <v>-2.1378979999999999E-2</v>
      </c>
      <c r="AA457">
        <v>0.98914530000000001</v>
      </c>
      <c r="AB457">
        <v>29</v>
      </c>
      <c r="AC457">
        <v>0.465000000000031</v>
      </c>
      <c r="AD457">
        <v>-0.18355369999999899</v>
      </c>
      <c r="AE457">
        <v>-0.105399999999974</v>
      </c>
      <c r="AF457">
        <v>9.8146727135303397E-2</v>
      </c>
      <c r="AG457">
        <v>-0.18355369999999899</v>
      </c>
      <c r="AH457">
        <v>0.40348793401070399</v>
      </c>
      <c r="AI457">
        <v>113.84678456113799</v>
      </c>
      <c r="AJ457">
        <v>76.328556994976694</v>
      </c>
      <c r="AK457">
        <v>0.45401239379920799</v>
      </c>
      <c r="AL457">
        <v>89.449851929641696</v>
      </c>
      <c r="AM457">
        <v>87.4939606088234</v>
      </c>
      <c r="AN457">
        <v>1.00000003555839</v>
      </c>
    </row>
    <row r="458" spans="1:40" x14ac:dyDescent="0.25">
      <c r="A458" t="str">
        <f>"20190312160916303"</f>
        <v>20190312160916303</v>
      </c>
      <c r="B458" t="str">
        <f>"1552378156294999"</f>
        <v>1552378156294999</v>
      </c>
      <c r="C458" t="s">
        <v>40</v>
      </c>
      <c r="D458">
        <v>5.2219620000000004</v>
      </c>
      <c r="E458">
        <v>0.50600429999999996</v>
      </c>
      <c r="F458" t="s">
        <v>42</v>
      </c>
      <c r="G458">
        <v>-389.12560000000002</v>
      </c>
      <c r="H458">
        <v>0.93128359999999999</v>
      </c>
      <c r="I458">
        <v>367.959</v>
      </c>
      <c r="J458">
        <v>-389.55239999999998</v>
      </c>
      <c r="K458">
        <v>1.1098319999999999</v>
      </c>
      <c r="L458">
        <v>368.06270000000001</v>
      </c>
      <c r="M458">
        <v>0.99978630000000002</v>
      </c>
      <c r="N458">
        <v>0</v>
      </c>
      <c r="O458">
        <v>1.5540490000000001E-2</v>
      </c>
      <c r="P458">
        <v>0.99960329999999997</v>
      </c>
      <c r="Q458">
        <v>-3.8326409999999999E-3</v>
      </c>
      <c r="R458">
        <v>-2.790697E-2</v>
      </c>
      <c r="S458">
        <v>2.986847</v>
      </c>
      <c r="T458">
        <v>-0.73825790000000002</v>
      </c>
      <c r="U458">
        <v>-0.40841670000000002</v>
      </c>
      <c r="V458">
        <v>4.3442710000000002E-2</v>
      </c>
      <c r="W458">
        <v>9.781507E-3</v>
      </c>
      <c r="X458">
        <v>0.99900809999999995</v>
      </c>
      <c r="Y458">
        <v>0.14608170000000001</v>
      </c>
      <c r="Z458">
        <v>-2.147568E-2</v>
      </c>
      <c r="AA458">
        <v>0.98903940000000001</v>
      </c>
      <c r="AB458">
        <v>29</v>
      </c>
      <c r="AC458">
        <v>0.42679999999995699</v>
      </c>
      <c r="AD458">
        <v>-0.1785484</v>
      </c>
      <c r="AE458">
        <v>-0.103700000000003</v>
      </c>
      <c r="AF458">
        <v>9.4675273707967494E-2</v>
      </c>
      <c r="AG458">
        <v>-0.1785484</v>
      </c>
      <c r="AH458">
        <v>0.364844602033355</v>
      </c>
      <c r="AI458">
        <v>115.346596288252</v>
      </c>
      <c r="AJ458">
        <v>75.452900615521699</v>
      </c>
      <c r="AK458">
        <v>0.41707855642206798</v>
      </c>
      <c r="AL458">
        <v>89.439552030954204</v>
      </c>
      <c r="AM458">
        <v>87.5100134389521</v>
      </c>
      <c r="AN458">
        <v>1.00000006539847</v>
      </c>
    </row>
    <row r="459" spans="1:40" x14ac:dyDescent="0.25">
      <c r="A459" t="str">
        <f>"20190312160916325"</f>
        <v>20190312160916325</v>
      </c>
      <c r="B459" t="str">
        <f>"1552378156315498"</f>
        <v>1552378156315498</v>
      </c>
      <c r="C459" t="s">
        <v>40</v>
      </c>
      <c r="D459">
        <v>5.1664240000000001</v>
      </c>
      <c r="E459">
        <v>0.48643839999999999</v>
      </c>
      <c r="F459" t="s">
        <v>42</v>
      </c>
      <c r="G459">
        <v>-388.83569999999997</v>
      </c>
      <c r="H459">
        <v>1.006848</v>
      </c>
      <c r="I459">
        <v>368.03129999999999</v>
      </c>
      <c r="J459">
        <v>-389.27719999999999</v>
      </c>
      <c r="K459">
        <v>1.10989</v>
      </c>
      <c r="L459">
        <v>368.06670000000003</v>
      </c>
      <c r="M459">
        <v>0.99978789999999995</v>
      </c>
      <c r="N459">
        <v>0</v>
      </c>
      <c r="O459">
        <v>1.5383330000000001E-2</v>
      </c>
      <c r="P459">
        <v>0.99960280000000001</v>
      </c>
      <c r="Q459">
        <v>-3.8203239999999999E-3</v>
      </c>
      <c r="R459">
        <v>-2.792265E-2</v>
      </c>
      <c r="S459">
        <v>2.9958800000000001</v>
      </c>
      <c r="T459">
        <v>-0.43063960000000001</v>
      </c>
      <c r="U459">
        <v>-0.13046259999999901</v>
      </c>
      <c r="V459">
        <v>4.3301569999999998E-2</v>
      </c>
      <c r="W459">
        <v>9.8515979999999996E-3</v>
      </c>
      <c r="X459">
        <v>0.9990135</v>
      </c>
      <c r="Y459">
        <v>5.8117009999999997E-2</v>
      </c>
      <c r="Z459">
        <v>-6.3529420000000003E-3</v>
      </c>
      <c r="AA459">
        <v>0.9982896</v>
      </c>
      <c r="AB459">
        <v>28</v>
      </c>
      <c r="AC459">
        <v>0.44150000000001899</v>
      </c>
      <c r="AD459">
        <v>-0.10304199999999999</v>
      </c>
      <c r="AE459">
        <v>-3.54000000000382E-2</v>
      </c>
      <c r="AF459">
        <v>4.0022062640598703E-2</v>
      </c>
      <c r="AG459">
        <v>-0.10304199999999999</v>
      </c>
      <c r="AH459">
        <v>0.418265245519575</v>
      </c>
      <c r="AI459">
        <v>103.77903077526101</v>
      </c>
      <c r="AJ459">
        <v>84.534245582762495</v>
      </c>
      <c r="AK459">
        <v>0.43262597572448003</v>
      </c>
      <c r="AL459">
        <v>89.435535897302998</v>
      </c>
      <c r="AM459">
        <v>87.518106364266899</v>
      </c>
      <c r="AN459">
        <v>1.00000002656493</v>
      </c>
    </row>
    <row r="460" spans="1:40" x14ac:dyDescent="0.25">
      <c r="A460" t="str">
        <f>"20190312160916346"</f>
        <v>20190312160916346</v>
      </c>
      <c r="B460" t="str">
        <f>"1552378156335015"</f>
        <v>1552378156335015</v>
      </c>
      <c r="C460" t="s">
        <v>40</v>
      </c>
      <c r="D460">
        <v>5.1776200000000001</v>
      </c>
      <c r="E460">
        <v>0.48600300000000002</v>
      </c>
      <c r="F460" t="s">
        <v>41</v>
      </c>
      <c r="G460">
        <v>-349.19740000000002</v>
      </c>
      <c r="H460" s="1">
        <v>-6.1702430000000004E-7</v>
      </c>
      <c r="I460">
        <v>368.39640000000003</v>
      </c>
      <c r="J460">
        <v>-389.01119999999997</v>
      </c>
      <c r="K460">
        <v>1.109936</v>
      </c>
      <c r="L460">
        <v>368.07069999999999</v>
      </c>
      <c r="M460">
        <v>0.9997895</v>
      </c>
      <c r="N460">
        <v>0</v>
      </c>
      <c r="O460">
        <v>1.5231420000000001E-2</v>
      </c>
      <c r="P460">
        <v>0.99960830000000001</v>
      </c>
      <c r="Q460">
        <v>-3.4230189999999998E-3</v>
      </c>
      <c r="R460">
        <v>-2.7780780000000001E-2</v>
      </c>
      <c r="S460">
        <v>3.0015869999999998</v>
      </c>
      <c r="T460">
        <v>-8.3120109999999997E-2</v>
      </c>
      <c r="U460">
        <v>2.4688720000000001E-2</v>
      </c>
      <c r="V460">
        <v>4.3007980000000001E-2</v>
      </c>
      <c r="W460">
        <v>1.0298369999999999E-2</v>
      </c>
      <c r="X460">
        <v>0.99902159999999995</v>
      </c>
      <c r="Y460">
        <v>6.9998289999999999E-3</v>
      </c>
      <c r="Z460">
        <v>-5.1862190000000002E-4</v>
      </c>
      <c r="AA460">
        <v>0.99997539999999996</v>
      </c>
      <c r="AB460">
        <v>28</v>
      </c>
      <c r="AC460">
        <v>39.813799999999901</v>
      </c>
      <c r="AD460">
        <v>-1.1099366170242999</v>
      </c>
      <c r="AE460">
        <v>0.32570000000004001</v>
      </c>
      <c r="AF460">
        <v>0.28059773799763699</v>
      </c>
      <c r="AG460">
        <v>-1.1099366170242999</v>
      </c>
      <c r="AH460">
        <v>39.7832246870231</v>
      </c>
      <c r="AI460">
        <v>91.598075844531607</v>
      </c>
      <c r="AJ460">
        <v>89.595889984624307</v>
      </c>
      <c r="AK460">
        <v>39.799694231018201</v>
      </c>
      <c r="AL460">
        <v>89.409936403323101</v>
      </c>
      <c r="AM460">
        <v>87.534933043346399</v>
      </c>
      <c r="AN460">
        <v>0.99999995001744701</v>
      </c>
    </row>
    <row r="461" spans="1:40" x14ac:dyDescent="0.25">
      <c r="A461" t="str">
        <f>"20190312160916391"</f>
        <v>20190312160916391</v>
      </c>
      <c r="B461" t="str">
        <f>"1552378156385768"</f>
        <v>1552378156385768</v>
      </c>
      <c r="C461" t="s">
        <v>40</v>
      </c>
      <c r="D461">
        <v>5.1687690000000002</v>
      </c>
      <c r="E461">
        <v>0.48655019999999999</v>
      </c>
      <c r="F461" t="s">
        <v>41</v>
      </c>
      <c r="G461">
        <v>-329.22269999999997</v>
      </c>
      <c r="H461" s="1">
        <v>-5.1212519999999997E-7</v>
      </c>
      <c r="I461">
        <v>368.63350000000003</v>
      </c>
      <c r="J461">
        <v>-388.44349999999997</v>
      </c>
      <c r="K461">
        <v>1.1100080000000001</v>
      </c>
      <c r="L461">
        <v>368.07889999999998</v>
      </c>
      <c r="M461">
        <v>0.99979320000000005</v>
      </c>
      <c r="N461">
        <v>0</v>
      </c>
      <c r="O461">
        <v>1.490729E-2</v>
      </c>
      <c r="P461">
        <v>0.99959629999999999</v>
      </c>
      <c r="Q461">
        <v>-2.9966620000000002E-3</v>
      </c>
      <c r="R461">
        <v>-2.8255479999999999E-2</v>
      </c>
      <c r="S461">
        <v>3.0017399999999999</v>
      </c>
      <c r="T461">
        <v>-5.5725339999999998E-2</v>
      </c>
      <c r="U461">
        <v>2.8259280000000001E-2</v>
      </c>
      <c r="V461">
        <v>4.3158670000000003E-2</v>
      </c>
      <c r="W461">
        <v>1.080951E-2</v>
      </c>
      <c r="X461">
        <v>0.9990097</v>
      </c>
      <c r="Y461">
        <v>5.4917069999999898E-3</v>
      </c>
      <c r="Z461">
        <v>-3.2769759999999999E-4</v>
      </c>
      <c r="AA461">
        <v>0.99998489999999995</v>
      </c>
      <c r="AB461">
        <v>28</v>
      </c>
      <c r="AC461">
        <v>59.220799999999997</v>
      </c>
      <c r="AD461">
        <v>-1.1100085121251999</v>
      </c>
      <c r="AE461">
        <v>0.55460000000005005</v>
      </c>
      <c r="AF461">
        <v>0.32825243385318398</v>
      </c>
      <c r="AG461">
        <v>-1.1100085121251999</v>
      </c>
      <c r="AH461">
        <v>59.201689538656801</v>
      </c>
      <c r="AI461">
        <v>91.074131078279294</v>
      </c>
      <c r="AJ461">
        <v>89.682318418758399</v>
      </c>
      <c r="AK461">
        <v>59.213004591802502</v>
      </c>
      <c r="AL461">
        <v>89.380648604693306</v>
      </c>
      <c r="AM461">
        <v>87.526277300446594</v>
      </c>
      <c r="AN461">
        <v>0.99999994849834795</v>
      </c>
    </row>
    <row r="462" spans="1:40" x14ac:dyDescent="0.25">
      <c r="A462" t="str">
        <f>"20190312160916414"</f>
        <v>20190312160916414</v>
      </c>
      <c r="B462" t="str">
        <f>"1552378156405291"</f>
        <v>1552378156405291</v>
      </c>
      <c r="C462" t="s">
        <v>40</v>
      </c>
      <c r="D462">
        <v>5.2142650000000001</v>
      </c>
      <c r="E462">
        <v>0.48679329999999998</v>
      </c>
      <c r="F462" t="s">
        <v>41</v>
      </c>
      <c r="G462">
        <v>-333.75299999999999</v>
      </c>
      <c r="H462" s="1">
        <v>-2.8624139999999999E-6</v>
      </c>
      <c r="I462">
        <v>368.48809999999997</v>
      </c>
      <c r="J462">
        <v>-388.15309999999999</v>
      </c>
      <c r="K462">
        <v>1.110033</v>
      </c>
      <c r="L462">
        <v>368.0831</v>
      </c>
      <c r="M462">
        <v>0.99979510000000005</v>
      </c>
      <c r="N462">
        <v>0</v>
      </c>
      <c r="O462">
        <v>1.474135E-2</v>
      </c>
      <c r="P462">
        <v>0.99959710000000002</v>
      </c>
      <c r="Q462">
        <v>-3.3599530000000002E-3</v>
      </c>
      <c r="R462">
        <v>-2.8186030000000001E-2</v>
      </c>
      <c r="S462">
        <v>3.0016780000000001</v>
      </c>
      <c r="T462">
        <v>-6.0922619999999997E-2</v>
      </c>
      <c r="U462">
        <v>2.2460939999999999E-2</v>
      </c>
      <c r="V462">
        <v>4.2923469999999998E-2</v>
      </c>
      <c r="W462">
        <v>1.048195E-2</v>
      </c>
      <c r="X462">
        <v>0.99902340000000001</v>
      </c>
      <c r="Y462">
        <v>7.2560539999999996E-3</v>
      </c>
      <c r="Z462">
        <v>-3.7280119999999998E-4</v>
      </c>
      <c r="AA462">
        <v>0.99997360000000002</v>
      </c>
      <c r="AB462">
        <v>28</v>
      </c>
      <c r="AC462">
        <v>54.400099999999902</v>
      </c>
      <c r="AD462">
        <v>-1.1100358624140001</v>
      </c>
      <c r="AE462">
        <v>0.40499999999997199</v>
      </c>
      <c r="AF462">
        <v>0.3968868661378</v>
      </c>
      <c r="AG462">
        <v>-1.1100358624140001</v>
      </c>
      <c r="AH462">
        <v>54.377518928003902</v>
      </c>
      <c r="AI462">
        <v>91.169414233798506</v>
      </c>
      <c r="AJ462">
        <v>89.581820961339403</v>
      </c>
      <c r="AK462">
        <v>54.3902956745575</v>
      </c>
      <c r="AL462">
        <v>89.399417520601205</v>
      </c>
      <c r="AM462">
        <v>87.539775330632096</v>
      </c>
      <c r="AN462">
        <v>1.0000000246501</v>
      </c>
    </row>
    <row r="463" spans="1:40" x14ac:dyDescent="0.25">
      <c r="A463" t="str">
        <f>"20190312160916436"</f>
        <v>20190312160916436</v>
      </c>
      <c r="B463" t="str">
        <f>"1552378156425784"</f>
        <v>1552378156425784</v>
      </c>
      <c r="C463" t="s">
        <v>40</v>
      </c>
      <c r="D463">
        <v>5.190035</v>
      </c>
      <c r="E463">
        <v>0.486983</v>
      </c>
      <c r="F463" t="s">
        <v>41</v>
      </c>
      <c r="G463">
        <v>-339.23840000000001</v>
      </c>
      <c r="H463" s="1">
        <v>-5.6260590000000004E-7</v>
      </c>
      <c r="I463">
        <v>368.4237</v>
      </c>
      <c r="J463">
        <v>-387.86739999999998</v>
      </c>
      <c r="K463">
        <v>1.110058</v>
      </c>
      <c r="L463">
        <v>368.08710000000002</v>
      </c>
      <c r="M463">
        <v>0.9997973</v>
      </c>
      <c r="N463">
        <v>0</v>
      </c>
      <c r="O463">
        <v>1.4578000000000001E-2</v>
      </c>
      <c r="P463">
        <v>0.99960150000000003</v>
      </c>
      <c r="Q463">
        <v>-3.9074749999999997E-3</v>
      </c>
      <c r="R463">
        <v>-2.7963370000000001E-2</v>
      </c>
      <c r="S463">
        <v>3.0015559999999999</v>
      </c>
      <c r="T463">
        <v>-6.8114999999999995E-2</v>
      </c>
      <c r="U463">
        <v>2.0904539999999999E-2</v>
      </c>
      <c r="V463">
        <v>4.253726E-2</v>
      </c>
      <c r="W463">
        <v>9.9655569999999999E-3</v>
      </c>
      <c r="X463">
        <v>0.99904519999999997</v>
      </c>
      <c r="Y463">
        <v>7.60968699999999E-3</v>
      </c>
      <c r="Z463">
        <v>-4.1712630000000002E-4</v>
      </c>
      <c r="AA463">
        <v>0.99997100000000005</v>
      </c>
      <c r="AB463">
        <v>28</v>
      </c>
      <c r="AC463">
        <v>48.628999999999898</v>
      </c>
      <c r="AD463">
        <v>-1.1100585626058901</v>
      </c>
      <c r="AE463">
        <v>0.33659999999997497</v>
      </c>
      <c r="AF463">
        <v>0.372223753632901</v>
      </c>
      <c r="AG463">
        <v>-1.1100585626058901</v>
      </c>
      <c r="AH463">
        <v>48.6034140245252</v>
      </c>
      <c r="AI463">
        <v>91.308318614166296</v>
      </c>
      <c r="AJ463">
        <v>89.561215325834098</v>
      </c>
      <c r="AK463">
        <v>48.6175136691974</v>
      </c>
      <c r="AL463">
        <v>89.429006204138304</v>
      </c>
      <c r="AM463">
        <v>87.561937854263206</v>
      </c>
      <c r="AN463">
        <v>1.00000002122883</v>
      </c>
    </row>
    <row r="464" spans="1:40" x14ac:dyDescent="0.25">
      <c r="A464" t="str">
        <f>"20190312160916457"</f>
        <v>20190312160916457</v>
      </c>
      <c r="B464" t="str">
        <f>"1552378156445307"</f>
        <v>1552378156445307</v>
      </c>
      <c r="C464" t="s">
        <v>40</v>
      </c>
      <c r="D464">
        <v>5.2086329999999998</v>
      </c>
      <c r="E464">
        <v>0.48695179999999999</v>
      </c>
      <c r="F464" t="s">
        <v>41</v>
      </c>
      <c r="G464">
        <v>-341.7373</v>
      </c>
      <c r="H464" s="1">
        <v>-4.1024389999999999E-6</v>
      </c>
      <c r="I464">
        <v>368.3981</v>
      </c>
      <c r="J464">
        <v>-387.59629999999999</v>
      </c>
      <c r="K464">
        <v>1.1100730000000001</v>
      </c>
      <c r="L464">
        <v>368.09089999999998</v>
      </c>
      <c r="M464">
        <v>0.99979910000000005</v>
      </c>
      <c r="N464">
        <v>0</v>
      </c>
      <c r="O464">
        <v>1.442304E-2</v>
      </c>
      <c r="P464">
        <v>0.99960119999999997</v>
      </c>
      <c r="Q464">
        <v>-4.0118439999999997E-3</v>
      </c>
      <c r="R464">
        <v>-2.7956229999999999E-2</v>
      </c>
      <c r="S464">
        <v>3.0014949999999998</v>
      </c>
      <c r="T464">
        <v>-7.2227120000000006E-2</v>
      </c>
      <c r="U464">
        <v>2.0233149999999998E-2</v>
      </c>
      <c r="V464">
        <v>4.2375339999999997E-2</v>
      </c>
      <c r="W464">
        <v>9.8859299999999994E-3</v>
      </c>
      <c r="X464">
        <v>0.99905279999999996</v>
      </c>
      <c r="Y464">
        <v>7.6775469999999998E-3</v>
      </c>
      <c r="Z464">
        <v>-4.3939899999999999E-4</v>
      </c>
      <c r="AA464">
        <v>0.99997040000000004</v>
      </c>
      <c r="AB464">
        <v>28</v>
      </c>
      <c r="AC464">
        <v>45.858999999999902</v>
      </c>
      <c r="AD464">
        <v>-1.1100771024389999</v>
      </c>
      <c r="AE464">
        <v>0.30720000000002301</v>
      </c>
      <c r="AF464">
        <v>0.35411474932182002</v>
      </c>
      <c r="AG464">
        <v>-1.1100771024389999</v>
      </c>
      <c r="AH464">
        <v>45.831806396652603</v>
      </c>
      <c r="AI464">
        <v>91.387429553895899</v>
      </c>
      <c r="AJ464">
        <v>89.557318847516399</v>
      </c>
      <c r="AK464">
        <v>45.846615425888203</v>
      </c>
      <c r="AL464">
        <v>89.433568678987797</v>
      </c>
      <c r="AM464">
        <v>87.571225767025894</v>
      </c>
      <c r="AN464">
        <v>0.99999994911995804</v>
      </c>
    </row>
    <row r="465" spans="1:40" x14ac:dyDescent="0.25">
      <c r="A465" t="str">
        <f>"20190312160916482"</f>
        <v>20190312160916482</v>
      </c>
      <c r="B465" t="str">
        <f>"1552378156475559"</f>
        <v>1552378156475559</v>
      </c>
      <c r="C465" t="s">
        <v>40</v>
      </c>
      <c r="D465">
        <v>5.2062730000000004</v>
      </c>
      <c r="E465">
        <v>0.48676950000000002</v>
      </c>
      <c r="F465" t="s">
        <v>41</v>
      </c>
      <c r="G465">
        <v>-339.3689</v>
      </c>
      <c r="H465" s="1">
        <v>-5.1975019999999996E-7</v>
      </c>
      <c r="I465">
        <v>368.4178</v>
      </c>
      <c r="J465">
        <v>-387.30149999999998</v>
      </c>
      <c r="K465">
        <v>1.110087</v>
      </c>
      <c r="L465">
        <v>368.0949</v>
      </c>
      <c r="M465">
        <v>0.9998013</v>
      </c>
      <c r="N465">
        <v>0</v>
      </c>
      <c r="O465">
        <v>1.4254330000000001E-2</v>
      </c>
      <c r="P465">
        <v>0.99960510000000002</v>
      </c>
      <c r="Q465">
        <v>-3.6170989999999999E-3</v>
      </c>
      <c r="R465">
        <v>-2.786626E-2</v>
      </c>
      <c r="S465">
        <v>3.0014949999999998</v>
      </c>
      <c r="T465">
        <v>-6.9086789999999995E-2</v>
      </c>
      <c r="U465">
        <v>2.035522E-2</v>
      </c>
      <c r="V465">
        <v>4.2117160000000001E-2</v>
      </c>
      <c r="W465">
        <v>1.030409E-2</v>
      </c>
      <c r="X465">
        <v>0.99905960000000005</v>
      </c>
      <c r="Y465">
        <v>7.468784E-3</v>
      </c>
      <c r="Z465">
        <v>-4.1401470000000001E-4</v>
      </c>
      <c r="AA465">
        <v>0.99997199999999997</v>
      </c>
      <c r="AB465">
        <v>28</v>
      </c>
      <c r="AC465">
        <v>47.932599999999901</v>
      </c>
      <c r="AD465">
        <v>-1.11008751975019</v>
      </c>
      <c r="AE465">
        <v>0.32290000000000402</v>
      </c>
      <c r="AF465">
        <v>0.360253040029614</v>
      </c>
      <c r="AG465">
        <v>-1.11008751975019</v>
      </c>
      <c r="AH465">
        <v>47.906638555104898</v>
      </c>
      <c r="AI465">
        <v>91.327376630799193</v>
      </c>
      <c r="AJ465">
        <v>89.569149698005603</v>
      </c>
      <c r="AK465">
        <v>47.9208523943785</v>
      </c>
      <c r="AL465">
        <v>89.409608717159401</v>
      </c>
      <c r="AM465">
        <v>87.586022398353805</v>
      </c>
      <c r="AN465">
        <v>1.0000000568946701</v>
      </c>
    </row>
    <row r="466" spans="1:40" x14ac:dyDescent="0.25">
      <c r="A466" t="str">
        <f>"20190312160916503"</f>
        <v>20190312160916503</v>
      </c>
      <c r="B466" t="str">
        <f>"1552378156495079"</f>
        <v>1552378156495079</v>
      </c>
      <c r="C466" t="s">
        <v>40</v>
      </c>
      <c r="D466">
        <v>5.4253689999999999</v>
      </c>
      <c r="E466">
        <v>0.48681069999999999</v>
      </c>
      <c r="F466" t="s">
        <v>41</v>
      </c>
      <c r="G466">
        <v>-332.22809999999998</v>
      </c>
      <c r="H466" s="1">
        <v>-3.5145169999999998E-6</v>
      </c>
      <c r="I466">
        <v>368.49970000000002</v>
      </c>
      <c r="J466">
        <v>-387.02429999999998</v>
      </c>
      <c r="K466">
        <v>1.110101</v>
      </c>
      <c r="L466">
        <v>368.09870000000001</v>
      </c>
      <c r="M466">
        <v>0.9998032</v>
      </c>
      <c r="N466">
        <v>0</v>
      </c>
      <c r="O466">
        <v>1.40959E-2</v>
      </c>
      <c r="P466">
        <v>0.99960539999999998</v>
      </c>
      <c r="Q466">
        <v>-3.206263E-3</v>
      </c>
      <c r="R466">
        <v>-2.7912280000000001E-2</v>
      </c>
      <c r="S466">
        <v>3.0015559999999999</v>
      </c>
      <c r="T466">
        <v>-6.0500980000000003E-2</v>
      </c>
      <c r="U466">
        <v>2.2064210000000001E-2</v>
      </c>
      <c r="V466">
        <v>4.200475E-2</v>
      </c>
      <c r="W466">
        <v>1.0734179999999999E-2</v>
      </c>
      <c r="X466">
        <v>0.99905969999999999</v>
      </c>
      <c r="Y466">
        <v>6.7426630000000003E-3</v>
      </c>
      <c r="Z466">
        <v>-3.5205529999999998E-4</v>
      </c>
      <c r="AA466">
        <v>0.99997720000000001</v>
      </c>
      <c r="AB466">
        <v>28</v>
      </c>
      <c r="AC466">
        <v>54.796199999999999</v>
      </c>
      <c r="AD466">
        <v>-1.1101045145170001</v>
      </c>
      <c r="AE466">
        <v>0.40100000000001002</v>
      </c>
      <c r="AF466">
        <v>0.37136446565061598</v>
      </c>
      <c r="AG466">
        <v>-1.1101045145170001</v>
      </c>
      <c r="AH466">
        <v>54.773928800220503</v>
      </c>
      <c r="AI466">
        <v>91.161029294050195</v>
      </c>
      <c r="AJ466">
        <v>89.611543466204296</v>
      </c>
      <c r="AK466">
        <v>54.786435545772797</v>
      </c>
      <c r="AL466">
        <v>89.384964949122306</v>
      </c>
      <c r="AM466">
        <v>87.592457913836796</v>
      </c>
      <c r="AN466">
        <v>0.999999952903461</v>
      </c>
    </row>
    <row r="467" spans="1:40" x14ac:dyDescent="0.25">
      <c r="A467" t="str">
        <f>"20190312160916527"</f>
        <v>20190312160916527</v>
      </c>
      <c r="B467" t="str">
        <f>"1552378156515575"</f>
        <v>1552378156515575</v>
      </c>
      <c r="C467" t="s">
        <v>40</v>
      </c>
      <c r="D467">
        <v>5.2427359999999998</v>
      </c>
      <c r="E467">
        <v>0.48689490000000002</v>
      </c>
      <c r="F467" t="s">
        <v>41</v>
      </c>
      <c r="G467">
        <v>-328.3193</v>
      </c>
      <c r="H467" s="1">
        <v>-8.9811699999999997E-7</v>
      </c>
      <c r="I467">
        <v>368.51819999999998</v>
      </c>
      <c r="J467">
        <v>-386.738</v>
      </c>
      <c r="K467">
        <v>1.1101099999999999</v>
      </c>
      <c r="L467">
        <v>368.10250000000002</v>
      </c>
      <c r="M467">
        <v>0.99980519999999995</v>
      </c>
      <c r="N467">
        <v>0</v>
      </c>
      <c r="O467">
        <v>1.393206E-2</v>
      </c>
      <c r="P467">
        <v>0.9995927</v>
      </c>
      <c r="Q467">
        <v>-3.392291E-3</v>
      </c>
      <c r="R467">
        <v>-2.834068E-2</v>
      </c>
      <c r="S467">
        <v>3.001617</v>
      </c>
      <c r="T467">
        <v>-5.6760070000000003E-2</v>
      </c>
      <c r="U467">
        <v>2.1453860000000002E-2</v>
      </c>
      <c r="V467">
        <v>4.2269170000000002E-2</v>
      </c>
      <c r="W467">
        <v>1.056348E-2</v>
      </c>
      <c r="X467">
        <v>0.99905040000000001</v>
      </c>
      <c r="Y467">
        <v>6.7828039999999999E-3</v>
      </c>
      <c r="Z467">
        <v>-3.2756629999999999E-4</v>
      </c>
      <c r="AA467">
        <v>0.99997689999999995</v>
      </c>
      <c r="AB467">
        <v>28</v>
      </c>
      <c r="AC467">
        <v>58.418700000000001</v>
      </c>
      <c r="AD467">
        <v>-1.110110898117</v>
      </c>
      <c r="AE467">
        <v>0.41569999999995799</v>
      </c>
      <c r="AF467">
        <v>0.398168968819753</v>
      </c>
      <c r="AG467">
        <v>-1.110110898117</v>
      </c>
      <c r="AH467">
        <v>58.397734712360098</v>
      </c>
      <c r="AI467">
        <v>91.089006824897197</v>
      </c>
      <c r="AJ467">
        <v>89.6093504645237</v>
      </c>
      <c r="AK467">
        <v>58.409642220005402</v>
      </c>
      <c r="AL467">
        <v>89.394745913647398</v>
      </c>
      <c r="AM467">
        <v>87.577297906916698</v>
      </c>
      <c r="AN467">
        <v>0.99999998579117899</v>
      </c>
    </row>
    <row r="468" spans="1:40" x14ac:dyDescent="0.25">
      <c r="A468" t="str">
        <f>"20190312160916547"</f>
        <v>20190312160916547</v>
      </c>
      <c r="B468" t="str">
        <f>"1552378156535097"</f>
        <v>1552378156535097</v>
      </c>
      <c r="C468" t="s">
        <v>40</v>
      </c>
      <c r="D468">
        <v>5.1893469999999997</v>
      </c>
      <c r="E468">
        <v>0.48696349999999999</v>
      </c>
      <c r="F468" t="s">
        <v>41</v>
      </c>
      <c r="G468">
        <v>-328.08580000000001</v>
      </c>
      <c r="H468" s="1">
        <v>-1.0051849999999999E-6</v>
      </c>
      <c r="I468">
        <v>368.4794</v>
      </c>
      <c r="J468">
        <v>-386.47179999999997</v>
      </c>
      <c r="K468">
        <v>1.1101259999999999</v>
      </c>
      <c r="L468">
        <v>368.10610000000003</v>
      </c>
      <c r="M468">
        <v>0.99980720000000001</v>
      </c>
      <c r="N468">
        <v>0</v>
      </c>
      <c r="O468">
        <v>1.37798E-2</v>
      </c>
      <c r="P468">
        <v>0.99959140000000002</v>
      </c>
      <c r="Q468">
        <v>-3.4930199999999999E-3</v>
      </c>
      <c r="R468">
        <v>-2.8368620000000001E-2</v>
      </c>
      <c r="S468">
        <v>3.0015869999999998</v>
      </c>
      <c r="T468">
        <v>-5.6811090000000002E-2</v>
      </c>
      <c r="U468">
        <v>1.928711E-2</v>
      </c>
      <c r="V468">
        <v>4.2145189999999999E-2</v>
      </c>
      <c r="W468">
        <v>1.047622E-2</v>
      </c>
      <c r="X468">
        <v>0.99905659999999996</v>
      </c>
      <c r="Y468">
        <v>7.3521890000000003E-3</v>
      </c>
      <c r="Z468">
        <v>-3.3037160000000003E-4</v>
      </c>
      <c r="AA468">
        <v>0.99997290000000005</v>
      </c>
      <c r="AB468">
        <v>28</v>
      </c>
      <c r="AC468">
        <v>58.385999999999903</v>
      </c>
      <c r="AD468">
        <v>-1.1101270051849901</v>
      </c>
      <c r="AE468">
        <v>0.37329999999997199</v>
      </c>
      <c r="AF468">
        <v>0.431205699990106</v>
      </c>
      <c r="AG468">
        <v>-1.1101270051849901</v>
      </c>
      <c r="AH468">
        <v>58.3645010471175</v>
      </c>
      <c r="AI468">
        <v>91.089638169222496</v>
      </c>
      <c r="AJ468">
        <v>89.576697877060198</v>
      </c>
      <c r="AK468">
        <v>58.376650321873797</v>
      </c>
      <c r="AL468">
        <v>89.399745846117</v>
      </c>
      <c r="AM468">
        <v>87.584410494643507</v>
      </c>
      <c r="AN468">
        <v>1.0000000291145901</v>
      </c>
    </row>
    <row r="469" spans="1:40" x14ac:dyDescent="0.25">
      <c r="A469" t="str">
        <f>"20190312160916570"</f>
        <v>20190312160916570</v>
      </c>
      <c r="B469" t="str">
        <f>"1552378156565352"</f>
        <v>1552378156565352</v>
      </c>
      <c r="C469" t="s">
        <v>40</v>
      </c>
      <c r="D469">
        <v>5.2120129999999998</v>
      </c>
      <c r="E469">
        <v>0.48715429999999998</v>
      </c>
      <c r="F469" t="s">
        <v>41</v>
      </c>
      <c r="G469">
        <v>-330.78710000000001</v>
      </c>
      <c r="H469" s="1">
        <v>-4.1395690000000003E-6</v>
      </c>
      <c r="I469">
        <v>368.46100000000001</v>
      </c>
      <c r="J469">
        <v>-386.19850000000002</v>
      </c>
      <c r="K469">
        <v>1.1101299999999901</v>
      </c>
      <c r="L469">
        <v>368.10969999999998</v>
      </c>
      <c r="M469">
        <v>0.99980919999999895</v>
      </c>
      <c r="N469">
        <v>0</v>
      </c>
      <c r="O469">
        <v>1.362351E-2</v>
      </c>
      <c r="P469">
        <v>0.99959469999999995</v>
      </c>
      <c r="Q469">
        <v>-3.1059529999999998E-3</v>
      </c>
      <c r="R469">
        <v>-2.830589E-2</v>
      </c>
      <c r="S469">
        <v>3.0015559999999999</v>
      </c>
      <c r="T469">
        <v>-5.9839009999999998E-2</v>
      </c>
      <c r="U469">
        <v>1.9134519999999999E-2</v>
      </c>
      <c r="V469">
        <v>4.1926199999999997E-2</v>
      </c>
      <c r="W469">
        <v>1.087436E-2</v>
      </c>
      <c r="X469">
        <v>0.99906150000000005</v>
      </c>
      <c r="Y469">
        <v>7.2462759999999899E-3</v>
      </c>
      <c r="Z469">
        <v>-3.4380879999999997E-4</v>
      </c>
      <c r="AA469">
        <v>0.99997369999999997</v>
      </c>
      <c r="AB469">
        <v>28</v>
      </c>
      <c r="AC469">
        <v>55.4114</v>
      </c>
      <c r="AD469">
        <v>-1.1101341395690001</v>
      </c>
      <c r="AE469">
        <v>0.35130000000003703</v>
      </c>
      <c r="AF469">
        <v>0.40354238147399901</v>
      </c>
      <c r="AG469">
        <v>-1.1101341395690001</v>
      </c>
      <c r="AH469">
        <v>55.388812071540002</v>
      </c>
      <c r="AI469">
        <v>91.148170474362999</v>
      </c>
      <c r="AJ469">
        <v>89.582571545301306</v>
      </c>
      <c r="AK469">
        <v>55.401405640631999</v>
      </c>
      <c r="AL469">
        <v>89.376932767802003</v>
      </c>
      <c r="AM469">
        <v>87.596959123282701</v>
      </c>
      <c r="AN469">
        <v>0.99999996936704905</v>
      </c>
    </row>
    <row r="470" spans="1:40" x14ac:dyDescent="0.25">
      <c r="A470" t="str">
        <f>"20190312160916592"</f>
        <v>20190312160916592</v>
      </c>
      <c r="B470" t="str">
        <f>"1552378156585847"</f>
        <v>1552378156585847</v>
      </c>
      <c r="C470" t="s">
        <v>40</v>
      </c>
      <c r="D470">
        <v>5.1378459999999997</v>
      </c>
      <c r="E470">
        <v>0.48703590000000002</v>
      </c>
      <c r="F470" t="s">
        <v>41</v>
      </c>
      <c r="G470">
        <v>-330.55860000000001</v>
      </c>
      <c r="H470" s="1">
        <v>-4.2415150000000002E-6</v>
      </c>
      <c r="I470">
        <v>368.43889999999999</v>
      </c>
      <c r="J470">
        <v>-385.9128</v>
      </c>
      <c r="K470">
        <v>1.110144</v>
      </c>
      <c r="L470">
        <v>368.11340000000001</v>
      </c>
      <c r="M470">
        <v>0.99981120000000001</v>
      </c>
      <c r="N470">
        <v>0</v>
      </c>
      <c r="O470">
        <v>1.346001E-2</v>
      </c>
      <c r="P470">
        <v>0.99960819999999995</v>
      </c>
      <c r="Q470">
        <v>-2.7737679999999998E-3</v>
      </c>
      <c r="R470">
        <v>-2.7857900000000001E-2</v>
      </c>
      <c r="S470">
        <v>3.0015260000000001</v>
      </c>
      <c r="T470">
        <v>-5.9886809999999999E-2</v>
      </c>
      <c r="U470">
        <v>1.7761229999999999E-2</v>
      </c>
      <c r="V470">
        <v>4.1315119999999997E-2</v>
      </c>
      <c r="W470">
        <v>1.1217660000000001E-2</v>
      </c>
      <c r="X470">
        <v>0.99908319999999995</v>
      </c>
      <c r="Y470">
        <v>7.5401590000000003E-3</v>
      </c>
      <c r="Z470">
        <v>-3.4375729999999998E-4</v>
      </c>
      <c r="AA470">
        <v>0.99997150000000001</v>
      </c>
      <c r="AB470">
        <v>28</v>
      </c>
      <c r="AC470">
        <v>55.354199999999899</v>
      </c>
      <c r="AD470">
        <v>-1.1101482415149999</v>
      </c>
      <c r="AE470">
        <v>0.32549999999997598</v>
      </c>
      <c r="AF470">
        <v>0.41950202689982002</v>
      </c>
      <c r="AG470">
        <v>-1.1101482415149999</v>
      </c>
      <c r="AH470">
        <v>55.331311695709402</v>
      </c>
      <c r="AI470">
        <v>91.149375402862404</v>
      </c>
      <c r="AJ470">
        <v>89.565612410335106</v>
      </c>
      <c r="AK470">
        <v>55.344037303366903</v>
      </c>
      <c r="AL470">
        <v>89.357261950587102</v>
      </c>
      <c r="AM470">
        <v>87.631994975688599</v>
      </c>
      <c r="AN470">
        <v>1.00000000777936</v>
      </c>
    </row>
    <row r="471" spans="1:40" x14ac:dyDescent="0.25">
      <c r="A471" t="str">
        <f>"20190312160916616"</f>
        <v>20190312160916616</v>
      </c>
      <c r="B471" t="str">
        <f>"1552378156605371"</f>
        <v>1552378156605371</v>
      </c>
      <c r="C471" t="s">
        <v>40</v>
      </c>
      <c r="D471">
        <v>5.1681140000000001</v>
      </c>
      <c r="E471">
        <v>0.48697079999999998</v>
      </c>
      <c r="F471" t="s">
        <v>41</v>
      </c>
      <c r="G471">
        <v>-327.1506</v>
      </c>
      <c r="H471" s="1">
        <v>-1.4023239999999999E-6</v>
      </c>
      <c r="I471">
        <v>368.50229999999999</v>
      </c>
      <c r="J471">
        <v>-385.6164</v>
      </c>
      <c r="K471">
        <v>1.1101490000000001</v>
      </c>
      <c r="L471">
        <v>368.11720000000003</v>
      </c>
      <c r="M471">
        <v>0.99981339999999996</v>
      </c>
      <c r="N471">
        <v>0</v>
      </c>
      <c r="O471">
        <v>1.3289499999999999E-2</v>
      </c>
      <c r="P471">
        <v>0.99961849999999997</v>
      </c>
      <c r="Q471">
        <v>-2.5145390000000001E-3</v>
      </c>
      <c r="R471">
        <v>-2.7510639999999999E-2</v>
      </c>
      <c r="S471">
        <v>3.0015869999999998</v>
      </c>
      <c r="T471">
        <v>-5.6706430000000002E-2</v>
      </c>
      <c r="U471">
        <v>1.986694E-2</v>
      </c>
      <c r="V471">
        <v>4.0797760000000002E-2</v>
      </c>
      <c r="W471">
        <v>1.1486100000000001E-2</v>
      </c>
      <c r="X471">
        <v>0.99910140000000003</v>
      </c>
      <c r="Y471">
        <v>6.6688719999999898E-3</v>
      </c>
      <c r="Z471">
        <v>-3.1404689999999999E-4</v>
      </c>
      <c r="AA471">
        <v>0.99997769999999997</v>
      </c>
      <c r="AB471">
        <v>28</v>
      </c>
      <c r="AC471">
        <v>58.465800000000002</v>
      </c>
      <c r="AD471">
        <v>-1.1101504023240001</v>
      </c>
      <c r="AE471">
        <v>0.38509999999996503</v>
      </c>
      <c r="AF471">
        <v>0.39185036080785501</v>
      </c>
      <c r="AG471">
        <v>-1.1101504023240001</v>
      </c>
      <c r="AH471">
        <v>58.444683158176602</v>
      </c>
      <c r="AI471">
        <v>91.088171787538897</v>
      </c>
      <c r="AJ471">
        <v>89.615858376530298</v>
      </c>
      <c r="AK471">
        <v>58.456539155860902</v>
      </c>
      <c r="AL471">
        <v>89.341880473807393</v>
      </c>
      <c r="AM471">
        <v>87.661657250739395</v>
      </c>
      <c r="AN471">
        <v>0.99999999759809299</v>
      </c>
    </row>
    <row r="472" spans="1:40" x14ac:dyDescent="0.25">
      <c r="A472" t="str">
        <f>"20190312160916637"</f>
        <v>20190312160916637</v>
      </c>
      <c r="B472" t="str">
        <f>"1552378156625863"</f>
        <v>1552378156625863</v>
      </c>
      <c r="C472" t="s">
        <v>40</v>
      </c>
      <c r="D472">
        <v>5.2645600000000004</v>
      </c>
      <c r="E472">
        <v>0.48695100000000002</v>
      </c>
      <c r="F472" t="s">
        <v>41</v>
      </c>
      <c r="G472">
        <v>-323.76139999999998</v>
      </c>
      <c r="H472" s="1">
        <v>-2.8451789999999999E-6</v>
      </c>
      <c r="I472">
        <v>368.56479999999999</v>
      </c>
      <c r="J472">
        <v>-385.35320000000002</v>
      </c>
      <c r="K472">
        <v>1.110152</v>
      </c>
      <c r="L472">
        <v>368.12049999999999</v>
      </c>
      <c r="M472">
        <v>0.99981529999999996</v>
      </c>
      <c r="N472">
        <v>0</v>
      </c>
      <c r="O472">
        <v>1.3138789999999999E-2</v>
      </c>
      <c r="P472">
        <v>0.99961699999999998</v>
      </c>
      <c r="Q472">
        <v>-3.0618849999999999E-3</v>
      </c>
      <c r="R472">
        <v>-2.7510759999999999E-2</v>
      </c>
      <c r="S472">
        <v>3.0015869999999998</v>
      </c>
      <c r="T472">
        <v>-5.3871389999999998E-2</v>
      </c>
      <c r="U472">
        <v>2.1728520000000001E-2</v>
      </c>
      <c r="V472">
        <v>4.0646990000000001E-2</v>
      </c>
      <c r="W472">
        <v>1.094493E-2</v>
      </c>
      <c r="X472">
        <v>0.99911360000000005</v>
      </c>
      <c r="Y472">
        <v>5.8984750000000002E-3</v>
      </c>
      <c r="Z472">
        <v>-2.887303E-4</v>
      </c>
      <c r="AA472">
        <v>0.9999825</v>
      </c>
      <c r="AB472">
        <v>28</v>
      </c>
      <c r="AC472">
        <v>61.591799999999999</v>
      </c>
      <c r="AD472">
        <v>-1.110154845179</v>
      </c>
      <c r="AE472">
        <v>0.44429999999999797</v>
      </c>
      <c r="AF472">
        <v>0.36494114501224101</v>
      </c>
      <c r="AG472">
        <v>-1.110154845179</v>
      </c>
      <c r="AH472">
        <v>61.572318136740698</v>
      </c>
      <c r="AI472">
        <v>91.032918380807004</v>
      </c>
      <c r="AJ472">
        <v>89.6604100159213</v>
      </c>
      <c r="AK472">
        <v>61.583406746879497</v>
      </c>
      <c r="AL472">
        <v>89.372889168972904</v>
      </c>
      <c r="AM472">
        <v>87.670317581102296</v>
      </c>
      <c r="AN472">
        <v>0.99999997749686198</v>
      </c>
    </row>
    <row r="473" spans="1:40" x14ac:dyDescent="0.25">
      <c r="A473" t="str">
        <f>"20190312160916659"</f>
        <v>20190312160916659</v>
      </c>
      <c r="B473" t="str">
        <f>"1552378156655144"</f>
        <v>1552378156655144</v>
      </c>
      <c r="C473" t="s">
        <v>40</v>
      </c>
      <c r="D473">
        <v>5.2473739999999998</v>
      </c>
      <c r="E473">
        <v>0.47045609999999999</v>
      </c>
      <c r="F473" t="s">
        <v>41</v>
      </c>
      <c r="G473">
        <v>-322.94119999999998</v>
      </c>
      <c r="H473" s="1">
        <v>-3.196209E-6</v>
      </c>
      <c r="I473">
        <v>368.56970000000001</v>
      </c>
      <c r="J473">
        <v>-385.07960000000003</v>
      </c>
      <c r="K473">
        <v>1.1101589999999999</v>
      </c>
      <c r="L473">
        <v>368.12389999999999</v>
      </c>
      <c r="M473">
        <v>0.99981730000000002</v>
      </c>
      <c r="N473">
        <v>0</v>
      </c>
      <c r="O473">
        <v>1.2981639999999999E-2</v>
      </c>
      <c r="P473">
        <v>0.99959629999999999</v>
      </c>
      <c r="Q473">
        <v>-3.219871E-3</v>
      </c>
      <c r="R473">
        <v>-2.822554E-2</v>
      </c>
      <c r="S473">
        <v>3.0015869999999998</v>
      </c>
      <c r="T473">
        <v>-5.3390739999999999E-2</v>
      </c>
      <c r="U473">
        <v>2.1606449999999999E-2</v>
      </c>
      <c r="V473">
        <v>4.1204490000000003E-2</v>
      </c>
      <c r="W473">
        <v>1.079187E-2</v>
      </c>
      <c r="X473">
        <v>0.99909250000000005</v>
      </c>
      <c r="Y473">
        <v>5.7820719999999897E-3</v>
      </c>
      <c r="Z473">
        <v>-2.8232460000000002E-4</v>
      </c>
      <c r="AA473">
        <v>0.99998330000000002</v>
      </c>
      <c r="AB473">
        <v>28</v>
      </c>
      <c r="AC473">
        <v>62.138399999999997</v>
      </c>
      <c r="AD473">
        <v>-1.110162196209</v>
      </c>
      <c r="AE473">
        <v>0.44580000000001901</v>
      </c>
      <c r="AF473">
        <v>0.36086013829604002</v>
      </c>
      <c r="AG473">
        <v>-1.110162196209</v>
      </c>
      <c r="AH473">
        <v>62.119123718628401</v>
      </c>
      <c r="AI473">
        <v>91.023835513482098</v>
      </c>
      <c r="AJ473">
        <v>89.667163200178805</v>
      </c>
      <c r="AK473">
        <v>62.1300910325389</v>
      </c>
      <c r="AL473">
        <v>89.381659423402496</v>
      </c>
      <c r="AM473">
        <v>87.638350580945797</v>
      </c>
      <c r="AN473">
        <v>1.0000000490052501</v>
      </c>
    </row>
    <row r="474" spans="1:40" x14ac:dyDescent="0.25">
      <c r="A474" t="str">
        <f>"20190312160916681"</f>
        <v>20190312160916681</v>
      </c>
      <c r="B474" t="str">
        <f>"1552378156675639"</f>
        <v>1552378156675639</v>
      </c>
      <c r="C474" t="s">
        <v>40</v>
      </c>
      <c r="D474">
        <v>5.4281639999999998</v>
      </c>
      <c r="E474">
        <v>0.4690648</v>
      </c>
      <c r="F474" t="s">
        <v>41</v>
      </c>
      <c r="G474">
        <v>-359.21660000000003</v>
      </c>
      <c r="H474" s="1">
        <v>-3.5235120000000001E-7</v>
      </c>
      <c r="I474">
        <v>369.42500000000001</v>
      </c>
      <c r="J474">
        <v>-384.80119999999999</v>
      </c>
      <c r="K474">
        <v>1.1101650000000001</v>
      </c>
      <c r="L474">
        <v>368.12729999999999</v>
      </c>
      <c r="M474">
        <v>0.99981929999999997</v>
      </c>
      <c r="N474">
        <v>0</v>
      </c>
      <c r="O474">
        <v>1.2821529999999999E-2</v>
      </c>
      <c r="P474">
        <v>0.99957879999999999</v>
      </c>
      <c r="Q474">
        <v>-3.1597079999999998E-3</v>
      </c>
      <c r="R474">
        <v>-2.8859539999999999E-2</v>
      </c>
      <c r="S474">
        <v>3.0050659999999998</v>
      </c>
      <c r="T474">
        <v>-0.12899079999999999</v>
      </c>
      <c r="U474">
        <v>0.15118409999999999</v>
      </c>
      <c r="V474">
        <v>4.1678109999999997E-2</v>
      </c>
      <c r="W474">
        <v>1.0855760000000001E-2</v>
      </c>
      <c r="X474">
        <v>0.99907210000000002</v>
      </c>
      <c r="Y474">
        <v>-3.7412880000000003E-2</v>
      </c>
      <c r="Z474">
        <v>2.5233200000000002E-4</v>
      </c>
      <c r="AA474">
        <v>0.99929990000000002</v>
      </c>
      <c r="AB474">
        <v>28</v>
      </c>
      <c r="AC474">
        <v>25.584599999999899</v>
      </c>
      <c r="AD474">
        <v>-1.1101653523512001</v>
      </c>
      <c r="AE474">
        <v>1.2977000000000201</v>
      </c>
      <c r="AF474">
        <v>-0.96770989371056404</v>
      </c>
      <c r="AG474">
        <v>-1.1101653523512001</v>
      </c>
      <c r="AH474">
        <v>25.5511508991463</v>
      </c>
      <c r="AI474">
        <v>92.486084641228203</v>
      </c>
      <c r="AJ474">
        <v>92.168951423432603</v>
      </c>
      <c r="AK474">
        <v>25.593558600141801</v>
      </c>
      <c r="AL474">
        <v>89.377998543016304</v>
      </c>
      <c r="AM474">
        <v>87.611187436582597</v>
      </c>
      <c r="AN474">
        <v>0.99999998668837897</v>
      </c>
    </row>
    <row r="475" spans="1:40" x14ac:dyDescent="0.25">
      <c r="A475" t="str">
        <f>"20190312160916706"</f>
        <v>20190312160916706</v>
      </c>
      <c r="B475" t="str">
        <f>"1552378156695159"</f>
        <v>1552378156695159</v>
      </c>
      <c r="C475" t="s">
        <v>40</v>
      </c>
      <c r="D475">
        <v>5.2542309999999999</v>
      </c>
      <c r="E475">
        <v>0.46883459999999899</v>
      </c>
      <c r="F475" t="s">
        <v>41</v>
      </c>
      <c r="G475">
        <v>-355.91239999999999</v>
      </c>
      <c r="H475" s="1">
        <v>-1.7499420000000001E-6</v>
      </c>
      <c r="I475">
        <v>369.66910000000001</v>
      </c>
      <c r="J475">
        <v>-384.50400000000002</v>
      </c>
      <c r="K475">
        <v>1.1101719999999999</v>
      </c>
      <c r="L475">
        <v>368.13099999999997</v>
      </c>
      <c r="M475">
        <v>0.99982139999999997</v>
      </c>
      <c r="N475">
        <v>0</v>
      </c>
      <c r="O475">
        <v>1.2651819999999999E-2</v>
      </c>
      <c r="P475">
        <v>0.99956040000000002</v>
      </c>
      <c r="Q475">
        <v>-3.2275099999999998E-3</v>
      </c>
      <c r="R475">
        <v>-2.947924E-2</v>
      </c>
      <c r="S475">
        <v>3.0055239999999999</v>
      </c>
      <c r="T475">
        <v>-0.1154987</v>
      </c>
      <c r="U475">
        <v>0.1604004</v>
      </c>
      <c r="V475">
        <v>4.2127900000000003E-2</v>
      </c>
      <c r="W475">
        <v>1.079139E-2</v>
      </c>
      <c r="X475">
        <v>0.999054</v>
      </c>
      <c r="Y475">
        <v>-4.0632750000000002E-2</v>
      </c>
      <c r="Z475">
        <v>2.9422470000000002E-4</v>
      </c>
      <c r="AA475">
        <v>0.99917409999999995</v>
      </c>
      <c r="AB475">
        <v>28</v>
      </c>
      <c r="AC475">
        <v>28.5916</v>
      </c>
      <c r="AD475">
        <v>-1.1101737499419999</v>
      </c>
      <c r="AE475">
        <v>1.53810000000004</v>
      </c>
      <c r="AF475">
        <v>-1.1744398860911001</v>
      </c>
      <c r="AG475">
        <v>-1.1101737499419999</v>
      </c>
      <c r="AH475">
        <v>28.565829393456202</v>
      </c>
      <c r="AI475">
        <v>92.223729059857604</v>
      </c>
      <c r="AJ475">
        <v>92.354301434869697</v>
      </c>
      <c r="AK475">
        <v>28.611508239468002</v>
      </c>
      <c r="AL475">
        <v>89.381686930366001</v>
      </c>
      <c r="AM475">
        <v>87.585394036928804</v>
      </c>
      <c r="AN475">
        <v>1.0000000544862599</v>
      </c>
    </row>
    <row r="476" spans="1:40" x14ac:dyDescent="0.25">
      <c r="A476" t="str">
        <f>"20190312160916730"</f>
        <v>20190312160916730</v>
      </c>
      <c r="B476" t="str">
        <f>"1552378156725416"</f>
        <v>1552378156725416</v>
      </c>
      <c r="C476" t="s">
        <v>40</v>
      </c>
      <c r="D476">
        <v>5.2596259999999999</v>
      </c>
      <c r="E476">
        <v>0.46862150000000002</v>
      </c>
      <c r="F476" t="s">
        <v>41</v>
      </c>
      <c r="G476">
        <v>-352.92259999999999</v>
      </c>
      <c r="H476" s="1">
        <v>-3.0712980000000001E-6</v>
      </c>
      <c r="I476">
        <v>369.81470000000002</v>
      </c>
      <c r="J476">
        <v>-384.20530000000002</v>
      </c>
      <c r="K476">
        <v>1.1101719999999999</v>
      </c>
      <c r="L476">
        <v>368.1345</v>
      </c>
      <c r="M476">
        <v>0.99982349999999998</v>
      </c>
      <c r="N476">
        <v>0</v>
      </c>
      <c r="O476">
        <v>1.248063E-2</v>
      </c>
      <c r="P476">
        <v>0.99956449999999997</v>
      </c>
      <c r="Q476">
        <v>-3.1586489999999999E-3</v>
      </c>
      <c r="R476">
        <v>-2.9348300000000001E-2</v>
      </c>
      <c r="S476">
        <v>3.0056759999999998</v>
      </c>
      <c r="T476">
        <v>-0.1056575</v>
      </c>
      <c r="U476">
        <v>0.1602478</v>
      </c>
      <c r="V476">
        <v>4.1825880000000003E-2</v>
      </c>
      <c r="W476">
        <v>1.0863390000000001E-2</v>
      </c>
      <c r="X476">
        <v>0.99906589999999995</v>
      </c>
      <c r="Y476">
        <v>-4.0753730000000002E-2</v>
      </c>
      <c r="Z476">
        <v>2.7729270000000002E-4</v>
      </c>
      <c r="AA476">
        <v>0.99916919999999998</v>
      </c>
      <c r="AB476">
        <v>28</v>
      </c>
      <c r="AC476">
        <v>31.282699999999998</v>
      </c>
      <c r="AD476">
        <v>-1.1101750712980001</v>
      </c>
      <c r="AE476">
        <v>1.6802000000000099</v>
      </c>
      <c r="AF476">
        <v>-1.28798534044156</v>
      </c>
      <c r="AG476">
        <v>-1.1101750712980001</v>
      </c>
      <c r="AH476">
        <v>31.261975997397599</v>
      </c>
      <c r="AI476">
        <v>92.032110156546807</v>
      </c>
      <c r="AJ476">
        <v>92.359237056983105</v>
      </c>
      <c r="AK476">
        <v>31.308186440418201</v>
      </c>
      <c r="AL476">
        <v>89.3775613867369</v>
      </c>
      <c r="AM476">
        <v>87.602712890756095</v>
      </c>
      <c r="AN476">
        <v>1.0000000450114299</v>
      </c>
    </row>
    <row r="477" spans="1:40" x14ac:dyDescent="0.25">
      <c r="A477" t="str">
        <f>"20190312160916749"</f>
        <v>20190312160916749</v>
      </c>
      <c r="B477" t="str">
        <f>"1552378156745911"</f>
        <v>1552378156745911</v>
      </c>
      <c r="C477" t="s">
        <v>40</v>
      </c>
      <c r="D477">
        <v>5.273288</v>
      </c>
      <c r="E477">
        <v>0.4686244</v>
      </c>
      <c r="F477" t="s">
        <v>41</v>
      </c>
      <c r="G477">
        <v>-355.97890000000001</v>
      </c>
      <c r="H477" s="1">
        <v>-1.7188289999999999E-6</v>
      </c>
      <c r="I477">
        <v>369.65940000000001</v>
      </c>
      <c r="J477">
        <v>-383.95580000000001</v>
      </c>
      <c r="K477">
        <v>1.110169</v>
      </c>
      <c r="L477">
        <v>368.13749999999999</v>
      </c>
      <c r="M477">
        <v>0.99982530000000003</v>
      </c>
      <c r="N477">
        <v>0</v>
      </c>
      <c r="O477">
        <v>1.233734E-2</v>
      </c>
      <c r="P477">
        <v>0.99956730000000005</v>
      </c>
      <c r="Q477">
        <v>-3.8589269999999998E-3</v>
      </c>
      <c r="R477">
        <v>-2.9165139999999999E-2</v>
      </c>
      <c r="S477">
        <v>3.0057070000000001</v>
      </c>
      <c r="T477">
        <v>-0.11821719999999999</v>
      </c>
      <c r="U477">
        <v>0.162384</v>
      </c>
      <c r="V477">
        <v>4.1499429999999997E-2</v>
      </c>
      <c r="W477">
        <v>1.0164869999999999E-2</v>
      </c>
      <c r="X477">
        <v>0.99908680000000005</v>
      </c>
      <c r="Y477">
        <v>-4.1599320000000002E-2</v>
      </c>
      <c r="Z477">
        <v>3.3246170000000001E-4</v>
      </c>
      <c r="AA477">
        <v>0.99913430000000003</v>
      </c>
      <c r="AB477">
        <v>28</v>
      </c>
      <c r="AC477">
        <v>27.976900000000001</v>
      </c>
      <c r="AD477">
        <v>-1.110170718829</v>
      </c>
      <c r="AE477">
        <v>1.52190000000001</v>
      </c>
      <c r="AF477">
        <v>-1.1747452510862</v>
      </c>
      <c r="AG477">
        <v>-1.110170718829</v>
      </c>
      <c r="AH477">
        <v>27.949667647028502</v>
      </c>
      <c r="AI477">
        <v>92.272608592854397</v>
      </c>
      <c r="AJ477">
        <v>92.406767503263595</v>
      </c>
      <c r="AK477">
        <v>27.9963645320111</v>
      </c>
      <c r="AL477">
        <v>89.417585808492902</v>
      </c>
      <c r="AM477">
        <v>87.621451785775605</v>
      </c>
      <c r="AN477">
        <v>0.99999998060334006</v>
      </c>
    </row>
    <row r="478" spans="1:40" x14ac:dyDescent="0.25">
      <c r="A478" t="str">
        <f>"20190312160916773"</f>
        <v>20190312160916773</v>
      </c>
      <c r="B478" t="str">
        <f>"1552378156765431"</f>
        <v>1552378156765431</v>
      </c>
      <c r="C478" t="s">
        <v>40</v>
      </c>
      <c r="D478">
        <v>5.5592110000000003</v>
      </c>
      <c r="E478">
        <v>0.46844180000000002</v>
      </c>
      <c r="F478" t="s">
        <v>41</v>
      </c>
      <c r="G478">
        <v>-358.0865</v>
      </c>
      <c r="H478" s="1">
        <v>-8.169564E-7</v>
      </c>
      <c r="I478">
        <v>369.53879999999998</v>
      </c>
      <c r="J478">
        <v>-383.6764</v>
      </c>
      <c r="K478">
        <v>1.1101730000000001</v>
      </c>
      <c r="L478">
        <v>368.14080000000001</v>
      </c>
      <c r="M478">
        <v>0.99982720000000003</v>
      </c>
      <c r="N478">
        <v>0</v>
      </c>
      <c r="O478">
        <v>1.217701E-2</v>
      </c>
      <c r="P478">
        <v>0.99957090000000004</v>
      </c>
      <c r="Q478">
        <v>-4.2828639999999999E-3</v>
      </c>
      <c r="R478">
        <v>-2.897657E-2</v>
      </c>
      <c r="S478">
        <v>3.0055239999999999</v>
      </c>
      <c r="T478">
        <v>-0.12898019999999999</v>
      </c>
      <c r="U478">
        <v>0.16281129999999999</v>
      </c>
      <c r="V478">
        <v>4.1150760000000002E-2</v>
      </c>
      <c r="W478">
        <v>9.7424090000000005E-3</v>
      </c>
      <c r="X478">
        <v>0.99910549999999998</v>
      </c>
      <c r="Y478">
        <v>-4.189971E-2</v>
      </c>
      <c r="Z478">
        <v>3.7603380000000001E-4</v>
      </c>
      <c r="AA478">
        <v>0.9991217</v>
      </c>
      <c r="AB478">
        <v>28</v>
      </c>
      <c r="AC478">
        <v>25.5899</v>
      </c>
      <c r="AD478">
        <v>-1.1101738169563999</v>
      </c>
      <c r="AE478">
        <v>1.3979999999999599</v>
      </c>
      <c r="AF478">
        <v>-1.08422256392779</v>
      </c>
      <c r="AG478">
        <v>-1.1101738169563999</v>
      </c>
      <c r="AH478">
        <v>25.557069406057199</v>
      </c>
      <c r="AI478">
        <v>92.485075845050204</v>
      </c>
      <c r="AJ478">
        <v>92.429235852502501</v>
      </c>
      <c r="AK478">
        <v>25.604136796580502</v>
      </c>
      <c r="AL478">
        <v>89.441792279265101</v>
      </c>
      <c r="AM478">
        <v>87.641457308445098</v>
      </c>
      <c r="AN478">
        <v>1.00000004985597</v>
      </c>
    </row>
    <row r="479" spans="1:40" x14ac:dyDescent="0.25">
      <c r="A479" t="str">
        <f>"20190312160916793"</f>
        <v>20190312160916793</v>
      </c>
      <c r="B479" t="str">
        <f>"1552378156785927"</f>
        <v>1552378156785927</v>
      </c>
      <c r="C479" t="s">
        <v>40</v>
      </c>
      <c r="D479">
        <v>5.3591579999999999</v>
      </c>
      <c r="E479">
        <v>0.4683175</v>
      </c>
      <c r="F479" t="s">
        <v>41</v>
      </c>
      <c r="G479">
        <v>-358.46510000000001</v>
      </c>
      <c r="H479" s="1">
        <v>-6.567345E-7</v>
      </c>
      <c r="I479">
        <v>369.52640000000002</v>
      </c>
      <c r="J479">
        <v>-383.4076</v>
      </c>
      <c r="K479">
        <v>1.110169</v>
      </c>
      <c r="L479">
        <v>368.14389999999997</v>
      </c>
      <c r="M479">
        <v>0.99982890000000002</v>
      </c>
      <c r="N479">
        <v>0</v>
      </c>
      <c r="O479">
        <v>1.202288E-2</v>
      </c>
      <c r="P479">
        <v>0.99956610000000001</v>
      </c>
      <c r="Q479">
        <v>-3.8422869999999998E-3</v>
      </c>
      <c r="R479">
        <v>-2.9207070000000002E-2</v>
      </c>
      <c r="S479">
        <v>3.0055239999999999</v>
      </c>
      <c r="T479">
        <v>-0.1323473</v>
      </c>
      <c r="U479">
        <v>0.1651917</v>
      </c>
      <c r="V479">
        <v>4.1227050000000001E-2</v>
      </c>
      <c r="W479">
        <v>1.0183940000000001E-2</v>
      </c>
      <c r="X479">
        <v>0.99909789999999998</v>
      </c>
      <c r="Y479">
        <v>-4.2840179999999999E-2</v>
      </c>
      <c r="Z479">
        <v>4.1329229999999999E-4</v>
      </c>
      <c r="AA479">
        <v>0.99908189999999997</v>
      </c>
      <c r="AB479">
        <v>28</v>
      </c>
      <c r="AC479">
        <v>24.9424999999999</v>
      </c>
      <c r="AD479">
        <v>-1.1101696567345001</v>
      </c>
      <c r="AE479">
        <v>1.38250000000005</v>
      </c>
      <c r="AF479">
        <v>-1.08035603607438</v>
      </c>
      <c r="AG479">
        <v>-1.1101696567345001</v>
      </c>
      <c r="AH479">
        <v>24.908126650442799</v>
      </c>
      <c r="AI479">
        <v>92.549623165705697</v>
      </c>
      <c r="AJ479">
        <v>92.483569681605204</v>
      </c>
      <c r="AK479">
        <v>24.9562501002438</v>
      </c>
      <c r="AL479">
        <v>89.416493131570107</v>
      </c>
      <c r="AM479">
        <v>87.637071769019599</v>
      </c>
      <c r="AN479">
        <v>0.99999999803501805</v>
      </c>
    </row>
    <row r="480" spans="1:40" x14ac:dyDescent="0.25">
      <c r="A480" t="str">
        <f>"20190312160916816"</f>
        <v>20190312160916816</v>
      </c>
      <c r="B480" t="str">
        <f>"1552378156805447"</f>
        <v>1552378156805447</v>
      </c>
      <c r="C480" t="s">
        <v>40</v>
      </c>
      <c r="D480">
        <v>5.2701060000000002</v>
      </c>
      <c r="E480">
        <v>0.46846260000000001</v>
      </c>
      <c r="F480" t="s">
        <v>41</v>
      </c>
      <c r="G480">
        <v>-357.53629999999998</v>
      </c>
      <c r="H480" s="1">
        <v>-1.0482490000000001E-6</v>
      </c>
      <c r="I480">
        <v>369.56569999999999</v>
      </c>
      <c r="J480">
        <v>-383.13</v>
      </c>
      <c r="K480">
        <v>1.110171</v>
      </c>
      <c r="L480">
        <v>368.14699999999999</v>
      </c>
      <c r="M480">
        <v>0.99983089999999997</v>
      </c>
      <c r="N480">
        <v>0</v>
      </c>
      <c r="O480">
        <v>1.1863510000000001E-2</v>
      </c>
      <c r="P480">
        <v>0.99955479999999997</v>
      </c>
      <c r="Q480">
        <v>-3.9763189999999999E-3</v>
      </c>
      <c r="R480">
        <v>-2.9574380000000001E-2</v>
      </c>
      <c r="S480">
        <v>3.005646</v>
      </c>
      <c r="T480">
        <v>-0.12897519999999901</v>
      </c>
      <c r="U480">
        <v>0.1651917</v>
      </c>
      <c r="V480">
        <v>4.1435E-2</v>
      </c>
      <c r="W480">
        <v>1.004948E-2</v>
      </c>
      <c r="X480">
        <v>0.9990907</v>
      </c>
      <c r="Y480">
        <v>-4.2998410000000001E-2</v>
      </c>
      <c r="Z480">
        <v>4.1297559999999998E-4</v>
      </c>
      <c r="AA480">
        <v>0.99907509999999999</v>
      </c>
      <c r="AB480">
        <v>28</v>
      </c>
      <c r="AC480">
        <v>25.593699999999998</v>
      </c>
      <c r="AD480">
        <v>-1.1101720482490001</v>
      </c>
      <c r="AE480">
        <v>1.4187000000000001</v>
      </c>
      <c r="AF480">
        <v>-1.1128515823954801</v>
      </c>
      <c r="AG480">
        <v>-1.1101720482490001</v>
      </c>
      <c r="AH480">
        <v>25.560784516006599</v>
      </c>
      <c r="AI480">
        <v>92.484592569035698</v>
      </c>
      <c r="AJ480">
        <v>92.4929382596967</v>
      </c>
      <c r="AK480">
        <v>25.609073112763699</v>
      </c>
      <c r="AL480">
        <v>89.424197539995205</v>
      </c>
      <c r="AM480">
        <v>87.625149632600795</v>
      </c>
      <c r="AN480">
        <v>1.00000003904987</v>
      </c>
    </row>
    <row r="481" spans="1:40" x14ac:dyDescent="0.25">
      <c r="A481" t="str">
        <f>"20190312160916838"</f>
        <v>20190312160916838</v>
      </c>
      <c r="B481" t="str">
        <f>"1552378156824967"</f>
        <v>1552378156824967</v>
      </c>
      <c r="C481" t="s">
        <v>40</v>
      </c>
      <c r="D481">
        <v>5.2991239999999999</v>
      </c>
      <c r="E481">
        <v>0.46847729999999999</v>
      </c>
      <c r="F481" t="s">
        <v>41</v>
      </c>
      <c r="G481">
        <v>-356.76229999999998</v>
      </c>
      <c r="H481" s="1">
        <v>-1.378398E-6</v>
      </c>
      <c r="I481">
        <v>369.57639999999998</v>
      </c>
      <c r="J481">
        <v>-382.86329999999998</v>
      </c>
      <c r="K481">
        <v>1.110171</v>
      </c>
      <c r="L481">
        <v>368.15</v>
      </c>
      <c r="M481">
        <v>0.99983270000000002</v>
      </c>
      <c r="N481">
        <v>0</v>
      </c>
      <c r="O481">
        <v>1.171022E-2</v>
      </c>
      <c r="P481">
        <v>0.99954469999999995</v>
      </c>
      <c r="Q481">
        <v>-4.1241009999999998E-3</v>
      </c>
      <c r="R481">
        <v>-2.9894500000000001E-2</v>
      </c>
      <c r="S481">
        <v>3.005646</v>
      </c>
      <c r="T481">
        <v>-0.1265473</v>
      </c>
      <c r="U481">
        <v>0.162933299999999</v>
      </c>
      <c r="V481">
        <v>4.160171E-2</v>
      </c>
      <c r="W481">
        <v>9.9016629999999998E-3</v>
      </c>
      <c r="X481">
        <v>0.99908520000000001</v>
      </c>
      <c r="Y481">
        <v>-4.2404610000000002E-2</v>
      </c>
      <c r="Z481">
        <v>3.991763E-4</v>
      </c>
      <c r="AA481">
        <v>0.9991004</v>
      </c>
      <c r="AB481">
        <v>28</v>
      </c>
      <c r="AC481">
        <v>26.100999999999999</v>
      </c>
      <c r="AD481">
        <v>-1.110172378398</v>
      </c>
      <c r="AE481">
        <v>1.4263999999999999</v>
      </c>
      <c r="AF481">
        <v>-1.11860588345821</v>
      </c>
      <c r="AG481">
        <v>-1.110172378398</v>
      </c>
      <c r="AH481">
        <v>26.068893850939101</v>
      </c>
      <c r="AI481">
        <v>92.436290888941699</v>
      </c>
      <c r="AJ481">
        <v>92.457031896813504</v>
      </c>
      <c r="AK481">
        <v>26.116488823036601</v>
      </c>
      <c r="AL481">
        <v>89.432667224099106</v>
      </c>
      <c r="AM481">
        <v>87.615592530497096</v>
      </c>
      <c r="AN481">
        <v>0.99999999103206405</v>
      </c>
    </row>
    <row r="482" spans="1:40" x14ac:dyDescent="0.25">
      <c r="A482" t="str">
        <f>"20190312160916860"</f>
        <v>20190312160916860</v>
      </c>
      <c r="B482" t="str">
        <f>"1552378156855224"</f>
        <v>1552378156855224</v>
      </c>
      <c r="C482" t="s">
        <v>40</v>
      </c>
      <c r="D482">
        <v>5.3526420000000003</v>
      </c>
      <c r="E482">
        <v>0.46867500000000001</v>
      </c>
      <c r="F482" t="s">
        <v>41</v>
      </c>
      <c r="G482">
        <v>-355.66370000000001</v>
      </c>
      <c r="H482" s="1">
        <v>-1.8429500000000001E-6</v>
      </c>
      <c r="I482">
        <v>369.61419999999998</v>
      </c>
      <c r="J482">
        <v>-382.59500000000003</v>
      </c>
      <c r="K482">
        <v>1.110174</v>
      </c>
      <c r="L482">
        <v>368.15300000000002</v>
      </c>
      <c r="M482">
        <v>0.99983460000000002</v>
      </c>
      <c r="N482">
        <v>0</v>
      </c>
      <c r="O482">
        <v>1.1556220000000001E-2</v>
      </c>
      <c r="P482">
        <v>0.99954120000000002</v>
      </c>
      <c r="Q482">
        <v>-4.2604679999999999E-3</v>
      </c>
      <c r="R482">
        <v>-2.9990340000000001E-2</v>
      </c>
      <c r="S482">
        <v>3.0057070000000001</v>
      </c>
      <c r="T482">
        <v>-0.12267989999999999</v>
      </c>
      <c r="U482">
        <v>0.16180420000000001</v>
      </c>
      <c r="V482">
        <v>4.1543610000000002E-2</v>
      </c>
      <c r="W482">
        <v>9.7648189999999992E-3</v>
      </c>
      <c r="X482">
        <v>0.999089</v>
      </c>
      <c r="Y482">
        <v>-4.2184840000000001E-2</v>
      </c>
      <c r="Z482">
        <v>3.8878159999999998E-4</v>
      </c>
      <c r="AA482">
        <v>0.99910969999999999</v>
      </c>
      <c r="AB482">
        <v>28</v>
      </c>
      <c r="AC482">
        <v>26.9313</v>
      </c>
      <c r="AD482">
        <v>-1.1101758429499999</v>
      </c>
      <c r="AE482">
        <v>1.4611999999999601</v>
      </c>
      <c r="AF482">
        <v>-1.14790278489785</v>
      </c>
      <c r="AG482">
        <v>-1.1101758429499999</v>
      </c>
      <c r="AH482">
        <v>26.900810657932801</v>
      </c>
      <c r="AI482">
        <v>92.361065704586593</v>
      </c>
      <c r="AJ482">
        <v>92.4434248349434</v>
      </c>
      <c r="AK482">
        <v>26.948168495461701</v>
      </c>
      <c r="AL482">
        <v>89.440508206802605</v>
      </c>
      <c r="AM482">
        <v>87.618927750162101</v>
      </c>
      <c r="AN482">
        <v>1.0000000265714599</v>
      </c>
    </row>
    <row r="483" spans="1:40" x14ac:dyDescent="0.25">
      <c r="A483" t="str">
        <f>"20190312160916884"</f>
        <v>20190312160916884</v>
      </c>
      <c r="B483" t="str">
        <f>"1552378156875719"</f>
        <v>1552378156875719</v>
      </c>
      <c r="C483" t="s">
        <v>40</v>
      </c>
      <c r="D483">
        <v>5.3156290000000004</v>
      </c>
      <c r="E483">
        <v>0.4686649</v>
      </c>
      <c r="F483" t="s">
        <v>41</v>
      </c>
      <c r="G483">
        <v>-356.97030000000001</v>
      </c>
      <c r="H483" s="1">
        <v>-1.299569E-6</v>
      </c>
      <c r="I483">
        <v>369.51760000000002</v>
      </c>
      <c r="J483">
        <v>-382.3039</v>
      </c>
      <c r="K483">
        <v>1.110174</v>
      </c>
      <c r="L483">
        <v>368.15620000000001</v>
      </c>
      <c r="M483">
        <v>0.99983639999999996</v>
      </c>
      <c r="N483">
        <v>0</v>
      </c>
      <c r="O483">
        <v>1.1389760000000001E-2</v>
      </c>
      <c r="P483">
        <v>0.9995404</v>
      </c>
      <c r="Q483">
        <v>-4.3949990000000001E-3</v>
      </c>
      <c r="R483">
        <v>-2.999346E-2</v>
      </c>
      <c r="S483">
        <v>3.005585</v>
      </c>
      <c r="T483">
        <v>-0.13021469999999999</v>
      </c>
      <c r="U483">
        <v>0.1600647</v>
      </c>
      <c r="V483">
        <v>4.1380260000000002E-2</v>
      </c>
      <c r="W483">
        <v>9.6294039999999994E-3</v>
      </c>
      <c r="X483">
        <v>0.99909700000000001</v>
      </c>
      <c r="Y483">
        <v>-4.1773770000000002E-2</v>
      </c>
      <c r="Z483">
        <v>4.1096889999999998E-4</v>
      </c>
      <c r="AA483">
        <v>0.99912699999999999</v>
      </c>
      <c r="AB483">
        <v>28</v>
      </c>
      <c r="AC483">
        <v>25.333599999999901</v>
      </c>
      <c r="AD483">
        <v>-1.110175299569</v>
      </c>
      <c r="AE483">
        <v>1.3613999999999999</v>
      </c>
      <c r="AF483">
        <v>-1.07068934093778</v>
      </c>
      <c r="AG483">
        <v>-1.110175299569</v>
      </c>
      <c r="AH483">
        <v>25.2990198814365</v>
      </c>
      <c r="AI483">
        <v>92.510405494480395</v>
      </c>
      <c r="AJ483">
        <v>92.423390092971502</v>
      </c>
      <c r="AK483">
        <v>25.3459912377064</v>
      </c>
      <c r="AL483">
        <v>89.448267227980296</v>
      </c>
      <c r="AM483">
        <v>87.628298413263494</v>
      </c>
      <c r="AN483">
        <v>0.99999993337402904</v>
      </c>
    </row>
    <row r="484" spans="1:40" x14ac:dyDescent="0.25">
      <c r="A484" t="str">
        <f>"20190312160916907"</f>
        <v>20190312160916907</v>
      </c>
      <c r="B484" t="str">
        <f>"1552378156895239"</f>
        <v>1552378156895239</v>
      </c>
      <c r="C484" t="s">
        <v>40</v>
      </c>
      <c r="D484">
        <v>5.3337519999999996</v>
      </c>
      <c r="E484">
        <v>0.468669</v>
      </c>
      <c r="F484" t="s">
        <v>41</v>
      </c>
      <c r="G484">
        <v>-357.22570000000002</v>
      </c>
      <c r="H484" s="1">
        <v>-1.1943270000000001E-6</v>
      </c>
      <c r="I484">
        <v>369.4932</v>
      </c>
      <c r="J484">
        <v>-382.01459999999997</v>
      </c>
      <c r="K484">
        <v>1.1101780000000001</v>
      </c>
      <c r="L484">
        <v>368.15929999999997</v>
      </c>
      <c r="M484">
        <v>0.99983840000000002</v>
      </c>
      <c r="N484">
        <v>0</v>
      </c>
      <c r="O484">
        <v>1.1223189999999999E-2</v>
      </c>
      <c r="P484">
        <v>0.99953959999999997</v>
      </c>
      <c r="Q484">
        <v>-4.4316989999999999E-3</v>
      </c>
      <c r="R484">
        <v>-3.002378E-2</v>
      </c>
      <c r="S484">
        <v>3.005646</v>
      </c>
      <c r="T484">
        <v>-0.13305510000000001</v>
      </c>
      <c r="U484">
        <v>0.1602478</v>
      </c>
      <c r="V484">
        <v>4.1243910000000002E-2</v>
      </c>
      <c r="W484">
        <v>9.5922119999999993E-3</v>
      </c>
      <c r="X484">
        <v>0.99910310000000002</v>
      </c>
      <c r="Y484">
        <v>-4.1998199999999999E-2</v>
      </c>
      <c r="Z484">
        <v>4.3224149999999999E-4</v>
      </c>
      <c r="AA484">
        <v>0.99911760000000005</v>
      </c>
      <c r="AB484">
        <v>28</v>
      </c>
      <c r="AC484">
        <v>24.788899999999899</v>
      </c>
      <c r="AD484">
        <v>-1.1101791943269901</v>
      </c>
      <c r="AE484">
        <v>1.3339000000000201</v>
      </c>
      <c r="AF484">
        <v>-1.05347112551331</v>
      </c>
      <c r="AG484">
        <v>-1.1101791943269901</v>
      </c>
      <c r="AH484">
        <v>24.7528065156067</v>
      </c>
      <c r="AI484">
        <v>92.565711814485098</v>
      </c>
      <c r="AJ484">
        <v>92.437018417363205</v>
      </c>
      <c r="AK484">
        <v>24.8000751945406</v>
      </c>
      <c r="AL484">
        <v>89.450398328425607</v>
      </c>
      <c r="AM484">
        <v>87.636118823495906</v>
      </c>
      <c r="AN484">
        <v>1.00000003753637</v>
      </c>
    </row>
    <row r="485" spans="1:40" x14ac:dyDescent="0.25">
      <c r="A485" t="str">
        <f>"20190312160916927"</f>
        <v>20190312160916927</v>
      </c>
      <c r="B485" t="str">
        <f>"1552378156915736"</f>
        <v>1552378156915736</v>
      </c>
      <c r="C485" t="s">
        <v>40</v>
      </c>
      <c r="D485">
        <v>5.3799340000000004</v>
      </c>
      <c r="E485">
        <v>0.46872619999999998</v>
      </c>
      <c r="F485" t="s">
        <v>41</v>
      </c>
      <c r="G485">
        <v>-357.61</v>
      </c>
      <c r="H485" s="1">
        <v>-1.0359239999999999E-6</v>
      </c>
      <c r="I485">
        <v>369.45690000000002</v>
      </c>
      <c r="J485">
        <v>-381.76369999999997</v>
      </c>
      <c r="K485">
        <v>1.1101749999999999</v>
      </c>
      <c r="L485">
        <v>368.16199999999998</v>
      </c>
      <c r="M485">
        <v>0.9998399</v>
      </c>
      <c r="N485">
        <v>0</v>
      </c>
      <c r="O485">
        <v>1.1079210000000001E-2</v>
      </c>
      <c r="P485">
        <v>0.99955059999999996</v>
      </c>
      <c r="Q485">
        <v>-3.8536070000000002E-3</v>
      </c>
      <c r="R485">
        <v>-2.9726389999999998E-2</v>
      </c>
      <c r="S485">
        <v>3.0056150000000001</v>
      </c>
      <c r="T485">
        <v>-0.13672609999999999</v>
      </c>
      <c r="U485">
        <v>0.15982060000000001</v>
      </c>
      <c r="V485">
        <v>4.080313E-2</v>
      </c>
      <c r="W485">
        <v>1.0168679999999999E-2</v>
      </c>
      <c r="X485">
        <v>0.99911550000000005</v>
      </c>
      <c r="Y485">
        <v>-4.1999170000000002E-2</v>
      </c>
      <c r="Z485">
        <v>4.5072439999999998E-4</v>
      </c>
      <c r="AA485">
        <v>0.99911760000000005</v>
      </c>
      <c r="AB485">
        <v>27</v>
      </c>
      <c r="AC485">
        <v>24.153699999999901</v>
      </c>
      <c r="AD485">
        <v>-1.1101760359239901</v>
      </c>
      <c r="AE485">
        <v>1.2949000000000399</v>
      </c>
      <c r="AF485">
        <v>-1.0250309039657</v>
      </c>
      <c r="AG485">
        <v>-1.1101760359239901</v>
      </c>
      <c r="AH485">
        <v>24.1157642786387</v>
      </c>
      <c r="AI485">
        <v>92.633392162798003</v>
      </c>
      <c r="AJ485">
        <v>92.433869161410797</v>
      </c>
      <c r="AK485">
        <v>24.163055806906801</v>
      </c>
      <c r="AL485">
        <v>89.417367534838505</v>
      </c>
      <c r="AM485">
        <v>87.661382775903405</v>
      </c>
      <c r="AN485">
        <v>1.00000003990549</v>
      </c>
    </row>
    <row r="486" spans="1:40" x14ac:dyDescent="0.25">
      <c r="A486" t="str">
        <f>"20190312160916949"</f>
        <v>20190312160916949</v>
      </c>
      <c r="B486" t="str">
        <f>"1552378156935256"</f>
        <v>1552378156935256</v>
      </c>
      <c r="C486" t="s">
        <v>40</v>
      </c>
      <c r="D486">
        <v>5.3956580000000001</v>
      </c>
      <c r="E486">
        <v>0.46857140000000003</v>
      </c>
      <c r="F486" t="s">
        <v>41</v>
      </c>
      <c r="G486">
        <v>-357.55160000000001</v>
      </c>
      <c r="H486" s="1">
        <v>-1.0617299999999999E-6</v>
      </c>
      <c r="I486">
        <v>369.45260000000002</v>
      </c>
      <c r="J486">
        <v>-381.5009</v>
      </c>
      <c r="K486">
        <v>1.1101859999999999</v>
      </c>
      <c r="L486">
        <v>368.16469999999998</v>
      </c>
      <c r="M486">
        <v>0.9998416</v>
      </c>
      <c r="N486">
        <v>0</v>
      </c>
      <c r="O486">
        <v>1.092831E-2</v>
      </c>
      <c r="P486">
        <v>0.99954989999999999</v>
      </c>
      <c r="Q486">
        <v>-3.7492760000000002E-3</v>
      </c>
      <c r="R486">
        <v>-2.9766319999999999E-2</v>
      </c>
      <c r="S486">
        <v>3.005585</v>
      </c>
      <c r="T486">
        <v>-0.13781189999999999</v>
      </c>
      <c r="U486">
        <v>0.16021729999999901</v>
      </c>
      <c r="V486">
        <v>4.0692300000000001E-2</v>
      </c>
      <c r="W486">
        <v>1.0272150000000001E-2</v>
      </c>
      <c r="X486">
        <v>0.99911890000000003</v>
      </c>
      <c r="Y486">
        <v>-4.2281039999999999E-2</v>
      </c>
      <c r="Z486">
        <v>4.6766709999999999E-4</v>
      </c>
      <c r="AA486">
        <v>0.99910560000000004</v>
      </c>
      <c r="AB486">
        <v>27</v>
      </c>
      <c r="AC486">
        <v>23.949299999999901</v>
      </c>
      <c r="AD486">
        <v>-1.11018706173</v>
      </c>
      <c r="AE486">
        <v>1.28790000000003</v>
      </c>
      <c r="AF486">
        <v>-1.0238780540018499</v>
      </c>
      <c r="AG486">
        <v>-1.11018706173</v>
      </c>
      <c r="AH486">
        <v>23.910713080211199</v>
      </c>
      <c r="AI486">
        <v>92.655933771911194</v>
      </c>
      <c r="AJ486">
        <v>92.451958437928994</v>
      </c>
      <c r="AK486">
        <v>23.958360578004601</v>
      </c>
      <c r="AL486">
        <v>89.411438794875494</v>
      </c>
      <c r="AM486">
        <v>87.667735862709193</v>
      </c>
      <c r="AN486">
        <v>0.99999997834106102</v>
      </c>
    </row>
    <row r="487" spans="1:40" x14ac:dyDescent="0.25">
      <c r="A487" t="str">
        <f>"20190312160916972"</f>
        <v>20190312160916972</v>
      </c>
      <c r="B487" t="str">
        <f>"1552378156965512"</f>
        <v>1552378156965512</v>
      </c>
      <c r="C487" t="s">
        <v>40</v>
      </c>
      <c r="D487">
        <v>5.4068719999999999</v>
      </c>
      <c r="E487">
        <v>0.46840609999999999</v>
      </c>
      <c r="F487" t="s">
        <v>41</v>
      </c>
      <c r="G487">
        <v>-357.149</v>
      </c>
      <c r="H487" s="1">
        <v>-1.2311379999999999E-6</v>
      </c>
      <c r="I487">
        <v>369.47120000000001</v>
      </c>
      <c r="J487">
        <v>-381.2251</v>
      </c>
      <c r="K487">
        <v>1.1101909999999999</v>
      </c>
      <c r="L487">
        <v>368.16750000000002</v>
      </c>
      <c r="M487">
        <v>0.99984340000000005</v>
      </c>
      <c r="N487">
        <v>0</v>
      </c>
      <c r="O487">
        <v>1.0769900000000001E-2</v>
      </c>
      <c r="P487">
        <v>0.99955959999999999</v>
      </c>
      <c r="Q487">
        <v>-2.6605159999999999E-3</v>
      </c>
      <c r="R487">
        <v>-2.9559350000000002E-2</v>
      </c>
      <c r="S487">
        <v>3.0056150000000001</v>
      </c>
      <c r="T487">
        <v>-0.13702320000000001</v>
      </c>
      <c r="U487">
        <v>0.16125490000000001</v>
      </c>
      <c r="V487">
        <v>4.0327340000000003E-2</v>
      </c>
      <c r="W487">
        <v>1.1359269999999999E-2</v>
      </c>
      <c r="X487">
        <v>0.99912199999999995</v>
      </c>
      <c r="Y487">
        <v>-4.2782399999999998E-2</v>
      </c>
      <c r="Z487">
        <v>4.8361059999999997E-4</v>
      </c>
      <c r="AA487">
        <v>0.99908430000000004</v>
      </c>
      <c r="AB487">
        <v>27</v>
      </c>
      <c r="AC487">
        <v>24.0761</v>
      </c>
      <c r="AD487">
        <v>-1.1101922311379999</v>
      </c>
      <c r="AE487">
        <v>1.3036999999999901</v>
      </c>
      <c r="AF487">
        <v>-1.04209229588372</v>
      </c>
      <c r="AG487">
        <v>-1.1101922311379999</v>
      </c>
      <c r="AH487">
        <v>24.037783426041202</v>
      </c>
      <c r="AI487">
        <v>92.641865714977797</v>
      </c>
      <c r="AJ487">
        <v>92.482347326255905</v>
      </c>
      <c r="AK487">
        <v>24.085960956135501</v>
      </c>
      <c r="AL487">
        <v>89.3491478052091</v>
      </c>
      <c r="AM487">
        <v>87.688637784816507</v>
      </c>
      <c r="AN487">
        <v>1.0000000491251999</v>
      </c>
    </row>
    <row r="488" spans="1:40" x14ac:dyDescent="0.25">
      <c r="A488" t="str">
        <f>"20190312160916995"</f>
        <v>20190312160916995</v>
      </c>
      <c r="B488" t="str">
        <f>"1552378156985032"</f>
        <v>1552378156985032</v>
      </c>
      <c r="C488" t="s">
        <v>40</v>
      </c>
      <c r="D488">
        <v>5.4146570000000001</v>
      </c>
      <c r="E488">
        <v>0.4683097</v>
      </c>
      <c r="F488" t="s">
        <v>41</v>
      </c>
      <c r="G488">
        <v>-356.43790000000001</v>
      </c>
      <c r="H488" s="1">
        <v>-1.5284189999999999E-6</v>
      </c>
      <c r="I488">
        <v>369.51510000000002</v>
      </c>
      <c r="J488">
        <v>-380.93299999999999</v>
      </c>
      <c r="K488">
        <v>1.1102030000000001</v>
      </c>
      <c r="L488">
        <v>368.1705</v>
      </c>
      <c r="M488">
        <v>0.99984530000000005</v>
      </c>
      <c r="N488">
        <v>0</v>
      </c>
      <c r="O488">
        <v>1.0601910000000001E-2</v>
      </c>
      <c r="P488">
        <v>0.99956129999999999</v>
      </c>
      <c r="Q488">
        <v>-2.7581770000000001E-3</v>
      </c>
      <c r="R488">
        <v>-2.9491860000000002E-2</v>
      </c>
      <c r="S488">
        <v>3.0058289999999999</v>
      </c>
      <c r="T488">
        <v>-0.1346271</v>
      </c>
      <c r="U488">
        <v>0.1634216</v>
      </c>
      <c r="V488">
        <v>4.0092299999999997E-2</v>
      </c>
      <c r="W488">
        <v>1.12601E-2</v>
      </c>
      <c r="X488">
        <v>0.99913249999999998</v>
      </c>
      <c r="Y488">
        <v>-4.3664670000000003E-2</v>
      </c>
      <c r="Z488">
        <v>5.0236780000000004E-4</v>
      </c>
      <c r="AA488">
        <v>0.99904610000000005</v>
      </c>
      <c r="AB488">
        <v>27</v>
      </c>
      <c r="AC488">
        <v>24.495100000000001</v>
      </c>
      <c r="AD488">
        <v>-1.1102045284190001</v>
      </c>
      <c r="AE488">
        <v>1.34460000000001</v>
      </c>
      <c r="AF488">
        <v>-1.0825867962575599</v>
      </c>
      <c r="AG488">
        <v>-1.1102045284190001</v>
      </c>
      <c r="AH488">
        <v>24.4578887720312</v>
      </c>
      <c r="AI488">
        <v>92.596475311406294</v>
      </c>
      <c r="AJ488">
        <v>92.534445777556201</v>
      </c>
      <c r="AK488">
        <v>24.506996377594</v>
      </c>
      <c r="AL488">
        <v>89.354830138124498</v>
      </c>
      <c r="AM488">
        <v>87.702118746409695</v>
      </c>
      <c r="AN488">
        <v>0.99999996746377395</v>
      </c>
    </row>
    <row r="489" spans="1:40" x14ac:dyDescent="0.25">
      <c r="A489" t="str">
        <f>"20190312160917017"</f>
        <v>20190312160917017</v>
      </c>
      <c r="B489" t="str">
        <f>"1552378157005527"</f>
        <v>1552378157005527</v>
      </c>
      <c r="C489" t="s">
        <v>40</v>
      </c>
      <c r="D489">
        <v>5.4334499999999997</v>
      </c>
      <c r="E489">
        <v>0.46823110000000001</v>
      </c>
      <c r="F489" t="s">
        <v>41</v>
      </c>
      <c r="G489">
        <v>-356.31990000000002</v>
      </c>
      <c r="H489" s="1">
        <v>-1.5793859999999999E-6</v>
      </c>
      <c r="I489">
        <v>369.51319999999998</v>
      </c>
      <c r="J489">
        <v>-380.66840000000002</v>
      </c>
      <c r="K489">
        <v>1.110198</v>
      </c>
      <c r="L489">
        <v>368.17309999999998</v>
      </c>
      <c r="M489">
        <v>0.99984689999999998</v>
      </c>
      <c r="N489">
        <v>0</v>
      </c>
      <c r="O489">
        <v>1.0449999999999999E-2</v>
      </c>
      <c r="P489">
        <v>0.99954489999999996</v>
      </c>
      <c r="Q489">
        <v>-2.6547989999999998E-3</v>
      </c>
      <c r="R489">
        <v>-3.0049220000000001E-2</v>
      </c>
      <c r="S489">
        <v>3.0057680000000002</v>
      </c>
      <c r="T489">
        <v>-0.13557829999999901</v>
      </c>
      <c r="U489">
        <v>0.163970899999999</v>
      </c>
      <c r="V489">
        <v>4.0497610000000003E-2</v>
      </c>
      <c r="W489">
        <v>1.136118E-2</v>
      </c>
      <c r="X489">
        <v>0.99911499999999998</v>
      </c>
      <c r="Y489">
        <v>-4.399861E-2</v>
      </c>
      <c r="Z489">
        <v>5.2028619999999997E-4</v>
      </c>
      <c r="AA489">
        <v>0.99903149999999996</v>
      </c>
      <c r="AB489">
        <v>27</v>
      </c>
      <c r="AC489">
        <v>24.348500000000001</v>
      </c>
      <c r="AD489">
        <v>-1.110199579386</v>
      </c>
      <c r="AE489">
        <v>1.3401000000000001</v>
      </c>
      <c r="AF489">
        <v>-1.08331449894126</v>
      </c>
      <c r="AG489">
        <v>-1.110199579386</v>
      </c>
      <c r="AH489">
        <v>24.3107858126663</v>
      </c>
      <c r="AI489">
        <v>92.612118658988194</v>
      </c>
      <c r="AJ489">
        <v>92.551473019714393</v>
      </c>
      <c r="AK489">
        <v>24.3602220892795</v>
      </c>
      <c r="AL489">
        <v>89.3490383039086</v>
      </c>
      <c r="AM489">
        <v>87.678873163736895</v>
      </c>
      <c r="AN489">
        <v>0.99999995802585095</v>
      </c>
    </row>
    <row r="490" spans="1:40" x14ac:dyDescent="0.25">
      <c r="A490" t="str">
        <f>"20190312160917038"</f>
        <v>20190312160917038</v>
      </c>
      <c r="B490" t="str">
        <f>"1552378157025047"</f>
        <v>1552378157025047</v>
      </c>
      <c r="C490" t="s">
        <v>40</v>
      </c>
      <c r="D490">
        <v>5.4364990000000004</v>
      </c>
      <c r="E490">
        <v>0.46814600000000001</v>
      </c>
      <c r="F490" t="s">
        <v>41</v>
      </c>
      <c r="G490">
        <v>-355.9529</v>
      </c>
      <c r="H490" s="1">
        <v>-1.736046E-6</v>
      </c>
      <c r="I490">
        <v>369.51749999999998</v>
      </c>
      <c r="J490">
        <v>-380.41269999999997</v>
      </c>
      <c r="K490">
        <v>1.110201</v>
      </c>
      <c r="L490">
        <v>368.17559999999997</v>
      </c>
      <c r="M490">
        <v>0.99984850000000003</v>
      </c>
      <c r="N490">
        <v>0</v>
      </c>
      <c r="O490">
        <v>1.0302810000000001E-2</v>
      </c>
      <c r="P490">
        <v>0.99951959999999995</v>
      </c>
      <c r="Q490">
        <v>-1.8371310000000001E-3</v>
      </c>
      <c r="R490">
        <v>-3.0946540000000002E-2</v>
      </c>
      <c r="S490">
        <v>3.0059809999999998</v>
      </c>
      <c r="T490">
        <v>-0.1350259</v>
      </c>
      <c r="U490">
        <v>0.1635132</v>
      </c>
      <c r="V490">
        <v>4.1247520000000003E-2</v>
      </c>
      <c r="W490">
        <v>1.217556E-2</v>
      </c>
      <c r="X490">
        <v>0.99907480000000004</v>
      </c>
      <c r="Y490">
        <v>-4.3990290000000001E-2</v>
      </c>
      <c r="Z490">
        <v>5.2455000000000004E-4</v>
      </c>
      <c r="AA490">
        <v>0.99903180000000003</v>
      </c>
      <c r="AB490">
        <v>27</v>
      </c>
      <c r="AC490">
        <v>24.459799999999898</v>
      </c>
      <c r="AD490">
        <v>-1.1102027360460001</v>
      </c>
      <c r="AE490">
        <v>1.3419000000000001</v>
      </c>
      <c r="AF490">
        <v>-1.0875654631587801</v>
      </c>
      <c r="AG490">
        <v>-1.1102027360460001</v>
      </c>
      <c r="AH490">
        <v>24.422165892717299</v>
      </c>
      <c r="AI490">
        <v>92.600232930617906</v>
      </c>
      <c r="AJ490">
        <v>92.549805348604806</v>
      </c>
      <c r="AK490">
        <v>24.4715658600586</v>
      </c>
      <c r="AL490">
        <v>89.302374581861798</v>
      </c>
      <c r="AM490">
        <v>87.635845262614694</v>
      </c>
      <c r="AN490">
        <v>1.0000000290812501</v>
      </c>
    </row>
    <row r="491" spans="1:40" x14ac:dyDescent="0.25">
      <c r="A491" t="str">
        <f>"20190312160917061"</f>
        <v>20190312160917061</v>
      </c>
      <c r="B491" t="str">
        <f>"1552378157055304"</f>
        <v>1552378157055304</v>
      </c>
      <c r="C491" t="s">
        <v>40</v>
      </c>
      <c r="D491">
        <v>5.4310660000000004</v>
      </c>
      <c r="E491">
        <v>0.46795140000000002</v>
      </c>
      <c r="F491" t="s">
        <v>41</v>
      </c>
      <c r="G491">
        <v>-355.37520000000001</v>
      </c>
      <c r="H491" s="1">
        <v>-1.9837839999999999E-6</v>
      </c>
      <c r="I491">
        <v>369.5181</v>
      </c>
      <c r="J491">
        <v>-380.1361</v>
      </c>
      <c r="K491">
        <v>1.1102000000000001</v>
      </c>
      <c r="L491">
        <v>368.17829999999998</v>
      </c>
      <c r="M491">
        <v>0.99985020000000002</v>
      </c>
      <c r="N491">
        <v>0</v>
      </c>
      <c r="O491">
        <v>1.014369E-2</v>
      </c>
      <c r="P491">
        <v>0.9995115</v>
      </c>
      <c r="Q491">
        <v>-1.455603E-3</v>
      </c>
      <c r="R491">
        <v>-3.1226529999999999E-2</v>
      </c>
      <c r="S491">
        <v>3.0062259999999998</v>
      </c>
      <c r="T491">
        <v>-0.1333001</v>
      </c>
      <c r="U491">
        <v>0.1611938</v>
      </c>
      <c r="V491">
        <v>4.1368710000000003E-2</v>
      </c>
      <c r="W491">
        <v>1.25551E-2</v>
      </c>
      <c r="X491">
        <v>0.99906499999999998</v>
      </c>
      <c r="Y491">
        <v>-4.3377649999999997E-2</v>
      </c>
      <c r="Z491">
        <v>5.1130030000000001E-4</v>
      </c>
      <c r="AA491">
        <v>0.99905860000000002</v>
      </c>
      <c r="AB491">
        <v>27</v>
      </c>
      <c r="AC491">
        <v>24.7608999999999</v>
      </c>
      <c r="AD491">
        <v>-1.110201983784</v>
      </c>
      <c r="AE491">
        <v>1.3398000000000201</v>
      </c>
      <c r="AF491">
        <v>-1.08636186887261</v>
      </c>
      <c r="AG491">
        <v>-1.110201983784</v>
      </c>
      <c r="AH491">
        <v>24.723659638939498</v>
      </c>
      <c r="AI491">
        <v>92.568632280542403</v>
      </c>
      <c r="AJ491">
        <v>92.515968041351002</v>
      </c>
      <c r="AK491">
        <v>24.772405545224299</v>
      </c>
      <c r="AL491">
        <v>89.280626813606403</v>
      </c>
      <c r="AM491">
        <v>87.628883786037605</v>
      </c>
      <c r="AN491">
        <v>0.99999993746403504</v>
      </c>
    </row>
    <row r="492" spans="1:40" x14ac:dyDescent="0.25">
      <c r="A492" t="str">
        <f>"20190312160917085"</f>
        <v>20190312160917085</v>
      </c>
      <c r="B492" t="str">
        <f>"1552378157075800"</f>
        <v>1552378157075800</v>
      </c>
      <c r="C492" t="s">
        <v>40</v>
      </c>
      <c r="D492">
        <v>5.4410369999999997</v>
      </c>
      <c r="E492">
        <v>0.46791949999999999</v>
      </c>
      <c r="F492" t="s">
        <v>41</v>
      </c>
      <c r="G492">
        <v>-354.91480000000001</v>
      </c>
      <c r="H492" s="1">
        <v>-2.1780179999999998E-6</v>
      </c>
      <c r="I492">
        <v>369.53640000000001</v>
      </c>
      <c r="J492">
        <v>-379.84890000000001</v>
      </c>
      <c r="K492">
        <v>1.110201</v>
      </c>
      <c r="L492">
        <v>368.18099999999998</v>
      </c>
      <c r="M492">
        <v>0.99985179999999996</v>
      </c>
      <c r="N492">
        <v>0</v>
      </c>
      <c r="O492">
        <v>9.9779719999999999E-3</v>
      </c>
      <c r="P492">
        <v>0.99949440000000001</v>
      </c>
      <c r="Q492">
        <v>-1.57893799999999E-3</v>
      </c>
      <c r="R492">
        <v>-3.1759900000000001E-2</v>
      </c>
      <c r="S492">
        <v>3.006348</v>
      </c>
      <c r="T492">
        <v>-0.13233420000000001</v>
      </c>
      <c r="U492">
        <v>0.16189579999999901</v>
      </c>
      <c r="V492">
        <v>4.1736120000000002E-2</v>
      </c>
      <c r="W492">
        <v>1.2428740000000001E-2</v>
      </c>
      <c r="X492">
        <v>0.99905129999999998</v>
      </c>
      <c r="Y492">
        <v>-4.3773579999999999E-2</v>
      </c>
      <c r="Z492">
        <v>5.2356479999999996E-4</v>
      </c>
      <c r="AA492">
        <v>0.99904130000000002</v>
      </c>
      <c r="AB492">
        <v>27</v>
      </c>
      <c r="AC492">
        <v>24.934100000000001</v>
      </c>
      <c r="AD492">
        <v>-1.1102031780179999</v>
      </c>
      <c r="AE492">
        <v>1.3554000000000299</v>
      </c>
      <c r="AF492">
        <v>-1.1043333622317899</v>
      </c>
      <c r="AG492">
        <v>-1.1102031780179999</v>
      </c>
      <c r="AH492">
        <v>24.897170270115499</v>
      </c>
      <c r="AI492">
        <v>92.550711067580806</v>
      </c>
      <c r="AJ492">
        <v>92.539734173299394</v>
      </c>
      <c r="AK492">
        <v>24.946366283099099</v>
      </c>
      <c r="AL492">
        <v>89.287867274567802</v>
      </c>
      <c r="AM492">
        <v>87.6078166633</v>
      </c>
      <c r="AN492">
        <v>0.99999993866116399</v>
      </c>
    </row>
    <row r="493" spans="1:40" x14ac:dyDescent="0.25">
      <c r="A493" t="str">
        <f>"20190312160917108"</f>
        <v>20190312160917108</v>
      </c>
      <c r="B493" t="str">
        <f>"1552378157095321"</f>
        <v>1552378157095321</v>
      </c>
      <c r="C493" t="s">
        <v>40</v>
      </c>
      <c r="D493">
        <v>5.4885359999999999</v>
      </c>
      <c r="E493">
        <v>0.46774739999999998</v>
      </c>
      <c r="F493" t="s">
        <v>41</v>
      </c>
      <c r="G493">
        <v>-354.7022</v>
      </c>
      <c r="H493" s="1">
        <v>-2.2717409999999999E-6</v>
      </c>
      <c r="I493">
        <v>369.5224</v>
      </c>
      <c r="J493">
        <v>-379.57319999999999</v>
      </c>
      <c r="K493">
        <v>1.1102030000000001</v>
      </c>
      <c r="L493">
        <v>368.18360000000001</v>
      </c>
      <c r="M493">
        <v>0.9998534</v>
      </c>
      <c r="N493">
        <v>0</v>
      </c>
      <c r="O493">
        <v>9.8193359999999997E-3</v>
      </c>
      <c r="P493">
        <v>0.99948329999999996</v>
      </c>
      <c r="Q493">
        <v>-1.5918130000000001E-3</v>
      </c>
      <c r="R493">
        <v>-3.2104059999999997E-2</v>
      </c>
      <c r="S493">
        <v>3.0063780000000002</v>
      </c>
      <c r="T493">
        <v>-0.13272819999999999</v>
      </c>
      <c r="U493">
        <v>0.16036989999999901</v>
      </c>
      <c r="V493">
        <v>4.1921739999999999E-2</v>
      </c>
      <c r="W493">
        <v>1.2413489999999999E-2</v>
      </c>
      <c r="X493">
        <v>0.99904380000000004</v>
      </c>
      <c r="Y493">
        <v>-4.3425909999999998E-2</v>
      </c>
      <c r="Z493">
        <v>5.2445289999999999E-4</v>
      </c>
      <c r="AA493">
        <v>0.99905650000000001</v>
      </c>
      <c r="AB493">
        <v>27</v>
      </c>
      <c r="AC493">
        <v>24.870999999999899</v>
      </c>
      <c r="AD493">
        <v>-1.110205271741</v>
      </c>
      <c r="AE493">
        <v>1.33879999999999</v>
      </c>
      <c r="AF493">
        <v>-1.0923244307648901</v>
      </c>
      <c r="AG493">
        <v>-1.110205271741</v>
      </c>
      <c r="AH493">
        <v>24.833607662921398</v>
      </c>
      <c r="AI493">
        <v>92.557277536739804</v>
      </c>
      <c r="AJ493">
        <v>92.518573419054803</v>
      </c>
      <c r="AK493">
        <v>24.882399361061601</v>
      </c>
      <c r="AL493">
        <v>89.288741161001994</v>
      </c>
      <c r="AM493">
        <v>87.597171932777599</v>
      </c>
      <c r="AN493">
        <v>1.00000002066852</v>
      </c>
    </row>
    <row r="494" spans="1:40" x14ac:dyDescent="0.25">
      <c r="A494" t="str">
        <f>"20190312160917128"</f>
        <v>20190312160917128</v>
      </c>
      <c r="B494" t="str">
        <f>"1552378157125576"</f>
        <v>1552378157125576</v>
      </c>
      <c r="C494" t="s">
        <v>40</v>
      </c>
      <c r="D494">
        <v>5.6635999999999997</v>
      </c>
      <c r="E494">
        <v>0.50083650000000002</v>
      </c>
      <c r="F494" t="s">
        <v>41</v>
      </c>
      <c r="G494">
        <v>-354.15249999999997</v>
      </c>
      <c r="H494" s="1">
        <v>-2.5031089999999998E-6</v>
      </c>
      <c r="I494">
        <v>369.54750000000001</v>
      </c>
      <c r="J494">
        <v>-379.31790000000001</v>
      </c>
      <c r="K494">
        <v>1.1102099999999999</v>
      </c>
      <c r="L494">
        <v>368.1859</v>
      </c>
      <c r="M494">
        <v>0.99985469999999999</v>
      </c>
      <c r="N494">
        <v>0</v>
      </c>
      <c r="O494">
        <v>9.6727370000000007E-3</v>
      </c>
      <c r="P494">
        <v>0.99946690000000005</v>
      </c>
      <c r="Q494">
        <v>-2.3152000000000001E-4</v>
      </c>
      <c r="R494">
        <v>-3.2649440000000002E-2</v>
      </c>
      <c r="S494">
        <v>3.0065309999999998</v>
      </c>
      <c r="T494">
        <v>-0.13130429999999901</v>
      </c>
      <c r="U494">
        <v>0.16131589999999901</v>
      </c>
      <c r="V494">
        <v>4.2320749999999997E-2</v>
      </c>
      <c r="W494">
        <v>1.377045E-2</v>
      </c>
      <c r="X494">
        <v>0.99900919999999904</v>
      </c>
      <c r="Y494">
        <v>-4.3883289999999998E-2</v>
      </c>
      <c r="Z494">
        <v>5.3517120000000004E-4</v>
      </c>
      <c r="AA494">
        <v>0.99903660000000005</v>
      </c>
      <c r="AB494">
        <v>27</v>
      </c>
      <c r="AC494">
        <v>25.165400000000002</v>
      </c>
      <c r="AD494">
        <v>-1.110212503109</v>
      </c>
      <c r="AE494">
        <v>1.3616000000000099</v>
      </c>
      <c r="AF494">
        <v>-1.11592844527312</v>
      </c>
      <c r="AG494">
        <v>-1.110212503109</v>
      </c>
      <c r="AH494">
        <v>25.128629669539102</v>
      </c>
      <c r="AI494">
        <v>92.527262401829802</v>
      </c>
      <c r="AJ494">
        <v>92.542757379092805</v>
      </c>
      <c r="AK494">
        <v>25.177885081274599</v>
      </c>
      <c r="AL494">
        <v>89.210986416362502</v>
      </c>
      <c r="AM494">
        <v>87.574245157232397</v>
      </c>
      <c r="AN494">
        <v>1.0000000264291999</v>
      </c>
    </row>
    <row r="495" spans="1:40" x14ac:dyDescent="0.25">
      <c r="A495" t="str">
        <f>"20190312160917149"</f>
        <v>20190312160917149</v>
      </c>
      <c r="B495" t="str">
        <f>"1552378157145096"</f>
        <v>1552378157145096</v>
      </c>
      <c r="C495" t="s">
        <v>40</v>
      </c>
      <c r="D495">
        <v>5.6148579999999999</v>
      </c>
      <c r="E495">
        <v>0.50638709999999998</v>
      </c>
      <c r="F495" t="s">
        <v>42</v>
      </c>
      <c r="G495">
        <v>-378.40600000000001</v>
      </c>
      <c r="H495">
        <v>1.03176</v>
      </c>
      <c r="I495">
        <v>368.15429999999998</v>
      </c>
      <c r="J495">
        <v>-379.05959999999999</v>
      </c>
      <c r="K495">
        <v>1.110217</v>
      </c>
      <c r="L495">
        <v>368.18819999999999</v>
      </c>
      <c r="M495">
        <v>0.99985639999999998</v>
      </c>
      <c r="N495">
        <v>0</v>
      </c>
      <c r="O495">
        <v>9.5241070000000004E-3</v>
      </c>
      <c r="P495">
        <v>0.99947609999999998</v>
      </c>
      <c r="Q495">
        <v>4.7734980000000002E-4</v>
      </c>
      <c r="R495">
        <v>-3.2365369999999997E-2</v>
      </c>
      <c r="S495">
        <v>2.998138</v>
      </c>
      <c r="T495">
        <v>-0.25796149999999901</v>
      </c>
      <c r="U495">
        <v>-0.1037598</v>
      </c>
      <c r="V495">
        <v>4.1888759999999997E-2</v>
      </c>
      <c r="W495">
        <v>1.447705E-2</v>
      </c>
      <c r="X495">
        <v>0.99901740000000006</v>
      </c>
      <c r="Y495">
        <v>4.3907939999999999E-2</v>
      </c>
      <c r="Z495">
        <v>-2.702697E-3</v>
      </c>
      <c r="AA495">
        <v>0.99903189999999997</v>
      </c>
      <c r="AB495">
        <v>27</v>
      </c>
      <c r="AC495">
        <v>0.65359999999998297</v>
      </c>
      <c r="AD495">
        <v>-7.8456999999999999E-2</v>
      </c>
      <c r="AE495">
        <v>-3.3900000000016903E-2</v>
      </c>
      <c r="AF495">
        <v>3.9555595507741202E-2</v>
      </c>
      <c r="AG495">
        <v>-7.8456999999999999E-2</v>
      </c>
      <c r="AH495">
        <v>0.64399293591655005</v>
      </c>
      <c r="AI495">
        <v>96.933117485607497</v>
      </c>
      <c r="AJ495">
        <v>86.485171081822401</v>
      </c>
      <c r="AK495">
        <v>0.64995926602779497</v>
      </c>
      <c r="AL495">
        <v>89.170497166010804</v>
      </c>
      <c r="AM495">
        <v>87.598996661307297</v>
      </c>
      <c r="AN495">
        <v>1.0000000093468999</v>
      </c>
    </row>
    <row r="496" spans="1:40" x14ac:dyDescent="0.25">
      <c r="A496" t="str">
        <f>"20190312160917173"</f>
        <v>20190312160917173</v>
      </c>
      <c r="B496" t="str">
        <f>"1552378157165592"</f>
        <v>1552378157165592</v>
      </c>
      <c r="C496" t="s">
        <v>40</v>
      </c>
      <c r="D496">
        <v>5.6675550000000001</v>
      </c>
      <c r="E496">
        <v>0.51167089999999904</v>
      </c>
      <c r="F496" t="s">
        <v>42</v>
      </c>
      <c r="G496">
        <v>-378.17340000000002</v>
      </c>
      <c r="H496">
        <v>1.013428</v>
      </c>
      <c r="I496">
        <v>368.14440000000002</v>
      </c>
      <c r="J496">
        <v>-378.77760000000001</v>
      </c>
      <c r="K496">
        <v>1.1102179999999999</v>
      </c>
      <c r="L496">
        <v>368.19069999999999</v>
      </c>
      <c r="M496">
        <v>0.99985800000000002</v>
      </c>
      <c r="N496">
        <v>0</v>
      </c>
      <c r="O496">
        <v>9.361421E-3</v>
      </c>
      <c r="P496">
        <v>0.99945879999999998</v>
      </c>
      <c r="Q496">
        <v>7.49586E-4</v>
      </c>
      <c r="R496">
        <v>-3.2886609999999997E-2</v>
      </c>
      <c r="S496">
        <v>2.9970089999999998</v>
      </c>
      <c r="T496">
        <v>-0.3274376</v>
      </c>
      <c r="U496">
        <v>-0.14752199999999999</v>
      </c>
      <c r="V496">
        <v>4.2247180000000002E-2</v>
      </c>
      <c r="W496">
        <v>1.4745960000000001E-2</v>
      </c>
      <c r="X496">
        <v>0.99899830000000001</v>
      </c>
      <c r="Y496">
        <v>5.8111820000000002E-2</v>
      </c>
      <c r="Z496">
        <v>-4.1824640000000003E-3</v>
      </c>
      <c r="AA496">
        <v>0.99830129999999995</v>
      </c>
      <c r="AB496">
        <v>27</v>
      </c>
      <c r="AC496">
        <v>0.60419999999999097</v>
      </c>
      <c r="AD496">
        <v>-9.6789999999999904E-2</v>
      </c>
      <c r="AE496">
        <v>-4.62999999999738E-2</v>
      </c>
      <c r="AF496">
        <v>5.0662167106503599E-2</v>
      </c>
      <c r="AG496">
        <v>-9.6789999999999904E-2</v>
      </c>
      <c r="AH496">
        <v>0.58872019058082403</v>
      </c>
      <c r="AI496">
        <v>99.302555710685894</v>
      </c>
      <c r="AJ496">
        <v>85.081543379547796</v>
      </c>
      <c r="AK496">
        <v>0.598770759200421</v>
      </c>
      <c r="AL496">
        <v>89.1550880506488</v>
      </c>
      <c r="AM496">
        <v>87.578430652992694</v>
      </c>
      <c r="AN496">
        <v>0.99999993547857902</v>
      </c>
    </row>
    <row r="497" spans="1:40" x14ac:dyDescent="0.25">
      <c r="A497" t="str">
        <f>"20190312160917196"</f>
        <v>20190312160917196</v>
      </c>
      <c r="B497" t="str">
        <f>"1552378157185112"</f>
        <v>1552378157185112</v>
      </c>
      <c r="C497" t="s">
        <v>40</v>
      </c>
      <c r="D497">
        <v>5.5954959999999998</v>
      </c>
      <c r="E497">
        <v>0.51327250000000002</v>
      </c>
      <c r="F497" t="s">
        <v>42</v>
      </c>
      <c r="G497">
        <v>-377.93700000000001</v>
      </c>
      <c r="H497">
        <v>1.003466</v>
      </c>
      <c r="I497">
        <v>368.13670000000002</v>
      </c>
      <c r="J497">
        <v>-378.50020000000001</v>
      </c>
      <c r="K497">
        <v>1.11022</v>
      </c>
      <c r="L497">
        <v>368.19310000000002</v>
      </c>
      <c r="M497">
        <v>0.99985939999999995</v>
      </c>
      <c r="N497">
        <v>0</v>
      </c>
      <c r="O497">
        <v>9.2017090000000006E-3</v>
      </c>
      <c r="P497">
        <v>0.99942359999999997</v>
      </c>
      <c r="Q497">
        <v>3.348092E-4</v>
      </c>
      <c r="R497">
        <v>-3.3947110000000003E-2</v>
      </c>
      <c r="S497">
        <v>2.9956049999999999</v>
      </c>
      <c r="T497">
        <v>-0.38050279999999997</v>
      </c>
      <c r="U497">
        <v>-0.19122310000000001</v>
      </c>
      <c r="V497">
        <v>4.3147499999999998E-2</v>
      </c>
      <c r="W497">
        <v>1.432782E-2</v>
      </c>
      <c r="X497">
        <v>0.99896600000000002</v>
      </c>
      <c r="Y497">
        <v>7.2234339999999994E-2</v>
      </c>
      <c r="Z497">
        <v>-5.7278140000000003E-3</v>
      </c>
      <c r="AA497">
        <v>0.99737129999999996</v>
      </c>
      <c r="AB497">
        <v>27</v>
      </c>
      <c r="AC497">
        <v>0.56320000000005099</v>
      </c>
      <c r="AD497">
        <v>-0.106754</v>
      </c>
      <c r="AE497">
        <v>-5.6399999999996397E-2</v>
      </c>
      <c r="AF497">
        <v>5.9465221126944898E-2</v>
      </c>
      <c r="AG497">
        <v>-0.106754</v>
      </c>
      <c r="AH497">
        <v>0.54332974745491802</v>
      </c>
      <c r="AI497">
        <v>101.05158140422</v>
      </c>
      <c r="AJ497">
        <v>83.754070609304605</v>
      </c>
      <c r="AK497">
        <v>0.55690191551933199</v>
      </c>
      <c r="AL497">
        <v>89.179048319959406</v>
      </c>
      <c r="AM497">
        <v>87.526808684335805</v>
      </c>
      <c r="AN497">
        <v>1.0000000311691</v>
      </c>
    </row>
    <row r="498" spans="1:40" x14ac:dyDescent="0.25">
      <c r="A498" t="str">
        <f>"20190312160917217"</f>
        <v>20190312160917217</v>
      </c>
      <c r="B498" t="str">
        <f>"1552378157205601"</f>
        <v>1552378157205601</v>
      </c>
      <c r="C498" t="s">
        <v>40</v>
      </c>
      <c r="D498">
        <v>5.6553519999999997</v>
      </c>
      <c r="E498">
        <v>0.51500140000000005</v>
      </c>
      <c r="F498" t="s">
        <v>42</v>
      </c>
      <c r="G498">
        <v>-377.69380000000001</v>
      </c>
      <c r="H498">
        <v>1.0076430000000001</v>
      </c>
      <c r="I498">
        <v>368.13729999999998</v>
      </c>
      <c r="J498">
        <v>-378.24959999999999</v>
      </c>
      <c r="K498">
        <v>1.110222</v>
      </c>
      <c r="L498">
        <v>368.19529999999997</v>
      </c>
      <c r="M498">
        <v>0.99986079999999999</v>
      </c>
      <c r="N498">
        <v>0</v>
      </c>
      <c r="O498">
        <v>9.0575499999999993E-3</v>
      </c>
      <c r="P498">
        <v>0.99939310000000003</v>
      </c>
      <c r="Q498">
        <v>2.4774200000000001E-4</v>
      </c>
      <c r="R498">
        <v>-3.483493E-2</v>
      </c>
      <c r="S498">
        <v>2.9948429999999999</v>
      </c>
      <c r="T498">
        <v>-0.38106990000000002</v>
      </c>
      <c r="U498">
        <v>-0.2064819</v>
      </c>
      <c r="V498">
        <v>4.389088E-2</v>
      </c>
      <c r="W498">
        <v>1.4237700000000001E-2</v>
      </c>
      <c r="X498">
        <v>0.99893489999999996</v>
      </c>
      <c r="Y498">
        <v>7.7125009999999994E-2</v>
      </c>
      <c r="Z498">
        <v>-6.0280639999999996E-3</v>
      </c>
      <c r="AA498">
        <v>0.99700319999999998</v>
      </c>
      <c r="AB498">
        <v>27</v>
      </c>
      <c r="AC498">
        <v>0.55579999999997598</v>
      </c>
      <c r="AD498">
        <v>-0.102578999999999</v>
      </c>
      <c r="AE498">
        <v>-5.7999999999992703E-2</v>
      </c>
      <c r="AF498">
        <v>6.0977610319596802E-2</v>
      </c>
      <c r="AG498">
        <v>-0.102578999999999</v>
      </c>
      <c r="AH498">
        <v>0.53715202864675704</v>
      </c>
      <c r="AI498">
        <v>100.744117239796</v>
      </c>
      <c r="AJ498">
        <v>83.523496744012704</v>
      </c>
      <c r="AK498">
        <v>0.55024814591292803</v>
      </c>
      <c r="AL498">
        <v>89.184212339568106</v>
      </c>
      <c r="AM498">
        <v>87.484174605234003</v>
      </c>
      <c r="AN498">
        <v>1.00000002794323</v>
      </c>
    </row>
    <row r="499" spans="1:40" x14ac:dyDescent="0.25">
      <c r="A499" t="str">
        <f>"20190312160917240"</f>
        <v>20190312160917240</v>
      </c>
      <c r="B499" t="str">
        <f>"1552378157235856"</f>
        <v>1552378157235856</v>
      </c>
      <c r="C499" t="s">
        <v>40</v>
      </c>
      <c r="D499">
        <v>5.6024099999999999</v>
      </c>
      <c r="E499">
        <v>0.51616839999999997</v>
      </c>
      <c r="F499" t="s">
        <v>42</v>
      </c>
      <c r="G499">
        <v>-377.45330000000001</v>
      </c>
      <c r="H499">
        <v>1.0070330000000001</v>
      </c>
      <c r="I499">
        <v>368.13580000000002</v>
      </c>
      <c r="J499">
        <v>-377.97280000000001</v>
      </c>
      <c r="K499">
        <v>1.1102270000000001</v>
      </c>
      <c r="L499">
        <v>368.19760000000002</v>
      </c>
      <c r="M499">
        <v>0.99986229999999998</v>
      </c>
      <c r="N499">
        <v>0</v>
      </c>
      <c r="O499">
        <v>8.8979579999999992E-3</v>
      </c>
      <c r="P499">
        <v>0.99937489999999995</v>
      </c>
      <c r="Q499">
        <v>1.0621389999999999E-3</v>
      </c>
      <c r="R499">
        <v>-3.5345019999999998E-2</v>
      </c>
      <c r="S499">
        <v>2.9941409999999999</v>
      </c>
      <c r="T499">
        <v>-0.38800079999999998</v>
      </c>
      <c r="U499">
        <v>-0.22286990000000001</v>
      </c>
      <c r="V499">
        <v>4.424165E-2</v>
      </c>
      <c r="W499">
        <v>1.504919E-2</v>
      </c>
      <c r="X499">
        <v>0.99890749999999995</v>
      </c>
      <c r="Y499">
        <v>8.2342490000000004E-2</v>
      </c>
      <c r="Z499">
        <v>-6.4526719999999996E-3</v>
      </c>
      <c r="AA499">
        <v>0.9965832</v>
      </c>
      <c r="AB499">
        <v>27</v>
      </c>
      <c r="AC499">
        <v>0.51949999999999297</v>
      </c>
      <c r="AD499">
        <v>-0.10319399999999999</v>
      </c>
      <c r="AE499">
        <v>-6.1800000000005101E-2</v>
      </c>
      <c r="AF499">
        <v>6.3933012987060805E-2</v>
      </c>
      <c r="AG499">
        <v>-0.10319399999999999</v>
      </c>
      <c r="AH499">
        <v>0.49949529843747098</v>
      </c>
      <c r="AI499">
        <v>101.58098800835</v>
      </c>
      <c r="AJ499">
        <v>82.706072882638395</v>
      </c>
      <c r="AK499">
        <v>0.514035003620125</v>
      </c>
      <c r="AL499">
        <v>89.137712375568199</v>
      </c>
      <c r="AM499">
        <v>87.464025142289898</v>
      </c>
      <c r="AN499">
        <v>0.999999997635314</v>
      </c>
    </row>
    <row r="500" spans="1:40" x14ac:dyDescent="0.25">
      <c r="A500" t="str">
        <f>"20190312160917262"</f>
        <v>20190312160917262</v>
      </c>
      <c r="B500" t="str">
        <f>"1552378157255377"</f>
        <v>1552378157255377</v>
      </c>
      <c r="C500" t="s">
        <v>40</v>
      </c>
      <c r="D500">
        <v>5.6570669999999996</v>
      </c>
      <c r="E500">
        <v>0.51711909999999905</v>
      </c>
      <c r="F500" t="s">
        <v>42</v>
      </c>
      <c r="G500">
        <v>-377.2115</v>
      </c>
      <c r="H500">
        <v>1.009849</v>
      </c>
      <c r="I500">
        <v>368.13799999999998</v>
      </c>
      <c r="J500">
        <v>-377.70620000000002</v>
      </c>
      <c r="K500">
        <v>1.1102339999999999</v>
      </c>
      <c r="L500">
        <v>368.19979999999998</v>
      </c>
      <c r="M500">
        <v>0.99986370000000002</v>
      </c>
      <c r="N500">
        <v>0</v>
      </c>
      <c r="O500">
        <v>8.7446250000000007E-3</v>
      </c>
      <c r="P500">
        <v>0.99935909999999994</v>
      </c>
      <c r="Q500">
        <v>2.34111E-3</v>
      </c>
      <c r="R500">
        <v>-3.5725819999999998E-2</v>
      </c>
      <c r="S500">
        <v>2.994049</v>
      </c>
      <c r="T500">
        <v>-0.39488780000000001</v>
      </c>
      <c r="U500">
        <v>-0.23379520000000001</v>
      </c>
      <c r="V500">
        <v>4.4469420000000003E-2</v>
      </c>
      <c r="W500">
        <v>1.6325050000000001E-2</v>
      </c>
      <c r="X500">
        <v>0.99887729999999997</v>
      </c>
      <c r="Y500">
        <v>8.5752049999999996E-2</v>
      </c>
      <c r="Z500">
        <v>-6.7689689999999997E-3</v>
      </c>
      <c r="AA500">
        <v>0.99629350000000005</v>
      </c>
      <c r="AB500">
        <v>27</v>
      </c>
      <c r="AC500">
        <v>0.49470000000002201</v>
      </c>
      <c r="AD500">
        <v>-0.100384999999999</v>
      </c>
      <c r="AE500">
        <v>-6.1799999999948299E-2</v>
      </c>
      <c r="AF500">
        <v>6.35475436677337E-2</v>
      </c>
      <c r="AG500">
        <v>-0.100384999999999</v>
      </c>
      <c r="AH500">
        <v>0.47488671706278401</v>
      </c>
      <c r="AI500">
        <v>101.83341800326301</v>
      </c>
      <c r="AJ500">
        <v>82.378174463813906</v>
      </c>
      <c r="AK500">
        <v>0.48952306643698701</v>
      </c>
      <c r="AL500">
        <v>89.0646019349646</v>
      </c>
      <c r="AM500">
        <v>87.450909353462706</v>
      </c>
      <c r="AN500">
        <v>0.99999994851396301</v>
      </c>
    </row>
    <row r="501" spans="1:40" x14ac:dyDescent="0.25">
      <c r="A501" t="str">
        <f>"20190312160917286"</f>
        <v>20190312160917286</v>
      </c>
      <c r="B501" t="str">
        <f>"1552378157275873"</f>
        <v>1552378157275873</v>
      </c>
      <c r="C501" t="s">
        <v>40</v>
      </c>
      <c r="D501">
        <v>5.6333599999999997</v>
      </c>
      <c r="E501">
        <v>0.51824170000000003</v>
      </c>
      <c r="F501" t="s">
        <v>42</v>
      </c>
      <c r="G501">
        <v>-376.9699</v>
      </c>
      <c r="H501">
        <v>1.0127139999999999</v>
      </c>
      <c r="I501">
        <v>368.13990000000001</v>
      </c>
      <c r="J501">
        <v>-377.42410000000001</v>
      </c>
      <c r="K501">
        <v>1.110242</v>
      </c>
      <c r="L501">
        <v>368.202</v>
      </c>
      <c r="M501">
        <v>0.99986520000000001</v>
      </c>
      <c r="N501">
        <v>0</v>
      </c>
      <c r="O501">
        <v>8.5821760000000004E-3</v>
      </c>
      <c r="P501">
        <v>0.99936290000000005</v>
      </c>
      <c r="Q501">
        <v>3.5484900000000001E-3</v>
      </c>
      <c r="R501">
        <v>-3.5518519999999998E-2</v>
      </c>
      <c r="S501">
        <v>2.9941710000000001</v>
      </c>
      <c r="T501">
        <v>-0.39663599999999999</v>
      </c>
      <c r="U501">
        <v>-0.24276729999999999</v>
      </c>
      <c r="V501">
        <v>4.4100309999999997E-2</v>
      </c>
      <c r="W501">
        <v>1.752985E-2</v>
      </c>
      <c r="X501">
        <v>0.99887329999999996</v>
      </c>
      <c r="Y501">
        <v>8.8523779999999996E-2</v>
      </c>
      <c r="Z501">
        <v>-6.9587039999999996E-3</v>
      </c>
      <c r="AA501">
        <v>0.99604979999999999</v>
      </c>
      <c r="AB501">
        <v>27</v>
      </c>
      <c r="AC501">
        <v>0.45420000000001398</v>
      </c>
      <c r="AD501">
        <v>-9.7528000000000004E-2</v>
      </c>
      <c r="AE501">
        <v>-6.2099999999986701E-2</v>
      </c>
      <c r="AF501">
        <v>6.3138431794377406E-2</v>
      </c>
      <c r="AG501">
        <v>-9.7528000000000004E-2</v>
      </c>
      <c r="AH501">
        <v>0.434006829221669</v>
      </c>
      <c r="AI501">
        <v>102.53712331500201</v>
      </c>
      <c r="AJ501">
        <v>81.722792945635703</v>
      </c>
      <c r="AK501">
        <v>0.44928843760384102</v>
      </c>
      <c r="AL501">
        <v>88.995562133016605</v>
      </c>
      <c r="AM501">
        <v>87.472029924705794</v>
      </c>
      <c r="AN501">
        <v>1.0000000012179999</v>
      </c>
    </row>
    <row r="502" spans="1:40" x14ac:dyDescent="0.25">
      <c r="A502" t="str">
        <f>"20190312160917309"</f>
        <v>20190312160917309</v>
      </c>
      <c r="B502" t="str">
        <f>"1552378157295801"</f>
        <v>1552378157295801</v>
      </c>
      <c r="C502" t="s">
        <v>40</v>
      </c>
      <c r="D502">
        <v>5.7118769999999897</v>
      </c>
      <c r="E502">
        <v>0.52009510000000003</v>
      </c>
      <c r="F502" t="s">
        <v>42</v>
      </c>
      <c r="G502">
        <v>-376.50209999999998</v>
      </c>
      <c r="H502">
        <v>0.9888266</v>
      </c>
      <c r="I502">
        <v>368.12439999999998</v>
      </c>
      <c r="J502">
        <v>-377.15050000000002</v>
      </c>
      <c r="K502">
        <v>1.1102399999999999</v>
      </c>
      <c r="L502">
        <v>368.20429999999999</v>
      </c>
      <c r="M502">
        <v>0.99986649999999999</v>
      </c>
      <c r="N502">
        <v>0</v>
      </c>
      <c r="O502">
        <v>8.4243749999999996E-3</v>
      </c>
      <c r="P502">
        <v>0.99938360000000004</v>
      </c>
      <c r="Q502">
        <v>2.9059369999999999E-3</v>
      </c>
      <c r="R502">
        <v>-3.4992349999999998E-2</v>
      </c>
      <c r="S502">
        <v>2.994415</v>
      </c>
      <c r="T502">
        <v>-0.39441559999999998</v>
      </c>
      <c r="U502">
        <v>-0.2514343</v>
      </c>
      <c r="V502">
        <v>4.3416250000000003E-2</v>
      </c>
      <c r="W502">
        <v>1.6885259999999999E-2</v>
      </c>
      <c r="X502">
        <v>0.99891439999999998</v>
      </c>
      <c r="Y502">
        <v>9.1211249999999994E-2</v>
      </c>
      <c r="Z502">
        <v>-7.0739799999999997E-3</v>
      </c>
      <c r="AA502">
        <v>0.99580650000000004</v>
      </c>
      <c r="AB502">
        <v>27</v>
      </c>
      <c r="AC502">
        <v>0.64840000000003695</v>
      </c>
      <c r="AD502">
        <v>-0.12141339999999901</v>
      </c>
      <c r="AE502">
        <v>-7.9900000000009103E-2</v>
      </c>
      <c r="AF502">
        <v>8.25102913182931E-2</v>
      </c>
      <c r="AG502">
        <v>-0.12141339999999901</v>
      </c>
      <c r="AH502">
        <v>0.62608001449214301</v>
      </c>
      <c r="AI502">
        <v>100.883105901967</v>
      </c>
      <c r="AJ502">
        <v>82.492327457098995</v>
      </c>
      <c r="AK502">
        <v>0.64305936461532998</v>
      </c>
      <c r="AL502">
        <v>89.032499917643406</v>
      </c>
      <c r="AM502">
        <v>87.511294998232302</v>
      </c>
      <c r="AN502">
        <v>1.0000000306483401</v>
      </c>
    </row>
    <row r="503" spans="1:40" x14ac:dyDescent="0.25">
      <c r="A503" t="str">
        <f>"20190312160917328"</f>
        <v>20190312160917328</v>
      </c>
      <c r="B503" t="str">
        <f>"1552378157315321"</f>
        <v>1552378157315321</v>
      </c>
      <c r="C503" t="s">
        <v>40</v>
      </c>
      <c r="D503">
        <v>5.6983180000000004</v>
      </c>
      <c r="E503">
        <v>0.52101189999999997</v>
      </c>
      <c r="F503" t="s">
        <v>42</v>
      </c>
      <c r="G503">
        <v>-376.26179999999999</v>
      </c>
      <c r="H503">
        <v>0.99079300000000003</v>
      </c>
      <c r="I503">
        <v>368.12529999999998</v>
      </c>
      <c r="J503">
        <v>-376.91669999999999</v>
      </c>
      <c r="K503">
        <v>1.1102299999999901</v>
      </c>
      <c r="L503">
        <v>368.20609999999999</v>
      </c>
      <c r="M503">
        <v>0.99986770000000003</v>
      </c>
      <c r="N503">
        <v>0</v>
      </c>
      <c r="O503">
        <v>8.2894560000000006E-3</v>
      </c>
      <c r="P503">
        <v>0.99940200000000001</v>
      </c>
      <c r="Q503">
        <v>2.765418E-3</v>
      </c>
      <c r="R503">
        <v>-3.4472269999999999E-2</v>
      </c>
      <c r="S503">
        <v>2.9937740000000002</v>
      </c>
      <c r="T503">
        <v>-0.40255079999999999</v>
      </c>
      <c r="U503">
        <v>-0.26443480000000003</v>
      </c>
      <c r="V503">
        <v>4.2761500000000001E-2</v>
      </c>
      <c r="W503">
        <v>1.674318E-2</v>
      </c>
      <c r="X503">
        <v>0.99894499999999997</v>
      </c>
      <c r="Y503">
        <v>9.5315380000000005E-2</v>
      </c>
      <c r="Z503">
        <v>-7.4749439999999999E-3</v>
      </c>
      <c r="AA503">
        <v>0.9954191</v>
      </c>
      <c r="AB503">
        <v>27</v>
      </c>
      <c r="AC503">
        <v>0.65489999999999704</v>
      </c>
      <c r="AD503">
        <v>-0.119436999999999</v>
      </c>
      <c r="AE503">
        <v>-8.0800000000010599E-2</v>
      </c>
      <c r="AF503">
        <v>8.3491203955436202E-2</v>
      </c>
      <c r="AG503">
        <v>-0.119436999999999</v>
      </c>
      <c r="AH503">
        <v>0.63345457638805702</v>
      </c>
      <c r="AI503">
        <v>100.588209963202</v>
      </c>
      <c r="AJ503">
        <v>82.491524776882102</v>
      </c>
      <c r="AK503">
        <v>0.65000052188740698</v>
      </c>
      <c r="AL503">
        <v>89.040641619971396</v>
      </c>
      <c r="AM503">
        <v>87.548855424668702</v>
      </c>
      <c r="AN503">
        <v>0.99999999649188098</v>
      </c>
    </row>
    <row r="504" spans="1:40" x14ac:dyDescent="0.25">
      <c r="A504" t="str">
        <f>"20190312160917351"</f>
        <v>20190312160917351</v>
      </c>
      <c r="B504" t="str">
        <f>"1552378157345577"</f>
        <v>1552378157345577</v>
      </c>
      <c r="C504" t="s">
        <v>40</v>
      </c>
      <c r="D504">
        <v>5.7446780000000004</v>
      </c>
      <c r="E504">
        <v>0.52196339999999997</v>
      </c>
      <c r="F504" t="s">
        <v>42</v>
      </c>
      <c r="G504">
        <v>-376.02319999999997</v>
      </c>
      <c r="H504">
        <v>0.9898306</v>
      </c>
      <c r="I504">
        <v>368.12549999999999</v>
      </c>
      <c r="J504">
        <v>-376.63650000000001</v>
      </c>
      <c r="K504">
        <v>1.110239</v>
      </c>
      <c r="L504">
        <v>368.20819999999998</v>
      </c>
      <c r="M504">
        <v>0.99986889999999995</v>
      </c>
      <c r="N504">
        <v>0</v>
      </c>
      <c r="O504">
        <v>8.1283150000000005E-3</v>
      </c>
      <c r="P504">
        <v>0.99942299999999995</v>
      </c>
      <c r="Q504">
        <v>2.351096E-3</v>
      </c>
      <c r="R504">
        <v>-3.3884459999999998E-2</v>
      </c>
      <c r="S504">
        <v>2.9935909999999999</v>
      </c>
      <c r="T504">
        <v>-0.40341569999999999</v>
      </c>
      <c r="U504">
        <v>-0.2696228</v>
      </c>
      <c r="V504">
        <v>4.2012880000000002E-2</v>
      </c>
      <c r="W504">
        <v>1.6326480000000001E-2</v>
      </c>
      <c r="X504">
        <v>0.99898370000000003</v>
      </c>
      <c r="Y504">
        <v>9.6855399999999994E-2</v>
      </c>
      <c r="Z504">
        <v>-7.5722609999999899E-3</v>
      </c>
      <c r="AA504">
        <v>0.99526970000000003</v>
      </c>
      <c r="AB504">
        <v>27</v>
      </c>
      <c r="AC504">
        <v>0.61330000000003704</v>
      </c>
      <c r="AD504">
        <v>-0.120408399999999</v>
      </c>
      <c r="AE504">
        <v>-8.2699999999988394E-2</v>
      </c>
      <c r="AF504">
        <v>8.4484552531105997E-2</v>
      </c>
      <c r="AG504">
        <v>-0.120408399999999</v>
      </c>
      <c r="AH504">
        <v>0.59026213016572404</v>
      </c>
      <c r="AI504">
        <v>101.416410512681</v>
      </c>
      <c r="AJ504">
        <v>81.854545585191005</v>
      </c>
      <c r="AK504">
        <v>0.60831340994155303</v>
      </c>
      <c r="AL504">
        <v>89.064520071473595</v>
      </c>
      <c r="AM504">
        <v>87.591809504559095</v>
      </c>
      <c r="AN504">
        <v>1.0000000344503801</v>
      </c>
    </row>
    <row r="505" spans="1:40" x14ac:dyDescent="0.25">
      <c r="A505" t="str">
        <f>"20190312160917374"</f>
        <v>20190312160917374</v>
      </c>
      <c r="B505" t="str">
        <f>"1552378157365097"</f>
        <v>1552378157365097</v>
      </c>
      <c r="C505" t="s">
        <v>40</v>
      </c>
      <c r="D505">
        <v>5.4713789999999998</v>
      </c>
      <c r="E505">
        <v>0.52247109999999997</v>
      </c>
      <c r="F505" t="s">
        <v>42</v>
      </c>
      <c r="G505">
        <v>-375.78210000000001</v>
      </c>
      <c r="H505">
        <v>0.99468619999999996</v>
      </c>
      <c r="I505">
        <v>368.12920000000003</v>
      </c>
      <c r="J505">
        <v>-376.36279999999999</v>
      </c>
      <c r="K505">
        <v>1.110244</v>
      </c>
      <c r="L505">
        <v>368.21030000000002</v>
      </c>
      <c r="M505">
        <v>0.99987040000000005</v>
      </c>
      <c r="N505">
        <v>0</v>
      </c>
      <c r="O505">
        <v>7.9703359999999997E-3</v>
      </c>
      <c r="P505">
        <v>0.99943320000000002</v>
      </c>
      <c r="Q505">
        <v>2.9557680000000001E-3</v>
      </c>
      <c r="R505">
        <v>-3.3542199999999897E-2</v>
      </c>
      <c r="S505">
        <v>2.993347</v>
      </c>
      <c r="T505">
        <v>-0.40495750000000003</v>
      </c>
      <c r="U505">
        <v>-0.27563480000000001</v>
      </c>
      <c r="V505">
        <v>4.151295E-2</v>
      </c>
      <c r="W505">
        <v>1.6929119999999999E-2</v>
      </c>
      <c r="X505">
        <v>0.99899450000000001</v>
      </c>
      <c r="Y505">
        <v>9.866569E-2</v>
      </c>
      <c r="Z505">
        <v>-7.7012829999999997E-3</v>
      </c>
      <c r="AA505">
        <v>0.99509080000000005</v>
      </c>
      <c r="AB505">
        <v>27</v>
      </c>
      <c r="AC505">
        <v>0.58069999999997801</v>
      </c>
      <c r="AD505">
        <v>-0.1155578</v>
      </c>
      <c r="AE505">
        <v>-8.1099999999992095E-2</v>
      </c>
      <c r="AF505">
        <v>8.2520941858637203E-2</v>
      </c>
      <c r="AG505">
        <v>-0.1155578</v>
      </c>
      <c r="AH505">
        <v>0.55834755405150904</v>
      </c>
      <c r="AI505">
        <v>101.57082389142801</v>
      </c>
      <c r="AJ505">
        <v>81.592834840315504</v>
      </c>
      <c r="AK505">
        <v>0.57612090927285298</v>
      </c>
      <c r="AL505">
        <v>89.029986502453298</v>
      </c>
      <c r="AM505">
        <v>87.620458194864597</v>
      </c>
      <c r="AN505">
        <v>0.99999996557596205</v>
      </c>
    </row>
    <row r="506" spans="1:40" x14ac:dyDescent="0.25">
      <c r="A506" t="str">
        <f>"20190312160917397"</f>
        <v>20190312160917397</v>
      </c>
      <c r="B506" t="str">
        <f>"1552378157385594"</f>
        <v>1552378157385594</v>
      </c>
      <c r="C506" t="s">
        <v>40</v>
      </c>
      <c r="D506">
        <v>5.6348140000000004</v>
      </c>
      <c r="E506">
        <v>0.52289750000000002</v>
      </c>
      <c r="F506" t="s">
        <v>42</v>
      </c>
      <c r="G506">
        <v>-375.5412</v>
      </c>
      <c r="H506">
        <v>0.99991439999999998</v>
      </c>
      <c r="I506">
        <v>368.13339999999999</v>
      </c>
      <c r="J506">
        <v>-376.10019999999997</v>
      </c>
      <c r="K506">
        <v>1.110247</v>
      </c>
      <c r="L506">
        <v>368.21210000000002</v>
      </c>
      <c r="M506">
        <v>0.99987139999999997</v>
      </c>
      <c r="N506">
        <v>0</v>
      </c>
      <c r="O506">
        <v>7.8187369999999992E-3</v>
      </c>
      <c r="P506">
        <v>0.99944310000000003</v>
      </c>
      <c r="Q506">
        <v>3.3460590000000002E-3</v>
      </c>
      <c r="R506">
        <v>-3.3202309999999999E-2</v>
      </c>
      <c r="S506">
        <v>2.9935</v>
      </c>
      <c r="T506">
        <v>-0.40215610000000002</v>
      </c>
      <c r="U506">
        <v>-0.27893069999999998</v>
      </c>
      <c r="V506">
        <v>4.1021790000000002E-2</v>
      </c>
      <c r="W506">
        <v>1.7316729999999999E-2</v>
      </c>
      <c r="X506">
        <v>0.99900820000000001</v>
      </c>
      <c r="Y506">
        <v>9.9602889999999999E-2</v>
      </c>
      <c r="Z506">
        <v>-7.6900149999999997E-3</v>
      </c>
      <c r="AA506">
        <v>0.99499760000000004</v>
      </c>
      <c r="AB506">
        <v>27</v>
      </c>
      <c r="AC506">
        <v>0.55899999999996897</v>
      </c>
      <c r="AD506">
        <v>-0.1103326</v>
      </c>
      <c r="AE506">
        <v>-7.8700000000026193E-2</v>
      </c>
      <c r="AF506">
        <v>8.0012251142700996E-2</v>
      </c>
      <c r="AG506">
        <v>-0.1103326</v>
      </c>
      <c r="AH506">
        <v>0.53782283536784903</v>
      </c>
      <c r="AI506">
        <v>101.470353770944</v>
      </c>
      <c r="AJ506">
        <v>81.538133573065195</v>
      </c>
      <c r="AK506">
        <v>0.55482307558247301</v>
      </c>
      <c r="AL506">
        <v>89.007774882078607</v>
      </c>
      <c r="AM506">
        <v>87.648612136616606</v>
      </c>
      <c r="AN506">
        <v>1.0000000200299599</v>
      </c>
    </row>
    <row r="507" spans="1:40" x14ac:dyDescent="0.25">
      <c r="A507" t="str">
        <f>"20190312160917418"</f>
        <v>20190312160917418</v>
      </c>
      <c r="B507" t="str">
        <f>"1552378157405813"</f>
        <v>1552378157405813</v>
      </c>
      <c r="C507" t="s">
        <v>40</v>
      </c>
      <c r="D507">
        <v>5.7440790000000002</v>
      </c>
      <c r="E507">
        <v>0.523534099999999</v>
      </c>
      <c r="F507" t="s">
        <v>42</v>
      </c>
      <c r="G507">
        <v>-375.30130000000003</v>
      </c>
      <c r="H507">
        <v>1.0034299999999901</v>
      </c>
      <c r="I507">
        <v>368.13659999999999</v>
      </c>
      <c r="J507">
        <v>-375.84710000000001</v>
      </c>
      <c r="K507">
        <v>1.110257</v>
      </c>
      <c r="L507">
        <v>368.214</v>
      </c>
      <c r="M507">
        <v>0.99987269999999995</v>
      </c>
      <c r="N507">
        <v>0</v>
      </c>
      <c r="O507">
        <v>7.67220199999999E-3</v>
      </c>
      <c r="P507">
        <v>0.99944670000000002</v>
      </c>
      <c r="Q507">
        <v>2.760481E-3</v>
      </c>
      <c r="R507">
        <v>-3.3151020000000003E-2</v>
      </c>
      <c r="S507">
        <v>2.993652</v>
      </c>
      <c r="T507">
        <v>-0.40049849999999998</v>
      </c>
      <c r="U507">
        <v>-0.28170780000000001</v>
      </c>
      <c r="V507">
        <v>4.082392E-2</v>
      </c>
      <c r="W507">
        <v>1.672935E-2</v>
      </c>
      <c r="X507">
        <v>0.99902630000000003</v>
      </c>
      <c r="Y507">
        <v>0.1003699</v>
      </c>
      <c r="Z507">
        <v>-7.6893769999999998E-3</v>
      </c>
      <c r="AA507">
        <v>0.99492049999999999</v>
      </c>
      <c r="AB507">
        <v>27</v>
      </c>
      <c r="AC507">
        <v>0.54579999999998496</v>
      </c>
      <c r="AD507">
        <v>-0.10682700000000001</v>
      </c>
      <c r="AE507">
        <v>-7.7400000000011404E-2</v>
      </c>
      <c r="AF507">
        <v>7.8632702874023297E-2</v>
      </c>
      <c r="AG507">
        <v>-0.10682700000000001</v>
      </c>
      <c r="AH507">
        <v>0.52545739472980901</v>
      </c>
      <c r="AI507">
        <v>101.368540056466</v>
      </c>
      <c r="AJ507">
        <v>81.489060546175494</v>
      </c>
      <c r="AK507">
        <v>0.54194149459744501</v>
      </c>
      <c r="AL507">
        <v>89.041434140570004</v>
      </c>
      <c r="AM507">
        <v>87.6599838462528</v>
      </c>
      <c r="AN507">
        <v>1.00000000584363</v>
      </c>
    </row>
    <row r="508" spans="1:40" x14ac:dyDescent="0.25">
      <c r="A508" t="str">
        <f>"20190312160917440"</f>
        <v>20190312160917440</v>
      </c>
      <c r="B508" t="str">
        <f>"1552378157435093"</f>
        <v>1552378157435093</v>
      </c>
      <c r="C508" t="s">
        <v>40</v>
      </c>
      <c r="D508">
        <v>5.6651319999999998</v>
      </c>
      <c r="E508">
        <v>0.52367390000000003</v>
      </c>
      <c r="F508" t="s">
        <v>42</v>
      </c>
      <c r="G508">
        <v>-375.06279999999998</v>
      </c>
      <c r="H508">
        <v>1.0046330000000001</v>
      </c>
      <c r="I508">
        <v>368.13850000000002</v>
      </c>
      <c r="J508">
        <v>-375.5804</v>
      </c>
      <c r="K508">
        <v>1.1102639999999999</v>
      </c>
      <c r="L508">
        <v>368.21589999999998</v>
      </c>
      <c r="M508">
        <v>0.99987400000000004</v>
      </c>
      <c r="N508">
        <v>0</v>
      </c>
      <c r="O508">
        <v>7.5176779999999999E-3</v>
      </c>
      <c r="P508">
        <v>0.99945039999999996</v>
      </c>
      <c r="Q508">
        <v>3.5014439999999998E-3</v>
      </c>
      <c r="R508">
        <v>-3.2972429999999997E-2</v>
      </c>
      <c r="S508">
        <v>2.9932859999999999</v>
      </c>
      <c r="T508">
        <v>-0.40341690000000002</v>
      </c>
      <c r="U508">
        <v>-0.28625489999999998</v>
      </c>
      <c r="V508">
        <v>4.049117E-2</v>
      </c>
      <c r="W508">
        <v>1.7467389999999999E-2</v>
      </c>
      <c r="X508">
        <v>0.9990272</v>
      </c>
      <c r="Y508">
        <v>0.10170079999999999</v>
      </c>
      <c r="Z508">
        <v>-7.8136899999999999E-3</v>
      </c>
      <c r="AA508">
        <v>0.99478440000000001</v>
      </c>
      <c r="AB508">
        <v>27</v>
      </c>
      <c r="AC508">
        <v>0.51760000000001505</v>
      </c>
      <c r="AD508">
        <v>-0.105631</v>
      </c>
      <c r="AE508">
        <v>-7.7399999999954602E-2</v>
      </c>
      <c r="AF508">
        <v>7.8107472313163701E-2</v>
      </c>
      <c r="AG508">
        <v>-0.105631</v>
      </c>
      <c r="AH508">
        <v>0.496766622540322</v>
      </c>
      <c r="AI508">
        <v>101.862876042708</v>
      </c>
      <c r="AJ508">
        <v>81.064440994784206</v>
      </c>
      <c r="AK508">
        <v>0.51384410346161402</v>
      </c>
      <c r="AL508">
        <v>88.999141369655305</v>
      </c>
      <c r="AM508">
        <v>87.679038131787806</v>
      </c>
      <c r="AN508">
        <v>0.99999999545061002</v>
      </c>
    </row>
    <row r="509" spans="1:40" x14ac:dyDescent="0.25">
      <c r="A509" t="str">
        <f>"20190312160917463"</f>
        <v>20190312160917463</v>
      </c>
      <c r="B509" t="str">
        <f>"1552378157455589"</f>
        <v>1552378157455589</v>
      </c>
      <c r="C509" t="s">
        <v>40</v>
      </c>
      <c r="D509">
        <v>5.910469</v>
      </c>
      <c r="E509">
        <v>0.52372909999999995</v>
      </c>
      <c r="F509" t="s">
        <v>42</v>
      </c>
      <c r="G509">
        <v>-374.82240000000002</v>
      </c>
      <c r="H509">
        <v>1.010418</v>
      </c>
      <c r="I509">
        <v>368.14299999999997</v>
      </c>
      <c r="J509">
        <v>-375.30279999999999</v>
      </c>
      <c r="K509">
        <v>1.1102730000000001</v>
      </c>
      <c r="L509">
        <v>368.21780000000001</v>
      </c>
      <c r="M509">
        <v>0.99987519999999996</v>
      </c>
      <c r="N509">
        <v>0</v>
      </c>
      <c r="O509">
        <v>7.3559940000000002E-3</v>
      </c>
      <c r="P509">
        <v>0.99943850000000001</v>
      </c>
      <c r="Q509">
        <v>6.0518660000000004E-3</v>
      </c>
      <c r="R509">
        <v>-3.2957029999999998E-2</v>
      </c>
      <c r="S509">
        <v>2.9935909999999999</v>
      </c>
      <c r="T509">
        <v>-0.39457019999999998</v>
      </c>
      <c r="U509">
        <v>-0.28692630000000002</v>
      </c>
      <c r="V509">
        <v>4.0315070000000001E-2</v>
      </c>
      <c r="W509">
        <v>2.001468E-2</v>
      </c>
      <c r="X509">
        <v>0.9989865</v>
      </c>
      <c r="Y509">
        <v>0.1017945</v>
      </c>
      <c r="Z509">
        <v>-7.6279260000000002E-3</v>
      </c>
      <c r="AA509">
        <v>0.9947762</v>
      </c>
      <c r="AB509">
        <v>27</v>
      </c>
      <c r="AC509">
        <v>0.48039999999997401</v>
      </c>
      <c r="AD509">
        <v>-9.9854999999999999E-2</v>
      </c>
      <c r="AE509">
        <v>-7.4799999999981895E-2</v>
      </c>
      <c r="AF509">
        <v>7.5161648719188096E-2</v>
      </c>
      <c r="AG509">
        <v>-9.9854999999999999E-2</v>
      </c>
      <c r="AH509">
        <v>0.46041533474114499</v>
      </c>
      <c r="AI509">
        <v>102.081672542774</v>
      </c>
      <c r="AJ509">
        <v>80.728392394012701</v>
      </c>
      <c r="AK509">
        <v>0.47707711633234601</v>
      </c>
      <c r="AL509">
        <v>88.853166684988395</v>
      </c>
      <c r="AM509">
        <v>87.689027205448298</v>
      </c>
      <c r="AN509">
        <v>0.99999995973342704</v>
      </c>
    </row>
    <row r="510" spans="1:40" x14ac:dyDescent="0.25">
      <c r="A510" t="str">
        <f>"20190312160917487"</f>
        <v>20190312160917487</v>
      </c>
      <c r="B510" t="str">
        <f>"1552378157475109"</f>
        <v>1552378157475109</v>
      </c>
      <c r="C510" t="s">
        <v>40</v>
      </c>
      <c r="D510">
        <v>5.7443309999999999</v>
      </c>
      <c r="E510">
        <v>0.5236208</v>
      </c>
      <c r="F510" t="s">
        <v>42</v>
      </c>
      <c r="G510">
        <v>-374.5813</v>
      </c>
      <c r="H510">
        <v>1.018324</v>
      </c>
      <c r="I510">
        <v>368.14819999999997</v>
      </c>
      <c r="J510">
        <v>-375.0213</v>
      </c>
      <c r="K510">
        <v>1.110268</v>
      </c>
      <c r="L510">
        <v>368.21969999999999</v>
      </c>
      <c r="M510">
        <v>0.99987630000000005</v>
      </c>
      <c r="N510">
        <v>0</v>
      </c>
      <c r="O510">
        <v>7.1883800000000003E-3</v>
      </c>
      <c r="P510">
        <v>0.99943979999999999</v>
      </c>
      <c r="Q510">
        <v>8.0621909999999998E-3</v>
      </c>
      <c r="R510">
        <v>-3.2480849999999999E-2</v>
      </c>
      <c r="S510">
        <v>2.994507</v>
      </c>
      <c r="T510">
        <v>-0.38179639999999998</v>
      </c>
      <c r="U510">
        <v>-0.28765869999999999</v>
      </c>
      <c r="V510">
        <v>3.9672079999999998E-2</v>
      </c>
      <c r="W510">
        <v>2.2022199999999999E-2</v>
      </c>
      <c r="X510">
        <v>0.99897000000000002</v>
      </c>
      <c r="Y510">
        <v>0.1019004</v>
      </c>
      <c r="Z510">
        <v>-7.3661339999999999E-3</v>
      </c>
      <c r="AA510">
        <v>0.99476730000000002</v>
      </c>
      <c r="AB510">
        <v>27</v>
      </c>
      <c r="AC510">
        <v>0.439999999999997</v>
      </c>
      <c r="AD510">
        <v>-9.1943999999999998E-2</v>
      </c>
      <c r="AE510">
        <v>-7.1500000000014496E-2</v>
      </c>
      <c r="AF510">
        <v>7.1614687271264896E-2</v>
      </c>
      <c r="AG510">
        <v>-9.1943999999999998E-2</v>
      </c>
      <c r="AH510">
        <v>0.42154122799905502</v>
      </c>
      <c r="AI510">
        <v>102.13567904275099</v>
      </c>
      <c r="AJ510">
        <v>80.358206063341299</v>
      </c>
      <c r="AK510">
        <v>0.43735496964355203</v>
      </c>
      <c r="AL510">
        <v>88.738118817652605</v>
      </c>
      <c r="AM510">
        <v>87.725808659514399</v>
      </c>
      <c r="AN510">
        <v>0.99999995606218195</v>
      </c>
    </row>
    <row r="511" spans="1:40" x14ac:dyDescent="0.25">
      <c r="A511" t="str">
        <f>"20190312160917508"</f>
        <v>20190312160917508</v>
      </c>
      <c r="B511" t="str">
        <f>"1552378157505872"</f>
        <v>1552378157505872</v>
      </c>
      <c r="C511" t="s">
        <v>40</v>
      </c>
      <c r="D511">
        <v>6.1287580000000004</v>
      </c>
      <c r="E511">
        <v>0.48081590000000002</v>
      </c>
      <c r="F511" t="s">
        <v>42</v>
      </c>
      <c r="G511">
        <v>-374.11750000000001</v>
      </c>
      <c r="H511">
        <v>0.99795599999999995</v>
      </c>
      <c r="I511">
        <v>368.13330000000002</v>
      </c>
      <c r="J511">
        <v>-374.76659999999998</v>
      </c>
      <c r="K511">
        <v>1.1102669999999999</v>
      </c>
      <c r="L511">
        <v>368.22129999999999</v>
      </c>
      <c r="M511">
        <v>0.99987780000000004</v>
      </c>
      <c r="N511">
        <v>0</v>
      </c>
      <c r="O511">
        <v>7.0299059999999998E-3</v>
      </c>
      <c r="P511">
        <v>0.9994537</v>
      </c>
      <c r="Q511">
        <v>8.4158069999999904E-3</v>
      </c>
      <c r="R511">
        <v>-3.1969589999999999E-2</v>
      </c>
      <c r="S511">
        <v>2.9953919999999998</v>
      </c>
      <c r="T511">
        <v>-0.37227979999999999</v>
      </c>
      <c r="U511">
        <v>-0.28576659999999998</v>
      </c>
      <c r="V511">
        <v>3.9002759999999997E-2</v>
      </c>
      <c r="W511">
        <v>2.2373540000000001E-2</v>
      </c>
      <c r="X511">
        <v>0.9989886</v>
      </c>
      <c r="Y511">
        <v>0.10114239999999999</v>
      </c>
      <c r="Z511">
        <v>-7.1156569999999897E-3</v>
      </c>
      <c r="AA511">
        <v>0.99484649999999997</v>
      </c>
      <c r="AB511">
        <v>26</v>
      </c>
      <c r="AC511">
        <v>0.64909999999997503</v>
      </c>
      <c r="AD511">
        <v>-0.11231099999999999</v>
      </c>
      <c r="AE511">
        <v>-8.7999999999965398E-2</v>
      </c>
      <c r="AF511">
        <v>8.9918010135124904E-2</v>
      </c>
      <c r="AG511">
        <v>-0.11231099999999999</v>
      </c>
      <c r="AH511">
        <v>0.62994636726707098</v>
      </c>
      <c r="AI511">
        <v>100.009483492519</v>
      </c>
      <c r="AJ511">
        <v>81.876522937777807</v>
      </c>
      <c r="AK511">
        <v>0.64616672376457096</v>
      </c>
      <c r="AL511">
        <v>88.717983621099194</v>
      </c>
      <c r="AM511">
        <v>87.764179562131503</v>
      </c>
      <c r="AN511">
        <v>1.00000000675485</v>
      </c>
    </row>
    <row r="512" spans="1:40" x14ac:dyDescent="0.25">
      <c r="A512" t="str">
        <f>"20190312160917531"</f>
        <v>20190312160917531</v>
      </c>
      <c r="B512" t="str">
        <f>"1552378157525392"</f>
        <v>1552378157525392</v>
      </c>
      <c r="C512" t="s">
        <v>40</v>
      </c>
      <c r="D512">
        <v>5.7040989999999896</v>
      </c>
      <c r="E512">
        <v>0.48003069999999998</v>
      </c>
      <c r="F512" t="s">
        <v>41</v>
      </c>
      <c r="G512">
        <v>-328.90949999999998</v>
      </c>
      <c r="H512" s="1">
        <v>-5.4324019999999997E-7</v>
      </c>
      <c r="I512">
        <v>369.09140000000002</v>
      </c>
      <c r="J512">
        <v>-374.50839999999999</v>
      </c>
      <c r="K512">
        <v>1.11026</v>
      </c>
      <c r="L512">
        <v>368.22300000000001</v>
      </c>
      <c r="M512">
        <v>0.99987879999999996</v>
      </c>
      <c r="N512">
        <v>0</v>
      </c>
      <c r="O512">
        <v>6.8621690000000004E-3</v>
      </c>
      <c r="P512">
        <v>0.99946840000000003</v>
      </c>
      <c r="Q512">
        <v>8.2826740000000003E-3</v>
      </c>
      <c r="R512">
        <v>-3.1532560000000001E-2</v>
      </c>
      <c r="S512">
        <v>3.0041199999999999</v>
      </c>
      <c r="T512">
        <v>-7.2734119999999999E-2</v>
      </c>
      <c r="U512">
        <v>5.7006840000000003E-2</v>
      </c>
      <c r="V512">
        <v>3.8398620000000001E-2</v>
      </c>
      <c r="W512">
        <v>2.2237679999999999E-2</v>
      </c>
      <c r="X512">
        <v>0.99901499999999999</v>
      </c>
      <c r="Y512">
        <v>-1.210921E-2</v>
      </c>
      <c r="Z512" s="1">
        <v>-1.956016E-5</v>
      </c>
      <c r="AA512">
        <v>0.99992669999999995</v>
      </c>
      <c r="AB512">
        <v>26</v>
      </c>
      <c r="AC512">
        <v>45.5989</v>
      </c>
      <c r="AD512">
        <v>-1.1102605432402</v>
      </c>
      <c r="AE512">
        <v>0.86840000000000805</v>
      </c>
      <c r="AF512">
        <v>-0.55511265591866399</v>
      </c>
      <c r="AG512">
        <v>-1.1102605432402</v>
      </c>
      <c r="AH512">
        <v>45.576775693302402</v>
      </c>
      <c r="AI512">
        <v>91.395358680124204</v>
      </c>
      <c r="AJ512">
        <v>90.697812411086701</v>
      </c>
      <c r="AK512">
        <v>45.593676218662502</v>
      </c>
      <c r="AL512">
        <v>88.725769715158407</v>
      </c>
      <c r="AM512">
        <v>87.798835466804604</v>
      </c>
      <c r="AN512">
        <v>0.99999996932734203</v>
      </c>
    </row>
    <row r="513" spans="1:40" x14ac:dyDescent="0.25">
      <c r="A513" t="str">
        <f>"20190312160917553"</f>
        <v>20190312160917553</v>
      </c>
      <c r="B513" t="str">
        <f>"1552378157545890"</f>
        <v>1552378157545890</v>
      </c>
      <c r="C513" t="s">
        <v>40</v>
      </c>
      <c r="D513">
        <v>5.7768949999999997</v>
      </c>
      <c r="E513">
        <v>0.48010079999999999</v>
      </c>
      <c r="F513" t="s">
        <v>44</v>
      </c>
      <c r="G513">
        <v>-158.19499999999999</v>
      </c>
      <c r="H513">
        <v>0.32223610000000003</v>
      </c>
      <c r="I513">
        <v>372.858</v>
      </c>
      <c r="J513">
        <v>-374.2423</v>
      </c>
      <c r="K513">
        <v>1.1102609999999999</v>
      </c>
      <c r="L513">
        <v>368.22460000000001</v>
      </c>
      <c r="M513">
        <v>0.99988010000000005</v>
      </c>
      <c r="N513">
        <v>0</v>
      </c>
      <c r="O513">
        <v>6.6771039999999997E-3</v>
      </c>
      <c r="P513">
        <v>0.99947909999999995</v>
      </c>
      <c r="Q513">
        <v>8.4961759999999994E-3</v>
      </c>
      <c r="R513">
        <v>-3.1135320000000001E-2</v>
      </c>
      <c r="S513">
        <v>3.0037229999999999</v>
      </c>
      <c r="T513">
        <v>-1.0941269999999999E-2</v>
      </c>
      <c r="U513">
        <v>6.4361570000000007E-2</v>
      </c>
      <c r="V513">
        <v>3.7817030000000001E-2</v>
      </c>
      <c r="W513">
        <v>2.2447910000000001E-2</v>
      </c>
      <c r="X513">
        <v>0.99903249999999999</v>
      </c>
      <c r="Y513">
        <v>-1.4745589999999999E-2</v>
      </c>
      <c r="Z513" s="1">
        <v>2.5320079999999999E-6</v>
      </c>
      <c r="AA513">
        <v>0.99989130000000004</v>
      </c>
      <c r="AB513">
        <v>26</v>
      </c>
      <c r="AC513">
        <v>216.04730000000001</v>
      </c>
      <c r="AD513">
        <v>-0.78802490000000003</v>
      </c>
      <c r="AE513">
        <v>4.6333999999999902</v>
      </c>
      <c r="AF513">
        <v>-3.1905431562448299</v>
      </c>
      <c r="AG513">
        <v>-0.78802490000000003</v>
      </c>
      <c r="AH513">
        <v>216.07055034294899</v>
      </c>
      <c r="AI513">
        <v>90.208938141767803</v>
      </c>
      <c r="AJ513">
        <v>90.845980039176098</v>
      </c>
      <c r="AK513">
        <v>216.09554200487301</v>
      </c>
      <c r="AL513">
        <v>88.713721437162107</v>
      </c>
      <c r="AM513">
        <v>87.8321804473415</v>
      </c>
      <c r="AN513">
        <v>0.99999998623881903</v>
      </c>
    </row>
    <row r="514" spans="1:40" x14ac:dyDescent="0.25">
      <c r="A514" t="str">
        <f>"20190312160917576"</f>
        <v>20190312160917576</v>
      </c>
      <c r="B514" t="str">
        <f>"1552378157565410"</f>
        <v>1552378157565410</v>
      </c>
      <c r="C514" t="s">
        <v>40</v>
      </c>
      <c r="D514">
        <v>5.7225510000000002</v>
      </c>
      <c r="E514">
        <v>0.48110439999999999</v>
      </c>
      <c r="F514" t="s">
        <v>44</v>
      </c>
      <c r="G514">
        <v>-158.19499999999999</v>
      </c>
      <c r="H514">
        <v>1.4545570000000001</v>
      </c>
      <c r="I514">
        <v>372.9135</v>
      </c>
      <c r="J514">
        <v>-373.9794</v>
      </c>
      <c r="K514">
        <v>1.110257</v>
      </c>
      <c r="L514">
        <v>368.22620000000001</v>
      </c>
      <c r="M514">
        <v>0.99988140000000003</v>
      </c>
      <c r="N514">
        <v>0</v>
      </c>
      <c r="O514">
        <v>6.4769739999999999E-3</v>
      </c>
      <c r="P514">
        <v>0.99948959999999998</v>
      </c>
      <c r="Q514">
        <v>9.2346430000000007E-3</v>
      </c>
      <c r="R514">
        <v>-3.0586619999999998E-2</v>
      </c>
      <c r="S514">
        <v>3.0035400000000001</v>
      </c>
      <c r="T514">
        <v>4.787683E-3</v>
      </c>
      <c r="U514">
        <v>6.5185549999999995E-2</v>
      </c>
      <c r="V514">
        <v>3.7069089999999999E-2</v>
      </c>
      <c r="W514">
        <v>2.3183479999999999E-2</v>
      </c>
      <c r="X514">
        <v>0.99904380000000004</v>
      </c>
      <c r="Y514">
        <v>-1.522125E-2</v>
      </c>
      <c r="Z514" s="1">
        <v>-1.806071E-6</v>
      </c>
      <c r="AA514">
        <v>0.99988410000000005</v>
      </c>
      <c r="AB514">
        <v>26</v>
      </c>
      <c r="AC514">
        <v>215.78440000000001</v>
      </c>
      <c r="AD514">
        <v>0.344299999999999</v>
      </c>
      <c r="AE514">
        <v>4.6872999999999898</v>
      </c>
      <c r="AF514">
        <v>-3.28942688905062</v>
      </c>
      <c r="AG514">
        <v>0.344299999999999</v>
      </c>
      <c r="AH514">
        <v>215.80968618511201</v>
      </c>
      <c r="AI514">
        <v>89.908601743698298</v>
      </c>
      <c r="AJ514">
        <v>90.873249424449199</v>
      </c>
      <c r="AK514">
        <v>215.835028489503</v>
      </c>
      <c r="AL514">
        <v>88.671565493748105</v>
      </c>
      <c r="AM514">
        <v>87.87503959467</v>
      </c>
      <c r="AN514">
        <v>1.0000000527483801</v>
      </c>
    </row>
    <row r="515" spans="1:40" x14ac:dyDescent="0.25">
      <c r="A515" t="str">
        <f>"20190312160917597"</f>
        <v>20190312160917597</v>
      </c>
      <c r="B515" t="str">
        <f>"1552378157585904"</f>
        <v>1552378157585904</v>
      </c>
      <c r="C515" t="s">
        <v>40</v>
      </c>
      <c r="D515">
        <v>5.6768299999999998</v>
      </c>
      <c r="E515">
        <v>0.48138419999999998</v>
      </c>
      <c r="F515" t="s">
        <v>44</v>
      </c>
      <c r="G515">
        <v>-158.19499999999999</v>
      </c>
      <c r="H515">
        <v>0.9575861</v>
      </c>
      <c r="I515">
        <v>372.4579</v>
      </c>
      <c r="J515">
        <v>-373.72300000000001</v>
      </c>
      <c r="K515">
        <v>1.1102430000000001</v>
      </c>
      <c r="L515">
        <v>368.2276</v>
      </c>
      <c r="M515">
        <v>0.99988279999999996</v>
      </c>
      <c r="N515">
        <v>0</v>
      </c>
      <c r="O515">
        <v>6.2621959999999898E-3</v>
      </c>
      <c r="P515">
        <v>0.99948919999999997</v>
      </c>
      <c r="Q515">
        <v>9.848005E-3</v>
      </c>
      <c r="R515">
        <v>-3.0404919999999998E-2</v>
      </c>
      <c r="S515">
        <v>3.0033569999999998</v>
      </c>
      <c r="T515">
        <v>-2.1237130000000002E-3</v>
      </c>
      <c r="U515">
        <v>5.8898930000000002E-2</v>
      </c>
      <c r="V515">
        <v>3.6673869999999997E-2</v>
      </c>
      <c r="W515">
        <v>2.3793189999999999E-2</v>
      </c>
      <c r="X515">
        <v>0.99904400000000004</v>
      </c>
      <c r="Y515">
        <v>-1.3345269999999999E-2</v>
      </c>
      <c r="Z515" s="1">
        <v>2.8985729999999998E-7</v>
      </c>
      <c r="AA515">
        <v>0.99991099999999999</v>
      </c>
      <c r="AB515">
        <v>26</v>
      </c>
      <c r="AC515">
        <v>215.52799999999999</v>
      </c>
      <c r="AD515">
        <v>-0.15265690000000001</v>
      </c>
      <c r="AE515">
        <v>4.2302999999999997</v>
      </c>
      <c r="AF515">
        <v>-2.88040528475653</v>
      </c>
      <c r="AG515">
        <v>-0.15265690000000001</v>
      </c>
      <c r="AH515">
        <v>215.55015861571999</v>
      </c>
      <c r="AI515">
        <v>90.040574378784399</v>
      </c>
      <c r="AJ515">
        <v>90.765600195950995</v>
      </c>
      <c r="AK515">
        <v>215.569457293921</v>
      </c>
      <c r="AL515">
        <v>88.636621974630302</v>
      </c>
      <c r="AM515">
        <v>87.897675294447694</v>
      </c>
      <c r="AN515">
        <v>1.0000000012835699</v>
      </c>
    </row>
    <row r="516" spans="1:40" x14ac:dyDescent="0.25">
      <c r="A516" t="str">
        <f>"20190312160917619"</f>
        <v>20190312160917619</v>
      </c>
      <c r="B516" t="str">
        <f>"1552378157615184"</f>
        <v>1552378157615184</v>
      </c>
      <c r="C516" t="s">
        <v>40</v>
      </c>
      <c r="D516">
        <v>5.8397829999999997</v>
      </c>
      <c r="E516">
        <v>0.48185440000000002</v>
      </c>
      <c r="F516" t="s">
        <v>46</v>
      </c>
      <c r="G516">
        <v>-202.8245</v>
      </c>
      <c r="H516" s="1">
        <v>-3.66302E-6</v>
      </c>
      <c r="I516">
        <v>371.48520000000002</v>
      </c>
      <c r="J516">
        <v>-373.4717</v>
      </c>
      <c r="K516">
        <v>1.1102289999999999</v>
      </c>
      <c r="L516">
        <v>368.22890000000001</v>
      </c>
      <c r="M516">
        <v>0.99988429999999995</v>
      </c>
      <c r="N516">
        <v>0</v>
      </c>
      <c r="O516">
        <v>6.0320180000000001E-3</v>
      </c>
      <c r="P516">
        <v>0.99950459999999997</v>
      </c>
      <c r="Q516">
        <v>9.5369830000000006E-3</v>
      </c>
      <c r="R516">
        <v>-2.9993780000000001E-2</v>
      </c>
      <c r="S516">
        <v>3.003479</v>
      </c>
      <c r="T516">
        <v>-1.951218E-2</v>
      </c>
      <c r="U516">
        <v>5.725098E-2</v>
      </c>
      <c r="V516">
        <v>3.6033620000000002E-2</v>
      </c>
      <c r="W516">
        <v>2.347904E-2</v>
      </c>
      <c r="X516">
        <v>0.99907480000000004</v>
      </c>
      <c r="Y516">
        <v>-1.3026090000000001E-2</v>
      </c>
      <c r="Z516" s="1">
        <v>3.121604E-6</v>
      </c>
      <c r="AA516">
        <v>0.9999152</v>
      </c>
      <c r="AB516">
        <v>26</v>
      </c>
      <c r="AC516">
        <v>170.6472</v>
      </c>
      <c r="AD516">
        <v>-1.1102326630199999</v>
      </c>
      <c r="AE516">
        <v>3.2563</v>
      </c>
      <c r="AF516">
        <v>-2.22669917067743</v>
      </c>
      <c r="AG516">
        <v>-1.1102326630199999</v>
      </c>
      <c r="AH516">
        <v>170.65651787042501</v>
      </c>
      <c r="AI516">
        <v>90.372709670643104</v>
      </c>
      <c r="AJ516">
        <v>90.747543820934993</v>
      </c>
      <c r="AK516">
        <v>170.674655111476</v>
      </c>
      <c r="AL516">
        <v>88.654626568309794</v>
      </c>
      <c r="AM516">
        <v>87.934409089149895</v>
      </c>
      <c r="AN516">
        <v>1.0000000715423301</v>
      </c>
    </row>
    <row r="517" spans="1:40" x14ac:dyDescent="0.25">
      <c r="A517" t="str">
        <f>"20190312160917642"</f>
        <v>20190312160917642</v>
      </c>
      <c r="B517" t="str">
        <f>"1552378157635680"</f>
        <v>1552378157635680</v>
      </c>
      <c r="C517" t="s">
        <v>40</v>
      </c>
      <c r="D517">
        <v>5.9767890000000001</v>
      </c>
      <c r="E517">
        <v>0.48182069999999999</v>
      </c>
      <c r="F517" t="s">
        <v>43</v>
      </c>
      <c r="G517">
        <v>-285.07799999999997</v>
      </c>
      <c r="H517">
        <v>-0.05</v>
      </c>
      <c r="I517">
        <v>369.83839999999998</v>
      </c>
      <c r="J517">
        <v>-373.19869999999997</v>
      </c>
      <c r="K517">
        <v>1.1102160000000001</v>
      </c>
      <c r="L517">
        <v>368.2303</v>
      </c>
      <c r="M517">
        <v>0.99988589999999999</v>
      </c>
      <c r="N517">
        <v>0</v>
      </c>
      <c r="O517">
        <v>5.7628599999999999E-3</v>
      </c>
      <c r="P517">
        <v>0.99950510000000004</v>
      </c>
      <c r="Q517">
        <v>9.3925989999999997E-3</v>
      </c>
      <c r="R517">
        <v>-3.0026980000000002E-2</v>
      </c>
      <c r="S517">
        <v>3.003479</v>
      </c>
      <c r="T517">
        <v>-3.9422749999999999E-2</v>
      </c>
      <c r="U517">
        <v>5.46875E-2</v>
      </c>
      <c r="V517">
        <v>3.5798440000000001E-2</v>
      </c>
      <c r="W517">
        <v>2.3330779999999999E-2</v>
      </c>
      <c r="X517">
        <v>0.99908669999999999</v>
      </c>
      <c r="Y517">
        <v>-1.244169E-2</v>
      </c>
      <c r="Z517" s="1">
        <v>6.00455E-6</v>
      </c>
      <c r="AA517">
        <v>0.99992259999999999</v>
      </c>
      <c r="AB517">
        <v>26</v>
      </c>
      <c r="AC517">
        <v>88.120699999999999</v>
      </c>
      <c r="AD517">
        <v>-1.1602159999999999</v>
      </c>
      <c r="AE517">
        <v>1.6080999999999701</v>
      </c>
      <c r="AF517">
        <v>-1.10000589835534</v>
      </c>
      <c r="AG517">
        <v>-1.1602159999999999</v>
      </c>
      <c r="AH517">
        <v>88.113235319287895</v>
      </c>
      <c r="AI517">
        <v>90.754330037535098</v>
      </c>
      <c r="AJ517">
        <v>90.715243530681505</v>
      </c>
      <c r="AK517">
        <v>88.127738837299603</v>
      </c>
      <c r="AL517">
        <v>88.663123530568299</v>
      </c>
      <c r="AM517">
        <v>87.947903402794907</v>
      </c>
      <c r="AN517">
        <v>1.0000000438593599</v>
      </c>
    </row>
    <row r="518" spans="1:40" x14ac:dyDescent="0.25">
      <c r="A518" t="str">
        <f>"20190312160917664"</f>
        <v>20190312160917664</v>
      </c>
      <c r="B518" t="str">
        <f>"1552378157655203"</f>
        <v>1552378157655203</v>
      </c>
      <c r="C518" t="s">
        <v>40</v>
      </c>
      <c r="D518">
        <v>5.9445509999999997</v>
      </c>
      <c r="E518">
        <v>0.48213149999999999</v>
      </c>
      <c r="F518" t="s">
        <v>43</v>
      </c>
      <c r="G518">
        <v>-288.89100000000002</v>
      </c>
      <c r="H518">
        <v>-0.05</v>
      </c>
      <c r="I518">
        <v>369.767</v>
      </c>
      <c r="J518">
        <v>-372.93430000000001</v>
      </c>
      <c r="K518">
        <v>1.110204</v>
      </c>
      <c r="L518">
        <v>368.23149999999998</v>
      </c>
      <c r="M518">
        <v>0.99988750000000004</v>
      </c>
      <c r="N518">
        <v>0</v>
      </c>
      <c r="O518">
        <v>5.4876889999999996E-3</v>
      </c>
      <c r="P518">
        <v>0.99949370000000004</v>
      </c>
      <c r="Q518">
        <v>9.6843339999999993E-3</v>
      </c>
      <c r="R518">
        <v>-3.0309920000000001E-2</v>
      </c>
      <c r="S518">
        <v>3.0034480000000001</v>
      </c>
      <c r="T518">
        <v>-4.1332479999999998E-2</v>
      </c>
      <c r="U518">
        <v>5.4748539999999998E-2</v>
      </c>
      <c r="V518">
        <v>3.5807169999999999E-2</v>
      </c>
      <c r="W518">
        <v>2.3618710000000001E-2</v>
      </c>
      <c r="X518">
        <v>0.99907959999999996</v>
      </c>
      <c r="Y518">
        <v>-1.273726E-2</v>
      </c>
      <c r="Z518" s="1">
        <v>1.211551E-5</v>
      </c>
      <c r="AA518">
        <v>0.99991890000000005</v>
      </c>
      <c r="AB518">
        <v>26</v>
      </c>
      <c r="AC518">
        <v>84.043300000000002</v>
      </c>
      <c r="AD518">
        <v>-1.160204</v>
      </c>
      <c r="AE518">
        <v>1.5355000000000101</v>
      </c>
      <c r="AF518">
        <v>-1.07402382508253</v>
      </c>
      <c r="AG518">
        <v>-1.160204</v>
      </c>
      <c r="AH518">
        <v>84.034452044655396</v>
      </c>
      <c r="AI518">
        <v>90.790927294926803</v>
      </c>
      <c r="AJ518">
        <v>90.732243507992095</v>
      </c>
      <c r="AK518">
        <v>84.049323203366399</v>
      </c>
      <c r="AL518">
        <v>88.646621780489397</v>
      </c>
      <c r="AM518">
        <v>87.9473888211146</v>
      </c>
      <c r="AN518">
        <v>1.0000000220108101</v>
      </c>
    </row>
    <row r="519" spans="1:40" x14ac:dyDescent="0.25">
      <c r="A519" t="str">
        <f>"20190312160917687"</f>
        <v>20190312160917687</v>
      </c>
      <c r="B519" t="str">
        <f>"1552378157675696"</f>
        <v>1552378157675696</v>
      </c>
      <c r="C519" t="s">
        <v>40</v>
      </c>
      <c r="D519">
        <v>5.9990269999999999</v>
      </c>
      <c r="E519">
        <v>0.4821145</v>
      </c>
      <c r="F519" t="s">
        <v>43</v>
      </c>
      <c r="G519">
        <v>-300.93860000000001</v>
      </c>
      <c r="H519">
        <v>-0.05</v>
      </c>
      <c r="I519">
        <v>369.46260000000001</v>
      </c>
      <c r="J519">
        <v>-372.6703</v>
      </c>
      <c r="K519">
        <v>1.1102050000000001</v>
      </c>
      <c r="L519">
        <v>368.23259999999999</v>
      </c>
      <c r="M519">
        <v>0.99988920000000003</v>
      </c>
      <c r="N519">
        <v>0</v>
      </c>
      <c r="O519">
        <v>5.2026449999999997E-3</v>
      </c>
      <c r="P519">
        <v>0.99947109999999995</v>
      </c>
      <c r="Q519">
        <v>9.0005290000000002E-3</v>
      </c>
      <c r="R519">
        <v>-3.1250439999999997E-2</v>
      </c>
      <c r="S519">
        <v>3.003571</v>
      </c>
      <c r="T519">
        <v>-4.8402309999999997E-2</v>
      </c>
      <c r="U519">
        <v>5.1361080000000003E-2</v>
      </c>
      <c r="V519">
        <v>3.6462670000000003E-2</v>
      </c>
      <c r="W519">
        <v>2.2930820000000001E-2</v>
      </c>
      <c r="X519">
        <v>0.99907190000000001</v>
      </c>
      <c r="Y519">
        <v>-1.189402E-2</v>
      </c>
      <c r="Z519" s="1">
        <v>1.198678E-5</v>
      </c>
      <c r="AA519">
        <v>0.99992919999999996</v>
      </c>
      <c r="AB519">
        <v>26</v>
      </c>
      <c r="AC519">
        <v>71.731699999999904</v>
      </c>
      <c r="AD519">
        <v>-1.1602049999999999</v>
      </c>
      <c r="AE519">
        <v>1.23000000000001</v>
      </c>
      <c r="AF519">
        <v>-0.85652847066707805</v>
      </c>
      <c r="AG519">
        <v>-1.1602049999999999</v>
      </c>
      <c r="AH519">
        <v>71.718372460126403</v>
      </c>
      <c r="AI519">
        <v>90.926740395467505</v>
      </c>
      <c r="AJ519">
        <v>90.684247726813794</v>
      </c>
      <c r="AK519">
        <v>71.732870185100694</v>
      </c>
      <c r="AL519">
        <v>88.686045631623799</v>
      </c>
      <c r="AM519">
        <v>87.909829855780004</v>
      </c>
      <c r="AN519">
        <v>1.0000000050894999</v>
      </c>
    </row>
    <row r="520" spans="1:40" x14ac:dyDescent="0.25">
      <c r="A520" t="str">
        <f>"20190312160917711"</f>
        <v>20190312160917711</v>
      </c>
      <c r="B520" t="str">
        <f>"1552378157705482"</f>
        <v>1552378157705482</v>
      </c>
      <c r="C520" t="s">
        <v>40</v>
      </c>
      <c r="D520">
        <v>6.0046549999999996</v>
      </c>
      <c r="E520">
        <v>0.48189070000000001</v>
      </c>
      <c r="F520" t="s">
        <v>43</v>
      </c>
      <c r="G520">
        <v>-301.0027</v>
      </c>
      <c r="H520">
        <v>-0.05</v>
      </c>
      <c r="I520">
        <v>369.39699999999999</v>
      </c>
      <c r="J520">
        <v>-372.39729999999997</v>
      </c>
      <c r="K520">
        <v>1.110204</v>
      </c>
      <c r="L520">
        <v>368.2337</v>
      </c>
      <c r="M520">
        <v>0.99989050000000002</v>
      </c>
      <c r="N520">
        <v>0</v>
      </c>
      <c r="O520">
        <v>4.9022930000000003E-3</v>
      </c>
      <c r="P520">
        <v>0.99943820000000005</v>
      </c>
      <c r="Q520">
        <v>7.6295929999999996E-3</v>
      </c>
      <c r="R520">
        <v>-3.2634820000000002E-2</v>
      </c>
      <c r="S520">
        <v>3.0035400000000001</v>
      </c>
      <c r="T520">
        <v>-4.8623319999999998E-2</v>
      </c>
      <c r="U520">
        <v>4.8797609999999998E-2</v>
      </c>
      <c r="V520">
        <v>3.7546049999999997E-2</v>
      </c>
      <c r="W520">
        <v>2.1555959999999999E-2</v>
      </c>
      <c r="X520">
        <v>0.99906240000000002</v>
      </c>
      <c r="Y520">
        <v>-1.134139E-2</v>
      </c>
      <c r="Z520" s="1">
        <v>1.2431080000000001E-5</v>
      </c>
      <c r="AA520">
        <v>0.99993569999999998</v>
      </c>
      <c r="AB520">
        <v>26</v>
      </c>
      <c r="AC520">
        <v>71.394599999999897</v>
      </c>
      <c r="AD520">
        <v>-1.160204</v>
      </c>
      <c r="AE520">
        <v>1.16329999999999</v>
      </c>
      <c r="AF520">
        <v>-0.81303999710506003</v>
      </c>
      <c r="AG520">
        <v>-1.160204</v>
      </c>
      <c r="AH520">
        <v>71.380600033418403</v>
      </c>
      <c r="AI520">
        <v>90.931130153427802</v>
      </c>
      <c r="AJ520">
        <v>90.652582718562201</v>
      </c>
      <c r="AK520">
        <v>71.3946578427921</v>
      </c>
      <c r="AL520">
        <v>88.764838828581503</v>
      </c>
      <c r="AM520">
        <v>87.847763769087393</v>
      </c>
      <c r="AN520">
        <v>1.0000000221879399</v>
      </c>
    </row>
    <row r="521" spans="1:40" x14ac:dyDescent="0.25">
      <c r="A521" t="str">
        <f>"20190312160917732"</f>
        <v>20190312160917732</v>
      </c>
      <c r="B521" t="str">
        <f>"1552378157725978"</f>
        <v>1552378157725978</v>
      </c>
      <c r="C521" t="s">
        <v>40</v>
      </c>
      <c r="D521">
        <v>5.9513809999999996</v>
      </c>
      <c r="E521">
        <v>0.48182959999999903</v>
      </c>
      <c r="F521" t="s">
        <v>43</v>
      </c>
      <c r="G521">
        <v>-303.88670000000002</v>
      </c>
      <c r="H521">
        <v>-0.05</v>
      </c>
      <c r="I521">
        <v>369.29450000000003</v>
      </c>
      <c r="J521">
        <v>-372.14060000000001</v>
      </c>
      <c r="K521">
        <v>1.1102099999999999</v>
      </c>
      <c r="L521">
        <v>368.2346</v>
      </c>
      <c r="M521">
        <v>0.999892</v>
      </c>
      <c r="N521">
        <v>0</v>
      </c>
      <c r="O521">
        <v>4.6186100000000004E-3</v>
      </c>
      <c r="P521">
        <v>0.99941060000000004</v>
      </c>
      <c r="Q521">
        <v>8.8504109999999903E-3</v>
      </c>
      <c r="R521">
        <v>-3.3168389999999999E-2</v>
      </c>
      <c r="S521">
        <v>3.003571</v>
      </c>
      <c r="T521">
        <v>-5.086446E-2</v>
      </c>
      <c r="U521">
        <v>4.6508790000000001E-2</v>
      </c>
      <c r="V521">
        <v>3.7796620000000003E-2</v>
      </c>
      <c r="W521">
        <v>2.2773979999999999E-2</v>
      </c>
      <c r="X521">
        <v>0.99902590000000002</v>
      </c>
      <c r="Y521">
        <v>-1.0863080000000001E-2</v>
      </c>
      <c r="Z521" s="1">
        <v>1.3758169999999999E-5</v>
      </c>
      <c r="AA521">
        <v>0.99994099999999997</v>
      </c>
      <c r="AB521">
        <v>26</v>
      </c>
      <c r="AC521">
        <v>68.253899999999902</v>
      </c>
      <c r="AD521">
        <v>-1.16021</v>
      </c>
      <c r="AE521">
        <v>1.05990000000002</v>
      </c>
      <c r="AF521">
        <v>-0.74440482017857301</v>
      </c>
      <c r="AG521">
        <v>-1.16021</v>
      </c>
      <c r="AH521">
        <v>68.238355096740307</v>
      </c>
      <c r="AI521">
        <v>90.974009088363701</v>
      </c>
      <c r="AJ521">
        <v>90.625008657037299</v>
      </c>
      <c r="AK521">
        <v>68.252277120175506</v>
      </c>
      <c r="AL521">
        <v>88.695034234237596</v>
      </c>
      <c r="AM521">
        <v>87.833335012540104</v>
      </c>
      <c r="AN521">
        <v>0.999999993759637</v>
      </c>
    </row>
    <row r="522" spans="1:40" x14ac:dyDescent="0.25">
      <c r="A522" t="str">
        <f>"20190312160917755"</f>
        <v>20190312160917755</v>
      </c>
      <c r="B522" t="str">
        <f>"1552378157745497"</f>
        <v>1552378157745497</v>
      </c>
      <c r="C522" t="s">
        <v>40</v>
      </c>
      <c r="D522">
        <v>5.9800789999999999</v>
      </c>
      <c r="E522">
        <v>0.48206959999999999</v>
      </c>
      <c r="F522" t="s">
        <v>43</v>
      </c>
      <c r="G522">
        <v>-293.48</v>
      </c>
      <c r="H522">
        <v>-0.05</v>
      </c>
      <c r="I522">
        <v>369.41899999999998</v>
      </c>
      <c r="J522">
        <v>-371.8784</v>
      </c>
      <c r="K522">
        <v>1.1102099999999999</v>
      </c>
      <c r="L522">
        <v>368.23540000000003</v>
      </c>
      <c r="M522">
        <v>0.99989320000000004</v>
      </c>
      <c r="N522">
        <v>0</v>
      </c>
      <c r="O522">
        <v>4.3301800000000003E-3</v>
      </c>
      <c r="P522">
        <v>0.99940499999999999</v>
      </c>
      <c r="Q522">
        <v>1.105858E-2</v>
      </c>
      <c r="R522">
        <v>-3.2665670000000001E-2</v>
      </c>
      <c r="S522">
        <v>3.0036619999999998</v>
      </c>
      <c r="T522">
        <v>-4.43027E-2</v>
      </c>
      <c r="U522">
        <v>4.5227049999999998E-2</v>
      </c>
      <c r="V522">
        <v>3.7006909999999997E-2</v>
      </c>
      <c r="W522">
        <v>2.4980160000000001E-2</v>
      </c>
      <c r="X522">
        <v>0.99900279999999997</v>
      </c>
      <c r="Y522">
        <v>-1.0724650000000001E-2</v>
      </c>
      <c r="Z522" s="1">
        <v>1.521646E-5</v>
      </c>
      <c r="AA522">
        <v>0.99994249999999996</v>
      </c>
      <c r="AB522">
        <v>26</v>
      </c>
      <c r="AC522">
        <v>78.398399999999896</v>
      </c>
      <c r="AD522">
        <v>-1.16021</v>
      </c>
      <c r="AE522">
        <v>1.18360000000001</v>
      </c>
      <c r="AF522">
        <v>-0.843891864516639</v>
      </c>
      <c r="AG522">
        <v>-1.16021</v>
      </c>
      <c r="AH522">
        <v>78.385627429411002</v>
      </c>
      <c r="AI522">
        <v>90.847941561824996</v>
      </c>
      <c r="AJ522">
        <v>90.616816830661094</v>
      </c>
      <c r="AK522">
        <v>78.398755272169495</v>
      </c>
      <c r="AL522">
        <v>88.568593447559905</v>
      </c>
      <c r="AM522">
        <v>87.8785137768581</v>
      </c>
      <c r="AN522">
        <v>1.0000000570945999</v>
      </c>
    </row>
    <row r="523" spans="1:40" x14ac:dyDescent="0.25">
      <c r="A523" t="str">
        <f>"20190312160917777"</f>
        <v>20190312160917777</v>
      </c>
      <c r="B523" t="str">
        <f>"1552378157765993"</f>
        <v>1552378157765993</v>
      </c>
      <c r="C523" t="s">
        <v>40</v>
      </c>
      <c r="D523">
        <v>6.1516449999999896</v>
      </c>
      <c r="E523">
        <v>0.48190840000000001</v>
      </c>
      <c r="F523" t="s">
        <v>41</v>
      </c>
      <c r="G523">
        <v>-279.17009999999999</v>
      </c>
      <c r="H523" s="1">
        <v>-3.3886250000000002E-7</v>
      </c>
      <c r="I523">
        <v>369.61340000000001</v>
      </c>
      <c r="J523">
        <v>-371.62470000000002</v>
      </c>
      <c r="K523">
        <v>1.110201</v>
      </c>
      <c r="L523">
        <v>368.2362</v>
      </c>
      <c r="M523">
        <v>0.99989459999999997</v>
      </c>
      <c r="N523">
        <v>0</v>
      </c>
      <c r="O523">
        <v>4.053676E-3</v>
      </c>
      <c r="P523">
        <v>0.99943219999999999</v>
      </c>
      <c r="Q523">
        <v>1.102613E-2</v>
      </c>
      <c r="R523">
        <v>-3.1841599999999998E-2</v>
      </c>
      <c r="S523">
        <v>3.0036320000000001</v>
      </c>
      <c r="T523">
        <v>-3.5969380000000002E-2</v>
      </c>
      <c r="U523">
        <v>4.4647220000000001E-2</v>
      </c>
      <c r="V523">
        <v>3.5906239999999999E-2</v>
      </c>
      <c r="W523">
        <v>2.4945829999999999E-2</v>
      </c>
      <c r="X523">
        <v>0.99904380000000004</v>
      </c>
      <c r="Y523">
        <v>-1.080854E-2</v>
      </c>
      <c r="Z523" s="1">
        <v>1.6168059999999999E-5</v>
      </c>
      <c r="AA523">
        <v>0.99994159999999999</v>
      </c>
      <c r="AB523">
        <v>26</v>
      </c>
      <c r="AC523">
        <v>92.454599999999999</v>
      </c>
      <c r="AD523">
        <v>-1.1102013388625001</v>
      </c>
      <c r="AE523">
        <v>1.37720000000001</v>
      </c>
      <c r="AF523">
        <v>-1.0022267806984799</v>
      </c>
      <c r="AG523">
        <v>-1.1102013388625001</v>
      </c>
      <c r="AH523">
        <v>92.446096301631002</v>
      </c>
      <c r="AI523">
        <v>90.688001535759696</v>
      </c>
      <c r="AJ523">
        <v>90.621130771520995</v>
      </c>
      <c r="AK523">
        <v>92.458194482388606</v>
      </c>
      <c r="AL523">
        <v>88.570560990842793</v>
      </c>
      <c r="AM523">
        <v>87.941640914072806</v>
      </c>
      <c r="AN523">
        <v>1.0000000334118799</v>
      </c>
    </row>
    <row r="524" spans="1:40" x14ac:dyDescent="0.25">
      <c r="A524" t="str">
        <f>"20190312160917819"</f>
        <v>20190312160917819</v>
      </c>
      <c r="B524" t="str">
        <f>"1552378157815770"</f>
        <v>1552378157815770</v>
      </c>
      <c r="C524" t="s">
        <v>40</v>
      </c>
      <c r="D524">
        <v>5.9040809999999997</v>
      </c>
      <c r="E524">
        <v>0.4818558</v>
      </c>
      <c r="F524" t="s">
        <v>43</v>
      </c>
      <c r="G524">
        <v>-280.90039999999999</v>
      </c>
      <c r="H524">
        <v>-0.05</v>
      </c>
      <c r="I524">
        <v>369.7</v>
      </c>
      <c r="J524">
        <v>-371.12529999999998</v>
      </c>
      <c r="K524">
        <v>1.1101970000000001</v>
      </c>
      <c r="L524">
        <v>368.23759999999999</v>
      </c>
      <c r="M524">
        <v>0.99989669999999997</v>
      </c>
      <c r="N524">
        <v>0</v>
      </c>
      <c r="O524">
        <v>3.516698E-3</v>
      </c>
      <c r="P524">
        <v>0.99940379999999995</v>
      </c>
      <c r="Q524">
        <v>1.010841E-2</v>
      </c>
      <c r="R524">
        <v>-3.3019569999999998E-2</v>
      </c>
      <c r="S524">
        <v>3.0036320000000001</v>
      </c>
      <c r="T524">
        <v>-3.8411019999999997E-2</v>
      </c>
      <c r="U524">
        <v>4.8461909999999997E-2</v>
      </c>
      <c r="V524">
        <v>3.6546700000000001E-2</v>
      </c>
      <c r="W524">
        <v>2.4022959999999999E-2</v>
      </c>
      <c r="X524">
        <v>0.99904320000000002</v>
      </c>
      <c r="Y524">
        <v>-1.261492E-2</v>
      </c>
      <c r="Z524" s="1">
        <v>3.5681020000000001E-5</v>
      </c>
      <c r="AA524">
        <v>0.99992040000000004</v>
      </c>
      <c r="AB524">
        <v>26</v>
      </c>
      <c r="AC524">
        <v>90.224900000000005</v>
      </c>
      <c r="AD524">
        <v>-1.1601969999999999</v>
      </c>
      <c r="AE524">
        <v>1.4623999999999999</v>
      </c>
      <c r="AF524">
        <v>-1.1448771542059599</v>
      </c>
      <c r="AG524">
        <v>-1.1601969999999999</v>
      </c>
      <c r="AH524">
        <v>90.214572012027105</v>
      </c>
      <c r="AI524">
        <v>90.736747670366796</v>
      </c>
      <c r="AJ524">
        <v>90.727078856540402</v>
      </c>
      <c r="AK524">
        <v>90.2292957087123</v>
      </c>
      <c r="AL524">
        <v>88.623453412117897</v>
      </c>
      <c r="AM524">
        <v>87.904957114091999</v>
      </c>
      <c r="AN524">
        <v>1.00000003967714</v>
      </c>
    </row>
    <row r="525" spans="1:40" x14ac:dyDescent="0.25">
      <c r="A525" t="str">
        <f>"20190312160917843"</f>
        <v>20190312160917843</v>
      </c>
      <c r="B525" t="str">
        <f>"1552378157835290"</f>
        <v>1552378157835290</v>
      </c>
      <c r="C525" t="s">
        <v>40</v>
      </c>
      <c r="D525">
        <v>6.0324629999999999</v>
      </c>
      <c r="E525">
        <v>0.4816782</v>
      </c>
      <c r="F525" t="s">
        <v>43</v>
      </c>
      <c r="G525">
        <v>-278.5025</v>
      </c>
      <c r="H525">
        <v>-0.05</v>
      </c>
      <c r="I525">
        <v>369.64819999999997</v>
      </c>
      <c r="J525">
        <v>-370.85759999999999</v>
      </c>
      <c r="K525">
        <v>1.110215</v>
      </c>
      <c r="L525">
        <v>368.23820000000001</v>
      </c>
      <c r="M525">
        <v>0.99989760000000005</v>
      </c>
      <c r="N525">
        <v>0</v>
      </c>
      <c r="O525">
        <v>3.2316699999999999E-3</v>
      </c>
      <c r="P525">
        <v>0.99938329999999997</v>
      </c>
      <c r="Q525">
        <v>1.037387E-2</v>
      </c>
      <c r="R525">
        <v>-3.3547260000000002E-2</v>
      </c>
      <c r="S525">
        <v>3.0036930000000002</v>
      </c>
      <c r="T525">
        <v>-3.7624360000000003E-2</v>
      </c>
      <c r="U525">
        <v>4.5745849999999998E-2</v>
      </c>
      <c r="V525">
        <v>3.678965E-2</v>
      </c>
      <c r="W525">
        <v>2.4285620000000001E-2</v>
      </c>
      <c r="X525">
        <v>0.99902789999999997</v>
      </c>
      <c r="Y525">
        <v>-1.199573E-2</v>
      </c>
      <c r="Z525" s="1">
        <v>3.4642460000000003E-5</v>
      </c>
      <c r="AA525">
        <v>0.99992809999999999</v>
      </c>
      <c r="AB525">
        <v>26</v>
      </c>
      <c r="AC525">
        <v>92.355099999999993</v>
      </c>
      <c r="AD525">
        <v>-1.160215</v>
      </c>
      <c r="AE525">
        <v>1.40999999999996</v>
      </c>
      <c r="AF525">
        <v>-1.11132707715683</v>
      </c>
      <c r="AG525">
        <v>-1.160215</v>
      </c>
      <c r="AH525">
        <v>92.344604539065998</v>
      </c>
      <c r="AI525">
        <v>90.719772564307505</v>
      </c>
      <c r="AJ525">
        <v>90.6894964547581</v>
      </c>
      <c r="AK525">
        <v>92.358579104461796</v>
      </c>
      <c r="AL525">
        <v>88.608399666175899</v>
      </c>
      <c r="AM525">
        <v>87.891010248619295</v>
      </c>
      <c r="AN525">
        <v>1.00000000733215</v>
      </c>
    </row>
    <row r="526" spans="1:40" x14ac:dyDescent="0.25">
      <c r="A526" t="str">
        <f>"20190312160917877"</f>
        <v>20190312160917877</v>
      </c>
      <c r="B526" t="str">
        <f>"1552378157865545"</f>
        <v>1552378157865545</v>
      </c>
      <c r="C526" t="s">
        <v>40</v>
      </c>
      <c r="D526">
        <v>5.9295429999999998</v>
      </c>
      <c r="E526">
        <v>0.48158679999999898</v>
      </c>
      <c r="F526" t="s">
        <v>41</v>
      </c>
      <c r="G526">
        <v>-262.36759999999998</v>
      </c>
      <c r="H526" s="1">
        <v>-3.3242840000000001E-6</v>
      </c>
      <c r="I526">
        <v>369.87060000000002</v>
      </c>
      <c r="J526">
        <v>-370.4665</v>
      </c>
      <c r="K526">
        <v>1.1102529999999999</v>
      </c>
      <c r="L526">
        <v>368.23899999999998</v>
      </c>
      <c r="M526">
        <v>0.99989899999999998</v>
      </c>
      <c r="N526">
        <v>0</v>
      </c>
      <c r="O526">
        <v>2.8161929999999998E-3</v>
      </c>
      <c r="P526">
        <v>0.99933380000000005</v>
      </c>
      <c r="Q526">
        <v>1.3838100000000001E-2</v>
      </c>
      <c r="R526">
        <v>-3.3768609999999998E-2</v>
      </c>
      <c r="S526">
        <v>3.0036930000000002</v>
      </c>
      <c r="T526">
        <v>-3.0737879999999999E-2</v>
      </c>
      <c r="U526">
        <v>4.5196529999999999E-2</v>
      </c>
      <c r="V526">
        <v>3.6597419999999999E-2</v>
      </c>
      <c r="W526">
        <v>2.7744850000000001E-2</v>
      </c>
      <c r="X526">
        <v>0.99894490000000002</v>
      </c>
      <c r="Y526">
        <v>-1.2228589999999999E-2</v>
      </c>
      <c r="Z526" s="1">
        <v>3.3745270000000002E-5</v>
      </c>
      <c r="AA526">
        <v>0.99992530000000002</v>
      </c>
      <c r="AB526">
        <v>26</v>
      </c>
      <c r="AC526">
        <v>108.0989</v>
      </c>
      <c r="AD526">
        <v>-1.110256324284</v>
      </c>
      <c r="AE526">
        <v>1.6315999999999899</v>
      </c>
      <c r="AF526">
        <v>-1.3269966698344</v>
      </c>
      <c r="AG526">
        <v>-1.110256324284</v>
      </c>
      <c r="AH526">
        <v>108.091666798831</v>
      </c>
      <c r="AI526">
        <v>90.588444732346204</v>
      </c>
      <c r="AJ526">
        <v>90.703361244497799</v>
      </c>
      <c r="AK526">
        <v>108.10551336826801</v>
      </c>
      <c r="AL526">
        <v>88.410133222104704</v>
      </c>
      <c r="AM526">
        <v>87.901845920242494</v>
      </c>
      <c r="AN526">
        <v>1.0000000305440899</v>
      </c>
    </row>
    <row r="527" spans="1:40" x14ac:dyDescent="0.25">
      <c r="A527" t="str">
        <f>"20190312160917899"</f>
        <v>20190312160917899</v>
      </c>
      <c r="B527" t="str">
        <f>"1552378157895802"</f>
        <v>1552378157895802</v>
      </c>
      <c r="C527" t="s">
        <v>40</v>
      </c>
      <c r="D527">
        <v>9.4081729999999997</v>
      </c>
      <c r="E527">
        <v>0.48136980000000001</v>
      </c>
      <c r="F527" t="s">
        <v>46</v>
      </c>
      <c r="G527">
        <v>-197.42140000000001</v>
      </c>
      <c r="H527" s="1">
        <v>-9.9404349999999996E-6</v>
      </c>
      <c r="I527">
        <v>370.85320000000002</v>
      </c>
      <c r="J527">
        <v>-370.2099</v>
      </c>
      <c r="K527">
        <v>1.110269</v>
      </c>
      <c r="L527">
        <v>368.23939999999999</v>
      </c>
      <c r="M527">
        <v>0.99989969999999995</v>
      </c>
      <c r="N527">
        <v>0</v>
      </c>
      <c r="O527">
        <v>2.5436730000000002E-3</v>
      </c>
      <c r="P527">
        <v>0.99927429999999995</v>
      </c>
      <c r="Q527">
        <v>1.82194E-2</v>
      </c>
      <c r="R527">
        <v>-3.345397E-2</v>
      </c>
      <c r="S527">
        <v>3.0038149999999999</v>
      </c>
      <c r="T527">
        <v>-1.9272569999999999E-2</v>
      </c>
      <c r="U527">
        <v>4.5379639999999999E-2</v>
      </c>
      <c r="V527">
        <v>3.6012269999999999E-2</v>
      </c>
      <c r="W527">
        <v>3.2122159999999997E-2</v>
      </c>
      <c r="X527">
        <v>0.99883500000000003</v>
      </c>
      <c r="Y527">
        <v>-1.256173E-2</v>
      </c>
      <c r="Z527" s="1">
        <v>2.3974830000000002E-5</v>
      </c>
      <c r="AA527">
        <v>0.99992110000000001</v>
      </c>
      <c r="AB527">
        <v>26</v>
      </c>
      <c r="AC527">
        <v>172.7885</v>
      </c>
      <c r="AD527">
        <v>-1.110278940435</v>
      </c>
      <c r="AE527">
        <v>2.6138000000000199</v>
      </c>
      <c r="AF527">
        <v>-2.17414168684906</v>
      </c>
      <c r="AG527">
        <v>-1.110278940435</v>
      </c>
      <c r="AH527">
        <v>172.78745760214801</v>
      </c>
      <c r="AI527">
        <v>90.368130810289401</v>
      </c>
      <c r="AJ527">
        <v>90.720900526634196</v>
      </c>
      <c r="AK527">
        <v>172.804702239303</v>
      </c>
      <c r="AL527">
        <v>88.159219215549896</v>
      </c>
      <c r="AM527">
        <v>87.935136713241903</v>
      </c>
      <c r="AN527">
        <v>1.0000000369893001</v>
      </c>
    </row>
    <row r="528" spans="1:40" x14ac:dyDescent="0.25">
      <c r="A528" t="str">
        <f>"20190312160917922"</f>
        <v>20190312160917922</v>
      </c>
      <c r="B528" t="str">
        <f>"1552378157915321"</f>
        <v>1552378157915321</v>
      </c>
      <c r="C528" t="s">
        <v>40</v>
      </c>
      <c r="D528">
        <v>5.9958939999999998</v>
      </c>
      <c r="E528">
        <v>0.48129729999999998</v>
      </c>
      <c r="F528" t="s">
        <v>44</v>
      </c>
      <c r="G528">
        <v>-158.19499999999999</v>
      </c>
      <c r="H528">
        <v>1.137467</v>
      </c>
      <c r="I528">
        <v>371.62549999999999</v>
      </c>
      <c r="J528">
        <v>-369.94639999999998</v>
      </c>
      <c r="K528">
        <v>1.110266</v>
      </c>
      <c r="L528">
        <v>368.23970000000003</v>
      </c>
      <c r="M528">
        <v>0.99990049999999997</v>
      </c>
      <c r="N528">
        <v>0</v>
      </c>
      <c r="O528">
        <v>2.263167E-3</v>
      </c>
      <c r="P528">
        <v>0.99927820000000001</v>
      </c>
      <c r="Q528">
        <v>2.1431189999999999E-2</v>
      </c>
      <c r="R528">
        <v>-3.1371099999999999E-2</v>
      </c>
      <c r="S528">
        <v>3.0038149999999999</v>
      </c>
      <c r="T528">
        <v>3.8659570000000002E-4</v>
      </c>
      <c r="U528">
        <v>4.7973630000000003E-2</v>
      </c>
      <c r="V528">
        <v>3.3650560000000003E-2</v>
      </c>
      <c r="W528">
        <v>3.5332780000000001E-2</v>
      </c>
      <c r="X528">
        <v>0.9988089</v>
      </c>
      <c r="Y528">
        <v>-1.3705729999999999E-2</v>
      </c>
      <c r="Z528" s="1">
        <v>-5.9063699999999997E-7</v>
      </c>
      <c r="AA528">
        <v>0.99990610000000002</v>
      </c>
      <c r="AB528">
        <v>26</v>
      </c>
      <c r="AC528">
        <v>211.75139999999999</v>
      </c>
      <c r="AD528">
        <v>2.7200999999999999E-2</v>
      </c>
      <c r="AE528">
        <v>3.3857999999999602</v>
      </c>
      <c r="AF528">
        <v>-2.9065160384081499</v>
      </c>
      <c r="AG528">
        <v>2.7200999999999999E-2</v>
      </c>
      <c r="AH528">
        <v>211.758517487088</v>
      </c>
      <c r="AI528">
        <v>89.992640883001599</v>
      </c>
      <c r="AJ528">
        <v>90.786370472873998</v>
      </c>
      <c r="AK528">
        <v>211.778465155703</v>
      </c>
      <c r="AL528">
        <v>87.975159358824101</v>
      </c>
      <c r="AM528">
        <v>88.070395565621695</v>
      </c>
      <c r="AN528">
        <v>0.99999999212502499</v>
      </c>
    </row>
    <row r="529" spans="1:40" x14ac:dyDescent="0.25">
      <c r="A529" t="str">
        <f>"20190312160917943"</f>
        <v>20190312160917943</v>
      </c>
      <c r="B529" t="str">
        <f>"1552378157935818"</f>
        <v>1552378157935818</v>
      </c>
      <c r="C529" t="s">
        <v>40</v>
      </c>
      <c r="D529">
        <v>5.852824</v>
      </c>
      <c r="E529">
        <v>0.48122870000000001</v>
      </c>
      <c r="F529" t="s">
        <v>44</v>
      </c>
      <c r="G529">
        <v>-158.19499999999999</v>
      </c>
      <c r="H529">
        <v>2.0546139999999999</v>
      </c>
      <c r="I529">
        <v>372.08449999999999</v>
      </c>
      <c r="J529">
        <v>-369.6934</v>
      </c>
      <c r="K529">
        <v>1.110258</v>
      </c>
      <c r="L529">
        <v>368.24</v>
      </c>
      <c r="M529">
        <v>0.99990109999999999</v>
      </c>
      <c r="N529">
        <v>0</v>
      </c>
      <c r="O529">
        <v>1.9938009999999999E-3</v>
      </c>
      <c r="P529">
        <v>0.9993708</v>
      </c>
      <c r="Q529">
        <v>1.980167E-2</v>
      </c>
      <c r="R529">
        <v>-2.9429049999999998E-2</v>
      </c>
      <c r="S529">
        <v>3.003571</v>
      </c>
      <c r="T529">
        <v>1.339626E-2</v>
      </c>
      <c r="U529">
        <v>5.4534909999999999E-2</v>
      </c>
      <c r="V529">
        <v>3.1438729999999998E-2</v>
      </c>
      <c r="W529">
        <v>3.3702969999999999E-2</v>
      </c>
      <c r="X529">
        <v>0.99893730000000003</v>
      </c>
      <c r="Y529">
        <v>-1.6159860000000002E-2</v>
      </c>
      <c r="Z529" s="1">
        <v>-2.714163E-5</v>
      </c>
      <c r="AA529">
        <v>0.99986940000000002</v>
      </c>
      <c r="AB529">
        <v>26</v>
      </c>
      <c r="AC529">
        <v>211.4984</v>
      </c>
      <c r="AD529">
        <v>0.94435599999999997</v>
      </c>
      <c r="AE529">
        <v>3.84449999999998</v>
      </c>
      <c r="AF529">
        <v>-3.4226975498482002</v>
      </c>
      <c r="AG529">
        <v>0.94435599999999997</v>
      </c>
      <c r="AH529">
        <v>211.501430163257</v>
      </c>
      <c r="AI529">
        <v>89.744208963026395</v>
      </c>
      <c r="AJ529">
        <v>90.9271285192617</v>
      </c>
      <c r="AK529">
        <v>211.53123085699599</v>
      </c>
      <c r="AL529">
        <v>88.068596313258595</v>
      </c>
      <c r="AM529">
        <v>88.1973721820425</v>
      </c>
      <c r="AN529">
        <v>1.0000000066310599</v>
      </c>
    </row>
    <row r="530" spans="1:40" x14ac:dyDescent="0.25">
      <c r="A530" t="str">
        <f>"20190312160917966"</f>
        <v>20190312160917966</v>
      </c>
      <c r="B530" t="str">
        <f>"1552378157955341"</f>
        <v>1552378157955341</v>
      </c>
      <c r="C530" t="s">
        <v>40</v>
      </c>
      <c r="D530">
        <v>6.5424620000000004</v>
      </c>
      <c r="E530">
        <v>0.48117549999999998</v>
      </c>
      <c r="F530" t="s">
        <v>44</v>
      </c>
      <c r="G530">
        <v>-158.19499999999999</v>
      </c>
      <c r="H530">
        <v>1.938083</v>
      </c>
      <c r="I530">
        <v>372.52510000000001</v>
      </c>
      <c r="J530">
        <v>-369.4391</v>
      </c>
      <c r="K530">
        <v>1.110247</v>
      </c>
      <c r="L530">
        <v>368.24020000000002</v>
      </c>
      <c r="M530">
        <v>0.9999017</v>
      </c>
      <c r="N530">
        <v>0</v>
      </c>
      <c r="O530">
        <v>1.7226450000000001E-3</v>
      </c>
      <c r="P530">
        <v>0.9994651</v>
      </c>
      <c r="Q530">
        <v>1.6771069999999999E-2</v>
      </c>
      <c r="R530">
        <v>-2.8077680000000001E-2</v>
      </c>
      <c r="S530">
        <v>3.003479</v>
      </c>
      <c r="T530">
        <v>1.1757139999999999E-2</v>
      </c>
      <c r="U530">
        <v>6.0852049999999998E-2</v>
      </c>
      <c r="V530">
        <v>2.9814980000000001E-2</v>
      </c>
      <c r="W530">
        <v>3.0672330000000001E-2</v>
      </c>
      <c r="X530">
        <v>0.99908470000000005</v>
      </c>
      <c r="Y530">
        <v>-1.8533750000000002E-2</v>
      </c>
      <c r="Z530" s="1">
        <v>-2.952816E-5</v>
      </c>
      <c r="AA530">
        <v>0.99982819999999994</v>
      </c>
      <c r="AB530">
        <v>26</v>
      </c>
      <c r="AC530">
        <v>211.2441</v>
      </c>
      <c r="AD530">
        <v>0.82783600000000002</v>
      </c>
      <c r="AE530">
        <v>4.2848999999999897</v>
      </c>
      <c r="AF530">
        <v>-3.9208996234312701</v>
      </c>
      <c r="AG530">
        <v>0.82783600000000002</v>
      </c>
      <c r="AH530">
        <v>211.24792568363199</v>
      </c>
      <c r="AI530">
        <v>89.775509756196797</v>
      </c>
      <c r="AJ530">
        <v>91.063325036954893</v>
      </c>
      <c r="AK530">
        <v>211.28593155233301</v>
      </c>
      <c r="AL530">
        <v>88.242329236443197</v>
      </c>
      <c r="AM530">
        <v>88.290669766820002</v>
      </c>
      <c r="AN530">
        <v>0.99999998131705903</v>
      </c>
    </row>
    <row r="531" spans="1:40" x14ac:dyDescent="0.25">
      <c r="A531" t="str">
        <f>"20190312160917989"</f>
        <v>20190312160917989</v>
      </c>
      <c r="B531" t="str">
        <f>"1552378157985594"</f>
        <v>1552378157985594</v>
      </c>
      <c r="C531" t="s">
        <v>40</v>
      </c>
      <c r="D531">
        <v>5.7430440000000003</v>
      </c>
      <c r="E531">
        <v>0.48110969999999997</v>
      </c>
      <c r="F531" t="s">
        <v>44</v>
      </c>
      <c r="G531">
        <v>-158.19499999999999</v>
      </c>
      <c r="H531">
        <v>1.5639110000000001</v>
      </c>
      <c r="I531">
        <v>372.851</v>
      </c>
      <c r="J531">
        <v>-369.16680000000002</v>
      </c>
      <c r="K531">
        <v>1.1102379999999901</v>
      </c>
      <c r="L531">
        <v>368.24029999999999</v>
      </c>
      <c r="M531">
        <v>0.99990219999999996</v>
      </c>
      <c r="N531">
        <v>0</v>
      </c>
      <c r="O531">
        <v>1.4318250000000001E-3</v>
      </c>
      <c r="P531">
        <v>0.99951570000000001</v>
      </c>
      <c r="Q531">
        <v>1.533145E-2</v>
      </c>
      <c r="R531">
        <v>-2.7090019999999999E-2</v>
      </c>
      <c r="S531">
        <v>3.0033259999999999</v>
      </c>
      <c r="T531">
        <v>6.4511300000000002E-3</v>
      </c>
      <c r="U531">
        <v>6.5551760000000001E-2</v>
      </c>
      <c r="V531">
        <v>2.8535810000000002E-2</v>
      </c>
      <c r="W531">
        <v>2.9231500000000001E-2</v>
      </c>
      <c r="X531">
        <v>0.99916519999999998</v>
      </c>
      <c r="Y531">
        <v>-2.0389500000000001E-2</v>
      </c>
      <c r="Z531" s="1">
        <v>-1.8820170000000001E-5</v>
      </c>
      <c r="AA531">
        <v>0.99979209999999996</v>
      </c>
      <c r="AB531">
        <v>26</v>
      </c>
      <c r="AC531">
        <v>210.9718</v>
      </c>
      <c r="AD531">
        <v>0.45367299999999999</v>
      </c>
      <c r="AE531">
        <v>4.6106999999999996</v>
      </c>
      <c r="AF531">
        <v>-4.3085714250327998</v>
      </c>
      <c r="AG531">
        <v>0.45367299999999999</v>
      </c>
      <c r="AH531">
        <v>210.977210917381</v>
      </c>
      <c r="AI531">
        <v>89.876820395316798</v>
      </c>
      <c r="AJ531">
        <v>91.169930378966299</v>
      </c>
      <c r="AK531">
        <v>211.02168877485701</v>
      </c>
      <c r="AL531">
        <v>88.324919700499294</v>
      </c>
      <c r="AM531">
        <v>88.364097179147194</v>
      </c>
      <c r="AN531">
        <v>0.99999993496782003</v>
      </c>
    </row>
    <row r="532" spans="1:40" x14ac:dyDescent="0.25">
      <c r="A532" t="str">
        <f>"20190312160918009"</f>
        <v>20190312160918009</v>
      </c>
      <c r="B532" t="str">
        <f>"1552378158005113"</f>
        <v>1552378158005113</v>
      </c>
      <c r="C532" t="s">
        <v>40</v>
      </c>
      <c r="D532">
        <v>5.8019189999999998</v>
      </c>
      <c r="E532">
        <v>0.48109449999999998</v>
      </c>
      <c r="F532" t="s">
        <v>44</v>
      </c>
      <c r="G532">
        <v>-158.19499999999999</v>
      </c>
      <c r="H532">
        <v>1.620169</v>
      </c>
      <c r="I532">
        <v>373.09399999999999</v>
      </c>
      <c r="J532">
        <v>-368.93490000000003</v>
      </c>
      <c r="K532">
        <v>1.110247</v>
      </c>
      <c r="L532">
        <v>368.24040000000002</v>
      </c>
      <c r="M532">
        <v>0.99990250000000003</v>
      </c>
      <c r="N532">
        <v>0</v>
      </c>
      <c r="O532">
        <v>1.1843239999999901E-3</v>
      </c>
      <c r="P532">
        <v>0.99960139999999997</v>
      </c>
      <c r="Q532">
        <v>1.324844E-2</v>
      </c>
      <c r="R532">
        <v>-2.4934499999999998E-2</v>
      </c>
      <c r="S532">
        <v>3.003174</v>
      </c>
      <c r="T532">
        <v>7.260084E-3</v>
      </c>
      <c r="U532">
        <v>6.9091799999999995E-2</v>
      </c>
      <c r="V532">
        <v>2.613205E-2</v>
      </c>
      <c r="W532">
        <v>2.714855E-2</v>
      </c>
      <c r="X532">
        <v>0.99928980000000001</v>
      </c>
      <c r="Y532">
        <v>-2.1815979999999999E-2</v>
      </c>
      <c r="Z532" s="1">
        <v>-2.350327E-5</v>
      </c>
      <c r="AA532">
        <v>0.99976200000000004</v>
      </c>
      <c r="AB532">
        <v>26</v>
      </c>
      <c r="AC532">
        <v>210.73990000000001</v>
      </c>
      <c r="AD532">
        <v>0.50992199999999999</v>
      </c>
      <c r="AE532">
        <v>4.8535999999999699</v>
      </c>
      <c r="AF532">
        <v>-4.6039611712700896</v>
      </c>
      <c r="AG532">
        <v>0.50992199999999999</v>
      </c>
      <c r="AH532">
        <v>210.74426775164201</v>
      </c>
      <c r="AI532">
        <v>89.861399066937295</v>
      </c>
      <c r="AJ532">
        <v>91.251495920707995</v>
      </c>
      <c r="AK532">
        <v>210.79516804018201</v>
      </c>
      <c r="AL532">
        <v>88.444311548471802</v>
      </c>
      <c r="AM532">
        <v>88.502021122464498</v>
      </c>
      <c r="AN532">
        <v>1.00000001609417</v>
      </c>
    </row>
    <row r="533" spans="1:40" x14ac:dyDescent="0.25">
      <c r="A533" t="str">
        <f>"20190312160918032"</f>
        <v>20190312160918032</v>
      </c>
      <c r="B533" t="str">
        <f>"1552378158025609"</f>
        <v>1552378158025609</v>
      </c>
      <c r="C533" t="s">
        <v>40</v>
      </c>
      <c r="D533">
        <v>5.84077</v>
      </c>
      <c r="E533">
        <v>0.48116829999999999</v>
      </c>
      <c r="F533" t="s">
        <v>44</v>
      </c>
      <c r="G533">
        <v>-158.19499999999999</v>
      </c>
      <c r="H533">
        <v>1.379513</v>
      </c>
      <c r="I533">
        <v>373.56229999999999</v>
      </c>
      <c r="J533">
        <v>-368.66930000000002</v>
      </c>
      <c r="K533">
        <v>1.110257</v>
      </c>
      <c r="L533">
        <v>368.24040000000002</v>
      </c>
      <c r="M533">
        <v>0.99990279999999998</v>
      </c>
      <c r="N533">
        <v>0</v>
      </c>
      <c r="O533">
        <v>9.0046759999999897E-4</v>
      </c>
      <c r="P533">
        <v>0.99966010000000005</v>
      </c>
      <c r="Q533">
        <v>1.2466619999999999E-2</v>
      </c>
      <c r="R533">
        <v>-2.2904359999999999E-2</v>
      </c>
      <c r="S533">
        <v>3.0030519999999998</v>
      </c>
      <c r="T533">
        <v>3.8383010000000001E-3</v>
      </c>
      <c r="U533">
        <v>7.5836180000000003E-2</v>
      </c>
      <c r="V533">
        <v>2.3817729999999999E-2</v>
      </c>
      <c r="W533">
        <v>2.636587E-2</v>
      </c>
      <c r="X533">
        <v>0.99936860000000005</v>
      </c>
      <c r="Y533">
        <v>-2.43447E-2</v>
      </c>
      <c r="Z533" s="1">
        <v>-1.440456E-5</v>
      </c>
      <c r="AA533">
        <v>0.99970360000000003</v>
      </c>
      <c r="AB533">
        <v>26</v>
      </c>
      <c r="AC533">
        <v>210.4743</v>
      </c>
      <c r="AD533">
        <v>0.269255999999999</v>
      </c>
      <c r="AE533">
        <v>5.3218999999999701</v>
      </c>
      <c r="AF533">
        <v>-5.1323458133617699</v>
      </c>
      <c r="AG533">
        <v>0.269255999999999</v>
      </c>
      <c r="AH533">
        <v>210.47866307376799</v>
      </c>
      <c r="AI533">
        <v>89.926725876148495</v>
      </c>
      <c r="AJ533">
        <v>91.396832765834006</v>
      </c>
      <c r="AK533">
        <v>210.541399923298</v>
      </c>
      <c r="AL533">
        <v>88.489171878753396</v>
      </c>
      <c r="AM533">
        <v>88.634740856127493</v>
      </c>
      <c r="AN533">
        <v>1.0000000210145801</v>
      </c>
    </row>
    <row r="534" spans="1:40" x14ac:dyDescent="0.25">
      <c r="A534" t="str">
        <f>"20190312160918054"</f>
        <v>20190312160918054</v>
      </c>
      <c r="B534" t="str">
        <f>"1552378158045129"</f>
        <v>1552378158045129</v>
      </c>
      <c r="C534" t="s">
        <v>40</v>
      </c>
      <c r="D534">
        <v>5.8532890000000002</v>
      </c>
      <c r="E534">
        <v>0.48118749999999999</v>
      </c>
      <c r="F534" t="s">
        <v>44</v>
      </c>
      <c r="G534">
        <v>-158.19499999999999</v>
      </c>
      <c r="H534">
        <v>1.3584229999999999</v>
      </c>
      <c r="I534">
        <v>373.93669999999997</v>
      </c>
      <c r="J534">
        <v>-368.41640000000001</v>
      </c>
      <c r="K534">
        <v>1.1102590000000001</v>
      </c>
      <c r="L534">
        <v>368.24029999999999</v>
      </c>
      <c r="M534">
        <v>0.99990310000000004</v>
      </c>
      <c r="N534">
        <v>0</v>
      </c>
      <c r="O534">
        <v>6.3055659999999999E-4</v>
      </c>
      <c r="P534">
        <v>0.99965510000000002</v>
      </c>
      <c r="Q534">
        <v>1.2869510000000001E-2</v>
      </c>
      <c r="R534">
        <v>-2.2904569999999999E-2</v>
      </c>
      <c r="S534">
        <v>3.0028380000000001</v>
      </c>
      <c r="T534">
        <v>3.541827E-3</v>
      </c>
      <c r="U534">
        <v>8.1268309999999996E-2</v>
      </c>
      <c r="V534">
        <v>2.3548099999999999E-2</v>
      </c>
      <c r="W534">
        <v>2.6766270000000002E-2</v>
      </c>
      <c r="X534">
        <v>0.99936429999999998</v>
      </c>
      <c r="Y534">
        <v>-2.6423519999999999E-2</v>
      </c>
      <c r="Z534" s="1">
        <v>-1.483665E-5</v>
      </c>
      <c r="AA534">
        <v>0.99965079999999995</v>
      </c>
      <c r="AB534">
        <v>26</v>
      </c>
      <c r="AC534">
        <v>210.22139999999999</v>
      </c>
      <c r="AD534">
        <v>0.248163999999999</v>
      </c>
      <c r="AE534">
        <v>5.6963999999999801</v>
      </c>
      <c r="AF534">
        <v>-5.56382180869615</v>
      </c>
      <c r="AG534">
        <v>0.248163999999999</v>
      </c>
      <c r="AH534">
        <v>210.224657705314</v>
      </c>
      <c r="AI534">
        <v>89.932387731226498</v>
      </c>
      <c r="AJ534">
        <v>91.516040560468596</v>
      </c>
      <c r="AK534">
        <v>210.29841750666199</v>
      </c>
      <c r="AL534">
        <v>88.466222478887502</v>
      </c>
      <c r="AM534">
        <v>88.6501847953745</v>
      </c>
      <c r="AN534">
        <v>0.99999997516890604</v>
      </c>
    </row>
    <row r="535" spans="1:40" x14ac:dyDescent="0.25">
      <c r="A535" t="str">
        <f>"20190312160918077"</f>
        <v>20190312160918077</v>
      </c>
      <c r="B535" t="str">
        <f>"1552378158065626"</f>
        <v>1552378158065626</v>
      </c>
      <c r="C535" t="s">
        <v>40</v>
      </c>
      <c r="D535">
        <v>5.6704480000000004</v>
      </c>
      <c r="E535">
        <v>0.48165239999999998</v>
      </c>
      <c r="F535" t="s">
        <v>44</v>
      </c>
      <c r="G535">
        <v>-158.19499999999999</v>
      </c>
      <c r="H535">
        <v>1.6227229999999999</v>
      </c>
      <c r="I535">
        <v>373.90839999999997</v>
      </c>
      <c r="J535">
        <v>-368.17020000000002</v>
      </c>
      <c r="K535">
        <v>1.110249</v>
      </c>
      <c r="L535">
        <v>368.24009999999998</v>
      </c>
      <c r="M535">
        <v>0.99990319999999999</v>
      </c>
      <c r="N535">
        <v>0</v>
      </c>
      <c r="O535">
        <v>3.6767890000000001E-4</v>
      </c>
      <c r="P535">
        <v>0.99966569999999999</v>
      </c>
      <c r="Q535">
        <v>1.16252E-2</v>
      </c>
      <c r="R535">
        <v>-2.3095310000000001E-2</v>
      </c>
      <c r="S535">
        <v>3.0028380000000001</v>
      </c>
      <c r="T535">
        <v>7.321358E-3</v>
      </c>
      <c r="U535">
        <v>8.0963129999999994E-2</v>
      </c>
      <c r="V535">
        <v>2.347552E-2</v>
      </c>
      <c r="W535">
        <v>2.5519759999999999E-2</v>
      </c>
      <c r="X535">
        <v>0.99939860000000003</v>
      </c>
      <c r="Y535">
        <v>-2.6584750000000001E-2</v>
      </c>
      <c r="Z535" s="1">
        <v>-3.1506440000000003E-5</v>
      </c>
      <c r="AA535">
        <v>0.99964649999999999</v>
      </c>
      <c r="AB535">
        <v>26</v>
      </c>
      <c r="AC535">
        <v>209.9752</v>
      </c>
      <c r="AD535">
        <v>0.51247399999999899</v>
      </c>
      <c r="AE535">
        <v>5.6682999999999799</v>
      </c>
      <c r="AF535">
        <v>-5.5910554172865998</v>
      </c>
      <c r="AG535">
        <v>0.51247399999999899</v>
      </c>
      <c r="AH535">
        <v>209.976020261217</v>
      </c>
      <c r="AI535">
        <v>89.8602119638293</v>
      </c>
      <c r="AJ535">
        <v>91.5252608462052</v>
      </c>
      <c r="AK535">
        <v>210.05106906421301</v>
      </c>
      <c r="AL535">
        <v>88.537666643835095</v>
      </c>
      <c r="AM535">
        <v>88.654389833142702</v>
      </c>
      <c r="AN535">
        <v>0.99999995993584301</v>
      </c>
    </row>
    <row r="536" spans="1:40" x14ac:dyDescent="0.25">
      <c r="A536" t="str">
        <f>"20190312160918099"</f>
        <v>20190312160918099</v>
      </c>
      <c r="B536" t="str">
        <f>"1552378158095882"</f>
        <v>1552378158095882</v>
      </c>
      <c r="C536" t="s">
        <v>40</v>
      </c>
      <c r="D536">
        <v>5.6511329999999997</v>
      </c>
      <c r="E536">
        <v>0.52202959999999998</v>
      </c>
      <c r="F536" t="s">
        <v>44</v>
      </c>
      <c r="G536">
        <v>-158.19499999999999</v>
      </c>
      <c r="H536">
        <v>1.5014099999999999</v>
      </c>
      <c r="I536">
        <v>373.61579999999998</v>
      </c>
      <c r="J536">
        <v>-367.90589999999997</v>
      </c>
      <c r="K536">
        <v>1.1102270000000001</v>
      </c>
      <c r="L536">
        <v>368.23989999999998</v>
      </c>
      <c r="M536">
        <v>0.9999034</v>
      </c>
      <c r="N536">
        <v>0</v>
      </c>
      <c r="O536" s="1">
        <v>8.5555000000000003E-5</v>
      </c>
      <c r="P536">
        <v>0.99964299999999995</v>
      </c>
      <c r="Q536">
        <v>1.085386E-2</v>
      </c>
      <c r="R536">
        <v>-2.4422369999999999E-2</v>
      </c>
      <c r="S536">
        <v>3.0027159999999999</v>
      </c>
      <c r="T536">
        <v>5.594969E-3</v>
      </c>
      <c r="U536">
        <v>7.6873780000000003E-2</v>
      </c>
      <c r="V536">
        <v>2.4520119999999999E-2</v>
      </c>
      <c r="W536">
        <v>2.474515E-2</v>
      </c>
      <c r="X536">
        <v>0.99939299999999998</v>
      </c>
      <c r="Y536">
        <v>-2.5507450000000001E-2</v>
      </c>
      <c r="Z536" s="1">
        <v>-2.3600730000000001E-5</v>
      </c>
      <c r="AA536">
        <v>0.99967459999999997</v>
      </c>
      <c r="AB536">
        <v>26</v>
      </c>
      <c r="AC536">
        <v>209.71090000000001</v>
      </c>
      <c r="AD536">
        <v>0.391183</v>
      </c>
      <c r="AE536">
        <v>5.3758999999999997</v>
      </c>
      <c r="AF536">
        <v>-5.3579378002420501</v>
      </c>
      <c r="AG536">
        <v>0.391183</v>
      </c>
      <c r="AH536">
        <v>209.71063000111801</v>
      </c>
      <c r="AI536">
        <v>89.893158504592506</v>
      </c>
      <c r="AJ536">
        <v>91.463542656508096</v>
      </c>
      <c r="AK536">
        <v>209.77942906080301</v>
      </c>
      <c r="AL536">
        <v>88.582062559017004</v>
      </c>
      <c r="AM536">
        <v>88.594529289304603</v>
      </c>
      <c r="AN536">
        <v>0.99999996359116705</v>
      </c>
    </row>
    <row r="537" spans="1:40" x14ac:dyDescent="0.25">
      <c r="A537" t="str">
        <f>"20190312160918123"</f>
        <v>20190312160918123</v>
      </c>
      <c r="B537" t="str">
        <f>"1552378158115401"</f>
        <v>1552378158115401</v>
      </c>
      <c r="C537" t="s">
        <v>40</v>
      </c>
      <c r="D537">
        <v>5.758197</v>
      </c>
      <c r="E537">
        <v>0.52217360000000002</v>
      </c>
      <c r="F537" t="s">
        <v>41</v>
      </c>
      <c r="G537">
        <v>-343.63990000000001</v>
      </c>
      <c r="H537" s="1">
        <v>-3.5891570000000002E-6</v>
      </c>
      <c r="I537">
        <v>366.22129999999999</v>
      </c>
      <c r="J537">
        <v>-367.6474</v>
      </c>
      <c r="K537">
        <v>1.1102259999999999</v>
      </c>
      <c r="L537">
        <v>368.2396</v>
      </c>
      <c r="M537">
        <v>0.9999034</v>
      </c>
      <c r="N537">
        <v>0</v>
      </c>
      <c r="O537">
        <v>-1.890482E-4</v>
      </c>
      <c r="P537">
        <v>0.99958720000000001</v>
      </c>
      <c r="Q537">
        <v>9.7386839999999992E-3</v>
      </c>
      <c r="R537">
        <v>-2.703003E-2</v>
      </c>
      <c r="S537">
        <v>2.9964599999999999</v>
      </c>
      <c r="T537">
        <v>-0.13709569999999999</v>
      </c>
      <c r="U537">
        <v>-0.24926760000000001</v>
      </c>
      <c r="V537">
        <v>2.6852879999999999E-2</v>
      </c>
      <c r="W537">
        <v>2.362539E-2</v>
      </c>
      <c r="X537">
        <v>0.99936020000000003</v>
      </c>
      <c r="Y537">
        <v>8.2626939999999996E-2</v>
      </c>
      <c r="Z537">
        <v>-1.877325E-3</v>
      </c>
      <c r="AA537">
        <v>0.99657879999999999</v>
      </c>
      <c r="AB537">
        <v>26</v>
      </c>
      <c r="AC537">
        <v>24.0075</v>
      </c>
      <c r="AD537">
        <v>-1.110229589157</v>
      </c>
      <c r="AE537">
        <v>-2.0183000000000102</v>
      </c>
      <c r="AF537">
        <v>2.00949358695045</v>
      </c>
      <c r="AG537">
        <v>-1.110229589157</v>
      </c>
      <c r="AH537">
        <v>23.957006025861499</v>
      </c>
      <c r="AI537">
        <v>92.6440642650754</v>
      </c>
      <c r="AJ537">
        <v>85.205301722815094</v>
      </c>
      <c r="AK537">
        <v>24.066757403933799</v>
      </c>
      <c r="AL537">
        <v>88.646238938904503</v>
      </c>
      <c r="AM537">
        <v>88.460828665776901</v>
      </c>
      <c r="AN537">
        <v>1.0000000227804899</v>
      </c>
    </row>
    <row r="538" spans="1:40" x14ac:dyDescent="0.25">
      <c r="A538" t="str">
        <f>"20190312160918145"</f>
        <v>20190312160918145</v>
      </c>
      <c r="B538" t="str">
        <f>"1552378158135897"</f>
        <v>1552378158135897</v>
      </c>
      <c r="C538" t="s">
        <v>40</v>
      </c>
      <c r="D538">
        <v>5.6952669999999896</v>
      </c>
      <c r="E538">
        <v>0.52246139999999996</v>
      </c>
      <c r="F538" t="s">
        <v>41</v>
      </c>
      <c r="G538">
        <v>-345.64429999999999</v>
      </c>
      <c r="H538" s="1">
        <v>-2.6203140000000001E-6</v>
      </c>
      <c r="I538">
        <v>366.34179999999998</v>
      </c>
      <c r="J538">
        <v>-367.38729999999998</v>
      </c>
      <c r="K538">
        <v>1.110225</v>
      </c>
      <c r="L538">
        <v>368.23919999999998</v>
      </c>
      <c r="M538">
        <v>0.99990310000000004</v>
      </c>
      <c r="N538">
        <v>0</v>
      </c>
      <c r="O538">
        <v>-4.6292289999999998E-4</v>
      </c>
      <c r="P538">
        <v>0.99951069999999997</v>
      </c>
      <c r="Q538">
        <v>9.2471059999999997E-3</v>
      </c>
      <c r="R538">
        <v>-2.9878180000000001E-2</v>
      </c>
      <c r="S538">
        <v>2.9957579999999999</v>
      </c>
      <c r="T538">
        <v>-0.1511595</v>
      </c>
      <c r="U538">
        <v>-0.25839230000000002</v>
      </c>
      <c r="V538">
        <v>2.942668E-2</v>
      </c>
      <c r="W538">
        <v>2.3129130000000001E-2</v>
      </c>
      <c r="X538">
        <v>0.9992993</v>
      </c>
      <c r="Y538">
        <v>8.5365209999999997E-2</v>
      </c>
      <c r="Z538">
        <v>-2.12502E-3</v>
      </c>
      <c r="AA538">
        <v>0.99634750000000005</v>
      </c>
      <c r="AB538">
        <v>26</v>
      </c>
      <c r="AC538">
        <v>21.742999999999899</v>
      </c>
      <c r="AD538">
        <v>-1.110227620314</v>
      </c>
      <c r="AE538">
        <v>-1.8974</v>
      </c>
      <c r="AF538">
        <v>1.88246250498575</v>
      </c>
      <c r="AG538">
        <v>-1.110227620314</v>
      </c>
      <c r="AH538">
        <v>21.687757730009299</v>
      </c>
      <c r="AI538">
        <v>92.919537479349401</v>
      </c>
      <c r="AJ538">
        <v>85.039251546649993</v>
      </c>
      <c r="AK538">
        <v>21.797594037121701</v>
      </c>
      <c r="AL538">
        <v>88.6746802693512</v>
      </c>
      <c r="AM538">
        <v>88.313280635448905</v>
      </c>
      <c r="AN538">
        <v>0.99999998856543404</v>
      </c>
    </row>
    <row r="539" spans="1:40" x14ac:dyDescent="0.25">
      <c r="A539" t="str">
        <f>"20190312160918167"</f>
        <v>20190312160918167</v>
      </c>
      <c r="B539" t="str">
        <f>"1552378158155421"</f>
        <v>1552378158155421</v>
      </c>
      <c r="C539" t="s">
        <v>40</v>
      </c>
      <c r="D539">
        <v>5.7597990000000001</v>
      </c>
      <c r="E539">
        <v>0.52224820000000005</v>
      </c>
      <c r="F539" t="s">
        <v>41</v>
      </c>
      <c r="G539">
        <v>-346.25330000000002</v>
      </c>
      <c r="H539" s="1">
        <v>-2.332818E-6</v>
      </c>
      <c r="I539">
        <v>366.33949999999999</v>
      </c>
      <c r="J539">
        <v>-367.13959999999997</v>
      </c>
      <c r="K539">
        <v>1.1102299999999901</v>
      </c>
      <c r="L539">
        <v>368.23880000000003</v>
      </c>
      <c r="M539">
        <v>0.99990319999999999</v>
      </c>
      <c r="N539">
        <v>0</v>
      </c>
      <c r="O539">
        <v>-7.2261319999999995E-4</v>
      </c>
      <c r="P539">
        <v>0.99943669999999996</v>
      </c>
      <c r="Q539">
        <v>9.0120119999999998E-3</v>
      </c>
      <c r="R539">
        <v>-3.2327929999999998E-2</v>
      </c>
      <c r="S539">
        <v>2.9948429999999999</v>
      </c>
      <c r="T539">
        <v>-0.1573272</v>
      </c>
      <c r="U539">
        <v>-0.26919559999999998</v>
      </c>
      <c r="V539">
        <v>3.1616760000000001E-2</v>
      </c>
      <c r="W539">
        <v>2.2889349999999999E-2</v>
      </c>
      <c r="X539">
        <v>0.99923799999999996</v>
      </c>
      <c r="Y539">
        <v>8.8685330000000007E-2</v>
      </c>
      <c r="Z539">
        <v>-2.2852990000000002E-3</v>
      </c>
      <c r="AA539">
        <v>0.99605710000000003</v>
      </c>
      <c r="AB539">
        <v>25</v>
      </c>
      <c r="AC539">
        <v>20.886299999999899</v>
      </c>
      <c r="AD539">
        <v>-1.1102323328179999</v>
      </c>
      <c r="AE539">
        <v>-1.89930000000003</v>
      </c>
      <c r="AF539">
        <v>1.8789398130176</v>
      </c>
      <c r="AG539">
        <v>-1.1102323328179999</v>
      </c>
      <c r="AH539">
        <v>20.829295377184401</v>
      </c>
      <c r="AI539">
        <v>93.038747616922507</v>
      </c>
      <c r="AJ539">
        <v>84.845493744602507</v>
      </c>
      <c r="AK539">
        <v>20.943318184179301</v>
      </c>
      <c r="AL539">
        <v>88.688422385068407</v>
      </c>
      <c r="AM539">
        <v>88.187716293898902</v>
      </c>
      <c r="AN539">
        <v>1.0000000612501501</v>
      </c>
    </row>
    <row r="540" spans="1:40" x14ac:dyDescent="0.25">
      <c r="A540" t="str">
        <f>"20190312160918188"</f>
        <v>20190312160918188</v>
      </c>
      <c r="B540" t="str">
        <f>"1552378158185674"</f>
        <v>1552378158185674</v>
      </c>
      <c r="C540" t="s">
        <v>40</v>
      </c>
      <c r="D540">
        <v>6.0957169999999996</v>
      </c>
      <c r="E540">
        <v>0.52225719999999998</v>
      </c>
      <c r="F540" t="s">
        <v>41</v>
      </c>
      <c r="G540">
        <v>-346.29899999999998</v>
      </c>
      <c r="H540" s="1">
        <v>-2.3136449999999999E-6</v>
      </c>
      <c r="I540">
        <v>366.32580000000002</v>
      </c>
      <c r="J540">
        <v>-366.90039999999999</v>
      </c>
      <c r="K540">
        <v>1.1102299999999901</v>
      </c>
      <c r="L540">
        <v>368.23829999999998</v>
      </c>
      <c r="M540">
        <v>0.99990299999999999</v>
      </c>
      <c r="N540">
        <v>0</v>
      </c>
      <c r="O540">
        <v>-9.7194060000000001E-4</v>
      </c>
      <c r="P540">
        <v>0.99943490000000001</v>
      </c>
      <c r="Q540">
        <v>8.0546960000000001E-3</v>
      </c>
      <c r="R540">
        <v>-3.2636470000000001E-2</v>
      </c>
      <c r="S540">
        <v>2.994202</v>
      </c>
      <c r="T540">
        <v>-0.15950889999999901</v>
      </c>
      <c r="U540">
        <v>-0.27484130000000001</v>
      </c>
      <c r="V540">
        <v>3.1675450000000001E-2</v>
      </c>
      <c r="W540">
        <v>2.1930189999999999E-2</v>
      </c>
      <c r="X540">
        <v>0.99925759999999997</v>
      </c>
      <c r="Y540">
        <v>9.0313279999999996E-2</v>
      </c>
      <c r="Z540">
        <v>-2.3472390000000001E-3</v>
      </c>
      <c r="AA540">
        <v>0.99591059999999998</v>
      </c>
      <c r="AB540">
        <v>25</v>
      </c>
      <c r="AC540">
        <v>20.601399999999899</v>
      </c>
      <c r="AD540">
        <v>-1.1102323136450001</v>
      </c>
      <c r="AE540">
        <v>-1.9124999999999599</v>
      </c>
      <c r="AF540">
        <v>1.8870402137873501</v>
      </c>
      <c r="AG540">
        <v>-1.1102323136450001</v>
      </c>
      <c r="AH540">
        <v>20.544093867713499</v>
      </c>
      <c r="AI540">
        <v>93.080394917529603</v>
      </c>
      <c r="AJ540">
        <v>84.751927115730794</v>
      </c>
      <c r="AK540">
        <v>20.660429071152802</v>
      </c>
      <c r="AL540">
        <v>88.743391942895002</v>
      </c>
      <c r="AM540">
        <v>88.184390001514103</v>
      </c>
      <c r="AN540">
        <v>1.0000000092619401</v>
      </c>
    </row>
    <row r="541" spans="1:40" x14ac:dyDescent="0.25">
      <c r="A541" t="str">
        <f>"20190312160918211"</f>
        <v>20190312160918211</v>
      </c>
      <c r="B541" t="str">
        <f>"1552378158205194"</f>
        <v>1552378158205194</v>
      </c>
      <c r="C541" t="s">
        <v>40</v>
      </c>
      <c r="D541">
        <v>5.7303499999999996</v>
      </c>
      <c r="E541">
        <v>0.5222736</v>
      </c>
      <c r="F541" t="s">
        <v>41</v>
      </c>
      <c r="G541">
        <v>-346.82279999999997</v>
      </c>
      <c r="H541" s="1">
        <v>-2.0640270000000002E-6</v>
      </c>
      <c r="I541">
        <v>366.3852</v>
      </c>
      <c r="J541">
        <v>-366.63869999999997</v>
      </c>
      <c r="K541">
        <v>1.1102320000000001</v>
      </c>
      <c r="L541">
        <v>368.23770000000002</v>
      </c>
      <c r="M541">
        <v>0.99990279999999998</v>
      </c>
      <c r="N541">
        <v>0</v>
      </c>
      <c r="O541">
        <v>-1.243683E-3</v>
      </c>
      <c r="P541">
        <v>0.99948559999999997</v>
      </c>
      <c r="Q541">
        <v>8.6688400000000006E-3</v>
      </c>
      <c r="R541">
        <v>-3.0880890000000001E-2</v>
      </c>
      <c r="S541">
        <v>2.9940190000000002</v>
      </c>
      <c r="T541">
        <v>-0.16556070000000001</v>
      </c>
      <c r="U541">
        <v>-0.27633669999999999</v>
      </c>
      <c r="V541">
        <v>2.964849E-2</v>
      </c>
      <c r="W541">
        <v>2.2543259999999999E-2</v>
      </c>
      <c r="X541">
        <v>0.99930609999999997</v>
      </c>
      <c r="Y541">
        <v>9.0531769999999998E-2</v>
      </c>
      <c r="Z541">
        <v>-2.4272930000000001E-3</v>
      </c>
      <c r="AA541">
        <v>0.99589059999999996</v>
      </c>
      <c r="AB541">
        <v>25</v>
      </c>
      <c r="AC541">
        <v>19.815899999999999</v>
      </c>
      <c r="AD541">
        <v>-1.1102340640270001</v>
      </c>
      <c r="AE541">
        <v>-1.85250000000002</v>
      </c>
      <c r="AF541">
        <v>1.8221810887348</v>
      </c>
      <c r="AG541">
        <v>-1.1102340640270001</v>
      </c>
      <c r="AH541">
        <v>19.756708367247001</v>
      </c>
      <c r="AI541">
        <v>93.202805336000196</v>
      </c>
      <c r="AJ541">
        <v>84.730460750762703</v>
      </c>
      <c r="AK541">
        <v>19.871600064049101</v>
      </c>
      <c r="AL541">
        <v>88.708256863262093</v>
      </c>
      <c r="AM541">
        <v>88.300585606357004</v>
      </c>
      <c r="AN541">
        <v>0.99999995651395701</v>
      </c>
    </row>
    <row r="542" spans="1:40" x14ac:dyDescent="0.25">
      <c r="A542" t="str">
        <f>"20190312160918234"</f>
        <v>20190312160918234</v>
      </c>
      <c r="B542" t="str">
        <f>"1552378158225690"</f>
        <v>1552378158225690</v>
      </c>
      <c r="C542" t="s">
        <v>40</v>
      </c>
      <c r="D542">
        <v>5.7422690000000003</v>
      </c>
      <c r="E542">
        <v>0.523088</v>
      </c>
      <c r="F542" t="s">
        <v>41</v>
      </c>
      <c r="G542">
        <v>-346.62060000000002</v>
      </c>
      <c r="H542" s="1">
        <v>-2.1436909999999999E-6</v>
      </c>
      <c r="I542">
        <v>366.42700000000002</v>
      </c>
      <c r="J542">
        <v>-366.37860000000001</v>
      </c>
      <c r="K542">
        <v>1.1102259999999999</v>
      </c>
      <c r="L542">
        <v>368.2371</v>
      </c>
      <c r="M542">
        <v>0.99990239999999997</v>
      </c>
      <c r="N542">
        <v>0</v>
      </c>
      <c r="O542">
        <v>-1.512574E-3</v>
      </c>
      <c r="P542">
        <v>0.99952629999999998</v>
      </c>
      <c r="Q542">
        <v>8.6839240000000009E-3</v>
      </c>
      <c r="R542">
        <v>-2.9535120000000002E-2</v>
      </c>
      <c r="S542">
        <v>2.9946290000000002</v>
      </c>
      <c r="T542">
        <v>-0.16608680000000001</v>
      </c>
      <c r="U542">
        <v>-0.270874</v>
      </c>
      <c r="V542">
        <v>2.8033659999999998E-2</v>
      </c>
      <c r="W542">
        <v>2.255708E-2</v>
      </c>
      <c r="X542">
        <v>0.99935249999999998</v>
      </c>
      <c r="Y542">
        <v>8.8446339999999998E-2</v>
      </c>
      <c r="Z542">
        <v>-2.3621599999999999E-3</v>
      </c>
      <c r="AA542">
        <v>0.99607809999999997</v>
      </c>
      <c r="AB542">
        <v>25</v>
      </c>
      <c r="AC542">
        <v>19.7579999999999</v>
      </c>
      <c r="AD542">
        <v>-1.110228143691</v>
      </c>
      <c r="AE542">
        <v>-1.81010000000003</v>
      </c>
      <c r="AF542">
        <v>1.77465284341024</v>
      </c>
      <c r="AG542">
        <v>-1.110228143691</v>
      </c>
      <c r="AH542">
        <v>19.699034256476999</v>
      </c>
      <c r="AI542">
        <v>93.212766694998905</v>
      </c>
      <c r="AJ542">
        <v>84.852215946490702</v>
      </c>
      <c r="AK542">
        <v>19.809945731463401</v>
      </c>
      <c r="AL542">
        <v>88.707464972592504</v>
      </c>
      <c r="AM542">
        <v>88.393170288210399</v>
      </c>
      <c r="AN542">
        <v>1.0000000636036801</v>
      </c>
    </row>
    <row r="543" spans="1:40" x14ac:dyDescent="0.25">
      <c r="A543" t="str">
        <f>"20190312160918255"</f>
        <v>20190312160918255</v>
      </c>
      <c r="B543" t="str">
        <f>"1552378158245224"</f>
        <v>1552378158245224</v>
      </c>
      <c r="C543" t="s">
        <v>40</v>
      </c>
      <c r="D543">
        <v>5.7801470000000004</v>
      </c>
      <c r="E543">
        <v>0.52345319999999995</v>
      </c>
      <c r="F543" t="s">
        <v>41</v>
      </c>
      <c r="G543">
        <v>-347.05470000000003</v>
      </c>
      <c r="H543" s="1">
        <v>-1.951759E-6</v>
      </c>
      <c r="I543">
        <v>366.4726</v>
      </c>
      <c r="J543">
        <v>-366.1293</v>
      </c>
      <c r="K543">
        <v>1.110233</v>
      </c>
      <c r="L543">
        <v>368.2364</v>
      </c>
      <c r="M543">
        <v>0.99990210000000002</v>
      </c>
      <c r="N543">
        <v>0</v>
      </c>
      <c r="O543">
        <v>-1.76991E-3</v>
      </c>
      <c r="P543">
        <v>0.99953250000000005</v>
      </c>
      <c r="Q543">
        <v>8.9274909999999992E-3</v>
      </c>
      <c r="R543">
        <v>-2.9249339999999999E-2</v>
      </c>
      <c r="S543">
        <v>2.9948730000000001</v>
      </c>
      <c r="T543">
        <v>-0.17206589999999999</v>
      </c>
      <c r="U543">
        <v>-0.27346799999999999</v>
      </c>
      <c r="V543">
        <v>2.7490819999999999E-2</v>
      </c>
      <c r="W543">
        <v>2.2798769999999999E-2</v>
      </c>
      <c r="X543">
        <v>0.99936210000000003</v>
      </c>
      <c r="Y543">
        <v>8.9028170000000004E-2</v>
      </c>
      <c r="Z543">
        <v>-2.448689E-3</v>
      </c>
      <c r="AA543">
        <v>0.99602610000000003</v>
      </c>
      <c r="AB543">
        <v>25</v>
      </c>
      <c r="AC543">
        <v>19.074599999999901</v>
      </c>
      <c r="AD543">
        <v>-1.110234951759</v>
      </c>
      <c r="AE543">
        <v>-1.7638</v>
      </c>
      <c r="AF543">
        <v>1.72424178027811</v>
      </c>
      <c r="AG543">
        <v>-1.110234951759</v>
      </c>
      <c r="AH543">
        <v>19.013823093682898</v>
      </c>
      <c r="AI543">
        <v>93.328134229434795</v>
      </c>
      <c r="AJ543">
        <v>84.818385572196703</v>
      </c>
      <c r="AK543">
        <v>19.124097364394299</v>
      </c>
      <c r="AL543">
        <v>88.693613599984104</v>
      </c>
      <c r="AM543">
        <v>88.4242840092611</v>
      </c>
      <c r="AN543">
        <v>1.00000006800709</v>
      </c>
    </row>
    <row r="544" spans="1:40" x14ac:dyDescent="0.25">
      <c r="A544" t="str">
        <f>"20190312160918277"</f>
        <v>20190312160918277</v>
      </c>
      <c r="B544" t="str">
        <f>"1552378158265706"</f>
        <v>1552378158265706</v>
      </c>
      <c r="C544" t="s">
        <v>40</v>
      </c>
      <c r="D544">
        <v>5.6810260000000001</v>
      </c>
      <c r="E544">
        <v>0.52396830000000005</v>
      </c>
      <c r="F544" t="s">
        <v>41</v>
      </c>
      <c r="G544">
        <v>-347.142</v>
      </c>
      <c r="H544" s="1">
        <v>-1.9131700000000002E-6</v>
      </c>
      <c r="I544">
        <v>366.49160000000001</v>
      </c>
      <c r="J544">
        <v>-365.88929999999999</v>
      </c>
      <c r="K544">
        <v>1.110231</v>
      </c>
      <c r="L544">
        <v>368.23570000000001</v>
      </c>
      <c r="M544">
        <v>0.99990159999999995</v>
      </c>
      <c r="N544">
        <v>0</v>
      </c>
      <c r="O544">
        <v>-2.0177979999999999E-3</v>
      </c>
      <c r="P544">
        <v>0.99951590000000001</v>
      </c>
      <c r="Q544">
        <v>9.5391450000000006E-3</v>
      </c>
      <c r="R544">
        <v>-2.9615860000000001E-2</v>
      </c>
      <c r="S544">
        <v>2.994904</v>
      </c>
      <c r="T544">
        <v>-0.17511949999999901</v>
      </c>
      <c r="U544">
        <v>-0.27520749999999999</v>
      </c>
      <c r="V544">
        <v>2.760988E-2</v>
      </c>
      <c r="W544">
        <v>2.3403239999999999E-2</v>
      </c>
      <c r="X544">
        <v>0.99934480000000003</v>
      </c>
      <c r="Y544">
        <v>8.9348789999999997E-2</v>
      </c>
      <c r="Z544">
        <v>-2.4868759999999998E-3</v>
      </c>
      <c r="AA544">
        <v>0.99599729999999997</v>
      </c>
      <c r="AB544">
        <v>25</v>
      </c>
      <c r="AC544">
        <v>18.747299999999999</v>
      </c>
      <c r="AD544">
        <v>-1.1102329131699999</v>
      </c>
      <c r="AE544">
        <v>-1.7441</v>
      </c>
      <c r="AF544">
        <v>1.7003523669831899</v>
      </c>
      <c r="AG544">
        <v>-1.1102329131699999</v>
      </c>
      <c r="AH544">
        <v>18.6858103347293</v>
      </c>
      <c r="AI544">
        <v>93.3863202700296</v>
      </c>
      <c r="AJ544">
        <v>84.800576558517307</v>
      </c>
      <c r="AK544">
        <v>18.795832600841798</v>
      </c>
      <c r="AL544">
        <v>88.658970716957299</v>
      </c>
      <c r="AM544">
        <v>88.417435821308402</v>
      </c>
      <c r="AN544">
        <v>1.00000002320157</v>
      </c>
    </row>
    <row r="545" spans="1:40" x14ac:dyDescent="0.25">
      <c r="A545" t="str">
        <f>"20190312160918300"</f>
        <v>20190312160918300</v>
      </c>
      <c r="B545" t="str">
        <f>"1552378158295961"</f>
        <v>1552378158295961</v>
      </c>
      <c r="C545" t="s">
        <v>40</v>
      </c>
      <c r="D545">
        <v>5.7775259999999999</v>
      </c>
      <c r="E545">
        <v>0.52449290000000004</v>
      </c>
      <c r="F545" t="s">
        <v>41</v>
      </c>
      <c r="G545">
        <v>-346.91980000000001</v>
      </c>
      <c r="H545" s="1">
        <v>-2.0071440000000002E-6</v>
      </c>
      <c r="I545">
        <v>366.459</v>
      </c>
      <c r="J545">
        <v>-365.62599999999998</v>
      </c>
      <c r="K545">
        <v>1.1102369999999999</v>
      </c>
      <c r="L545">
        <v>368.23480000000001</v>
      </c>
      <c r="M545">
        <v>0.99990140000000005</v>
      </c>
      <c r="N545">
        <v>0</v>
      </c>
      <c r="O545">
        <v>-2.2889540000000002E-3</v>
      </c>
      <c r="P545">
        <v>0.99949429999999995</v>
      </c>
      <c r="Q545">
        <v>1.031814E-2</v>
      </c>
      <c r="R545">
        <v>-3.008419E-2</v>
      </c>
      <c r="S545">
        <v>2.994812</v>
      </c>
      <c r="T545">
        <v>-0.17527809999999999</v>
      </c>
      <c r="U545">
        <v>-0.28048709999999999</v>
      </c>
      <c r="V545">
        <v>2.7807390000000001E-2</v>
      </c>
      <c r="W545">
        <v>2.4162630000000001E-2</v>
      </c>
      <c r="X545">
        <v>0.99932120000000002</v>
      </c>
      <c r="Y545">
        <v>9.0819929999999993E-2</v>
      </c>
      <c r="Z545">
        <v>-2.5160959999999998E-3</v>
      </c>
      <c r="AA545">
        <v>0.99586419999999998</v>
      </c>
      <c r="AB545">
        <v>25</v>
      </c>
      <c r="AC545">
        <v>18.7061999999999</v>
      </c>
      <c r="AD545">
        <v>-1.110239007144</v>
      </c>
      <c r="AE545">
        <v>-1.7758</v>
      </c>
      <c r="AF545">
        <v>1.72694462449021</v>
      </c>
      <c r="AG545">
        <v>-1.110239007144</v>
      </c>
      <c r="AH545">
        <v>18.645123625572001</v>
      </c>
      <c r="AI545">
        <v>93.393210301667693</v>
      </c>
      <c r="AJ545">
        <v>84.7082604374108</v>
      </c>
      <c r="AK545">
        <v>18.757814462295499</v>
      </c>
      <c r="AL545">
        <v>88.615448493869707</v>
      </c>
      <c r="AM545">
        <v>88.4060829896776</v>
      </c>
      <c r="AN545">
        <v>0.99999997219828396</v>
      </c>
    </row>
    <row r="546" spans="1:40" x14ac:dyDescent="0.25">
      <c r="A546" t="str">
        <f>"20190312160918324"</f>
        <v>20190312160918324</v>
      </c>
      <c r="B546" t="str">
        <f>"1552378158315483"</f>
        <v>1552378158315483</v>
      </c>
      <c r="C546" t="s">
        <v>40</v>
      </c>
      <c r="D546">
        <v>5.8253839999999997</v>
      </c>
      <c r="E546">
        <v>0.52491379999999999</v>
      </c>
      <c r="F546" t="s">
        <v>41</v>
      </c>
      <c r="G546">
        <v>-346.48009999999999</v>
      </c>
      <c r="H546" s="1">
        <v>-2.2144450000000001E-6</v>
      </c>
      <c r="I546">
        <v>366.4024</v>
      </c>
      <c r="J546">
        <v>-365.3657</v>
      </c>
      <c r="K546">
        <v>1.1102299999999901</v>
      </c>
      <c r="L546">
        <v>368.23390000000001</v>
      </c>
      <c r="M546">
        <v>0.99990120000000005</v>
      </c>
      <c r="N546">
        <v>0</v>
      </c>
      <c r="O546">
        <v>-2.552866E-3</v>
      </c>
      <c r="P546">
        <v>0.99947540000000001</v>
      </c>
      <c r="Q546">
        <v>1.0762330000000001E-2</v>
      </c>
      <c r="R546">
        <v>-3.0544999999999999E-2</v>
      </c>
      <c r="S546">
        <v>2.994659</v>
      </c>
      <c r="T546">
        <v>-0.1736557</v>
      </c>
      <c r="U546">
        <v>-0.28662110000000002</v>
      </c>
      <c r="V546">
        <v>2.8004600000000001E-2</v>
      </c>
      <c r="W546">
        <v>2.4559709999999998E-2</v>
      </c>
      <c r="X546">
        <v>0.99930600000000003</v>
      </c>
      <c r="Y546">
        <v>9.2583700000000005E-2</v>
      </c>
      <c r="Z546">
        <v>-2.5284560000000001E-3</v>
      </c>
      <c r="AA546">
        <v>0.99570170000000002</v>
      </c>
      <c r="AB546">
        <v>25</v>
      </c>
      <c r="AC546">
        <v>18.8856</v>
      </c>
      <c r="AD546">
        <v>-1.1102322144450001</v>
      </c>
      <c r="AE546">
        <v>-1.8314999999999999</v>
      </c>
      <c r="AF546">
        <v>1.7771923746288301</v>
      </c>
      <c r="AG546">
        <v>-1.1102322144450001</v>
      </c>
      <c r="AH546">
        <v>18.825759975312501</v>
      </c>
      <c r="AI546">
        <v>93.360153003367799</v>
      </c>
      <c r="AJ546">
        <v>84.607136835038204</v>
      </c>
      <c r="AK546">
        <v>18.942023834704401</v>
      </c>
      <c r="AL546">
        <v>88.592690712822801</v>
      </c>
      <c r="AM546">
        <v>88.394760420762097</v>
      </c>
      <c r="AN546">
        <v>0.99999995930622099</v>
      </c>
    </row>
    <row r="547" spans="1:40" x14ac:dyDescent="0.25">
      <c r="A547" t="str">
        <f>"20190312160918346"</f>
        <v>20190312160918346</v>
      </c>
      <c r="B547" t="str">
        <f>"1552378158335978"</f>
        <v>1552378158335978</v>
      </c>
      <c r="C547" t="s">
        <v>40</v>
      </c>
      <c r="D547">
        <v>5.7770279999999996</v>
      </c>
      <c r="E547">
        <v>0.52527869999999999</v>
      </c>
      <c r="F547" t="s">
        <v>41</v>
      </c>
      <c r="G547">
        <v>-346.19240000000002</v>
      </c>
      <c r="H547" s="1">
        <v>-2.3564629999999998E-6</v>
      </c>
      <c r="I547">
        <v>366.36849999999998</v>
      </c>
      <c r="J547">
        <v>-365.11630000000002</v>
      </c>
      <c r="K547">
        <v>1.1102209999999999</v>
      </c>
      <c r="L547">
        <v>368.233</v>
      </c>
      <c r="M547">
        <v>0.99990190000000001</v>
      </c>
      <c r="N547">
        <v>0</v>
      </c>
      <c r="O547">
        <v>-2.7951629999999998E-3</v>
      </c>
      <c r="P547">
        <v>0.9994807</v>
      </c>
      <c r="Q547">
        <v>1.0190329999999999E-2</v>
      </c>
      <c r="R547">
        <v>-3.0576260000000001E-2</v>
      </c>
      <c r="S547">
        <v>2.994507</v>
      </c>
      <c r="T547">
        <v>-0.17339769999999999</v>
      </c>
      <c r="U547">
        <v>-0.29135129999999998</v>
      </c>
      <c r="V547">
        <v>2.7793189999999999E-2</v>
      </c>
      <c r="W547">
        <v>2.3904729999999999E-2</v>
      </c>
      <c r="X547">
        <v>0.99932779999999999</v>
      </c>
      <c r="Y547">
        <v>9.3904150000000006E-2</v>
      </c>
      <c r="Z547">
        <v>-2.5487639999999998E-3</v>
      </c>
      <c r="AA547">
        <v>0.99557799999999996</v>
      </c>
      <c r="AB547">
        <v>25</v>
      </c>
      <c r="AC547">
        <v>18.9239</v>
      </c>
      <c r="AD547">
        <v>-1.110223356463</v>
      </c>
      <c r="AE547">
        <v>-1.86450000000002</v>
      </c>
      <c r="AF547">
        <v>1.80543793670748</v>
      </c>
      <c r="AG547">
        <v>-1.110223356463</v>
      </c>
      <c r="AH547">
        <v>18.8647316851693</v>
      </c>
      <c r="AI547">
        <v>93.352790205630498</v>
      </c>
      <c r="AJ547">
        <v>84.533191666835407</v>
      </c>
      <c r="AK547">
        <v>18.983421809515001</v>
      </c>
      <c r="AL547">
        <v>88.6302293487296</v>
      </c>
      <c r="AM547">
        <v>88.406907028936402</v>
      </c>
      <c r="AN547">
        <v>0.99999997468979396</v>
      </c>
    </row>
    <row r="548" spans="1:40" x14ac:dyDescent="0.25">
      <c r="A548" t="str">
        <f>"20190312160918366"</f>
        <v>20190312160918366</v>
      </c>
      <c r="B548" t="str">
        <f>"1552378158355501"</f>
        <v>1552378158355501</v>
      </c>
      <c r="C548" t="s">
        <v>40</v>
      </c>
      <c r="D548">
        <v>5.7259370000000001</v>
      </c>
      <c r="E548">
        <v>0.52558169999999904</v>
      </c>
      <c r="F548" t="s">
        <v>41</v>
      </c>
      <c r="G548">
        <v>-346.27539999999999</v>
      </c>
      <c r="H548" s="1">
        <v>-2.3144630000000001E-6</v>
      </c>
      <c r="I548">
        <v>366.38420000000002</v>
      </c>
      <c r="J548">
        <v>-364.88569999999999</v>
      </c>
      <c r="K548">
        <v>1.110212</v>
      </c>
      <c r="L548">
        <v>368.2321</v>
      </c>
      <c r="M548">
        <v>0.99990250000000003</v>
      </c>
      <c r="N548">
        <v>0</v>
      </c>
      <c r="O548">
        <v>-3.0037100000000001E-3</v>
      </c>
      <c r="P548">
        <v>0.99946489999999999</v>
      </c>
      <c r="Q548">
        <v>1.0941289999999999E-2</v>
      </c>
      <c r="R548">
        <v>-3.082609E-2</v>
      </c>
      <c r="S548">
        <v>2.9943240000000002</v>
      </c>
      <c r="T548">
        <v>-0.17644389999999999</v>
      </c>
      <c r="U548">
        <v>-0.29382320000000001</v>
      </c>
      <c r="V548">
        <v>2.7834830000000001E-2</v>
      </c>
      <c r="W548">
        <v>2.456639E-2</v>
      </c>
      <c r="X548">
        <v>0.99931060000000005</v>
      </c>
      <c r="Y548">
        <v>9.4510449999999996E-2</v>
      </c>
      <c r="Z548">
        <v>-2.5990760000000001E-3</v>
      </c>
      <c r="AA548">
        <v>0.99552050000000003</v>
      </c>
      <c r="AB548">
        <v>25</v>
      </c>
      <c r="AC548">
        <v>18.610299999999899</v>
      </c>
      <c r="AD548">
        <v>-1.1102143144629999</v>
      </c>
      <c r="AE548">
        <v>-1.8478999999999799</v>
      </c>
      <c r="AF548">
        <v>1.78569358917567</v>
      </c>
      <c r="AG548">
        <v>-1.1102143144629999</v>
      </c>
      <c r="AH548">
        <v>18.550393995551499</v>
      </c>
      <c r="AI548">
        <v>93.409262553473894</v>
      </c>
      <c r="AJ548">
        <v>84.501549095362193</v>
      </c>
      <c r="AK548">
        <v>18.669183024670801</v>
      </c>
      <c r="AL548">
        <v>88.5923078910116</v>
      </c>
      <c r="AM548">
        <v>88.404494028891705</v>
      </c>
      <c r="AN548">
        <v>0.99999998027556003</v>
      </c>
    </row>
    <row r="549" spans="1:40" x14ac:dyDescent="0.25">
      <c r="A549" t="str">
        <f>"20190312160918389"</f>
        <v>20190312160918389</v>
      </c>
      <c r="B549" t="str">
        <f>"1552378158385754"</f>
        <v>1552378158385754</v>
      </c>
      <c r="C549" t="s">
        <v>40</v>
      </c>
      <c r="D549">
        <v>5.7818059999999996</v>
      </c>
      <c r="E549">
        <v>0.52533779999999997</v>
      </c>
      <c r="F549" t="s">
        <v>41</v>
      </c>
      <c r="G549">
        <v>-345.88459999999998</v>
      </c>
      <c r="H549" s="1">
        <v>-2.5056799999999999E-6</v>
      </c>
      <c r="I549">
        <v>366.34769999999997</v>
      </c>
      <c r="J549">
        <v>-364.62939999999998</v>
      </c>
      <c r="K549">
        <v>1.1102050000000001</v>
      </c>
      <c r="L549">
        <v>368.23099999999999</v>
      </c>
      <c r="M549">
        <v>0.99990330000000005</v>
      </c>
      <c r="N549">
        <v>0</v>
      </c>
      <c r="O549">
        <v>-3.22784E-3</v>
      </c>
      <c r="P549">
        <v>0.99944540000000004</v>
      </c>
      <c r="Q549">
        <v>1.2319149999999999E-2</v>
      </c>
      <c r="R549">
        <v>-3.093605E-2</v>
      </c>
      <c r="S549">
        <v>2.994354</v>
      </c>
      <c r="T549">
        <v>-0.17495639999999901</v>
      </c>
      <c r="U549">
        <v>-0.29696660000000002</v>
      </c>
      <c r="V549">
        <v>2.7721050000000001E-2</v>
      </c>
      <c r="W549">
        <v>2.5830559999999999E-2</v>
      </c>
      <c r="X549">
        <v>0.99928189999999995</v>
      </c>
      <c r="Y549">
        <v>9.5322909999999997E-2</v>
      </c>
      <c r="Z549">
        <v>-2.587649E-3</v>
      </c>
      <c r="AA549">
        <v>0.99544299999999997</v>
      </c>
      <c r="AB549">
        <v>25</v>
      </c>
      <c r="AC549">
        <v>18.744800000000001</v>
      </c>
      <c r="AD549">
        <v>-1.11020750567999</v>
      </c>
      <c r="AE549">
        <v>-1.88330000000002</v>
      </c>
      <c r="AF549">
        <v>1.81647112239926</v>
      </c>
      <c r="AG549">
        <v>-1.11020750567999</v>
      </c>
      <c r="AH549">
        <v>18.685888778259201</v>
      </c>
      <c r="AI549">
        <v>93.384271208171597</v>
      </c>
      <c r="AJ549">
        <v>84.447674473385007</v>
      </c>
      <c r="AK549">
        <v>18.806769192970101</v>
      </c>
      <c r="AL549">
        <v>88.519853294381804</v>
      </c>
      <c r="AM549">
        <v>88.410966989977595</v>
      </c>
      <c r="AN549">
        <v>0.99999999505531301</v>
      </c>
    </row>
    <row r="550" spans="1:40" x14ac:dyDescent="0.25">
      <c r="A550" t="str">
        <f>"20190312160918413"</f>
        <v>20190312160918413</v>
      </c>
      <c r="B550" t="str">
        <f>"1552378158405273"</f>
        <v>1552378158405273</v>
      </c>
      <c r="C550" t="s">
        <v>40</v>
      </c>
      <c r="D550">
        <v>5.6848419999999997</v>
      </c>
      <c r="E550">
        <v>0.52504490000000004</v>
      </c>
      <c r="F550" t="s">
        <v>41</v>
      </c>
      <c r="G550">
        <v>-345.15730000000002</v>
      </c>
      <c r="H550" s="1">
        <v>-2.8562740000000002E-6</v>
      </c>
      <c r="I550">
        <v>366.30939999999998</v>
      </c>
      <c r="J550">
        <v>-364.36369999999999</v>
      </c>
      <c r="K550">
        <v>1.1102000000000001</v>
      </c>
      <c r="L550">
        <v>368.22989999999999</v>
      </c>
      <c r="M550">
        <v>0.99990449999999997</v>
      </c>
      <c r="N550">
        <v>0</v>
      </c>
      <c r="O550">
        <v>-3.4513109999999999E-3</v>
      </c>
      <c r="P550">
        <v>0.99944999999999995</v>
      </c>
      <c r="Q550">
        <v>1.312637E-2</v>
      </c>
      <c r="R550">
        <v>-3.0454169999999999E-2</v>
      </c>
      <c r="S550">
        <v>2.9945979999999999</v>
      </c>
      <c r="T550">
        <v>-0.17073769999999999</v>
      </c>
      <c r="U550">
        <v>-0.29553220000000002</v>
      </c>
      <c r="V550">
        <v>2.7014940000000001E-2</v>
      </c>
      <c r="W550">
        <v>2.6499809999999999E-2</v>
      </c>
      <c r="X550">
        <v>0.9992837</v>
      </c>
      <c r="Y550">
        <v>9.4629179999999993E-2</v>
      </c>
      <c r="Z550">
        <v>-2.4927970000000002E-3</v>
      </c>
      <c r="AA550">
        <v>0.99550939999999999</v>
      </c>
      <c r="AB550">
        <v>25</v>
      </c>
      <c r="AC550">
        <v>19.206399999999899</v>
      </c>
      <c r="AD550">
        <v>-1.1102028562740001</v>
      </c>
      <c r="AE550">
        <v>-1.9205000000000001</v>
      </c>
      <c r="AF550">
        <v>1.8480815374399999</v>
      </c>
      <c r="AG550">
        <v>-1.1102028562740001</v>
      </c>
      <c r="AH550">
        <v>19.149563804905899</v>
      </c>
      <c r="AI550">
        <v>93.302718821930597</v>
      </c>
      <c r="AJ550">
        <v>84.487584025455703</v>
      </c>
      <c r="AK550">
        <v>19.270540980192202</v>
      </c>
      <c r="AL550">
        <v>88.481494937537605</v>
      </c>
      <c r="AM550">
        <v>88.451425627100903</v>
      </c>
      <c r="AN550">
        <v>0.99999997999946399</v>
      </c>
    </row>
    <row r="551" spans="1:40" x14ac:dyDescent="0.25">
      <c r="A551" t="str">
        <f>"20190312160918436"</f>
        <v>20190312160918436</v>
      </c>
      <c r="B551" t="str">
        <f>"1552378158425770"</f>
        <v>1552378158425770</v>
      </c>
      <c r="C551" t="s">
        <v>40</v>
      </c>
      <c r="D551">
        <v>5.7857839999999996</v>
      </c>
      <c r="E551">
        <v>0.52502530000000003</v>
      </c>
      <c r="F551" t="s">
        <v>41</v>
      </c>
      <c r="G551">
        <v>-344.4246</v>
      </c>
      <c r="H551" s="1">
        <v>-3.20671E-6</v>
      </c>
      <c r="I551">
        <v>366.28629999999998</v>
      </c>
      <c r="J551">
        <v>-364.1071</v>
      </c>
      <c r="K551">
        <v>1.1101890000000001</v>
      </c>
      <c r="L551">
        <v>368.22879999999998</v>
      </c>
      <c r="M551">
        <v>0.99990570000000001</v>
      </c>
      <c r="N551">
        <v>0</v>
      </c>
      <c r="O551">
        <v>-3.646233E-3</v>
      </c>
      <c r="P551">
        <v>0.99946449999999998</v>
      </c>
      <c r="Q551">
        <v>1.3558860000000001E-2</v>
      </c>
      <c r="R551">
        <v>-2.9786569999999998E-2</v>
      </c>
      <c r="S551">
        <v>2.9949340000000002</v>
      </c>
      <c r="T551">
        <v>-0.1667565</v>
      </c>
      <c r="U551">
        <v>-0.2919312</v>
      </c>
      <c r="V551">
        <v>2.615104E-2</v>
      </c>
      <c r="W551">
        <v>2.6782E-2</v>
      </c>
      <c r="X551">
        <v>0.99929920000000005</v>
      </c>
      <c r="Y551">
        <v>9.3247730000000001E-2</v>
      </c>
      <c r="Z551">
        <v>-2.3854750000000002E-3</v>
      </c>
      <c r="AA551">
        <v>0.99564010000000003</v>
      </c>
      <c r="AB551">
        <v>25</v>
      </c>
      <c r="AC551">
        <v>19.682500000000001</v>
      </c>
      <c r="AD551">
        <v>-1.1101922067100001</v>
      </c>
      <c r="AE551">
        <v>-1.9424999999999899</v>
      </c>
      <c r="AF551">
        <v>1.86483800808803</v>
      </c>
      <c r="AG551">
        <v>-1.1101922067100001</v>
      </c>
      <c r="AH551">
        <v>19.627609124894501</v>
      </c>
      <c r="AI551">
        <v>93.2228761342501</v>
      </c>
      <c r="AJ551">
        <v>84.572565091529597</v>
      </c>
      <c r="AK551">
        <v>19.7472324008173</v>
      </c>
      <c r="AL551">
        <v>88.465320964575696</v>
      </c>
      <c r="AM551">
        <v>88.500947141635393</v>
      </c>
      <c r="AN551">
        <v>1.00000002176886</v>
      </c>
    </row>
    <row r="552" spans="1:40" x14ac:dyDescent="0.25">
      <c r="A552" t="str">
        <f>"20190312160918456"</f>
        <v>20190312160918456</v>
      </c>
      <c r="B552" t="str">
        <f>"1552378158445294"</f>
        <v>1552378158445294</v>
      </c>
      <c r="C552" t="s">
        <v>40</v>
      </c>
      <c r="D552">
        <v>5.6791239999999998</v>
      </c>
      <c r="E552">
        <v>0.52487589999999995</v>
      </c>
      <c r="F552" t="s">
        <v>41</v>
      </c>
      <c r="G552">
        <v>-343.95179999999999</v>
      </c>
      <c r="H552" s="1">
        <v>-3.4316220000000001E-6</v>
      </c>
      <c r="I552">
        <v>366.2783</v>
      </c>
      <c r="J552">
        <v>-363.87689999999998</v>
      </c>
      <c r="K552">
        <v>1.1101829999999999</v>
      </c>
      <c r="L552">
        <v>368.2278</v>
      </c>
      <c r="M552">
        <v>0.99990710000000005</v>
      </c>
      <c r="N552">
        <v>0</v>
      </c>
      <c r="O552">
        <v>-3.7986700000000001E-3</v>
      </c>
      <c r="P552">
        <v>0.99950130000000004</v>
      </c>
      <c r="Q552">
        <v>1.297128E-2</v>
      </c>
      <c r="R552">
        <v>-2.8793679999999999E-2</v>
      </c>
      <c r="S552">
        <v>2.9952390000000002</v>
      </c>
      <c r="T552">
        <v>-0.1649833</v>
      </c>
      <c r="U552">
        <v>-0.289856</v>
      </c>
      <c r="V552">
        <v>2.500407E-2</v>
      </c>
      <c r="W552">
        <v>2.605031E-2</v>
      </c>
      <c r="X552">
        <v>0.99934789999999996</v>
      </c>
      <c r="Y552">
        <v>9.2407160000000002E-2</v>
      </c>
      <c r="Z552">
        <v>-2.3285369999999999E-3</v>
      </c>
      <c r="AA552">
        <v>0.99571860000000001</v>
      </c>
      <c r="AB552">
        <v>25</v>
      </c>
      <c r="AC552">
        <v>19.925099999999901</v>
      </c>
      <c r="AD552">
        <v>-1.11018643162199</v>
      </c>
      <c r="AE552">
        <v>-1.9495</v>
      </c>
      <c r="AF552">
        <v>1.8680462186892099</v>
      </c>
      <c r="AG552">
        <v>-1.11018643162199</v>
      </c>
      <c r="AH552">
        <v>19.871257118485701</v>
      </c>
      <c r="AI552">
        <v>93.183723293249798</v>
      </c>
      <c r="AJ552">
        <v>84.629553000193297</v>
      </c>
      <c r="AK552">
        <v>19.989721610294701</v>
      </c>
      <c r="AL552">
        <v>88.507258351181505</v>
      </c>
      <c r="AM552">
        <v>88.566736526052594</v>
      </c>
      <c r="AN552">
        <v>1.00000002370103</v>
      </c>
    </row>
    <row r="553" spans="1:40" x14ac:dyDescent="0.25">
      <c r="A553" t="str">
        <f>"20190312160918478"</f>
        <v>20190312160918478</v>
      </c>
      <c r="B553" t="str">
        <f>"1552378158475546"</f>
        <v>1552378158475546</v>
      </c>
      <c r="C553" t="s">
        <v>40</v>
      </c>
      <c r="D553">
        <v>5.6926670000000001</v>
      </c>
      <c r="E553">
        <v>0.52489509999999995</v>
      </c>
      <c r="F553" t="s">
        <v>41</v>
      </c>
      <c r="G553">
        <v>-343.83170000000001</v>
      </c>
      <c r="H553" s="1">
        <v>-3.4814510000000002E-6</v>
      </c>
      <c r="I553">
        <v>366.31740000000002</v>
      </c>
      <c r="J553">
        <v>-363.62619999999998</v>
      </c>
      <c r="K553">
        <v>1.1101780000000001</v>
      </c>
      <c r="L553">
        <v>368.22669999999999</v>
      </c>
      <c r="M553">
        <v>0.99990869999999998</v>
      </c>
      <c r="N553">
        <v>0</v>
      </c>
      <c r="O553">
        <v>-3.9362399999999997E-3</v>
      </c>
      <c r="P553">
        <v>0.99953069999999999</v>
      </c>
      <c r="Q553">
        <v>1.230055E-2</v>
      </c>
      <c r="R553">
        <v>-2.8059190000000001E-2</v>
      </c>
      <c r="S553">
        <v>2.995422</v>
      </c>
      <c r="T553">
        <v>-0.16589889999999999</v>
      </c>
      <c r="U553">
        <v>-0.28546139999999998</v>
      </c>
      <c r="V553">
        <v>2.41303E-2</v>
      </c>
      <c r="W553">
        <v>2.5220880000000001E-2</v>
      </c>
      <c r="X553">
        <v>0.99939069999999997</v>
      </c>
      <c r="Y553">
        <v>9.0817910000000002E-2</v>
      </c>
      <c r="Z553">
        <v>-2.2899890000000001E-3</v>
      </c>
      <c r="AA553">
        <v>0.99586490000000005</v>
      </c>
      <c r="AB553">
        <v>25</v>
      </c>
      <c r="AC553">
        <v>19.7944999999999</v>
      </c>
      <c r="AD553">
        <v>-1.110181481451</v>
      </c>
      <c r="AE553">
        <v>-1.90929999999997</v>
      </c>
      <c r="AF553">
        <v>1.82567295397621</v>
      </c>
      <c r="AG553">
        <v>-1.110181481451</v>
      </c>
      <c r="AH553">
        <v>19.740340549488</v>
      </c>
      <c r="AI553">
        <v>93.205229711732699</v>
      </c>
      <c r="AJ553">
        <v>84.716066859733303</v>
      </c>
      <c r="AK553">
        <v>19.855644780928099</v>
      </c>
      <c r="AL553">
        <v>88.554796876750899</v>
      </c>
      <c r="AM553">
        <v>88.616861481228099</v>
      </c>
      <c r="AN553">
        <v>1.0000000677062699</v>
      </c>
    </row>
    <row r="554" spans="1:40" x14ac:dyDescent="0.25">
      <c r="A554" t="str">
        <f>"20190312160918502"</f>
        <v>20190312160918502</v>
      </c>
      <c r="B554" t="str">
        <f>"1552378158496042"</f>
        <v>1552378158496042</v>
      </c>
      <c r="C554" t="s">
        <v>40</v>
      </c>
      <c r="D554">
        <v>5.6391410000000004</v>
      </c>
      <c r="E554">
        <v>0.52377470000000004</v>
      </c>
      <c r="F554" t="s">
        <v>41</v>
      </c>
      <c r="G554">
        <v>-343.77179999999998</v>
      </c>
      <c r="H554" s="1">
        <v>-3.504335E-6</v>
      </c>
      <c r="I554">
        <v>366.34800000000001</v>
      </c>
      <c r="J554">
        <v>-363.3546</v>
      </c>
      <c r="K554">
        <v>1.110179</v>
      </c>
      <c r="L554">
        <v>368.22550000000001</v>
      </c>
      <c r="M554">
        <v>0.99991039999999998</v>
      </c>
      <c r="N554">
        <v>0</v>
      </c>
      <c r="O554">
        <v>-4.0505539999999996E-3</v>
      </c>
      <c r="P554">
        <v>0.99954469999999995</v>
      </c>
      <c r="Q554">
        <v>1.2929980000000001E-2</v>
      </c>
      <c r="R554">
        <v>-2.7266550000000001E-2</v>
      </c>
      <c r="S554">
        <v>2.995514</v>
      </c>
      <c r="T554">
        <v>-0.16749820000000001</v>
      </c>
      <c r="U554">
        <v>-0.28344730000000001</v>
      </c>
      <c r="V554">
        <v>2.322217E-2</v>
      </c>
      <c r="W554">
        <v>2.568279E-2</v>
      </c>
      <c r="X554">
        <v>0.99940039999999997</v>
      </c>
      <c r="Y554">
        <v>9.0036389999999994E-2</v>
      </c>
      <c r="Z554">
        <v>-2.283878E-3</v>
      </c>
      <c r="AA554">
        <v>0.99593589999999999</v>
      </c>
      <c r="AB554">
        <v>25</v>
      </c>
      <c r="AC554">
        <v>19.582799999999999</v>
      </c>
      <c r="AD554">
        <v>-1.110182504335</v>
      </c>
      <c r="AE554">
        <v>-1.87749999999999</v>
      </c>
      <c r="AF554">
        <v>1.7924485799576799</v>
      </c>
      <c r="AG554">
        <v>-1.110182504335</v>
      </c>
      <c r="AH554">
        <v>19.528054316342502</v>
      </c>
      <c r="AI554">
        <v>93.240207960102694</v>
      </c>
      <c r="AJ554">
        <v>84.755608140059394</v>
      </c>
      <c r="AK554">
        <v>19.6415448090711</v>
      </c>
      <c r="AL554">
        <v>88.528322734163595</v>
      </c>
      <c r="AM554">
        <v>88.668908926880306</v>
      </c>
      <c r="AN554">
        <v>1.00000001720092</v>
      </c>
    </row>
    <row r="555" spans="1:40" x14ac:dyDescent="0.25">
      <c r="A555" t="str">
        <f>"20190312160918525"</f>
        <v>20190312160918525</v>
      </c>
      <c r="B555" t="str">
        <f>"1552378158515562"</f>
        <v>1552378158515562</v>
      </c>
      <c r="C555" t="s">
        <v>40</v>
      </c>
      <c r="D555">
        <v>5.7306780000000002</v>
      </c>
      <c r="E555">
        <v>0.5217077</v>
      </c>
      <c r="F555" t="s">
        <v>41</v>
      </c>
      <c r="G555">
        <v>-344.24799999999999</v>
      </c>
      <c r="H555" s="1">
        <v>-3.2542629999999999E-6</v>
      </c>
      <c r="I555">
        <v>366.48880000000003</v>
      </c>
      <c r="J555">
        <v>-363.10289999999998</v>
      </c>
      <c r="K555">
        <v>1.1101799999999999</v>
      </c>
      <c r="L555">
        <v>368.22430000000003</v>
      </c>
      <c r="M555">
        <v>0.99991200000000002</v>
      </c>
      <c r="N555">
        <v>0</v>
      </c>
      <c r="O555">
        <v>-4.1227640000000001E-3</v>
      </c>
      <c r="P555">
        <v>0.99954699999999996</v>
      </c>
      <c r="Q555">
        <v>1.4193849999999999E-2</v>
      </c>
      <c r="R555">
        <v>-2.65414E-2</v>
      </c>
      <c r="S555">
        <v>2.9961850000000001</v>
      </c>
      <c r="T555">
        <v>-0.17409240000000001</v>
      </c>
      <c r="U555">
        <v>-0.27233889999999999</v>
      </c>
      <c r="V555">
        <v>2.24239E-2</v>
      </c>
      <c r="W555">
        <v>2.6797729999999999E-2</v>
      </c>
      <c r="X555">
        <v>0.99938939999999998</v>
      </c>
      <c r="Y555">
        <v>8.6277679999999995E-2</v>
      </c>
      <c r="Z555">
        <v>-2.260452E-3</v>
      </c>
      <c r="AA555">
        <v>0.99626859999999995</v>
      </c>
      <c r="AB555">
        <v>25</v>
      </c>
      <c r="AC555">
        <v>18.854899999999901</v>
      </c>
      <c r="AD555">
        <v>-1.1101832542629999</v>
      </c>
      <c r="AE555">
        <v>-1.7355</v>
      </c>
      <c r="AF555">
        <v>1.6520653430529999</v>
      </c>
      <c r="AG555">
        <v>-1.1101832542629999</v>
      </c>
      <c r="AH555">
        <v>18.7972746391365</v>
      </c>
      <c r="AI555">
        <v>93.367062556772694</v>
      </c>
      <c r="AJ555">
        <v>84.977262627841398</v>
      </c>
      <c r="AK555">
        <v>18.902363889600799</v>
      </c>
      <c r="AL555">
        <v>88.464419439000494</v>
      </c>
      <c r="AM555">
        <v>88.714635869568596</v>
      </c>
      <c r="AN555">
        <v>1.0000000612283499</v>
      </c>
    </row>
    <row r="556" spans="1:40" x14ac:dyDescent="0.25">
      <c r="A556" t="str">
        <f>"20190312160918546"</f>
        <v>20190312160918546</v>
      </c>
      <c r="B556" t="str">
        <f>"1552378158535082"</f>
        <v>1552378158535082</v>
      </c>
      <c r="C556" t="s">
        <v>40</v>
      </c>
      <c r="D556">
        <v>5.7548469999999998</v>
      </c>
      <c r="E556">
        <v>0.5197117</v>
      </c>
      <c r="F556" t="s">
        <v>41</v>
      </c>
      <c r="G556">
        <v>-343.07839999999999</v>
      </c>
      <c r="H556" s="1">
        <v>-3.7997659999999999E-6</v>
      </c>
      <c r="I556">
        <v>366.53050000000002</v>
      </c>
      <c r="J556">
        <v>-362.86270000000002</v>
      </c>
      <c r="K556">
        <v>1.1101829999999999</v>
      </c>
      <c r="L556">
        <v>368.22329999999999</v>
      </c>
      <c r="M556">
        <v>0.99991359999999996</v>
      </c>
      <c r="N556">
        <v>0</v>
      </c>
      <c r="O556">
        <v>-4.1671999999999898E-3</v>
      </c>
      <c r="P556">
        <v>0.99953289999999995</v>
      </c>
      <c r="Q556">
        <v>1.5602990000000001E-2</v>
      </c>
      <c r="R556">
        <v>-2.6285119999999999E-2</v>
      </c>
      <c r="S556">
        <v>2.9969790000000001</v>
      </c>
      <c r="T556">
        <v>-0.16615579999999999</v>
      </c>
      <c r="U556">
        <v>-0.2535095</v>
      </c>
      <c r="V556">
        <v>2.2122470000000002E-2</v>
      </c>
      <c r="W556">
        <v>2.8067539999999998E-2</v>
      </c>
      <c r="X556">
        <v>0.99936119999999995</v>
      </c>
      <c r="Y556">
        <v>8.0018270000000002E-2</v>
      </c>
      <c r="Z556">
        <v>-1.9820530000000001E-3</v>
      </c>
      <c r="AA556">
        <v>0.99679139999999999</v>
      </c>
      <c r="AB556">
        <v>25</v>
      </c>
      <c r="AC556">
        <v>19.784300000000002</v>
      </c>
      <c r="AD556">
        <v>-1.110186799766</v>
      </c>
      <c r="AE556">
        <v>-1.6927999999999701</v>
      </c>
      <c r="AF556">
        <v>1.60531561072439</v>
      </c>
      <c r="AG556">
        <v>-1.110186799766</v>
      </c>
      <c r="AH556">
        <v>19.7295093966504</v>
      </c>
      <c r="AI556">
        <v>93.210072092253</v>
      </c>
      <c r="AJ556">
        <v>85.348306366653006</v>
      </c>
      <c r="AK556">
        <v>19.8258188726954</v>
      </c>
      <c r="AL556">
        <v>88.391637193862806</v>
      </c>
      <c r="AM556">
        <v>88.7318727374752</v>
      </c>
      <c r="AN556">
        <v>0.99999999927299599</v>
      </c>
    </row>
    <row r="557" spans="1:40" x14ac:dyDescent="0.25">
      <c r="A557" t="str">
        <f>"20190312160918568"</f>
        <v>20190312160918568</v>
      </c>
      <c r="B557" t="str">
        <f>"1552378158565338"</f>
        <v>1552378158565338</v>
      </c>
      <c r="C557" t="s">
        <v>40</v>
      </c>
      <c r="D557">
        <v>5.8546579999999997</v>
      </c>
      <c r="E557">
        <v>0.51721729999999999</v>
      </c>
      <c r="F557" t="s">
        <v>41</v>
      </c>
      <c r="G557">
        <v>-340.12</v>
      </c>
      <c r="H557" s="1">
        <v>-5.2168859999999898E-6</v>
      </c>
      <c r="I557">
        <v>366.42529999999999</v>
      </c>
      <c r="J557">
        <v>-362.62270000000001</v>
      </c>
      <c r="K557">
        <v>1.1101859999999999</v>
      </c>
      <c r="L557">
        <v>368.22219999999999</v>
      </c>
      <c r="M557">
        <v>0.99991509999999995</v>
      </c>
      <c r="N557">
        <v>0</v>
      </c>
      <c r="O557">
        <v>-4.1962299999999996E-3</v>
      </c>
      <c r="P557">
        <v>0.99952580000000002</v>
      </c>
      <c r="Q557">
        <v>1.6564510000000001E-2</v>
      </c>
      <c r="R557">
        <v>-2.5958800000000001E-2</v>
      </c>
      <c r="S557">
        <v>2.9974370000000001</v>
      </c>
      <c r="T557">
        <v>-0.14632010000000001</v>
      </c>
      <c r="U557">
        <v>-0.23696900000000001</v>
      </c>
      <c r="V557">
        <v>2.1766549999999999E-2</v>
      </c>
      <c r="W557">
        <v>2.8896430000000001E-2</v>
      </c>
      <c r="X557">
        <v>0.99934540000000005</v>
      </c>
      <c r="Y557">
        <v>7.4543890000000002E-2</v>
      </c>
      <c r="Z557">
        <v>-1.611117E-3</v>
      </c>
      <c r="AA557">
        <v>0.9972164</v>
      </c>
      <c r="AB557">
        <v>25</v>
      </c>
      <c r="AC557">
        <v>22.502700000000001</v>
      </c>
      <c r="AD557">
        <v>-1.110191216886</v>
      </c>
      <c r="AE557">
        <v>-1.7968999999999899</v>
      </c>
      <c r="AF557">
        <v>1.69834285745856</v>
      </c>
      <c r="AG557">
        <v>-1.110191216886</v>
      </c>
      <c r="AH557">
        <v>22.4557309744871</v>
      </c>
      <c r="AI557">
        <v>92.822300308407904</v>
      </c>
      <c r="AJ557">
        <v>85.674913528792302</v>
      </c>
      <c r="AK557">
        <v>22.5472115038217</v>
      </c>
      <c r="AL557">
        <v>88.344126032300096</v>
      </c>
      <c r="AM557">
        <v>88.752248931016595</v>
      </c>
      <c r="AN557">
        <v>1.0000000074333999</v>
      </c>
    </row>
    <row r="558" spans="1:40" x14ac:dyDescent="0.25">
      <c r="A558" t="str">
        <f>"20190312160918590"</f>
        <v>20190312160918590</v>
      </c>
      <c r="B558" t="str">
        <f>"1552378158585836"</f>
        <v>1552378158585836</v>
      </c>
      <c r="C558" t="s">
        <v>40</v>
      </c>
      <c r="D558">
        <v>5.8173250000000003</v>
      </c>
      <c r="E558">
        <v>0.51573179999999996</v>
      </c>
      <c r="F558" t="s">
        <v>41</v>
      </c>
      <c r="G558">
        <v>-336.50889999999998</v>
      </c>
      <c r="H558" s="1">
        <v>-2.0612339999999999E-6</v>
      </c>
      <c r="I558">
        <v>366.33949999999999</v>
      </c>
      <c r="J558">
        <v>-362.36349999999999</v>
      </c>
      <c r="K558">
        <v>1.1101840000000001</v>
      </c>
      <c r="L558">
        <v>368.22109999999998</v>
      </c>
      <c r="M558">
        <v>0.99991660000000004</v>
      </c>
      <c r="N558">
        <v>0</v>
      </c>
      <c r="O558">
        <v>-4.2139530000000003E-3</v>
      </c>
      <c r="P558">
        <v>0.99953009999999998</v>
      </c>
      <c r="Q558">
        <v>1.637723E-2</v>
      </c>
      <c r="R558">
        <v>-2.59128E-2</v>
      </c>
      <c r="S558">
        <v>2.9978940000000001</v>
      </c>
      <c r="T558">
        <v>-0.12745049999999999</v>
      </c>
      <c r="U558">
        <v>-0.2161255</v>
      </c>
      <c r="V558">
        <v>2.1702050000000001E-2</v>
      </c>
      <c r="W558">
        <v>2.8574700000000001E-2</v>
      </c>
      <c r="X558">
        <v>0.99935600000000002</v>
      </c>
      <c r="Y558">
        <v>6.764481E-2</v>
      </c>
      <c r="Z558">
        <v>-1.2565510000000001E-3</v>
      </c>
      <c r="AA558">
        <v>0.9977087</v>
      </c>
      <c r="AB558">
        <v>25</v>
      </c>
      <c r="AC558">
        <v>25.854600000000001</v>
      </c>
      <c r="AD558">
        <v>-1.110186061234</v>
      </c>
      <c r="AE558">
        <v>-1.8815999999999899</v>
      </c>
      <c r="AF558">
        <v>1.7693798919736401</v>
      </c>
      <c r="AG558">
        <v>-1.110186061234</v>
      </c>
      <c r="AH558">
        <v>25.8149529038498</v>
      </c>
      <c r="AI558">
        <v>92.456761815725997</v>
      </c>
      <c r="AJ558">
        <v>86.079028556965497</v>
      </c>
      <c r="AK558">
        <v>25.8993245417841</v>
      </c>
      <c r="AL558">
        <v>88.362567330605202</v>
      </c>
      <c r="AM558">
        <v>88.755958372513803</v>
      </c>
      <c r="AN558">
        <v>0.99999995359514504</v>
      </c>
    </row>
    <row r="559" spans="1:40" x14ac:dyDescent="0.25">
      <c r="A559" t="str">
        <f>"20190312160918613"</f>
        <v>20190312160918613</v>
      </c>
      <c r="B559" t="str">
        <f>"1552378158605354"</f>
        <v>1552378158605354</v>
      </c>
      <c r="C559" t="s">
        <v>40</v>
      </c>
      <c r="D559">
        <v>5.9587379999999897</v>
      </c>
      <c r="E559">
        <v>0.514293</v>
      </c>
      <c r="F559" t="s">
        <v>41</v>
      </c>
      <c r="G559">
        <v>-334.58600000000001</v>
      </c>
      <c r="H559" s="1">
        <v>-2.8885270000000001E-6</v>
      </c>
      <c r="I559">
        <v>366.32639999999998</v>
      </c>
      <c r="J559">
        <v>-362.11200000000002</v>
      </c>
      <c r="K559">
        <v>1.110182</v>
      </c>
      <c r="L559">
        <v>368.22</v>
      </c>
      <c r="M559">
        <v>0.99991819999999998</v>
      </c>
      <c r="N559">
        <v>0</v>
      </c>
      <c r="O559">
        <v>-4.2214499999999999E-3</v>
      </c>
      <c r="P559">
        <v>0.9995309</v>
      </c>
      <c r="Q559">
        <v>1.6878730000000002E-2</v>
      </c>
      <c r="R559">
        <v>-2.5558620000000001E-2</v>
      </c>
      <c r="S559">
        <v>2.9980769999999999</v>
      </c>
      <c r="T559">
        <v>-0.11982420000000001</v>
      </c>
      <c r="U559">
        <v>-0.20449829999999999</v>
      </c>
      <c r="V559">
        <v>2.1339879999999999E-2</v>
      </c>
      <c r="W559">
        <v>2.8954580000000001E-2</v>
      </c>
      <c r="X559">
        <v>0.99935289999999999</v>
      </c>
      <c r="Y559">
        <v>6.3791780000000006E-2</v>
      </c>
      <c r="Z559">
        <v>-1.104336E-3</v>
      </c>
      <c r="AA559">
        <v>0.99796260000000003</v>
      </c>
      <c r="AB559">
        <v>25</v>
      </c>
      <c r="AC559">
        <v>27.5259999999999</v>
      </c>
      <c r="AD559">
        <v>-1.110184888527</v>
      </c>
      <c r="AE559">
        <v>-1.8936000000000399</v>
      </c>
      <c r="AF559">
        <v>1.7745020560001701</v>
      </c>
      <c r="AG559">
        <v>-1.110184888527</v>
      </c>
      <c r="AH559">
        <v>27.489243204289199</v>
      </c>
      <c r="AI559">
        <v>92.307901170158004</v>
      </c>
      <c r="AJ559">
        <v>86.306533182233906</v>
      </c>
      <c r="AK559">
        <v>27.5688204313863</v>
      </c>
      <c r="AL559">
        <v>88.340792856568498</v>
      </c>
      <c r="AM559">
        <v>88.776709138488599</v>
      </c>
      <c r="AN559">
        <v>0.99999998845990001</v>
      </c>
    </row>
    <row r="560" spans="1:40" x14ac:dyDescent="0.25">
      <c r="A560" t="str">
        <f>"20190312160918635"</f>
        <v>20190312160918635</v>
      </c>
      <c r="B560" t="str">
        <f>"1552378158625850"</f>
        <v>1552378158625850</v>
      </c>
      <c r="C560" t="s">
        <v>40</v>
      </c>
      <c r="D560">
        <v>5.9262870000000003</v>
      </c>
      <c r="E560">
        <v>0.51289759999999995</v>
      </c>
      <c r="F560" t="s">
        <v>41</v>
      </c>
      <c r="G560">
        <v>-332.04849999999999</v>
      </c>
      <c r="H560" s="1">
        <v>-3.98201E-6</v>
      </c>
      <c r="I560">
        <v>366.29860000000002</v>
      </c>
      <c r="J560">
        <v>-361.85289999999998</v>
      </c>
      <c r="K560">
        <v>1.1101829999999999</v>
      </c>
      <c r="L560">
        <v>368.21890000000002</v>
      </c>
      <c r="M560">
        <v>0.99991949999999996</v>
      </c>
      <c r="N560">
        <v>0</v>
      </c>
      <c r="O560">
        <v>-4.2229600000000004E-3</v>
      </c>
      <c r="P560">
        <v>0.99952470000000004</v>
      </c>
      <c r="Q560">
        <v>1.736739E-2</v>
      </c>
      <c r="R560">
        <v>-2.5480450000000002E-2</v>
      </c>
      <c r="S560">
        <v>2.998383</v>
      </c>
      <c r="T560">
        <v>-0.11072410000000001</v>
      </c>
      <c r="U560">
        <v>-0.19161990000000001</v>
      </c>
      <c r="V560">
        <v>2.125966E-2</v>
      </c>
      <c r="W560">
        <v>2.9331590000000001E-2</v>
      </c>
      <c r="X560">
        <v>0.9993436</v>
      </c>
      <c r="Y560">
        <v>5.9524870000000001E-2</v>
      </c>
      <c r="Z560">
        <v>-9.4183359999999998E-4</v>
      </c>
      <c r="AA560">
        <v>0.99822639999999996</v>
      </c>
      <c r="AB560">
        <v>25</v>
      </c>
      <c r="AC560">
        <v>29.804399999999902</v>
      </c>
      <c r="AD560">
        <v>-1.1101869820100001</v>
      </c>
      <c r="AE560">
        <v>-1.9202999999999899</v>
      </c>
      <c r="AF560">
        <v>1.79193505272503</v>
      </c>
      <c r="AG560">
        <v>-1.1101869820100001</v>
      </c>
      <c r="AH560">
        <v>29.771107632529301</v>
      </c>
      <c r="AI560">
        <v>92.131758627258407</v>
      </c>
      <c r="AJ560">
        <v>86.555499439669703</v>
      </c>
      <c r="AK560">
        <v>29.845642831673999</v>
      </c>
      <c r="AL560">
        <v>88.319182569555394</v>
      </c>
      <c r="AM560">
        <v>88.781294955873605</v>
      </c>
      <c r="AN560">
        <v>0.99999997308810096</v>
      </c>
    </row>
    <row r="561" spans="1:40" x14ac:dyDescent="0.25">
      <c r="A561" t="str">
        <f>"20190312160918658"</f>
        <v>20190312160918658</v>
      </c>
      <c r="B561" t="str">
        <f>"1552378158645370"</f>
        <v>1552378158645370</v>
      </c>
      <c r="C561" t="s">
        <v>40</v>
      </c>
      <c r="D561">
        <v>5.9654489999999996</v>
      </c>
      <c r="E561">
        <v>0.51162589999999997</v>
      </c>
      <c r="F561" t="s">
        <v>41</v>
      </c>
      <c r="G561">
        <v>-329.02510000000001</v>
      </c>
      <c r="H561" s="1">
        <v>-1.214715E-6</v>
      </c>
      <c r="I561">
        <v>366.2457</v>
      </c>
      <c r="J561">
        <v>-361.60770000000002</v>
      </c>
      <c r="K561">
        <v>1.1101890000000001</v>
      </c>
      <c r="L561">
        <v>368.21789999999999</v>
      </c>
      <c r="M561">
        <v>0.9999207</v>
      </c>
      <c r="N561">
        <v>0</v>
      </c>
      <c r="O561">
        <v>-4.2209070000000003E-3</v>
      </c>
      <c r="P561">
        <v>0.99951230000000002</v>
      </c>
      <c r="Q561">
        <v>1.815872E-2</v>
      </c>
      <c r="R561">
        <v>-2.5405859999999999E-2</v>
      </c>
      <c r="S561">
        <v>2.998596</v>
      </c>
      <c r="T561">
        <v>-0.10140739999999999</v>
      </c>
      <c r="U561">
        <v>-0.1802368</v>
      </c>
      <c r="V561">
        <v>2.1187270000000001E-2</v>
      </c>
      <c r="W561">
        <v>3.002556E-2</v>
      </c>
      <c r="X561">
        <v>0.99932460000000001</v>
      </c>
      <c r="Y561">
        <v>5.5755289999999999E-2</v>
      </c>
      <c r="Z561">
        <v>-7.9907640000000005E-4</v>
      </c>
      <c r="AA561">
        <v>0.99844409999999895</v>
      </c>
      <c r="AB561">
        <v>25</v>
      </c>
      <c r="AC561">
        <v>32.582599999999999</v>
      </c>
      <c r="AD561">
        <v>-1.11019021471499</v>
      </c>
      <c r="AE561">
        <v>-1.97219999999998</v>
      </c>
      <c r="AF561">
        <v>1.8325248717123901</v>
      </c>
      <c r="AG561">
        <v>-1.11019021471499</v>
      </c>
      <c r="AH561">
        <v>32.552979496483402</v>
      </c>
      <c r="AI561">
        <v>91.950179016578204</v>
      </c>
      <c r="AJ561">
        <v>86.778014076374006</v>
      </c>
      <c r="AK561">
        <v>32.623414042934897</v>
      </c>
      <c r="AL561">
        <v>88.279403617137305</v>
      </c>
      <c r="AM561">
        <v>88.785420365312504</v>
      </c>
      <c r="AN561">
        <v>1.0000000454142599</v>
      </c>
    </row>
    <row r="562" spans="1:40" x14ac:dyDescent="0.25">
      <c r="A562" t="str">
        <f>"20190312160918680"</f>
        <v>20190312160918680</v>
      </c>
      <c r="B562" t="str">
        <f>"1552378158675626"</f>
        <v>1552378158675626</v>
      </c>
      <c r="C562" t="s">
        <v>40</v>
      </c>
      <c r="D562">
        <v>5.9296730000000002</v>
      </c>
      <c r="E562">
        <v>0.51002049999999999</v>
      </c>
      <c r="F562" t="s">
        <v>41</v>
      </c>
      <c r="G562">
        <v>-325.24869999999999</v>
      </c>
      <c r="H562" s="1">
        <v>-2.6345560000000002E-6</v>
      </c>
      <c r="I562">
        <v>366.15530000000001</v>
      </c>
      <c r="J562">
        <v>-361.35469999999998</v>
      </c>
      <c r="K562">
        <v>1.1101909999999999</v>
      </c>
      <c r="L562">
        <v>368.21679999999998</v>
      </c>
      <c r="M562">
        <v>0.99992190000000003</v>
      </c>
      <c r="N562">
        <v>0</v>
      </c>
      <c r="O562">
        <v>-4.217447E-3</v>
      </c>
      <c r="P562">
        <v>0.9994864</v>
      </c>
      <c r="Q562">
        <v>1.9463560000000001E-2</v>
      </c>
      <c r="R562">
        <v>-2.546286E-2</v>
      </c>
      <c r="S562">
        <v>2.9987789999999999</v>
      </c>
      <c r="T562">
        <v>-9.1564889999999996E-2</v>
      </c>
      <c r="U562">
        <v>-0.17010500000000001</v>
      </c>
      <c r="V562">
        <v>2.124784E-2</v>
      </c>
      <c r="W562">
        <v>3.1231390000000001E-2</v>
      </c>
      <c r="X562">
        <v>0.99928629999999996</v>
      </c>
      <c r="Y562">
        <v>5.2399849999999998E-2</v>
      </c>
      <c r="Z562">
        <v>-6.7051449999999896E-4</v>
      </c>
      <c r="AA562">
        <v>0.99862589999999996</v>
      </c>
      <c r="AB562">
        <v>25</v>
      </c>
      <c r="AC562">
        <v>36.106000000000002</v>
      </c>
      <c r="AD562">
        <v>-1.110193634556</v>
      </c>
      <c r="AE562">
        <v>-2.0614999999999601</v>
      </c>
      <c r="AF562">
        <v>1.9073984923103999</v>
      </c>
      <c r="AG562">
        <v>-1.110193634556</v>
      </c>
      <c r="AH562">
        <v>36.0803723592757</v>
      </c>
      <c r="AI562">
        <v>91.759979896032206</v>
      </c>
      <c r="AJ562">
        <v>86.973860348864207</v>
      </c>
      <c r="AK562">
        <v>36.147807243298502</v>
      </c>
      <c r="AL562">
        <v>88.210282117753096</v>
      </c>
      <c r="AM562">
        <v>88.7819025086404</v>
      </c>
      <c r="AN562">
        <v>0.99999998989684302</v>
      </c>
    </row>
    <row r="563" spans="1:40" x14ac:dyDescent="0.25">
      <c r="A563" t="str">
        <f>"20190312160918703"</f>
        <v>20190312160918703</v>
      </c>
      <c r="B563" t="str">
        <f>"1552378158695147"</f>
        <v>1552378158695147</v>
      </c>
      <c r="C563" t="s">
        <v>40</v>
      </c>
      <c r="D563">
        <v>5.8827020000000001</v>
      </c>
      <c r="E563">
        <v>0.50898390000000004</v>
      </c>
      <c r="F563" t="s">
        <v>41</v>
      </c>
      <c r="G563">
        <v>-320.14479999999998</v>
      </c>
      <c r="H563" s="1">
        <v>-4.8409919999999997E-6</v>
      </c>
      <c r="I563">
        <v>366.06009999999998</v>
      </c>
      <c r="J563">
        <v>-361.08749999999998</v>
      </c>
      <c r="K563">
        <v>1.1101810000000001</v>
      </c>
      <c r="L563">
        <v>368.21570000000003</v>
      </c>
      <c r="M563">
        <v>0.99992300000000001</v>
      </c>
      <c r="N563">
        <v>0</v>
      </c>
      <c r="O563">
        <v>-4.2136409999999997E-3</v>
      </c>
      <c r="P563">
        <v>0.99950859999999997</v>
      </c>
      <c r="Q563">
        <v>2.047187E-2</v>
      </c>
      <c r="R563">
        <v>-2.3743819999999999E-2</v>
      </c>
      <c r="S563">
        <v>2.9991150000000002</v>
      </c>
      <c r="T563">
        <v>-8.0796000000000007E-2</v>
      </c>
      <c r="U563">
        <v>-0.15695190000000001</v>
      </c>
      <c r="V563">
        <v>1.953243E-2</v>
      </c>
      <c r="W563">
        <v>3.2138359999999998E-2</v>
      </c>
      <c r="X563">
        <v>0.99929259999999998</v>
      </c>
      <c r="Y563">
        <v>4.8036740000000001E-2</v>
      </c>
      <c r="Z563">
        <v>-5.3307270000000002E-4</v>
      </c>
      <c r="AA563">
        <v>0.99884539999999999</v>
      </c>
      <c r="AB563">
        <v>25</v>
      </c>
      <c r="AC563">
        <v>40.942700000000002</v>
      </c>
      <c r="AD563">
        <v>-1.11018584099199</v>
      </c>
      <c r="AE563">
        <v>-2.1556000000000402</v>
      </c>
      <c r="AF563">
        <v>1.9815983147973499</v>
      </c>
      <c r="AG563">
        <v>-1.11018584099199</v>
      </c>
      <c r="AH563">
        <v>40.921415494071198</v>
      </c>
      <c r="AI563">
        <v>91.552218312799198</v>
      </c>
      <c r="AJ563">
        <v>87.227647240802895</v>
      </c>
      <c r="AK563">
        <v>40.984405455260202</v>
      </c>
      <c r="AL563">
        <v>88.158290559619104</v>
      </c>
      <c r="AM563">
        <v>88.880224558525995</v>
      </c>
      <c r="AN563">
        <v>1.00000004520997</v>
      </c>
    </row>
    <row r="564" spans="1:40" x14ac:dyDescent="0.25">
      <c r="A564" t="str">
        <f>"20190312160918727"</f>
        <v>20190312160918727</v>
      </c>
      <c r="B564" t="str">
        <f>"1552378158715642"</f>
        <v>1552378158715642</v>
      </c>
      <c r="C564" t="s">
        <v>40</v>
      </c>
      <c r="D564">
        <v>4.2136149999999999</v>
      </c>
      <c r="E564">
        <v>0.50898390000000004</v>
      </c>
      <c r="F564" t="s">
        <v>43</v>
      </c>
      <c r="G564">
        <v>-315.51519999999999</v>
      </c>
      <c r="H564">
        <v>-0.05</v>
      </c>
      <c r="I564">
        <v>366.03469999999999</v>
      </c>
      <c r="J564">
        <v>-360.82769999999999</v>
      </c>
      <c r="K564">
        <v>1.110168</v>
      </c>
      <c r="L564">
        <v>368.21460000000002</v>
      </c>
      <c r="M564">
        <v>0.99992420000000004</v>
      </c>
      <c r="N564">
        <v>0</v>
      </c>
      <c r="O564">
        <v>-4.2104869999999997E-3</v>
      </c>
      <c r="P564">
        <v>0.99954659999999995</v>
      </c>
      <c r="Q564">
        <v>2.0335289999999999E-2</v>
      </c>
      <c r="R564">
        <v>-2.2211580000000002E-2</v>
      </c>
      <c r="S564">
        <v>2.9996339999999999</v>
      </c>
      <c r="T564">
        <v>-7.6364639999999998E-2</v>
      </c>
      <c r="U564">
        <v>-0.14355470000000001</v>
      </c>
      <c r="V564">
        <v>1.8003129999999999E-2</v>
      </c>
      <c r="W564">
        <v>3.1909119999999999E-2</v>
      </c>
      <c r="X564">
        <v>0.99932860000000001</v>
      </c>
      <c r="Y564">
        <v>4.3583579999999997E-2</v>
      </c>
      <c r="Z564">
        <v>-4.4725210000000001E-4</v>
      </c>
      <c r="AA564">
        <v>0.99904970000000004</v>
      </c>
      <c r="AB564">
        <v>25</v>
      </c>
      <c r="AC564">
        <v>45.3125</v>
      </c>
      <c r="AD564">
        <v>-1.1601680000000001</v>
      </c>
      <c r="AE564">
        <v>-2.1799000000000301</v>
      </c>
      <c r="AF564">
        <v>1.9877801309524501</v>
      </c>
      <c r="AG564">
        <v>-1.1601680000000001</v>
      </c>
      <c r="AH564">
        <v>45.291654965471103</v>
      </c>
      <c r="AI564">
        <v>91.465928136561601</v>
      </c>
      <c r="AJ564">
        <v>87.486990243845298</v>
      </c>
      <c r="AK564">
        <v>45.350096682901501</v>
      </c>
      <c r="AL564">
        <v>88.171431660088899</v>
      </c>
      <c r="AM564">
        <v>88.967915260459804</v>
      </c>
      <c r="AN564">
        <v>0.99999997770346505</v>
      </c>
    </row>
    <row r="565" spans="1:40" x14ac:dyDescent="0.25">
      <c r="A565" t="str">
        <f>"20190312160918835"</f>
        <v>20190312160918835</v>
      </c>
      <c r="B565" t="str">
        <f>"1552378158825931"</f>
        <v>1552378158825931</v>
      </c>
      <c r="C565" t="s">
        <v>40</v>
      </c>
      <c r="D565">
        <v>7.7232399999999997</v>
      </c>
      <c r="E565">
        <v>0.50851999999999997</v>
      </c>
      <c r="F565" t="s">
        <v>43</v>
      </c>
      <c r="G565">
        <v>-315.49180000000001</v>
      </c>
      <c r="H565">
        <v>-0.05</v>
      </c>
      <c r="I565">
        <v>366.11189999999999</v>
      </c>
      <c r="J565">
        <v>-359.58300000000003</v>
      </c>
      <c r="K565">
        <v>1.1101369999999999</v>
      </c>
      <c r="L565">
        <v>368.20940000000002</v>
      </c>
      <c r="M565">
        <v>0.99992879999999995</v>
      </c>
      <c r="N565">
        <v>0</v>
      </c>
      <c r="O565">
        <v>-4.2047539999999998E-3</v>
      </c>
      <c r="P565">
        <v>0.9994461</v>
      </c>
      <c r="Q565">
        <v>2.204265E-2</v>
      </c>
      <c r="R565">
        <v>-2.493159E-2</v>
      </c>
      <c r="S565">
        <v>2.9997859999999998</v>
      </c>
      <c r="T565">
        <v>-7.6766009999999996E-2</v>
      </c>
      <c r="U565">
        <v>-0.13912959999999999</v>
      </c>
      <c r="V565">
        <v>2.0729830000000001E-2</v>
      </c>
      <c r="W565">
        <v>3.3203999999999997E-2</v>
      </c>
      <c r="X565">
        <v>0.99923360000000006</v>
      </c>
      <c r="Y565">
        <v>4.2116750000000001E-2</v>
      </c>
      <c r="Z565">
        <v>-4.3098650000000002E-4</v>
      </c>
      <c r="AA565">
        <v>0.99911260000000002</v>
      </c>
      <c r="AB565">
        <v>25</v>
      </c>
      <c r="AC565">
        <v>44.091200000000001</v>
      </c>
      <c r="AD565">
        <v>-1.160137</v>
      </c>
      <c r="AE565">
        <v>-2.0975000000000201</v>
      </c>
      <c r="AF565">
        <v>1.9107573520974801</v>
      </c>
      <c r="AG565">
        <v>-1.160137</v>
      </c>
      <c r="AH565">
        <v>44.069188566425098</v>
      </c>
      <c r="AI565">
        <v>91.506568598765995</v>
      </c>
      <c r="AJ565">
        <v>87.517317449421597</v>
      </c>
      <c r="AK565">
        <v>44.125846081638997</v>
      </c>
      <c r="AL565">
        <v>88.097201204630906</v>
      </c>
      <c r="AM565">
        <v>88.811527735940899</v>
      </c>
      <c r="AN565">
        <v>1.0000000094183901</v>
      </c>
    </row>
    <row r="566" spans="1:40" x14ac:dyDescent="0.25">
      <c r="A566" t="str">
        <f>"20190312160918859"</f>
        <v>20190312160918859</v>
      </c>
      <c r="B566" t="str">
        <f>"1552378158855210"</f>
        <v>1552378158855210</v>
      </c>
      <c r="C566" t="s">
        <v>40</v>
      </c>
      <c r="D566">
        <v>5.334816</v>
      </c>
      <c r="E566">
        <v>0.50779470000000004</v>
      </c>
      <c r="F566" t="s">
        <v>43</v>
      </c>
      <c r="G566">
        <v>-316.9914</v>
      </c>
      <c r="H566">
        <v>-0.05</v>
      </c>
      <c r="I566">
        <v>366.17</v>
      </c>
      <c r="J566">
        <v>-359.32679999999999</v>
      </c>
      <c r="K566">
        <v>1.1101259999999999</v>
      </c>
      <c r="L566">
        <v>368.20839999999998</v>
      </c>
      <c r="M566">
        <v>0.99992970000000003</v>
      </c>
      <c r="N566">
        <v>0</v>
      </c>
      <c r="O566">
        <v>-4.1979620000000004E-3</v>
      </c>
      <c r="P566">
        <v>0.99941400000000002</v>
      </c>
      <c r="Q566">
        <v>2.2873259999999999E-2</v>
      </c>
      <c r="R566">
        <v>-2.5468310000000001E-2</v>
      </c>
      <c r="S566">
        <v>2.999908</v>
      </c>
      <c r="T566">
        <v>-8.1713320000000006E-2</v>
      </c>
      <c r="U566">
        <v>-0.1436462</v>
      </c>
      <c r="V566">
        <v>2.1273110000000001E-2</v>
      </c>
      <c r="W566">
        <v>3.3955069999999997E-2</v>
      </c>
      <c r="X566">
        <v>0.99919690000000005</v>
      </c>
      <c r="Y566">
        <v>4.3620319999999997E-2</v>
      </c>
      <c r="Z566">
        <v>-4.7936430000000002E-4</v>
      </c>
      <c r="AA566">
        <v>0.99904809999999999</v>
      </c>
      <c r="AB566">
        <v>25</v>
      </c>
      <c r="AC566">
        <v>42.3353999999999</v>
      </c>
      <c r="AD566">
        <v>-1.160126</v>
      </c>
      <c r="AE566">
        <v>-2.0383999999999598</v>
      </c>
      <c r="AF566">
        <v>1.8592557545740001</v>
      </c>
      <c r="AG566">
        <v>-1.160126</v>
      </c>
      <c r="AH566">
        <v>42.311884537241497</v>
      </c>
      <c r="AI566">
        <v>91.569054248977693</v>
      </c>
      <c r="AJ566">
        <v>87.483945123406698</v>
      </c>
      <c r="AK566">
        <v>42.368600370907302</v>
      </c>
      <c r="AL566">
        <v>88.054143700904902</v>
      </c>
      <c r="AM566">
        <v>88.780345183705094</v>
      </c>
      <c r="AN566">
        <v>0.99999996847869299</v>
      </c>
    </row>
    <row r="567" spans="1:40" x14ac:dyDescent="0.25">
      <c r="A567" t="str">
        <f>"20190312160918881"</f>
        <v>20190312160918881</v>
      </c>
      <c r="B567" t="str">
        <f>"1552378158875706"</f>
        <v>1552378158875706</v>
      </c>
      <c r="C567" t="s">
        <v>40</v>
      </c>
      <c r="D567">
        <v>5.4594550000000002</v>
      </c>
      <c r="E567">
        <v>0.50757050000000004</v>
      </c>
      <c r="F567" t="s">
        <v>43</v>
      </c>
      <c r="G567">
        <v>-312.65249999999997</v>
      </c>
      <c r="H567">
        <v>-0.05</v>
      </c>
      <c r="I567">
        <v>366.0394</v>
      </c>
      <c r="J567">
        <v>-359.0659</v>
      </c>
      <c r="K567">
        <v>1.1101219999999901</v>
      </c>
      <c r="L567">
        <v>368.20729999999998</v>
      </c>
      <c r="M567">
        <v>0.99993069999999895</v>
      </c>
      <c r="N567">
        <v>0</v>
      </c>
      <c r="O567">
        <v>-4.1806170000000002E-3</v>
      </c>
      <c r="P567">
        <v>0.99939169999999999</v>
      </c>
      <c r="Q567">
        <v>2.377752E-2</v>
      </c>
      <c r="R567">
        <v>-2.5515409999999999E-2</v>
      </c>
      <c r="S567">
        <v>2.999908</v>
      </c>
      <c r="T567">
        <v>-7.4564930000000001E-2</v>
      </c>
      <c r="U567">
        <v>-0.13940429999999901</v>
      </c>
      <c r="V567">
        <v>2.133726E-2</v>
      </c>
      <c r="W567">
        <v>3.477761E-2</v>
      </c>
      <c r="X567">
        <v>0.99916729999999998</v>
      </c>
      <c r="Y567">
        <v>4.223093E-2</v>
      </c>
      <c r="Z567">
        <v>-4.206328E-4</v>
      </c>
      <c r="AA567">
        <v>0.99910779999999999</v>
      </c>
      <c r="AB567">
        <v>25</v>
      </c>
      <c r="AC567">
        <v>46.413400000000003</v>
      </c>
      <c r="AD567">
        <v>-1.1601220000000001</v>
      </c>
      <c r="AE567">
        <v>-2.1678999999999702</v>
      </c>
      <c r="AF567">
        <v>1.9726029107352001</v>
      </c>
      <c r="AG567">
        <v>-1.1601220000000001</v>
      </c>
      <c r="AH567">
        <v>46.393136094027398</v>
      </c>
      <c r="AI567">
        <v>91.431165980109</v>
      </c>
      <c r="AJ567">
        <v>87.565291023285894</v>
      </c>
      <c r="AK567">
        <v>46.449543829162401</v>
      </c>
      <c r="AL567">
        <v>88.006987889621897</v>
      </c>
      <c r="AM567">
        <v>88.776632147111002</v>
      </c>
      <c r="AN567">
        <v>1.0000000271054501</v>
      </c>
    </row>
    <row r="568" spans="1:40" x14ac:dyDescent="0.25">
      <c r="A568" t="str">
        <f>"20190312160918904"</f>
        <v>20190312160918904</v>
      </c>
      <c r="B568" t="str">
        <f>"1552378158895226"</f>
        <v>1552378158895226</v>
      </c>
      <c r="C568" t="s">
        <v>40</v>
      </c>
      <c r="D568">
        <v>5.4388059999999996</v>
      </c>
      <c r="E568">
        <v>0.50719809999999999</v>
      </c>
      <c r="F568" t="s">
        <v>43</v>
      </c>
      <c r="G568">
        <v>-311.048</v>
      </c>
      <c r="H568">
        <v>-0.05</v>
      </c>
      <c r="I568">
        <v>366.00279999999998</v>
      </c>
      <c r="J568">
        <v>-358.79790000000003</v>
      </c>
      <c r="K568">
        <v>1.1101209999999999</v>
      </c>
      <c r="L568">
        <v>368.20620000000002</v>
      </c>
      <c r="M568">
        <v>0.99993180000000004</v>
      </c>
      <c r="N568">
        <v>0</v>
      </c>
      <c r="O568">
        <v>-4.1521249999999996E-3</v>
      </c>
      <c r="P568">
        <v>0.99937370000000003</v>
      </c>
      <c r="Q568">
        <v>2.4588720000000001E-2</v>
      </c>
      <c r="R568">
        <v>-2.5450960000000002E-2</v>
      </c>
      <c r="S568">
        <v>3.0000309999999999</v>
      </c>
      <c r="T568">
        <v>-7.2481390000000007E-2</v>
      </c>
      <c r="U568">
        <v>-0.13772579999999901</v>
      </c>
      <c r="V568">
        <v>2.130054E-2</v>
      </c>
      <c r="W568">
        <v>3.5500999999999998E-2</v>
      </c>
      <c r="X568">
        <v>0.99914259999999999</v>
      </c>
      <c r="Y568">
        <v>4.1700510000000003E-2</v>
      </c>
      <c r="Z568">
        <v>-4.0315609999999998E-4</v>
      </c>
      <c r="AA568">
        <v>0.99913010000000002</v>
      </c>
      <c r="AB568">
        <v>25</v>
      </c>
      <c r="AC568">
        <v>47.749899999999997</v>
      </c>
      <c r="AD568">
        <v>-1.160121</v>
      </c>
      <c r="AE568">
        <v>-2.2034000000000402</v>
      </c>
      <c r="AF568">
        <v>2.00392526418455</v>
      </c>
      <c r="AG568">
        <v>-1.160121</v>
      </c>
      <c r="AH568">
        <v>47.730522939359297</v>
      </c>
      <c r="AI568">
        <v>91.391111551310502</v>
      </c>
      <c r="AJ568">
        <v>87.595897485151696</v>
      </c>
      <c r="AK568">
        <v>47.786655221555101</v>
      </c>
      <c r="AL568">
        <v>87.965514996709402</v>
      </c>
      <c r="AM568">
        <v>88.778706661401102</v>
      </c>
      <c r="AN568">
        <v>0.99999998457002504</v>
      </c>
    </row>
    <row r="569" spans="1:40" x14ac:dyDescent="0.25">
      <c r="A569" t="str">
        <f>"20190312160918937"</f>
        <v>20190312160918937</v>
      </c>
      <c r="B569" t="str">
        <f>"1552378158925482"</f>
        <v>1552378158925482</v>
      </c>
      <c r="C569" t="s">
        <v>40</v>
      </c>
      <c r="D569">
        <v>5.5502880000000001</v>
      </c>
      <c r="E569">
        <v>0.50672220000000001</v>
      </c>
      <c r="F569" t="s">
        <v>43</v>
      </c>
      <c r="G569">
        <v>-308.48700000000002</v>
      </c>
      <c r="H569">
        <v>-0.05</v>
      </c>
      <c r="I569">
        <v>365.95030000000003</v>
      </c>
      <c r="J569">
        <v>-358.42930000000001</v>
      </c>
      <c r="K569">
        <v>1.1101049999999999</v>
      </c>
      <c r="L569">
        <v>368.2047</v>
      </c>
      <c r="M569">
        <v>0.99993339999999997</v>
      </c>
      <c r="N569">
        <v>0</v>
      </c>
      <c r="O569">
        <v>-4.0982659999999997E-3</v>
      </c>
      <c r="P569">
        <v>0.99935960000000001</v>
      </c>
      <c r="Q569">
        <v>2.517834E-2</v>
      </c>
      <c r="R569">
        <v>-2.5425779999999999E-2</v>
      </c>
      <c r="S569">
        <v>3.0001530000000001</v>
      </c>
      <c r="T569">
        <v>-6.9180610000000003E-2</v>
      </c>
      <c r="U569">
        <v>-0.13452149999999999</v>
      </c>
      <c r="V569">
        <v>2.1328570000000002E-2</v>
      </c>
      <c r="W569">
        <v>3.5965610000000002E-2</v>
      </c>
      <c r="X569">
        <v>0.99912540000000005</v>
      </c>
      <c r="Y569">
        <v>4.0688740000000001E-2</v>
      </c>
      <c r="Z569">
        <v>-3.7437849999999998E-4</v>
      </c>
      <c r="AA569">
        <v>0.99917180000000005</v>
      </c>
      <c r="AB569">
        <v>26</v>
      </c>
      <c r="AC569">
        <v>49.942299999999904</v>
      </c>
      <c r="AD569">
        <v>-1.1601049999999999</v>
      </c>
      <c r="AE569">
        <v>-2.2543999999999702</v>
      </c>
      <c r="AF569">
        <v>2.0485891880070102</v>
      </c>
      <c r="AG569">
        <v>-1.1601049999999999</v>
      </c>
      <c r="AH569">
        <v>49.9242367628786</v>
      </c>
      <c r="AI569">
        <v>91.330041387870693</v>
      </c>
      <c r="AJ569">
        <v>87.650245449984794</v>
      </c>
      <c r="AK569">
        <v>49.979715661738297</v>
      </c>
      <c r="AL569">
        <v>87.938877822072996</v>
      </c>
      <c r="AM569">
        <v>88.777078967805707</v>
      </c>
      <c r="AN569">
        <v>0.99999999896303804</v>
      </c>
    </row>
    <row r="570" spans="1:40" x14ac:dyDescent="0.25">
      <c r="A570" t="str">
        <f>"20190312160918959"</f>
        <v>20190312160918959</v>
      </c>
      <c r="B570" t="str">
        <f>"1552378158955739"</f>
        <v>1552378158955739</v>
      </c>
      <c r="C570" t="s">
        <v>40</v>
      </c>
      <c r="D570">
        <v>5.4330170000000004</v>
      </c>
      <c r="E570">
        <v>0.50629239999999998</v>
      </c>
      <c r="F570" t="s">
        <v>43</v>
      </c>
      <c r="G570">
        <v>-305.62950000000001</v>
      </c>
      <c r="H570">
        <v>-0.05</v>
      </c>
      <c r="I570">
        <v>365.90179999999998</v>
      </c>
      <c r="J570">
        <v>-358.17689999999999</v>
      </c>
      <c r="K570">
        <v>1.1100950000000001</v>
      </c>
      <c r="L570">
        <v>368.20370000000003</v>
      </c>
      <c r="M570">
        <v>0.9999344</v>
      </c>
      <c r="N570">
        <v>0</v>
      </c>
      <c r="O570">
        <v>-4.053783E-3</v>
      </c>
      <c r="P570">
        <v>0.99935320000000005</v>
      </c>
      <c r="Q570">
        <v>2.5495230000000001E-2</v>
      </c>
      <c r="R570">
        <v>-2.536103E-2</v>
      </c>
      <c r="S570">
        <v>3.0002439999999999</v>
      </c>
      <c r="T570">
        <v>-6.5920709999999993E-2</v>
      </c>
      <c r="U570">
        <v>-0.13085939999999999</v>
      </c>
      <c r="V570">
        <v>2.130773E-2</v>
      </c>
      <c r="W570">
        <v>3.6199589999999997E-2</v>
      </c>
      <c r="X570">
        <v>0.99911740000000004</v>
      </c>
      <c r="Y570">
        <v>3.9515750000000002E-2</v>
      </c>
      <c r="Z570">
        <v>-3.4483839999999898E-4</v>
      </c>
      <c r="AA570">
        <v>0.99921890000000002</v>
      </c>
      <c r="AB570">
        <v>26</v>
      </c>
      <c r="AC570">
        <v>52.547399999999897</v>
      </c>
      <c r="AD570">
        <v>-1.1600950000000001</v>
      </c>
      <c r="AE570">
        <v>-2.3019000000000398</v>
      </c>
      <c r="AF570">
        <v>2.0878374421535</v>
      </c>
      <c r="AG570">
        <v>-1.1600950000000001</v>
      </c>
      <c r="AH570">
        <v>52.530745732185203</v>
      </c>
      <c r="AI570">
        <v>91.264123177951404</v>
      </c>
      <c r="AJ570">
        <v>87.723973974223696</v>
      </c>
      <c r="AK570">
        <v>52.585018139897699</v>
      </c>
      <c r="AL570">
        <v>87.925463031101202</v>
      </c>
      <c r="AM570">
        <v>88.778263733766707</v>
      </c>
      <c r="AN570">
        <v>1.0000000043283399</v>
      </c>
    </row>
    <row r="571" spans="1:40" x14ac:dyDescent="0.25">
      <c r="A571" t="str">
        <f>"20190312160918984"</f>
        <v>20190312160918984</v>
      </c>
      <c r="B571" t="str">
        <f>"1552378158975258"</f>
        <v>1552378158975258</v>
      </c>
      <c r="C571" t="s">
        <v>40</v>
      </c>
      <c r="D571">
        <v>5.474399</v>
      </c>
      <c r="E571">
        <v>0.50607029999999997</v>
      </c>
      <c r="F571" t="s">
        <v>43</v>
      </c>
      <c r="G571">
        <v>-303.50749999999999</v>
      </c>
      <c r="H571">
        <v>-0.05</v>
      </c>
      <c r="I571">
        <v>365.88670000000002</v>
      </c>
      <c r="J571">
        <v>-357.90289999999999</v>
      </c>
      <c r="K571">
        <v>1.110088</v>
      </c>
      <c r="L571">
        <v>368.20269999999999</v>
      </c>
      <c r="M571">
        <v>0.99993569999999998</v>
      </c>
      <c r="N571">
        <v>0</v>
      </c>
      <c r="O571">
        <v>-4.0009440000000002E-3</v>
      </c>
      <c r="P571">
        <v>0.99936360000000002</v>
      </c>
      <c r="Q571">
        <v>2.499763E-2</v>
      </c>
      <c r="R571">
        <v>-2.5457049999999998E-2</v>
      </c>
      <c r="S571">
        <v>3.0003660000000001</v>
      </c>
      <c r="T571">
        <v>-6.3668370000000002E-2</v>
      </c>
      <c r="U571">
        <v>-0.12716669999999999</v>
      </c>
      <c r="V571">
        <v>2.1456280000000001E-2</v>
      </c>
      <c r="W571">
        <v>3.5610599999999999E-2</v>
      </c>
      <c r="X571">
        <v>0.99913540000000001</v>
      </c>
      <c r="Y571">
        <v>3.834009E-2</v>
      </c>
      <c r="Z571">
        <v>-3.2170799999999998E-4</v>
      </c>
      <c r="AA571">
        <v>0.99926470000000001</v>
      </c>
      <c r="AB571">
        <v>26</v>
      </c>
      <c r="AC571">
        <v>54.395400000000002</v>
      </c>
      <c r="AD571">
        <v>-1.160088</v>
      </c>
      <c r="AE571">
        <v>-2.3159999999999701</v>
      </c>
      <c r="AF571">
        <v>2.0973840139189699</v>
      </c>
      <c r="AG571">
        <v>-1.160088</v>
      </c>
      <c r="AH571">
        <v>54.379542118912603</v>
      </c>
      <c r="AI571">
        <v>91.221207494671404</v>
      </c>
      <c r="AJ571">
        <v>87.791233398934295</v>
      </c>
      <c r="AK571">
        <v>54.432338043962297</v>
      </c>
      <c r="AL571">
        <v>87.9592314725476</v>
      </c>
      <c r="AM571">
        <v>88.7697709837216</v>
      </c>
      <c r="AN571">
        <v>1.00000001715847</v>
      </c>
    </row>
    <row r="572" spans="1:40" x14ac:dyDescent="0.25">
      <c r="A572" t="str">
        <f>"20190312160919006"</f>
        <v>20190312160919006</v>
      </c>
      <c r="B572" t="str">
        <f>"1552378158995754"</f>
        <v>1552378158995754</v>
      </c>
      <c r="C572" t="s">
        <v>40</v>
      </c>
      <c r="D572">
        <v>5.480855</v>
      </c>
      <c r="E572">
        <v>0.50586339999999996</v>
      </c>
      <c r="F572" t="s">
        <v>43</v>
      </c>
      <c r="G572">
        <v>-303.78309999999999</v>
      </c>
      <c r="H572">
        <v>-0.05</v>
      </c>
      <c r="I572">
        <v>365.93700000000001</v>
      </c>
      <c r="J572">
        <v>-357.64449999999999</v>
      </c>
      <c r="K572">
        <v>1.11007099999999</v>
      </c>
      <c r="L572">
        <v>368.20170000000002</v>
      </c>
      <c r="M572">
        <v>0.99993679999999996</v>
      </c>
      <c r="N572">
        <v>0</v>
      </c>
      <c r="O572">
        <v>-3.9484940000000003E-3</v>
      </c>
      <c r="P572">
        <v>0.99936020000000003</v>
      </c>
      <c r="Q572">
        <v>2.496539E-2</v>
      </c>
      <c r="R572">
        <v>-2.5617330000000001E-2</v>
      </c>
      <c r="S572">
        <v>3.0003660000000001</v>
      </c>
      <c r="T572">
        <v>-6.4314479999999993E-2</v>
      </c>
      <c r="U572">
        <v>-0.12561040000000001</v>
      </c>
      <c r="V572">
        <v>2.166908E-2</v>
      </c>
      <c r="W572">
        <v>3.5487659999999997E-2</v>
      </c>
      <c r="X572">
        <v>0.99913510000000005</v>
      </c>
      <c r="Y572">
        <v>3.7874999999999999E-2</v>
      </c>
      <c r="Z572">
        <v>-3.2111729999999999E-4</v>
      </c>
      <c r="AA572">
        <v>0.99928240000000002</v>
      </c>
      <c r="AB572">
        <v>26</v>
      </c>
      <c r="AC572">
        <v>53.861400000000003</v>
      </c>
      <c r="AD572">
        <v>-1.1600710000000001</v>
      </c>
      <c r="AE572">
        <v>-2.2647000000000599</v>
      </c>
      <c r="AF572">
        <v>2.0510493660389102</v>
      </c>
      <c r="AG572">
        <v>-1.1600710000000001</v>
      </c>
      <c r="AH572">
        <v>53.844988731492499</v>
      </c>
      <c r="AI572">
        <v>91.233331941506094</v>
      </c>
      <c r="AJ572">
        <v>87.818558673707798</v>
      </c>
      <c r="AK572">
        <v>53.896524746235002</v>
      </c>
      <c r="AL572">
        <v>87.966279704599501</v>
      </c>
      <c r="AM572">
        <v>88.757573199155402</v>
      </c>
      <c r="AN572">
        <v>0.99999993554616395</v>
      </c>
    </row>
    <row r="573" spans="1:40" x14ac:dyDescent="0.25">
      <c r="A573" t="str">
        <f>"20190312160919026"</f>
        <v>20190312160919026</v>
      </c>
      <c r="B573" t="str">
        <f>"1552378159015274"</f>
        <v>1552378159015274</v>
      </c>
      <c r="C573" t="s">
        <v>40</v>
      </c>
      <c r="D573">
        <v>5.4190300000000002</v>
      </c>
      <c r="E573">
        <v>0.5056254</v>
      </c>
      <c r="F573" t="s">
        <v>43</v>
      </c>
      <c r="G573">
        <v>-303.1635</v>
      </c>
      <c r="H573">
        <v>-0.05</v>
      </c>
      <c r="I573">
        <v>365.9391</v>
      </c>
      <c r="J573">
        <v>-357.40089999999998</v>
      </c>
      <c r="K573">
        <v>1.110058</v>
      </c>
      <c r="L573">
        <v>368.20080000000002</v>
      </c>
      <c r="M573">
        <v>0.99993779999999999</v>
      </c>
      <c r="N573">
        <v>0</v>
      </c>
      <c r="O573">
        <v>-3.8995509999999998E-3</v>
      </c>
      <c r="P573">
        <v>0.99938380000000004</v>
      </c>
      <c r="Q573">
        <v>2.438657E-2</v>
      </c>
      <c r="R573">
        <v>-2.5247519999999999E-2</v>
      </c>
      <c r="S573">
        <v>3.0003660000000001</v>
      </c>
      <c r="T573">
        <v>-6.3887239999999998E-2</v>
      </c>
      <c r="U573">
        <v>-0.1246033</v>
      </c>
      <c r="V573">
        <v>2.1348300000000001E-2</v>
      </c>
      <c r="W573">
        <v>3.482669E-2</v>
      </c>
      <c r="X573">
        <v>0.99916539999999998</v>
      </c>
      <c r="Y573">
        <v>3.7589249999999998E-2</v>
      </c>
      <c r="Z573">
        <v>-3.1698780000000002E-4</v>
      </c>
      <c r="AA573">
        <v>0.99929319999999999</v>
      </c>
      <c r="AB573">
        <v>26</v>
      </c>
      <c r="AC573">
        <v>54.237399999999901</v>
      </c>
      <c r="AD573">
        <v>-1.160058</v>
      </c>
      <c r="AE573">
        <v>-2.26170000000001</v>
      </c>
      <c r="AF573">
        <v>2.0492339128466801</v>
      </c>
      <c r="AG573">
        <v>-1.160058</v>
      </c>
      <c r="AH573">
        <v>54.221046277818502</v>
      </c>
      <c r="AI573">
        <v>91.224780700613195</v>
      </c>
      <c r="AJ573">
        <v>87.835589559657805</v>
      </c>
      <c r="AK573">
        <v>54.272156338718098</v>
      </c>
      <c r="AL573">
        <v>88.004174198754697</v>
      </c>
      <c r="AM573">
        <v>88.775997036432699</v>
      </c>
      <c r="AN573">
        <v>1.0000000724032001</v>
      </c>
    </row>
    <row r="574" spans="1:40" x14ac:dyDescent="0.25">
      <c r="A574" t="str">
        <f>"20190312160919362"</f>
        <v>20190312160919362</v>
      </c>
      <c r="B574" t="str">
        <f>"1552378159355552"</f>
        <v>1552378159355552</v>
      </c>
      <c r="C574" t="s">
        <v>40</v>
      </c>
      <c r="D574">
        <v>5.2575789999999998</v>
      </c>
      <c r="E574">
        <v>0.50542860000000001</v>
      </c>
      <c r="F574" t="s">
        <v>43</v>
      </c>
      <c r="G574">
        <v>-305.85559999999998</v>
      </c>
      <c r="H574">
        <v>-0.05</v>
      </c>
      <c r="I574">
        <v>366.12049999999999</v>
      </c>
      <c r="J574">
        <v>-353.47640000000001</v>
      </c>
      <c r="K574">
        <v>1.109882</v>
      </c>
      <c r="L574">
        <v>368.18759999999997</v>
      </c>
      <c r="M574">
        <v>0.99995100000000003</v>
      </c>
      <c r="N574">
        <v>0</v>
      </c>
      <c r="O574">
        <v>-3.193717E-3</v>
      </c>
      <c r="P574">
        <v>0.99959290000000001</v>
      </c>
      <c r="Q574">
        <v>2.0071849999999999E-2</v>
      </c>
      <c r="R574">
        <v>-2.0282959999999999E-2</v>
      </c>
      <c r="S574">
        <v>3.0004270000000002</v>
      </c>
      <c r="T574">
        <v>-6.7526459999999996E-2</v>
      </c>
      <c r="U574">
        <v>-0.1210938</v>
      </c>
      <c r="V574">
        <v>1.7088809999999999E-2</v>
      </c>
      <c r="W574">
        <v>2.944217E-2</v>
      </c>
      <c r="X574">
        <v>0.99942039999999999</v>
      </c>
      <c r="Y574">
        <v>3.712596E-2</v>
      </c>
      <c r="Z574">
        <v>-3.4570850000000003E-4</v>
      </c>
      <c r="AA574">
        <v>0.99931060000000005</v>
      </c>
      <c r="AB574">
        <v>26</v>
      </c>
      <c r="AC574">
        <v>47.620800000000003</v>
      </c>
      <c r="AD574">
        <v>-1.1598820000000001</v>
      </c>
      <c r="AE574">
        <v>-2.06709999999998</v>
      </c>
      <c r="AF574">
        <v>1.913862167315</v>
      </c>
      <c r="AG574">
        <v>-1.1598820000000001</v>
      </c>
      <c r="AH574">
        <v>47.598974380583499</v>
      </c>
      <c r="AI574">
        <v>91.394768952039897</v>
      </c>
      <c r="AJ574">
        <v>87.697488440673894</v>
      </c>
      <c r="AK574">
        <v>47.651553560538296</v>
      </c>
      <c r="AL574">
        <v>88.312844113976496</v>
      </c>
      <c r="AM574">
        <v>89.020410943768596</v>
      </c>
      <c r="AN574">
        <v>1.00000000236884</v>
      </c>
    </row>
    <row r="575" spans="1:40" x14ac:dyDescent="0.25">
      <c r="A575" t="str">
        <f>"20190312160919384"</f>
        <v>20190312160919384</v>
      </c>
      <c r="B575" t="str">
        <f>"1552378159376048"</f>
        <v>1552378159376048</v>
      </c>
      <c r="C575" t="s">
        <v>40</v>
      </c>
      <c r="D575">
        <v>5.2816109999999998</v>
      </c>
      <c r="E575">
        <v>0.50517979999999996</v>
      </c>
      <c r="F575" t="s">
        <v>43</v>
      </c>
      <c r="G575">
        <v>-307.05829999999997</v>
      </c>
      <c r="H575">
        <v>-0.05</v>
      </c>
      <c r="I575">
        <v>366.55790000000002</v>
      </c>
      <c r="J575">
        <v>-353.21429999999998</v>
      </c>
      <c r="K575">
        <v>1.1098680000000001</v>
      </c>
      <c r="L575">
        <v>368.18689999999998</v>
      </c>
      <c r="M575">
        <v>0.99995179999999995</v>
      </c>
      <c r="N575">
        <v>0</v>
      </c>
      <c r="O575">
        <v>-3.1463469999999999E-3</v>
      </c>
      <c r="P575">
        <v>0.99957419999999997</v>
      </c>
      <c r="Q575">
        <v>1.963844E-2</v>
      </c>
      <c r="R575">
        <v>-2.1587140000000001E-2</v>
      </c>
      <c r="S575">
        <v>3.0005799999999998</v>
      </c>
      <c r="T575">
        <v>-7.4977520000000006E-2</v>
      </c>
      <c r="U575">
        <v>-0.1053467</v>
      </c>
      <c r="V575">
        <v>1.8440560000000002E-2</v>
      </c>
      <c r="W575">
        <v>2.894743E-2</v>
      </c>
      <c r="X575">
        <v>0.99941080000000004</v>
      </c>
      <c r="Y575">
        <v>3.1933459999999997E-2</v>
      </c>
      <c r="Z575">
        <v>-3.2020079999999998E-4</v>
      </c>
      <c r="AA575">
        <v>0.99948999999999999</v>
      </c>
      <c r="AB575">
        <v>26</v>
      </c>
      <c r="AC575">
        <v>46.155999999999999</v>
      </c>
      <c r="AD575">
        <v>-1.1598679999999999</v>
      </c>
      <c r="AE575">
        <v>-1.62899999999996</v>
      </c>
      <c r="AF575">
        <v>1.4828276491696</v>
      </c>
      <c r="AG575">
        <v>-1.1598679999999999</v>
      </c>
      <c r="AH575">
        <v>46.131801990427</v>
      </c>
      <c r="AI575">
        <v>91.439511531833602</v>
      </c>
      <c r="AJ575">
        <v>88.158959316093203</v>
      </c>
      <c r="AK575">
        <v>46.170198467177201</v>
      </c>
      <c r="AL575">
        <v>88.3412026750959</v>
      </c>
      <c r="AM575">
        <v>88.942930795016593</v>
      </c>
      <c r="AN575">
        <v>0.99999997755667902</v>
      </c>
    </row>
    <row r="576" spans="1:40" x14ac:dyDescent="0.25">
      <c r="A576" t="str">
        <f>"20190312160919406"</f>
        <v>20190312160919406</v>
      </c>
      <c r="B576" t="str">
        <f>"1552378159395568"</f>
        <v>1552378159395568</v>
      </c>
      <c r="C576" t="s">
        <v>40</v>
      </c>
      <c r="D576">
        <v>5.6192780000000004</v>
      </c>
      <c r="E576">
        <v>0.50481149999999997</v>
      </c>
      <c r="F576" t="s">
        <v>43</v>
      </c>
      <c r="G576">
        <v>-300.31540000000001</v>
      </c>
      <c r="H576">
        <v>-0.05</v>
      </c>
      <c r="I576">
        <v>366.29390000000001</v>
      </c>
      <c r="J576">
        <v>-352.94889999999998</v>
      </c>
      <c r="K576">
        <v>1.1098600000000001</v>
      </c>
      <c r="L576">
        <v>368.18610000000001</v>
      </c>
      <c r="M576">
        <v>0.99995250000000002</v>
      </c>
      <c r="N576">
        <v>0</v>
      </c>
      <c r="O576">
        <v>-3.098876E-3</v>
      </c>
      <c r="P576">
        <v>0.99956979999999995</v>
      </c>
      <c r="Q576">
        <v>1.961647E-2</v>
      </c>
      <c r="R576">
        <v>-2.1813309999999999E-2</v>
      </c>
      <c r="S576">
        <v>3.0002439999999999</v>
      </c>
      <c r="T576">
        <v>-6.5783739999999993E-2</v>
      </c>
      <c r="U576">
        <v>-0.10736080000000001</v>
      </c>
      <c r="V576">
        <v>1.871403E-2</v>
      </c>
      <c r="W576">
        <v>2.8868310000000001E-2</v>
      </c>
      <c r="X576">
        <v>0.99940799999999996</v>
      </c>
      <c r="Y576">
        <v>3.2656860000000003E-2</v>
      </c>
      <c r="Z576">
        <v>-2.8994330000000002E-4</v>
      </c>
      <c r="AA576">
        <v>0.99946659999999998</v>
      </c>
      <c r="AB576">
        <v>27</v>
      </c>
      <c r="AC576">
        <v>52.633499999999898</v>
      </c>
      <c r="AD576">
        <v>-1.1598599999999999</v>
      </c>
      <c r="AE576">
        <v>-1.8922000000000001</v>
      </c>
      <c r="AF576">
        <v>1.7282410932559999</v>
      </c>
      <c r="AG576">
        <v>-1.1598599999999999</v>
      </c>
      <c r="AH576">
        <v>52.613594549437998</v>
      </c>
      <c r="AI576">
        <v>91.262193087420698</v>
      </c>
      <c r="AJ576">
        <v>88.118635863933406</v>
      </c>
      <c r="AK576">
        <v>52.654747401432502</v>
      </c>
      <c r="AL576">
        <v>88.345737803986395</v>
      </c>
      <c r="AM576">
        <v>88.927255291317906</v>
      </c>
      <c r="AN576">
        <v>0.99999997235254801</v>
      </c>
    </row>
    <row r="577" spans="1:40" x14ac:dyDescent="0.25">
      <c r="A577" t="str">
        <f>"20190312160919652"</f>
        <v>20190312160919652</v>
      </c>
      <c r="B577" t="str">
        <f>"1552378159645643"</f>
        <v>1552378159645643</v>
      </c>
      <c r="C577" t="s">
        <v>40</v>
      </c>
      <c r="D577">
        <v>5.7050780000000003</v>
      </c>
      <c r="E577">
        <v>0.50407449999999998</v>
      </c>
      <c r="F577" t="s">
        <v>43</v>
      </c>
      <c r="G577">
        <v>-288.14800000000002</v>
      </c>
      <c r="H577">
        <v>-0.05</v>
      </c>
      <c r="I577">
        <v>365.91919999999999</v>
      </c>
      <c r="J577">
        <v>-349.9787</v>
      </c>
      <c r="K577">
        <v>1.109702</v>
      </c>
      <c r="L577">
        <v>368.17809999999997</v>
      </c>
      <c r="M577">
        <v>0.99996169999999995</v>
      </c>
      <c r="N577">
        <v>0</v>
      </c>
      <c r="O577">
        <v>-2.5689290000000002E-3</v>
      </c>
      <c r="P577">
        <v>0.99948570000000003</v>
      </c>
      <c r="Q577">
        <v>2.2925790000000001E-2</v>
      </c>
      <c r="R577">
        <v>-2.242154E-2</v>
      </c>
      <c r="S577">
        <v>3.0000610000000001</v>
      </c>
      <c r="T577">
        <v>-5.3697590000000003E-2</v>
      </c>
      <c r="U577">
        <v>-0.10495</v>
      </c>
      <c r="V577">
        <v>1.9852180000000001E-2</v>
      </c>
      <c r="W577">
        <v>3.129287E-2</v>
      </c>
      <c r="X577">
        <v>0.99931309999999995</v>
      </c>
      <c r="Y577">
        <v>3.2388889999999997E-2</v>
      </c>
      <c r="Z577">
        <v>-2.4378569999999999E-4</v>
      </c>
      <c r="AA577">
        <v>0.99947529999999996</v>
      </c>
      <c r="AB577">
        <v>27</v>
      </c>
      <c r="AC577">
        <v>61.8307</v>
      </c>
      <c r="AD577">
        <v>-1.159702</v>
      </c>
      <c r="AE577">
        <v>-2.2588999999999801</v>
      </c>
      <c r="AF577">
        <v>2.0993107740410899</v>
      </c>
      <c r="AG577">
        <v>-1.159702</v>
      </c>
      <c r="AH577">
        <v>61.8145823033719</v>
      </c>
      <c r="AI577">
        <v>91.074179609241</v>
      </c>
      <c r="AJ577">
        <v>88.054901750692494</v>
      </c>
      <c r="AK577">
        <v>61.861091162338397</v>
      </c>
      <c r="AL577">
        <v>88.2067578907848</v>
      </c>
      <c r="AM577">
        <v>88.861921721906398</v>
      </c>
      <c r="AN577">
        <v>1.0000000122975901</v>
      </c>
    </row>
    <row r="578" spans="1:40" x14ac:dyDescent="0.25">
      <c r="A578" t="str">
        <f>"20190312160919675"</f>
        <v>20190312160919675</v>
      </c>
      <c r="B578" t="str">
        <f>"1552378159665163"</f>
        <v>1552378159665163</v>
      </c>
      <c r="C578" t="s">
        <v>40</v>
      </c>
      <c r="D578">
        <v>5.4339959999999996</v>
      </c>
      <c r="E578">
        <v>0.50398469999999995</v>
      </c>
      <c r="F578" t="s">
        <v>41</v>
      </c>
      <c r="G578">
        <v>-250.63659999999999</v>
      </c>
      <c r="H578" s="1">
        <v>-4.8460379999999996E-6</v>
      </c>
      <c r="I578">
        <v>364.84230000000002</v>
      </c>
      <c r="J578">
        <v>-349.69580000000002</v>
      </c>
      <c r="K578">
        <v>1.109688</v>
      </c>
      <c r="L578">
        <v>368.17739999999998</v>
      </c>
      <c r="M578">
        <v>0.99996269999999998</v>
      </c>
      <c r="N578">
        <v>0</v>
      </c>
      <c r="O578">
        <v>-2.518148E-3</v>
      </c>
      <c r="P578">
        <v>0.99947039999999998</v>
      </c>
      <c r="Q578">
        <v>2.35211E-2</v>
      </c>
      <c r="R578">
        <v>-2.24858E-2</v>
      </c>
      <c r="S578">
        <v>3</v>
      </c>
      <c r="T578">
        <v>-3.3511640000000002E-2</v>
      </c>
      <c r="U578">
        <v>-0.10073849999999999</v>
      </c>
      <c r="V578">
        <v>1.9967160000000001E-2</v>
      </c>
      <c r="W578">
        <v>3.1772809999999999E-2</v>
      </c>
      <c r="X578">
        <v>0.99929570000000001</v>
      </c>
      <c r="Y578">
        <v>3.1041889999999999E-2</v>
      </c>
      <c r="Z578">
        <v>-1.452023E-4</v>
      </c>
      <c r="AA578">
        <v>0.99951809999999996</v>
      </c>
      <c r="AB578">
        <v>27</v>
      </c>
      <c r="AC578">
        <v>99.059200000000004</v>
      </c>
      <c r="AD578">
        <v>-1.109692846038</v>
      </c>
      <c r="AE578">
        <v>-3.33509999999995</v>
      </c>
      <c r="AF578">
        <v>3.08524844960092</v>
      </c>
      <c r="AG578">
        <v>-1.109692846038</v>
      </c>
      <c r="AH578">
        <v>99.054867953201295</v>
      </c>
      <c r="AI578">
        <v>90.641535786074797</v>
      </c>
      <c r="AJ578">
        <v>88.215992932642706</v>
      </c>
      <c r="AK578">
        <v>99.109116843176693</v>
      </c>
      <c r="AL578">
        <v>88.179245737154204</v>
      </c>
      <c r="AM578">
        <v>88.8553120146574</v>
      </c>
      <c r="AN578">
        <v>1.0000000474861199</v>
      </c>
    </row>
    <row r="579" spans="1:40" x14ac:dyDescent="0.25">
      <c r="A579" t="str">
        <f>"20190312160919696"</f>
        <v>20190312160919696</v>
      </c>
      <c r="B579" t="str">
        <f>"1552378159685663"</f>
        <v>1552378159685663</v>
      </c>
      <c r="C579" t="s">
        <v>40</v>
      </c>
      <c r="D579">
        <v>5.460623</v>
      </c>
      <c r="E579">
        <v>0.50398399999999999</v>
      </c>
      <c r="F579" t="s">
        <v>41</v>
      </c>
      <c r="G579">
        <v>-249.7842</v>
      </c>
      <c r="H579" s="1">
        <v>-1.335838E-6</v>
      </c>
      <c r="I579">
        <v>364.84800000000001</v>
      </c>
      <c r="J579">
        <v>-349.4418</v>
      </c>
      <c r="K579">
        <v>1.109675</v>
      </c>
      <c r="L579">
        <v>368.17680000000001</v>
      </c>
      <c r="M579">
        <v>0.99996370000000001</v>
      </c>
      <c r="N579">
        <v>0</v>
      </c>
      <c r="O579">
        <v>-2.473154E-3</v>
      </c>
      <c r="P579">
        <v>0.99945629999999996</v>
      </c>
      <c r="Q579">
        <v>2.370367E-2</v>
      </c>
      <c r="R579">
        <v>-2.291789E-2</v>
      </c>
      <c r="S579">
        <v>3.000092</v>
      </c>
      <c r="T579">
        <v>-3.3321139999999999E-2</v>
      </c>
      <c r="U579">
        <v>-9.9975590000000003E-2</v>
      </c>
      <c r="V579">
        <v>2.0444130000000001E-2</v>
      </c>
      <c r="W579">
        <v>3.1855260000000003E-2</v>
      </c>
      <c r="X579">
        <v>0.99928340000000004</v>
      </c>
      <c r="Y579">
        <v>3.0831979999999998E-2</v>
      </c>
      <c r="Z579">
        <v>-1.437074E-4</v>
      </c>
      <c r="AA579">
        <v>0.99952459999999999</v>
      </c>
      <c r="AB579">
        <v>27</v>
      </c>
      <c r="AC579">
        <v>99.657600000000002</v>
      </c>
      <c r="AD579">
        <v>-1.109676335838</v>
      </c>
      <c r="AE579">
        <v>-3.3288000000000002</v>
      </c>
      <c r="AF579">
        <v>3.0819313439201101</v>
      </c>
      <c r="AG579">
        <v>-1.109676335838</v>
      </c>
      <c r="AH579">
        <v>99.653186304734206</v>
      </c>
      <c r="AI579">
        <v>90.6376791887987</v>
      </c>
      <c r="AJ579">
        <v>88.228602614261405</v>
      </c>
      <c r="AK579">
        <v>99.707006890513995</v>
      </c>
      <c r="AL579">
        <v>88.174519251788396</v>
      </c>
      <c r="AM579">
        <v>88.827961140410295</v>
      </c>
      <c r="AN579">
        <v>1.0000000167783401</v>
      </c>
    </row>
    <row r="580" spans="1:40" x14ac:dyDescent="0.25">
      <c r="A580" t="str">
        <f>"20190312160919718"</f>
        <v>20190312160919718</v>
      </c>
      <c r="B580" t="str">
        <f>"1552378159715915"</f>
        <v>1552378159715915</v>
      </c>
      <c r="C580" t="s">
        <v>40</v>
      </c>
      <c r="D580">
        <v>5.7999130000000001</v>
      </c>
      <c r="E580">
        <v>0.50356690000000004</v>
      </c>
      <c r="F580" t="s">
        <v>41</v>
      </c>
      <c r="G580">
        <v>-250.92750000000001</v>
      </c>
      <c r="H580" s="1">
        <v>-4.722022E-6</v>
      </c>
      <c r="I580">
        <v>364.83780000000002</v>
      </c>
      <c r="J580">
        <v>-349.16660000000002</v>
      </c>
      <c r="K580">
        <v>1.109661</v>
      </c>
      <c r="L580">
        <v>368.17619999999999</v>
      </c>
      <c r="M580">
        <v>0.99996479999999999</v>
      </c>
      <c r="N580">
        <v>0</v>
      </c>
      <c r="O580">
        <v>-2.4241000000000002E-3</v>
      </c>
      <c r="P580">
        <v>0.99946699999999999</v>
      </c>
      <c r="Q580">
        <v>2.3002640000000001E-2</v>
      </c>
      <c r="R580">
        <v>-2.3173510000000001E-2</v>
      </c>
      <c r="S580">
        <v>3.000092</v>
      </c>
      <c r="T580">
        <v>-3.3793450000000003E-2</v>
      </c>
      <c r="U580">
        <v>-0.1016846</v>
      </c>
      <c r="V580">
        <v>2.0748829999999999E-2</v>
      </c>
      <c r="W580">
        <v>3.1051240000000001E-2</v>
      </c>
      <c r="X580">
        <v>0.99930240000000004</v>
      </c>
      <c r="Y580">
        <v>3.1449640000000001E-2</v>
      </c>
      <c r="Z580">
        <v>-1.497728E-4</v>
      </c>
      <c r="AA580">
        <v>0.99950530000000004</v>
      </c>
      <c r="AB580">
        <v>28</v>
      </c>
      <c r="AC580">
        <v>98.239099999999993</v>
      </c>
      <c r="AD580">
        <v>-1.1096657220219901</v>
      </c>
      <c r="AE580">
        <v>-3.3383999999999698</v>
      </c>
      <c r="AF580">
        <v>3.0998460530793599</v>
      </c>
      <c r="AG580">
        <v>-1.1096657220219901</v>
      </c>
      <c r="AH580">
        <v>98.234384980464299</v>
      </c>
      <c r="AI580">
        <v>90.646869540193606</v>
      </c>
      <c r="AJ580">
        <v>88.1925964138198</v>
      </c>
      <c r="AK580">
        <v>98.289545710912193</v>
      </c>
      <c r="AL580">
        <v>88.220608961426706</v>
      </c>
      <c r="AM580">
        <v>88.810520625701201</v>
      </c>
      <c r="AN580">
        <v>0.999999990048833</v>
      </c>
    </row>
    <row r="581" spans="1:40" x14ac:dyDescent="0.25">
      <c r="A581" t="str">
        <f>"20190312160919743"</f>
        <v>20190312160919743</v>
      </c>
      <c r="B581" t="str">
        <f>"1552378159735437"</f>
        <v>1552378159735437</v>
      </c>
      <c r="C581" t="s">
        <v>40</v>
      </c>
      <c r="D581">
        <v>5.6623029999999996</v>
      </c>
      <c r="E581">
        <v>0.50331269999999995</v>
      </c>
      <c r="F581" t="s">
        <v>41</v>
      </c>
      <c r="G581">
        <v>-250.0874</v>
      </c>
      <c r="H581" s="1">
        <v>-5.0700270000000003E-6</v>
      </c>
      <c r="I581">
        <v>364.90769999999998</v>
      </c>
      <c r="J581">
        <v>-348.8673</v>
      </c>
      <c r="K581">
        <v>1.1096459999999999</v>
      </c>
      <c r="L581">
        <v>368.1755</v>
      </c>
      <c r="M581">
        <v>0.99996569999999996</v>
      </c>
      <c r="N581">
        <v>0</v>
      </c>
      <c r="O581">
        <v>-2.37076E-3</v>
      </c>
      <c r="P581">
        <v>0.99946650000000004</v>
      </c>
      <c r="Q581">
        <v>2.2369750000000001E-2</v>
      </c>
      <c r="R581">
        <v>-2.379336E-2</v>
      </c>
      <c r="S581">
        <v>3.0001220000000002</v>
      </c>
      <c r="T581">
        <v>-3.3600690000000002E-2</v>
      </c>
      <c r="U581">
        <v>-9.8968509999999996E-2</v>
      </c>
      <c r="V581">
        <v>2.1422199999999999E-2</v>
      </c>
      <c r="W581">
        <v>3.0314870000000001E-2</v>
      </c>
      <c r="X581">
        <v>0.99931080000000005</v>
      </c>
      <c r="Y581">
        <v>3.0598819999999999E-2</v>
      </c>
      <c r="Z581">
        <v>-1.447535E-4</v>
      </c>
      <c r="AA581">
        <v>0.99953170000000002</v>
      </c>
      <c r="AB581">
        <v>28</v>
      </c>
      <c r="AC581">
        <v>98.779899999999998</v>
      </c>
      <c r="AD581">
        <v>-1.1096510700269999</v>
      </c>
      <c r="AE581">
        <v>-3.2678000000000198</v>
      </c>
      <c r="AF581">
        <v>3.0332176529755799</v>
      </c>
      <c r="AG581">
        <v>-1.1096510700269999</v>
      </c>
      <c r="AH581">
        <v>98.774918709619001</v>
      </c>
      <c r="AI581">
        <v>90.643338380476607</v>
      </c>
      <c r="AJ581">
        <v>88.241092226800205</v>
      </c>
      <c r="AK581">
        <v>98.827710187575306</v>
      </c>
      <c r="AL581">
        <v>88.2628197276061</v>
      </c>
      <c r="AM581">
        <v>88.771939936262896</v>
      </c>
      <c r="AN581">
        <v>0.99999998849629801</v>
      </c>
    </row>
    <row r="582" spans="1:40" x14ac:dyDescent="0.25">
      <c r="A582" t="str">
        <f>"20190312160919765"</f>
        <v>20190312160919765</v>
      </c>
      <c r="B582" t="str">
        <f>"1552378159755931"</f>
        <v>1552378159755931</v>
      </c>
      <c r="C582" t="s">
        <v>40</v>
      </c>
      <c r="D582">
        <v>5.5503559999999998</v>
      </c>
      <c r="E582">
        <v>0.50311189999999995</v>
      </c>
      <c r="F582" t="s">
        <v>41</v>
      </c>
      <c r="G582">
        <v>-236.28890000000001</v>
      </c>
      <c r="H582" s="1">
        <v>-2.6135730000000002E-6</v>
      </c>
      <c r="I582">
        <v>364.48779999999999</v>
      </c>
      <c r="J582">
        <v>-348.58330000000001</v>
      </c>
      <c r="K582">
        <v>1.1096349999999999</v>
      </c>
      <c r="L582">
        <v>368.17489999999998</v>
      </c>
      <c r="M582">
        <v>0.99996660000000004</v>
      </c>
      <c r="N582">
        <v>0</v>
      </c>
      <c r="O582">
        <v>-2.3207050000000002E-3</v>
      </c>
      <c r="P582">
        <v>0.99947399999999997</v>
      </c>
      <c r="Q582">
        <v>2.1985500000000002E-2</v>
      </c>
      <c r="R582">
        <v>-2.3844710000000002E-2</v>
      </c>
      <c r="S582">
        <v>2.9999389999999999</v>
      </c>
      <c r="T582">
        <v>-2.9569390000000001E-2</v>
      </c>
      <c r="U582">
        <v>-9.8266599999999996E-2</v>
      </c>
      <c r="V582">
        <v>2.1523540000000001E-2</v>
      </c>
      <c r="W582">
        <v>2.9843970000000001E-2</v>
      </c>
      <c r="X582">
        <v>0.99932279999999996</v>
      </c>
      <c r="Y582">
        <v>3.0417659999999999E-2</v>
      </c>
      <c r="Z582">
        <v>-1.2699629999999901E-4</v>
      </c>
      <c r="AA582">
        <v>0.99953729999999996</v>
      </c>
      <c r="AB582">
        <v>28</v>
      </c>
      <c r="AC582">
        <v>112.2944</v>
      </c>
      <c r="AD582">
        <v>-1.1096376135729999</v>
      </c>
      <c r="AE582">
        <v>-3.6870999999999801</v>
      </c>
      <c r="AF582">
        <v>3.4261457097527499</v>
      </c>
      <c r="AG582">
        <v>-1.1096376135729999</v>
      </c>
      <c r="AH582">
        <v>112.291701707337</v>
      </c>
      <c r="AI582">
        <v>90.565900349102407</v>
      </c>
      <c r="AJ582">
        <v>88.252383699922504</v>
      </c>
      <c r="AK582">
        <v>112.349437214378</v>
      </c>
      <c r="AL582">
        <v>88.289812530584598</v>
      </c>
      <c r="AM582">
        <v>88.766147070861905</v>
      </c>
      <c r="AN582">
        <v>0.99999999195966605</v>
      </c>
    </row>
    <row r="583" spans="1:40" x14ac:dyDescent="0.25">
      <c r="A583" t="str">
        <f>"20190312160919786"</f>
        <v>20190312160919786</v>
      </c>
      <c r="B583" t="str">
        <f>"1552378159775452"</f>
        <v>1552378159775452</v>
      </c>
      <c r="C583" t="s">
        <v>40</v>
      </c>
      <c r="D583">
        <v>5.9053000000000004</v>
      </c>
      <c r="E583">
        <v>0.50289899999999998</v>
      </c>
      <c r="F583" t="s">
        <v>41</v>
      </c>
      <c r="G583">
        <v>-212.4254</v>
      </c>
      <c r="H583" s="1">
        <v>-4.268352E-6</v>
      </c>
      <c r="I583">
        <v>363.77289999999999</v>
      </c>
      <c r="J583">
        <v>-348.3168</v>
      </c>
      <c r="K583">
        <v>1.1096269999999999</v>
      </c>
      <c r="L583">
        <v>368.17439999999999</v>
      </c>
      <c r="M583">
        <v>0.99996719999999895</v>
      </c>
      <c r="N583">
        <v>0</v>
      </c>
      <c r="O583">
        <v>-2.2732020000000002E-3</v>
      </c>
      <c r="P583">
        <v>0.99947759999999997</v>
      </c>
      <c r="Q583">
        <v>2.1902390000000001E-2</v>
      </c>
      <c r="R583">
        <v>-2.3769479999999999E-2</v>
      </c>
      <c r="S583">
        <v>2.9997859999999998</v>
      </c>
      <c r="T583">
        <v>-2.4447199999999999E-2</v>
      </c>
      <c r="U583">
        <v>-9.6984860000000006E-2</v>
      </c>
      <c r="V583">
        <v>2.1495770000000001E-2</v>
      </c>
      <c r="W583">
        <v>2.9684780000000001E-2</v>
      </c>
      <c r="X583">
        <v>0.99932810000000005</v>
      </c>
      <c r="Y583">
        <v>3.0040609999999999E-2</v>
      </c>
      <c r="Z583">
        <v>-1.038552E-4</v>
      </c>
      <c r="AA583">
        <v>0.99954869999999996</v>
      </c>
      <c r="AB583">
        <v>28</v>
      </c>
      <c r="AC583">
        <v>135.8914</v>
      </c>
      <c r="AD583">
        <v>-1.109631268352</v>
      </c>
      <c r="AE583">
        <v>-4.4014999999999898</v>
      </c>
      <c r="AF583">
        <v>4.0922981158968597</v>
      </c>
      <c r="AG583">
        <v>-1.109631268352</v>
      </c>
      <c r="AH583">
        <v>135.89200335284701</v>
      </c>
      <c r="AI583">
        <v>90.467628464035599</v>
      </c>
      <c r="AJ583">
        <v>88.275096660066495</v>
      </c>
      <c r="AK583">
        <v>135.958136059124</v>
      </c>
      <c r="AL583">
        <v>88.298937422173793</v>
      </c>
      <c r="AM583">
        <v>88.767745048941904</v>
      </c>
      <c r="AN583">
        <v>0.99999995287057397</v>
      </c>
    </row>
    <row r="584" spans="1:40" x14ac:dyDescent="0.25">
      <c r="A584" t="str">
        <f>"20190312160919807"</f>
        <v>20190312160919807</v>
      </c>
      <c r="B584" t="str">
        <f>"1552378159795948"</f>
        <v>1552378159795948</v>
      </c>
      <c r="C584" t="s">
        <v>40</v>
      </c>
      <c r="D584">
        <v>5.7474860000000003</v>
      </c>
      <c r="E584">
        <v>0.50262489999999904</v>
      </c>
      <c r="F584" t="s">
        <v>46</v>
      </c>
      <c r="G584">
        <v>-179.98410000000001</v>
      </c>
      <c r="H584">
        <v>6.5869159999999996E-2</v>
      </c>
      <c r="I584">
        <v>362.8313</v>
      </c>
      <c r="J584">
        <v>-348.05180000000001</v>
      </c>
      <c r="K584">
        <v>1.1096140000000001</v>
      </c>
      <c r="L584">
        <v>368.17380000000003</v>
      </c>
      <c r="M584">
        <v>0.99996779999999996</v>
      </c>
      <c r="N584">
        <v>0</v>
      </c>
      <c r="O584">
        <v>-2.2258429999999999E-3</v>
      </c>
      <c r="P584">
        <v>0.9994769</v>
      </c>
      <c r="Q584">
        <v>2.2057650000000002E-2</v>
      </c>
      <c r="R584">
        <v>-2.3655860000000001E-2</v>
      </c>
      <c r="S584">
        <v>2.9997250000000002</v>
      </c>
      <c r="T584">
        <v>-1.859999E-2</v>
      </c>
      <c r="U584">
        <v>-9.5214839999999995E-2</v>
      </c>
      <c r="V584">
        <v>2.1429279999999998E-2</v>
      </c>
      <c r="W584">
        <v>2.9768659999999999E-2</v>
      </c>
      <c r="X584">
        <v>0.99932710000000002</v>
      </c>
      <c r="Y584">
        <v>2.949982E-2</v>
      </c>
      <c r="Z584" s="1">
        <v>-7.7635690000000005E-5</v>
      </c>
      <c r="AA584">
        <v>0.99956480000000003</v>
      </c>
      <c r="AB584">
        <v>28</v>
      </c>
      <c r="AC584">
        <v>168.0677</v>
      </c>
      <c r="AD584">
        <v>-1.04374483999999</v>
      </c>
      <c r="AE584">
        <v>-5.3425000000000296</v>
      </c>
      <c r="AF584">
        <v>4.9681919151287399</v>
      </c>
      <c r="AG584">
        <v>-1.04374483999999</v>
      </c>
      <c r="AH584">
        <v>168.07269997820799</v>
      </c>
      <c r="AI584">
        <v>90.355651433069994</v>
      </c>
      <c r="AJ584">
        <v>88.306842438179402</v>
      </c>
      <c r="AK584">
        <v>168.14935269623101</v>
      </c>
      <c r="AL584">
        <v>88.294129441595601</v>
      </c>
      <c r="AM584">
        <v>88.771554220230399</v>
      </c>
      <c r="AN584">
        <v>1.0000000199769601</v>
      </c>
    </row>
    <row r="585" spans="1:40" x14ac:dyDescent="0.25">
      <c r="A585" t="str">
        <f>"20190312160920019"</f>
        <v>20190312160920019</v>
      </c>
      <c r="B585" t="str">
        <f>"1552378160015548"</f>
        <v>1552378160015548</v>
      </c>
      <c r="C585" t="s">
        <v>40</v>
      </c>
      <c r="D585">
        <v>5.2937529999999997</v>
      </c>
      <c r="E585">
        <v>0.5420642</v>
      </c>
      <c r="F585" t="s">
        <v>44</v>
      </c>
      <c r="G585">
        <v>-158.19499999999999</v>
      </c>
      <c r="H585">
        <v>0.36597439999999998</v>
      </c>
      <c r="I585">
        <v>362.32130000000001</v>
      </c>
      <c r="J585">
        <v>-345.35320000000002</v>
      </c>
      <c r="K585">
        <v>1.1095649999999999</v>
      </c>
      <c r="L585">
        <v>368.16879999999998</v>
      </c>
      <c r="M585">
        <v>0.99997199999999997</v>
      </c>
      <c r="N585">
        <v>0</v>
      </c>
      <c r="O585">
        <v>-1.746079E-3</v>
      </c>
      <c r="P585">
        <v>0.99946880000000005</v>
      </c>
      <c r="Q585">
        <v>2.194842E-2</v>
      </c>
      <c r="R585">
        <v>-2.409468E-2</v>
      </c>
      <c r="S585">
        <v>2.9996640000000001</v>
      </c>
      <c r="T585">
        <v>-1.1747840000000001E-2</v>
      </c>
      <c r="U585">
        <v>-9.2468259999999997E-2</v>
      </c>
      <c r="V585">
        <v>2.2347599999999999E-2</v>
      </c>
      <c r="W585">
        <v>2.922816E-2</v>
      </c>
      <c r="X585">
        <v>0.99932290000000001</v>
      </c>
      <c r="Y585">
        <v>2.9066020000000001E-2</v>
      </c>
      <c r="Z585" s="1">
        <v>-5.0066299999999999E-5</v>
      </c>
      <c r="AA585">
        <v>0.99957750000000001</v>
      </c>
      <c r="AB585">
        <v>29</v>
      </c>
      <c r="AC585">
        <v>187.15819999999999</v>
      </c>
      <c r="AD585">
        <v>-0.74359059999999899</v>
      </c>
      <c r="AE585">
        <v>-5.8474999999999602</v>
      </c>
      <c r="AF585">
        <v>5.5206023718368096</v>
      </c>
      <c r="AG585">
        <v>-0.74359059999999899</v>
      </c>
      <c r="AH585">
        <v>187.165173590439</v>
      </c>
      <c r="AI585">
        <v>90.227530887899206</v>
      </c>
      <c r="AJ585">
        <v>88.310500141609197</v>
      </c>
      <c r="AK585">
        <v>187.24804987680801</v>
      </c>
      <c r="AL585">
        <v>88.325111224848897</v>
      </c>
      <c r="AM585">
        <v>88.718922799580298</v>
      </c>
      <c r="AN585">
        <v>0.999999979513577</v>
      </c>
    </row>
    <row r="586" spans="1:40" x14ac:dyDescent="0.25">
      <c r="A586" t="str">
        <f>"20190312160920042"</f>
        <v>20190312160920042</v>
      </c>
      <c r="B586" t="str">
        <f>"1552378160036044"</f>
        <v>1552378160036044</v>
      </c>
      <c r="C586" t="s">
        <v>40</v>
      </c>
      <c r="D586">
        <v>5.2610140000000003</v>
      </c>
      <c r="E586">
        <v>0.54351959999999999</v>
      </c>
      <c r="F586" t="s">
        <v>47</v>
      </c>
      <c r="G586">
        <v>-156.47929999999999</v>
      </c>
      <c r="H586">
        <v>37.333240000000004</v>
      </c>
      <c r="I586">
        <v>342.57119999999998</v>
      </c>
      <c r="J586">
        <v>-345.04820000000001</v>
      </c>
      <c r="K586">
        <v>1.1095600000000001</v>
      </c>
      <c r="L586">
        <v>368.16840000000002</v>
      </c>
      <c r="M586">
        <v>0.99997230000000004</v>
      </c>
      <c r="N586">
        <v>0</v>
      </c>
      <c r="O586">
        <v>-1.691845E-3</v>
      </c>
      <c r="P586">
        <v>0.99946950000000001</v>
      </c>
      <c r="Q586">
        <v>2.1717509999999999E-2</v>
      </c>
      <c r="R586">
        <v>-2.4273550000000001E-2</v>
      </c>
      <c r="S586">
        <v>2.9793090000000002</v>
      </c>
      <c r="T586">
        <v>0.57139459999999997</v>
      </c>
      <c r="U586">
        <v>-0.40377809999999997</v>
      </c>
      <c r="V586">
        <v>2.258077E-2</v>
      </c>
      <c r="W586">
        <v>2.8966490000000001E-2</v>
      </c>
      <c r="X586">
        <v>0.99932529999999997</v>
      </c>
      <c r="Y586">
        <v>0.13032069999999901</v>
      </c>
      <c r="Z586">
        <v>1.200912E-2</v>
      </c>
      <c r="AA586">
        <v>0.99139920000000004</v>
      </c>
      <c r="AB586">
        <v>29</v>
      </c>
      <c r="AC586">
        <v>188.56890000000001</v>
      </c>
      <c r="AD586">
        <v>36.223680000000002</v>
      </c>
      <c r="AE586">
        <v>-25.597200000000001</v>
      </c>
      <c r="AF586">
        <v>24.394227247003101</v>
      </c>
      <c r="AG586">
        <v>36.223680000000002</v>
      </c>
      <c r="AH586">
        <v>182.01675779563101</v>
      </c>
      <c r="AI586">
        <v>78.841689959628695</v>
      </c>
      <c r="AJ586">
        <v>82.366598667562101</v>
      </c>
      <c r="AK586">
        <v>187.18262054516299</v>
      </c>
      <c r="AL586">
        <v>88.340110199909702</v>
      </c>
      <c r="AM586">
        <v>88.705563950585898</v>
      </c>
      <c r="AN586">
        <v>1.0000000019684001</v>
      </c>
    </row>
    <row r="587" spans="1:40" x14ac:dyDescent="0.25">
      <c r="A587" t="str">
        <f>"20190312160920064"</f>
        <v>20190312160920064</v>
      </c>
      <c r="B587" t="str">
        <f>"1552378160055567"</f>
        <v>1552378160055567</v>
      </c>
      <c r="C587" t="s">
        <v>40</v>
      </c>
      <c r="D587">
        <v>5.2030529999999997</v>
      </c>
      <c r="E587">
        <v>0.54407939999999999</v>
      </c>
      <c r="F587" t="s">
        <v>47</v>
      </c>
      <c r="G587">
        <v>-162.21780000000001</v>
      </c>
      <c r="H587">
        <v>35.66525</v>
      </c>
      <c r="I587">
        <v>342.64389999999997</v>
      </c>
      <c r="J587">
        <v>-344.76729999999998</v>
      </c>
      <c r="K587">
        <v>1.1095459999999999</v>
      </c>
      <c r="L587">
        <v>368.16789999999997</v>
      </c>
      <c r="M587">
        <v>0.99997259999999999</v>
      </c>
      <c r="N587">
        <v>0</v>
      </c>
      <c r="O587">
        <v>-1.6418079999999901E-3</v>
      </c>
      <c r="P587">
        <v>0.99946579999999996</v>
      </c>
      <c r="Q587">
        <v>2.190187E-2</v>
      </c>
      <c r="R587">
        <v>-2.426089E-2</v>
      </c>
      <c r="S587">
        <v>2.9792480000000001</v>
      </c>
      <c r="T587">
        <v>0.56308999999999998</v>
      </c>
      <c r="U587">
        <v>-0.41592410000000002</v>
      </c>
      <c r="V587">
        <v>2.26179E-2</v>
      </c>
      <c r="W587">
        <v>2.9126639999999999E-2</v>
      </c>
      <c r="X587">
        <v>0.99931979999999998</v>
      </c>
      <c r="Y587">
        <v>0.13433529999999999</v>
      </c>
      <c r="Z587">
        <v>1.221826E-2</v>
      </c>
      <c r="AA587">
        <v>0.99086059999999998</v>
      </c>
      <c r="AB587">
        <v>29</v>
      </c>
      <c r="AC587">
        <v>182.54949999999999</v>
      </c>
      <c r="AD587">
        <v>34.555703999999999</v>
      </c>
      <c r="AE587">
        <v>-25.524000000000001</v>
      </c>
      <c r="AF587">
        <v>24.3678268209705</v>
      </c>
      <c r="AG587">
        <v>34.555703999999999</v>
      </c>
      <c r="AH587">
        <v>176.391781169632</v>
      </c>
      <c r="AI587">
        <v>79.017677580604698</v>
      </c>
      <c r="AJ587">
        <v>82.134597889125502</v>
      </c>
      <c r="AK587">
        <v>181.38894157888399</v>
      </c>
      <c r="AL587">
        <v>88.330930398565201</v>
      </c>
      <c r="AM587">
        <v>88.703429076622001</v>
      </c>
      <c r="AN587">
        <v>0.999999996615069</v>
      </c>
    </row>
    <row r="588" spans="1:40" x14ac:dyDescent="0.25">
      <c r="A588" t="str">
        <f>"20190312160920198"</f>
        <v>20190312160920198</v>
      </c>
      <c r="B588" t="str">
        <f>"1552378160196107"</f>
        <v>1552378160196107</v>
      </c>
      <c r="C588" t="s">
        <v>40</v>
      </c>
      <c r="D588">
        <v>5.1360150000000004</v>
      </c>
      <c r="E588">
        <v>0.5448035</v>
      </c>
      <c r="F588" t="s">
        <v>47</v>
      </c>
      <c r="G588">
        <v>-162.6386</v>
      </c>
      <c r="H588">
        <v>34.07911</v>
      </c>
      <c r="I588">
        <v>342.5016</v>
      </c>
      <c r="J588">
        <v>-343.00909999999999</v>
      </c>
      <c r="K588">
        <v>1.109497</v>
      </c>
      <c r="L588">
        <v>368.16559999999998</v>
      </c>
      <c r="M588">
        <v>0.99997389999999997</v>
      </c>
      <c r="N588">
        <v>0</v>
      </c>
      <c r="O588">
        <v>-1.329656E-3</v>
      </c>
      <c r="P588">
        <v>0.99952830000000004</v>
      </c>
      <c r="Q588">
        <v>1.862538E-2</v>
      </c>
      <c r="R588">
        <v>-2.442304E-2</v>
      </c>
      <c r="S588">
        <v>2.9795530000000001</v>
      </c>
      <c r="T588">
        <v>0.53936899999999999</v>
      </c>
      <c r="U588">
        <v>-0.41989140000000003</v>
      </c>
      <c r="V588">
        <v>2.3092399999999999E-2</v>
      </c>
      <c r="W588">
        <v>2.57357E-2</v>
      </c>
      <c r="X588">
        <v>0.99940200000000001</v>
      </c>
      <c r="Y588">
        <v>0.13608100000000001</v>
      </c>
      <c r="Z588">
        <v>1.1921380000000001E-2</v>
      </c>
      <c r="AA588">
        <v>0.99062600000000001</v>
      </c>
      <c r="AB588">
        <v>30</v>
      </c>
      <c r="AC588">
        <v>180.37049999999999</v>
      </c>
      <c r="AD588">
        <v>32.969613000000003</v>
      </c>
      <c r="AE588">
        <v>-25.663999999999898</v>
      </c>
      <c r="AF588">
        <v>24.6179385117495</v>
      </c>
      <c r="AG588">
        <v>32.969613000000003</v>
      </c>
      <c r="AH588">
        <v>174.68382207923</v>
      </c>
      <c r="AI588">
        <v>79.414001389933603</v>
      </c>
      <c r="AJ588">
        <v>81.978216746197006</v>
      </c>
      <c r="AK588">
        <v>179.46441422785199</v>
      </c>
      <c r="AL588">
        <v>88.525290144599097</v>
      </c>
      <c r="AM588">
        <v>88.676346787127898</v>
      </c>
      <c r="AN588">
        <v>0.99999997139812402</v>
      </c>
    </row>
    <row r="589" spans="1:40" x14ac:dyDescent="0.25">
      <c r="A589" t="str">
        <f>"20190312160920221"</f>
        <v>20190312160920221</v>
      </c>
      <c r="B589" t="str">
        <f>"1552378160215627"</f>
        <v>1552378160215627</v>
      </c>
      <c r="C589" t="s">
        <v>40</v>
      </c>
      <c r="D589">
        <v>5.178687</v>
      </c>
      <c r="E589">
        <v>0.57219629999999999</v>
      </c>
      <c r="F589" t="s">
        <v>47</v>
      </c>
      <c r="G589">
        <v>-162.6386</v>
      </c>
      <c r="H589">
        <v>34.180050000000001</v>
      </c>
      <c r="I589">
        <v>342.35500000000002</v>
      </c>
      <c r="J589">
        <v>-342.70209999999997</v>
      </c>
      <c r="K589">
        <v>1.1094919999999999</v>
      </c>
      <c r="L589">
        <v>368.1653</v>
      </c>
      <c r="M589">
        <v>0.99997409999999998</v>
      </c>
      <c r="N589">
        <v>0</v>
      </c>
      <c r="O589">
        <v>-1.275097E-3</v>
      </c>
      <c r="P589">
        <v>0.99950410000000001</v>
      </c>
      <c r="Q589">
        <v>1.962216E-2</v>
      </c>
      <c r="R589">
        <v>-2.4636970000000001E-2</v>
      </c>
      <c r="S589">
        <v>2.980804</v>
      </c>
      <c r="T589">
        <v>0.54652419999999902</v>
      </c>
      <c r="U589">
        <v>-0.42654419999999998</v>
      </c>
      <c r="V589">
        <v>2.3360579999999999E-2</v>
      </c>
      <c r="W589">
        <v>2.6709549999999999E-2</v>
      </c>
      <c r="X589">
        <v>0.99937019999999999</v>
      </c>
      <c r="Y589">
        <v>0.13815549999999999</v>
      </c>
      <c r="Z589">
        <v>1.2267760000000001E-2</v>
      </c>
      <c r="AA589">
        <v>0.99033459999999995</v>
      </c>
      <c r="AB589">
        <v>30</v>
      </c>
      <c r="AC589">
        <v>180.06349999999901</v>
      </c>
      <c r="AD589">
        <v>33.070557999999998</v>
      </c>
      <c r="AE589">
        <v>-25.810299999999899</v>
      </c>
      <c r="AF589">
        <v>24.7622313127791</v>
      </c>
      <c r="AG589">
        <v>33.070557999999998</v>
      </c>
      <c r="AH589">
        <v>174.334156714388</v>
      </c>
      <c r="AI589">
        <v>79.363115992607007</v>
      </c>
      <c r="AJ589">
        <v>81.915847298533095</v>
      </c>
      <c r="AK589">
        <v>179.16257450521201</v>
      </c>
      <c r="AL589">
        <v>88.469473429610204</v>
      </c>
      <c r="AM589">
        <v>88.660937718480596</v>
      </c>
      <c r="AN589">
        <v>0.99999995670358799</v>
      </c>
    </row>
    <row r="590" spans="1:40" x14ac:dyDescent="0.25">
      <c r="A590" t="str">
        <f>"20190312160920243"</f>
        <v>20190312160920243</v>
      </c>
      <c r="B590" t="str">
        <f>"1552378160236123"</f>
        <v>1552378160236123</v>
      </c>
      <c r="C590" t="s">
        <v>40</v>
      </c>
      <c r="D590">
        <v>5.1505450000000002</v>
      </c>
      <c r="E590">
        <v>0.57286990000000004</v>
      </c>
      <c r="F590" t="s">
        <v>48</v>
      </c>
      <c r="G590">
        <v>-245.3451</v>
      </c>
      <c r="H590">
        <v>2.3973710000000001</v>
      </c>
      <c r="I590">
        <v>346.97649999999999</v>
      </c>
      <c r="J590">
        <v>-342.3981</v>
      </c>
      <c r="K590">
        <v>1.1094889999999999</v>
      </c>
      <c r="L590">
        <v>368.16489999999999</v>
      </c>
      <c r="M590">
        <v>0.99997440000000004</v>
      </c>
      <c r="N590">
        <v>0</v>
      </c>
      <c r="O590">
        <v>-1.2213809999999999E-3</v>
      </c>
      <c r="P590">
        <v>0.99948840000000005</v>
      </c>
      <c r="Q590">
        <v>2.0194859999999999E-2</v>
      </c>
      <c r="R590">
        <v>-2.481477E-2</v>
      </c>
      <c r="S590">
        <v>2.9847410000000001</v>
      </c>
      <c r="T590">
        <v>3.9485810000000003E-2</v>
      </c>
      <c r="U590">
        <v>-0.64959719999999999</v>
      </c>
      <c r="V590">
        <v>2.3592040000000002E-2</v>
      </c>
      <c r="W590">
        <v>2.7262000000000002E-2</v>
      </c>
      <c r="X590">
        <v>0.99934990000000001</v>
      </c>
      <c r="Y590">
        <v>0.2114499</v>
      </c>
      <c r="Z590">
        <v>1.366449E-3</v>
      </c>
      <c r="AA590">
        <v>0.97738789999999998</v>
      </c>
      <c r="AB590">
        <v>30</v>
      </c>
      <c r="AC590">
        <v>97.052999999999997</v>
      </c>
      <c r="AD590">
        <v>1.28788199999999</v>
      </c>
      <c r="AE590">
        <v>-21.188400000000001</v>
      </c>
      <c r="AF590">
        <v>21.066301761486798</v>
      </c>
      <c r="AG590">
        <v>1.28788199999999</v>
      </c>
      <c r="AH590">
        <v>97.062493218137803</v>
      </c>
      <c r="AI590">
        <v>89.257104620614001</v>
      </c>
      <c r="AJ590">
        <v>77.754527534518601</v>
      </c>
      <c r="AK590">
        <v>99.330636259277995</v>
      </c>
      <c r="AL590">
        <v>88.437808928872002</v>
      </c>
      <c r="AM590">
        <v>88.647647538881799</v>
      </c>
      <c r="AN590">
        <v>1.0000000118126799</v>
      </c>
    </row>
    <row r="591" spans="1:40" x14ac:dyDescent="0.25">
      <c r="A591" t="str">
        <f>"20190312160920265"</f>
        <v>20190312160920265</v>
      </c>
      <c r="B591" t="str">
        <f>"1552378160255647"</f>
        <v>1552378160255647</v>
      </c>
      <c r="C591" t="s">
        <v>40</v>
      </c>
      <c r="D591">
        <v>5.2555639999999997</v>
      </c>
      <c r="E591">
        <v>0.57426599999999905</v>
      </c>
      <c r="F591" t="s">
        <v>49</v>
      </c>
      <c r="G591">
        <v>-243.84710000000001</v>
      </c>
      <c r="H591">
        <v>4.1116109999999999</v>
      </c>
      <c r="I591">
        <v>346.51979999999998</v>
      </c>
      <c r="J591">
        <v>-342.10980000000001</v>
      </c>
      <c r="K591">
        <v>1.1094809999999999</v>
      </c>
      <c r="L591">
        <v>368.16460000000001</v>
      </c>
      <c r="M591">
        <v>0.99997460000000005</v>
      </c>
      <c r="N591">
        <v>0</v>
      </c>
      <c r="O591">
        <v>-1.1701820000000001E-3</v>
      </c>
      <c r="P591">
        <v>0.9994999</v>
      </c>
      <c r="Q591">
        <v>2.0178829999999998E-2</v>
      </c>
      <c r="R591">
        <v>-2.4363300000000001E-2</v>
      </c>
      <c r="S591">
        <v>2.9834900000000002</v>
      </c>
      <c r="T591">
        <v>9.0884919999999994E-2</v>
      </c>
      <c r="U591">
        <v>-0.65527340000000001</v>
      </c>
      <c r="V591">
        <v>2.3191549999999998E-2</v>
      </c>
      <c r="W591">
        <v>2.722958E-2</v>
      </c>
      <c r="X591">
        <v>0.99936009999999997</v>
      </c>
      <c r="Y591">
        <v>0.2132831</v>
      </c>
      <c r="Z591">
        <v>3.1743840000000001E-3</v>
      </c>
      <c r="AA591">
        <v>0.97698529999999995</v>
      </c>
      <c r="AB591">
        <v>30</v>
      </c>
      <c r="AC591">
        <v>98.262699999999995</v>
      </c>
      <c r="AD591">
        <v>3.00212999999999</v>
      </c>
      <c r="AE591">
        <v>-21.6448</v>
      </c>
      <c r="AF591">
        <v>21.510647572419899</v>
      </c>
      <c r="AG591">
        <v>3.00212999999999</v>
      </c>
      <c r="AH591">
        <v>98.200540182881696</v>
      </c>
      <c r="AI591">
        <v>88.289463821541602</v>
      </c>
      <c r="AJ591">
        <v>77.644610596253401</v>
      </c>
      <c r="AK591">
        <v>100.57368858568999</v>
      </c>
      <c r="AL591">
        <v>88.439667057231702</v>
      </c>
      <c r="AM591">
        <v>88.670609842849899</v>
      </c>
      <c r="AN591">
        <v>0.99999995374519302</v>
      </c>
    </row>
    <row r="592" spans="1:40" x14ac:dyDescent="0.25">
      <c r="A592" t="str">
        <f>"20190312160920286"</f>
        <v>20190312160920286</v>
      </c>
      <c r="B592" t="str">
        <f>"1552378160275165"</f>
        <v>1552378160275165</v>
      </c>
      <c r="C592" t="s">
        <v>40</v>
      </c>
      <c r="D592">
        <v>5.2567979999999999</v>
      </c>
      <c r="E592">
        <v>0.57355449999999997</v>
      </c>
      <c r="F592" t="s">
        <v>50</v>
      </c>
      <c r="G592">
        <v>-238.58619999999999</v>
      </c>
      <c r="H592">
        <v>4.463749</v>
      </c>
      <c r="I592">
        <v>345.09160000000003</v>
      </c>
      <c r="J592">
        <v>-341.81900000000002</v>
      </c>
      <c r="K592">
        <v>1.1094729999999999</v>
      </c>
      <c r="L592">
        <v>368.16430000000003</v>
      </c>
      <c r="M592">
        <v>0.99997460000000005</v>
      </c>
      <c r="N592">
        <v>0</v>
      </c>
      <c r="O592">
        <v>-1.118516E-3</v>
      </c>
      <c r="P592">
        <v>0.99951060000000003</v>
      </c>
      <c r="Q592">
        <v>1.9956379999999999E-2</v>
      </c>
      <c r="R592">
        <v>-2.4086360000000001E-2</v>
      </c>
      <c r="S592">
        <v>2.9833370000000001</v>
      </c>
      <c r="T592">
        <v>9.666574E-2</v>
      </c>
      <c r="U592">
        <v>-0.66491699999999998</v>
      </c>
      <c r="V592">
        <v>2.2966549999999999E-2</v>
      </c>
      <c r="W592">
        <v>2.6993159999999999E-2</v>
      </c>
      <c r="X592">
        <v>0.99937180000000003</v>
      </c>
      <c r="Y592">
        <v>0.2163399</v>
      </c>
      <c r="Z592">
        <v>3.4257630000000001E-3</v>
      </c>
      <c r="AA592">
        <v>0.97631210000000002</v>
      </c>
      <c r="AB592">
        <v>30</v>
      </c>
      <c r="AC592">
        <v>103.2328</v>
      </c>
      <c r="AD592">
        <v>3.354276</v>
      </c>
      <c r="AE592">
        <v>-23.072700000000001</v>
      </c>
      <c r="AF592">
        <v>22.934154330765601</v>
      </c>
      <c r="AG592">
        <v>3.354276</v>
      </c>
      <c r="AH592">
        <v>103.154818626159</v>
      </c>
      <c r="AI592">
        <v>88.181934712928907</v>
      </c>
      <c r="AJ592">
        <v>77.465443567096401</v>
      </c>
      <c r="AK592">
        <v>105.72673837846</v>
      </c>
      <c r="AL592">
        <v>88.453218046552394</v>
      </c>
      <c r="AM592">
        <v>88.683518178927201</v>
      </c>
      <c r="AN592">
        <v>1.0000000438704599</v>
      </c>
    </row>
    <row r="593" spans="1:40" x14ac:dyDescent="0.25">
      <c r="A593" t="str">
        <f>"20190312160920310"</f>
        <v>20190312160920310</v>
      </c>
      <c r="B593" t="str">
        <f>"1552378160305420"</f>
        <v>1552378160305420</v>
      </c>
      <c r="C593" t="s">
        <v>40</v>
      </c>
      <c r="D593">
        <v>5.3640650000000001</v>
      </c>
      <c r="E593">
        <v>0.57124469999999905</v>
      </c>
      <c r="F593" t="s">
        <v>49</v>
      </c>
      <c r="G593">
        <v>-243.84710000000001</v>
      </c>
      <c r="H593">
        <v>4.0690160000000004</v>
      </c>
      <c r="I593">
        <v>346.55439999999999</v>
      </c>
      <c r="J593">
        <v>-341.5102</v>
      </c>
      <c r="K593">
        <v>1.1094660000000001</v>
      </c>
      <c r="L593">
        <v>368.16410000000002</v>
      </c>
      <c r="M593">
        <v>0.99997480000000005</v>
      </c>
      <c r="N593">
        <v>0</v>
      </c>
      <c r="O593">
        <v>-1.0639930000000001E-3</v>
      </c>
      <c r="P593">
        <v>0.99951509999999999</v>
      </c>
      <c r="Q593">
        <v>1.9695150000000002E-2</v>
      </c>
      <c r="R593">
        <v>-2.411961E-2</v>
      </c>
      <c r="S593">
        <v>2.9837950000000002</v>
      </c>
      <c r="T593">
        <v>9.0134740000000005E-2</v>
      </c>
      <c r="U593">
        <v>-0.65814209999999995</v>
      </c>
      <c r="V593">
        <v>2.3054120000000001E-2</v>
      </c>
      <c r="W593">
        <v>2.6720029999999999E-2</v>
      </c>
      <c r="X593">
        <v>0.99937710000000002</v>
      </c>
      <c r="Y593">
        <v>0.2142628</v>
      </c>
      <c r="Z593">
        <v>3.165345E-3</v>
      </c>
      <c r="AA593">
        <v>0.9767709</v>
      </c>
      <c r="AB593">
        <v>30</v>
      </c>
      <c r="AC593">
        <v>97.6631</v>
      </c>
      <c r="AD593">
        <v>2.9595500000000001</v>
      </c>
      <c r="AE593">
        <v>-21.6097</v>
      </c>
      <c r="AF593">
        <v>21.486961578951799</v>
      </c>
      <c r="AG593">
        <v>2.9595500000000001</v>
      </c>
      <c r="AH593">
        <v>97.6005933518109</v>
      </c>
      <c r="AI593">
        <v>88.303743249799197</v>
      </c>
      <c r="AJ593">
        <v>77.584277212129393</v>
      </c>
      <c r="AK593">
        <v>99.981619694438805</v>
      </c>
      <c r="AL593">
        <v>88.468872852719699</v>
      </c>
      <c r="AM593">
        <v>88.678507299629103</v>
      </c>
      <c r="AN593">
        <v>1.0000000202282899</v>
      </c>
    </row>
    <row r="594" spans="1:40" x14ac:dyDescent="0.25">
      <c r="A594" t="str">
        <f>"20190312160920332"</f>
        <v>20190312160920332</v>
      </c>
      <c r="B594" t="str">
        <f>"1552378160325915"</f>
        <v>1552378160325915</v>
      </c>
      <c r="C594" t="s">
        <v>40</v>
      </c>
      <c r="D594">
        <v>5.4172900000000004</v>
      </c>
      <c r="E594">
        <v>0.56961969999999995</v>
      </c>
      <c r="F594" t="s">
        <v>47</v>
      </c>
      <c r="G594">
        <v>-169.6942</v>
      </c>
      <c r="H594">
        <v>7.7491859999999999</v>
      </c>
      <c r="I594">
        <v>331.31459999999998</v>
      </c>
      <c r="J594">
        <v>-341.19900000000001</v>
      </c>
      <c r="K594">
        <v>1.1094660000000001</v>
      </c>
      <c r="L594">
        <v>368.16379999999998</v>
      </c>
      <c r="M594">
        <v>0.9999749</v>
      </c>
      <c r="N594">
        <v>0</v>
      </c>
      <c r="O594">
        <v>-1.009479E-3</v>
      </c>
      <c r="P594">
        <v>0.99952010000000002</v>
      </c>
      <c r="Q594">
        <v>1.9509209999999999E-2</v>
      </c>
      <c r="R594">
        <v>-2.406618E-2</v>
      </c>
      <c r="S594">
        <v>2.9837340000000001</v>
      </c>
      <c r="T594">
        <v>0.11530459999999999</v>
      </c>
      <c r="U594">
        <v>-0.63992309999999997</v>
      </c>
      <c r="V594">
        <v>2.305517E-2</v>
      </c>
      <c r="W594">
        <v>2.6524599999999999E-2</v>
      </c>
      <c r="X594">
        <v>0.99938229999999995</v>
      </c>
      <c r="Y594">
        <v>0.20856659999999999</v>
      </c>
      <c r="Z594">
        <v>3.9446630000000002E-3</v>
      </c>
      <c r="AA594">
        <v>0.97800019999999999</v>
      </c>
      <c r="AB594">
        <v>30</v>
      </c>
      <c r="AC594">
        <v>171.50479999999999</v>
      </c>
      <c r="AD594">
        <v>6.6397199999999996</v>
      </c>
      <c r="AE594">
        <v>-36.849200000000003</v>
      </c>
      <c r="AF594">
        <v>36.623576848045097</v>
      </c>
      <c r="AG594">
        <v>6.6397199999999996</v>
      </c>
      <c r="AH594">
        <v>171.296500080649</v>
      </c>
      <c r="AI594">
        <v>87.829248446091199</v>
      </c>
      <c r="AJ594">
        <v>77.931729981475101</v>
      </c>
      <c r="AK594">
        <v>175.293648495041</v>
      </c>
      <c r="AL594">
        <v>88.480074164489594</v>
      </c>
      <c r="AM594">
        <v>88.6784540074662</v>
      </c>
      <c r="AN594">
        <v>1.0000000384110801</v>
      </c>
    </row>
    <row r="595" spans="1:40" x14ac:dyDescent="0.25">
      <c r="A595" t="str">
        <f>"20190312160920356"</f>
        <v>20190312160920356</v>
      </c>
      <c r="B595" t="str">
        <f>"1552378160345436"</f>
        <v>1552378160345436</v>
      </c>
      <c r="C595" t="s">
        <v>40</v>
      </c>
      <c r="D595">
        <v>5.5338180000000001</v>
      </c>
      <c r="E595">
        <v>0.56870410000000005</v>
      </c>
      <c r="F595" t="s">
        <v>47</v>
      </c>
      <c r="G595">
        <v>-168.40309999999999</v>
      </c>
      <c r="H595">
        <v>9.3310519999999997</v>
      </c>
      <c r="I595">
        <v>331.87459999999999</v>
      </c>
      <c r="J595">
        <v>-340.88760000000002</v>
      </c>
      <c r="K595">
        <v>1.1094569999999999</v>
      </c>
      <c r="L595">
        <v>368.1635</v>
      </c>
      <c r="M595">
        <v>0.99997499999999995</v>
      </c>
      <c r="N595">
        <v>0</v>
      </c>
      <c r="O595">
        <v>-9.5497249999999996E-4</v>
      </c>
      <c r="P595">
        <v>0.99952099999999999</v>
      </c>
      <c r="Q595">
        <v>1.914693E-2</v>
      </c>
      <c r="R595">
        <v>-2.4313330000000001E-2</v>
      </c>
      <c r="S595">
        <v>2.9835820000000002</v>
      </c>
      <c r="T595">
        <v>0.14195820000000001</v>
      </c>
      <c r="U595">
        <v>-0.62658689999999995</v>
      </c>
      <c r="V595">
        <v>2.3357010000000001E-2</v>
      </c>
      <c r="W595">
        <v>2.6155660000000001E-2</v>
      </c>
      <c r="X595">
        <v>0.99938499999999997</v>
      </c>
      <c r="Y595">
        <v>0.2043731</v>
      </c>
      <c r="Z595">
        <v>4.7620029999999999E-3</v>
      </c>
      <c r="AA595">
        <v>0.97888149999999996</v>
      </c>
      <c r="AB595">
        <v>30</v>
      </c>
      <c r="AC595">
        <v>172.4845</v>
      </c>
      <c r="AD595">
        <v>8.22159499999999</v>
      </c>
      <c r="AE595">
        <v>-36.288899999999998</v>
      </c>
      <c r="AF595">
        <v>36.0457362358163</v>
      </c>
      <c r="AG595">
        <v>8.22159499999999</v>
      </c>
      <c r="AH595">
        <v>172.144539783601</v>
      </c>
      <c r="AI595">
        <v>87.323597747360793</v>
      </c>
      <c r="AJ595">
        <v>78.173574506902298</v>
      </c>
      <c r="AK595">
        <v>176.069964225684</v>
      </c>
      <c r="AL595">
        <v>88.501220182966193</v>
      </c>
      <c r="AM595">
        <v>88.661162101631803</v>
      </c>
      <c r="AN595">
        <v>1.0000000233455799</v>
      </c>
    </row>
    <row r="596" spans="1:40" x14ac:dyDescent="0.25">
      <c r="A596" t="str">
        <f>"20190312160920376"</f>
        <v>20190312160920376</v>
      </c>
      <c r="B596" t="str">
        <f>"1552378160365932"</f>
        <v>1552378160365932</v>
      </c>
      <c r="C596" t="s">
        <v>40</v>
      </c>
      <c r="D596">
        <v>5.5671780000000002</v>
      </c>
      <c r="E596">
        <v>0.5678744</v>
      </c>
      <c r="F596" t="s">
        <v>47</v>
      </c>
      <c r="G596">
        <v>-168.4034</v>
      </c>
      <c r="H596">
        <v>10.120839999999999</v>
      </c>
      <c r="I596">
        <v>332.33420000000001</v>
      </c>
      <c r="J596">
        <v>-340.60739999999998</v>
      </c>
      <c r="K596">
        <v>1.1094489999999999</v>
      </c>
      <c r="L596">
        <v>368.16329999999999</v>
      </c>
      <c r="M596">
        <v>0.99997519999999995</v>
      </c>
      <c r="N596">
        <v>0</v>
      </c>
      <c r="O596">
        <v>-9.0572340000000002E-4</v>
      </c>
      <c r="P596">
        <v>0.99953259999999999</v>
      </c>
      <c r="Q596">
        <v>1.8495109999999999E-2</v>
      </c>
      <c r="R596">
        <v>-2.4351890000000001E-2</v>
      </c>
      <c r="S596">
        <v>2.983368</v>
      </c>
      <c r="T596">
        <v>0.15586520000000001</v>
      </c>
      <c r="U596">
        <v>-0.61972050000000001</v>
      </c>
      <c r="V596">
        <v>2.344473E-2</v>
      </c>
      <c r="W596">
        <v>2.5499270000000001E-2</v>
      </c>
      <c r="X596">
        <v>0.99939990000000001</v>
      </c>
      <c r="Y596">
        <v>0.20223340000000001</v>
      </c>
      <c r="Z596">
        <v>5.1767820000000004E-3</v>
      </c>
      <c r="AA596">
        <v>0.97932370000000002</v>
      </c>
      <c r="AB596">
        <v>30</v>
      </c>
      <c r="AC596">
        <v>172.20399999999901</v>
      </c>
      <c r="AD596">
        <v>9.0113909999999997</v>
      </c>
      <c r="AE596">
        <v>-35.829099999999897</v>
      </c>
      <c r="AF596">
        <v>35.579723502436103</v>
      </c>
      <c r="AG596">
        <v>9.0113909999999997</v>
      </c>
      <c r="AH596">
        <v>171.78548299667401</v>
      </c>
      <c r="AI596">
        <v>87.059469749711496</v>
      </c>
      <c r="AJ596">
        <v>78.298509605934498</v>
      </c>
      <c r="AK596">
        <v>175.66267122147801</v>
      </c>
      <c r="AL596">
        <v>88.538841095769499</v>
      </c>
      <c r="AM596">
        <v>88.656155807032405</v>
      </c>
      <c r="AN596">
        <v>1.0000000141276499</v>
      </c>
    </row>
    <row r="597" spans="1:40" x14ac:dyDescent="0.25">
      <c r="A597" t="str">
        <f>"20190312160920400"</f>
        <v>20190312160920400</v>
      </c>
      <c r="B597" t="str">
        <f>"1552378160395212"</f>
        <v>1552378160395212</v>
      </c>
      <c r="C597" t="s">
        <v>40</v>
      </c>
      <c r="D597">
        <v>5.4391309999999997</v>
      </c>
      <c r="E597">
        <v>0.56645279999999998</v>
      </c>
      <c r="F597" t="s">
        <v>47</v>
      </c>
      <c r="G597">
        <v>-168.40369999999999</v>
      </c>
      <c r="H597">
        <v>11.06453</v>
      </c>
      <c r="I597">
        <v>332.75400000000002</v>
      </c>
      <c r="J597">
        <v>-340.29180000000002</v>
      </c>
      <c r="K597">
        <v>1.1094409999999999</v>
      </c>
      <c r="L597">
        <v>368.16309999999999</v>
      </c>
      <c r="M597">
        <v>0.99997510000000001</v>
      </c>
      <c r="N597">
        <v>0</v>
      </c>
      <c r="O597">
        <v>-8.5004099999999995E-4</v>
      </c>
      <c r="P597">
        <v>0.99953749999999997</v>
      </c>
      <c r="Q597">
        <v>1.7884750000000001E-2</v>
      </c>
      <c r="R597">
        <v>-2.4596549999999998E-2</v>
      </c>
      <c r="S597">
        <v>2.983276</v>
      </c>
      <c r="T597">
        <v>0.17246320000000001</v>
      </c>
      <c r="U597">
        <v>-0.61343380000000003</v>
      </c>
      <c r="V597">
        <v>2.374503E-2</v>
      </c>
      <c r="W597">
        <v>2.4885770000000002E-2</v>
      </c>
      <c r="X597">
        <v>0.99940819999999997</v>
      </c>
      <c r="Y597">
        <v>0.2002582</v>
      </c>
      <c r="Z597">
        <v>5.6753130000000004E-3</v>
      </c>
      <c r="AA597">
        <v>0.97972669999999995</v>
      </c>
      <c r="AB597">
        <v>30</v>
      </c>
      <c r="AC597">
        <v>171.88810000000001</v>
      </c>
      <c r="AD597">
        <v>9.9550889999999992</v>
      </c>
      <c r="AE597">
        <v>-35.409099999999903</v>
      </c>
      <c r="AF597">
        <v>35.149869025624099</v>
      </c>
      <c r="AG597">
        <v>9.9550889999999992</v>
      </c>
      <c r="AH597">
        <v>171.36672657399501</v>
      </c>
      <c r="AI597">
        <v>86.742951466536496</v>
      </c>
      <c r="AJ597">
        <v>78.408556124453099</v>
      </c>
      <c r="AK597">
        <v>175.21749931500199</v>
      </c>
      <c r="AL597">
        <v>88.574003109383995</v>
      </c>
      <c r="AM597">
        <v>88.638960443032204</v>
      </c>
      <c r="AN597">
        <v>0.99999993911271501</v>
      </c>
    </row>
    <row r="598" spans="1:40" x14ac:dyDescent="0.25">
      <c r="A598" t="str">
        <f>"20190312160920422"</f>
        <v>20190312160920422</v>
      </c>
      <c r="B598" t="str">
        <f>"1552378160415709"</f>
        <v>1552378160415709</v>
      </c>
      <c r="C598" t="s">
        <v>40</v>
      </c>
      <c r="D598">
        <v>5.5163669999999998</v>
      </c>
      <c r="E598">
        <v>0.56563030000000003</v>
      </c>
      <c r="F598" t="s">
        <v>47</v>
      </c>
      <c r="G598">
        <v>-168.4042</v>
      </c>
      <c r="H598">
        <v>12.477600000000001</v>
      </c>
      <c r="I598">
        <v>333.44749999999999</v>
      </c>
      <c r="J598">
        <v>-339.97890000000001</v>
      </c>
      <c r="K598">
        <v>1.1094409999999999</v>
      </c>
      <c r="L598">
        <v>368.1628</v>
      </c>
      <c r="M598">
        <v>0.99997519999999995</v>
      </c>
      <c r="N598">
        <v>0</v>
      </c>
      <c r="O598">
        <v>-7.9484130000000001E-4</v>
      </c>
      <c r="P598">
        <v>0.99955090000000002</v>
      </c>
      <c r="Q598">
        <v>1.7951100000000001E-2</v>
      </c>
      <c r="R598">
        <v>-2.4006240000000002E-2</v>
      </c>
      <c r="S598">
        <v>2.983063</v>
      </c>
      <c r="T598">
        <v>0.19729140000000001</v>
      </c>
      <c r="U598">
        <v>-0.60247799999999996</v>
      </c>
      <c r="V598">
        <v>2.320968E-2</v>
      </c>
      <c r="W598">
        <v>2.49506E-2</v>
      </c>
      <c r="X598">
        <v>0.99941919999999995</v>
      </c>
      <c r="Y598">
        <v>0.19677839999999999</v>
      </c>
      <c r="Z598">
        <v>6.3833379999999997E-3</v>
      </c>
      <c r="AA598">
        <v>0.98042720000000005</v>
      </c>
      <c r="AB598">
        <v>30</v>
      </c>
      <c r="AC598">
        <v>171.57470000000001</v>
      </c>
      <c r="AD598">
        <v>11.368159</v>
      </c>
      <c r="AE598">
        <v>-34.715299999999999</v>
      </c>
      <c r="AF598">
        <v>34.433689131469897</v>
      </c>
      <c r="AG598">
        <v>11.368159</v>
      </c>
      <c r="AH598">
        <v>170.88155747245099</v>
      </c>
      <c r="AI598">
        <v>86.268700474449901</v>
      </c>
      <c r="AJ598">
        <v>78.607113239833097</v>
      </c>
      <c r="AK598">
        <v>174.68663563782599</v>
      </c>
      <c r="AL598">
        <v>88.570287527806897</v>
      </c>
      <c r="AM598">
        <v>88.669649610918199</v>
      </c>
      <c r="AN598">
        <v>0.99999997950735098</v>
      </c>
    </row>
    <row r="599" spans="1:40" x14ac:dyDescent="0.25">
      <c r="A599" t="str">
        <f>"20190312160920444"</f>
        <v>20190312160920444</v>
      </c>
      <c r="B599" t="str">
        <f>"1552378160435231"</f>
        <v>1552378160435231</v>
      </c>
      <c r="C599" t="s">
        <v>40</v>
      </c>
      <c r="D599">
        <v>5.789015</v>
      </c>
      <c r="E599">
        <v>0.51364239999999906</v>
      </c>
      <c r="F599" t="s">
        <v>47</v>
      </c>
      <c r="G599">
        <v>-168.9863</v>
      </c>
      <c r="H599">
        <v>13.21346</v>
      </c>
      <c r="I599">
        <v>334.10939999999999</v>
      </c>
      <c r="J599">
        <v>-339.67910000000001</v>
      </c>
      <c r="K599">
        <v>1.1094440000000001</v>
      </c>
      <c r="L599">
        <v>368.16269999999997</v>
      </c>
      <c r="M599">
        <v>0.99997530000000001</v>
      </c>
      <c r="N599">
        <v>0</v>
      </c>
      <c r="O599">
        <v>-7.4226689999999998E-4</v>
      </c>
      <c r="P599">
        <v>0.99957309999999999</v>
      </c>
      <c r="Q599">
        <v>1.7845469999999999E-2</v>
      </c>
      <c r="R599">
        <v>-2.315031E-2</v>
      </c>
      <c r="S599">
        <v>2.9832459999999998</v>
      </c>
      <c r="T599">
        <v>0.21117449999999999</v>
      </c>
      <c r="U599">
        <v>-0.59411619999999998</v>
      </c>
      <c r="V599">
        <v>2.2406309999999999E-2</v>
      </c>
      <c r="W599">
        <v>2.4845260000000001E-2</v>
      </c>
      <c r="X599">
        <v>0.9994402</v>
      </c>
      <c r="Y599">
        <v>0.19412189999999999</v>
      </c>
      <c r="Z599">
        <v>6.7436029999999999E-3</v>
      </c>
      <c r="AA599">
        <v>0.9809542</v>
      </c>
      <c r="AB599">
        <v>31</v>
      </c>
      <c r="AC599">
        <v>170.69280000000001</v>
      </c>
      <c r="AD599">
        <v>12.104016</v>
      </c>
      <c r="AE599">
        <v>-34.053299999999901</v>
      </c>
      <c r="AF599">
        <v>33.763311437015702</v>
      </c>
      <c r="AG599">
        <v>12.104016</v>
      </c>
      <c r="AH599">
        <v>169.896425721844</v>
      </c>
      <c r="AI599">
        <v>86.002838455784101</v>
      </c>
      <c r="AJ599">
        <v>78.760118132472499</v>
      </c>
      <c r="AK599">
        <v>173.64119291106999</v>
      </c>
      <c r="AL599">
        <v>88.576324996783896</v>
      </c>
      <c r="AM599">
        <v>88.715709071016903</v>
      </c>
      <c r="AN599">
        <v>1.00000002152416</v>
      </c>
    </row>
    <row r="600" spans="1:40" x14ac:dyDescent="0.25">
      <c r="A600" t="str">
        <f>"20190312160920465"</f>
        <v>20190312160920465</v>
      </c>
      <c r="B600" t="str">
        <f>"1552378160455725"</f>
        <v>1552378160455725</v>
      </c>
      <c r="C600" t="s">
        <v>40</v>
      </c>
      <c r="D600">
        <v>5.2488320000000002</v>
      </c>
      <c r="E600">
        <v>0.50001569999999995</v>
      </c>
      <c r="F600" t="s">
        <v>44</v>
      </c>
      <c r="G600">
        <v>-158.19499999999999</v>
      </c>
      <c r="H600">
        <v>15.75676</v>
      </c>
      <c r="I600">
        <v>357.44979999999998</v>
      </c>
      <c r="J600">
        <v>-339.38490000000002</v>
      </c>
      <c r="K600">
        <v>1.1094520000000001</v>
      </c>
      <c r="L600">
        <v>368.16250000000002</v>
      </c>
      <c r="M600">
        <v>0.99997530000000001</v>
      </c>
      <c r="N600">
        <v>0</v>
      </c>
      <c r="O600">
        <v>-6.9017850000000001E-4</v>
      </c>
      <c r="P600">
        <v>0.99957030000000002</v>
      </c>
      <c r="Q600">
        <v>1.86711E-2</v>
      </c>
      <c r="R600">
        <v>-2.2603970000000001E-2</v>
      </c>
      <c r="S600">
        <v>2.9928590000000002</v>
      </c>
      <c r="T600">
        <v>0.24155070000000001</v>
      </c>
      <c r="U600">
        <v>-0.176666299999999</v>
      </c>
      <c r="V600">
        <v>2.1911989999999999E-2</v>
      </c>
      <c r="W600">
        <v>2.5672779999999999E-2</v>
      </c>
      <c r="X600">
        <v>0.99943020000000005</v>
      </c>
      <c r="Y600">
        <v>5.8051819999999997E-2</v>
      </c>
      <c r="Z600">
        <v>2.2812599999999998E-3</v>
      </c>
      <c r="AA600">
        <v>0.99831099999999995</v>
      </c>
      <c r="AB600">
        <v>31</v>
      </c>
      <c r="AC600">
        <v>181.18989999999999</v>
      </c>
      <c r="AD600">
        <v>14.647308000000001</v>
      </c>
      <c r="AE600">
        <v>-10.7127</v>
      </c>
      <c r="AF600">
        <v>10.519137589927899</v>
      </c>
      <c r="AG600">
        <v>14.647308000000001</v>
      </c>
      <c r="AH600">
        <v>180.024880722972</v>
      </c>
      <c r="AI600">
        <v>85.356393227495801</v>
      </c>
      <c r="AJ600">
        <v>86.655919658462594</v>
      </c>
      <c r="AK600">
        <v>180.92582338240999</v>
      </c>
      <c r="AL600">
        <v>88.528896393167997</v>
      </c>
      <c r="AM600">
        <v>88.744020897506104</v>
      </c>
      <c r="AN600">
        <v>0.99999997580536404</v>
      </c>
    </row>
    <row r="601" spans="1:40" x14ac:dyDescent="0.25">
      <c r="A601" t="str">
        <f>"20190312160920487"</f>
        <v>20190312160920487</v>
      </c>
      <c r="B601" t="str">
        <f>"1552378160485980"</f>
        <v>1552378160485980</v>
      </c>
      <c r="C601" t="s">
        <v>40</v>
      </c>
      <c r="D601">
        <v>5.7233580000000002</v>
      </c>
      <c r="E601">
        <v>0.48673230000000001</v>
      </c>
      <c r="F601" t="s">
        <v>44</v>
      </c>
      <c r="G601">
        <v>-170.08879999999999</v>
      </c>
      <c r="H601">
        <v>13.72134</v>
      </c>
      <c r="I601">
        <v>364.3802</v>
      </c>
      <c r="J601">
        <v>-339.07679999999999</v>
      </c>
      <c r="K601">
        <v>1.1094550000000001</v>
      </c>
      <c r="L601">
        <v>368.16239999999999</v>
      </c>
      <c r="M601">
        <v>0.99997530000000001</v>
      </c>
      <c r="N601">
        <v>0</v>
      </c>
      <c r="O601">
        <v>-6.3618500000000005E-4</v>
      </c>
      <c r="P601">
        <v>0.99955099999999997</v>
      </c>
      <c r="Q601">
        <v>1.9742889999999999E-2</v>
      </c>
      <c r="R601">
        <v>-2.254569E-2</v>
      </c>
      <c r="S601">
        <v>2.9955750000000001</v>
      </c>
      <c r="T601">
        <v>0.22315989999999999</v>
      </c>
      <c r="U601">
        <v>-6.692505E-2</v>
      </c>
      <c r="V601">
        <v>2.190771E-2</v>
      </c>
      <c r="W601">
        <v>2.6747199999999999E-2</v>
      </c>
      <c r="X601">
        <v>0.99940220000000002</v>
      </c>
      <c r="Y601">
        <v>2.1641509999999999E-2</v>
      </c>
      <c r="Z601">
        <v>7.5756990000000002E-4</v>
      </c>
      <c r="AA601">
        <v>0.99976549999999997</v>
      </c>
      <c r="AB601">
        <v>31</v>
      </c>
      <c r="AC601">
        <v>168.988</v>
      </c>
      <c r="AD601">
        <v>12.611884999999999</v>
      </c>
      <c r="AE601">
        <v>-3.78219999999998</v>
      </c>
      <c r="AF601">
        <v>3.6543447850894699</v>
      </c>
      <c r="AG601">
        <v>12.611884999999999</v>
      </c>
      <c r="AH601">
        <v>168.05479043909699</v>
      </c>
      <c r="AI601">
        <v>85.709221017571593</v>
      </c>
      <c r="AJ601">
        <v>88.754301851174205</v>
      </c>
      <c r="AK601">
        <v>168.56697917620201</v>
      </c>
      <c r="AL601">
        <v>88.467315629146796</v>
      </c>
      <c r="AM601">
        <v>88.744230975074402</v>
      </c>
      <c r="AN601">
        <v>1.0000000589150599</v>
      </c>
    </row>
    <row r="602" spans="1:40" x14ac:dyDescent="0.25">
      <c r="A602" t="str">
        <f>"20190312160920501"</f>
        <v>20190312160920501</v>
      </c>
      <c r="B602" t="str">
        <f>"1552378160495740"</f>
        <v>1552378160495740</v>
      </c>
      <c r="C602" t="s">
        <v>40</v>
      </c>
      <c r="D602">
        <v>5.7589180000000004</v>
      </c>
      <c r="E602">
        <v>0.48487849999999999</v>
      </c>
      <c r="F602" t="s">
        <v>44</v>
      </c>
      <c r="G602">
        <v>-168.84350000000001</v>
      </c>
      <c r="H602">
        <v>11.704969999999999</v>
      </c>
      <c r="I602">
        <v>370.38010000000003</v>
      </c>
      <c r="J602">
        <v>-338.87650000000002</v>
      </c>
      <c r="K602">
        <v>1.109456</v>
      </c>
      <c r="L602">
        <v>368.16230000000002</v>
      </c>
      <c r="M602">
        <v>0.99997530000000001</v>
      </c>
      <c r="N602">
        <v>0</v>
      </c>
      <c r="O602">
        <v>-6.0114489999999897E-4</v>
      </c>
      <c r="P602">
        <v>0.99954889999999996</v>
      </c>
      <c r="Q602">
        <v>1.975675E-2</v>
      </c>
      <c r="R602">
        <v>-2.2623500000000001E-2</v>
      </c>
      <c r="S602">
        <v>2.998535</v>
      </c>
      <c r="T602">
        <v>0.18663360000000001</v>
      </c>
      <c r="U602">
        <v>3.90625E-2</v>
      </c>
      <c r="V602">
        <v>2.2020580000000001E-2</v>
      </c>
      <c r="W602">
        <v>2.676388E-2</v>
      </c>
      <c r="X602">
        <v>0.99939920000000004</v>
      </c>
      <c r="Y602">
        <v>-1.3599719999999999E-2</v>
      </c>
      <c r="Z602">
        <v>-4.6018639999999999E-4</v>
      </c>
      <c r="AA602">
        <v>0.9999074</v>
      </c>
      <c r="AB602">
        <v>31</v>
      </c>
      <c r="AC602">
        <v>170.03299999999999</v>
      </c>
      <c r="AD602">
        <v>10.595514</v>
      </c>
      <c r="AE602">
        <v>2.2178000000000102</v>
      </c>
      <c r="AF602">
        <v>-2.3110441070667598</v>
      </c>
      <c r="AG602">
        <v>10.595514</v>
      </c>
      <c r="AH602">
        <v>169.37405295204701</v>
      </c>
      <c r="AI602">
        <v>86.420751065131398</v>
      </c>
      <c r="AJ602">
        <v>90.781730464929296</v>
      </c>
      <c r="AK602">
        <v>169.720875720083</v>
      </c>
      <c r="AL602">
        <v>88.466359481629596</v>
      </c>
      <c r="AM602">
        <v>88.737759468331504</v>
      </c>
      <c r="AN602">
        <v>0.999999986088415</v>
      </c>
    </row>
    <row r="603" spans="1:40" x14ac:dyDescent="0.25">
      <c r="A603" t="str">
        <f>"20190312160920522"</f>
        <v>20190312160920522</v>
      </c>
      <c r="B603" t="str">
        <f>"1552378160515260"</f>
        <v>1552378160515260</v>
      </c>
      <c r="C603" t="s">
        <v>40</v>
      </c>
      <c r="D603">
        <v>5.6725909999999997</v>
      </c>
      <c r="E603">
        <v>0.48351860000000002</v>
      </c>
      <c r="F603" t="s">
        <v>44</v>
      </c>
      <c r="G603">
        <v>-168.84350000000001</v>
      </c>
      <c r="H603">
        <v>11.27233</v>
      </c>
      <c r="I603">
        <v>371.19540000000001</v>
      </c>
      <c r="J603">
        <v>-338.59750000000003</v>
      </c>
      <c r="K603">
        <v>1.109453</v>
      </c>
      <c r="L603">
        <v>368.16210000000001</v>
      </c>
      <c r="M603">
        <v>0.99997539999999996</v>
      </c>
      <c r="N603">
        <v>0</v>
      </c>
      <c r="O603">
        <v>-5.52401E-4</v>
      </c>
      <c r="P603">
        <v>0.9995444</v>
      </c>
      <c r="Q603">
        <v>1.9715670000000001E-2</v>
      </c>
      <c r="R603">
        <v>-2.285951E-2</v>
      </c>
      <c r="S603">
        <v>2.9990230000000002</v>
      </c>
      <c r="T603">
        <v>0.1792532</v>
      </c>
      <c r="U603">
        <v>5.3497309999999999E-2</v>
      </c>
      <c r="V603">
        <v>2.2305370000000001E-2</v>
      </c>
      <c r="W603">
        <v>2.6726699999999999E-2</v>
      </c>
      <c r="X603">
        <v>0.99939389999999995</v>
      </c>
      <c r="Y603">
        <v>-1.8353999999999999E-2</v>
      </c>
      <c r="Z603">
        <v>-5.8096760000000004E-4</v>
      </c>
      <c r="AA603">
        <v>0.99983140000000004</v>
      </c>
      <c r="AB603">
        <v>31</v>
      </c>
      <c r="AC603">
        <v>169.75399999999999</v>
      </c>
      <c r="AD603">
        <v>10.162877</v>
      </c>
      <c r="AE603">
        <v>3.0332999999999899</v>
      </c>
      <c r="AF603">
        <v>-3.1159096031173199</v>
      </c>
      <c r="AG603">
        <v>10.162877</v>
      </c>
      <c r="AH603">
        <v>169.14623653689301</v>
      </c>
      <c r="AI603">
        <v>86.562191537853394</v>
      </c>
      <c r="AJ603">
        <v>91.055348809141606</v>
      </c>
      <c r="AK603">
        <v>169.47991708803301</v>
      </c>
      <c r="AL603">
        <v>88.468490532608101</v>
      </c>
      <c r="AM603">
        <v>88.721433641379093</v>
      </c>
      <c r="AN603">
        <v>1.00000000669046</v>
      </c>
    </row>
    <row r="604" spans="1:40" x14ac:dyDescent="0.25">
      <c r="A604" t="str">
        <f>"20190312160920545"</f>
        <v>20190312160920545</v>
      </c>
      <c r="B604" t="str">
        <f>"1552378160535772"</f>
        <v>1552378160535772</v>
      </c>
      <c r="C604" t="s">
        <v>40</v>
      </c>
      <c r="D604">
        <v>5.8734080000000004</v>
      </c>
      <c r="E604">
        <v>0.48157440000000001</v>
      </c>
      <c r="F604" t="s">
        <v>44</v>
      </c>
      <c r="G604">
        <v>-168.84350000000001</v>
      </c>
      <c r="H604">
        <v>10.89828</v>
      </c>
      <c r="I604">
        <v>371.77019999999999</v>
      </c>
      <c r="J604">
        <v>-338.28930000000003</v>
      </c>
      <c r="K604">
        <v>1.10945</v>
      </c>
      <c r="L604">
        <v>368.16199999999998</v>
      </c>
      <c r="M604">
        <v>0.99997530000000001</v>
      </c>
      <c r="N604">
        <v>0</v>
      </c>
      <c r="O604">
        <v>-4.9841640000000003E-4</v>
      </c>
      <c r="P604">
        <v>0.99954140000000002</v>
      </c>
      <c r="Q604">
        <v>1.9511870000000001E-2</v>
      </c>
      <c r="R604">
        <v>-2.3164000000000001E-2</v>
      </c>
      <c r="S604">
        <v>2.9994200000000002</v>
      </c>
      <c r="T604">
        <v>0.17296239999999999</v>
      </c>
      <c r="U604">
        <v>6.3751219999999997E-2</v>
      </c>
      <c r="V604">
        <v>2.2663610000000001E-2</v>
      </c>
      <c r="W604">
        <v>2.6528409999999999E-2</v>
      </c>
      <c r="X604">
        <v>0.99939109999999998</v>
      </c>
      <c r="Y604">
        <v>-2.1711149999999999E-2</v>
      </c>
      <c r="Z604">
        <v>-6.5411470000000004E-4</v>
      </c>
      <c r="AA604">
        <v>0.99976410000000004</v>
      </c>
      <c r="AB604">
        <v>31</v>
      </c>
      <c r="AC604">
        <v>169.44579999999999</v>
      </c>
      <c r="AD604">
        <v>9.7888300000000008</v>
      </c>
      <c r="AE604">
        <v>3.6082000000000001</v>
      </c>
      <c r="AF604">
        <v>-3.6803790976642401</v>
      </c>
      <c r="AG604">
        <v>9.7888300000000008</v>
      </c>
      <c r="AH604">
        <v>168.88062455311299</v>
      </c>
      <c r="AI604">
        <v>86.683461395203494</v>
      </c>
      <c r="AJ604">
        <v>91.248436976299203</v>
      </c>
      <c r="AK604">
        <v>169.204112634773</v>
      </c>
      <c r="AL604">
        <v>88.479855706873195</v>
      </c>
      <c r="AM604">
        <v>88.700902305394095</v>
      </c>
      <c r="AN604">
        <v>0.99999998325728401</v>
      </c>
    </row>
    <row r="605" spans="1:40" x14ac:dyDescent="0.25">
      <c r="A605" t="str">
        <f>"20190312160920567"</f>
        <v>20190312160920567</v>
      </c>
      <c r="B605" t="str">
        <f>"1552378160555276"</f>
        <v>1552378160555276</v>
      </c>
      <c r="C605" t="s">
        <v>40</v>
      </c>
      <c r="D605">
        <v>5.8321489999999896</v>
      </c>
      <c r="E605">
        <v>0.48007260000000002</v>
      </c>
      <c r="F605" t="s">
        <v>44</v>
      </c>
      <c r="G605">
        <v>-168.84350000000001</v>
      </c>
      <c r="H605">
        <v>10.23785</v>
      </c>
      <c r="I605">
        <v>372.58499999999998</v>
      </c>
      <c r="J605">
        <v>-337.97469999999998</v>
      </c>
      <c r="K605">
        <v>1.1094440000000001</v>
      </c>
      <c r="L605">
        <v>368.1619</v>
      </c>
      <c r="M605">
        <v>0.99997530000000001</v>
      </c>
      <c r="N605">
        <v>0</v>
      </c>
      <c r="O605">
        <v>-4.4276869999999998E-4</v>
      </c>
      <c r="P605">
        <v>0.99954639999999995</v>
      </c>
      <c r="Q605">
        <v>1.98896E-2</v>
      </c>
      <c r="R605">
        <v>-2.2616790000000001E-2</v>
      </c>
      <c r="S605">
        <v>3.0000309999999999</v>
      </c>
      <c r="T605">
        <v>0.1616194</v>
      </c>
      <c r="U605">
        <v>7.830811E-2</v>
      </c>
      <c r="V605">
        <v>2.2172109999999998E-2</v>
      </c>
      <c r="W605">
        <v>2.6912129999999999E-2</v>
      </c>
      <c r="X605">
        <v>0.9993919</v>
      </c>
      <c r="Y605">
        <v>-2.6497139999999999E-2</v>
      </c>
      <c r="Z605">
        <v>-7.3692910000000003E-4</v>
      </c>
      <c r="AA605">
        <v>0.9996486</v>
      </c>
      <c r="AB605">
        <v>31</v>
      </c>
      <c r="AC605">
        <v>169.13119999999901</v>
      </c>
      <c r="AD605">
        <v>9.128406</v>
      </c>
      <c r="AE605">
        <v>4.4230999999999696</v>
      </c>
      <c r="AF605">
        <v>-4.4849316748115404</v>
      </c>
      <c r="AG605">
        <v>9.128406</v>
      </c>
      <c r="AH605">
        <v>168.638315087802</v>
      </c>
      <c r="AI605">
        <v>86.902691534246699</v>
      </c>
      <c r="AJ605">
        <v>91.523420689748704</v>
      </c>
      <c r="AK605">
        <v>168.94473570928901</v>
      </c>
      <c r="AL605">
        <v>88.457862369922495</v>
      </c>
      <c r="AM605">
        <v>88.729067183799401</v>
      </c>
      <c r="AN605">
        <v>1.00000001749429</v>
      </c>
    </row>
    <row r="606" spans="1:40" x14ac:dyDescent="0.25">
      <c r="A606" t="str">
        <f>"20190312160920588"</f>
        <v>20190312160920588</v>
      </c>
      <c r="B606" t="str">
        <f>"1552378160585533"</f>
        <v>1552378160585533</v>
      </c>
      <c r="C606" t="s">
        <v>40</v>
      </c>
      <c r="D606">
        <v>5.7464469999999999</v>
      </c>
      <c r="E606">
        <v>0.47860599999999998</v>
      </c>
      <c r="F606" t="s">
        <v>44</v>
      </c>
      <c r="G606">
        <v>-168.84350000000001</v>
      </c>
      <c r="H606">
        <v>9.8424219999999991</v>
      </c>
      <c r="I606">
        <v>373.34859999999998</v>
      </c>
      <c r="J606">
        <v>-337.67410000000001</v>
      </c>
      <c r="K606">
        <v>1.1094409999999999</v>
      </c>
      <c r="L606">
        <v>368.16180000000003</v>
      </c>
      <c r="M606">
        <v>0.99997519999999995</v>
      </c>
      <c r="N606">
        <v>0</v>
      </c>
      <c r="O606">
        <v>-3.9045589999999998E-4</v>
      </c>
      <c r="P606">
        <v>0.99955760000000005</v>
      </c>
      <c r="Q606">
        <v>1.9999490000000002E-2</v>
      </c>
      <c r="R606">
        <v>-2.2021280000000001E-2</v>
      </c>
      <c r="S606">
        <v>3.0003359999999999</v>
      </c>
      <c r="T606">
        <v>0.1549219</v>
      </c>
      <c r="U606">
        <v>9.2010499999999995E-2</v>
      </c>
      <c r="V606">
        <v>2.1628720000000001E-2</v>
      </c>
      <c r="W606">
        <v>2.702891E-2</v>
      </c>
      <c r="X606">
        <v>0.99940059999999997</v>
      </c>
      <c r="Y606">
        <v>-3.100083E-2</v>
      </c>
      <c r="Z606">
        <v>-8.1978490000000003E-4</v>
      </c>
      <c r="AA606">
        <v>0.99951909999999999</v>
      </c>
      <c r="AB606">
        <v>31</v>
      </c>
      <c r="AC606">
        <v>168.8306</v>
      </c>
      <c r="AD606">
        <v>8.7329810000000005</v>
      </c>
      <c r="AE606">
        <v>5.1867999999999403</v>
      </c>
      <c r="AF606">
        <v>-5.2387185910075296</v>
      </c>
      <c r="AG606">
        <v>8.7329810000000005</v>
      </c>
      <c r="AH606">
        <v>168.37847166361399</v>
      </c>
      <c r="AI606">
        <v>87.032437334232</v>
      </c>
      <c r="AJ606">
        <v>91.782054841771696</v>
      </c>
      <c r="AK606">
        <v>168.68615488354899</v>
      </c>
      <c r="AL606">
        <v>88.451168847115397</v>
      </c>
      <c r="AM606">
        <v>88.760215917240998</v>
      </c>
      <c r="AN606">
        <v>0.99999996139249203</v>
      </c>
    </row>
    <row r="607" spans="1:40" x14ac:dyDescent="0.25">
      <c r="A607" t="str">
        <f>"20190312160920611"</f>
        <v>20190312160920611</v>
      </c>
      <c r="B607" t="str">
        <f>"1552378160606028"</f>
        <v>1552378160606028</v>
      </c>
      <c r="C607" t="s">
        <v>40</v>
      </c>
      <c r="D607">
        <v>6.1399100000000004</v>
      </c>
      <c r="E607">
        <v>0.47788770000000003</v>
      </c>
      <c r="F607" t="s">
        <v>44</v>
      </c>
      <c r="G607">
        <v>-168.84350000000001</v>
      </c>
      <c r="H607">
        <v>9.4643139999999999</v>
      </c>
      <c r="I607">
        <v>374.08909999999997</v>
      </c>
      <c r="J607">
        <v>-337.3442</v>
      </c>
      <c r="K607">
        <v>1.109442</v>
      </c>
      <c r="L607">
        <v>368.16180000000003</v>
      </c>
      <c r="M607">
        <v>0.99997519999999995</v>
      </c>
      <c r="N607">
        <v>0</v>
      </c>
      <c r="O607">
        <v>-3.3278350000000002E-4</v>
      </c>
      <c r="P607">
        <v>0.99956840000000002</v>
      </c>
      <c r="Q607">
        <v>2.0190090000000001E-2</v>
      </c>
      <c r="R607">
        <v>-2.1343250000000001E-2</v>
      </c>
      <c r="S607">
        <v>3.0006710000000001</v>
      </c>
      <c r="T607">
        <v>0.14849479999999901</v>
      </c>
      <c r="U607">
        <v>0.1053467</v>
      </c>
      <c r="V607">
        <v>2.100846E-2</v>
      </c>
      <c r="W607">
        <v>2.7227680000000001E-2</v>
      </c>
      <c r="X607">
        <v>0.99940850000000003</v>
      </c>
      <c r="Y607">
        <v>-3.5375030000000002E-2</v>
      </c>
      <c r="Z607">
        <v>-8.9095539999999897E-4</v>
      </c>
      <c r="AA607">
        <v>0.99937370000000003</v>
      </c>
      <c r="AB607">
        <v>31</v>
      </c>
      <c r="AC607">
        <v>168.50069999999999</v>
      </c>
      <c r="AD607">
        <v>8.3548720000000003</v>
      </c>
      <c r="AE607">
        <v>5.9272999999999403</v>
      </c>
      <c r="AF607">
        <v>-5.9687191498427898</v>
      </c>
      <c r="AG607">
        <v>8.3548720000000003</v>
      </c>
      <c r="AH607">
        <v>168.08598375893101</v>
      </c>
      <c r="AI607">
        <v>87.1561907874529</v>
      </c>
      <c r="AJ607">
        <v>92.033713793460393</v>
      </c>
      <c r="AK607">
        <v>168.399309471962</v>
      </c>
      <c r="AL607">
        <v>88.439776072217995</v>
      </c>
      <c r="AM607">
        <v>88.795768853815304</v>
      </c>
      <c r="AN607">
        <v>1.000000025911</v>
      </c>
    </row>
    <row r="608" spans="1:40" x14ac:dyDescent="0.25">
      <c r="A608" t="str">
        <f>"20190312160920625"</f>
        <v>20190312160920625</v>
      </c>
      <c r="B608" t="str">
        <f>"1552378160615788"</f>
        <v>1552378160615788</v>
      </c>
      <c r="C608" t="s">
        <v>40</v>
      </c>
      <c r="D608">
        <v>6.1327489999999996</v>
      </c>
      <c r="E608">
        <v>0.47765999999999997</v>
      </c>
      <c r="F608" t="s">
        <v>44</v>
      </c>
      <c r="G608">
        <v>-168.84350000000001</v>
      </c>
      <c r="H608">
        <v>9.4185300000000005</v>
      </c>
      <c r="I608">
        <v>374.50920000000002</v>
      </c>
      <c r="J608">
        <v>-337.1574</v>
      </c>
      <c r="K608">
        <v>1.1094360000000001</v>
      </c>
      <c r="L608">
        <v>368.1617</v>
      </c>
      <c r="M608">
        <v>0.99997530000000001</v>
      </c>
      <c r="N608">
        <v>0</v>
      </c>
      <c r="O608">
        <v>-3.00611E-4</v>
      </c>
      <c r="P608">
        <v>0.99957600000000002</v>
      </c>
      <c r="Q608">
        <v>2.0118939999999998E-2</v>
      </c>
      <c r="R608">
        <v>-2.1057989999999999E-2</v>
      </c>
      <c r="S608">
        <v>3.0007320000000002</v>
      </c>
      <c r="T608">
        <v>0.1479733</v>
      </c>
      <c r="U608">
        <v>0.1130371</v>
      </c>
      <c r="V608">
        <v>2.0755300000000001E-2</v>
      </c>
      <c r="W608">
        <v>2.7161419999999999E-2</v>
      </c>
      <c r="X608">
        <v>0.99941559999999896</v>
      </c>
      <c r="Y608">
        <v>-3.7897189999999997E-2</v>
      </c>
      <c r="Z608">
        <v>-9.483127E-4</v>
      </c>
      <c r="AA608">
        <v>0.99928119999999998</v>
      </c>
      <c r="AB608">
        <v>31</v>
      </c>
      <c r="AC608">
        <v>168.31389999999999</v>
      </c>
      <c r="AD608">
        <v>8.309094</v>
      </c>
      <c r="AE608">
        <v>6.3475000000000197</v>
      </c>
      <c r="AF608">
        <v>-6.3825653251693399</v>
      </c>
      <c r="AG608">
        <v>8.309094</v>
      </c>
      <c r="AH608">
        <v>167.903373666183</v>
      </c>
      <c r="AI608">
        <v>87.168936012636607</v>
      </c>
      <c r="AJ608">
        <v>92.176954851962293</v>
      </c>
      <c r="AK608">
        <v>168.22996484490201</v>
      </c>
      <c r="AL608">
        <v>88.443573906668803</v>
      </c>
      <c r="AM608">
        <v>88.810284554195107</v>
      </c>
      <c r="AN608">
        <v>1.0000000333689301</v>
      </c>
    </row>
    <row r="609" spans="1:40" x14ac:dyDescent="0.25">
      <c r="A609" t="str">
        <f>"20190312160920645"</f>
        <v>20190312160920645</v>
      </c>
      <c r="B609" t="str">
        <f>"1552378160635312"</f>
        <v>1552378160635312</v>
      </c>
      <c r="C609" t="s">
        <v>40</v>
      </c>
      <c r="D609">
        <v>5.7391350000000001</v>
      </c>
      <c r="E609">
        <v>0.47713309999999998</v>
      </c>
      <c r="F609" t="s">
        <v>44</v>
      </c>
      <c r="G609">
        <v>-168.84350000000001</v>
      </c>
      <c r="H609">
        <v>9.3939129999999995</v>
      </c>
      <c r="I609">
        <v>374.64760000000001</v>
      </c>
      <c r="J609">
        <v>-336.88380000000001</v>
      </c>
      <c r="K609">
        <v>1.109437</v>
      </c>
      <c r="L609">
        <v>368.1617</v>
      </c>
      <c r="M609">
        <v>0.99997510000000001</v>
      </c>
      <c r="N609">
        <v>0</v>
      </c>
      <c r="O609">
        <v>-2.5283210000000001E-4</v>
      </c>
      <c r="P609">
        <v>0.9995773</v>
      </c>
      <c r="Q609">
        <v>2.0471779999999998E-2</v>
      </c>
      <c r="R609">
        <v>-2.0653930000000001E-2</v>
      </c>
      <c r="S609">
        <v>3.0007630000000001</v>
      </c>
      <c r="T609">
        <v>0.1477002</v>
      </c>
      <c r="U609">
        <v>0.1156311</v>
      </c>
      <c r="V609">
        <v>2.039881E-2</v>
      </c>
      <c r="W609">
        <v>2.7521299999999999E-2</v>
      </c>
      <c r="X609">
        <v>0.99941310000000005</v>
      </c>
      <c r="Y609">
        <v>-3.8710880000000003E-2</v>
      </c>
      <c r="Z609">
        <v>-9.641958E-4</v>
      </c>
      <c r="AA609">
        <v>0.99924999999999997</v>
      </c>
      <c r="AB609">
        <v>31</v>
      </c>
      <c r="AC609">
        <v>168.0403</v>
      </c>
      <c r="AD609">
        <v>8.2844759999999997</v>
      </c>
      <c r="AE609">
        <v>6.4859000000000098</v>
      </c>
      <c r="AF609">
        <v>-6.5125812729690997</v>
      </c>
      <c r="AG609">
        <v>8.2844759999999997</v>
      </c>
      <c r="AH609">
        <v>167.63182457178701</v>
      </c>
      <c r="AI609">
        <v>87.172835822640096</v>
      </c>
      <c r="AJ609">
        <v>92.224851130244303</v>
      </c>
      <c r="AK609">
        <v>167.96271868095599</v>
      </c>
      <c r="AL609">
        <v>88.422946599466599</v>
      </c>
      <c r="AM609">
        <v>88.830710285941294</v>
      </c>
      <c r="AN609">
        <v>1.00000003892735</v>
      </c>
    </row>
    <row r="610" spans="1:40" x14ac:dyDescent="0.25">
      <c r="A610" t="str">
        <f>"20190312160920667"</f>
        <v>20190312160920667</v>
      </c>
      <c r="B610" t="str">
        <f>"1552378160655804"</f>
        <v>1552378160655804</v>
      </c>
      <c r="C610" t="s">
        <v>40</v>
      </c>
      <c r="D610">
        <v>5.6975610000000003</v>
      </c>
      <c r="E610">
        <v>0.47678799999999999</v>
      </c>
      <c r="F610" t="s">
        <v>44</v>
      </c>
      <c r="G610">
        <v>-168.84350000000001</v>
      </c>
      <c r="H610">
        <v>9.4418600000000001</v>
      </c>
      <c r="I610">
        <v>374.94470000000001</v>
      </c>
      <c r="J610">
        <v>-336.56849999999997</v>
      </c>
      <c r="K610">
        <v>1.109437</v>
      </c>
      <c r="L610">
        <v>368.1617</v>
      </c>
      <c r="M610">
        <v>0.99997499999999995</v>
      </c>
      <c r="N610">
        <v>0</v>
      </c>
      <c r="O610">
        <v>-1.9743199999999999E-4</v>
      </c>
      <c r="P610">
        <v>0.99959149999999997</v>
      </c>
      <c r="Q610">
        <v>2.0543349999999998E-2</v>
      </c>
      <c r="R610">
        <v>-1.986839E-2</v>
      </c>
      <c r="S610">
        <v>3.0007320000000002</v>
      </c>
      <c r="T610">
        <v>0.14879539999999999</v>
      </c>
      <c r="U610">
        <v>0.1211243</v>
      </c>
      <c r="V610">
        <v>1.966884E-2</v>
      </c>
      <c r="W610">
        <v>2.7601850000000001E-2</v>
      </c>
      <c r="X610">
        <v>0.99942549999999997</v>
      </c>
      <c r="Y610">
        <v>-4.0479439999999998E-2</v>
      </c>
      <c r="Z610">
        <v>-1.012371E-3</v>
      </c>
      <c r="AA610">
        <v>0.99917979999999995</v>
      </c>
      <c r="AB610">
        <v>32</v>
      </c>
      <c r="AC610">
        <v>167.724999999999</v>
      </c>
      <c r="AD610">
        <v>8.3324230000000004</v>
      </c>
      <c r="AE610">
        <v>6.7830000000000101</v>
      </c>
      <c r="AF610">
        <v>-6.7993614813436896</v>
      </c>
      <c r="AG610">
        <v>8.3324230000000004</v>
      </c>
      <c r="AH610">
        <v>167.311405431981</v>
      </c>
      <c r="AI610">
        <v>87.151265388873895</v>
      </c>
      <c r="AJ610">
        <v>92.327160323529895</v>
      </c>
      <c r="AK610">
        <v>167.65669380382499</v>
      </c>
      <c r="AL610">
        <v>88.418329652938993</v>
      </c>
      <c r="AM610">
        <v>88.872556221044306</v>
      </c>
      <c r="AN610">
        <v>1.0000000277203001</v>
      </c>
    </row>
    <row r="611" spans="1:40" x14ac:dyDescent="0.25">
      <c r="A611" t="str">
        <f>"20190312160920680"</f>
        <v>20190312160920680</v>
      </c>
      <c r="B611" t="str">
        <f>"1552378160675324"</f>
        <v>1552378160675324</v>
      </c>
      <c r="C611" t="s">
        <v>40</v>
      </c>
      <c r="D611">
        <v>5.6690750000000003</v>
      </c>
      <c r="E611">
        <v>0.48037930000000001</v>
      </c>
      <c r="F611" t="s">
        <v>44</v>
      </c>
      <c r="G611">
        <v>-168.84350000000001</v>
      </c>
      <c r="H611">
        <v>9.4421999999999997</v>
      </c>
      <c r="I611">
        <v>375.22030000000001</v>
      </c>
      <c r="J611">
        <v>-336.37990000000002</v>
      </c>
      <c r="K611">
        <v>1.109434</v>
      </c>
      <c r="L611">
        <v>368.1617</v>
      </c>
      <c r="M611">
        <v>0.99997519999999995</v>
      </c>
      <c r="N611">
        <v>0</v>
      </c>
      <c r="O611">
        <v>-1.6454880000000001E-4</v>
      </c>
      <c r="P611">
        <v>0.99958340000000001</v>
      </c>
      <c r="Q611">
        <v>2.0998409999999999E-2</v>
      </c>
      <c r="R611">
        <v>-1.9809279999999999E-2</v>
      </c>
      <c r="S611">
        <v>3.0006710000000001</v>
      </c>
      <c r="T611">
        <v>0.14907809999999999</v>
      </c>
      <c r="U611">
        <v>0.1262817</v>
      </c>
      <c r="V611">
        <v>1.964258E-2</v>
      </c>
      <c r="W611">
        <v>2.8062299999999998E-2</v>
      </c>
      <c r="X611">
        <v>0.9994132</v>
      </c>
      <c r="Y611">
        <v>-4.215957E-2</v>
      </c>
      <c r="Z611">
        <v>-1.0543359999999999E-3</v>
      </c>
      <c r="AA611">
        <v>0.99911030000000001</v>
      </c>
      <c r="AB611">
        <v>32</v>
      </c>
      <c r="AC611">
        <v>167.53639999999999</v>
      </c>
      <c r="AD611">
        <v>8.3327659999999995</v>
      </c>
      <c r="AE611">
        <v>7.05860000000001</v>
      </c>
      <c r="AF611">
        <v>-7.0687130877712203</v>
      </c>
      <c r="AG611">
        <v>8.3327659999999995</v>
      </c>
      <c r="AH611">
        <v>167.12254537821099</v>
      </c>
      <c r="AI611">
        <v>87.148129607046101</v>
      </c>
      <c r="AJ611">
        <v>92.421972241575205</v>
      </c>
      <c r="AK611">
        <v>167.47939236700199</v>
      </c>
      <c r="AL611">
        <v>88.391937597883498</v>
      </c>
      <c r="AM611">
        <v>88.874047237413293</v>
      </c>
      <c r="AN611">
        <v>1.0000000339822901</v>
      </c>
    </row>
    <row r="612" spans="1:40" x14ac:dyDescent="0.25">
      <c r="A612" t="str">
        <f>"20190312160920701"</f>
        <v>20190312160920701</v>
      </c>
      <c r="B612" t="str">
        <f>"1552378160695820"</f>
        <v>1552378160695820</v>
      </c>
      <c r="C612" t="s">
        <v>40</v>
      </c>
      <c r="D612">
        <v>5.7842279999999997</v>
      </c>
      <c r="E612">
        <v>0.47816750000000002</v>
      </c>
      <c r="F612" t="s">
        <v>43</v>
      </c>
      <c r="G612">
        <v>-317.26799999999997</v>
      </c>
      <c r="H612">
        <v>-0.05</v>
      </c>
      <c r="I612">
        <v>368.76029999999997</v>
      </c>
      <c r="J612">
        <v>-336.07979999999998</v>
      </c>
      <c r="K612">
        <v>1.1094389999999901</v>
      </c>
      <c r="L612">
        <v>368.1617</v>
      </c>
      <c r="M612">
        <v>0.99997499999999995</v>
      </c>
      <c r="N612">
        <v>0</v>
      </c>
      <c r="O612">
        <v>-1.118887E-4</v>
      </c>
      <c r="P612">
        <v>0.99957309999999999</v>
      </c>
      <c r="Q612">
        <v>2.1589110000000002E-2</v>
      </c>
      <c r="R612">
        <v>-1.969893E-2</v>
      </c>
      <c r="S612">
        <v>3.006958</v>
      </c>
      <c r="T612">
        <v>-0.18241879999999999</v>
      </c>
      <c r="U612">
        <v>9.4177250000000004E-2</v>
      </c>
      <c r="V612">
        <v>1.9584830000000001E-2</v>
      </c>
      <c r="W612">
        <v>2.866192E-2</v>
      </c>
      <c r="X612">
        <v>0.99939730000000004</v>
      </c>
      <c r="Y612">
        <v>-3.1358459999999998E-2</v>
      </c>
      <c r="Z612">
        <v>9.5686350000000002E-4</v>
      </c>
      <c r="AA612">
        <v>0.9995077</v>
      </c>
      <c r="AB612">
        <v>32</v>
      </c>
      <c r="AC612">
        <v>18.811800000000002</v>
      </c>
      <c r="AD612">
        <v>-1.1594390000000001</v>
      </c>
      <c r="AE612">
        <v>0.59859999999997604</v>
      </c>
      <c r="AF612">
        <v>-0.59843390472819302</v>
      </c>
      <c r="AG612">
        <v>-1.1594390000000001</v>
      </c>
      <c r="AH612">
        <v>18.740614922467799</v>
      </c>
      <c r="AI612">
        <v>93.538447589572499</v>
      </c>
      <c r="AJ612">
        <v>91.828973602538198</v>
      </c>
      <c r="AK612">
        <v>18.785980666584098</v>
      </c>
      <c r="AL612">
        <v>88.357568049349396</v>
      </c>
      <c r="AM612">
        <v>88.877338880568601</v>
      </c>
      <c r="AN612">
        <v>1.0000000172357499</v>
      </c>
    </row>
    <row r="613" spans="1:40" x14ac:dyDescent="0.25">
      <c r="A613" t="str">
        <f>"20190312160920725"</f>
        <v>20190312160920725</v>
      </c>
      <c r="B613" t="str">
        <f>"1552378160715553"</f>
        <v>1552378160715553</v>
      </c>
      <c r="C613" t="s">
        <v>40</v>
      </c>
      <c r="D613">
        <v>6.0620279999999998</v>
      </c>
      <c r="E613">
        <v>0.47666910000000001</v>
      </c>
      <c r="F613" t="s">
        <v>43</v>
      </c>
      <c r="G613">
        <v>-312.17180000000002</v>
      </c>
      <c r="H613">
        <v>-0.05</v>
      </c>
      <c r="I613">
        <v>369.0607</v>
      </c>
      <c r="J613">
        <v>-335.74979999999999</v>
      </c>
      <c r="K613">
        <v>1.1094440000000001</v>
      </c>
      <c r="L613">
        <v>368.1617</v>
      </c>
      <c r="M613">
        <v>0.99997499999999995</v>
      </c>
      <c r="N613">
        <v>0</v>
      </c>
      <c r="O613" s="1">
        <v>-5.3971570000000001E-5</v>
      </c>
      <c r="P613">
        <v>0.99956880000000004</v>
      </c>
      <c r="Q613">
        <v>2.1715249999999998E-2</v>
      </c>
      <c r="R613">
        <v>-1.9766499999999999E-2</v>
      </c>
      <c r="S613">
        <v>3.006653</v>
      </c>
      <c r="T613">
        <v>-0.1458102</v>
      </c>
      <c r="U613">
        <v>0.1130676</v>
      </c>
      <c r="V613">
        <v>1.9710109999999999E-2</v>
      </c>
      <c r="W613">
        <v>2.8793949999999999E-2</v>
      </c>
      <c r="X613">
        <v>0.99939100000000003</v>
      </c>
      <c r="Y613">
        <v>-3.7589009999999999E-2</v>
      </c>
      <c r="Z613">
        <v>9.1321450000000004E-4</v>
      </c>
      <c r="AA613">
        <v>0.99929290000000004</v>
      </c>
      <c r="AB613">
        <v>32</v>
      </c>
      <c r="AC613">
        <v>23.5779999999999</v>
      </c>
      <c r="AD613">
        <v>-1.1594439999999999</v>
      </c>
      <c r="AE613">
        <v>0.89900000000000002</v>
      </c>
      <c r="AF613">
        <v>-0.89810396285510397</v>
      </c>
      <c r="AG613">
        <v>-1.1594439999999999</v>
      </c>
      <c r="AH613">
        <v>23.5211560167565</v>
      </c>
      <c r="AI613">
        <v>92.819983159019799</v>
      </c>
      <c r="AJ613">
        <v>92.186651936626404</v>
      </c>
      <c r="AK613">
        <v>23.566834354274899</v>
      </c>
      <c r="AL613">
        <v>88.350000095207406</v>
      </c>
      <c r="AM613">
        <v>88.870152190857397</v>
      </c>
      <c r="AN613">
        <v>0.999999975436907</v>
      </c>
    </row>
    <row r="614" spans="1:40" x14ac:dyDescent="0.25">
      <c r="A614" t="str">
        <f>"20190312160920746"</f>
        <v>20190312160920746</v>
      </c>
      <c r="B614" t="str">
        <f>"1552378160736049"</f>
        <v>1552378160736049</v>
      </c>
      <c r="C614" t="s">
        <v>40</v>
      </c>
      <c r="D614">
        <v>5.7213070000000004</v>
      </c>
      <c r="E614">
        <v>0.47656480000000001</v>
      </c>
      <c r="F614" t="s">
        <v>43</v>
      </c>
      <c r="G614">
        <v>-298.76029999999997</v>
      </c>
      <c r="H614">
        <v>-0.05</v>
      </c>
      <c r="I614">
        <v>369.69959999999998</v>
      </c>
      <c r="J614">
        <v>-335.43990000000002</v>
      </c>
      <c r="K614">
        <v>1.109437</v>
      </c>
      <c r="L614">
        <v>368.1617</v>
      </c>
      <c r="M614">
        <v>0.99997510000000001</v>
      </c>
      <c r="N614">
        <v>0</v>
      </c>
      <c r="O614" s="1">
        <v>8.4977729999999995E-8</v>
      </c>
      <c r="P614">
        <v>0.99957810000000002</v>
      </c>
      <c r="Q614">
        <v>2.1419460000000001E-2</v>
      </c>
      <c r="R614">
        <v>-1.9624510000000001E-2</v>
      </c>
      <c r="S614">
        <v>3.0058289999999999</v>
      </c>
      <c r="T614">
        <v>-9.4218129999999997E-2</v>
      </c>
      <c r="U614">
        <v>0.1249695</v>
      </c>
      <c r="V614">
        <v>1.9622219999999999E-2</v>
      </c>
      <c r="W614">
        <v>2.8499859999999998E-2</v>
      </c>
      <c r="X614">
        <v>0.99940119999999999</v>
      </c>
      <c r="Y614">
        <v>-4.1519380000000002E-2</v>
      </c>
      <c r="Z614">
        <v>6.5027239999999897E-4</v>
      </c>
      <c r="AA614">
        <v>0.99913750000000001</v>
      </c>
      <c r="AB614">
        <v>32</v>
      </c>
      <c r="AC614">
        <v>36.679600000000001</v>
      </c>
      <c r="AD614">
        <v>-1.1594370000000001</v>
      </c>
      <c r="AE614">
        <v>1.5378999999999701</v>
      </c>
      <c r="AF614">
        <v>-1.5363644673012</v>
      </c>
      <c r="AG614">
        <v>-1.1594370000000001</v>
      </c>
      <c r="AH614">
        <v>36.643051260148098</v>
      </c>
      <c r="AI614">
        <v>91.810723515459003</v>
      </c>
      <c r="AJ614">
        <v>92.400882807593007</v>
      </c>
      <c r="AK614">
        <v>36.693567768577601</v>
      </c>
      <c r="AL614">
        <v>88.366857196065496</v>
      </c>
      <c r="AM614">
        <v>88.8752005121233</v>
      </c>
      <c r="AN614">
        <v>1.0000000160495901</v>
      </c>
    </row>
    <row r="615" spans="1:40" x14ac:dyDescent="0.25">
      <c r="A615" t="str">
        <f>"20190312160920770"</f>
        <v>20190312160920770</v>
      </c>
      <c r="B615" t="str">
        <f>"1552378160765329"</f>
        <v>1552378160765329</v>
      </c>
      <c r="C615" t="s">
        <v>40</v>
      </c>
      <c r="D615">
        <v>5.5457890000000001</v>
      </c>
      <c r="E615">
        <v>0.46987030000000002</v>
      </c>
      <c r="F615" t="s">
        <v>43</v>
      </c>
      <c r="G615">
        <v>-294.49029999999999</v>
      </c>
      <c r="H615">
        <v>-0.05</v>
      </c>
      <c r="I615">
        <v>369.88189999999997</v>
      </c>
      <c r="J615">
        <v>-335.11540000000002</v>
      </c>
      <c r="K615">
        <v>1.1094329999999999</v>
      </c>
      <c r="L615">
        <v>368.16180000000003</v>
      </c>
      <c r="M615">
        <v>0.99997499999999995</v>
      </c>
      <c r="N615">
        <v>0</v>
      </c>
      <c r="O615" s="1">
        <v>5.6885319999999902E-5</v>
      </c>
      <c r="P615">
        <v>0.99958990000000003</v>
      </c>
      <c r="Q615">
        <v>2.1085070000000001E-2</v>
      </c>
      <c r="R615">
        <v>-1.9388539999999999E-2</v>
      </c>
      <c r="S615">
        <v>3.0055540000000001</v>
      </c>
      <c r="T615">
        <v>-8.5098510000000002E-2</v>
      </c>
      <c r="U615">
        <v>0.12625120000000001</v>
      </c>
      <c r="V615">
        <v>1.944303E-2</v>
      </c>
      <c r="W615">
        <v>2.816716E-2</v>
      </c>
      <c r="X615">
        <v>0.99941409999999997</v>
      </c>
      <c r="Y615">
        <v>-4.1895389999999998E-2</v>
      </c>
      <c r="Z615">
        <v>5.9111799999999996E-4</v>
      </c>
      <c r="AA615">
        <v>0.99912179999999995</v>
      </c>
      <c r="AB615">
        <v>32</v>
      </c>
      <c r="AC615">
        <v>40.625100000000003</v>
      </c>
      <c r="AD615">
        <v>-1.1594329999999999</v>
      </c>
      <c r="AE615">
        <v>1.72009999999994</v>
      </c>
      <c r="AF615">
        <v>-1.716393430521</v>
      </c>
      <c r="AG615">
        <v>-1.1594329999999999</v>
      </c>
      <c r="AH615">
        <v>40.592193747876401</v>
      </c>
      <c r="AI615">
        <v>91.634632081400298</v>
      </c>
      <c r="AJ615">
        <v>92.421242705238797</v>
      </c>
      <c r="AK615">
        <v>40.645005653277501</v>
      </c>
      <c r="AL615">
        <v>88.385927102496098</v>
      </c>
      <c r="AM615">
        <v>88.885483953947897</v>
      </c>
      <c r="AN615">
        <v>0.99999998179842797</v>
      </c>
    </row>
    <row r="616" spans="1:40" x14ac:dyDescent="0.25">
      <c r="A616" t="str">
        <f>"20190312160920790"</f>
        <v>20190312160920790</v>
      </c>
      <c r="B616" t="str">
        <f>"1552378160785826"</f>
        <v>1552378160785826</v>
      </c>
      <c r="C616" t="s">
        <v>40</v>
      </c>
      <c r="D616">
        <v>5.627084</v>
      </c>
      <c r="E616">
        <v>0.46611649999999999</v>
      </c>
      <c r="F616" t="s">
        <v>41</v>
      </c>
      <c r="G616">
        <v>-252.70699999999999</v>
      </c>
      <c r="H616" s="1">
        <v>-3.9769900000000004E-6</v>
      </c>
      <c r="I616">
        <v>373.12369999999999</v>
      </c>
      <c r="J616">
        <v>-334.80130000000003</v>
      </c>
      <c r="K616">
        <v>1.1094269999999999</v>
      </c>
      <c r="L616">
        <v>368.1619</v>
      </c>
      <c r="M616">
        <v>0.99997499999999995</v>
      </c>
      <c r="N616">
        <v>0</v>
      </c>
      <c r="O616">
        <v>1.1184069999999999E-4</v>
      </c>
      <c r="P616">
        <v>0.99958599999999997</v>
      </c>
      <c r="Q616">
        <v>2.1564630000000001E-2</v>
      </c>
      <c r="R616">
        <v>-1.90507E-2</v>
      </c>
      <c r="S616">
        <v>3.0055540000000001</v>
      </c>
      <c r="T616">
        <v>-4.0462730000000002E-2</v>
      </c>
      <c r="U616">
        <v>0.1809692</v>
      </c>
      <c r="V616">
        <v>1.9160099999999999E-2</v>
      </c>
      <c r="W616">
        <v>2.8647140000000001E-2</v>
      </c>
      <c r="X616">
        <v>0.99940589999999996</v>
      </c>
      <c r="Y616">
        <v>-5.9985709999999998E-2</v>
      </c>
      <c r="Z616">
        <v>4.0189549999999999E-4</v>
      </c>
      <c r="AA616">
        <v>0.99819919999999995</v>
      </c>
      <c r="AB616">
        <v>32</v>
      </c>
      <c r="AC616">
        <v>82.094300000000004</v>
      </c>
      <c r="AD616">
        <v>-1.1094309769899999</v>
      </c>
      <c r="AE616">
        <v>4.9617999999999798</v>
      </c>
      <c r="AF616">
        <v>-4.95171720983185</v>
      </c>
      <c r="AG616">
        <v>-1.1094309769899999</v>
      </c>
      <c r="AH616">
        <v>82.079918652299398</v>
      </c>
      <c r="AI616">
        <v>90.772984503533294</v>
      </c>
      <c r="AJ616">
        <v>93.452355512813497</v>
      </c>
      <c r="AK616">
        <v>82.236630441591799</v>
      </c>
      <c r="AL616">
        <v>88.358415135681199</v>
      </c>
      <c r="AM616">
        <v>88.9016890952567</v>
      </c>
      <c r="AN616">
        <v>0.99999996050849804</v>
      </c>
    </row>
    <row r="617" spans="1:40" x14ac:dyDescent="0.25">
      <c r="A617" t="str">
        <f>"20190312160920813"</f>
        <v>20190312160920813</v>
      </c>
      <c r="B617" t="str">
        <f>"1552378160805348"</f>
        <v>1552378160805348</v>
      </c>
      <c r="C617" t="s">
        <v>40</v>
      </c>
      <c r="D617">
        <v>5.4736409999999998</v>
      </c>
      <c r="E617">
        <v>0.46297850000000002</v>
      </c>
      <c r="F617" t="s">
        <v>46</v>
      </c>
      <c r="G617">
        <v>-197.54329999999999</v>
      </c>
      <c r="H617" s="1">
        <v>-1.0947780000000001E-5</v>
      </c>
      <c r="I617">
        <v>377.84589999999997</v>
      </c>
      <c r="J617">
        <v>-334.47910000000002</v>
      </c>
      <c r="K617">
        <v>1.1094389999999901</v>
      </c>
      <c r="L617">
        <v>368.16199999999998</v>
      </c>
      <c r="M617">
        <v>0.99997499999999995</v>
      </c>
      <c r="N617">
        <v>0</v>
      </c>
      <c r="O617">
        <v>1.6782529999999999E-4</v>
      </c>
      <c r="P617">
        <v>0.99959960000000003</v>
      </c>
      <c r="Q617">
        <v>2.2129260000000001E-2</v>
      </c>
      <c r="R617">
        <v>-1.7634569999999999E-2</v>
      </c>
      <c r="S617">
        <v>3.0057680000000002</v>
      </c>
      <c r="T617">
        <v>-2.4295210000000001E-2</v>
      </c>
      <c r="U617">
        <v>0.2120667</v>
      </c>
      <c r="V617">
        <v>1.7799849999999999E-2</v>
      </c>
      <c r="W617">
        <v>2.9207670000000002E-2</v>
      </c>
      <c r="X617">
        <v>0.99941489999999999</v>
      </c>
      <c r="Y617">
        <v>-7.0208590000000001E-2</v>
      </c>
      <c r="Z617">
        <v>2.8203149999999998E-4</v>
      </c>
      <c r="AA617">
        <v>0.99753230000000004</v>
      </c>
      <c r="AB617">
        <v>32</v>
      </c>
      <c r="AC617">
        <v>136.9358</v>
      </c>
      <c r="AD617">
        <v>-1.1094499477799999</v>
      </c>
      <c r="AE617">
        <v>9.6838999999999906</v>
      </c>
      <c r="AF617">
        <v>-9.6602870332017403</v>
      </c>
      <c r="AG617">
        <v>-1.1094499477799999</v>
      </c>
      <c r="AH617">
        <v>136.92847979174201</v>
      </c>
      <c r="AI617">
        <v>90.463072489339893</v>
      </c>
      <c r="AJ617">
        <v>94.035523587568605</v>
      </c>
      <c r="AK617">
        <v>137.27330622822501</v>
      </c>
      <c r="AL617">
        <v>88.326285805526297</v>
      </c>
      <c r="AM617">
        <v>88.979654529137505</v>
      </c>
      <c r="AN617">
        <v>1.00000003249443</v>
      </c>
    </row>
    <row r="618" spans="1:40" x14ac:dyDescent="0.25">
      <c r="A618" t="str">
        <f>"20190312160920835"</f>
        <v>20190312160920835</v>
      </c>
      <c r="B618" t="str">
        <f>"1552378160825841"</f>
        <v>1552378160825841</v>
      </c>
      <c r="C618" t="s">
        <v>40</v>
      </c>
      <c r="D618">
        <v>5.6492060000000004</v>
      </c>
      <c r="E618">
        <v>0.46061489999999999</v>
      </c>
      <c r="F618" t="s">
        <v>51</v>
      </c>
      <c r="G618">
        <v>-179.95580000000001</v>
      </c>
      <c r="H618">
        <v>1.1683760000000001</v>
      </c>
      <c r="I618">
        <v>380.58080000000001</v>
      </c>
      <c r="J618">
        <v>-334.16269999999997</v>
      </c>
      <c r="K618">
        <v>1.109432</v>
      </c>
      <c r="L618">
        <v>368.16199999999998</v>
      </c>
      <c r="M618">
        <v>0.99997499999999995</v>
      </c>
      <c r="N618">
        <v>0</v>
      </c>
      <c r="O618">
        <v>2.2263200000000001E-4</v>
      </c>
      <c r="P618">
        <v>0.99959589999999998</v>
      </c>
      <c r="Q618">
        <v>2.240644E-2</v>
      </c>
      <c r="R618">
        <v>-1.7498079999999999E-2</v>
      </c>
      <c r="S618">
        <v>3.005493</v>
      </c>
      <c r="T618">
        <v>1.14882E-3</v>
      </c>
      <c r="U618">
        <v>0.2415466</v>
      </c>
      <c r="V618">
        <v>1.77180999999999E-2</v>
      </c>
      <c r="W618">
        <v>2.947696E-2</v>
      </c>
      <c r="X618">
        <v>0.99940839999999997</v>
      </c>
      <c r="Y618">
        <v>-7.9888150000000005E-2</v>
      </c>
      <c r="Z618" s="1">
        <v>-1.515869E-5</v>
      </c>
      <c r="AA618">
        <v>0.99680380000000002</v>
      </c>
      <c r="AB618">
        <v>32</v>
      </c>
      <c r="AC618">
        <v>154.206899999999</v>
      </c>
      <c r="AD618">
        <v>5.89440000000001E-2</v>
      </c>
      <c r="AE618">
        <v>12.418799999999999</v>
      </c>
      <c r="AF618">
        <v>-12.384465646399899</v>
      </c>
      <c r="AG618">
        <v>5.89440000000001E-2</v>
      </c>
      <c r="AH618">
        <v>154.20963868356</v>
      </c>
      <c r="AI618">
        <v>89.978169952320798</v>
      </c>
      <c r="AJ618">
        <v>94.591528795091406</v>
      </c>
      <c r="AK618">
        <v>154.706144437305</v>
      </c>
      <c r="AL618">
        <v>88.310849900817104</v>
      </c>
      <c r="AM618">
        <v>88.984333117613701</v>
      </c>
      <c r="AN618">
        <v>0.99999998611450502</v>
      </c>
    </row>
    <row r="619" spans="1:40" x14ac:dyDescent="0.25">
      <c r="A619" t="str">
        <f>"20190312160920857"</f>
        <v>20190312160920857</v>
      </c>
      <c r="B619" t="str">
        <f>"1552378160845361"</f>
        <v>1552378160845361</v>
      </c>
      <c r="C619" t="s">
        <v>40</v>
      </c>
      <c r="D619">
        <v>5.622134</v>
      </c>
      <c r="E619">
        <v>0.45884140000000001</v>
      </c>
      <c r="F619" t="s">
        <v>44</v>
      </c>
      <c r="G619">
        <v>-169.2955</v>
      </c>
      <c r="H619">
        <v>2.0623990000000001</v>
      </c>
      <c r="I619">
        <v>382.4776</v>
      </c>
      <c r="J619">
        <v>-333.84269999999998</v>
      </c>
      <c r="K619">
        <v>1.109426</v>
      </c>
      <c r="L619">
        <v>368.16219999999998</v>
      </c>
      <c r="M619">
        <v>0.99997519999999995</v>
      </c>
      <c r="N619">
        <v>0</v>
      </c>
      <c r="O619">
        <v>2.7798880000000001E-4</v>
      </c>
      <c r="P619">
        <v>0.99960380000000004</v>
      </c>
      <c r="Q619">
        <v>2.1983849999999999E-2</v>
      </c>
      <c r="R619">
        <v>-1.758877E-2</v>
      </c>
      <c r="S619">
        <v>3.005341</v>
      </c>
      <c r="T619">
        <v>1.7373090000000001E-2</v>
      </c>
      <c r="U619">
        <v>0.26095580000000002</v>
      </c>
      <c r="V619">
        <v>1.7863960000000002E-2</v>
      </c>
      <c r="W619">
        <v>2.904323E-2</v>
      </c>
      <c r="X619">
        <v>0.99941849999999999</v>
      </c>
      <c r="Y619">
        <v>-8.6226819999999996E-2</v>
      </c>
      <c r="Z619">
        <v>-2.4715320000000002E-4</v>
      </c>
      <c r="AA619">
        <v>0.99627549999999998</v>
      </c>
      <c r="AB619">
        <v>32</v>
      </c>
      <c r="AC619">
        <v>164.54719999999901</v>
      </c>
      <c r="AD619">
        <v>0.95297299999999996</v>
      </c>
      <c r="AE619">
        <v>14.3154</v>
      </c>
      <c r="AF619">
        <v>-14.2691810235417</v>
      </c>
      <c r="AG619">
        <v>0.95297299999999996</v>
      </c>
      <c r="AH619">
        <v>164.54569563963599</v>
      </c>
      <c r="AI619">
        <v>89.669413573217199</v>
      </c>
      <c r="AJ619">
        <v>94.956213835838497</v>
      </c>
      <c r="AK619">
        <v>165.165988139668</v>
      </c>
      <c r="AL619">
        <v>88.335711441557507</v>
      </c>
      <c r="AM619">
        <v>88.975984003761099</v>
      </c>
      <c r="AN619">
        <v>0.99999998420898195</v>
      </c>
    </row>
    <row r="620" spans="1:40" x14ac:dyDescent="0.25">
      <c r="A620" t="str">
        <f>"20190312160920869"</f>
        <v>20190312160920869</v>
      </c>
      <c r="B620" t="str">
        <f>"1552378160865857"</f>
        <v>1552378160865857</v>
      </c>
      <c r="C620" t="s">
        <v>40</v>
      </c>
      <c r="D620">
        <v>5.5581559999999897</v>
      </c>
      <c r="E620">
        <v>0.45753739999999998</v>
      </c>
      <c r="F620" t="s">
        <v>44</v>
      </c>
      <c r="G620">
        <v>-169.2955</v>
      </c>
      <c r="H620">
        <v>2.677187</v>
      </c>
      <c r="I620">
        <v>383.23169999999999</v>
      </c>
      <c r="J620">
        <v>-333.65710000000001</v>
      </c>
      <c r="K620">
        <v>1.1094189999999999</v>
      </c>
      <c r="L620">
        <v>368.16230000000002</v>
      </c>
      <c r="M620">
        <v>0.99997510000000001</v>
      </c>
      <c r="N620">
        <v>0</v>
      </c>
      <c r="O620">
        <v>3.1020210000000002E-4</v>
      </c>
      <c r="P620">
        <v>0.99960709999999997</v>
      </c>
      <c r="Q620">
        <v>2.1608169999999999E-2</v>
      </c>
      <c r="R620">
        <v>-1.7861459999999999E-2</v>
      </c>
      <c r="S620">
        <v>3.0054020000000001</v>
      </c>
      <c r="T620">
        <v>2.863622E-2</v>
      </c>
      <c r="U620">
        <v>0.27523799999999998</v>
      </c>
      <c r="V620">
        <v>1.8169060000000001E-2</v>
      </c>
      <c r="W620">
        <v>2.8659529999999999E-2</v>
      </c>
      <c r="X620">
        <v>0.99942410000000004</v>
      </c>
      <c r="Y620">
        <v>-9.0886469999999997E-2</v>
      </c>
      <c r="Z620">
        <v>-4.291311E-4</v>
      </c>
      <c r="AA620">
        <v>0.9958612</v>
      </c>
      <c r="AB620">
        <v>32</v>
      </c>
      <c r="AC620">
        <v>164.36160000000001</v>
      </c>
      <c r="AD620">
        <v>1.5677679999999901</v>
      </c>
      <c r="AE620">
        <v>15.0693999999999</v>
      </c>
      <c r="AF620">
        <v>-15.0170577786077</v>
      </c>
      <c r="AG620">
        <v>1.5677679999999901</v>
      </c>
      <c r="AH620">
        <v>164.351438140352</v>
      </c>
      <c r="AI620">
        <v>89.4557324159926</v>
      </c>
      <c r="AJ620">
        <v>95.220711770166204</v>
      </c>
      <c r="AK620">
        <v>165.04352498547101</v>
      </c>
      <c r="AL620">
        <v>88.357705026594701</v>
      </c>
      <c r="AM620">
        <v>88.958504407251795</v>
      </c>
      <c r="AN620">
        <v>1.0000000075309501</v>
      </c>
    </row>
    <row r="621" spans="1:40" x14ac:dyDescent="0.25">
      <c r="A621" t="str">
        <f>"20190312160920891"</f>
        <v>20190312160920891</v>
      </c>
      <c r="B621" t="str">
        <f>"1552378160885377"</f>
        <v>1552378160885377</v>
      </c>
      <c r="C621" t="s">
        <v>40</v>
      </c>
      <c r="D621">
        <v>5.3656819999999996</v>
      </c>
      <c r="E621">
        <v>0.45646589999999998</v>
      </c>
      <c r="F621" t="s">
        <v>44</v>
      </c>
      <c r="G621">
        <v>-169.2955</v>
      </c>
      <c r="H621">
        <v>3.0964309999999999</v>
      </c>
      <c r="I621">
        <v>383.75319999999999</v>
      </c>
      <c r="J621">
        <v>-333.34629999999999</v>
      </c>
      <c r="K621">
        <v>1.1094109999999999</v>
      </c>
      <c r="L621">
        <v>368.16239999999999</v>
      </c>
      <c r="M621">
        <v>0.99997519999999995</v>
      </c>
      <c r="N621">
        <v>0</v>
      </c>
      <c r="O621">
        <v>3.640084E-4</v>
      </c>
      <c r="P621">
        <v>0.99962660000000003</v>
      </c>
      <c r="Q621">
        <v>2.075755E-2</v>
      </c>
      <c r="R621">
        <v>-1.778041E-2</v>
      </c>
      <c r="S621">
        <v>3.0055239999999999</v>
      </c>
      <c r="T621">
        <v>3.6336180000000003E-2</v>
      </c>
      <c r="U621">
        <v>0.28509519999999999</v>
      </c>
      <c r="V621">
        <v>1.8141790000000001E-2</v>
      </c>
      <c r="W621">
        <v>2.7797280000000001E-2</v>
      </c>
      <c r="X621">
        <v>0.99944900000000003</v>
      </c>
      <c r="Y621">
        <v>-9.4064010000000003E-2</v>
      </c>
      <c r="Z621">
        <v>-5.6292279999999896E-4</v>
      </c>
      <c r="AA621">
        <v>0.99556599999999995</v>
      </c>
      <c r="AB621">
        <v>32</v>
      </c>
      <c r="AC621">
        <v>164.05079999999899</v>
      </c>
      <c r="AD621">
        <v>1.98702</v>
      </c>
      <c r="AE621">
        <v>15.5908</v>
      </c>
      <c r="AF621">
        <v>-15.5288238417779</v>
      </c>
      <c r="AG621">
        <v>1.98702</v>
      </c>
      <c r="AH621">
        <v>164.032615294084</v>
      </c>
      <c r="AI621">
        <v>89.309066656210803</v>
      </c>
      <c r="AJ621">
        <v>95.408023625562507</v>
      </c>
      <c r="AK621">
        <v>164.778006719969</v>
      </c>
      <c r="AL621">
        <v>88.407128089886996</v>
      </c>
      <c r="AM621">
        <v>88.960093150671099</v>
      </c>
      <c r="AN621">
        <v>1.0000000584603901</v>
      </c>
    </row>
    <row r="622" spans="1:40" x14ac:dyDescent="0.25">
      <c r="A622" t="str">
        <f>"20190312160920913"</f>
        <v>20190312160920913</v>
      </c>
      <c r="B622" t="str">
        <f>"1552378160905873"</f>
        <v>1552378160905873</v>
      </c>
      <c r="C622" t="s">
        <v>40</v>
      </c>
      <c r="D622">
        <v>5.4358659999999999</v>
      </c>
      <c r="E622">
        <v>0.45574940000000003</v>
      </c>
      <c r="F622" t="s">
        <v>44</v>
      </c>
      <c r="G622">
        <v>-169.2955</v>
      </c>
      <c r="H622">
        <v>3.3319770000000002</v>
      </c>
      <c r="I622">
        <v>384.18540000000002</v>
      </c>
      <c r="J622">
        <v>-333.01659999999998</v>
      </c>
      <c r="K622">
        <v>1.1094059999999999</v>
      </c>
      <c r="L622">
        <v>368.1626</v>
      </c>
      <c r="M622">
        <v>0.99997519999999995</v>
      </c>
      <c r="N622">
        <v>0</v>
      </c>
      <c r="O622">
        <v>4.2121010000000002E-4</v>
      </c>
      <c r="P622">
        <v>0.99962499999999999</v>
      </c>
      <c r="Q622">
        <v>2.068323E-2</v>
      </c>
      <c r="R622">
        <v>-1.795014E-2</v>
      </c>
      <c r="S622">
        <v>3.005493</v>
      </c>
      <c r="T622">
        <v>4.0720109999999997E-2</v>
      </c>
      <c r="U622">
        <v>0.29354859999999999</v>
      </c>
      <c r="V622">
        <v>1.8368760000000001E-2</v>
      </c>
      <c r="W622">
        <v>2.7711960000000001E-2</v>
      </c>
      <c r="X622">
        <v>0.99944719999999998</v>
      </c>
      <c r="Y622">
        <v>-9.6780130000000006E-2</v>
      </c>
      <c r="Z622">
        <v>-6.483366E-4</v>
      </c>
      <c r="AA622">
        <v>0.99530560000000001</v>
      </c>
      <c r="AB622">
        <v>33</v>
      </c>
      <c r="AC622">
        <v>163.72109999999901</v>
      </c>
      <c r="AD622">
        <v>2.2225709999999999</v>
      </c>
      <c r="AE622">
        <v>16.0228</v>
      </c>
      <c r="AF622">
        <v>-15.9509241841536</v>
      </c>
      <c r="AG622">
        <v>2.2225709999999999</v>
      </c>
      <c r="AH622">
        <v>163.69795289964301</v>
      </c>
      <c r="AI622">
        <v>89.225793962098194</v>
      </c>
      <c r="AJ622">
        <v>95.565399520284004</v>
      </c>
      <c r="AK622">
        <v>164.48827188499601</v>
      </c>
      <c r="AL622">
        <v>88.412018411906502</v>
      </c>
      <c r="AM622">
        <v>88.947084001910397</v>
      </c>
      <c r="AN622">
        <v>1.0000000348294</v>
      </c>
    </row>
    <row r="623" spans="1:40" x14ac:dyDescent="0.25">
      <c r="A623" t="str">
        <f>"20190312160920935"</f>
        <v>20190312160920935</v>
      </c>
      <c r="B623" t="str">
        <f>"1552378160925396"</f>
        <v>1552378160925396</v>
      </c>
      <c r="C623" t="s">
        <v>40</v>
      </c>
      <c r="D623">
        <v>5.6437739999999996</v>
      </c>
      <c r="E623">
        <v>0.45511049999999997</v>
      </c>
      <c r="F623" t="s">
        <v>44</v>
      </c>
      <c r="G623">
        <v>-158.78319999999999</v>
      </c>
      <c r="H623">
        <v>3.5123039999999999</v>
      </c>
      <c r="I623">
        <v>385.47640000000001</v>
      </c>
      <c r="J623">
        <v>-332.70389999999998</v>
      </c>
      <c r="K623">
        <v>1.109402</v>
      </c>
      <c r="L623">
        <v>368.1628</v>
      </c>
      <c r="M623">
        <v>0.99997530000000001</v>
      </c>
      <c r="N623">
        <v>0</v>
      </c>
      <c r="O623">
        <v>4.7501349999999999E-4</v>
      </c>
      <c r="P623">
        <v>0.99962510000000004</v>
      </c>
      <c r="Q623">
        <v>2.134312E-2</v>
      </c>
      <c r="R623">
        <v>-1.7159580000000001E-2</v>
      </c>
      <c r="S623">
        <v>3.005646</v>
      </c>
      <c r="T623">
        <v>4.1453120000000003E-2</v>
      </c>
      <c r="U623">
        <v>0.29867549999999998</v>
      </c>
      <c r="V623">
        <v>1.763178E-2</v>
      </c>
      <c r="W623">
        <v>2.8360679999999999E-2</v>
      </c>
      <c r="X623">
        <v>0.99944219999999895</v>
      </c>
      <c r="Y623">
        <v>-9.8402539999999997E-2</v>
      </c>
      <c r="Z623">
        <v>-6.7033789999999902E-4</v>
      </c>
      <c r="AA623">
        <v>0.99514650000000004</v>
      </c>
      <c r="AB623">
        <v>33</v>
      </c>
      <c r="AC623">
        <v>173.92069999999899</v>
      </c>
      <c r="AD623">
        <v>2.4029020000000001</v>
      </c>
      <c r="AE623">
        <v>17.313600000000001</v>
      </c>
      <c r="AF623">
        <v>-17.227725106584298</v>
      </c>
      <c r="AG623">
        <v>2.4029020000000001</v>
      </c>
      <c r="AH623">
        <v>173.896036522532</v>
      </c>
      <c r="AI623">
        <v>89.212191257773398</v>
      </c>
      <c r="AJ623">
        <v>95.657780145059903</v>
      </c>
      <c r="AK623">
        <v>174.76384056381701</v>
      </c>
      <c r="AL623">
        <v>88.374834755331307</v>
      </c>
      <c r="AM623">
        <v>88.989314443913798</v>
      </c>
      <c r="AN623">
        <v>0.99999995948843401</v>
      </c>
    </row>
    <row r="624" spans="1:40" x14ac:dyDescent="0.25">
      <c r="A624" t="str">
        <f>"20190312160920970"</f>
        <v>20190312160920970</v>
      </c>
      <c r="B624" t="str">
        <f>"1552378160965409"</f>
        <v>1552378160965409</v>
      </c>
      <c r="C624" t="s">
        <v>40</v>
      </c>
      <c r="D624">
        <v>5.4668049999999999</v>
      </c>
      <c r="E624">
        <v>0.4537331</v>
      </c>
      <c r="F624" t="s">
        <v>44</v>
      </c>
      <c r="G624">
        <v>-158.78319999999999</v>
      </c>
      <c r="H624">
        <v>3.7553709999999998</v>
      </c>
      <c r="I624">
        <v>385.88690000000003</v>
      </c>
      <c r="J624">
        <v>-332.1952</v>
      </c>
      <c r="K624">
        <v>1.1093850000000001</v>
      </c>
      <c r="L624">
        <v>368.16309999999999</v>
      </c>
      <c r="M624">
        <v>0.99997539999999996</v>
      </c>
      <c r="N624">
        <v>0</v>
      </c>
      <c r="O624">
        <v>5.6271070000000003E-4</v>
      </c>
      <c r="P624">
        <v>0.99963020000000002</v>
      </c>
      <c r="Q624">
        <v>2.0726640000000001E-2</v>
      </c>
      <c r="R624">
        <v>-1.7608510000000001E-2</v>
      </c>
      <c r="S624">
        <v>3.0053709999999998</v>
      </c>
      <c r="T624">
        <v>4.5724149999999998E-2</v>
      </c>
      <c r="U624">
        <v>0.3062744</v>
      </c>
      <c r="V624">
        <v>1.816868E-2</v>
      </c>
      <c r="W624">
        <v>2.7722449999999999E-2</v>
      </c>
      <c r="X624">
        <v>0.99945050000000002</v>
      </c>
      <c r="Y624">
        <v>-0.1008126</v>
      </c>
      <c r="Z624">
        <v>-7.5632529999999996E-4</v>
      </c>
      <c r="AA624">
        <v>0.99490520000000005</v>
      </c>
      <c r="AB624">
        <v>33</v>
      </c>
      <c r="AC624">
        <v>173.41200000000001</v>
      </c>
      <c r="AD624">
        <v>2.6459860000000002</v>
      </c>
      <c r="AE624">
        <v>17.723800000000001</v>
      </c>
      <c r="AF624">
        <v>-17.622153678850999</v>
      </c>
      <c r="AG624">
        <v>2.6459860000000002</v>
      </c>
      <c r="AH624">
        <v>173.38199700182901</v>
      </c>
      <c r="AI624">
        <v>89.130156480197797</v>
      </c>
      <c r="AJ624">
        <v>95.803484304606798</v>
      </c>
      <c r="AK624">
        <v>174.29531957724899</v>
      </c>
      <c r="AL624">
        <v>88.411417042893902</v>
      </c>
      <c r="AM624">
        <v>88.958553688963093</v>
      </c>
      <c r="AN624">
        <v>0.99999996855859696</v>
      </c>
    </row>
    <row r="625" spans="1:40" x14ac:dyDescent="0.25">
      <c r="A625" t="str">
        <f>"20190312160920992"</f>
        <v>20190312160920992</v>
      </c>
      <c r="B625" t="str">
        <f>"1552378160985905"</f>
        <v>1552378160985905</v>
      </c>
      <c r="C625" t="s">
        <v>40</v>
      </c>
      <c r="D625">
        <v>5.4461830000000004</v>
      </c>
      <c r="E625">
        <v>0.45448040000000001</v>
      </c>
      <c r="F625" t="s">
        <v>44</v>
      </c>
      <c r="G625">
        <v>-158.78319999999999</v>
      </c>
      <c r="H625">
        <v>4.0747450000000001</v>
      </c>
      <c r="I625">
        <v>386.38839999999999</v>
      </c>
      <c r="J625">
        <v>-331.86799999999999</v>
      </c>
      <c r="K625">
        <v>1.1093839999999999</v>
      </c>
      <c r="L625">
        <v>368.16329999999999</v>
      </c>
      <c r="M625">
        <v>0.99997539999999996</v>
      </c>
      <c r="N625">
        <v>0</v>
      </c>
      <c r="O625">
        <v>6.1926199999999998E-4</v>
      </c>
      <c r="P625">
        <v>0.99964649999999999</v>
      </c>
      <c r="Q625">
        <v>1.975406E-2</v>
      </c>
      <c r="R625">
        <v>-1.7797239999999999E-2</v>
      </c>
      <c r="S625">
        <v>3.005646</v>
      </c>
      <c r="T625">
        <v>5.1398279999999998E-2</v>
      </c>
      <c r="U625">
        <v>0.31588749999999999</v>
      </c>
      <c r="V625">
        <v>1.8413990000000002E-2</v>
      </c>
      <c r="W625">
        <v>2.6737190000000001E-2</v>
      </c>
      <c r="X625">
        <v>0.9994729</v>
      </c>
      <c r="Y625">
        <v>-0.1038915</v>
      </c>
      <c r="Z625">
        <v>-8.7523859999999996E-4</v>
      </c>
      <c r="AA625">
        <v>0.99458829999999998</v>
      </c>
      <c r="AB625">
        <v>33</v>
      </c>
      <c r="AC625">
        <v>173.0848</v>
      </c>
      <c r="AD625">
        <v>2.9653610000000001</v>
      </c>
      <c r="AE625">
        <v>18.225100000000001</v>
      </c>
      <c r="AF625">
        <v>-18.112650927293501</v>
      </c>
      <c r="AG625">
        <v>2.9653610000000001</v>
      </c>
      <c r="AH625">
        <v>173.04581780824199</v>
      </c>
      <c r="AI625">
        <v>89.023592784916502</v>
      </c>
      <c r="AJ625">
        <v>95.975372929594002</v>
      </c>
      <c r="AK625">
        <v>174.01642609362301</v>
      </c>
      <c r="AL625">
        <v>88.467889297902502</v>
      </c>
      <c r="AM625">
        <v>88.944519092869101</v>
      </c>
      <c r="AN625">
        <v>1.0000000150956101</v>
      </c>
    </row>
    <row r="626" spans="1:40" x14ac:dyDescent="0.25">
      <c r="A626" t="str">
        <f>"20190312160921014"</f>
        <v>20190312160921014</v>
      </c>
      <c r="B626" t="str">
        <f>"1552378161005425"</f>
        <v>1552378161005425</v>
      </c>
      <c r="C626" t="s">
        <v>40</v>
      </c>
      <c r="D626">
        <v>5.4650489999999996</v>
      </c>
      <c r="E626">
        <v>0.49248449999999999</v>
      </c>
      <c r="F626" t="s">
        <v>44</v>
      </c>
      <c r="G626">
        <v>-158.78319999999999</v>
      </c>
      <c r="H626">
        <v>4.0861890000000001</v>
      </c>
      <c r="I626">
        <v>385.9769</v>
      </c>
      <c r="J626">
        <v>-331.54070000000002</v>
      </c>
      <c r="K626">
        <v>1.10938</v>
      </c>
      <c r="L626">
        <v>368.16359999999997</v>
      </c>
      <c r="M626">
        <v>0.99997559999999996</v>
      </c>
      <c r="N626">
        <v>0</v>
      </c>
      <c r="O626">
        <v>6.7592529999999996E-4</v>
      </c>
      <c r="P626">
        <v>0.99965459999999995</v>
      </c>
      <c r="Q626">
        <v>1.9771029999999998E-2</v>
      </c>
      <c r="R626">
        <v>-1.7323390000000001E-2</v>
      </c>
      <c r="S626">
        <v>3.0055540000000001</v>
      </c>
      <c r="T626">
        <v>5.169261E-2</v>
      </c>
      <c r="U626">
        <v>0.3093262</v>
      </c>
      <c r="V626">
        <v>1.799661E-2</v>
      </c>
      <c r="W626">
        <v>2.6742910000000002E-2</v>
      </c>
      <c r="X626">
        <v>0.99948029999999999</v>
      </c>
      <c r="Y626">
        <v>-0.10169019999999999</v>
      </c>
      <c r="Z626">
        <v>-8.6052489999999997E-4</v>
      </c>
      <c r="AA626">
        <v>0.99481580000000003</v>
      </c>
      <c r="AB626">
        <v>33</v>
      </c>
      <c r="AC626">
        <v>172.75749999999999</v>
      </c>
      <c r="AD626">
        <v>2.9768089999999998</v>
      </c>
      <c r="AE626">
        <v>17.813300000000002</v>
      </c>
      <c r="AF626">
        <v>-17.691324431912602</v>
      </c>
      <c r="AG626">
        <v>2.9768089999999998</v>
      </c>
      <c r="AH626">
        <v>172.71875846708599</v>
      </c>
      <c r="AI626">
        <v>89.017742866566493</v>
      </c>
      <c r="AJ626">
        <v>95.848325258838202</v>
      </c>
      <c r="AK626">
        <v>173.64795961481701</v>
      </c>
      <c r="AL626">
        <v>88.467561373022306</v>
      </c>
      <c r="AM626">
        <v>88.968445516791803</v>
      </c>
      <c r="AN626">
        <v>0.99999996564742399</v>
      </c>
    </row>
    <row r="627" spans="1:40" x14ac:dyDescent="0.25">
      <c r="A627" t="str">
        <f>"20190312160921035"</f>
        <v>20190312160921035</v>
      </c>
      <c r="B627" t="str">
        <f>"1552378161025920"</f>
        <v>1552378161025920</v>
      </c>
      <c r="C627" t="s">
        <v>40</v>
      </c>
      <c r="D627">
        <v>5.3401860000000001</v>
      </c>
      <c r="E627">
        <v>0.49326560000000003</v>
      </c>
      <c r="F627" t="s">
        <v>44</v>
      </c>
      <c r="G627">
        <v>-170.08879999999999</v>
      </c>
      <c r="H627">
        <v>7.821809</v>
      </c>
      <c r="I627">
        <v>368.62860000000001</v>
      </c>
      <c r="J627">
        <v>-331.21980000000002</v>
      </c>
      <c r="K627">
        <v>1.1093759999999999</v>
      </c>
      <c r="L627">
        <v>368.16379999999998</v>
      </c>
      <c r="M627">
        <v>0.99997559999999996</v>
      </c>
      <c r="N627">
        <v>0</v>
      </c>
      <c r="O627">
        <v>7.3121119999999904E-4</v>
      </c>
      <c r="P627">
        <v>0.99965340000000003</v>
      </c>
      <c r="Q627">
        <v>2.004096E-2</v>
      </c>
      <c r="R627">
        <v>-1.7083540000000001E-2</v>
      </c>
      <c r="S627">
        <v>2.998688</v>
      </c>
      <c r="T627">
        <v>0.1246732</v>
      </c>
      <c r="U627">
        <v>8.6364749999999994E-3</v>
      </c>
      <c r="V627">
        <v>1.781195E-2</v>
      </c>
      <c r="W627">
        <v>2.70046E-2</v>
      </c>
      <c r="X627">
        <v>0.99947660000000005</v>
      </c>
      <c r="Y627">
        <v>-2.1476220000000001E-3</v>
      </c>
      <c r="Z627" s="1">
        <v>-1.423701E-5</v>
      </c>
      <c r="AA627">
        <v>0.99999769999999999</v>
      </c>
      <c r="AB627">
        <v>33</v>
      </c>
      <c r="AC627">
        <v>161.131</v>
      </c>
      <c r="AD627">
        <v>6.7124329999999999</v>
      </c>
      <c r="AE627">
        <v>0.46480000000002503</v>
      </c>
      <c r="AF627">
        <v>-0.34637514310258499</v>
      </c>
      <c r="AG627">
        <v>6.7124329999999999</v>
      </c>
      <c r="AH627">
        <v>160.85215492131701</v>
      </c>
      <c r="AI627">
        <v>87.610413262849804</v>
      </c>
      <c r="AJ627">
        <v>90.1233791562356</v>
      </c>
      <c r="AK627">
        <v>160.99252304175701</v>
      </c>
      <c r="AL627">
        <v>88.452562266593006</v>
      </c>
      <c r="AM627">
        <v>88.979024082201306</v>
      </c>
      <c r="AN627">
        <v>0.999999993965761</v>
      </c>
    </row>
    <row r="628" spans="1:40" x14ac:dyDescent="0.25">
      <c r="A628" t="str">
        <f>"20190312160921058"</f>
        <v>20190312160921058</v>
      </c>
      <c r="B628" t="str">
        <f>"1552378161045441"</f>
        <v>1552378161045441</v>
      </c>
      <c r="C628" t="s">
        <v>40</v>
      </c>
      <c r="D628">
        <v>5.5506650000000004</v>
      </c>
      <c r="E628">
        <v>0.49297930000000001</v>
      </c>
      <c r="F628" t="s">
        <v>44</v>
      </c>
      <c r="G628">
        <v>-170.08879999999999</v>
      </c>
      <c r="H628">
        <v>7.9831500000000002</v>
      </c>
      <c r="I628">
        <v>368.33769999999998</v>
      </c>
      <c r="J628">
        <v>-330.89359999999999</v>
      </c>
      <c r="K628">
        <v>1.1093740000000001</v>
      </c>
      <c r="L628">
        <v>368.16410000000002</v>
      </c>
      <c r="M628">
        <v>0.99997559999999996</v>
      </c>
      <c r="N628">
        <v>0</v>
      </c>
      <c r="O628">
        <v>7.8750259999999905E-4</v>
      </c>
      <c r="P628">
        <v>0.99965380000000004</v>
      </c>
      <c r="Q628">
        <v>2.0342639999999999E-2</v>
      </c>
      <c r="R628">
        <v>-1.6706080000000002E-2</v>
      </c>
      <c r="S628">
        <v>2.998535</v>
      </c>
      <c r="T628">
        <v>0.1279178</v>
      </c>
      <c r="U628">
        <v>3.2348630000000001E-3</v>
      </c>
      <c r="V628">
        <v>1.7490550000000001E-2</v>
      </c>
      <c r="W628">
        <v>2.7299179999999999E-2</v>
      </c>
      <c r="X628">
        <v>0.99947430000000004</v>
      </c>
      <c r="Y628">
        <v>-2.9174330000000001E-4</v>
      </c>
      <c r="Z628" s="1">
        <v>2.7360379999999998E-5</v>
      </c>
      <c r="AA628">
        <v>0.99999990000000005</v>
      </c>
      <c r="AB628">
        <v>33</v>
      </c>
      <c r="AC628">
        <v>160.8048</v>
      </c>
      <c r="AD628">
        <v>6.8737759999999897</v>
      </c>
      <c r="AE628">
        <v>0.17359999999996401</v>
      </c>
      <c r="AF628">
        <v>-4.6877042451488597E-2</v>
      </c>
      <c r="AG628">
        <v>6.8737759999999897</v>
      </c>
      <c r="AH628">
        <v>160.511595913322</v>
      </c>
      <c r="AI628">
        <v>87.547854128333597</v>
      </c>
      <c r="AJ628">
        <v>90.016733100165595</v>
      </c>
      <c r="AK628">
        <v>160.65871721321801</v>
      </c>
      <c r="AL628">
        <v>88.435677892208005</v>
      </c>
      <c r="AM628">
        <v>88.997440537658306</v>
      </c>
      <c r="AN628">
        <v>1.0000000204642301</v>
      </c>
    </row>
    <row r="629" spans="1:40" x14ac:dyDescent="0.25">
      <c r="A629" t="str">
        <f>"20190312160921080"</f>
        <v>20190312160921080</v>
      </c>
      <c r="B629" t="str">
        <f>"1552378161075697"</f>
        <v>1552378161075697</v>
      </c>
      <c r="C629" t="s">
        <v>40</v>
      </c>
      <c r="D629">
        <v>5.5408419999999996</v>
      </c>
      <c r="E629">
        <v>0.49307980000000001</v>
      </c>
      <c r="F629" t="s">
        <v>44</v>
      </c>
      <c r="G629">
        <v>-170.08879999999999</v>
      </c>
      <c r="H629">
        <v>7.7523279999999897</v>
      </c>
      <c r="I629">
        <v>368.51929999999999</v>
      </c>
      <c r="J629">
        <v>-330.55119999999999</v>
      </c>
      <c r="K629">
        <v>1.10937</v>
      </c>
      <c r="L629">
        <v>368.1644</v>
      </c>
      <c r="M629">
        <v>0.99997559999999996</v>
      </c>
      <c r="N629">
        <v>0</v>
      </c>
      <c r="O629">
        <v>8.4635169999999998E-4</v>
      </c>
      <c r="P629">
        <v>0.99965289999999996</v>
      </c>
      <c r="Q629">
        <v>2.0223109999999999E-2</v>
      </c>
      <c r="R629">
        <v>-1.6892440000000002E-2</v>
      </c>
      <c r="S629">
        <v>2.998596</v>
      </c>
      <c r="T629">
        <v>0.1238756</v>
      </c>
      <c r="U629">
        <v>6.6223139999999998E-3</v>
      </c>
      <c r="V629">
        <v>1.7735939999999999E-2</v>
      </c>
      <c r="W629">
        <v>2.717524E-2</v>
      </c>
      <c r="X629">
        <v>0.99947330000000001</v>
      </c>
      <c r="Y629">
        <v>-1.3616559999999999E-3</v>
      </c>
      <c r="Z629" s="1">
        <v>6.8358909999999996E-6</v>
      </c>
      <c r="AA629">
        <v>0.99999899999999997</v>
      </c>
      <c r="AB629">
        <v>33</v>
      </c>
      <c r="AC629">
        <v>160.4624</v>
      </c>
      <c r="AD629">
        <v>6.6429579999999904</v>
      </c>
      <c r="AE629">
        <v>0.354899999999986</v>
      </c>
      <c r="AF629">
        <v>-0.21871413818374899</v>
      </c>
      <c r="AG629">
        <v>6.6429579999999904</v>
      </c>
      <c r="AH629">
        <v>160.18810356650999</v>
      </c>
      <c r="AI629">
        <v>87.625322144002794</v>
      </c>
      <c r="AJ629">
        <v>90.078229212855007</v>
      </c>
      <c r="AK629">
        <v>160.325934430768</v>
      </c>
      <c r="AL629">
        <v>88.442781683758795</v>
      </c>
      <c r="AM629">
        <v>88.983376681573603</v>
      </c>
      <c r="AN629">
        <v>0.999999967324815</v>
      </c>
    </row>
    <row r="630" spans="1:40" x14ac:dyDescent="0.25">
      <c r="A630" t="str">
        <f>"20190312160921103"</f>
        <v>20190312160921103</v>
      </c>
      <c r="B630" t="str">
        <f>"1552378161096193"</f>
        <v>1552378161096193</v>
      </c>
      <c r="C630" t="s">
        <v>40</v>
      </c>
      <c r="D630">
        <v>5.5446309999999999</v>
      </c>
      <c r="E630">
        <v>0.49349369999999998</v>
      </c>
      <c r="F630" t="s">
        <v>44</v>
      </c>
      <c r="G630">
        <v>-164.73910000000001</v>
      </c>
      <c r="H630">
        <v>6.6740899999999996</v>
      </c>
      <c r="I630">
        <v>368.44450000000001</v>
      </c>
      <c r="J630">
        <v>-330.20690000000002</v>
      </c>
      <c r="K630">
        <v>1.109367</v>
      </c>
      <c r="L630">
        <v>368.16480000000001</v>
      </c>
      <c r="M630">
        <v>0.99997539999999996</v>
      </c>
      <c r="N630">
        <v>0</v>
      </c>
      <c r="O630">
        <v>9.0566959999999999E-4</v>
      </c>
      <c r="P630">
        <v>0.99963489999999999</v>
      </c>
      <c r="Q630">
        <v>2.0604600000000001E-2</v>
      </c>
      <c r="R630">
        <v>-1.7487320000000001E-2</v>
      </c>
      <c r="S630">
        <v>2.9991150000000002</v>
      </c>
      <c r="T630">
        <v>0.1006531</v>
      </c>
      <c r="U630">
        <v>5.065918E-3</v>
      </c>
      <c r="V630">
        <v>1.8389900000000001E-2</v>
      </c>
      <c r="W630">
        <v>2.7553709999999999E-2</v>
      </c>
      <c r="X630">
        <v>0.99945119999999998</v>
      </c>
      <c r="Y630">
        <v>-7.8351309999999895E-4</v>
      </c>
      <c r="Z630" s="1">
        <v>1.7243250000000001E-5</v>
      </c>
      <c r="AA630">
        <v>0.99999970000000005</v>
      </c>
      <c r="AB630">
        <v>33</v>
      </c>
      <c r="AC630">
        <v>165.46780000000001</v>
      </c>
      <c r="AD630">
        <v>5.5647229999999999</v>
      </c>
      <c r="AE630">
        <v>0.27969999999999101</v>
      </c>
      <c r="AF630">
        <v>-0.12969042527251601</v>
      </c>
      <c r="AG630">
        <v>5.5647229999999999</v>
      </c>
      <c r="AH630">
        <v>165.281054190102</v>
      </c>
      <c r="AI630">
        <v>88.0716806562302</v>
      </c>
      <c r="AJ630">
        <v>90.044958041456994</v>
      </c>
      <c r="AK630">
        <v>165.374755739395</v>
      </c>
      <c r="AL630">
        <v>88.421088953599593</v>
      </c>
      <c r="AM630">
        <v>88.945876726759906</v>
      </c>
      <c r="AN630">
        <v>1.0000000482691001</v>
      </c>
    </row>
    <row r="631" spans="1:40" x14ac:dyDescent="0.25">
      <c r="A631" t="str">
        <f>"20190312160921125"</f>
        <v>20190312160921125</v>
      </c>
      <c r="B631" t="str">
        <f>"1552378161115321"</f>
        <v>1552378161115321</v>
      </c>
      <c r="C631" t="s">
        <v>40</v>
      </c>
      <c r="D631">
        <v>5.5219040000000001</v>
      </c>
      <c r="E631">
        <v>0.49385829999999997</v>
      </c>
      <c r="F631" t="s">
        <v>44</v>
      </c>
      <c r="G631">
        <v>-158.78319999999999</v>
      </c>
      <c r="H631">
        <v>6.0894899999999996</v>
      </c>
      <c r="I631">
        <v>368.15429999999998</v>
      </c>
      <c r="J631">
        <v>-329.88869999999997</v>
      </c>
      <c r="K631">
        <v>1.1093630000000001</v>
      </c>
      <c r="L631">
        <v>368.1651</v>
      </c>
      <c r="M631">
        <v>0.99997539999999996</v>
      </c>
      <c r="N631">
        <v>0</v>
      </c>
      <c r="O631">
        <v>9.6062839999999997E-4</v>
      </c>
      <c r="P631">
        <v>0.99963979999999997</v>
      </c>
      <c r="Q631">
        <v>2.0191730000000001E-2</v>
      </c>
      <c r="R631">
        <v>-1.768716E-2</v>
      </c>
      <c r="S631">
        <v>2.9992679999999998</v>
      </c>
      <c r="T631">
        <v>8.7134840000000005E-2</v>
      </c>
      <c r="U631">
        <v>-1.8310550000000001E-4</v>
      </c>
      <c r="V631">
        <v>1.8644859999999999E-2</v>
      </c>
      <c r="W631">
        <v>2.7139969999999999E-2</v>
      </c>
      <c r="X631">
        <v>0.99945779999999995</v>
      </c>
      <c r="Y631">
        <v>1.020866E-3</v>
      </c>
      <c r="Z631" s="1">
        <v>4.2728990000000003E-5</v>
      </c>
      <c r="AA631">
        <v>0.99999950000000004</v>
      </c>
      <c r="AB631">
        <v>33</v>
      </c>
      <c r="AC631">
        <v>171.10549999999901</v>
      </c>
      <c r="AD631">
        <v>4.9801269999999898</v>
      </c>
      <c r="AE631">
        <v>-1.08000000000174E-2</v>
      </c>
      <c r="AF631">
        <v>0.175024495970525</v>
      </c>
      <c r="AG631">
        <v>4.9801269999999898</v>
      </c>
      <c r="AH631">
        <v>170.96058388833001</v>
      </c>
      <c r="AI631">
        <v>88.331431531761794</v>
      </c>
      <c r="AJ631">
        <v>89.941342260309895</v>
      </c>
      <c r="AK631">
        <v>171.033194269267</v>
      </c>
      <c r="AL631">
        <v>88.444803382347004</v>
      </c>
      <c r="AM631">
        <v>88.931272644951903</v>
      </c>
      <c r="AN631">
        <v>1.00000005137842</v>
      </c>
    </row>
    <row r="632" spans="1:40" x14ac:dyDescent="0.25">
      <c r="A632" t="str">
        <f>"20190312160921146"</f>
        <v>20190312160921146</v>
      </c>
      <c r="B632" t="str">
        <f>"1552378161135815"</f>
        <v>1552378161135815</v>
      </c>
      <c r="C632" t="s">
        <v>40</v>
      </c>
      <c r="D632">
        <v>5.600346</v>
      </c>
      <c r="E632">
        <v>0.49423980000000001</v>
      </c>
      <c r="F632" t="s">
        <v>44</v>
      </c>
      <c r="G632">
        <v>-158.78319999999999</v>
      </c>
      <c r="H632">
        <v>5.5293049999999999</v>
      </c>
      <c r="I632">
        <v>367.95100000000002</v>
      </c>
      <c r="J632">
        <v>-329.5573</v>
      </c>
      <c r="K632">
        <v>1.1093599999999999</v>
      </c>
      <c r="L632">
        <v>368.16550000000001</v>
      </c>
      <c r="M632">
        <v>0.99997539999999996</v>
      </c>
      <c r="N632">
        <v>0</v>
      </c>
      <c r="O632">
        <v>1.0179060000000001E-3</v>
      </c>
      <c r="P632">
        <v>0.99965000000000004</v>
      </c>
      <c r="Q632">
        <v>1.973519E-2</v>
      </c>
      <c r="R632">
        <v>-1.7632979999999999E-2</v>
      </c>
      <c r="S632">
        <v>2.9994510000000001</v>
      </c>
      <c r="T632">
        <v>7.7482339999999997E-2</v>
      </c>
      <c r="U632">
        <v>-3.7536620000000001E-3</v>
      </c>
      <c r="V632">
        <v>1.864793E-2</v>
      </c>
      <c r="W632">
        <v>2.6684280000000001E-2</v>
      </c>
      <c r="X632">
        <v>0.99946990000000002</v>
      </c>
      <c r="Y632">
        <v>2.2682819999999999E-3</v>
      </c>
      <c r="Z632" s="1">
        <v>5.5583410000000001E-5</v>
      </c>
      <c r="AA632">
        <v>0.99999740000000004</v>
      </c>
      <c r="AB632">
        <v>34</v>
      </c>
      <c r="AC632">
        <v>170.7741</v>
      </c>
      <c r="AD632">
        <v>4.4199449999999896</v>
      </c>
      <c r="AE632">
        <v>-0.21450000000004299</v>
      </c>
      <c r="AF632">
        <v>0.38807609657216202</v>
      </c>
      <c r="AG632">
        <v>4.4199449999999896</v>
      </c>
      <c r="AH632">
        <v>170.65947390869999</v>
      </c>
      <c r="AI632">
        <v>88.516420248684994</v>
      </c>
      <c r="AJ632">
        <v>89.869710812833503</v>
      </c>
      <c r="AK632">
        <v>170.71714193851199</v>
      </c>
      <c r="AL632">
        <v>88.470921782496006</v>
      </c>
      <c r="AM632">
        <v>88.931109650308301</v>
      </c>
      <c r="AN632">
        <v>0.99999993854920399</v>
      </c>
    </row>
    <row r="633" spans="1:40" x14ac:dyDescent="0.25">
      <c r="A633" t="str">
        <f>"20190312160921170"</f>
        <v>20190312160921170</v>
      </c>
      <c r="B633" t="str">
        <f>"1552378161166070"</f>
        <v>1552378161166070</v>
      </c>
      <c r="C633" t="s">
        <v>40</v>
      </c>
      <c r="D633">
        <v>5.580006</v>
      </c>
      <c r="E633">
        <v>0.49457000000000001</v>
      </c>
      <c r="F633" t="s">
        <v>44</v>
      </c>
      <c r="G633">
        <v>-158.78319999999999</v>
      </c>
      <c r="H633">
        <v>4.9725000000000001</v>
      </c>
      <c r="I633">
        <v>367.76069999999999</v>
      </c>
      <c r="J633">
        <v>-329.19589999999999</v>
      </c>
      <c r="K633">
        <v>1.109356</v>
      </c>
      <c r="L633">
        <v>368.16590000000002</v>
      </c>
      <c r="M633">
        <v>0.99997530000000001</v>
      </c>
      <c r="N633">
        <v>0</v>
      </c>
      <c r="O633">
        <v>1.080244E-3</v>
      </c>
      <c r="P633">
        <v>0.99965289999999996</v>
      </c>
      <c r="Q633">
        <v>1.914277E-2</v>
      </c>
      <c r="R633">
        <v>-1.811345E-2</v>
      </c>
      <c r="S633">
        <v>2.999603</v>
      </c>
      <c r="T633">
        <v>6.7856550000000002E-2</v>
      </c>
      <c r="U633">
        <v>-7.1105959999999899E-3</v>
      </c>
      <c r="V633">
        <v>1.9190720000000001E-2</v>
      </c>
      <c r="W633">
        <v>2.6095110000000001E-2</v>
      </c>
      <c r="X633">
        <v>0.99947520000000001</v>
      </c>
      <c r="Y633">
        <v>3.4496119999999999E-3</v>
      </c>
      <c r="Z633" s="1">
        <v>6.3447790000000005E-5</v>
      </c>
      <c r="AA633">
        <v>0.99999400000000005</v>
      </c>
      <c r="AB633">
        <v>34</v>
      </c>
      <c r="AC633">
        <v>170.4127</v>
      </c>
      <c r="AD633">
        <v>3.8631440000000001</v>
      </c>
      <c r="AE633">
        <v>-0.40520000000003598</v>
      </c>
      <c r="AF633">
        <v>0.58898882079146297</v>
      </c>
      <c r="AG633">
        <v>3.8631440000000001</v>
      </c>
      <c r="AH633">
        <v>170.32463365465799</v>
      </c>
      <c r="AI633">
        <v>88.700701266232599</v>
      </c>
      <c r="AJ633">
        <v>89.801869885908005</v>
      </c>
      <c r="AK633">
        <v>170.36945623846199</v>
      </c>
      <c r="AL633">
        <v>88.504690527595102</v>
      </c>
      <c r="AM633">
        <v>88.900010557420401</v>
      </c>
      <c r="AN633">
        <v>0.99999995695753396</v>
      </c>
    </row>
    <row r="634" spans="1:40" x14ac:dyDescent="0.25">
      <c r="A634" t="str">
        <f>"20190312160921193"</f>
        <v>20190312160921193</v>
      </c>
      <c r="B634" t="str">
        <f>"1552378161185590"</f>
        <v>1552378161185590</v>
      </c>
      <c r="C634" t="s">
        <v>40</v>
      </c>
      <c r="D634">
        <v>5.5898899999999996</v>
      </c>
      <c r="E634">
        <v>0.49438729999999997</v>
      </c>
      <c r="F634" t="s">
        <v>44</v>
      </c>
      <c r="G634">
        <v>-158.78319999999999</v>
      </c>
      <c r="H634">
        <v>5.1438480000000002</v>
      </c>
      <c r="I634">
        <v>367.55040000000002</v>
      </c>
      <c r="J634">
        <v>-328.85039999999998</v>
      </c>
      <c r="K634">
        <v>1.109364</v>
      </c>
      <c r="L634">
        <v>368.16640000000001</v>
      </c>
      <c r="M634">
        <v>0.99997530000000001</v>
      </c>
      <c r="N634">
        <v>0</v>
      </c>
      <c r="O634">
        <v>1.1400150000000001E-3</v>
      </c>
      <c r="P634">
        <v>0.99965579999999998</v>
      </c>
      <c r="Q634">
        <v>1.9151419999999999E-2</v>
      </c>
      <c r="R634">
        <v>-1.793662E-2</v>
      </c>
      <c r="S634">
        <v>2.9994510000000001</v>
      </c>
      <c r="T634">
        <v>7.1012969999999995E-2</v>
      </c>
      <c r="U634">
        <v>-1.083374E-2</v>
      </c>
      <c r="V634">
        <v>1.9073690000000001E-2</v>
      </c>
      <c r="W634">
        <v>2.6107990000000001E-2</v>
      </c>
      <c r="X634">
        <v>0.99947710000000001</v>
      </c>
      <c r="Y634">
        <v>4.7502669999999999E-3</v>
      </c>
      <c r="Z634" s="1">
        <v>8.3211010000000001E-5</v>
      </c>
      <c r="AA634">
        <v>0.99998869999999895</v>
      </c>
      <c r="AB634">
        <v>34</v>
      </c>
      <c r="AC634">
        <v>170.06720000000001</v>
      </c>
      <c r="AD634">
        <v>4.034484</v>
      </c>
      <c r="AE634">
        <v>-0.615999999999985</v>
      </c>
      <c r="AF634">
        <v>0.80942790174943602</v>
      </c>
      <c r="AG634">
        <v>4.034484</v>
      </c>
      <c r="AH634">
        <v>169.97073317494099</v>
      </c>
      <c r="AI634">
        <v>88.640278336583293</v>
      </c>
      <c r="AJ634">
        <v>89.727150367898602</v>
      </c>
      <c r="AK634">
        <v>170.02053514414499</v>
      </c>
      <c r="AL634">
        <v>88.503952300648606</v>
      </c>
      <c r="AM634">
        <v>88.906719023717997</v>
      </c>
      <c r="AN634">
        <v>0.99999995310823198</v>
      </c>
    </row>
    <row r="635" spans="1:40" x14ac:dyDescent="0.25">
      <c r="A635" t="str">
        <f>"20190312160921214"</f>
        <v>20190312160921214</v>
      </c>
      <c r="B635" t="str">
        <f>"1552378161206086"</f>
        <v>1552378161206086</v>
      </c>
      <c r="C635" t="s">
        <v>40</v>
      </c>
      <c r="D635">
        <v>5.4308310000000004</v>
      </c>
      <c r="E635">
        <v>0.4944906</v>
      </c>
      <c r="F635" t="s">
        <v>44</v>
      </c>
      <c r="G635">
        <v>-158.78319999999999</v>
      </c>
      <c r="H635">
        <v>5.3054249999999996</v>
      </c>
      <c r="I635">
        <v>367.66800000000001</v>
      </c>
      <c r="J635">
        <v>-328.52330000000001</v>
      </c>
      <c r="K635">
        <v>1.1093660000000001</v>
      </c>
      <c r="L635">
        <v>368.16680000000002</v>
      </c>
      <c r="M635">
        <v>0.99997499999999995</v>
      </c>
      <c r="N635">
        <v>0</v>
      </c>
      <c r="O635">
        <v>1.196609E-3</v>
      </c>
      <c r="P635">
        <v>0.9996408</v>
      </c>
      <c r="Q635">
        <v>2.033482E-2</v>
      </c>
      <c r="R635">
        <v>-1.7470070000000001E-2</v>
      </c>
      <c r="S635">
        <v>2.9994510000000001</v>
      </c>
      <c r="T635">
        <v>7.4006799999999998E-2</v>
      </c>
      <c r="U635">
        <v>-8.7890629999999997E-3</v>
      </c>
      <c r="V635">
        <v>1.8663470000000001E-2</v>
      </c>
      <c r="W635">
        <v>2.7300129999999999E-2</v>
      </c>
      <c r="X635">
        <v>0.99945309999999998</v>
      </c>
      <c r="Y635">
        <v>4.1252229999999999E-3</v>
      </c>
      <c r="Z635" s="1">
        <v>8.0404529999999994E-5</v>
      </c>
      <c r="AA635">
        <v>0.99999150000000003</v>
      </c>
      <c r="AB635">
        <v>34</v>
      </c>
      <c r="AC635">
        <v>169.74010000000001</v>
      </c>
      <c r="AD635">
        <v>4.196059</v>
      </c>
      <c r="AE635">
        <v>-0.49880000000001701</v>
      </c>
      <c r="AF635">
        <v>0.70148842887555196</v>
      </c>
      <c r="AG635">
        <v>4.196059</v>
      </c>
      <c r="AH635">
        <v>169.635717623115</v>
      </c>
      <c r="AI635">
        <v>88.583049578379899</v>
      </c>
      <c r="AJ635">
        <v>89.763068192149305</v>
      </c>
      <c r="AK635">
        <v>169.68905589535399</v>
      </c>
      <c r="AL635">
        <v>88.435623503813503</v>
      </c>
      <c r="AM635">
        <v>88.930201133948998</v>
      </c>
      <c r="AN635">
        <v>1.0000000606550301</v>
      </c>
    </row>
    <row r="636" spans="1:40" x14ac:dyDescent="0.25">
      <c r="A636" t="str">
        <f>"20190312160921235"</f>
        <v>20190312160921235</v>
      </c>
      <c r="B636" t="str">
        <f>"1552378161225233"</f>
        <v>1552378161225233</v>
      </c>
      <c r="C636" t="s">
        <v>40</v>
      </c>
      <c r="D636">
        <v>5.5496480000000004</v>
      </c>
      <c r="E636">
        <v>0.49415350000000002</v>
      </c>
      <c r="F636" t="s">
        <v>44</v>
      </c>
      <c r="G636">
        <v>-158.78319999999999</v>
      </c>
      <c r="H636">
        <v>5.6368179999999999</v>
      </c>
      <c r="I636">
        <v>367.69189999999998</v>
      </c>
      <c r="J636">
        <v>-328.1979</v>
      </c>
      <c r="K636">
        <v>1.109369</v>
      </c>
      <c r="L636">
        <v>368.16719999999998</v>
      </c>
      <c r="M636">
        <v>0.9999749</v>
      </c>
      <c r="N636">
        <v>0</v>
      </c>
      <c r="O636">
        <v>1.2525170000000001E-3</v>
      </c>
      <c r="P636">
        <v>0.99965320000000002</v>
      </c>
      <c r="Q636">
        <v>2.0101150000000002E-2</v>
      </c>
      <c r="R636">
        <v>-1.7009409999999999E-2</v>
      </c>
      <c r="S636">
        <v>2.9992679999999998</v>
      </c>
      <c r="T636">
        <v>8.0000520000000006E-2</v>
      </c>
      <c r="U636">
        <v>-8.3923339999999996E-3</v>
      </c>
      <c r="V636">
        <v>1.8259069999999999E-2</v>
      </c>
      <c r="W636">
        <v>2.7084199999999999E-2</v>
      </c>
      <c r="X636">
        <v>0.99946639999999998</v>
      </c>
      <c r="Y636">
        <v>4.0487730000000003E-3</v>
      </c>
      <c r="Z636" s="1">
        <v>8.7391119999999904E-5</v>
      </c>
      <c r="AA636">
        <v>0.99999179999999999</v>
      </c>
      <c r="AB636">
        <v>34</v>
      </c>
      <c r="AC636">
        <v>169.41470000000001</v>
      </c>
      <c r="AD636">
        <v>4.5274489999999998</v>
      </c>
      <c r="AE636">
        <v>-0.475300000000004</v>
      </c>
      <c r="AF636">
        <v>0.68700893762749704</v>
      </c>
      <c r="AG636">
        <v>4.5274489999999998</v>
      </c>
      <c r="AH636">
        <v>169.29306775808999</v>
      </c>
      <c r="AI636">
        <v>88.468101658350093</v>
      </c>
      <c r="AJ636">
        <v>89.767489023269405</v>
      </c>
      <c r="AK636">
        <v>169.35498978971199</v>
      </c>
      <c r="AL636">
        <v>88.447999888140501</v>
      </c>
      <c r="AM636">
        <v>88.953390242952196</v>
      </c>
      <c r="AN636">
        <v>1.0000000161279301</v>
      </c>
    </row>
    <row r="637" spans="1:40" x14ac:dyDescent="0.25">
      <c r="A637" t="str">
        <f>"20190312160921259"</f>
        <v>20190312160921259</v>
      </c>
      <c r="B637" t="str">
        <f>"1552378161255489"</f>
        <v>1552378161255489</v>
      </c>
      <c r="C637" t="s">
        <v>40</v>
      </c>
      <c r="D637">
        <v>5.4713180000000001</v>
      </c>
      <c r="E637">
        <v>0.49368410000000001</v>
      </c>
      <c r="F637" t="s">
        <v>44</v>
      </c>
      <c r="G637">
        <v>-158.78319999999999</v>
      </c>
      <c r="H637">
        <v>5.6958310000000001</v>
      </c>
      <c r="I637">
        <v>367.93630000000002</v>
      </c>
      <c r="J637">
        <v>-327.85070000000002</v>
      </c>
      <c r="K637">
        <v>1.10937</v>
      </c>
      <c r="L637">
        <v>368.16770000000002</v>
      </c>
      <c r="M637">
        <v>0.99997460000000005</v>
      </c>
      <c r="N637">
        <v>0</v>
      </c>
      <c r="O637">
        <v>1.3125729999999901E-3</v>
      </c>
      <c r="P637">
        <v>0.99964649999999999</v>
      </c>
      <c r="Q637">
        <v>1.9974180000000001E-2</v>
      </c>
      <c r="R637">
        <v>-1.7556229999999999E-2</v>
      </c>
      <c r="S637">
        <v>2.9993289999999999</v>
      </c>
      <c r="T637">
        <v>8.1200480000000005E-2</v>
      </c>
      <c r="U637">
        <v>-4.0893550000000002E-3</v>
      </c>
      <c r="V637">
        <v>1.8865639999999999E-2</v>
      </c>
      <c r="W637">
        <v>2.6982200000000001E-2</v>
      </c>
      <c r="X637">
        <v>0.99945790000000001</v>
      </c>
      <c r="Y637">
        <v>2.6745649999999998E-3</v>
      </c>
      <c r="Z637" s="1">
        <v>7.1726939999999995E-5</v>
      </c>
      <c r="AA637">
        <v>0.99999640000000001</v>
      </c>
      <c r="AB637">
        <v>34</v>
      </c>
      <c r="AC637">
        <v>169.0675</v>
      </c>
      <c r="AD637">
        <v>4.5864609999999999</v>
      </c>
      <c r="AE637">
        <v>-0.23140000000000699</v>
      </c>
      <c r="AF637">
        <v>0.452985318085176</v>
      </c>
      <c r="AG637">
        <v>4.5864609999999999</v>
      </c>
      <c r="AH637">
        <v>168.94272122226201</v>
      </c>
      <c r="AI637">
        <v>88.444920372427603</v>
      </c>
      <c r="AJ637">
        <v>89.846373465974693</v>
      </c>
      <c r="AK637">
        <v>169.00557350036101</v>
      </c>
      <c r="AL637">
        <v>88.453846204306302</v>
      </c>
      <c r="AM637">
        <v>88.918620583901003</v>
      </c>
      <c r="AN637">
        <v>1.00000002268092</v>
      </c>
    </row>
    <row r="638" spans="1:40" x14ac:dyDescent="0.25">
      <c r="A638" t="str">
        <f>"20190312160921280"</f>
        <v>20190312160921280</v>
      </c>
      <c r="B638" t="str">
        <f>"1552378161275985"</f>
        <v>1552378161275985</v>
      </c>
      <c r="C638" t="s">
        <v>40</v>
      </c>
      <c r="D638">
        <v>5.4325869999999998</v>
      </c>
      <c r="E638">
        <v>0.49356080000000002</v>
      </c>
      <c r="F638" t="s">
        <v>44</v>
      </c>
      <c r="G638">
        <v>-158.78319999999999</v>
      </c>
      <c r="H638">
        <v>5.8223349999999998</v>
      </c>
      <c r="I638">
        <v>368.05419999999998</v>
      </c>
      <c r="J638">
        <v>-327.51159999999999</v>
      </c>
      <c r="K638">
        <v>1.1093569999999999</v>
      </c>
      <c r="L638">
        <v>368.16820000000001</v>
      </c>
      <c r="M638">
        <v>0.99997440000000004</v>
      </c>
      <c r="N638">
        <v>0</v>
      </c>
      <c r="O638">
        <v>1.3710770000000001E-3</v>
      </c>
      <c r="P638">
        <v>0.99966290000000002</v>
      </c>
      <c r="Q638">
        <v>1.8712619999999999E-2</v>
      </c>
      <c r="R638">
        <v>-1.8010910000000002E-2</v>
      </c>
      <c r="S638">
        <v>2.9993590000000001</v>
      </c>
      <c r="T638">
        <v>8.3612320000000004E-2</v>
      </c>
      <c r="U638">
        <v>-2.0141600000000001E-3</v>
      </c>
      <c r="V638">
        <v>1.93791E-2</v>
      </c>
      <c r="W638">
        <v>2.5746189999999999E-2</v>
      </c>
      <c r="X638">
        <v>0.9994807</v>
      </c>
      <c r="Y638">
        <v>2.0413139999999998E-3</v>
      </c>
      <c r="Z638" s="1">
        <v>6.666171E-5</v>
      </c>
      <c r="AA638">
        <v>0.9999979</v>
      </c>
      <c r="AB638">
        <v>34</v>
      </c>
      <c r="AC638">
        <v>168.72839999999999</v>
      </c>
      <c r="AD638">
        <v>4.7129779999999997</v>
      </c>
      <c r="AE638">
        <v>-0.11400000000003201</v>
      </c>
      <c r="AF638">
        <v>0.345075992879809</v>
      </c>
      <c r="AG638">
        <v>4.7129779999999997</v>
      </c>
      <c r="AH638">
        <v>168.59654355475101</v>
      </c>
      <c r="AI638">
        <v>88.398763863169094</v>
      </c>
      <c r="AJ638">
        <v>89.882729681299196</v>
      </c>
      <c r="AK638">
        <v>168.66275741158299</v>
      </c>
      <c r="AL638">
        <v>88.524689017916003</v>
      </c>
      <c r="AM638">
        <v>88.889221641096995</v>
      </c>
      <c r="AN638">
        <v>1.0000000427444</v>
      </c>
    </row>
    <row r="639" spans="1:40" x14ac:dyDescent="0.25">
      <c r="A639" t="str">
        <f>"20190312160921303"</f>
        <v>20190312160921303</v>
      </c>
      <c r="B639" t="str">
        <f>"1552378161295509"</f>
        <v>1552378161295509</v>
      </c>
      <c r="C639" t="s">
        <v>40</v>
      </c>
      <c r="D639">
        <v>5.547485</v>
      </c>
      <c r="E639">
        <v>0.49376249999999999</v>
      </c>
      <c r="F639" t="s">
        <v>44</v>
      </c>
      <c r="G639">
        <v>-158.78319999999999</v>
      </c>
      <c r="H639">
        <v>5.6183290000000001</v>
      </c>
      <c r="I639">
        <v>368.0412</v>
      </c>
      <c r="J639">
        <v>-327.16309999999999</v>
      </c>
      <c r="K639">
        <v>1.109354</v>
      </c>
      <c r="L639">
        <v>368.16879999999998</v>
      </c>
      <c r="M639">
        <v>0.99997409999999998</v>
      </c>
      <c r="N639">
        <v>0</v>
      </c>
      <c r="O639">
        <v>1.431011E-3</v>
      </c>
      <c r="P639">
        <v>0.99966849999999996</v>
      </c>
      <c r="Q639">
        <v>1.8622070000000001E-2</v>
      </c>
      <c r="R639">
        <v>-1.7785800000000001E-2</v>
      </c>
      <c r="S639">
        <v>2.9994809999999998</v>
      </c>
      <c r="T639">
        <v>8.0157399999999907E-2</v>
      </c>
      <c r="U639">
        <v>-2.2583009999999999E-3</v>
      </c>
      <c r="V639">
        <v>1.9213839999999999E-2</v>
      </c>
      <c r="W639">
        <v>2.5682320000000002E-2</v>
      </c>
      <c r="X639">
        <v>0.99948550000000003</v>
      </c>
      <c r="Y639">
        <v>2.1826520000000002E-3</v>
      </c>
      <c r="Z639" s="1">
        <v>6.7395240000000004E-5</v>
      </c>
      <c r="AA639">
        <v>0.99999760000000004</v>
      </c>
      <c r="AB639">
        <v>34</v>
      </c>
      <c r="AC639">
        <v>168.37989999999999</v>
      </c>
      <c r="AD639">
        <v>4.5089750000000004</v>
      </c>
      <c r="AE639">
        <v>-0.12759999999997201</v>
      </c>
      <c r="AF639">
        <v>0.36829525095161098</v>
      </c>
      <c r="AG639">
        <v>4.5089750000000004</v>
      </c>
      <c r="AH639">
        <v>168.25888787455199</v>
      </c>
      <c r="AI639">
        <v>88.464967838790798</v>
      </c>
      <c r="AJ639">
        <v>89.874587725732596</v>
      </c>
      <c r="AK639">
        <v>168.319695358931</v>
      </c>
      <c r="AL639">
        <v>88.528349659933397</v>
      </c>
      <c r="AM639">
        <v>88.898697019058204</v>
      </c>
      <c r="AN639">
        <v>1.0000000089591801</v>
      </c>
    </row>
    <row r="640" spans="1:40" x14ac:dyDescent="0.25">
      <c r="A640" t="str">
        <f>"20190312160921325"</f>
        <v>20190312160921325</v>
      </c>
      <c r="B640" t="str">
        <f>"1552378161315914"</f>
        <v>1552378161315914</v>
      </c>
      <c r="C640" t="s">
        <v>40</v>
      </c>
      <c r="D640">
        <v>6.0242269999999998</v>
      </c>
      <c r="E640">
        <v>0.49376769999999998</v>
      </c>
      <c r="F640" t="s">
        <v>44</v>
      </c>
      <c r="G640">
        <v>-158.78319999999999</v>
      </c>
      <c r="H640">
        <v>5.3422280000000004</v>
      </c>
      <c r="I640">
        <v>367.99059999999997</v>
      </c>
      <c r="J640">
        <v>-326.83429999999998</v>
      </c>
      <c r="K640">
        <v>1.1093569999999999</v>
      </c>
      <c r="L640">
        <v>368.16930000000002</v>
      </c>
      <c r="M640">
        <v>0.99997380000000002</v>
      </c>
      <c r="N640">
        <v>0</v>
      </c>
      <c r="O640">
        <v>1.48767E-3</v>
      </c>
      <c r="P640">
        <v>0.99966160000000004</v>
      </c>
      <c r="Q640">
        <v>1.9067870000000001E-2</v>
      </c>
      <c r="R640">
        <v>-1.7693500000000001E-2</v>
      </c>
      <c r="S640">
        <v>2.9995120000000002</v>
      </c>
      <c r="T640">
        <v>7.5405719999999996E-2</v>
      </c>
      <c r="U640">
        <v>-3.1738280000000001E-3</v>
      </c>
      <c r="V640">
        <v>1.9178130000000002E-2</v>
      </c>
      <c r="W640">
        <v>2.6153269999999999E-2</v>
      </c>
      <c r="X640">
        <v>0.99947399999999997</v>
      </c>
      <c r="Y640">
        <v>2.544546E-3</v>
      </c>
      <c r="Z640" s="1">
        <v>6.9373069999999898E-5</v>
      </c>
      <c r="AA640">
        <v>0.99999680000000002</v>
      </c>
      <c r="AB640">
        <v>34</v>
      </c>
      <c r="AC640">
        <v>168.05109999999999</v>
      </c>
      <c r="AD640">
        <v>4.2328709999999896</v>
      </c>
      <c r="AE640">
        <v>-0.17870000000004799</v>
      </c>
      <c r="AF640">
        <v>0.42843883937961902</v>
      </c>
      <c r="AG640">
        <v>4.2328709999999896</v>
      </c>
      <c r="AH640">
        <v>167.944098628978</v>
      </c>
      <c r="AI640">
        <v>88.556224826755894</v>
      </c>
      <c r="AJ640">
        <v>89.853834197067698</v>
      </c>
      <c r="AK640">
        <v>167.99797921713699</v>
      </c>
      <c r="AL640">
        <v>88.501357184864105</v>
      </c>
      <c r="AM640">
        <v>88.900730704748696</v>
      </c>
      <c r="AN640">
        <v>1.00000003543899</v>
      </c>
    </row>
    <row r="641" spans="1:40" x14ac:dyDescent="0.25">
      <c r="A641" t="str">
        <f>"20190312160921348"</f>
        <v>20190312160921348</v>
      </c>
      <c r="B641" t="str">
        <f>"1552378161346169"</f>
        <v>1552378161346169</v>
      </c>
      <c r="C641" t="s">
        <v>40</v>
      </c>
      <c r="D641">
        <v>5.4999269999999996</v>
      </c>
      <c r="E641">
        <v>0.49376959999999998</v>
      </c>
      <c r="F641" t="s">
        <v>44</v>
      </c>
      <c r="G641">
        <v>-158.78319999999999</v>
      </c>
      <c r="H641">
        <v>5.3167799999999996</v>
      </c>
      <c r="I641">
        <v>367.9864</v>
      </c>
      <c r="J641">
        <v>-326.47829999999999</v>
      </c>
      <c r="K641">
        <v>1.1093630000000001</v>
      </c>
      <c r="L641">
        <v>368.16989999999998</v>
      </c>
      <c r="M641">
        <v>0.99997360000000002</v>
      </c>
      <c r="N641">
        <v>0</v>
      </c>
      <c r="O641">
        <v>1.548556E-3</v>
      </c>
      <c r="P641">
        <v>0.9996524</v>
      </c>
      <c r="Q641">
        <v>1.9464740000000001E-2</v>
      </c>
      <c r="R641">
        <v>-1.779087E-2</v>
      </c>
      <c r="S641">
        <v>2.9995120000000002</v>
      </c>
      <c r="T641">
        <v>7.5098990000000004E-2</v>
      </c>
      <c r="U641">
        <v>-3.2653809999999999E-3</v>
      </c>
      <c r="V641">
        <v>1.9336320000000001E-2</v>
      </c>
      <c r="W641">
        <v>2.6575600000000001E-2</v>
      </c>
      <c r="X641">
        <v>0.99945980000000001</v>
      </c>
      <c r="Y641">
        <v>2.635919E-3</v>
      </c>
      <c r="Z641" s="1">
        <v>7.1758859999999897E-5</v>
      </c>
      <c r="AA641">
        <v>0.99999649999999995</v>
      </c>
      <c r="AB641">
        <v>34</v>
      </c>
      <c r="AC641">
        <v>167.6951</v>
      </c>
      <c r="AD641">
        <v>4.2074169999999897</v>
      </c>
      <c r="AE641">
        <v>-0.18349999999998001</v>
      </c>
      <c r="AF641">
        <v>0.442912767918068</v>
      </c>
      <c r="AG641">
        <v>4.2074169999999897</v>
      </c>
      <c r="AH641">
        <v>167.58911883332101</v>
      </c>
      <c r="AI641">
        <v>88.561865060750904</v>
      </c>
      <c r="AJ641">
        <v>89.848576247743097</v>
      </c>
      <c r="AK641">
        <v>167.64251036315599</v>
      </c>
      <c r="AL641">
        <v>88.477151027147698</v>
      </c>
      <c r="AM641">
        <v>88.891649937727095</v>
      </c>
      <c r="AN641">
        <v>1.0000000238012701</v>
      </c>
    </row>
    <row r="642" spans="1:40" x14ac:dyDescent="0.25">
      <c r="A642" t="str">
        <f>"20190312160921371"</f>
        <v>20190312160921371</v>
      </c>
      <c r="B642" t="str">
        <f>"1552378161365689"</f>
        <v>1552378161365689</v>
      </c>
      <c r="C642" t="s">
        <v>40</v>
      </c>
      <c r="D642">
        <v>5.5678859999999997</v>
      </c>
      <c r="E642">
        <v>0.4938091</v>
      </c>
      <c r="F642" t="s">
        <v>44</v>
      </c>
      <c r="G642">
        <v>-158.78319999999999</v>
      </c>
      <c r="H642">
        <v>5.3959900000000003</v>
      </c>
      <c r="I642">
        <v>367.96519999999998</v>
      </c>
      <c r="J642">
        <v>-326.11840000000001</v>
      </c>
      <c r="K642">
        <v>1.1093660000000001</v>
      </c>
      <c r="L642">
        <v>368.1705</v>
      </c>
      <c r="M642">
        <v>0.99997320000000001</v>
      </c>
      <c r="N642">
        <v>0</v>
      </c>
      <c r="O642">
        <v>1.6104559999999999E-3</v>
      </c>
      <c r="P642">
        <v>0.99964070000000005</v>
      </c>
      <c r="Q642">
        <v>1.996187E-2</v>
      </c>
      <c r="R642">
        <v>-1.7888629999999999E-2</v>
      </c>
      <c r="S642">
        <v>2.9994809999999998</v>
      </c>
      <c r="T642">
        <v>7.6674339999999994E-2</v>
      </c>
      <c r="U642">
        <v>-3.6621090000000002E-3</v>
      </c>
      <c r="V642">
        <v>1.949565E-2</v>
      </c>
      <c r="W642">
        <v>2.7098029999999999E-2</v>
      </c>
      <c r="X642">
        <v>0.99944259999999996</v>
      </c>
      <c r="Y642">
        <v>2.8299570000000001E-3</v>
      </c>
      <c r="Z642" s="1">
        <v>7.7326169999999996E-5</v>
      </c>
      <c r="AA642">
        <v>0.999996</v>
      </c>
      <c r="AB642">
        <v>35</v>
      </c>
      <c r="AC642">
        <v>167.33519999999999</v>
      </c>
      <c r="AD642">
        <v>4.2866239999999998</v>
      </c>
      <c r="AE642">
        <v>-0.20530000000002199</v>
      </c>
      <c r="AF642">
        <v>0.474481215130934</v>
      </c>
      <c r="AG642">
        <v>4.2866239999999998</v>
      </c>
      <c r="AH642">
        <v>167.22491449351401</v>
      </c>
      <c r="AI642">
        <v>88.531614131488197</v>
      </c>
      <c r="AJ642">
        <v>89.837430336186998</v>
      </c>
      <c r="AK642">
        <v>167.28051980163099</v>
      </c>
      <c r="AL642">
        <v>88.447207089440099</v>
      </c>
      <c r="AM642">
        <v>88.882500286286202</v>
      </c>
      <c r="AN642">
        <v>0.99999994714677998</v>
      </c>
    </row>
    <row r="643" spans="1:40" x14ac:dyDescent="0.25">
      <c r="A643" t="str">
        <f>"20190312160921394"</f>
        <v>20190312160921394</v>
      </c>
      <c r="B643" t="str">
        <f>"1552378161385209"</f>
        <v>1552378161385209</v>
      </c>
      <c r="C643" t="s">
        <v>40</v>
      </c>
      <c r="D643">
        <v>5.5281469999999997</v>
      </c>
      <c r="E643">
        <v>0.49384339999999999</v>
      </c>
      <c r="F643" t="s">
        <v>44</v>
      </c>
      <c r="G643">
        <v>-158.78319999999999</v>
      </c>
      <c r="H643">
        <v>5.5085660000000001</v>
      </c>
      <c r="I643">
        <v>367.94069999999999</v>
      </c>
      <c r="J643">
        <v>-325.76170000000002</v>
      </c>
      <c r="K643">
        <v>1.109375</v>
      </c>
      <c r="L643">
        <v>368.17110000000002</v>
      </c>
      <c r="M643">
        <v>0.99997309999999995</v>
      </c>
      <c r="N643">
        <v>0</v>
      </c>
      <c r="O643">
        <v>1.6720610000000001E-3</v>
      </c>
      <c r="P643">
        <v>0.99964219999999904</v>
      </c>
      <c r="Q643">
        <v>2.0501169999999999E-2</v>
      </c>
      <c r="R643">
        <v>-1.7178619999999999E-2</v>
      </c>
      <c r="S643">
        <v>2.9994510000000001</v>
      </c>
      <c r="T643">
        <v>7.8856350000000006E-2</v>
      </c>
      <c r="U643">
        <v>-4.1198729999999996E-3</v>
      </c>
      <c r="V643">
        <v>1.88474E-2</v>
      </c>
      <c r="W643">
        <v>2.7661439999999999E-2</v>
      </c>
      <c r="X643">
        <v>0.99943970000000004</v>
      </c>
      <c r="Y643">
        <v>3.044012E-3</v>
      </c>
      <c r="Z643" s="1">
        <v>8.3959430000000003E-5</v>
      </c>
      <c r="AA643">
        <v>0.99999539999999998</v>
      </c>
      <c r="AB643">
        <v>35</v>
      </c>
      <c r="AC643">
        <v>166.9785</v>
      </c>
      <c r="AD643">
        <v>4.3991910000000001</v>
      </c>
      <c r="AE643">
        <v>-0.230400000000031</v>
      </c>
      <c r="AF643">
        <v>0.50925156305512898</v>
      </c>
      <c r="AG643">
        <v>4.3991910000000001</v>
      </c>
      <c r="AH643">
        <v>166.86206191864599</v>
      </c>
      <c r="AI643">
        <v>88.489797338648799</v>
      </c>
      <c r="AJ643">
        <v>89.825137755413806</v>
      </c>
      <c r="AK643">
        <v>166.920819331655</v>
      </c>
      <c r="AL643">
        <v>88.414914123698495</v>
      </c>
      <c r="AM643">
        <v>88.919646185251906</v>
      </c>
      <c r="AN643">
        <v>1.00000004684286</v>
      </c>
    </row>
    <row r="644" spans="1:40" x14ac:dyDescent="0.25">
      <c r="A644" t="str">
        <f>"20190312160921414"</f>
        <v>20190312160921414</v>
      </c>
      <c r="B644" t="str">
        <f>"1552378161405709"</f>
        <v>1552378161405709</v>
      </c>
      <c r="C644" t="s">
        <v>40</v>
      </c>
      <c r="D644">
        <v>5.524572</v>
      </c>
      <c r="E644">
        <v>0.49412240000000002</v>
      </c>
      <c r="F644" t="s">
        <v>44</v>
      </c>
      <c r="G644">
        <v>-158.78319999999999</v>
      </c>
      <c r="H644">
        <v>5.5811359999999999</v>
      </c>
      <c r="I644">
        <v>368.0471</v>
      </c>
      <c r="J644">
        <v>-325.44130000000001</v>
      </c>
      <c r="K644">
        <v>1.1093740000000001</v>
      </c>
      <c r="L644">
        <v>368.17169999999999</v>
      </c>
      <c r="M644">
        <v>0.99997290000000005</v>
      </c>
      <c r="N644">
        <v>0</v>
      </c>
      <c r="O644">
        <v>1.72736E-3</v>
      </c>
      <c r="P644">
        <v>0.99963869999999999</v>
      </c>
      <c r="Q644">
        <v>2.0923549999999999E-2</v>
      </c>
      <c r="R644">
        <v>-1.6878509999999999E-2</v>
      </c>
      <c r="S644">
        <v>2.9993590000000001</v>
      </c>
      <c r="T644">
        <v>8.0325720000000003E-2</v>
      </c>
      <c r="U644">
        <v>-2.2277830000000001E-3</v>
      </c>
      <c r="V644">
        <v>1.860243E-2</v>
      </c>
      <c r="W644">
        <v>2.8104250000000001E-2</v>
      </c>
      <c r="X644">
        <v>0.99943190000000004</v>
      </c>
      <c r="Y644">
        <v>2.468652E-3</v>
      </c>
      <c r="Z644" s="1">
        <v>7.9303749999999994E-5</v>
      </c>
      <c r="AA644">
        <v>0.99999700000000002</v>
      </c>
      <c r="AB644">
        <v>35</v>
      </c>
      <c r="AC644">
        <v>166.65809999999999</v>
      </c>
      <c r="AD644">
        <v>4.471762</v>
      </c>
      <c r="AE644">
        <v>-0.124599999999986</v>
      </c>
      <c r="AF644">
        <v>0.41218896515626402</v>
      </c>
      <c r="AG644">
        <v>4.471762</v>
      </c>
      <c r="AH644">
        <v>166.53773674096601</v>
      </c>
      <c r="AI644">
        <v>88.461905626077396</v>
      </c>
      <c r="AJ644">
        <v>89.858190459991505</v>
      </c>
      <c r="AK644">
        <v>166.59827224173401</v>
      </c>
      <c r="AL644">
        <v>88.389533054630206</v>
      </c>
      <c r="AM644">
        <v>88.933676553063194</v>
      </c>
      <c r="AN644">
        <v>1.0000000110037801</v>
      </c>
    </row>
    <row r="645" spans="1:40" x14ac:dyDescent="0.25">
      <c r="A645" t="str">
        <f>"20190312160921437"</f>
        <v>20190312160921437</v>
      </c>
      <c r="B645" t="str">
        <f>"1552378161425733"</f>
        <v>1552378161425733</v>
      </c>
      <c r="C645" t="s">
        <v>40</v>
      </c>
      <c r="D645">
        <v>5.4959949999999997</v>
      </c>
      <c r="E645">
        <v>0.49437429999999899</v>
      </c>
      <c r="F645" t="s">
        <v>44</v>
      </c>
      <c r="G645">
        <v>-158.78319999999999</v>
      </c>
      <c r="H645">
        <v>5.5554230000000002</v>
      </c>
      <c r="I645">
        <v>367.96660000000003</v>
      </c>
      <c r="J645">
        <v>-325.09789999999998</v>
      </c>
      <c r="K645">
        <v>1.109378</v>
      </c>
      <c r="L645">
        <v>368.17239999999998</v>
      </c>
      <c r="M645">
        <v>0.99997259999999999</v>
      </c>
      <c r="N645">
        <v>0</v>
      </c>
      <c r="O645">
        <v>1.786117E-3</v>
      </c>
      <c r="P645">
        <v>0.99963340000000001</v>
      </c>
      <c r="Q645">
        <v>2.1501570000000001E-2</v>
      </c>
      <c r="R645">
        <v>-1.6473350000000001E-2</v>
      </c>
      <c r="S645">
        <v>2.9993289999999999</v>
      </c>
      <c r="T645">
        <v>8.0016610000000002E-2</v>
      </c>
      <c r="U645">
        <v>-3.692627E-3</v>
      </c>
      <c r="V645">
        <v>1.8255770000000001E-2</v>
      </c>
      <c r="W645">
        <v>2.8703389999999999E-2</v>
      </c>
      <c r="X645">
        <v>0.99942120000000001</v>
      </c>
      <c r="Y645">
        <v>3.015602E-3</v>
      </c>
      <c r="Z645" s="1">
        <v>8.7861299999999999E-5</v>
      </c>
      <c r="AA645">
        <v>0.99999550000000004</v>
      </c>
      <c r="AB645">
        <v>35</v>
      </c>
      <c r="AC645">
        <v>166.31469999999999</v>
      </c>
      <c r="AD645">
        <v>4.4460449999999998</v>
      </c>
      <c r="AE645">
        <v>-0.20579999999995299</v>
      </c>
      <c r="AF645">
        <v>0.50250574103224699</v>
      </c>
      <c r="AG645">
        <v>4.4460449999999998</v>
      </c>
      <c r="AH645">
        <v>166.19529772070501</v>
      </c>
      <c r="AI645">
        <v>88.467599802508602</v>
      </c>
      <c r="AJ645">
        <v>89.826761822989397</v>
      </c>
      <c r="AK645">
        <v>166.25551663820301</v>
      </c>
      <c r="AL645">
        <v>88.355190898837606</v>
      </c>
      <c r="AM645">
        <v>88.953532041782793</v>
      </c>
      <c r="AN645">
        <v>0.99999994637261103</v>
      </c>
    </row>
    <row r="646" spans="1:40" x14ac:dyDescent="0.25">
      <c r="A646" t="str">
        <f>"20190312160921459"</f>
        <v>20190312160921459</v>
      </c>
      <c r="B646" t="str">
        <f>"1552378161455989"</f>
        <v>1552378161455989</v>
      </c>
      <c r="C646" t="s">
        <v>40</v>
      </c>
      <c r="D646">
        <v>5.6102959999999999</v>
      </c>
      <c r="E646">
        <v>0.49446990000000002</v>
      </c>
      <c r="F646" t="s">
        <v>44</v>
      </c>
      <c r="G646">
        <v>-158.78319999999999</v>
      </c>
      <c r="H646">
        <v>5.4432519999999904</v>
      </c>
      <c r="I646">
        <v>367.92020000000002</v>
      </c>
      <c r="J646">
        <v>-324.74400000000003</v>
      </c>
      <c r="K646">
        <v>1.1093740000000001</v>
      </c>
      <c r="L646">
        <v>368.17309999999998</v>
      </c>
      <c r="M646">
        <v>0.99997219999999998</v>
      </c>
      <c r="N646">
        <v>0</v>
      </c>
      <c r="O646">
        <v>1.8468429999999999E-3</v>
      </c>
      <c r="P646">
        <v>0.99963360000000001</v>
      </c>
      <c r="Q646">
        <v>2.1369849999999999E-2</v>
      </c>
      <c r="R646">
        <v>-1.6625910000000001E-2</v>
      </c>
      <c r="S646">
        <v>2.9993289999999999</v>
      </c>
      <c r="T646">
        <v>7.8158859999999997E-2</v>
      </c>
      <c r="U646">
        <v>-4.5471189999999996E-3</v>
      </c>
      <c r="V646">
        <v>1.8469099999999999E-2</v>
      </c>
      <c r="W646">
        <v>2.859281E-2</v>
      </c>
      <c r="X646">
        <v>0.99942050000000004</v>
      </c>
      <c r="Y646">
        <v>3.361162E-3</v>
      </c>
      <c r="Z646" s="1">
        <v>9.1905979999999996E-5</v>
      </c>
      <c r="AA646">
        <v>0.9999943</v>
      </c>
      <c r="AB646">
        <v>35</v>
      </c>
      <c r="AC646">
        <v>165.96080000000001</v>
      </c>
      <c r="AD646">
        <v>4.3338780000000003</v>
      </c>
      <c r="AE646">
        <v>-0.25289999999995399</v>
      </c>
      <c r="AF646">
        <v>0.55902988812482901</v>
      </c>
      <c r="AG646">
        <v>4.3338780000000003</v>
      </c>
      <c r="AH646">
        <v>165.84695346574901</v>
      </c>
      <c r="AI646">
        <v>88.503107806720394</v>
      </c>
      <c r="AJ646">
        <v>89.806870543991593</v>
      </c>
      <c r="AK646">
        <v>165.904511652953</v>
      </c>
      <c r="AL646">
        <v>88.361529349553606</v>
      </c>
      <c r="AM646">
        <v>88.941305440202001</v>
      </c>
      <c r="AN646">
        <v>0.99999999612937795</v>
      </c>
    </row>
    <row r="647" spans="1:40" x14ac:dyDescent="0.25">
      <c r="A647" t="str">
        <f>"20190312160921482"</f>
        <v>20190312160921482</v>
      </c>
      <c r="B647" t="str">
        <f>"1552378161475513"</f>
        <v>1552378161475513</v>
      </c>
      <c r="C647" t="s">
        <v>40</v>
      </c>
      <c r="D647">
        <v>5.5338969999999996</v>
      </c>
      <c r="E647">
        <v>0.49453829999999999</v>
      </c>
      <c r="F647" t="s">
        <v>44</v>
      </c>
      <c r="G647">
        <v>-158.78319999999999</v>
      </c>
      <c r="H647">
        <v>5.4072820000000004</v>
      </c>
      <c r="I647">
        <v>367.85730000000001</v>
      </c>
      <c r="J647">
        <v>-324.38299999999998</v>
      </c>
      <c r="K647">
        <v>1.109381</v>
      </c>
      <c r="L647">
        <v>368.17380000000003</v>
      </c>
      <c r="M647">
        <v>0.99997190000000002</v>
      </c>
      <c r="N647">
        <v>0</v>
      </c>
      <c r="O647">
        <v>1.908582E-3</v>
      </c>
      <c r="P647">
        <v>0.99963310000000005</v>
      </c>
      <c r="Q647">
        <v>2.143072E-2</v>
      </c>
      <c r="R647">
        <v>-1.657173E-2</v>
      </c>
      <c r="S647">
        <v>2.9993590000000001</v>
      </c>
      <c r="T647">
        <v>7.7676300000000004E-2</v>
      </c>
      <c r="U647">
        <v>-5.7067869999999996E-3</v>
      </c>
      <c r="V647">
        <v>1.84764E-2</v>
      </c>
      <c r="W647">
        <v>2.8673359999999998E-2</v>
      </c>
      <c r="X647">
        <v>0.99941809999999998</v>
      </c>
      <c r="Y647">
        <v>3.8093739999999999E-3</v>
      </c>
      <c r="Z647" s="1">
        <v>9.8739289999999998E-5</v>
      </c>
      <c r="AA647">
        <v>0.99999269999999996</v>
      </c>
      <c r="AB647">
        <v>35</v>
      </c>
      <c r="AC647">
        <v>165.59979999999999</v>
      </c>
      <c r="AD647">
        <v>4.2979010000000004</v>
      </c>
      <c r="AE647">
        <v>-0.31650000000001899</v>
      </c>
      <c r="AF647">
        <v>0.63214272577497499</v>
      </c>
      <c r="AG647">
        <v>4.2979010000000004</v>
      </c>
      <c r="AH647">
        <v>165.48742464483499</v>
      </c>
      <c r="AI647">
        <v>88.512307204293606</v>
      </c>
      <c r="AJ647">
        <v>89.781137846865207</v>
      </c>
      <c r="AK647">
        <v>165.54443292666599</v>
      </c>
      <c r="AL647">
        <v>88.356912351526802</v>
      </c>
      <c r="AM647">
        <v>88.940884538645605</v>
      </c>
      <c r="AN647">
        <v>1.0000000387691199</v>
      </c>
    </row>
    <row r="648" spans="1:40" x14ac:dyDescent="0.25">
      <c r="A648" t="str">
        <f>"20190312160921504"</f>
        <v>20190312160921504</v>
      </c>
      <c r="B648" t="str">
        <f>"1552378161496005"</f>
        <v>1552378161496005</v>
      </c>
      <c r="C648" t="s">
        <v>40</v>
      </c>
      <c r="D648">
        <v>5.5530920000000004</v>
      </c>
      <c r="E648">
        <v>0.50220799999999999</v>
      </c>
      <c r="F648" t="s">
        <v>44</v>
      </c>
      <c r="G648">
        <v>-158.78319999999999</v>
      </c>
      <c r="H648">
        <v>5.3907879999999997</v>
      </c>
      <c r="I648">
        <v>367.84519999999998</v>
      </c>
      <c r="J648">
        <v>-324.04140000000001</v>
      </c>
      <c r="K648">
        <v>1.1093770000000001</v>
      </c>
      <c r="L648">
        <v>368.17450000000002</v>
      </c>
      <c r="M648">
        <v>0.99997170000000002</v>
      </c>
      <c r="N648">
        <v>0</v>
      </c>
      <c r="O648">
        <v>1.9672880000000002E-3</v>
      </c>
      <c r="P648">
        <v>0.99962229999999996</v>
      </c>
      <c r="Q648">
        <v>2.1684930000000002E-2</v>
      </c>
      <c r="R648">
        <v>-1.6895750000000001E-2</v>
      </c>
      <c r="S648">
        <v>2.9993289999999999</v>
      </c>
      <c r="T648">
        <v>7.7546000000000004E-2</v>
      </c>
      <c r="U648">
        <v>-5.9509280000000003E-3</v>
      </c>
      <c r="V648">
        <v>1.885914E-2</v>
      </c>
      <c r="W648">
        <v>2.8946E-2</v>
      </c>
      <c r="X648">
        <v>0.99940309999999999</v>
      </c>
      <c r="Y648">
        <v>3.9494389999999999E-3</v>
      </c>
      <c r="Z648">
        <v>1.019027E-4</v>
      </c>
      <c r="AA648">
        <v>0.9999922</v>
      </c>
      <c r="AB648">
        <v>35</v>
      </c>
      <c r="AC648">
        <v>165.25819999999999</v>
      </c>
      <c r="AD648">
        <v>4.2814109999999896</v>
      </c>
      <c r="AE648">
        <v>-0.329300000000046</v>
      </c>
      <c r="AF648">
        <v>0.65397946312026001</v>
      </c>
      <c r="AG648">
        <v>4.2814109999999896</v>
      </c>
      <c r="AH648">
        <v>165.14638758702</v>
      </c>
      <c r="AI648">
        <v>88.514954355417601</v>
      </c>
      <c r="AJ648">
        <v>89.773109979516093</v>
      </c>
      <c r="AK648">
        <v>165.20317037615101</v>
      </c>
      <c r="AL648">
        <v>88.341284757933806</v>
      </c>
      <c r="AM648">
        <v>88.918933815301301</v>
      </c>
      <c r="AN648">
        <v>1.0000000471835699</v>
      </c>
    </row>
    <row r="649" spans="1:40" x14ac:dyDescent="0.25">
      <c r="A649" t="str">
        <f>"20190312160921527"</f>
        <v>20190312160921527</v>
      </c>
      <c r="B649" t="str">
        <f>"1552378161515528"</f>
        <v>1552378161515528</v>
      </c>
      <c r="C649" t="s">
        <v>40</v>
      </c>
      <c r="D649">
        <v>5.4362339999999998</v>
      </c>
      <c r="E649">
        <v>0.500496099999999</v>
      </c>
      <c r="F649" t="s">
        <v>46</v>
      </c>
      <c r="G649">
        <v>-180</v>
      </c>
      <c r="H649">
        <v>1.035005E-2</v>
      </c>
      <c r="I649">
        <v>364.83859999999999</v>
      </c>
      <c r="J649">
        <v>-323.69060000000002</v>
      </c>
      <c r="K649">
        <v>1.1093770000000001</v>
      </c>
      <c r="L649">
        <v>368.17520000000002</v>
      </c>
      <c r="M649">
        <v>0.99997139999999995</v>
      </c>
      <c r="N649">
        <v>0</v>
      </c>
      <c r="O649">
        <v>2.0259900000000001E-3</v>
      </c>
      <c r="P649">
        <v>0.99961480000000003</v>
      </c>
      <c r="Q649">
        <v>2.1828029999999998E-2</v>
      </c>
      <c r="R649">
        <v>-1.7138199999999999E-2</v>
      </c>
      <c r="S649">
        <v>3.0004580000000001</v>
      </c>
      <c r="T649">
        <v>-2.289331E-2</v>
      </c>
      <c r="U649">
        <v>-6.9488530000000007E-2</v>
      </c>
      <c r="V649">
        <v>1.9160389999999999E-2</v>
      </c>
      <c r="W649">
        <v>2.9107580000000001E-2</v>
      </c>
      <c r="X649">
        <v>0.99939259999999996</v>
      </c>
      <c r="Y649">
        <v>2.5177769999999999E-2</v>
      </c>
      <c r="Z649">
        <v>-1.1149449999999999E-4</v>
      </c>
      <c r="AA649">
        <v>0.99968299999999999</v>
      </c>
      <c r="AB649">
        <v>35</v>
      </c>
      <c r="AC649">
        <v>143.69059999999999</v>
      </c>
      <c r="AD649">
        <v>-1.0990269500000001</v>
      </c>
      <c r="AE649">
        <v>-3.33660000000003</v>
      </c>
      <c r="AF649">
        <v>3.6275045025416199</v>
      </c>
      <c r="AG649">
        <v>-1.0990269500000001</v>
      </c>
      <c r="AH649">
        <v>143.67514444183101</v>
      </c>
      <c r="AI649">
        <v>90.438129492655193</v>
      </c>
      <c r="AJ649">
        <v>88.553705635689496</v>
      </c>
      <c r="AK649">
        <v>143.725132734445</v>
      </c>
      <c r="AL649">
        <v>88.332022875519897</v>
      </c>
      <c r="AM649">
        <v>88.901657862658297</v>
      </c>
      <c r="AN649">
        <v>0.99999997034658294</v>
      </c>
    </row>
    <row r="650" spans="1:40" x14ac:dyDescent="0.25">
      <c r="A650" t="str">
        <f>"20190312160921548"</f>
        <v>20190312160921548</v>
      </c>
      <c r="B650" t="str">
        <f>"1552378161545781"</f>
        <v>1552378161545781</v>
      </c>
      <c r="C650" t="s">
        <v>40</v>
      </c>
      <c r="D650">
        <v>5.6092490000000002</v>
      </c>
      <c r="E650">
        <v>0.49881619999999999</v>
      </c>
      <c r="F650" t="s">
        <v>44</v>
      </c>
      <c r="G650">
        <v>-158.19499999999999</v>
      </c>
      <c r="H650">
        <v>1.2127079999999999</v>
      </c>
      <c r="I650">
        <v>365.07100000000003</v>
      </c>
      <c r="J650">
        <v>-323.33949999999999</v>
      </c>
      <c r="K650">
        <v>1.1093729999999999</v>
      </c>
      <c r="L650">
        <v>368.17599999999999</v>
      </c>
      <c r="M650">
        <v>0.99997130000000001</v>
      </c>
      <c r="N650">
        <v>0</v>
      </c>
      <c r="O650">
        <v>2.0831980000000001E-3</v>
      </c>
      <c r="P650">
        <v>0.99961730000000004</v>
      </c>
      <c r="Q650">
        <v>2.158562E-2</v>
      </c>
      <c r="R650">
        <v>-1.7301420000000001E-2</v>
      </c>
      <c r="S650">
        <v>3.0001530000000001</v>
      </c>
      <c r="T650">
        <v>1.8748040000000001E-3</v>
      </c>
      <c r="U650">
        <v>-5.6274409999999997E-2</v>
      </c>
      <c r="V650">
        <v>1.938074E-2</v>
      </c>
      <c r="W650">
        <v>2.8882129999999999E-2</v>
      </c>
      <c r="X650">
        <v>0.99939489999999997</v>
      </c>
      <c r="Y650">
        <v>2.0836730000000001E-2</v>
      </c>
      <c r="Z650" s="1">
        <v>7.8116149999999992E-6</v>
      </c>
      <c r="AA650">
        <v>0.99978290000000003</v>
      </c>
      <c r="AB650">
        <v>35</v>
      </c>
      <c r="AC650">
        <v>165.14449999999999</v>
      </c>
      <c r="AD650">
        <v>0.103334999999999</v>
      </c>
      <c r="AE650">
        <v>-3.1050000000000102</v>
      </c>
      <c r="AF650">
        <v>3.4490297317658798</v>
      </c>
      <c r="AG650">
        <v>0.103334999999999</v>
      </c>
      <c r="AH650">
        <v>165.13760850553501</v>
      </c>
      <c r="AI650">
        <v>89.964154938808093</v>
      </c>
      <c r="AJ650">
        <v>88.803506226843496</v>
      </c>
      <c r="AK650">
        <v>165.17365476110299</v>
      </c>
      <c r="AL650">
        <v>88.344945655878306</v>
      </c>
      <c r="AM650">
        <v>88.889032315876904</v>
      </c>
      <c r="AN650">
        <v>0.99999997833114695</v>
      </c>
    </row>
    <row r="651" spans="1:40" x14ac:dyDescent="0.25">
      <c r="A651" t="str">
        <f>"20190312160921561"</f>
        <v>20190312160921561</v>
      </c>
      <c r="B651" t="str">
        <f>"1552378161555541"</f>
        <v>1552378161555541</v>
      </c>
      <c r="C651" t="s">
        <v>40</v>
      </c>
      <c r="D651">
        <v>5.5334009999999996</v>
      </c>
      <c r="E651">
        <v>0.49881619999999999</v>
      </c>
      <c r="F651" t="s">
        <v>44</v>
      </c>
      <c r="G651">
        <v>-158.19499999999999</v>
      </c>
      <c r="H651">
        <v>2.543167</v>
      </c>
      <c r="I651">
        <v>365.81889999999999</v>
      </c>
      <c r="J651">
        <v>-323.14229999999998</v>
      </c>
      <c r="K651">
        <v>1.109372</v>
      </c>
      <c r="L651">
        <v>368.1764</v>
      </c>
      <c r="M651">
        <v>0.99997119999999995</v>
      </c>
      <c r="N651">
        <v>0</v>
      </c>
      <c r="O651">
        <v>2.11415E-3</v>
      </c>
      <c r="P651">
        <v>0.99961849999999997</v>
      </c>
      <c r="Q651">
        <v>2.145348E-2</v>
      </c>
      <c r="R651">
        <v>-1.7403999999999999E-2</v>
      </c>
      <c r="S651">
        <v>2.9998170000000002</v>
      </c>
      <c r="T651">
        <v>2.6046159999999999E-2</v>
      </c>
      <c r="U651">
        <v>-4.2816159999999999E-2</v>
      </c>
      <c r="V651">
        <v>1.9514429999999999E-2</v>
      </c>
      <c r="W651">
        <v>2.8759630000000001E-2</v>
      </c>
      <c r="X651">
        <v>0.99939579999999995</v>
      </c>
      <c r="Y651">
        <v>1.6384739999999998E-2</v>
      </c>
      <c r="Z651" s="1">
        <v>8.948149E-5</v>
      </c>
      <c r="AA651">
        <v>0.99986580000000003</v>
      </c>
      <c r="AB651">
        <v>35</v>
      </c>
      <c r="AC651">
        <v>164.94729999999899</v>
      </c>
      <c r="AD651">
        <v>1.4337949999999999</v>
      </c>
      <c r="AE651">
        <v>-2.3575000000000101</v>
      </c>
      <c r="AF651">
        <v>2.70602290810722</v>
      </c>
      <c r="AG651">
        <v>1.4337949999999999</v>
      </c>
      <c r="AH651">
        <v>164.92948782193901</v>
      </c>
      <c r="AI651">
        <v>89.501985486594094</v>
      </c>
      <c r="AJ651">
        <v>89.060023869067393</v>
      </c>
      <c r="AK651">
        <v>164.95791669783</v>
      </c>
      <c r="AL651">
        <v>88.351967254516197</v>
      </c>
      <c r="AM651">
        <v>88.881371713645194</v>
      </c>
      <c r="AN651">
        <v>0.99999994717679896</v>
      </c>
    </row>
    <row r="652" spans="1:40" x14ac:dyDescent="0.25">
      <c r="A652" t="str">
        <f>"20190312160921575"</f>
        <v>20190312160921575</v>
      </c>
      <c r="B652" t="str">
        <f>"1552378161565301"</f>
        <v>1552378161565301</v>
      </c>
      <c r="C652" t="s">
        <v>40</v>
      </c>
      <c r="D652">
        <v>5.4936889999999998</v>
      </c>
      <c r="E652">
        <v>0.49841790000000002</v>
      </c>
      <c r="F652" t="s">
        <v>44</v>
      </c>
      <c r="G652">
        <v>-158.19499999999999</v>
      </c>
      <c r="H652">
        <v>2.5197970000000001</v>
      </c>
      <c r="I652">
        <v>365.80369999999999</v>
      </c>
      <c r="J652">
        <v>-322.92950000000002</v>
      </c>
      <c r="K652">
        <v>1.10937</v>
      </c>
      <c r="L652">
        <v>368.17689999999999</v>
      </c>
      <c r="M652">
        <v>0.99997100000000005</v>
      </c>
      <c r="N652">
        <v>0</v>
      </c>
      <c r="O652">
        <v>2.1457500000000001E-3</v>
      </c>
      <c r="P652">
        <v>0.99962410000000002</v>
      </c>
      <c r="Q652">
        <v>2.1280710000000001E-2</v>
      </c>
      <c r="R652">
        <v>-1.7297799999999999E-2</v>
      </c>
      <c r="S652">
        <v>2.9998170000000002</v>
      </c>
      <c r="T652">
        <v>2.5652290000000001E-2</v>
      </c>
      <c r="U652">
        <v>-4.315186E-2</v>
      </c>
      <c r="V652">
        <v>1.943988E-2</v>
      </c>
      <c r="W652">
        <v>2.85971E-2</v>
      </c>
      <c r="X652">
        <v>0.99940200000000001</v>
      </c>
      <c r="Y652">
        <v>1.6528210000000002E-2</v>
      </c>
      <c r="Z652" s="1">
        <v>8.9011960000000005E-5</v>
      </c>
      <c r="AA652">
        <v>0.99986339999999996</v>
      </c>
      <c r="AB652">
        <v>35</v>
      </c>
      <c r="AC652">
        <v>164.7345</v>
      </c>
      <c r="AD652">
        <v>1.4104270000000001</v>
      </c>
      <c r="AE652">
        <v>-2.37319999999999</v>
      </c>
      <c r="AF652">
        <v>2.7264832043604001</v>
      </c>
      <c r="AG652">
        <v>1.4104270000000001</v>
      </c>
      <c r="AH652">
        <v>164.71695628114401</v>
      </c>
      <c r="AI652">
        <v>89.509470829620597</v>
      </c>
      <c r="AJ652">
        <v>89.051696198280695</v>
      </c>
      <c r="AK652">
        <v>164.74555745606699</v>
      </c>
      <c r="AL652">
        <v>88.361283506171503</v>
      </c>
      <c r="AM652">
        <v>88.885650985022906</v>
      </c>
      <c r="AN652">
        <v>1.00000003033341</v>
      </c>
    </row>
    <row r="653" spans="1:40" x14ac:dyDescent="0.25">
      <c r="A653" t="str">
        <f>"20190312160921594"</f>
        <v>20190312160921594</v>
      </c>
      <c r="B653" t="str">
        <f>"1552378161585796"</f>
        <v>1552378161585796</v>
      </c>
      <c r="C653" t="s">
        <v>40</v>
      </c>
      <c r="D653">
        <v>5.7359530000000003</v>
      </c>
      <c r="E653">
        <v>0.48927910000000002</v>
      </c>
      <c r="F653" t="s">
        <v>44</v>
      </c>
      <c r="G653">
        <v>-158.19499999999999</v>
      </c>
      <c r="H653">
        <v>2.48488</v>
      </c>
      <c r="I653">
        <v>366.0034</v>
      </c>
      <c r="J653">
        <v>-322.6155</v>
      </c>
      <c r="K653">
        <v>1.109362</v>
      </c>
      <c r="L653">
        <v>368.17759999999998</v>
      </c>
      <c r="M653">
        <v>0.99997080000000005</v>
      </c>
      <c r="N653">
        <v>0</v>
      </c>
      <c r="O653">
        <v>2.1884040000000001E-3</v>
      </c>
      <c r="P653">
        <v>0.99961929999999999</v>
      </c>
      <c r="Q653">
        <v>2.099519E-2</v>
      </c>
      <c r="R653">
        <v>-1.7911799999999999E-2</v>
      </c>
      <c r="S653">
        <v>2.9998779999999998</v>
      </c>
      <c r="T653">
        <v>2.5050159999999998E-2</v>
      </c>
      <c r="U653">
        <v>-3.95813E-2</v>
      </c>
      <c r="V653">
        <v>2.0096900000000001E-2</v>
      </c>
      <c r="W653">
        <v>2.8325889999999999E-2</v>
      </c>
      <c r="X653">
        <v>0.99939670000000003</v>
      </c>
      <c r="Y653">
        <v>1.538078E-2</v>
      </c>
      <c r="Z653" s="1">
        <v>8.2487359999999996E-5</v>
      </c>
      <c r="AA653">
        <v>0.99988169999999998</v>
      </c>
      <c r="AB653">
        <v>35</v>
      </c>
      <c r="AC653">
        <v>164.4205</v>
      </c>
      <c r="AD653">
        <v>1.37551799999999</v>
      </c>
      <c r="AE653">
        <v>-2.1741999999999799</v>
      </c>
      <c r="AF653">
        <v>2.5338456121055</v>
      </c>
      <c r="AG653">
        <v>1.37551799999999</v>
      </c>
      <c r="AH653">
        <v>164.40384390250799</v>
      </c>
      <c r="AI653">
        <v>89.520691383013897</v>
      </c>
      <c r="AJ653">
        <v>89.117008687463894</v>
      </c>
      <c r="AK653">
        <v>164.42912246093999</v>
      </c>
      <c r="AL653">
        <v>88.376828946885396</v>
      </c>
      <c r="AM653">
        <v>88.847992612524195</v>
      </c>
      <c r="AN653">
        <v>1.0000000027023901</v>
      </c>
    </row>
    <row r="654" spans="1:40" x14ac:dyDescent="0.25">
      <c r="A654" t="str">
        <f>"20190312160921617"</f>
        <v>20190312160921617</v>
      </c>
      <c r="B654" t="str">
        <f>"1552378161605317"</f>
        <v>1552378161605317</v>
      </c>
      <c r="C654" t="s">
        <v>40</v>
      </c>
      <c r="D654">
        <v>5.4965140000000003</v>
      </c>
      <c r="E654">
        <v>0.49263269999999998</v>
      </c>
      <c r="F654" t="s">
        <v>43</v>
      </c>
      <c r="G654">
        <v>-288.61099999999999</v>
      </c>
      <c r="H654">
        <v>-0.05</v>
      </c>
      <c r="I654">
        <v>368.51510000000002</v>
      </c>
      <c r="J654">
        <v>-322.2697</v>
      </c>
      <c r="K654">
        <v>1.1093519999999999</v>
      </c>
      <c r="L654">
        <v>368.17840000000001</v>
      </c>
      <c r="M654">
        <v>0.99997060000000004</v>
      </c>
      <c r="N654">
        <v>0</v>
      </c>
      <c r="O654">
        <v>2.2285930000000001E-3</v>
      </c>
      <c r="P654">
        <v>0.99961599999999995</v>
      </c>
      <c r="Q654">
        <v>2.045195E-2</v>
      </c>
      <c r="R654">
        <v>-1.869881E-2</v>
      </c>
      <c r="S654">
        <v>3.0038149999999999</v>
      </c>
      <c r="T654">
        <v>-0.1024132</v>
      </c>
      <c r="U654">
        <v>2.9815669999999999E-2</v>
      </c>
      <c r="V654">
        <v>2.0924600000000002E-2</v>
      </c>
      <c r="W654">
        <v>2.779823E-2</v>
      </c>
      <c r="X654">
        <v>0.99939449999999996</v>
      </c>
      <c r="Y654">
        <v>-7.6937059999999998E-3</v>
      </c>
      <c r="Z654" s="1">
        <v>5.5154390000000001E-5</v>
      </c>
      <c r="AA654">
        <v>0.99997040000000004</v>
      </c>
      <c r="AB654">
        <v>35</v>
      </c>
      <c r="AC654">
        <v>33.658700000000003</v>
      </c>
      <c r="AD654">
        <v>-1.1593519999999999</v>
      </c>
      <c r="AE654">
        <v>0.33670000000000699</v>
      </c>
      <c r="AF654">
        <v>-0.26137553315782203</v>
      </c>
      <c r="AG654">
        <v>-1.1593519999999999</v>
      </c>
      <c r="AH654">
        <v>33.619484190280801</v>
      </c>
      <c r="AI654">
        <v>91.974975554910102</v>
      </c>
      <c r="AJ654">
        <v>90.445438517651695</v>
      </c>
      <c r="AK654">
        <v>33.640483519857099</v>
      </c>
      <c r="AL654">
        <v>88.407073502572004</v>
      </c>
      <c r="AM654">
        <v>88.800557609394303</v>
      </c>
      <c r="AN654">
        <v>0.99999997355327097</v>
      </c>
    </row>
    <row r="655" spans="1:40" x14ac:dyDescent="0.25">
      <c r="A655" t="str">
        <f>"20190312160921638"</f>
        <v>20190312160921638</v>
      </c>
      <c r="B655" t="str">
        <f>"1552378161635574"</f>
        <v>1552378161635574</v>
      </c>
      <c r="C655" t="s">
        <v>40</v>
      </c>
      <c r="D655">
        <v>5.6315160000000004</v>
      </c>
      <c r="E655">
        <v>0.49247180000000002</v>
      </c>
      <c r="F655" t="s">
        <v>41</v>
      </c>
      <c r="G655">
        <v>-247.8648</v>
      </c>
      <c r="H655" s="1">
        <v>-1.2392459999999999E-6</v>
      </c>
      <c r="I655">
        <v>368.21019999999999</v>
      </c>
      <c r="J655">
        <v>-321.91910000000001</v>
      </c>
      <c r="K655">
        <v>1.1093390000000001</v>
      </c>
      <c r="L655">
        <v>368.17919999999998</v>
      </c>
      <c r="M655">
        <v>0.99997049999999998</v>
      </c>
      <c r="N655">
        <v>0</v>
      </c>
      <c r="O655">
        <v>2.2601240000000001E-3</v>
      </c>
      <c r="P655">
        <v>0.99960179999999998</v>
      </c>
      <c r="Q655">
        <v>2.047618E-2</v>
      </c>
      <c r="R655">
        <v>-1.94228E-2</v>
      </c>
      <c r="S655">
        <v>3.002075</v>
      </c>
      <c r="T655">
        <v>-4.4759989999999999E-2</v>
      </c>
      <c r="U655">
        <v>1.2817379999999999E-3</v>
      </c>
      <c r="V655">
        <v>2.1680430000000001E-2</v>
      </c>
      <c r="W655">
        <v>2.7837799999999999E-2</v>
      </c>
      <c r="X655">
        <v>0.99937730000000002</v>
      </c>
      <c r="Y655">
        <v>1.83278E-3</v>
      </c>
      <c r="Z655" s="1">
        <v>-4.7359070000000003E-5</v>
      </c>
      <c r="AA655">
        <v>0.99999830000000001</v>
      </c>
      <c r="AB655">
        <v>36</v>
      </c>
      <c r="AC655">
        <v>74.054299999999998</v>
      </c>
      <c r="AD655">
        <v>-1.1093402392459999</v>
      </c>
      <c r="AE655">
        <v>3.1000000000005901E-2</v>
      </c>
      <c r="AF655">
        <v>0.13634589356913501</v>
      </c>
      <c r="AG655">
        <v>-1.1093402392459999</v>
      </c>
      <c r="AH655">
        <v>74.037566653572497</v>
      </c>
      <c r="AI655">
        <v>90.858424350880895</v>
      </c>
      <c r="AJ655">
        <v>89.894485518942702</v>
      </c>
      <c r="AK655">
        <v>74.046002606158893</v>
      </c>
      <c r="AL655">
        <v>88.404805450569697</v>
      </c>
      <c r="AM655">
        <v>88.7572238017204</v>
      </c>
      <c r="AN655">
        <v>0.99999998595455697</v>
      </c>
    </row>
    <row r="656" spans="1:40" x14ac:dyDescent="0.25">
      <c r="A656" t="str">
        <f>"20190312160921661"</f>
        <v>20190312160921661</v>
      </c>
      <c r="B656" t="str">
        <f>"1552378161656070"</f>
        <v>1552378161656070</v>
      </c>
      <c r="C656" t="s">
        <v>40</v>
      </c>
      <c r="D656">
        <v>5.4687140000000003</v>
      </c>
      <c r="E656">
        <v>0.4922589</v>
      </c>
      <c r="F656" t="s">
        <v>41</v>
      </c>
      <c r="G656">
        <v>-277.23129999999998</v>
      </c>
      <c r="H656" s="1">
        <v>-1.424865E-6</v>
      </c>
      <c r="I656">
        <v>368.18009999999998</v>
      </c>
      <c r="J656">
        <v>-321.54989999999998</v>
      </c>
      <c r="K656">
        <v>1.1093309999999901</v>
      </c>
      <c r="L656">
        <v>368.18009999999998</v>
      </c>
      <c r="M656">
        <v>0.99997029999999998</v>
      </c>
      <c r="N656">
        <v>0</v>
      </c>
      <c r="O656">
        <v>2.2835379999999999E-3</v>
      </c>
      <c r="P656">
        <v>0.99960479999999996</v>
      </c>
      <c r="Q656">
        <v>2.0160170000000002E-2</v>
      </c>
      <c r="R656">
        <v>-1.9596309999999999E-2</v>
      </c>
      <c r="S656">
        <v>3.0027159999999999</v>
      </c>
      <c r="T656">
        <v>-7.4539899999999895E-2</v>
      </c>
      <c r="U656" s="1">
        <v>6.1035159999999999E-5</v>
      </c>
      <c r="V656">
        <v>2.1877839999999999E-2</v>
      </c>
      <c r="W656">
        <v>2.7537510000000001E-2</v>
      </c>
      <c r="X656">
        <v>0.99938130000000003</v>
      </c>
      <c r="Y656">
        <v>2.2618730000000002E-3</v>
      </c>
      <c r="Z656" s="1">
        <v>-8.4749919999999994E-5</v>
      </c>
      <c r="AA656">
        <v>0.99999740000000004</v>
      </c>
      <c r="AB656">
        <v>36</v>
      </c>
      <c r="AC656">
        <v>44.318600000000004</v>
      </c>
      <c r="AD656">
        <v>-1.1093324248649901</v>
      </c>
      <c r="AE656">
        <v>0</v>
      </c>
      <c r="AF656">
        <v>0.101142578901567</v>
      </c>
      <c r="AG656">
        <v>-1.1093324248649901</v>
      </c>
      <c r="AH656">
        <v>44.290734363507099</v>
      </c>
      <c r="AI656">
        <v>91.434760909195703</v>
      </c>
      <c r="AJ656">
        <v>89.869159251703493</v>
      </c>
      <c r="AK656">
        <v>44.304740138148603</v>
      </c>
      <c r="AL656">
        <v>88.422017371717303</v>
      </c>
      <c r="AM656">
        <v>88.745916384706106</v>
      </c>
      <c r="AN656">
        <v>0.99999996856487705</v>
      </c>
    </row>
    <row r="657" spans="1:40" x14ac:dyDescent="0.25">
      <c r="A657" t="str">
        <f>"20190312160921684"</f>
        <v>20190312160921684</v>
      </c>
      <c r="B657" t="str">
        <f>"1552378161675593"</f>
        <v>1552378161675593</v>
      </c>
      <c r="C657" t="s">
        <v>40</v>
      </c>
      <c r="D657">
        <v>5.4441179999999996</v>
      </c>
      <c r="E657">
        <v>0.49198399999999998</v>
      </c>
      <c r="F657" t="s">
        <v>43</v>
      </c>
      <c r="G657">
        <v>-285.17880000000002</v>
      </c>
      <c r="H657">
        <v>-0.05</v>
      </c>
      <c r="I657">
        <v>368.19220000000001</v>
      </c>
      <c r="J657">
        <v>-321.18290000000002</v>
      </c>
      <c r="K657">
        <v>1.109316</v>
      </c>
      <c r="L657">
        <v>368.18090000000001</v>
      </c>
      <c r="M657">
        <v>0.99997029999999998</v>
      </c>
      <c r="N657">
        <v>0</v>
      </c>
      <c r="O657">
        <v>2.2986439999999999E-3</v>
      </c>
      <c r="P657">
        <v>0.99960369999999998</v>
      </c>
      <c r="Q657">
        <v>2.0069509999999999E-2</v>
      </c>
      <c r="R657">
        <v>-1.9746719999999999E-2</v>
      </c>
      <c r="S657">
        <v>3.003174</v>
      </c>
      <c r="T657">
        <v>-9.5726489999999997E-2</v>
      </c>
      <c r="U657">
        <v>1.00708E-3</v>
      </c>
      <c r="V657">
        <v>2.204393E-2</v>
      </c>
      <c r="W657">
        <v>2.7453140000000001E-2</v>
      </c>
      <c r="X657">
        <v>0.99938000000000005</v>
      </c>
      <c r="Y657">
        <v>1.9612050000000002E-3</v>
      </c>
      <c r="Z657">
        <v>-1.045018E-4</v>
      </c>
      <c r="AA657">
        <v>0.9999981</v>
      </c>
      <c r="AB657">
        <v>36</v>
      </c>
      <c r="AC657">
        <v>36.004099999999902</v>
      </c>
      <c r="AD657">
        <v>-1.159316</v>
      </c>
      <c r="AE657">
        <v>1.1300000000005601E-2</v>
      </c>
      <c r="AF657">
        <v>7.1388860922352207E-2</v>
      </c>
      <c r="AG657">
        <v>-1.159316</v>
      </c>
      <c r="AH657">
        <v>35.966740130964901</v>
      </c>
      <c r="AI657">
        <v>91.846172136549001</v>
      </c>
      <c r="AJ657">
        <v>89.886276180471796</v>
      </c>
      <c r="AK657">
        <v>35.985490209328503</v>
      </c>
      <c r="AL657">
        <v>88.426853289935394</v>
      </c>
      <c r="AM657">
        <v>88.736397190002705</v>
      </c>
      <c r="AN657">
        <v>0.99999999707285203</v>
      </c>
    </row>
    <row r="658" spans="1:40" x14ac:dyDescent="0.25">
      <c r="A658" t="str">
        <f>"20190312160921705"</f>
        <v>20190312160921705</v>
      </c>
      <c r="B658" t="str">
        <f>"1552378161696085"</f>
        <v>1552378161696085</v>
      </c>
      <c r="C658" t="s">
        <v>40</v>
      </c>
      <c r="D658">
        <v>5.9999169999999999</v>
      </c>
      <c r="E658">
        <v>0.49130479999999999</v>
      </c>
      <c r="F658" t="s">
        <v>43</v>
      </c>
      <c r="G658">
        <v>-288.27569999999997</v>
      </c>
      <c r="H658">
        <v>-0.05</v>
      </c>
      <c r="I658">
        <v>368.21170000000001</v>
      </c>
      <c r="J658">
        <v>-320.83850000000001</v>
      </c>
      <c r="K658">
        <v>1.109143</v>
      </c>
      <c r="L658">
        <v>368.18169999999998</v>
      </c>
      <c r="M658">
        <v>0.99997409999999998</v>
      </c>
      <c r="N658">
        <v>0</v>
      </c>
      <c r="O658">
        <v>2.3061499999999999E-3</v>
      </c>
      <c r="P658">
        <v>0.99960079999999996</v>
      </c>
      <c r="Q658">
        <v>2.0201750000000001E-2</v>
      </c>
      <c r="R658">
        <v>-1.975611E-2</v>
      </c>
      <c r="S658">
        <v>3.0033569999999998</v>
      </c>
      <c r="T658">
        <v>-0.1058079</v>
      </c>
      <c r="U658">
        <v>2.8076170000000001E-3</v>
      </c>
      <c r="V658">
        <v>2.2061049999999999E-2</v>
      </c>
      <c r="W658">
        <v>2.702272E-2</v>
      </c>
      <c r="X658">
        <v>0.99939140000000004</v>
      </c>
      <c r="Y658">
        <v>1.3690989999999999E-3</v>
      </c>
      <c r="Z658">
        <v>-1.0533110000000001E-4</v>
      </c>
      <c r="AA658">
        <v>0.99999899999999997</v>
      </c>
      <c r="AB658">
        <v>36</v>
      </c>
      <c r="AC658">
        <v>32.562800000000003</v>
      </c>
      <c r="AD658">
        <v>-1.159143</v>
      </c>
      <c r="AE658">
        <v>3.00000000000295E-2</v>
      </c>
      <c r="AF658">
        <v>4.5039454270509101E-2</v>
      </c>
      <c r="AG658">
        <v>-1.159143</v>
      </c>
      <c r="AH658">
        <v>32.521572676973697</v>
      </c>
      <c r="AI658">
        <v>92.041286155509695</v>
      </c>
      <c r="AJ658">
        <v>89.9206505473433</v>
      </c>
      <c r="AK658">
        <v>32.5422545382241</v>
      </c>
      <c r="AL658">
        <v>88.451523765324495</v>
      </c>
      <c r="AM658">
        <v>88.735430575752005</v>
      </c>
      <c r="AN658">
        <v>1.0000000438586201</v>
      </c>
    </row>
    <row r="659" spans="1:40" x14ac:dyDescent="0.25">
      <c r="A659" t="str">
        <f>"20190312160921728"</f>
        <v>20190312160921728</v>
      </c>
      <c r="B659" t="str">
        <f>"1552378161715605"</f>
        <v>1552378161715605</v>
      </c>
      <c r="C659" t="s">
        <v>40</v>
      </c>
      <c r="D659">
        <v>5.6140019999999904</v>
      </c>
      <c r="E659">
        <v>0.49138949999999998</v>
      </c>
      <c r="F659" t="s">
        <v>43</v>
      </c>
      <c r="G659">
        <v>-285.85879999999997</v>
      </c>
      <c r="H659">
        <v>-0.05</v>
      </c>
      <c r="I659">
        <v>368.27730000000003</v>
      </c>
      <c r="J659">
        <v>-320.47789999999998</v>
      </c>
      <c r="K659">
        <v>1.108886</v>
      </c>
      <c r="L659">
        <v>368.1825</v>
      </c>
      <c r="M659">
        <v>0.99997709999999995</v>
      </c>
      <c r="N659">
        <v>0</v>
      </c>
      <c r="O659">
        <v>2.3105999999999999E-3</v>
      </c>
      <c r="P659">
        <v>0.99960700000000002</v>
      </c>
      <c r="Q659">
        <v>2.0598229999999999E-2</v>
      </c>
      <c r="R659">
        <v>-1.9020169999999999E-2</v>
      </c>
      <c r="S659">
        <v>3.0033569999999998</v>
      </c>
      <c r="T659">
        <v>-9.9524020000000005E-2</v>
      </c>
      <c r="U659">
        <v>8.2092290000000002E-3</v>
      </c>
      <c r="V659">
        <v>2.1329770000000001E-2</v>
      </c>
      <c r="W659">
        <v>2.6983630000000002E-2</v>
      </c>
      <c r="X659">
        <v>0.99940830000000003</v>
      </c>
      <c r="Y659">
        <v>-4.2373140000000003E-4</v>
      </c>
      <c r="Z659" s="1">
        <v>-6.9529229999999994E-5</v>
      </c>
      <c r="AA659">
        <v>0.99999990000000005</v>
      </c>
      <c r="AB659">
        <v>36</v>
      </c>
      <c r="AC659">
        <v>34.619100000000003</v>
      </c>
      <c r="AD659">
        <v>-1.1588860000000001</v>
      </c>
      <c r="AE659">
        <v>9.4800000000020604E-2</v>
      </c>
      <c r="AF659">
        <v>-1.47906619143796E-2</v>
      </c>
      <c r="AG659">
        <v>-1.1588860000000001</v>
      </c>
      <c r="AH659">
        <v>34.5804761063266</v>
      </c>
      <c r="AI659">
        <v>91.919419196719403</v>
      </c>
      <c r="AJ659">
        <v>90.024506384747696</v>
      </c>
      <c r="AK659">
        <v>34.599892532562897</v>
      </c>
      <c r="AL659">
        <v>88.453764226129607</v>
      </c>
      <c r="AM659">
        <v>88.777356267591301</v>
      </c>
      <c r="AN659">
        <v>1.0000000127425599</v>
      </c>
    </row>
    <row r="660" spans="1:40" x14ac:dyDescent="0.25">
      <c r="A660" t="str">
        <f>"20190312160921751"</f>
        <v>20190312160921751</v>
      </c>
      <c r="B660" t="str">
        <f>"1552378161745861"</f>
        <v>1552378161745861</v>
      </c>
      <c r="C660" t="s">
        <v>40</v>
      </c>
      <c r="D660">
        <v>5.5411339999999996</v>
      </c>
      <c r="E660">
        <v>0.49168580000000001</v>
      </c>
      <c r="F660" t="s">
        <v>43</v>
      </c>
      <c r="G660">
        <v>-285.79050000000001</v>
      </c>
      <c r="H660">
        <v>-0.05</v>
      </c>
      <c r="I660">
        <v>368.29669999999999</v>
      </c>
      <c r="J660">
        <v>-320.09699999999998</v>
      </c>
      <c r="K660">
        <v>1.108514</v>
      </c>
      <c r="L660">
        <v>368.18340000000001</v>
      </c>
      <c r="M660">
        <v>0.99997670000000005</v>
      </c>
      <c r="N660">
        <v>0</v>
      </c>
      <c r="O660">
        <v>2.3135489999999998E-3</v>
      </c>
      <c r="P660">
        <v>0.99960340000000003</v>
      </c>
      <c r="Q660">
        <v>2.0809390000000001E-2</v>
      </c>
      <c r="R660">
        <v>-1.897538E-2</v>
      </c>
      <c r="S660">
        <v>3.0034480000000001</v>
      </c>
      <c r="T660">
        <v>-0.1003435</v>
      </c>
      <c r="U660">
        <v>9.8876950000000002E-3</v>
      </c>
      <c r="V660">
        <v>2.1288419999999999E-2</v>
      </c>
      <c r="W660">
        <v>2.725199E-2</v>
      </c>
      <c r="X660">
        <v>0.99940189999999995</v>
      </c>
      <c r="Y660">
        <v>-9.7924759999999992E-4</v>
      </c>
      <c r="Z660" s="1">
        <v>-6.0920600000000001E-5</v>
      </c>
      <c r="AA660">
        <v>0.99999950000000004</v>
      </c>
      <c r="AB660">
        <v>36</v>
      </c>
      <c r="AC660">
        <v>34.3064999999999</v>
      </c>
      <c r="AD660">
        <v>-1.158514</v>
      </c>
      <c r="AE660">
        <v>0.113299999999981</v>
      </c>
      <c r="AF660">
        <v>-3.3889644402989402E-2</v>
      </c>
      <c r="AG660">
        <v>-1.158514</v>
      </c>
      <c r="AH660">
        <v>34.267592648661903</v>
      </c>
      <c r="AI660">
        <v>91.936309297245302</v>
      </c>
      <c r="AJ660">
        <v>90.056663827551404</v>
      </c>
      <c r="AK660">
        <v>34.287187244374799</v>
      </c>
      <c r="AL660">
        <v>88.438382674258406</v>
      </c>
      <c r="AM660">
        <v>88.779717961468094</v>
      </c>
      <c r="AN660">
        <v>1.00000001275433</v>
      </c>
    </row>
    <row r="661" spans="1:40" x14ac:dyDescent="0.25">
      <c r="A661" t="str">
        <f>"20190312160921774"</f>
        <v>20190312160921774</v>
      </c>
      <c r="B661" t="str">
        <f>"1552378161765381"</f>
        <v>1552378161765381</v>
      </c>
      <c r="C661" t="s">
        <v>40</v>
      </c>
      <c r="D661">
        <v>5.4403739999999896</v>
      </c>
      <c r="E661">
        <v>0.49139169999999999</v>
      </c>
      <c r="F661" t="s">
        <v>43</v>
      </c>
      <c r="G661">
        <v>-283.03410000000002</v>
      </c>
      <c r="H661">
        <v>-0.05</v>
      </c>
      <c r="I661">
        <v>368.27800000000002</v>
      </c>
      <c r="J661">
        <v>-319.72489999999999</v>
      </c>
      <c r="K661">
        <v>1.10798</v>
      </c>
      <c r="L661">
        <v>368.18430000000001</v>
      </c>
      <c r="M661">
        <v>0.99997320000000001</v>
      </c>
      <c r="N661">
        <v>0</v>
      </c>
      <c r="O661">
        <v>2.3158499999999999E-3</v>
      </c>
      <c r="P661">
        <v>0.99961690000000003</v>
      </c>
      <c r="Q661">
        <v>2.0312139999999999E-2</v>
      </c>
      <c r="R661">
        <v>-1.8814089999999999E-2</v>
      </c>
      <c r="S661">
        <v>3.0032960000000002</v>
      </c>
      <c r="T661">
        <v>-9.3877080000000002E-2</v>
      </c>
      <c r="U661">
        <v>7.6599119999999996E-3</v>
      </c>
      <c r="V661">
        <v>2.1129200000000001E-2</v>
      </c>
      <c r="W661">
        <v>2.7268669999999998E-2</v>
      </c>
      <c r="X661">
        <v>0.99940479999999998</v>
      </c>
      <c r="Y661">
        <v>-2.3560479999999999E-4</v>
      </c>
      <c r="Z661" s="1">
        <v>-6.8691379999999996E-5</v>
      </c>
      <c r="AA661">
        <v>0.99999990000000005</v>
      </c>
      <c r="AB661">
        <v>36</v>
      </c>
      <c r="AC661">
        <v>36.690799999999903</v>
      </c>
      <c r="AD661">
        <v>-1.15798</v>
      </c>
      <c r="AE661">
        <v>9.3700000000012496E-2</v>
      </c>
      <c r="AF661">
        <v>-8.7186258853911101E-3</v>
      </c>
      <c r="AG661">
        <v>-1.15798</v>
      </c>
      <c r="AH661">
        <v>36.654408664415399</v>
      </c>
      <c r="AI661">
        <v>91.809476894603506</v>
      </c>
      <c r="AJ661">
        <v>90.013628386738901</v>
      </c>
      <c r="AK661">
        <v>36.672696495251103</v>
      </c>
      <c r="AL661">
        <v>88.437426588023598</v>
      </c>
      <c r="AM661">
        <v>88.788845459372695</v>
      </c>
      <c r="AN661">
        <v>0.99999998885962404</v>
      </c>
    </row>
    <row r="662" spans="1:40" x14ac:dyDescent="0.25">
      <c r="A662" t="str">
        <f>"20190312160921796"</f>
        <v>20190312160921796</v>
      </c>
      <c r="B662" t="str">
        <f>"1552378161785877"</f>
        <v>1552378161785877</v>
      </c>
      <c r="C662" t="s">
        <v>40</v>
      </c>
      <c r="D662">
        <v>5.4024599999999996</v>
      </c>
      <c r="E662">
        <v>0.49128810000000001</v>
      </c>
      <c r="F662" t="s">
        <v>43</v>
      </c>
      <c r="G662">
        <v>-281.34089999999998</v>
      </c>
      <c r="H662">
        <v>-0.05</v>
      </c>
      <c r="I662">
        <v>368.32040000000001</v>
      </c>
      <c r="J662">
        <v>-319.36450000000002</v>
      </c>
      <c r="K662">
        <v>1.1072310000000001</v>
      </c>
      <c r="L662">
        <v>368.18509999999998</v>
      </c>
      <c r="M662">
        <v>0.99996719999999895</v>
      </c>
      <c r="N662">
        <v>0</v>
      </c>
      <c r="O662">
        <v>2.3183510000000002E-3</v>
      </c>
      <c r="P662">
        <v>0.99962680000000004</v>
      </c>
      <c r="Q662">
        <v>1.974683E-2</v>
      </c>
      <c r="R662">
        <v>-1.8891519999999998E-2</v>
      </c>
      <c r="S662">
        <v>3.0032040000000002</v>
      </c>
      <c r="T662">
        <v>-9.0601559999999998E-2</v>
      </c>
      <c r="U662">
        <v>1.0650629999999999E-2</v>
      </c>
      <c r="V662">
        <v>2.1209390000000002E-2</v>
      </c>
      <c r="W662">
        <v>2.7519869999999998E-2</v>
      </c>
      <c r="X662">
        <v>0.99939619999999996</v>
      </c>
      <c r="Y662">
        <v>-1.2284819999999999E-3</v>
      </c>
      <c r="Z662" s="1">
        <v>-5.1400239999999999E-5</v>
      </c>
      <c r="AA662">
        <v>0.99999919999999998</v>
      </c>
      <c r="AB662">
        <v>37</v>
      </c>
      <c r="AC662">
        <v>38.023600000000002</v>
      </c>
      <c r="AD662">
        <v>-1.1572309999999999</v>
      </c>
      <c r="AE662">
        <v>0.13530000000002901</v>
      </c>
      <c r="AF662">
        <v>-4.7101303154712802E-2</v>
      </c>
      <c r="AG662">
        <v>-1.1572309999999999</v>
      </c>
      <c r="AH662">
        <v>37.988624534298502</v>
      </c>
      <c r="AI662">
        <v>91.744835567472407</v>
      </c>
      <c r="AJ662">
        <v>90.071039805481405</v>
      </c>
      <c r="AK662">
        <v>38.006275746618797</v>
      </c>
      <c r="AL662">
        <v>88.423028459515393</v>
      </c>
      <c r="AM662">
        <v>88.784239777639797</v>
      </c>
      <c r="AN662">
        <v>0.99999997302171395</v>
      </c>
    </row>
    <row r="663" spans="1:40" x14ac:dyDescent="0.25">
      <c r="A663" t="str">
        <f>"20190312160921818"</f>
        <v>20190312160921818</v>
      </c>
      <c r="B663" t="str">
        <f>"1552378161816133"</f>
        <v>1552378161816133</v>
      </c>
      <c r="C663" t="s">
        <v>40</v>
      </c>
      <c r="D663">
        <v>5.339048</v>
      </c>
      <c r="E663">
        <v>0.4911199</v>
      </c>
      <c r="F663" t="s">
        <v>43</v>
      </c>
      <c r="G663">
        <v>-280.35640000000001</v>
      </c>
      <c r="H663">
        <v>-0.05</v>
      </c>
      <c r="I663">
        <v>368.33100000000002</v>
      </c>
      <c r="J663">
        <v>-318.99950000000001</v>
      </c>
      <c r="K663">
        <v>1.106276</v>
      </c>
      <c r="L663">
        <v>368.18599999999998</v>
      </c>
      <c r="M663">
        <v>0.99995610000000001</v>
      </c>
      <c r="N663">
        <v>0</v>
      </c>
      <c r="O663">
        <v>2.3212609999999998E-3</v>
      </c>
      <c r="P663">
        <v>0.99965300000000001</v>
      </c>
      <c r="Q663">
        <v>1.8480030000000001E-2</v>
      </c>
      <c r="R663">
        <v>-1.877641E-2</v>
      </c>
      <c r="S663">
        <v>3.003082</v>
      </c>
      <c r="T663">
        <v>-8.9090589999999997E-2</v>
      </c>
      <c r="U663">
        <v>1.1230469999999999E-2</v>
      </c>
      <c r="V663">
        <v>2.1097379999999999E-2</v>
      </c>
      <c r="W663">
        <v>2.7559429999999999E-2</v>
      </c>
      <c r="X663">
        <v>0.99939750000000005</v>
      </c>
      <c r="Y663">
        <v>-1.418669E-3</v>
      </c>
      <c r="Z663" s="1">
        <v>-4.781206E-5</v>
      </c>
      <c r="AA663">
        <v>0.99999899999999997</v>
      </c>
      <c r="AB663">
        <v>37</v>
      </c>
      <c r="AC663">
        <v>38.643099999999997</v>
      </c>
      <c r="AD663">
        <v>-1.1562760000000001</v>
      </c>
      <c r="AE663">
        <v>0.14499999999998101</v>
      </c>
      <c r="AF663">
        <v>-5.5245730027348498E-2</v>
      </c>
      <c r="AG663">
        <v>-1.1562760000000001</v>
      </c>
      <c r="AH663">
        <v>38.608765699985703</v>
      </c>
      <c r="AI663">
        <v>91.715410209367505</v>
      </c>
      <c r="AJ663">
        <v>90.081985138580393</v>
      </c>
      <c r="AK663">
        <v>38.626115714050997</v>
      </c>
      <c r="AL663">
        <v>88.420761008865199</v>
      </c>
      <c r="AM663">
        <v>88.790660052248995</v>
      </c>
      <c r="AN663">
        <v>0.99999999231551895</v>
      </c>
    </row>
    <row r="664" spans="1:40" x14ac:dyDescent="0.25">
      <c r="A664" t="str">
        <f>"20190312160921840"</f>
        <v>20190312160921840</v>
      </c>
      <c r="B664" t="str">
        <f>"1552378161835654"</f>
        <v>1552378161835654</v>
      </c>
      <c r="C664" t="s">
        <v>40</v>
      </c>
      <c r="D664">
        <v>5.3093760000000003</v>
      </c>
      <c r="E664">
        <v>0.49111769999999999</v>
      </c>
      <c r="F664" t="s">
        <v>43</v>
      </c>
      <c r="G664">
        <v>-280.23809999999997</v>
      </c>
      <c r="H664">
        <v>-0.05</v>
      </c>
      <c r="I664">
        <v>368.35419999999999</v>
      </c>
      <c r="J664">
        <v>-318.64060000000001</v>
      </c>
      <c r="K664">
        <v>1.10517</v>
      </c>
      <c r="L664">
        <v>368.18680000000001</v>
      </c>
      <c r="M664">
        <v>0.99993860000000001</v>
      </c>
      <c r="N664">
        <v>0</v>
      </c>
      <c r="O664">
        <v>2.3228580000000001E-3</v>
      </c>
      <c r="P664">
        <v>0.9996912</v>
      </c>
      <c r="Q664">
        <v>1.6608000000000001E-2</v>
      </c>
      <c r="R664">
        <v>-1.8495080000000001E-2</v>
      </c>
      <c r="S664">
        <v>3.0029300000000001</v>
      </c>
      <c r="T664">
        <v>-8.9579220000000001E-2</v>
      </c>
      <c r="U664">
        <v>1.3031010000000001E-2</v>
      </c>
      <c r="V664">
        <v>2.0817860000000001E-2</v>
      </c>
      <c r="W664">
        <v>2.744885E-2</v>
      </c>
      <c r="X664">
        <v>0.99940640000000003</v>
      </c>
      <c r="Y664">
        <v>-2.016543E-3</v>
      </c>
      <c r="Z664" s="1">
        <v>-3.9209940000000002E-5</v>
      </c>
      <c r="AA664">
        <v>0.99999800000000005</v>
      </c>
      <c r="AB664">
        <v>37</v>
      </c>
      <c r="AC664">
        <v>38.402500000000003</v>
      </c>
      <c r="AD664">
        <v>-1.15517</v>
      </c>
      <c r="AE664">
        <v>0.167399999999986</v>
      </c>
      <c r="AF664">
        <v>-7.8120072260567996E-2</v>
      </c>
      <c r="AG664">
        <v>-1.15517</v>
      </c>
      <c r="AH664">
        <v>38.368068868327398</v>
      </c>
      <c r="AI664">
        <v>91.724513190103593</v>
      </c>
      <c r="AJ664">
        <v>90.116658054019496</v>
      </c>
      <c r="AK664">
        <v>38.385534113247701</v>
      </c>
      <c r="AL664">
        <v>88.427099166450901</v>
      </c>
      <c r="AM664">
        <v>88.806688603371896</v>
      </c>
      <c r="AN664">
        <v>0.99999998751113095</v>
      </c>
    </row>
    <row r="665" spans="1:40" x14ac:dyDescent="0.25">
      <c r="A665" t="str">
        <f>"20190312160921862"</f>
        <v>20190312160921862</v>
      </c>
      <c r="B665" t="str">
        <f>"1552378161856151"</f>
        <v>1552378161856151</v>
      </c>
      <c r="C665" t="s">
        <v>40</v>
      </c>
      <c r="D665">
        <v>5.2707249999999997</v>
      </c>
      <c r="E665">
        <v>0.4912299</v>
      </c>
      <c r="F665" t="s">
        <v>43</v>
      </c>
      <c r="G665">
        <v>-281.87389999999999</v>
      </c>
      <c r="H665">
        <v>-0.05</v>
      </c>
      <c r="I665">
        <v>368.35680000000002</v>
      </c>
      <c r="J665">
        <v>-318.27030000000002</v>
      </c>
      <c r="K665">
        <v>1.103742</v>
      </c>
      <c r="L665">
        <v>368.18770000000001</v>
      </c>
      <c r="M665">
        <v>0.99992020000000004</v>
      </c>
      <c r="N665">
        <v>0</v>
      </c>
      <c r="O665">
        <v>2.319766E-3</v>
      </c>
      <c r="P665">
        <v>0.99971310000000002</v>
      </c>
      <c r="Q665">
        <v>1.484395E-2</v>
      </c>
      <c r="R665">
        <v>-1.88113E-2</v>
      </c>
      <c r="S665">
        <v>3.0027469999999998</v>
      </c>
      <c r="T665">
        <v>-9.4343070000000001E-2</v>
      </c>
      <c r="U665">
        <v>1.38855E-2</v>
      </c>
      <c r="V665">
        <v>2.1131339999999998E-2</v>
      </c>
      <c r="W665">
        <v>2.7266769999999999E-2</v>
      </c>
      <c r="X665">
        <v>0.99940479999999998</v>
      </c>
      <c r="Y665">
        <v>-2.304291E-3</v>
      </c>
      <c r="Z665" s="1">
        <v>-3.6681609999999999E-5</v>
      </c>
      <c r="AA665">
        <v>0.99999729999999998</v>
      </c>
      <c r="AB665">
        <v>37</v>
      </c>
      <c r="AC665">
        <v>36.3964</v>
      </c>
      <c r="AD665">
        <v>-1.153742</v>
      </c>
      <c r="AE665">
        <v>0.16910000000001399</v>
      </c>
      <c r="AF665">
        <v>-8.4576917637281798E-2</v>
      </c>
      <c r="AG665">
        <v>-1.153742</v>
      </c>
      <c r="AH665">
        <v>36.360158698460502</v>
      </c>
      <c r="AI665">
        <v>91.817434205658401</v>
      </c>
      <c r="AJ665">
        <v>90.133274767175195</v>
      </c>
      <c r="AK665">
        <v>36.378557069169098</v>
      </c>
      <c r="AL665">
        <v>88.437535480200395</v>
      </c>
      <c r="AM665">
        <v>88.788722828200505</v>
      </c>
      <c r="AN665">
        <v>0.99999998226973397</v>
      </c>
    </row>
    <row r="666" spans="1:40" x14ac:dyDescent="0.25">
      <c r="A666" t="str">
        <f>"20190312160921884"</f>
        <v>20190312160921884</v>
      </c>
      <c r="B666" t="str">
        <f>"1552378161875673"</f>
        <v>1552378161875673</v>
      </c>
      <c r="C666" t="s">
        <v>40</v>
      </c>
      <c r="D666">
        <v>5.2327969999999997</v>
      </c>
      <c r="E666">
        <v>0.49126259999999999</v>
      </c>
      <c r="F666" t="s">
        <v>43</v>
      </c>
      <c r="G666">
        <v>-283.28870000000001</v>
      </c>
      <c r="H666">
        <v>-0.05</v>
      </c>
      <c r="I666">
        <v>368.32850000000002</v>
      </c>
      <c r="J666">
        <v>-317.90589999999997</v>
      </c>
      <c r="K666">
        <v>1.1020179999999999</v>
      </c>
      <c r="L666">
        <v>368.18860000000001</v>
      </c>
      <c r="M666">
        <v>0.9999053</v>
      </c>
      <c r="N666">
        <v>0</v>
      </c>
      <c r="O666">
        <v>2.3122720000000002E-3</v>
      </c>
      <c r="P666">
        <v>0.9997144</v>
      </c>
      <c r="Q666">
        <v>1.3354359999999999E-2</v>
      </c>
      <c r="R666">
        <v>-1.9829630000000001E-2</v>
      </c>
      <c r="S666">
        <v>3.0025629999999999</v>
      </c>
      <c r="T666">
        <v>-9.9028710000000006E-2</v>
      </c>
      <c r="U666">
        <v>1.208496E-2</v>
      </c>
      <c r="V666">
        <v>2.2142439999999999E-2</v>
      </c>
      <c r="W666">
        <v>2.691404E-2</v>
      </c>
      <c r="X666">
        <v>0.99939250000000002</v>
      </c>
      <c r="Y666">
        <v>-1.7126979999999999E-3</v>
      </c>
      <c r="Z666" s="1">
        <v>-4.8011979999999999E-5</v>
      </c>
      <c r="AA666">
        <v>0.99999850000000001</v>
      </c>
      <c r="AB666">
        <v>37</v>
      </c>
      <c r="AC666">
        <v>34.617199999999897</v>
      </c>
      <c r="AD666">
        <v>-1.152018</v>
      </c>
      <c r="AE666">
        <v>0.13990000000001099</v>
      </c>
      <c r="AF666">
        <v>-5.97816710440024E-2</v>
      </c>
      <c r="AG666">
        <v>-1.152018</v>
      </c>
      <c r="AH666">
        <v>34.579135990247003</v>
      </c>
      <c r="AI666">
        <v>91.908123637475597</v>
      </c>
      <c r="AJ666">
        <v>90.099054933920101</v>
      </c>
      <c r="AK666">
        <v>34.598372290506902</v>
      </c>
      <c r="AL666">
        <v>88.457752885509393</v>
      </c>
      <c r="AM666">
        <v>88.730768110005897</v>
      </c>
      <c r="AN666">
        <v>1.00000001112726</v>
      </c>
    </row>
    <row r="667" spans="1:40" x14ac:dyDescent="0.25">
      <c r="A667" t="str">
        <f>"20190312160921906"</f>
        <v>20190312160921906</v>
      </c>
      <c r="B667" t="str">
        <f>"1552378161896168"</f>
        <v>1552378161896168</v>
      </c>
      <c r="C667" t="s">
        <v>40</v>
      </c>
      <c r="D667">
        <v>5.201943</v>
      </c>
      <c r="E667">
        <v>0.491425</v>
      </c>
      <c r="F667" t="s">
        <v>43</v>
      </c>
      <c r="G667">
        <v>-284.34829999999999</v>
      </c>
      <c r="H667">
        <v>-0.05</v>
      </c>
      <c r="I667">
        <v>368.28579999999999</v>
      </c>
      <c r="J667">
        <v>-317.5394</v>
      </c>
      <c r="K667">
        <v>1.100023</v>
      </c>
      <c r="L667">
        <v>368.18939999999998</v>
      </c>
      <c r="M667">
        <v>0.99989249999999996</v>
      </c>
      <c r="N667">
        <v>0</v>
      </c>
      <c r="O667">
        <v>2.2986909999999998E-3</v>
      </c>
      <c r="P667">
        <v>0.99971370000000004</v>
      </c>
      <c r="Q667">
        <v>1.251645E-2</v>
      </c>
      <c r="R667">
        <v>-2.0398240000000002E-2</v>
      </c>
      <c r="S667">
        <v>3.0024410000000001</v>
      </c>
      <c r="T667">
        <v>-0.10307280000000001</v>
      </c>
      <c r="U667">
        <v>8.6975100000000003E-3</v>
      </c>
      <c r="V667">
        <v>2.2697930000000002E-2</v>
      </c>
      <c r="W667">
        <v>2.6989349999999999E-2</v>
      </c>
      <c r="X667">
        <v>0.99937799999999999</v>
      </c>
      <c r="Y667">
        <v>-5.9887180000000001E-4</v>
      </c>
      <c r="Z667" s="1">
        <v>-6.8621519999999907E-5</v>
      </c>
      <c r="AA667">
        <v>0.99999979999999999</v>
      </c>
      <c r="AB667">
        <v>37</v>
      </c>
      <c r="AC667">
        <v>33.191099999999999</v>
      </c>
      <c r="AD667">
        <v>-1.150023</v>
      </c>
      <c r="AE667">
        <v>9.6400000000016903E-2</v>
      </c>
      <c r="AF667">
        <v>-2.0071565203098E-2</v>
      </c>
      <c r="AG667">
        <v>-1.150023</v>
      </c>
      <c r="AH667">
        <v>33.151435249558197</v>
      </c>
      <c r="AI667">
        <v>91.986793017824695</v>
      </c>
      <c r="AJ667">
        <v>90.034689775123795</v>
      </c>
      <c r="AK667">
        <v>33.171382468536102</v>
      </c>
      <c r="AL667">
        <v>88.4534363612877</v>
      </c>
      <c r="AM667">
        <v>88.698918680362794</v>
      </c>
      <c r="AN667">
        <v>1.00000000396185</v>
      </c>
    </row>
    <row r="668" spans="1:40" x14ac:dyDescent="0.25">
      <c r="A668" t="str">
        <f>"20190312160921918"</f>
        <v>20190312160921918</v>
      </c>
      <c r="B668" t="str">
        <f>"1552378161915686"</f>
        <v>1552378161915686</v>
      </c>
      <c r="C668" t="s">
        <v>40</v>
      </c>
      <c r="D668">
        <v>5.181292</v>
      </c>
      <c r="E668">
        <v>0.4914424</v>
      </c>
      <c r="F668" t="s">
        <v>43</v>
      </c>
      <c r="G668">
        <v>-284.9606</v>
      </c>
      <c r="H668">
        <v>-0.05</v>
      </c>
      <c r="I668">
        <v>368.25299999999999</v>
      </c>
      <c r="J668">
        <v>-317.3349</v>
      </c>
      <c r="K668">
        <v>1.098808</v>
      </c>
      <c r="L668">
        <v>368.18979999999999</v>
      </c>
      <c r="M668">
        <v>0.99988630000000001</v>
      </c>
      <c r="N668">
        <v>0</v>
      </c>
      <c r="O668">
        <v>2.2888190000000001E-3</v>
      </c>
      <c r="P668">
        <v>0.99971129999999997</v>
      </c>
      <c r="Q668">
        <v>1.2090699999999999E-2</v>
      </c>
      <c r="R668">
        <v>-2.0776280000000001E-2</v>
      </c>
      <c r="S668">
        <v>3.002319</v>
      </c>
      <c r="T668">
        <v>-0.1059809</v>
      </c>
      <c r="U668">
        <v>5.859375E-3</v>
      </c>
      <c r="V668">
        <v>2.3066300000000001E-2</v>
      </c>
      <c r="W668">
        <v>2.7002689999999999E-2</v>
      </c>
      <c r="X668">
        <v>0.99936919999999996</v>
      </c>
      <c r="Y668">
        <v>3.3582650000000001E-4</v>
      </c>
      <c r="Z668" s="1">
        <v>-8.6703609999999893E-5</v>
      </c>
      <c r="AA668">
        <v>0.99999990000000005</v>
      </c>
      <c r="AB668">
        <v>37</v>
      </c>
      <c r="AC668">
        <v>32.374299999999998</v>
      </c>
      <c r="AD668">
        <v>-1.1488080000000001</v>
      </c>
      <c r="AE668">
        <v>6.3200000000051604E-2</v>
      </c>
      <c r="AF668">
        <v>1.0893593237791901E-2</v>
      </c>
      <c r="AG668">
        <v>-1.1488080000000001</v>
      </c>
      <c r="AH668">
        <v>32.333645534639999</v>
      </c>
      <c r="AI668">
        <v>92.034851588983699</v>
      </c>
      <c r="AJ668">
        <v>89.980696364968395</v>
      </c>
      <c r="AK668">
        <v>32.354049391860997</v>
      </c>
      <c r="AL668">
        <v>88.4526717487593</v>
      </c>
      <c r="AM668">
        <v>88.677798925477603</v>
      </c>
      <c r="AN668">
        <v>0.99999999868578304</v>
      </c>
    </row>
    <row r="669" spans="1:40" x14ac:dyDescent="0.25">
      <c r="A669" t="str">
        <f>"20190312160921940"</f>
        <v>20190312160921940</v>
      </c>
      <c r="B669" t="str">
        <f>"1552378161936181"</f>
        <v>1552378161936181</v>
      </c>
      <c r="C669" t="s">
        <v>40</v>
      </c>
      <c r="D669">
        <v>5.222137</v>
      </c>
      <c r="E669">
        <v>0.49158770000000002</v>
      </c>
      <c r="F669" t="s">
        <v>43</v>
      </c>
      <c r="G669">
        <v>-285.2577</v>
      </c>
      <c r="H669">
        <v>-0.05</v>
      </c>
      <c r="I669">
        <v>368.23480000000001</v>
      </c>
      <c r="J669">
        <v>-316.97770000000003</v>
      </c>
      <c r="K669">
        <v>1.0965419999999999</v>
      </c>
      <c r="L669">
        <v>368.19060000000002</v>
      </c>
      <c r="M669">
        <v>0.99987689999999996</v>
      </c>
      <c r="N669">
        <v>0</v>
      </c>
      <c r="O669">
        <v>2.2674819999999999E-3</v>
      </c>
      <c r="P669">
        <v>0.99971770000000004</v>
      </c>
      <c r="Q669">
        <v>1.1682410000000001E-2</v>
      </c>
      <c r="R669">
        <v>-2.0697360000000001E-2</v>
      </c>
      <c r="S669">
        <v>3.0022579999999999</v>
      </c>
      <c r="T669">
        <v>-0.1075224</v>
      </c>
      <c r="U669">
        <v>4.2114259999999999E-3</v>
      </c>
      <c r="V669">
        <v>2.2966540000000001E-2</v>
      </c>
      <c r="W669">
        <v>2.7207180000000001E-2</v>
      </c>
      <c r="X669">
        <v>0.99936590000000003</v>
      </c>
      <c r="Y669">
        <v>8.6299839999999896E-4</v>
      </c>
      <c r="Z669" s="1">
        <v>-9.6639530000000004E-5</v>
      </c>
      <c r="AA669">
        <v>0.99999959999999999</v>
      </c>
      <c r="AB669">
        <v>37</v>
      </c>
      <c r="AC669">
        <v>31.72</v>
      </c>
      <c r="AD669">
        <v>-1.146542</v>
      </c>
      <c r="AE669">
        <v>4.4199999999989303E-2</v>
      </c>
      <c r="AF669">
        <v>2.7697126154928701E-2</v>
      </c>
      <c r="AG669">
        <v>-1.146542</v>
      </c>
      <c r="AH669">
        <v>31.678630224243499</v>
      </c>
      <c r="AI669">
        <v>92.072795783717396</v>
      </c>
      <c r="AJ669">
        <v>89.949905408860104</v>
      </c>
      <c r="AK669">
        <v>31.699383883175301</v>
      </c>
      <c r="AL669">
        <v>88.440950948439294</v>
      </c>
      <c r="AM669">
        <v>88.6835109825101</v>
      </c>
      <c r="AN669">
        <v>0.99999994734296505</v>
      </c>
    </row>
    <row r="670" spans="1:40" x14ac:dyDescent="0.25">
      <c r="A670" t="str">
        <f>"20190312160921953"</f>
        <v>20190312160921953</v>
      </c>
      <c r="B670" t="str">
        <f>"1552378161945942"</f>
        <v>1552378161945942</v>
      </c>
      <c r="C670" t="s">
        <v>40</v>
      </c>
      <c r="D670">
        <v>5.1542209999999997</v>
      </c>
      <c r="E670">
        <v>0.49162820000000002</v>
      </c>
      <c r="F670" t="s">
        <v>43</v>
      </c>
      <c r="G670">
        <v>-285.4905</v>
      </c>
      <c r="H670">
        <v>-0.05</v>
      </c>
      <c r="I670">
        <v>368.22590000000002</v>
      </c>
      <c r="J670">
        <v>-316.75729999999999</v>
      </c>
      <c r="K670">
        <v>1.0950310000000001</v>
      </c>
      <c r="L670">
        <v>368.19119999999998</v>
      </c>
      <c r="M670">
        <v>0.99987320000000002</v>
      </c>
      <c r="N670">
        <v>0</v>
      </c>
      <c r="O670">
        <v>2.2505200000000002E-3</v>
      </c>
      <c r="P670">
        <v>0.99973009999999995</v>
      </c>
      <c r="Q670">
        <v>1.091716E-2</v>
      </c>
      <c r="R670">
        <v>-2.0523940000000001E-2</v>
      </c>
      <c r="S670">
        <v>3.0021969999999998</v>
      </c>
      <c r="T670">
        <v>-0.109318899999999</v>
      </c>
      <c r="U670">
        <v>3.3569339999999998E-3</v>
      </c>
      <c r="V670">
        <v>2.2776310000000001E-2</v>
      </c>
      <c r="W670">
        <v>2.667665E-2</v>
      </c>
      <c r="X670">
        <v>0.99938459999999996</v>
      </c>
      <c r="Y670">
        <v>1.130402E-3</v>
      </c>
      <c r="Z670">
        <v>-1.0250479999999999E-4</v>
      </c>
      <c r="AA670">
        <v>0.99999930000000004</v>
      </c>
      <c r="AB670">
        <v>37</v>
      </c>
      <c r="AC670">
        <v>31.2667999999999</v>
      </c>
      <c r="AD670">
        <v>-1.1450309999999999</v>
      </c>
      <c r="AE670">
        <v>3.4700000000043398E-2</v>
      </c>
      <c r="AF670">
        <v>3.5627611138551701E-2</v>
      </c>
      <c r="AG670">
        <v>-1.1450309999999999</v>
      </c>
      <c r="AH670">
        <v>31.224922587719298</v>
      </c>
      <c r="AI670">
        <v>92.100117866011701</v>
      </c>
      <c r="AJ670">
        <v>89.934625590798703</v>
      </c>
      <c r="AK670">
        <v>31.2459302298187</v>
      </c>
      <c r="AL670">
        <v>88.471359185711094</v>
      </c>
      <c r="AM670">
        <v>88.694435986020196</v>
      </c>
      <c r="AN670">
        <v>0.999999991334799</v>
      </c>
    </row>
    <row r="671" spans="1:40" x14ac:dyDescent="0.25">
      <c r="A671" t="str">
        <f>"20190312160921966"</f>
        <v>20190312160921966</v>
      </c>
      <c r="B671" t="str">
        <f>"1552378161955702"</f>
        <v>1552378161955702</v>
      </c>
      <c r="C671" t="s">
        <v>40</v>
      </c>
      <c r="D671">
        <v>5.1358180000000004</v>
      </c>
      <c r="E671">
        <v>0.49163119999999999</v>
      </c>
      <c r="F671" t="s">
        <v>43</v>
      </c>
      <c r="G671">
        <v>-285.95659999999998</v>
      </c>
      <c r="H671">
        <v>-0.05</v>
      </c>
      <c r="I671">
        <v>368.22629999999998</v>
      </c>
      <c r="J671">
        <v>-316.54129999999998</v>
      </c>
      <c r="K671">
        <v>1.093502</v>
      </c>
      <c r="L671">
        <v>368.19159999999999</v>
      </c>
      <c r="M671">
        <v>0.99987079999999995</v>
      </c>
      <c r="N671">
        <v>0</v>
      </c>
      <c r="O671">
        <v>2.2321609999999999E-3</v>
      </c>
      <c r="P671">
        <v>0.99973429999999996</v>
      </c>
      <c r="Q671">
        <v>1.049895E-2</v>
      </c>
      <c r="R671">
        <v>-2.053512E-2</v>
      </c>
      <c r="S671">
        <v>3.0021059999999999</v>
      </c>
      <c r="T671">
        <v>-0.1116048</v>
      </c>
      <c r="U671">
        <v>3.4179689999999999E-3</v>
      </c>
      <c r="V671">
        <v>2.2769560000000001E-2</v>
      </c>
      <c r="W671">
        <v>2.6416390000000001E-2</v>
      </c>
      <c r="X671">
        <v>0.99939169999999999</v>
      </c>
      <c r="Y671">
        <v>1.0916260000000001E-3</v>
      </c>
      <c r="Z671">
        <v>-1.032474E-4</v>
      </c>
      <c r="AA671">
        <v>0.99999939999999998</v>
      </c>
      <c r="AB671">
        <v>37</v>
      </c>
      <c r="AC671">
        <v>30.584700000000002</v>
      </c>
      <c r="AD671">
        <v>-1.143502</v>
      </c>
      <c r="AE671">
        <v>3.4699999999986603E-2</v>
      </c>
      <c r="AF671">
        <v>3.3531839538427297E-2</v>
      </c>
      <c r="AG671">
        <v>-1.143502</v>
      </c>
      <c r="AH671">
        <v>30.542007685676499</v>
      </c>
      <c r="AI671">
        <v>92.144168505455497</v>
      </c>
      <c r="AJ671">
        <v>89.937095421731797</v>
      </c>
      <c r="AK671">
        <v>30.563425113690901</v>
      </c>
      <c r="AL671">
        <v>88.486276292417699</v>
      </c>
      <c r="AM671">
        <v>88.694832039038005</v>
      </c>
      <c r="AN671">
        <v>1.0000000242760501</v>
      </c>
    </row>
    <row r="672" spans="1:40" x14ac:dyDescent="0.25">
      <c r="A672" t="str">
        <f>"20190312160921986"</f>
        <v>20190312160921986</v>
      </c>
      <c r="B672" t="str">
        <f>"1552378161976201"</f>
        <v>1552378161976201</v>
      </c>
      <c r="C672" t="s">
        <v>40</v>
      </c>
      <c r="D672">
        <v>5.156968</v>
      </c>
      <c r="E672">
        <v>0.4916548</v>
      </c>
      <c r="F672" t="s">
        <v>43</v>
      </c>
      <c r="G672">
        <v>-286.10750000000002</v>
      </c>
      <c r="H672">
        <v>-0.05</v>
      </c>
      <c r="I672">
        <v>368.22809999999998</v>
      </c>
      <c r="J672">
        <v>-316.20949999999999</v>
      </c>
      <c r="K672">
        <v>1.0910310000000001</v>
      </c>
      <c r="L672">
        <v>368.19240000000002</v>
      </c>
      <c r="M672">
        <v>0.99986980000000003</v>
      </c>
      <c r="N672">
        <v>0</v>
      </c>
      <c r="O672">
        <v>2.2000280000000001E-3</v>
      </c>
      <c r="P672">
        <v>0.99973860000000003</v>
      </c>
      <c r="Q672">
        <v>1.035286E-2</v>
      </c>
      <c r="R672">
        <v>-2.0389850000000001E-2</v>
      </c>
      <c r="S672">
        <v>3.002014</v>
      </c>
      <c r="T672">
        <v>-0.11279589999999901</v>
      </c>
      <c r="U672">
        <v>3.6010740000000001E-3</v>
      </c>
      <c r="V672">
        <v>2.2592810000000001E-2</v>
      </c>
      <c r="W672">
        <v>2.6329160000000001E-2</v>
      </c>
      <c r="X672">
        <v>0.99939800000000001</v>
      </c>
      <c r="Y672">
        <v>9.9850190000000004E-4</v>
      </c>
      <c r="Z672">
        <v>-1.013958E-4</v>
      </c>
      <c r="AA672">
        <v>0.99999950000000004</v>
      </c>
      <c r="AB672">
        <v>37</v>
      </c>
      <c r="AC672">
        <v>30.101999999999901</v>
      </c>
      <c r="AD672">
        <v>-1.1410309999999999</v>
      </c>
      <c r="AE672">
        <v>3.56999999999629E-2</v>
      </c>
      <c r="AF672">
        <v>3.0489983852077501E-2</v>
      </c>
      <c r="AG672">
        <v>-1.1410309999999999</v>
      </c>
      <c r="AH672">
        <v>30.058816454734899</v>
      </c>
      <c r="AI672">
        <v>92.173899719587794</v>
      </c>
      <c r="AJ672">
        <v>89.941882382640102</v>
      </c>
      <c r="AK672">
        <v>30.0804808479106</v>
      </c>
      <c r="AL672">
        <v>88.491275922200202</v>
      </c>
      <c r="AM672">
        <v>88.704968176406396</v>
      </c>
      <c r="AN672">
        <v>1.000000011067</v>
      </c>
    </row>
    <row r="673" spans="1:40" x14ac:dyDescent="0.25">
      <c r="A673" t="str">
        <f>"20190312160922009"</f>
        <v>20190312160922009</v>
      </c>
      <c r="B673" t="str">
        <f>"1552378162005478"</f>
        <v>1552378162005478</v>
      </c>
      <c r="C673" t="s">
        <v>40</v>
      </c>
      <c r="D673">
        <v>5.2927580000000001</v>
      </c>
      <c r="E673">
        <v>0.49162889999999998</v>
      </c>
      <c r="F673" t="s">
        <v>43</v>
      </c>
      <c r="G673">
        <v>-285.91109999999998</v>
      </c>
      <c r="H673">
        <v>-0.05</v>
      </c>
      <c r="I673">
        <v>368.23579999999998</v>
      </c>
      <c r="J673">
        <v>-315.83519999999999</v>
      </c>
      <c r="K673">
        <v>1.0881529999999999</v>
      </c>
      <c r="L673">
        <v>368.19310000000002</v>
      </c>
      <c r="M673">
        <v>0.99986980000000003</v>
      </c>
      <c r="N673">
        <v>0</v>
      </c>
      <c r="O673">
        <v>2.1530759999999999E-3</v>
      </c>
      <c r="P673">
        <v>0.9997317</v>
      </c>
      <c r="Q673">
        <v>1.035725E-2</v>
      </c>
      <c r="R673">
        <v>-2.072773E-2</v>
      </c>
      <c r="S673">
        <v>3.0020449999999999</v>
      </c>
      <c r="T673">
        <v>-0.1130565</v>
      </c>
      <c r="U673">
        <v>4.3029790000000002E-3</v>
      </c>
      <c r="V673">
        <v>2.288453E-2</v>
      </c>
      <c r="W673">
        <v>2.6342029999999999E-2</v>
      </c>
      <c r="X673">
        <v>0.99939100000000003</v>
      </c>
      <c r="Y673">
        <v>7.1796929999999896E-4</v>
      </c>
      <c r="Z673" s="1">
        <v>-9.4580540000000003E-5</v>
      </c>
      <c r="AA673">
        <v>0.99999979999999999</v>
      </c>
      <c r="AB673">
        <v>37</v>
      </c>
      <c r="AC673">
        <v>29.924099999999999</v>
      </c>
      <c r="AD673">
        <v>-1.138153</v>
      </c>
      <c r="AE673">
        <v>4.2699999999967903E-2</v>
      </c>
      <c r="AF673">
        <v>2.1705800548340801E-2</v>
      </c>
      <c r="AG673">
        <v>-1.138153</v>
      </c>
      <c r="AH673">
        <v>29.880895895217702</v>
      </c>
      <c r="AI673">
        <v>92.181321374161001</v>
      </c>
      <c r="AJ673">
        <v>89.958379743767097</v>
      </c>
      <c r="AK673">
        <v>29.9025718441412</v>
      </c>
      <c r="AL673">
        <v>88.490538234200301</v>
      </c>
      <c r="AM673">
        <v>88.688243252262893</v>
      </c>
      <c r="AN673">
        <v>0.99999998756942099</v>
      </c>
    </row>
    <row r="674" spans="1:40" x14ac:dyDescent="0.25">
      <c r="A674" t="str">
        <f>"20190312160922031"</f>
        <v>20190312160922031</v>
      </c>
      <c r="B674" t="str">
        <f>"1552378162025974"</f>
        <v>1552378162025974</v>
      </c>
      <c r="C674" t="s">
        <v>40</v>
      </c>
      <c r="D674">
        <v>5.0411409999999997</v>
      </c>
      <c r="E674">
        <v>0.52808949999999999</v>
      </c>
      <c r="F674" t="s">
        <v>43</v>
      </c>
      <c r="G674">
        <v>-285.40359999999998</v>
      </c>
      <c r="H674">
        <v>-0.05</v>
      </c>
      <c r="I674">
        <v>368.22590000000002</v>
      </c>
      <c r="J674">
        <v>-315.46859999999998</v>
      </c>
      <c r="K674">
        <v>1.0853079999999999</v>
      </c>
      <c r="L674">
        <v>368.19389999999999</v>
      </c>
      <c r="M674">
        <v>0.99987099999999995</v>
      </c>
      <c r="N674">
        <v>0</v>
      </c>
      <c r="O674">
        <v>2.0926439999999998E-3</v>
      </c>
      <c r="P674">
        <v>0.99973429999999996</v>
      </c>
      <c r="Q674">
        <v>1.040403E-2</v>
      </c>
      <c r="R674">
        <v>-2.0565409999999999E-2</v>
      </c>
      <c r="S674">
        <v>3.002014</v>
      </c>
      <c r="T674">
        <v>-0.1122766</v>
      </c>
      <c r="U674">
        <v>3.2348630000000001E-3</v>
      </c>
      <c r="V674">
        <v>2.2662470000000001E-2</v>
      </c>
      <c r="W674">
        <v>2.631963E-2</v>
      </c>
      <c r="X674">
        <v>0.99939670000000003</v>
      </c>
      <c r="Y674">
        <v>1.0131750000000001E-3</v>
      </c>
      <c r="Z674" s="1">
        <v>-9.7188190000000005E-5</v>
      </c>
      <c r="AA674">
        <v>0.99999950000000004</v>
      </c>
      <c r="AB674">
        <v>37</v>
      </c>
      <c r="AC674">
        <v>30.065000000000001</v>
      </c>
      <c r="AD674">
        <v>-1.135308</v>
      </c>
      <c r="AE674">
        <v>3.2000000000039101E-2</v>
      </c>
      <c r="AF674">
        <v>3.0879358818539E-2</v>
      </c>
      <c r="AG674">
        <v>-1.135308</v>
      </c>
      <c r="AH674">
        <v>30.022190964649798</v>
      </c>
      <c r="AI674">
        <v>92.165642816951106</v>
      </c>
      <c r="AJ674">
        <v>89.941068381300099</v>
      </c>
      <c r="AK674">
        <v>30.043665357402201</v>
      </c>
      <c r="AL674">
        <v>88.491822179716095</v>
      </c>
      <c r="AM674">
        <v>88.700974905265298</v>
      </c>
      <c r="AN674">
        <v>1.0000000372203599</v>
      </c>
    </row>
    <row r="675" spans="1:40" x14ac:dyDescent="0.25">
      <c r="A675" t="str">
        <f>"20190312160922053"</f>
        <v>20190312160922053</v>
      </c>
      <c r="B675" t="str">
        <f>"1552378162045493"</f>
        <v>1552378162045493</v>
      </c>
      <c r="C675" t="s">
        <v>40</v>
      </c>
      <c r="D675">
        <v>4.9942859999999998</v>
      </c>
      <c r="E675">
        <v>0.53822460000000005</v>
      </c>
      <c r="F675" t="s">
        <v>42</v>
      </c>
      <c r="G675">
        <v>-314.53160000000003</v>
      </c>
      <c r="H675">
        <v>0.98216919999999996</v>
      </c>
      <c r="I675">
        <v>368.10320000000002</v>
      </c>
      <c r="J675">
        <v>-315.09109999999998</v>
      </c>
      <c r="K675">
        <v>1.0824240000000001</v>
      </c>
      <c r="L675">
        <v>368.19459999999998</v>
      </c>
      <c r="M675">
        <v>0.99987459999999995</v>
      </c>
      <c r="N675">
        <v>0</v>
      </c>
      <c r="O675">
        <v>2.0129039999999998E-3</v>
      </c>
      <c r="P675">
        <v>0.99972320000000003</v>
      </c>
      <c r="Q675">
        <v>1.032258E-2</v>
      </c>
      <c r="R675">
        <v>-2.115533E-2</v>
      </c>
      <c r="S675">
        <v>2.9982600000000001</v>
      </c>
      <c r="T675">
        <v>-0.33011099999999999</v>
      </c>
      <c r="U675">
        <v>-0.28967290000000001</v>
      </c>
      <c r="V675">
        <v>2.3173119999999998E-2</v>
      </c>
      <c r="W675">
        <v>2.6031720000000001E-2</v>
      </c>
      <c r="X675">
        <v>0.99939250000000002</v>
      </c>
      <c r="Y675">
        <v>9.7573240000000006E-2</v>
      </c>
      <c r="Z675">
        <v>-5.563419E-3</v>
      </c>
      <c r="AA675">
        <v>0.99521280000000001</v>
      </c>
      <c r="AB675">
        <v>37</v>
      </c>
      <c r="AC675">
        <v>0.55949999999995703</v>
      </c>
      <c r="AD675">
        <v>-0.10025480000000001</v>
      </c>
      <c r="AE675">
        <v>-9.1399999999964607E-2</v>
      </c>
      <c r="AF675">
        <v>8.9720331794009706E-2</v>
      </c>
      <c r="AG675">
        <v>-0.10025480000000001</v>
      </c>
      <c r="AH675">
        <v>0.54235372830877404</v>
      </c>
      <c r="AI675">
        <v>100.335599583049</v>
      </c>
      <c r="AJ675">
        <v>80.606760417590294</v>
      </c>
      <c r="AK675">
        <v>0.55879184807108195</v>
      </c>
      <c r="AL675">
        <v>88.508323815361905</v>
      </c>
      <c r="AM675">
        <v>88.671708960685507</v>
      </c>
      <c r="AN675">
        <v>1.00000000649647</v>
      </c>
    </row>
    <row r="676" spans="1:40" x14ac:dyDescent="0.25">
      <c r="A676" t="str">
        <f>"20190312160922075"</f>
        <v>20190312160922075</v>
      </c>
      <c r="B676" t="str">
        <f>"1552378162065990"</f>
        <v>1552378162065990</v>
      </c>
      <c r="C676" t="s">
        <v>40</v>
      </c>
      <c r="D676">
        <v>5.0074339999999999</v>
      </c>
      <c r="E676">
        <v>0.54398489999999999</v>
      </c>
      <c r="F676" t="s">
        <v>42</v>
      </c>
      <c r="G676">
        <v>-314.20659999999998</v>
      </c>
      <c r="H676">
        <v>0.96169199999999999</v>
      </c>
      <c r="I676">
        <v>368.08429999999998</v>
      </c>
      <c r="J676">
        <v>-314.72239999999999</v>
      </c>
      <c r="K676">
        <v>1.079707</v>
      </c>
      <c r="L676">
        <v>368.1952</v>
      </c>
      <c r="M676">
        <v>0.99987979999999999</v>
      </c>
      <c r="N676">
        <v>0</v>
      </c>
      <c r="O676">
        <v>1.9176379999999999E-3</v>
      </c>
      <c r="P676">
        <v>0.99971469999999996</v>
      </c>
      <c r="Q676">
        <v>1.0237609999999999E-2</v>
      </c>
      <c r="R676">
        <v>-2.158415E-2</v>
      </c>
      <c r="S676">
        <v>2.9971619999999999</v>
      </c>
      <c r="T676">
        <v>-0.4091805</v>
      </c>
      <c r="U676">
        <v>-0.37332149999999997</v>
      </c>
      <c r="V676">
        <v>2.3507469999999999E-2</v>
      </c>
      <c r="W676">
        <v>2.5607950000000001E-2</v>
      </c>
      <c r="X676">
        <v>0.99939560000000005</v>
      </c>
      <c r="Y676">
        <v>0.12435259999999999</v>
      </c>
      <c r="Z676">
        <v>-8.6768469999999997E-3</v>
      </c>
      <c r="AA676">
        <v>0.99220010000000003</v>
      </c>
      <c r="AB676">
        <v>37</v>
      </c>
      <c r="AC676">
        <v>0.51580000000001203</v>
      </c>
      <c r="AD676">
        <v>-0.118014999999999</v>
      </c>
      <c r="AE676">
        <v>-0.110900000000015</v>
      </c>
      <c r="AF676">
        <v>0.10655729290033</v>
      </c>
      <c r="AG676">
        <v>-0.118014999999999</v>
      </c>
      <c r="AH676">
        <v>0.49101763056737402</v>
      </c>
      <c r="AI676">
        <v>103.21806771996999</v>
      </c>
      <c r="AJ676">
        <v>77.755915671620798</v>
      </c>
      <c r="AK676">
        <v>0.51612044178006</v>
      </c>
      <c r="AL676">
        <v>88.532612086995599</v>
      </c>
      <c r="AM676">
        <v>88.652555099609202</v>
      </c>
      <c r="AN676">
        <v>0.99999996677418101</v>
      </c>
    </row>
    <row r="677" spans="1:40" x14ac:dyDescent="0.25">
      <c r="A677" t="str">
        <f>"20190312160922096"</f>
        <v>20190312160922096</v>
      </c>
      <c r="B677" t="str">
        <f>"1552378162085510"</f>
        <v>1552378162085510</v>
      </c>
      <c r="C677" t="s">
        <v>40</v>
      </c>
      <c r="D677">
        <v>5.014856</v>
      </c>
      <c r="E677">
        <v>0.54702019999999996</v>
      </c>
      <c r="F677" t="s">
        <v>42</v>
      </c>
      <c r="G677">
        <v>-313.87880000000001</v>
      </c>
      <c r="H677">
        <v>0.94600960000000001</v>
      </c>
      <c r="I677">
        <v>368.0763</v>
      </c>
      <c r="J677">
        <v>-314.37299999999999</v>
      </c>
      <c r="K677">
        <v>1.0772790000000001</v>
      </c>
      <c r="L677">
        <v>368.19580000000002</v>
      </c>
      <c r="M677">
        <v>0.99988650000000001</v>
      </c>
      <c r="N677">
        <v>0</v>
      </c>
      <c r="O677">
        <v>1.810982E-3</v>
      </c>
      <c r="P677">
        <v>0.99971030000000005</v>
      </c>
      <c r="Q677">
        <v>9.9366799999999998E-3</v>
      </c>
      <c r="R677">
        <v>-2.1933190000000002E-2</v>
      </c>
      <c r="S677">
        <v>2.9966430000000002</v>
      </c>
      <c r="T677">
        <v>-0.4750183</v>
      </c>
      <c r="U677">
        <v>-0.42144779999999998</v>
      </c>
      <c r="V677">
        <v>2.3750549999999999E-2</v>
      </c>
      <c r="W677">
        <v>2.4888629999999998E-2</v>
      </c>
      <c r="X677">
        <v>0.99940810000000002</v>
      </c>
      <c r="Y677">
        <v>0.13933419999999999</v>
      </c>
      <c r="Z677">
        <v>-1.12061E-2</v>
      </c>
      <c r="AA677">
        <v>0.99018200000000001</v>
      </c>
      <c r="AB677">
        <v>37</v>
      </c>
      <c r="AC677">
        <v>0.49419999999997699</v>
      </c>
      <c r="AD677">
        <v>-0.13126940000000001</v>
      </c>
      <c r="AE677">
        <v>-0.119500000000016</v>
      </c>
      <c r="AF677">
        <v>0.112871276582322</v>
      </c>
      <c r="AG677">
        <v>-0.13126940000000001</v>
      </c>
      <c r="AH677">
        <v>0.46311320409281798</v>
      </c>
      <c r="AI677">
        <v>105.396956446386</v>
      </c>
      <c r="AJ677">
        <v>76.302750570719795</v>
      </c>
      <c r="AK677">
        <v>0.49441421931291502</v>
      </c>
      <c r="AL677">
        <v>88.573839338635096</v>
      </c>
      <c r="AM677">
        <v>88.638644025463904</v>
      </c>
      <c r="AN677">
        <v>1.00000004143709</v>
      </c>
    </row>
    <row r="678" spans="1:40" x14ac:dyDescent="0.25">
      <c r="A678" t="str">
        <f>"20190312160922118"</f>
        <v>20190312160922118</v>
      </c>
      <c r="B678" t="str">
        <f>"1552378162115765"</f>
        <v>1552378162115765</v>
      </c>
      <c r="C678" t="s">
        <v>40</v>
      </c>
      <c r="D678">
        <v>5.0156280000000004</v>
      </c>
      <c r="E678">
        <v>0.54437429999999998</v>
      </c>
      <c r="F678" t="s">
        <v>42</v>
      </c>
      <c r="G678">
        <v>-313.5478</v>
      </c>
      <c r="H678">
        <v>0.93676689999999996</v>
      </c>
      <c r="I678">
        <v>368.07260000000002</v>
      </c>
      <c r="J678">
        <v>-314.0025</v>
      </c>
      <c r="K678">
        <v>1.0749029999999999</v>
      </c>
      <c r="L678">
        <v>368.19639999999998</v>
      </c>
      <c r="M678">
        <v>0.99989410000000001</v>
      </c>
      <c r="N678">
        <v>0</v>
      </c>
      <c r="O678">
        <v>1.682776E-3</v>
      </c>
      <c r="P678">
        <v>0.99971860000000001</v>
      </c>
      <c r="Q678">
        <v>1.022525E-2</v>
      </c>
      <c r="R678">
        <v>-2.1408679999999999E-2</v>
      </c>
      <c r="S678">
        <v>2.9961850000000001</v>
      </c>
      <c r="T678">
        <v>-0.51028969999999996</v>
      </c>
      <c r="U678">
        <v>-0.44671630000000001</v>
      </c>
      <c r="V678">
        <v>2.3098779999999999E-2</v>
      </c>
      <c r="W678">
        <v>2.4670310000000001E-2</v>
      </c>
      <c r="X678">
        <v>0.99942869999999995</v>
      </c>
      <c r="Y678">
        <v>0.147034</v>
      </c>
      <c r="Z678">
        <v>-1.264757E-2</v>
      </c>
      <c r="AA678">
        <v>0.9890506</v>
      </c>
      <c r="AB678">
        <v>37</v>
      </c>
      <c r="AC678">
        <v>0.45470000000000199</v>
      </c>
      <c r="AD678">
        <v>-0.13813610000000001</v>
      </c>
      <c r="AE678">
        <v>-0.12379999999996</v>
      </c>
      <c r="AF678">
        <v>0.114708961653936</v>
      </c>
      <c r="AG678">
        <v>-0.13813610000000001</v>
      </c>
      <c r="AH678">
        <v>0.41852980479416002</v>
      </c>
      <c r="AI678">
        <v>107.656889307558</v>
      </c>
      <c r="AJ678">
        <v>74.672981145712001</v>
      </c>
      <c r="AK678">
        <v>0.45541950497093497</v>
      </c>
      <c r="AL678">
        <v>88.586351868533399</v>
      </c>
      <c r="AM678">
        <v>88.676016575476496</v>
      </c>
      <c r="AN678">
        <v>0.99999995210833603</v>
      </c>
    </row>
    <row r="679" spans="1:40" x14ac:dyDescent="0.25">
      <c r="A679" t="str">
        <f>"20190312160922142"</f>
        <v>20190312160922142</v>
      </c>
      <c r="B679" t="str">
        <f>"1552378162136262"</f>
        <v>1552378162136262</v>
      </c>
      <c r="C679" t="s">
        <v>40</v>
      </c>
      <c r="D679">
        <v>5.0388359999999999</v>
      </c>
      <c r="E679">
        <v>0.54532749999999997</v>
      </c>
      <c r="F679" t="s">
        <v>42</v>
      </c>
      <c r="G679">
        <v>-313.20800000000003</v>
      </c>
      <c r="H679">
        <v>0.94513340000000001</v>
      </c>
      <c r="I679">
        <v>368.0838</v>
      </c>
      <c r="J679">
        <v>-313.61540000000002</v>
      </c>
      <c r="K679">
        <v>1.0726500000000001</v>
      </c>
      <c r="L679">
        <v>368.19690000000003</v>
      </c>
      <c r="M679">
        <v>0.99990239999999997</v>
      </c>
      <c r="N679">
        <v>0</v>
      </c>
      <c r="O679">
        <v>1.534473E-3</v>
      </c>
      <c r="P679">
        <v>0.99970950000000003</v>
      </c>
      <c r="Q679">
        <v>1.095963E-2</v>
      </c>
      <c r="R679">
        <v>-2.147168E-2</v>
      </c>
      <c r="S679">
        <v>2.9967959999999998</v>
      </c>
      <c r="T679">
        <v>-0.48971769999999998</v>
      </c>
      <c r="U679">
        <v>-0.42352289999999998</v>
      </c>
      <c r="V679">
        <v>2.3014650000000001E-2</v>
      </c>
      <c r="W679">
        <v>2.484192E-2</v>
      </c>
      <c r="X679">
        <v>0.99942640000000005</v>
      </c>
      <c r="Y679">
        <v>0.13961809999999999</v>
      </c>
      <c r="Z679">
        <v>-1.152559E-2</v>
      </c>
      <c r="AA679">
        <v>0.99013839999999997</v>
      </c>
      <c r="AB679">
        <v>37</v>
      </c>
      <c r="AC679">
        <v>0.407400000000052</v>
      </c>
      <c r="AD679">
        <v>-0.12751659999999901</v>
      </c>
      <c r="AE679">
        <v>-0.113100000000031</v>
      </c>
      <c r="AF679">
        <v>0.104243173961203</v>
      </c>
      <c r="AG679">
        <v>-0.12751659999999901</v>
      </c>
      <c r="AH679">
        <v>0.37327324139430101</v>
      </c>
      <c r="AI679">
        <v>108.212635436624</v>
      </c>
      <c r="AJ679">
        <v>74.396666252591999</v>
      </c>
      <c r="AK679">
        <v>0.407995141311847</v>
      </c>
      <c r="AL679">
        <v>88.576516339104103</v>
      </c>
      <c r="AM679">
        <v>88.680834024510702</v>
      </c>
      <c r="AN679">
        <v>0.99999996206043296</v>
      </c>
    </row>
    <row r="680" spans="1:40" x14ac:dyDescent="0.25">
      <c r="A680" t="str">
        <f>"20190312160922163"</f>
        <v>20190312160922163</v>
      </c>
      <c r="B680" t="str">
        <f>"1552378162155785"</f>
        <v>1552378162155785</v>
      </c>
      <c r="C680" t="s">
        <v>40</v>
      </c>
      <c r="D680">
        <v>5.1641199999999996</v>
      </c>
      <c r="E680">
        <v>0.54506840000000001</v>
      </c>
      <c r="F680" t="s">
        <v>42</v>
      </c>
      <c r="G680">
        <v>-312.8698</v>
      </c>
      <c r="H680">
        <v>0.94911440000000002</v>
      </c>
      <c r="I680">
        <v>368.08940000000001</v>
      </c>
      <c r="J680">
        <v>-313.23840000000001</v>
      </c>
      <c r="K680">
        <v>1.0707</v>
      </c>
      <c r="L680">
        <v>368.19729999999998</v>
      </c>
      <c r="M680">
        <v>0.99991010000000002</v>
      </c>
      <c r="N680">
        <v>0</v>
      </c>
      <c r="O680">
        <v>1.3787269999999999E-3</v>
      </c>
      <c r="P680">
        <v>0.99969870000000005</v>
      </c>
      <c r="Q680">
        <v>1.185022E-2</v>
      </c>
      <c r="R680">
        <v>-2.1505070000000001E-2</v>
      </c>
      <c r="S680">
        <v>2.9970699999999999</v>
      </c>
      <c r="T680">
        <v>-0.49661250000000001</v>
      </c>
      <c r="U680">
        <v>-0.43115229999999999</v>
      </c>
      <c r="V680">
        <v>2.2893130000000001E-2</v>
      </c>
      <c r="W680">
        <v>2.5183219999999999E-2</v>
      </c>
      <c r="X680">
        <v>0.99942070000000005</v>
      </c>
      <c r="Y680">
        <v>0.1418432</v>
      </c>
      <c r="Z680">
        <v>-1.1839290000000001E-2</v>
      </c>
      <c r="AA680">
        <v>0.98981830000000004</v>
      </c>
      <c r="AB680">
        <v>37</v>
      </c>
      <c r="AC680">
        <v>0.36860000000001403</v>
      </c>
      <c r="AD680">
        <v>-0.121585599999999</v>
      </c>
      <c r="AE680">
        <v>-0.107899999999972</v>
      </c>
      <c r="AF680">
        <v>9.8533289271576396E-2</v>
      </c>
      <c r="AG680">
        <v>-0.121585599999999</v>
      </c>
      <c r="AH680">
        <v>0.33488883633983901</v>
      </c>
      <c r="AI680">
        <v>109.203196568975</v>
      </c>
      <c r="AJ680">
        <v>73.604700834719793</v>
      </c>
      <c r="AK680">
        <v>0.36965172788327</v>
      </c>
      <c r="AL680">
        <v>88.556955241952593</v>
      </c>
      <c r="AM680">
        <v>88.687789449546401</v>
      </c>
      <c r="AN680">
        <v>1.00000001277962</v>
      </c>
    </row>
    <row r="681" spans="1:40" x14ac:dyDescent="0.25">
      <c r="A681" t="str">
        <f>"20190312160922187"</f>
        <v>20190312160922187</v>
      </c>
      <c r="B681" t="str">
        <f>"1552378162176283"</f>
        <v>1552378162176283</v>
      </c>
      <c r="C681" t="s">
        <v>40</v>
      </c>
      <c r="D681">
        <v>5.169816</v>
      </c>
      <c r="E681">
        <v>0.54489730000000003</v>
      </c>
      <c r="F681" t="s">
        <v>42</v>
      </c>
      <c r="G681">
        <v>-312.53050000000002</v>
      </c>
      <c r="H681">
        <v>0.95385629999999999</v>
      </c>
      <c r="I681">
        <v>368.09559999999999</v>
      </c>
      <c r="J681">
        <v>-312.86750000000001</v>
      </c>
      <c r="K681">
        <v>1.069016</v>
      </c>
      <c r="L681">
        <v>368.1977</v>
      </c>
      <c r="M681">
        <v>0.99991699999999994</v>
      </c>
      <c r="N681">
        <v>0</v>
      </c>
      <c r="O681">
        <v>1.216155E-3</v>
      </c>
      <c r="P681">
        <v>0.9996891</v>
      </c>
      <c r="Q681">
        <v>1.231781E-2</v>
      </c>
      <c r="R681">
        <v>-2.1684829999999999E-2</v>
      </c>
      <c r="S681">
        <v>2.9975589999999999</v>
      </c>
      <c r="T681">
        <v>-0.49499460000000001</v>
      </c>
      <c r="U681">
        <v>-0.42944339999999998</v>
      </c>
      <c r="V681">
        <v>2.2910690000000001E-2</v>
      </c>
      <c r="W681">
        <v>2.513079E-2</v>
      </c>
      <c r="X681">
        <v>0.99942160000000002</v>
      </c>
      <c r="Y681">
        <v>0.1411309</v>
      </c>
      <c r="Z681">
        <v>-1.1715160000000001E-2</v>
      </c>
      <c r="AA681">
        <v>0.98992159999999996</v>
      </c>
      <c r="AB681">
        <v>38</v>
      </c>
      <c r="AC681">
        <v>0.33699999999998898</v>
      </c>
      <c r="AD681">
        <v>-0.115159699999999</v>
      </c>
      <c r="AE681">
        <v>-0.102100000000007</v>
      </c>
      <c r="AF681">
        <v>9.2605184096442597E-2</v>
      </c>
      <c r="AG681">
        <v>-0.115159699999999</v>
      </c>
      <c r="AH681">
        <v>0.30432625503607602</v>
      </c>
      <c r="AI681">
        <v>109.90121660749401</v>
      </c>
      <c r="AJ681">
        <v>73.075218100255498</v>
      </c>
      <c r="AK681">
        <v>0.33830747276687301</v>
      </c>
      <c r="AL681">
        <v>88.559960185686506</v>
      </c>
      <c r="AM681">
        <v>88.686784462988399</v>
      </c>
      <c r="AN681">
        <v>0.99999999543442997</v>
      </c>
    </row>
    <row r="682" spans="1:40" x14ac:dyDescent="0.25">
      <c r="A682" t="str">
        <f>"20190312160922210"</f>
        <v>20190312160922210</v>
      </c>
      <c r="B682" t="str">
        <f>"1552378162205557"</f>
        <v>1552378162205557</v>
      </c>
      <c r="C682" t="s">
        <v>40</v>
      </c>
      <c r="D682">
        <v>5.1728880000000004</v>
      </c>
      <c r="E682">
        <v>0.544933</v>
      </c>
      <c r="F682" t="s">
        <v>42</v>
      </c>
      <c r="G682">
        <v>-311.87700000000001</v>
      </c>
      <c r="H682">
        <v>0.9061034</v>
      </c>
      <c r="I682">
        <v>368.05549999999999</v>
      </c>
      <c r="J682">
        <v>-312.46609999999998</v>
      </c>
      <c r="K682">
        <v>1.0674349999999999</v>
      </c>
      <c r="L682">
        <v>368.19799999999998</v>
      </c>
      <c r="M682">
        <v>0.99992380000000003</v>
      </c>
      <c r="N682">
        <v>0</v>
      </c>
      <c r="O682">
        <v>1.0338089999999999E-3</v>
      </c>
      <c r="P682">
        <v>0.99967070000000002</v>
      </c>
      <c r="Q682">
        <v>1.3325770000000001E-2</v>
      </c>
      <c r="R682">
        <v>-2.1928309999999999E-2</v>
      </c>
      <c r="S682">
        <v>2.997681</v>
      </c>
      <c r="T682">
        <v>-0.49314530000000001</v>
      </c>
      <c r="U682">
        <v>-0.42898560000000002</v>
      </c>
      <c r="V682">
        <v>2.2972679999999999E-2</v>
      </c>
      <c r="W682">
        <v>2.5609860000000002E-2</v>
      </c>
      <c r="X682">
        <v>0.99940799999999996</v>
      </c>
      <c r="Y682">
        <v>0.14081729999999901</v>
      </c>
      <c r="Z682">
        <v>-1.161647E-2</v>
      </c>
      <c r="AA682">
        <v>0.9899675</v>
      </c>
      <c r="AB682">
        <v>38</v>
      </c>
      <c r="AC682">
        <v>0.58909999999997298</v>
      </c>
      <c r="AD682">
        <v>-0.16133159999999999</v>
      </c>
      <c r="AE682">
        <v>-0.14250000000004001</v>
      </c>
      <c r="AF682">
        <v>0.13364004818302699</v>
      </c>
      <c r="AG682">
        <v>-0.16133159999999999</v>
      </c>
      <c r="AH682">
        <v>0.54998377823111599</v>
      </c>
      <c r="AI682">
        <v>105.909908524089</v>
      </c>
      <c r="AJ682">
        <v>76.342443064667506</v>
      </c>
      <c r="AK682">
        <v>0.58853182068117205</v>
      </c>
      <c r="AL682">
        <v>88.532502635138002</v>
      </c>
      <c r="AM682">
        <v>88.683214601380399</v>
      </c>
      <c r="AN682">
        <v>0.99999997970980004</v>
      </c>
    </row>
    <row r="683" spans="1:40" x14ac:dyDescent="0.25">
      <c r="A683" t="str">
        <f>"20190312160922229"</f>
        <v>20190312160922229</v>
      </c>
      <c r="B683" t="str">
        <f>"1552378162226054"</f>
        <v>1552378162226054</v>
      </c>
      <c r="C683" t="s">
        <v>40</v>
      </c>
      <c r="D683">
        <v>5.1549300000000002</v>
      </c>
      <c r="E683">
        <v>0.54510179999999997</v>
      </c>
      <c r="F683" t="s">
        <v>42</v>
      </c>
      <c r="G683">
        <v>-311.5342</v>
      </c>
      <c r="H683">
        <v>0.91557840000000001</v>
      </c>
      <c r="I683">
        <v>368.06420000000003</v>
      </c>
      <c r="J683">
        <v>-312.12259999999998</v>
      </c>
      <c r="K683">
        <v>1.0662560000000001</v>
      </c>
      <c r="L683">
        <v>368.19819999999999</v>
      </c>
      <c r="M683">
        <v>0.99992910000000002</v>
      </c>
      <c r="N683">
        <v>0</v>
      </c>
      <c r="O683">
        <v>8.7525399999999903E-4</v>
      </c>
      <c r="P683">
        <v>0.9996775</v>
      </c>
      <c r="Q683">
        <v>1.392883E-2</v>
      </c>
      <c r="R683">
        <v>-2.124127E-2</v>
      </c>
      <c r="S683">
        <v>2.998138</v>
      </c>
      <c r="T683">
        <v>-0.48862250000000002</v>
      </c>
      <c r="U683">
        <v>-0.42999270000000001</v>
      </c>
      <c r="V683">
        <v>2.212747E-2</v>
      </c>
      <c r="W683">
        <v>2.5794810000000001E-2</v>
      </c>
      <c r="X683">
        <v>0.99942229999999999</v>
      </c>
      <c r="Y683">
        <v>0.14099919999999999</v>
      </c>
      <c r="Z683">
        <v>-1.149843E-2</v>
      </c>
      <c r="AA683">
        <v>0.98994289999999996</v>
      </c>
      <c r="AB683">
        <v>38</v>
      </c>
      <c r="AC683">
        <v>0.58839999999997805</v>
      </c>
      <c r="AD683">
        <v>-0.150677599999999</v>
      </c>
      <c r="AE683">
        <v>-0.13399999999995699</v>
      </c>
      <c r="AF683">
        <v>0.126620965310933</v>
      </c>
      <c r="AG683">
        <v>-0.150677599999999</v>
      </c>
      <c r="AH683">
        <v>0.55375909303509596</v>
      </c>
      <c r="AI683">
        <v>104.855804160543</v>
      </c>
      <c r="AJ683">
        <v>77.120331961421002</v>
      </c>
      <c r="AK683">
        <v>0.58769527913459096</v>
      </c>
      <c r="AL683">
        <v>88.521902257467104</v>
      </c>
      <c r="AM683">
        <v>88.731663735442396</v>
      </c>
      <c r="AN683">
        <v>0.99999996544441205</v>
      </c>
    </row>
    <row r="684" spans="1:40" x14ac:dyDescent="0.25">
      <c r="A684" t="str">
        <f>"20190312160922510"</f>
        <v>20190312160922510</v>
      </c>
      <c r="B684" t="str">
        <f>"1552378162506166"</f>
        <v>1552378162506166</v>
      </c>
      <c r="C684" t="s">
        <v>40</v>
      </c>
      <c r="D684">
        <v>5.2769130000000004</v>
      </c>
      <c r="E684">
        <v>0.54149459999999905</v>
      </c>
      <c r="F684" t="s">
        <v>42</v>
      </c>
      <c r="G684">
        <v>-306.82600000000002</v>
      </c>
      <c r="H684">
        <v>0.68335500000000005</v>
      </c>
      <c r="I684">
        <v>368.09449999999998</v>
      </c>
      <c r="J684">
        <v>-307.33179999999999</v>
      </c>
      <c r="K684">
        <v>1.059836</v>
      </c>
      <c r="L684">
        <v>368.19569999999999</v>
      </c>
      <c r="M684">
        <v>0.99995869999999998</v>
      </c>
      <c r="N684">
        <v>0</v>
      </c>
      <c r="O684">
        <v>-1.327607E-3</v>
      </c>
      <c r="P684">
        <v>0.99955079999999996</v>
      </c>
      <c r="Q684">
        <v>1.5080319999999999E-2</v>
      </c>
      <c r="R684">
        <v>-2.5904960000000001E-2</v>
      </c>
      <c r="S684">
        <v>3.011749</v>
      </c>
      <c r="T684">
        <v>-1.334562</v>
      </c>
      <c r="U684">
        <v>-0.35989379999999999</v>
      </c>
      <c r="V684">
        <v>2.4589570000000002E-2</v>
      </c>
      <c r="W684">
        <v>2.4072050000000001E-2</v>
      </c>
      <c r="X684">
        <v>0.99940779999999996</v>
      </c>
      <c r="Y684">
        <v>0.10751090000000001</v>
      </c>
      <c r="Z684">
        <v>-2.2122429999999998E-2</v>
      </c>
      <c r="AA684">
        <v>0.9939578</v>
      </c>
      <c r="AB684">
        <v>39</v>
      </c>
      <c r="AC684">
        <v>0.50580000000002201</v>
      </c>
      <c r="AD684">
        <v>-0.37648100000000001</v>
      </c>
      <c r="AE684">
        <v>-0.10120000000000499</v>
      </c>
      <c r="AF684">
        <v>6.5589118617050801E-2</v>
      </c>
      <c r="AG684">
        <v>-0.37648100000000001</v>
      </c>
      <c r="AH684">
        <v>0.33009344673079899</v>
      </c>
      <c r="AI684">
        <v>138.205604527849</v>
      </c>
      <c r="AJ684">
        <v>78.7617801387252</v>
      </c>
      <c r="AK684">
        <v>0.504976790968238</v>
      </c>
      <c r="AL684">
        <v>88.620639936314902</v>
      </c>
      <c r="AM684">
        <v>88.590570946522504</v>
      </c>
      <c r="AN684">
        <v>1.0000000306224099</v>
      </c>
    </row>
    <row r="685" spans="1:40" x14ac:dyDescent="0.25">
      <c r="A685" t="str">
        <f>"20190312160922521"</f>
        <v>20190312160922521</v>
      </c>
      <c r="B685" t="str">
        <f>"1552378162515927"</f>
        <v>1552378162515927</v>
      </c>
      <c r="C685" t="s">
        <v>40</v>
      </c>
      <c r="D685">
        <v>5.2547480000000002</v>
      </c>
      <c r="E685">
        <v>0.54709980000000002</v>
      </c>
      <c r="F685" t="s">
        <v>42</v>
      </c>
      <c r="G685">
        <v>-306.42430000000002</v>
      </c>
      <c r="H685">
        <v>0.82917050000000003</v>
      </c>
      <c r="I685">
        <v>368.06920000000002</v>
      </c>
      <c r="J685">
        <v>-307.11169999999998</v>
      </c>
      <c r="K685">
        <v>1.0597669999999999</v>
      </c>
      <c r="L685">
        <v>368.19540000000001</v>
      </c>
      <c r="M685">
        <v>0.99995889999999998</v>
      </c>
      <c r="N685">
        <v>0</v>
      </c>
      <c r="O685">
        <v>-1.4285019999999999E-3</v>
      </c>
      <c r="P685">
        <v>0.99954869999999996</v>
      </c>
      <c r="Q685">
        <v>1.5438820000000001E-2</v>
      </c>
      <c r="R685">
        <v>-2.5776719999999999E-2</v>
      </c>
      <c r="S685">
        <v>3.0020449999999999</v>
      </c>
      <c r="T685">
        <v>-0.76318619999999904</v>
      </c>
      <c r="U685">
        <v>-0.41754150000000001</v>
      </c>
      <c r="V685">
        <v>2.436056E-2</v>
      </c>
      <c r="W685">
        <v>2.4389540000000001E-2</v>
      </c>
      <c r="X685">
        <v>0.99940569999999895</v>
      </c>
      <c r="Y685">
        <v>0.13226089999999999</v>
      </c>
      <c r="Z685">
        <v>-1.611713E-2</v>
      </c>
      <c r="AA685">
        <v>0.99108390000000002</v>
      </c>
      <c r="AB685">
        <v>39</v>
      </c>
      <c r="AC685">
        <v>0.68739999999996804</v>
      </c>
      <c r="AD685">
        <v>-0.23059649999999901</v>
      </c>
      <c r="AE685">
        <v>-0.12619999999998299</v>
      </c>
      <c r="AF685">
        <v>0.11292433507060901</v>
      </c>
      <c r="AG685">
        <v>-0.23059649999999901</v>
      </c>
      <c r="AH685">
        <v>0.62007492415001797</v>
      </c>
      <c r="AI685">
        <v>110.095920354112</v>
      </c>
      <c r="AJ685">
        <v>79.678746700564901</v>
      </c>
      <c r="AK685">
        <v>0.67113304405537999</v>
      </c>
      <c r="AL685">
        <v>88.602443742167594</v>
      </c>
      <c r="AM685">
        <v>88.603689225843297</v>
      </c>
      <c r="AN685">
        <v>1.0000000198687</v>
      </c>
    </row>
    <row r="686" spans="1:40" x14ac:dyDescent="0.25">
      <c r="A686" t="str">
        <f>"20190312160922534"</f>
        <v>20190312160922534</v>
      </c>
      <c r="B686" t="str">
        <f>"1552378162525686"</f>
        <v>1552378162525686</v>
      </c>
      <c r="C686" t="s">
        <v>40</v>
      </c>
      <c r="D686">
        <v>5.1223919999999996</v>
      </c>
      <c r="E686">
        <v>0.54865140000000001</v>
      </c>
      <c r="F686" t="s">
        <v>43</v>
      </c>
      <c r="G686">
        <v>-291.67239999999998</v>
      </c>
      <c r="H686">
        <v>-0.05</v>
      </c>
      <c r="I686">
        <v>365.8442</v>
      </c>
      <c r="J686">
        <v>-306.90089999999998</v>
      </c>
      <c r="K686">
        <v>1.059707</v>
      </c>
      <c r="L686">
        <v>368.19499999999999</v>
      </c>
      <c r="M686">
        <v>0.99995889999999998</v>
      </c>
      <c r="N686">
        <v>0</v>
      </c>
      <c r="O686">
        <v>-1.5244270000000001E-3</v>
      </c>
      <c r="P686">
        <v>0.99954810000000005</v>
      </c>
      <c r="Q686">
        <v>1.577839E-2</v>
      </c>
      <c r="R686">
        <v>-2.5590829999999998E-2</v>
      </c>
      <c r="S686">
        <v>2.9929199999999998</v>
      </c>
      <c r="T686">
        <v>-0.21512990000000001</v>
      </c>
      <c r="U686">
        <v>-0.45578000000000002</v>
      </c>
      <c r="V686">
        <v>2.4078889999999999E-2</v>
      </c>
      <c r="W686">
        <v>2.469557E-2</v>
      </c>
      <c r="X686">
        <v>0.99940499999999999</v>
      </c>
      <c r="Y686">
        <v>0.1486721</v>
      </c>
      <c r="Z686">
        <v>-5.1970799999999998E-3</v>
      </c>
      <c r="AA686">
        <v>0.98887290000000005</v>
      </c>
      <c r="AB686">
        <v>39</v>
      </c>
      <c r="AC686">
        <v>15.228499999999899</v>
      </c>
      <c r="AD686">
        <v>-1.109707</v>
      </c>
      <c r="AE686">
        <v>-2.3507999999999898</v>
      </c>
      <c r="AF686">
        <v>2.3155718820116502</v>
      </c>
      <c r="AG686">
        <v>-1.109707</v>
      </c>
      <c r="AH686">
        <v>15.1534725262199</v>
      </c>
      <c r="AI686">
        <v>94.140470739333296</v>
      </c>
      <c r="AJ686">
        <v>81.311953123285406</v>
      </c>
      <c r="AK686">
        <v>15.369484453602</v>
      </c>
      <c r="AL686">
        <v>88.584904216619606</v>
      </c>
      <c r="AM686">
        <v>88.619826880347702</v>
      </c>
      <c r="AN686">
        <v>1.00000000907312</v>
      </c>
    </row>
    <row r="687" spans="1:40" x14ac:dyDescent="0.25">
      <c r="A687" t="str">
        <f>"20190312160922547"</f>
        <v>20190312160922547</v>
      </c>
      <c r="B687" t="str">
        <f>"1552378162535446"</f>
        <v>1552378162535446</v>
      </c>
      <c r="C687" t="s">
        <v>40</v>
      </c>
      <c r="D687">
        <v>5.0926790000000004</v>
      </c>
      <c r="E687">
        <v>0.54921529999999996</v>
      </c>
      <c r="F687" t="s">
        <v>43</v>
      </c>
      <c r="G687">
        <v>-290.60520000000002</v>
      </c>
      <c r="H687">
        <v>-0.05</v>
      </c>
      <c r="I687">
        <v>365.64870000000002</v>
      </c>
      <c r="J687">
        <v>-306.6832</v>
      </c>
      <c r="K687">
        <v>1.05965</v>
      </c>
      <c r="L687">
        <v>368.19459999999998</v>
      </c>
      <c r="M687">
        <v>0.99995909999999999</v>
      </c>
      <c r="N687">
        <v>0</v>
      </c>
      <c r="O687">
        <v>-1.6238170000000001E-3</v>
      </c>
      <c r="P687">
        <v>0.99954860000000001</v>
      </c>
      <c r="Q687">
        <v>1.583478E-2</v>
      </c>
      <c r="R687">
        <v>-2.553014E-2</v>
      </c>
      <c r="S687">
        <v>2.9926149999999998</v>
      </c>
      <c r="T687">
        <v>-0.2037911</v>
      </c>
      <c r="U687">
        <v>-0.4676208</v>
      </c>
      <c r="V687">
        <v>2.391896E-2</v>
      </c>
      <c r="W687">
        <v>2.471988E-2</v>
      </c>
      <c r="X687">
        <v>0.99940819999999997</v>
      </c>
      <c r="Y687">
        <v>0.152439299999999</v>
      </c>
      <c r="Z687">
        <v>-5.0434590000000001E-3</v>
      </c>
      <c r="AA687">
        <v>0.98829999999999996</v>
      </c>
      <c r="AB687">
        <v>39</v>
      </c>
      <c r="AC687">
        <v>16.0779999999999</v>
      </c>
      <c r="AD687">
        <v>-1.10965</v>
      </c>
      <c r="AE687">
        <v>-2.5458999999999601</v>
      </c>
      <c r="AF687">
        <v>2.5081331163901899</v>
      </c>
      <c r="AG687">
        <v>-1.10965</v>
      </c>
      <c r="AH687">
        <v>16.0077285144848</v>
      </c>
      <c r="AI687">
        <v>93.917733551297104</v>
      </c>
      <c r="AJ687">
        <v>81.095144931780993</v>
      </c>
      <c r="AK687">
        <v>16.240979867159599</v>
      </c>
      <c r="AL687">
        <v>88.583510875062501</v>
      </c>
      <c r="AM687">
        <v>88.628994753935999</v>
      </c>
      <c r="AN687">
        <v>0.99999996967096705</v>
      </c>
    </row>
    <row r="688" spans="1:40" x14ac:dyDescent="0.25">
      <c r="A688" t="str">
        <f>"20190312160922559"</f>
        <v>20190312160922559</v>
      </c>
      <c r="B688" t="str">
        <f>"1552378162555942"</f>
        <v>1552378162555942</v>
      </c>
      <c r="C688" t="s">
        <v>40</v>
      </c>
      <c r="D688">
        <v>5.1579610000000002</v>
      </c>
      <c r="E688">
        <v>0.55071539999999997</v>
      </c>
      <c r="F688" t="s">
        <v>43</v>
      </c>
      <c r="G688">
        <v>-290.7824</v>
      </c>
      <c r="H688">
        <v>-0.05</v>
      </c>
      <c r="I688">
        <v>365.68819999999999</v>
      </c>
      <c r="J688">
        <v>-306.44319999999999</v>
      </c>
      <c r="K688">
        <v>1.059593</v>
      </c>
      <c r="L688">
        <v>368.19409999999999</v>
      </c>
      <c r="M688">
        <v>0.99995909999999999</v>
      </c>
      <c r="N688">
        <v>0</v>
      </c>
      <c r="O688">
        <v>-1.732999E-3</v>
      </c>
      <c r="P688">
        <v>0.99954549999999998</v>
      </c>
      <c r="Q688">
        <v>1.628083E-2</v>
      </c>
      <c r="R688">
        <v>-2.537273E-2</v>
      </c>
      <c r="S688">
        <v>2.9926149999999998</v>
      </c>
      <c r="T688">
        <v>-0.20884230000000001</v>
      </c>
      <c r="U688">
        <v>-0.47171020000000002</v>
      </c>
      <c r="V688">
        <v>2.365256E-2</v>
      </c>
      <c r="W688">
        <v>2.5136510000000001E-2</v>
      </c>
      <c r="X688">
        <v>0.99940419999999996</v>
      </c>
      <c r="Y688">
        <v>0.15362979999999901</v>
      </c>
      <c r="Z688">
        <v>-5.2012969999999997E-3</v>
      </c>
      <c r="AA688">
        <v>0.98811479999999996</v>
      </c>
      <c r="AB688">
        <v>39</v>
      </c>
      <c r="AC688">
        <v>15.660799999999901</v>
      </c>
      <c r="AD688">
        <v>-1.1095930000000001</v>
      </c>
      <c r="AE688">
        <v>-2.5058999999999898</v>
      </c>
      <c r="AF688">
        <v>2.4666815188195801</v>
      </c>
      <c r="AG688">
        <v>-1.1095930000000001</v>
      </c>
      <c r="AH688">
        <v>15.5888178505759</v>
      </c>
      <c r="AI688">
        <v>94.021510225725706</v>
      </c>
      <c r="AJ688">
        <v>81.0084070077408</v>
      </c>
      <c r="AK688">
        <v>15.821724189208</v>
      </c>
      <c r="AL688">
        <v>88.559632387603997</v>
      </c>
      <c r="AM688">
        <v>88.644253317659604</v>
      </c>
      <c r="AN688">
        <v>1.00000002135358</v>
      </c>
    </row>
    <row r="689" spans="1:40" x14ac:dyDescent="0.25">
      <c r="A689" t="str">
        <f>"20190312160922576"</f>
        <v>20190312160922576</v>
      </c>
      <c r="B689" t="str">
        <f>"1552378162565702"</f>
        <v>1552378162565702</v>
      </c>
      <c r="C689" t="s">
        <v>40</v>
      </c>
      <c r="D689">
        <v>5.1483749999999997</v>
      </c>
      <c r="E689">
        <v>0.55130290000000004</v>
      </c>
      <c r="F689" t="s">
        <v>43</v>
      </c>
      <c r="G689">
        <v>-289.85300000000001</v>
      </c>
      <c r="H689">
        <v>-0.05</v>
      </c>
      <c r="I689">
        <v>365.51510000000002</v>
      </c>
      <c r="J689">
        <v>-306.16379999999998</v>
      </c>
      <c r="K689">
        <v>1.0595380000000001</v>
      </c>
      <c r="L689">
        <v>368.19349999999997</v>
      </c>
      <c r="M689">
        <v>0.9999593</v>
      </c>
      <c r="N689">
        <v>0</v>
      </c>
      <c r="O689">
        <v>-1.860319E-3</v>
      </c>
      <c r="P689">
        <v>0.99954900000000002</v>
      </c>
      <c r="Q689">
        <v>1.6278190000000001E-2</v>
      </c>
      <c r="R689">
        <v>-2.5242899999999999E-2</v>
      </c>
      <c r="S689">
        <v>2.992432</v>
      </c>
      <c r="T689">
        <v>-0.20014170000000001</v>
      </c>
      <c r="U689">
        <v>-0.48321530000000001</v>
      </c>
      <c r="V689">
        <v>2.3395610000000001E-2</v>
      </c>
      <c r="W689">
        <v>2.5108390000000001E-2</v>
      </c>
      <c r="X689">
        <v>0.99941089999999999</v>
      </c>
      <c r="Y689">
        <v>0.15723899999999999</v>
      </c>
      <c r="Z689">
        <v>-5.0952339999999997E-3</v>
      </c>
      <c r="AA689">
        <v>0.98754750000000002</v>
      </c>
      <c r="AB689">
        <v>39</v>
      </c>
      <c r="AC689">
        <v>16.310799999999901</v>
      </c>
      <c r="AD689">
        <v>-1.1095379999999999</v>
      </c>
      <c r="AE689">
        <v>-2.6783999999999502</v>
      </c>
      <c r="AF689">
        <v>2.6361726526535501</v>
      </c>
      <c r="AG689">
        <v>-1.1095379999999999</v>
      </c>
      <c r="AH689">
        <v>16.242567824999501</v>
      </c>
      <c r="AI689">
        <v>93.857512286883605</v>
      </c>
      <c r="AJ689">
        <v>80.781265071175795</v>
      </c>
      <c r="AK689">
        <v>16.492467686121199</v>
      </c>
      <c r="AL689">
        <v>88.561243974518902</v>
      </c>
      <c r="AM689">
        <v>88.658985074642999</v>
      </c>
      <c r="AN689">
        <v>0.99999996642723599</v>
      </c>
    </row>
    <row r="690" spans="1:40" x14ac:dyDescent="0.25">
      <c r="A690" t="str">
        <f>"20190312160922600"</f>
        <v>20190312160922600</v>
      </c>
      <c r="B690" t="str">
        <f>"1552378162595958"</f>
        <v>1552378162595958</v>
      </c>
      <c r="C690" t="s">
        <v>40</v>
      </c>
      <c r="D690">
        <v>5.3975429999999998</v>
      </c>
      <c r="E690">
        <v>0.55201480000000003</v>
      </c>
      <c r="F690" t="s">
        <v>43</v>
      </c>
      <c r="G690">
        <v>-291.04860000000002</v>
      </c>
      <c r="H690">
        <v>-0.05</v>
      </c>
      <c r="I690">
        <v>365.7319</v>
      </c>
      <c r="J690">
        <v>-305.75130000000001</v>
      </c>
      <c r="K690">
        <v>1.0594699999999999</v>
      </c>
      <c r="L690">
        <v>368.19260000000003</v>
      </c>
      <c r="M690">
        <v>0.99995889999999998</v>
      </c>
      <c r="N690">
        <v>0</v>
      </c>
      <c r="O690">
        <v>-2.0482170000000002E-3</v>
      </c>
      <c r="P690">
        <v>0.99955179999999999</v>
      </c>
      <c r="Q690">
        <v>1.672556E-2</v>
      </c>
      <c r="R690">
        <v>-2.4836879999999999E-2</v>
      </c>
      <c r="S690">
        <v>2.9925839999999999</v>
      </c>
      <c r="T690">
        <v>-0.2196707</v>
      </c>
      <c r="U690">
        <v>-0.48736570000000001</v>
      </c>
      <c r="V690">
        <v>2.280186E-2</v>
      </c>
      <c r="W690">
        <v>2.5535970000000002E-2</v>
      </c>
      <c r="X690">
        <v>0.99941380000000002</v>
      </c>
      <c r="Y690">
        <v>0.15830859999999999</v>
      </c>
      <c r="Z690">
        <v>-5.6155270000000004E-3</v>
      </c>
      <c r="AA690">
        <v>0.98737370000000002</v>
      </c>
      <c r="AB690">
        <v>39</v>
      </c>
      <c r="AC690">
        <v>14.702699999999901</v>
      </c>
      <c r="AD690">
        <v>-1.10947</v>
      </c>
      <c r="AE690">
        <v>-2.4607000000000299</v>
      </c>
      <c r="AF690">
        <v>2.41719028109187</v>
      </c>
      <c r="AG690">
        <v>-1.10947</v>
      </c>
      <c r="AH690">
        <v>14.626690677278299</v>
      </c>
      <c r="AI690">
        <v>94.279888382620797</v>
      </c>
      <c r="AJ690">
        <v>80.6161768001122</v>
      </c>
      <c r="AK690">
        <v>14.8665333115924</v>
      </c>
      <c r="AL690">
        <v>88.536737601570195</v>
      </c>
      <c r="AM690">
        <v>88.693010113047805</v>
      </c>
      <c r="AN690">
        <v>0.99999997710687005</v>
      </c>
    </row>
    <row r="691" spans="1:40" x14ac:dyDescent="0.25">
      <c r="A691" t="str">
        <f>"20190312160922622"</f>
        <v>20190312160922622</v>
      </c>
      <c r="B691" t="str">
        <f>"1552378162615478"</f>
        <v>1552378162615478</v>
      </c>
      <c r="C691" t="s">
        <v>40</v>
      </c>
      <c r="D691">
        <v>5.4588039999999998</v>
      </c>
      <c r="E691">
        <v>0.54067330000000002</v>
      </c>
      <c r="F691" t="s">
        <v>43</v>
      </c>
      <c r="G691">
        <v>-291.09559999999999</v>
      </c>
      <c r="H691">
        <v>-0.05</v>
      </c>
      <c r="I691">
        <v>365.78250000000003</v>
      </c>
      <c r="J691">
        <v>-305.3639</v>
      </c>
      <c r="K691">
        <v>1.0594190000000001</v>
      </c>
      <c r="L691">
        <v>368.19170000000003</v>
      </c>
      <c r="M691">
        <v>0.99995860000000003</v>
      </c>
      <c r="N691">
        <v>0</v>
      </c>
      <c r="O691">
        <v>-2.2246549999999999E-3</v>
      </c>
      <c r="P691">
        <v>0.99954270000000001</v>
      </c>
      <c r="Q691">
        <v>1.7157559999999999E-2</v>
      </c>
      <c r="R691">
        <v>-2.4901349999999999E-2</v>
      </c>
      <c r="S691">
        <v>2.9929199999999998</v>
      </c>
      <c r="T691">
        <v>-0.22656999999999999</v>
      </c>
      <c r="U691">
        <v>-0.4921875</v>
      </c>
      <c r="V691">
        <v>2.269038E-2</v>
      </c>
      <c r="W691">
        <v>2.59688E-2</v>
      </c>
      <c r="X691">
        <v>0.99940519999999999</v>
      </c>
      <c r="Y691">
        <v>0.1596368</v>
      </c>
      <c r="Z691">
        <v>-5.8266469999999999E-3</v>
      </c>
      <c r="AA691">
        <v>0.9871586</v>
      </c>
      <c r="AB691">
        <v>39</v>
      </c>
      <c r="AC691">
        <v>14.2683</v>
      </c>
      <c r="AD691">
        <v>-1.1094189999999999</v>
      </c>
      <c r="AE691">
        <v>-2.40919999999999</v>
      </c>
      <c r="AF691">
        <v>2.3635574937131101</v>
      </c>
      <c r="AG691">
        <v>-1.1094189999999999</v>
      </c>
      <c r="AH691">
        <v>14.1902128292526</v>
      </c>
      <c r="AI691">
        <v>94.409895286362399</v>
      </c>
      <c r="AJ691">
        <v>80.543484229438405</v>
      </c>
      <c r="AK691">
        <v>14.4284217668854</v>
      </c>
      <c r="AL691">
        <v>88.511930064627904</v>
      </c>
      <c r="AM691">
        <v>88.699386696180298</v>
      </c>
      <c r="AN691">
        <v>0.99999999285251195</v>
      </c>
    </row>
    <row r="692" spans="1:40" x14ac:dyDescent="0.25">
      <c r="A692" t="str">
        <f>"20190312160922668"</f>
        <v>20190312160922668</v>
      </c>
      <c r="B692" t="str">
        <f>"1552378162666230"</f>
        <v>1552378162666230</v>
      </c>
      <c r="C692" t="s">
        <v>40</v>
      </c>
      <c r="D692">
        <v>5.737692</v>
      </c>
      <c r="E692">
        <v>0.5381899</v>
      </c>
      <c r="F692" t="s">
        <v>45</v>
      </c>
      <c r="G692">
        <v>0</v>
      </c>
      <c r="H692">
        <v>0</v>
      </c>
      <c r="I692">
        <v>0</v>
      </c>
      <c r="J692">
        <v>-304.55860000000001</v>
      </c>
      <c r="K692">
        <v>1.059358</v>
      </c>
      <c r="L692">
        <v>368.18950000000001</v>
      </c>
      <c r="M692">
        <v>0.99995719999999999</v>
      </c>
      <c r="N692">
        <v>0</v>
      </c>
      <c r="O692">
        <v>-2.5918600000000001E-3</v>
      </c>
      <c r="P692">
        <v>0.99952110000000005</v>
      </c>
      <c r="Q692">
        <v>1.738953E-2</v>
      </c>
      <c r="R692">
        <v>-2.5602819999999998E-2</v>
      </c>
      <c r="S692">
        <v>2.990723</v>
      </c>
      <c r="T692">
        <v>4.1632530000000001E-2</v>
      </c>
      <c r="U692">
        <v>-0.39929199999999998</v>
      </c>
      <c r="V692">
        <v>2.3024929999999999E-2</v>
      </c>
      <c r="W692">
        <v>2.6259569999999999E-2</v>
      </c>
      <c r="X692">
        <v>0.99938990000000005</v>
      </c>
      <c r="Y692">
        <v>0.12975429999999999</v>
      </c>
      <c r="Z692">
        <v>8.6317509999999905E-4</v>
      </c>
      <c r="AA692">
        <v>0.99154580000000003</v>
      </c>
      <c r="AB692">
        <v>39</v>
      </c>
      <c r="AC692">
        <v>2.990723</v>
      </c>
      <c r="AD692">
        <v>4.1632530000000001E-2</v>
      </c>
      <c r="AE692">
        <v>-0.39929199999999998</v>
      </c>
      <c r="AF692">
        <v>0.391464287469663</v>
      </c>
      <c r="AG692">
        <v>4.1632530000000001E-2</v>
      </c>
      <c r="AH692">
        <v>2.99117841832454</v>
      </c>
      <c r="AI692">
        <v>89.209325374435394</v>
      </c>
      <c r="AJ692">
        <v>82.543909306482107</v>
      </c>
      <c r="AK692">
        <v>3.01697296742427</v>
      </c>
      <c r="AL692">
        <v>88.495264411065406</v>
      </c>
      <c r="AM692">
        <v>88.680196814925907</v>
      </c>
      <c r="AN692">
        <v>0.99999994232004796</v>
      </c>
    </row>
    <row r="693" spans="1:40" x14ac:dyDescent="0.25">
      <c r="A693" t="str">
        <f>"20190312160922680"</f>
        <v>20190312160922680</v>
      </c>
      <c r="B693" t="str">
        <f>"1552378162675990"</f>
        <v>1552378162675990</v>
      </c>
      <c r="C693" t="s">
        <v>40</v>
      </c>
      <c r="D693">
        <v>5.8048289999999998</v>
      </c>
      <c r="E693">
        <v>0.54142330000000005</v>
      </c>
      <c r="F693" t="s">
        <v>42</v>
      </c>
      <c r="G693">
        <v>-303.63490000000002</v>
      </c>
      <c r="H693">
        <v>0.81056260000000002</v>
      </c>
      <c r="I693">
        <v>368.06880000000001</v>
      </c>
      <c r="J693">
        <v>-304.33519999999999</v>
      </c>
      <c r="K693">
        <v>1.059348</v>
      </c>
      <c r="L693">
        <v>368.18880000000001</v>
      </c>
      <c r="M693">
        <v>0.99995670000000003</v>
      </c>
      <c r="N693">
        <v>0</v>
      </c>
      <c r="O693">
        <v>-2.6930869999999998E-3</v>
      </c>
      <c r="P693">
        <v>0.99951000000000001</v>
      </c>
      <c r="Q693">
        <v>1.7339050000000002E-2</v>
      </c>
      <c r="R693">
        <v>-2.6060110000000001E-2</v>
      </c>
      <c r="S693">
        <v>3.0055239999999999</v>
      </c>
      <c r="T693">
        <v>-0.80954119999999996</v>
      </c>
      <c r="U693">
        <v>-0.39144899999999999</v>
      </c>
      <c r="V693">
        <v>2.3381030000000001E-2</v>
      </c>
      <c r="W693">
        <v>2.6237159999999999E-2</v>
      </c>
      <c r="X693">
        <v>0.99938229999999995</v>
      </c>
      <c r="Y693">
        <v>0.1222891</v>
      </c>
      <c r="Z693">
        <v>-1.540659E-2</v>
      </c>
      <c r="AA693">
        <v>0.99237500000000001</v>
      </c>
      <c r="AB693">
        <v>39</v>
      </c>
      <c r="AC693">
        <v>0.70029999999996995</v>
      </c>
      <c r="AD693">
        <v>-0.24878539999999999</v>
      </c>
      <c r="AE693">
        <v>-0.12000000000000401</v>
      </c>
      <c r="AF693">
        <v>0.10521365356899599</v>
      </c>
      <c r="AG693">
        <v>-0.24878539999999999</v>
      </c>
      <c r="AH693">
        <v>0.62410177050670002</v>
      </c>
      <c r="AI693">
        <v>111.458938218444</v>
      </c>
      <c r="AJ693">
        <v>80.430817884431903</v>
      </c>
      <c r="AK693">
        <v>0.68004934240104498</v>
      </c>
      <c r="AL693">
        <v>88.496548970941106</v>
      </c>
      <c r="AM693">
        <v>88.659782143161607</v>
      </c>
      <c r="AN693">
        <v>1.0000000213410001</v>
      </c>
    </row>
    <row r="694" spans="1:40" x14ac:dyDescent="0.25">
      <c r="A694" t="str">
        <f>"20190312160922699"</f>
        <v>20190312160922699</v>
      </c>
      <c r="B694" t="str">
        <f>"1552378162695510"</f>
        <v>1552378162695510</v>
      </c>
      <c r="C694" t="s">
        <v>40</v>
      </c>
      <c r="D694">
        <v>5.4401869999999999</v>
      </c>
      <c r="E694">
        <v>0.54342780000000002</v>
      </c>
      <c r="F694" t="s">
        <v>42</v>
      </c>
      <c r="G694">
        <v>-303.60559999999998</v>
      </c>
      <c r="H694">
        <v>0.88004059999999995</v>
      </c>
      <c r="I694">
        <v>368.08699999999999</v>
      </c>
      <c r="J694">
        <v>-304.0086</v>
      </c>
      <c r="K694">
        <v>1.059329</v>
      </c>
      <c r="L694">
        <v>368.18779999999998</v>
      </c>
      <c r="M694">
        <v>0.99995599999999996</v>
      </c>
      <c r="N694">
        <v>0</v>
      </c>
      <c r="O694">
        <v>-2.8413660000000001E-3</v>
      </c>
      <c r="P694">
        <v>0.99950459999999997</v>
      </c>
      <c r="Q694">
        <v>1.757777E-2</v>
      </c>
      <c r="R694">
        <v>-2.6111479999999999E-2</v>
      </c>
      <c r="S694">
        <v>3.003387</v>
      </c>
      <c r="T694">
        <v>-0.73808030000000002</v>
      </c>
      <c r="U694">
        <v>-0.41735840000000002</v>
      </c>
      <c r="V694">
        <v>2.328446E-2</v>
      </c>
      <c r="W694">
        <v>2.6522210000000001E-2</v>
      </c>
      <c r="X694">
        <v>0.99937699999999996</v>
      </c>
      <c r="Y694">
        <v>0.131081</v>
      </c>
      <c r="Z694">
        <v>-1.511291E-2</v>
      </c>
      <c r="AA694">
        <v>0.99125649999999998</v>
      </c>
      <c r="AB694">
        <v>39</v>
      </c>
      <c r="AC694">
        <v>0.40300000000002001</v>
      </c>
      <c r="AD694">
        <v>-0.17928839999999999</v>
      </c>
      <c r="AE694">
        <v>-0.10079999999999199</v>
      </c>
      <c r="AF694">
        <v>8.4006661371570396E-2</v>
      </c>
      <c r="AG694">
        <v>-0.17928839999999999</v>
      </c>
      <c r="AH694">
        <v>0.33996073462552101</v>
      </c>
      <c r="AI694">
        <v>117.111543176909</v>
      </c>
      <c r="AJ694">
        <v>76.119871231356598</v>
      </c>
      <c r="AK694">
        <v>0.39341422269216703</v>
      </c>
      <c r="AL694">
        <v>88.480211077388603</v>
      </c>
      <c r="AM694">
        <v>88.665308524554604</v>
      </c>
      <c r="AN694">
        <v>0.999999990914887</v>
      </c>
    </row>
    <row r="695" spans="1:40" x14ac:dyDescent="0.25">
      <c r="A695" t="str">
        <f>"20190312160922713"</f>
        <v>20190312160922713</v>
      </c>
      <c r="B695" t="str">
        <f>"1552378162706248"</f>
        <v>1552378162706248</v>
      </c>
      <c r="C695" t="s">
        <v>40</v>
      </c>
      <c r="D695">
        <v>7.3054449999999997</v>
      </c>
      <c r="E695">
        <v>0.54227599999999998</v>
      </c>
      <c r="F695" t="s">
        <v>41</v>
      </c>
      <c r="G695">
        <v>-270.13819999999998</v>
      </c>
      <c r="H695" s="1">
        <v>-5.3224360000000002E-6</v>
      </c>
      <c r="I695">
        <v>363.36189999999999</v>
      </c>
      <c r="J695">
        <v>-303.77589999999998</v>
      </c>
      <c r="K695">
        <v>1.05932</v>
      </c>
      <c r="L695">
        <v>368.18709999999999</v>
      </c>
      <c r="M695">
        <v>0.99995520000000004</v>
      </c>
      <c r="N695">
        <v>0</v>
      </c>
      <c r="O695">
        <v>-2.9465619999999998E-3</v>
      </c>
      <c r="P695">
        <v>0.99949699999999997</v>
      </c>
      <c r="Q695">
        <v>1.7860290000000001E-2</v>
      </c>
      <c r="R695">
        <v>-2.6206920000000002E-2</v>
      </c>
      <c r="S695">
        <v>2.9920040000000001</v>
      </c>
      <c r="T695">
        <v>-9.3577859999999999E-2</v>
      </c>
      <c r="U695">
        <v>-0.42630000000000001</v>
      </c>
      <c r="V695">
        <v>2.3274920000000001E-2</v>
      </c>
      <c r="W695">
        <v>2.6840630000000001E-2</v>
      </c>
      <c r="X695">
        <v>0.9993687</v>
      </c>
      <c r="Y695">
        <v>0.13807259999999999</v>
      </c>
      <c r="Z695">
        <v>-2.056142E-3</v>
      </c>
      <c r="AA695">
        <v>0.99041999999999997</v>
      </c>
      <c r="AB695">
        <v>39</v>
      </c>
      <c r="AC695">
        <v>33.637699999999903</v>
      </c>
      <c r="AD695">
        <v>-1.059325322436</v>
      </c>
      <c r="AE695">
        <v>-4.8251999999999899</v>
      </c>
      <c r="AF695">
        <v>4.7214713208405401</v>
      </c>
      <c r="AG695">
        <v>-1.059325322436</v>
      </c>
      <c r="AH695">
        <v>33.6191024840954</v>
      </c>
      <c r="AI695">
        <v>91.787243723550503</v>
      </c>
      <c r="AJ695">
        <v>82.005657943746101</v>
      </c>
      <c r="AK695">
        <v>33.965548919580002</v>
      </c>
      <c r="AL695">
        <v>88.4619604253011</v>
      </c>
      <c r="AM695">
        <v>88.6658440940231</v>
      </c>
      <c r="AN695">
        <v>0.99999996992974605</v>
      </c>
    </row>
    <row r="696" spans="1:40" x14ac:dyDescent="0.25">
      <c r="A696" t="str">
        <f>"20190312160922733"</f>
        <v>20190312160922733</v>
      </c>
      <c r="B696" t="str">
        <f>"1552378162726168"</f>
        <v>1552378162726168</v>
      </c>
      <c r="C696" t="s">
        <v>40</v>
      </c>
      <c r="D696">
        <v>5.36008</v>
      </c>
      <c r="E696">
        <v>0.53986869999999998</v>
      </c>
      <c r="F696" t="s">
        <v>46</v>
      </c>
      <c r="G696">
        <v>-190.19499999999999</v>
      </c>
      <c r="H696" s="1">
        <v>-1.6878299999999999E-6</v>
      </c>
      <c r="I696">
        <v>352.36649999999997</v>
      </c>
      <c r="J696">
        <v>-303.40089999999998</v>
      </c>
      <c r="K696">
        <v>1.0593140000000001</v>
      </c>
      <c r="L696">
        <v>368.1859</v>
      </c>
      <c r="M696">
        <v>0.99995429999999996</v>
      </c>
      <c r="N696">
        <v>0</v>
      </c>
      <c r="O696">
        <v>-3.1163660000000002E-3</v>
      </c>
      <c r="P696">
        <v>0.99948009999999998</v>
      </c>
      <c r="Q696">
        <v>1.8499169999999999E-2</v>
      </c>
      <c r="R696">
        <v>-2.641464E-2</v>
      </c>
      <c r="S696">
        <v>2.9910890000000001</v>
      </c>
      <c r="T696">
        <v>-2.789664E-2</v>
      </c>
      <c r="U696">
        <v>-0.416626</v>
      </c>
      <c r="V696">
        <v>2.3313239999999999E-2</v>
      </c>
      <c r="W696">
        <v>2.753893E-2</v>
      </c>
      <c r="X696">
        <v>0.99934880000000004</v>
      </c>
      <c r="Y696">
        <v>0.13486419999999999</v>
      </c>
      <c r="Z696">
        <v>-5.9695229999999998E-4</v>
      </c>
      <c r="AA696">
        <v>0.99086390000000002</v>
      </c>
      <c r="AB696">
        <v>39</v>
      </c>
      <c r="AC696">
        <v>113.2059</v>
      </c>
      <c r="AD696">
        <v>-1.0593156878300001</v>
      </c>
      <c r="AE696">
        <v>-15.8194</v>
      </c>
      <c r="AF696">
        <v>15.465189531762899</v>
      </c>
      <c r="AG696">
        <v>-1.0593156878300001</v>
      </c>
      <c r="AH696">
        <v>113.244925332465</v>
      </c>
      <c r="AI696">
        <v>90.531012091825801</v>
      </c>
      <c r="AJ696">
        <v>82.223559124505996</v>
      </c>
      <c r="AK696">
        <v>114.300950785789</v>
      </c>
      <c r="AL696">
        <v>88.421935970388304</v>
      </c>
      <c r="AM696">
        <v>88.663621724694295</v>
      </c>
      <c r="AN696">
        <v>0.99999996194314</v>
      </c>
    </row>
    <row r="697" spans="1:40" x14ac:dyDescent="0.25">
      <c r="A697" t="str">
        <f>"20190312160922756"</f>
        <v>20190312160922756</v>
      </c>
      <c r="B697" t="str">
        <f>"1552378162745689"</f>
        <v>1552378162745689</v>
      </c>
      <c r="C697" t="s">
        <v>40</v>
      </c>
      <c r="D697">
        <v>5.3813649999999997</v>
      </c>
      <c r="E697">
        <v>0.53888130000000001</v>
      </c>
      <c r="F697" t="s">
        <v>52</v>
      </c>
      <c r="G697">
        <v>631.02670000000001</v>
      </c>
      <c r="H697">
        <v>-0.1</v>
      </c>
      <c r="I697">
        <v>243.8947</v>
      </c>
      <c r="J697">
        <v>-303.01420000000002</v>
      </c>
      <c r="K697">
        <v>1.05931</v>
      </c>
      <c r="L697">
        <v>368.18450000000001</v>
      </c>
      <c r="M697">
        <v>0.99995310000000004</v>
      </c>
      <c r="N697">
        <v>0</v>
      </c>
      <c r="O697">
        <v>-3.2917810000000001E-3</v>
      </c>
      <c r="P697">
        <v>0.99947419999999998</v>
      </c>
      <c r="Q697">
        <v>1.879625E-2</v>
      </c>
      <c r="R697">
        <v>-2.6418939999999998E-2</v>
      </c>
      <c r="S697">
        <v>2.9911189999999999</v>
      </c>
      <c r="T697">
        <v>-3.710985E-3</v>
      </c>
      <c r="U697">
        <v>-0.39785769999999998</v>
      </c>
      <c r="V697">
        <v>2.3142590000000001E-2</v>
      </c>
      <c r="W697">
        <v>2.7897849999999998E-2</v>
      </c>
      <c r="X697">
        <v>0.99934290000000003</v>
      </c>
      <c r="Y697">
        <v>0.1285877</v>
      </c>
      <c r="Z697" s="1">
        <v>-7.5351509999999999E-5</v>
      </c>
      <c r="AA697">
        <v>0.99169810000000003</v>
      </c>
      <c r="AB697">
        <v>39</v>
      </c>
      <c r="AC697">
        <v>934.04089999999997</v>
      </c>
      <c r="AD697">
        <v>-1.1593100000000001</v>
      </c>
      <c r="AE697">
        <v>-124.2898</v>
      </c>
      <c r="AF697">
        <v>121.21415743164</v>
      </c>
      <c r="AG697">
        <v>-1.1593100000000001</v>
      </c>
      <c r="AH697">
        <v>934.44357630717195</v>
      </c>
      <c r="AI697">
        <v>90.070492908328802</v>
      </c>
      <c r="AJ697">
        <v>82.608976993848302</v>
      </c>
      <c r="AK697">
        <v>942.27332195243503</v>
      </c>
      <c r="AL697">
        <v>88.401363605606804</v>
      </c>
      <c r="AM697">
        <v>88.673392508639694</v>
      </c>
      <c r="AN697">
        <v>1.0000000506434601</v>
      </c>
    </row>
    <row r="698" spans="1:40" x14ac:dyDescent="0.25">
      <c r="A698" t="str">
        <f>"20190312160922777"</f>
        <v>20190312160922777</v>
      </c>
      <c r="B698" t="str">
        <f>"1552378162766184"</f>
        <v>1552378162766184</v>
      </c>
      <c r="C698" t="s">
        <v>40</v>
      </c>
      <c r="D698">
        <v>5.3284479999999999</v>
      </c>
      <c r="E698">
        <v>0.53850050000000005</v>
      </c>
      <c r="F698" t="s">
        <v>46</v>
      </c>
      <c r="G698">
        <v>-179.97450000000001</v>
      </c>
      <c r="H698">
        <v>7.5461990000000007E-2</v>
      </c>
      <c r="I698">
        <v>352.14580000000001</v>
      </c>
      <c r="J698">
        <v>-302.62450000000001</v>
      </c>
      <c r="K698">
        <v>1.059302</v>
      </c>
      <c r="L698">
        <v>368.18310000000002</v>
      </c>
      <c r="M698">
        <v>0.99995199999999995</v>
      </c>
      <c r="N698">
        <v>0</v>
      </c>
      <c r="O698">
        <v>-3.4686169999999998E-3</v>
      </c>
      <c r="P698">
        <v>0.9994731</v>
      </c>
      <c r="Q698">
        <v>1.897569E-2</v>
      </c>
      <c r="R698">
        <v>-2.6339609999999999E-2</v>
      </c>
      <c r="S698">
        <v>2.99173</v>
      </c>
      <c r="T698">
        <v>-2.392244E-2</v>
      </c>
      <c r="U698">
        <v>-0.3899841</v>
      </c>
      <c r="V698">
        <v>2.2886420000000001E-2</v>
      </c>
      <c r="W698">
        <v>2.813761E-2</v>
      </c>
      <c r="X698">
        <v>0.99934199999999995</v>
      </c>
      <c r="Y698">
        <v>0.12581619999999999</v>
      </c>
      <c r="Z698">
        <v>-4.732804E-4</v>
      </c>
      <c r="AA698">
        <v>0.99205339999999997</v>
      </c>
      <c r="AB698">
        <v>39</v>
      </c>
      <c r="AC698">
        <v>122.65</v>
      </c>
      <c r="AD698">
        <v>-0.98384000999999999</v>
      </c>
      <c r="AE698">
        <v>-16.037299999999998</v>
      </c>
      <c r="AF698">
        <v>15.6107721920222</v>
      </c>
      <c r="AG698">
        <v>-0.98384000999999999</v>
      </c>
      <c r="AH698">
        <v>122.697129486463</v>
      </c>
      <c r="AI698">
        <v>90.455739451354503</v>
      </c>
      <c r="AJ698">
        <v>82.749206929890306</v>
      </c>
      <c r="AK698">
        <v>123.690135960045</v>
      </c>
      <c r="AL698">
        <v>88.387620850182103</v>
      </c>
      <c r="AM698">
        <v>88.688070652809103</v>
      </c>
      <c r="AN698">
        <v>0.99999997314046296</v>
      </c>
    </row>
    <row r="699" spans="1:40" x14ac:dyDescent="0.25">
      <c r="A699" t="str">
        <f>"20190312160922801"</f>
        <v>20190312160922801</v>
      </c>
      <c r="B699" t="str">
        <f>"1552378162795466"</f>
        <v>1552378162795466</v>
      </c>
      <c r="C699" t="s">
        <v>40</v>
      </c>
      <c r="D699">
        <v>5.4529189999999996</v>
      </c>
      <c r="E699">
        <v>0.53764809999999996</v>
      </c>
      <c r="F699" t="s">
        <v>41</v>
      </c>
      <c r="G699">
        <v>-211.97900000000001</v>
      </c>
      <c r="H699">
        <v>7.9986379999999996E-2</v>
      </c>
      <c r="I699">
        <v>356.45600000000002</v>
      </c>
      <c r="J699">
        <v>-302.21230000000003</v>
      </c>
      <c r="K699">
        <v>1.059291</v>
      </c>
      <c r="L699">
        <v>368.18150000000003</v>
      </c>
      <c r="M699">
        <v>0.99995060000000002</v>
      </c>
      <c r="N699">
        <v>0</v>
      </c>
      <c r="O699">
        <v>-3.6560849999999999E-3</v>
      </c>
      <c r="P699">
        <v>0.99947260000000004</v>
      </c>
      <c r="Q699">
        <v>1.860473E-2</v>
      </c>
      <c r="R699">
        <v>-2.6614990000000002E-2</v>
      </c>
      <c r="S699">
        <v>2.9920040000000001</v>
      </c>
      <c r="T699">
        <v>-3.2325029999999998E-2</v>
      </c>
      <c r="U699">
        <v>-0.38708500000000001</v>
      </c>
      <c r="V699">
        <v>2.2974540000000002E-2</v>
      </c>
      <c r="W699">
        <v>2.7831120000000001E-2</v>
      </c>
      <c r="X699">
        <v>0.99934860000000003</v>
      </c>
      <c r="Y699">
        <v>0.12467</v>
      </c>
      <c r="Z699">
        <v>-6.3130749999999996E-4</v>
      </c>
      <c r="AA699">
        <v>0.99219809999999997</v>
      </c>
      <c r="AB699">
        <v>39</v>
      </c>
      <c r="AC699">
        <v>90.2333</v>
      </c>
      <c r="AD699">
        <v>-0.97930461999999996</v>
      </c>
      <c r="AE699">
        <v>-11.7255</v>
      </c>
      <c r="AF699">
        <v>11.394187103859601</v>
      </c>
      <c r="AG699">
        <v>-0.97930461999999996</v>
      </c>
      <c r="AH699">
        <v>90.265112515942704</v>
      </c>
      <c r="AI699">
        <v>90.616695774990006</v>
      </c>
      <c r="AJ699">
        <v>82.805590876730406</v>
      </c>
      <c r="AK699">
        <v>90.986686250309702</v>
      </c>
      <c r="AL699">
        <v>88.405188377118407</v>
      </c>
      <c r="AM699">
        <v>88.683029777615005</v>
      </c>
      <c r="AN699">
        <v>1.0000000125253099</v>
      </c>
    </row>
    <row r="700" spans="1:40" x14ac:dyDescent="0.25">
      <c r="A700" t="str">
        <f>"20190312160922824"</f>
        <v>20190312160922824</v>
      </c>
      <c r="B700" t="str">
        <f>"1552378162815960"</f>
        <v>1552378162815960</v>
      </c>
      <c r="C700" t="s">
        <v>40</v>
      </c>
      <c r="D700">
        <v>5.5112329999999998</v>
      </c>
      <c r="E700">
        <v>0.53678840000000005</v>
      </c>
      <c r="F700" t="s">
        <v>41</v>
      </c>
      <c r="G700">
        <v>-231.56649999999999</v>
      </c>
      <c r="H700">
        <v>7.9986390000000004E-2</v>
      </c>
      <c r="I700">
        <v>359.17700000000002</v>
      </c>
      <c r="J700">
        <v>-301.81220000000002</v>
      </c>
      <c r="K700">
        <v>1.0592950000000001</v>
      </c>
      <c r="L700">
        <v>368.1798</v>
      </c>
      <c r="M700">
        <v>0.99994930000000004</v>
      </c>
      <c r="N700">
        <v>0</v>
      </c>
      <c r="O700">
        <v>-3.8378599999999998E-3</v>
      </c>
      <c r="P700">
        <v>0.99946619999999997</v>
      </c>
      <c r="Q700">
        <v>1.8588710000000001E-2</v>
      </c>
      <c r="R700">
        <v>-2.6865010000000002E-2</v>
      </c>
      <c r="S700">
        <v>2.9921880000000001</v>
      </c>
      <c r="T700">
        <v>-4.147816E-2</v>
      </c>
      <c r="U700">
        <v>-0.3813782</v>
      </c>
      <c r="V700">
        <v>2.3043009999999999E-2</v>
      </c>
      <c r="W700">
        <v>2.788498E-2</v>
      </c>
      <c r="X700">
        <v>0.9993455</v>
      </c>
      <c r="Y700">
        <v>0.12261569999999999</v>
      </c>
      <c r="Z700">
        <v>-7.9341169999999996E-4</v>
      </c>
      <c r="AA700">
        <v>0.9924539</v>
      </c>
      <c r="AB700">
        <v>40</v>
      </c>
      <c r="AC700">
        <v>70.245699999999999</v>
      </c>
      <c r="AD700">
        <v>-0.97930861000000002</v>
      </c>
      <c r="AE700">
        <v>-9.0028000000000308</v>
      </c>
      <c r="AF700">
        <v>8.7314592521674808</v>
      </c>
      <c r="AG700">
        <v>-0.97930861000000002</v>
      </c>
      <c r="AH700">
        <v>70.266299567891096</v>
      </c>
      <c r="AI700">
        <v>90.792391949062505</v>
      </c>
      <c r="AJ700">
        <v>82.916598430061399</v>
      </c>
      <c r="AK700">
        <v>70.813489399905293</v>
      </c>
      <c r="AL700">
        <v>88.402101192944997</v>
      </c>
      <c r="AM700">
        <v>88.679102162291798</v>
      </c>
      <c r="AN700">
        <v>0.99999999039485499</v>
      </c>
    </row>
    <row r="701" spans="1:40" x14ac:dyDescent="0.25">
      <c r="A701" t="str">
        <f>"20190312160922844"</f>
        <v>20190312160922844</v>
      </c>
      <c r="B701" t="str">
        <f>"1552378162835987"</f>
        <v>1552378162835987</v>
      </c>
      <c r="C701" t="s">
        <v>40</v>
      </c>
      <c r="D701">
        <v>5.5214540000000003</v>
      </c>
      <c r="E701">
        <v>0.53563689999999997</v>
      </c>
      <c r="F701" t="s">
        <v>41</v>
      </c>
      <c r="G701">
        <v>-233.5017</v>
      </c>
      <c r="H701">
        <v>2.3948319999999999E-2</v>
      </c>
      <c r="I701">
        <v>359.6164</v>
      </c>
      <c r="J701">
        <v>-301.44310000000002</v>
      </c>
      <c r="K701">
        <v>1.0592969999999999</v>
      </c>
      <c r="L701">
        <v>368.17829999999998</v>
      </c>
      <c r="M701">
        <v>0.99994810000000001</v>
      </c>
      <c r="N701">
        <v>0</v>
      </c>
      <c r="O701">
        <v>-4.0055790000000004E-3</v>
      </c>
      <c r="P701">
        <v>0.99944750000000004</v>
      </c>
      <c r="Q701">
        <v>1.885512E-2</v>
      </c>
      <c r="R701">
        <v>-2.7376560000000001E-2</v>
      </c>
      <c r="S701">
        <v>2.9923709999999999</v>
      </c>
      <c r="T701">
        <v>-4.5353770000000002E-2</v>
      </c>
      <c r="U701">
        <v>-0.37512210000000001</v>
      </c>
      <c r="V701">
        <v>2.338701E-2</v>
      </c>
      <c r="W701">
        <v>2.8221969999999999E-2</v>
      </c>
      <c r="X701">
        <v>0.99932810000000005</v>
      </c>
      <c r="Y701">
        <v>0.1203972</v>
      </c>
      <c r="Z701">
        <v>-8.4832050000000002E-4</v>
      </c>
      <c r="AA701">
        <v>0.99272539999999998</v>
      </c>
      <c r="AB701">
        <v>40</v>
      </c>
      <c r="AC701">
        <v>67.941400000000002</v>
      </c>
      <c r="AD701">
        <v>-1.03534868</v>
      </c>
      <c r="AE701">
        <v>-8.5618999999999801</v>
      </c>
      <c r="AF701">
        <v>8.2877801982063293</v>
      </c>
      <c r="AG701">
        <v>-1.03534868</v>
      </c>
      <c r="AH701">
        <v>67.959616729865402</v>
      </c>
      <c r="AI701">
        <v>90.866402243132995</v>
      </c>
      <c r="AJ701">
        <v>83.047024205554493</v>
      </c>
      <c r="AK701">
        <v>68.470933640291193</v>
      </c>
      <c r="AL701">
        <v>88.382785568621301</v>
      </c>
      <c r="AM701">
        <v>88.659366809528393</v>
      </c>
      <c r="AN701">
        <v>1.00000004163851</v>
      </c>
    </row>
    <row r="702" spans="1:40" x14ac:dyDescent="0.25">
      <c r="A702" t="str">
        <f>"20190312160922867"</f>
        <v>20190312160922867</v>
      </c>
      <c r="B702" t="str">
        <f>"1552378162855507"</f>
        <v>1552378162855507</v>
      </c>
      <c r="C702" t="s">
        <v>40</v>
      </c>
      <c r="D702">
        <v>5.3292679999999999</v>
      </c>
      <c r="E702">
        <v>0.53496719999999998</v>
      </c>
      <c r="F702" t="s">
        <v>41</v>
      </c>
      <c r="G702">
        <v>-231.70830000000001</v>
      </c>
      <c r="H702">
        <v>3.4406109999999997E-2</v>
      </c>
      <c r="I702">
        <v>359.6164</v>
      </c>
      <c r="J702">
        <v>-301.04700000000003</v>
      </c>
      <c r="K702">
        <v>1.059299</v>
      </c>
      <c r="L702">
        <v>368.17660000000001</v>
      </c>
      <c r="M702">
        <v>0.99994660000000002</v>
      </c>
      <c r="N702">
        <v>0</v>
      </c>
      <c r="O702">
        <v>-4.185388E-3</v>
      </c>
      <c r="P702">
        <v>0.99942980000000003</v>
      </c>
      <c r="Q702">
        <v>1.9182009999999999E-2</v>
      </c>
      <c r="R702">
        <v>-2.7795279999999999E-2</v>
      </c>
      <c r="S702">
        <v>2.992432</v>
      </c>
      <c r="T702">
        <v>-4.397964E-2</v>
      </c>
      <c r="U702">
        <v>-0.36740109999999998</v>
      </c>
      <c r="V702">
        <v>2.362616E-2</v>
      </c>
      <c r="W702">
        <v>2.8629979999999999E-2</v>
      </c>
      <c r="X702">
        <v>0.9993109</v>
      </c>
      <c r="Y702">
        <v>0.1176942</v>
      </c>
      <c r="Z702">
        <v>-8.0031470000000002E-4</v>
      </c>
      <c r="AA702">
        <v>0.99304959999999998</v>
      </c>
      <c r="AB702">
        <v>40</v>
      </c>
      <c r="AC702">
        <v>69.338700000000003</v>
      </c>
      <c r="AD702">
        <v>-1.0248928900000001</v>
      </c>
      <c r="AE702">
        <v>-8.5602</v>
      </c>
      <c r="AF702">
        <v>8.2681234217275605</v>
      </c>
      <c r="AG702">
        <v>-1.0248928900000001</v>
      </c>
      <c r="AH702">
        <v>69.358996127965696</v>
      </c>
      <c r="AI702">
        <v>90.840626558187097</v>
      </c>
      <c r="AJ702">
        <v>83.2019842322931</v>
      </c>
      <c r="AK702">
        <v>69.857588093435197</v>
      </c>
      <c r="AL702">
        <v>88.359398919382201</v>
      </c>
      <c r="AM702">
        <v>88.645639591603299</v>
      </c>
      <c r="AN702">
        <v>1.0000000730249701</v>
      </c>
    </row>
    <row r="703" spans="1:40" x14ac:dyDescent="0.25">
      <c r="A703" t="str">
        <f>"20190312160922901"</f>
        <v>20190312160922901</v>
      </c>
      <c r="B703" t="str">
        <f>"1552378162895523"</f>
        <v>1552378162895523</v>
      </c>
      <c r="C703" t="s">
        <v>40</v>
      </c>
      <c r="D703">
        <v>5.5153569999999998</v>
      </c>
      <c r="E703">
        <v>0.53409669999999998</v>
      </c>
      <c r="F703" t="s">
        <v>41</v>
      </c>
      <c r="G703">
        <v>-235.2089</v>
      </c>
      <c r="H703" s="1">
        <v>-4.1264059999999997E-6</v>
      </c>
      <c r="I703">
        <v>360.18329999999997</v>
      </c>
      <c r="J703">
        <v>-300.44929999999999</v>
      </c>
      <c r="K703">
        <v>1.059299</v>
      </c>
      <c r="L703">
        <v>368.17380000000003</v>
      </c>
      <c r="M703">
        <v>0.99994419999999995</v>
      </c>
      <c r="N703">
        <v>0</v>
      </c>
      <c r="O703">
        <v>-4.4545870000000003E-3</v>
      </c>
      <c r="P703">
        <v>0.99944330000000003</v>
      </c>
      <c r="Q703">
        <v>1.8683169999999999E-2</v>
      </c>
      <c r="R703">
        <v>-2.7643170000000002E-2</v>
      </c>
      <c r="S703">
        <v>2.9925229999999998</v>
      </c>
      <c r="T703">
        <v>-4.8148160000000002E-2</v>
      </c>
      <c r="U703">
        <v>-0.36331180000000002</v>
      </c>
      <c r="V703">
        <v>2.320473E-2</v>
      </c>
      <c r="W703">
        <v>2.825343E-2</v>
      </c>
      <c r="X703">
        <v>0.99933139999999998</v>
      </c>
      <c r="Y703">
        <v>0.1160838</v>
      </c>
      <c r="Z703">
        <v>-8.5898479999999998E-4</v>
      </c>
      <c r="AA703">
        <v>0.99323899999999998</v>
      </c>
      <c r="AB703">
        <v>40</v>
      </c>
      <c r="AC703">
        <v>65.240399999999994</v>
      </c>
      <c r="AD703">
        <v>-1.059303126406</v>
      </c>
      <c r="AE703">
        <v>-7.9905000000000497</v>
      </c>
      <c r="AF703">
        <v>7.6977889087669498</v>
      </c>
      <c r="AG703">
        <v>-1.059303126406</v>
      </c>
      <c r="AH703">
        <v>65.258398357460607</v>
      </c>
      <c r="AI703">
        <v>90.923566666674503</v>
      </c>
      <c r="AJ703">
        <v>83.272557866777902</v>
      </c>
      <c r="AK703">
        <v>65.719377913813005</v>
      </c>
      <c r="AL703">
        <v>88.380982226873897</v>
      </c>
      <c r="AM703">
        <v>88.669816420904795</v>
      </c>
      <c r="AN703">
        <v>0.99999998141354796</v>
      </c>
    </row>
    <row r="704" spans="1:40" x14ac:dyDescent="0.25">
      <c r="A704" t="str">
        <f>"20190312160922924"</f>
        <v>20190312160922924</v>
      </c>
      <c r="B704" t="str">
        <f>"1552378162916019"</f>
        <v>1552378162916019</v>
      </c>
      <c r="C704" t="s">
        <v>40</v>
      </c>
      <c r="D704">
        <v>5.4884599999999999</v>
      </c>
      <c r="E704">
        <v>0.53395599999999999</v>
      </c>
      <c r="F704" t="s">
        <v>41</v>
      </c>
      <c r="G704">
        <v>-251.53829999999999</v>
      </c>
      <c r="H704" s="1">
        <v>-4.90176E-6</v>
      </c>
      <c r="I704">
        <v>362.34730000000002</v>
      </c>
      <c r="J704">
        <v>-300.04259999999999</v>
      </c>
      <c r="K704">
        <v>1.0593079999999999</v>
      </c>
      <c r="L704">
        <v>368.17189999999999</v>
      </c>
      <c r="M704">
        <v>0.99994249999999996</v>
      </c>
      <c r="N704">
        <v>0</v>
      </c>
      <c r="O704">
        <v>-4.6380379999999997E-3</v>
      </c>
      <c r="P704">
        <v>0.99945410000000001</v>
      </c>
      <c r="Q704">
        <v>1.8041100000000001E-2</v>
      </c>
      <c r="R704">
        <v>-2.7678069999999999E-2</v>
      </c>
      <c r="S704">
        <v>2.9929809999999999</v>
      </c>
      <c r="T704">
        <v>-6.4821240000000002E-2</v>
      </c>
      <c r="U704">
        <v>-0.35653689999999999</v>
      </c>
      <c r="V704">
        <v>2.3055920000000001E-2</v>
      </c>
      <c r="W704">
        <v>2.770338E-2</v>
      </c>
      <c r="X704">
        <v>0.99935019999999997</v>
      </c>
      <c r="Y704">
        <v>0.1136558</v>
      </c>
      <c r="Z704">
        <v>-1.126206E-3</v>
      </c>
      <c r="AA704">
        <v>0.9935195</v>
      </c>
      <c r="AB704">
        <v>40</v>
      </c>
      <c r="AC704">
        <v>48.504300000000001</v>
      </c>
      <c r="AD704">
        <v>-1.05931290175999</v>
      </c>
      <c r="AE704">
        <v>-5.82459999999997</v>
      </c>
      <c r="AF704">
        <v>5.59693044233852</v>
      </c>
      <c r="AG704">
        <v>-1.05931290175999</v>
      </c>
      <c r="AH704">
        <v>48.507986429915</v>
      </c>
      <c r="AI704">
        <v>91.242778524996993</v>
      </c>
      <c r="AJ704">
        <v>83.418224263967701</v>
      </c>
      <c r="AK704">
        <v>48.841299344765901</v>
      </c>
      <c r="AL704">
        <v>88.412510043901506</v>
      </c>
      <c r="AM704">
        <v>88.678368596409598</v>
      </c>
      <c r="AN704">
        <v>0.99999993747525295</v>
      </c>
    </row>
    <row r="705" spans="1:40" x14ac:dyDescent="0.25">
      <c r="A705" t="str">
        <f>"20190312160922945"</f>
        <v>20190312160922945</v>
      </c>
      <c r="B705" t="str">
        <f>"1552378162935844"</f>
        <v>1552378162935844</v>
      </c>
      <c r="C705" t="s">
        <v>40</v>
      </c>
      <c r="D705">
        <v>5.4973970000000003</v>
      </c>
      <c r="E705">
        <v>0.533663</v>
      </c>
      <c r="F705" t="s">
        <v>41</v>
      </c>
      <c r="G705">
        <v>-255.22569999999999</v>
      </c>
      <c r="H705" s="1">
        <v>-3.4108270000000001E-6</v>
      </c>
      <c r="I705">
        <v>362.85109999999997</v>
      </c>
      <c r="J705">
        <v>-299.66390000000001</v>
      </c>
      <c r="K705">
        <v>1.05932</v>
      </c>
      <c r="L705">
        <v>368.17</v>
      </c>
      <c r="M705">
        <v>0.99994070000000002</v>
      </c>
      <c r="N705">
        <v>0</v>
      </c>
      <c r="O705">
        <v>-4.8084249999999999E-3</v>
      </c>
      <c r="P705">
        <v>0.99945859999999997</v>
      </c>
      <c r="Q705">
        <v>1.7982069999999999E-2</v>
      </c>
      <c r="R705">
        <v>-2.7553359999999999E-2</v>
      </c>
      <c r="S705">
        <v>2.9931030000000001</v>
      </c>
      <c r="T705">
        <v>-7.0746180000000006E-2</v>
      </c>
      <c r="U705">
        <v>-0.35534670000000002</v>
      </c>
      <c r="V705">
        <v>2.276104E-2</v>
      </c>
      <c r="W705">
        <v>2.7744850000000001E-2</v>
      </c>
      <c r="X705">
        <v>0.99935589999999996</v>
      </c>
      <c r="Y705">
        <v>0.1130876</v>
      </c>
      <c r="Z705">
        <v>-1.218394E-3</v>
      </c>
      <c r="AA705">
        <v>0.99358429999999998</v>
      </c>
      <c r="AB705">
        <v>40</v>
      </c>
      <c r="AC705">
        <v>44.438200000000002</v>
      </c>
      <c r="AD705">
        <v>-1.059323410827</v>
      </c>
      <c r="AE705">
        <v>-5.3189000000000402</v>
      </c>
      <c r="AF705">
        <v>5.1022920931415001</v>
      </c>
      <c r="AG705">
        <v>-1.059323410827</v>
      </c>
      <c r="AH705">
        <v>44.438367254831498</v>
      </c>
      <c r="AI705">
        <v>91.356650526216995</v>
      </c>
      <c r="AJ705">
        <v>83.450136713491204</v>
      </c>
      <c r="AK705">
        <v>44.742865743800301</v>
      </c>
      <c r="AL705">
        <v>88.410133218463002</v>
      </c>
      <c r="AM705">
        <v>88.695273521400196</v>
      </c>
      <c r="AN705">
        <v>1.0000000282540999</v>
      </c>
    </row>
    <row r="706" spans="1:40" x14ac:dyDescent="0.25">
      <c r="A706" t="str">
        <f>"20190312160922968"</f>
        <v>20190312160922968</v>
      </c>
      <c r="B706" t="str">
        <f>"1552378162955525"</f>
        <v>1552378162955525</v>
      </c>
      <c r="C706" t="s">
        <v>40</v>
      </c>
      <c r="D706">
        <v>5.5227839999999997</v>
      </c>
      <c r="E706">
        <v>0.53344290000000005</v>
      </c>
      <c r="F706" t="s">
        <v>41</v>
      </c>
      <c r="G706">
        <v>-257.04860000000002</v>
      </c>
      <c r="H706" s="1">
        <v>-2.7097020000000001E-6</v>
      </c>
      <c r="I706">
        <v>363.15480000000002</v>
      </c>
      <c r="J706">
        <v>-299.25779999999997</v>
      </c>
      <c r="K706">
        <v>1.0593349999999999</v>
      </c>
      <c r="L706">
        <v>368.1678</v>
      </c>
      <c r="M706">
        <v>0.99993849999999995</v>
      </c>
      <c r="N706">
        <v>0</v>
      </c>
      <c r="O706">
        <v>-4.9914640000000001E-3</v>
      </c>
      <c r="P706">
        <v>0.99944409999999895</v>
      </c>
      <c r="Q706">
        <v>1.8837759999999999E-2</v>
      </c>
      <c r="R706">
        <v>-2.7505740000000001E-2</v>
      </c>
      <c r="S706">
        <v>2.9932859999999999</v>
      </c>
      <c r="T706">
        <v>-7.4406390000000003E-2</v>
      </c>
      <c r="U706">
        <v>-0.35226439999999998</v>
      </c>
      <c r="V706">
        <v>2.2531160000000001E-2</v>
      </c>
      <c r="W706">
        <v>2.8726270000000002E-2</v>
      </c>
      <c r="X706">
        <v>0.99933340000000004</v>
      </c>
      <c r="Y706">
        <v>0.11188679999999999</v>
      </c>
      <c r="Z706">
        <v>-1.262006E-3</v>
      </c>
      <c r="AA706">
        <v>0.99372020000000005</v>
      </c>
      <c r="AB706">
        <v>40</v>
      </c>
      <c r="AC706">
        <v>42.209199999999903</v>
      </c>
      <c r="AD706">
        <v>-1.059337709702</v>
      </c>
      <c r="AE706">
        <v>-5.0129999999999697</v>
      </c>
      <c r="AF706">
        <v>4.7992606197431797</v>
      </c>
      <c r="AG706">
        <v>-1.059337709702</v>
      </c>
      <c r="AH706">
        <v>42.207481892242399</v>
      </c>
      <c r="AI706">
        <v>91.428525790238098</v>
      </c>
      <c r="AJ706">
        <v>83.512964974685104</v>
      </c>
      <c r="AK706">
        <v>42.492665561993</v>
      </c>
      <c r="AL706">
        <v>88.353879597971797</v>
      </c>
      <c r="AM706">
        <v>88.708417330287503</v>
      </c>
      <c r="AN706">
        <v>1.0000000480572999</v>
      </c>
    </row>
    <row r="707" spans="1:40" x14ac:dyDescent="0.25">
      <c r="A707" t="str">
        <f>"20190312160922990"</f>
        <v>20190312160922990</v>
      </c>
      <c r="B707" t="str">
        <f>"1552378162985778"</f>
        <v>1552378162985778</v>
      </c>
      <c r="C707" t="s">
        <v>40</v>
      </c>
      <c r="D707">
        <v>5.5365869999999999</v>
      </c>
      <c r="E707">
        <v>0.5330859</v>
      </c>
      <c r="F707" t="s">
        <v>41</v>
      </c>
      <c r="G707">
        <v>-256.86430000000001</v>
      </c>
      <c r="H707" s="1">
        <v>-2.7601000000000001E-6</v>
      </c>
      <c r="I707">
        <v>363.2011</v>
      </c>
      <c r="J707">
        <v>-298.85180000000003</v>
      </c>
      <c r="K707">
        <v>1.05935</v>
      </c>
      <c r="L707">
        <v>368.16559999999998</v>
      </c>
      <c r="M707">
        <v>0.99993620000000005</v>
      </c>
      <c r="N707">
        <v>0</v>
      </c>
      <c r="O707">
        <v>-5.1741970000000002E-3</v>
      </c>
      <c r="P707">
        <v>0.99944650000000002</v>
      </c>
      <c r="Q707">
        <v>1.8492339999999999E-2</v>
      </c>
      <c r="R707">
        <v>-2.764819E-2</v>
      </c>
      <c r="S707">
        <v>2.9934690000000002</v>
      </c>
      <c r="T707">
        <v>-7.4801210000000007E-2</v>
      </c>
      <c r="U707">
        <v>-0.35070800000000002</v>
      </c>
      <c r="V707">
        <v>2.2490989999999999E-2</v>
      </c>
      <c r="W707">
        <v>2.851511E-2</v>
      </c>
      <c r="X707">
        <v>0.99934029999999996</v>
      </c>
      <c r="Y707">
        <v>0.1111883</v>
      </c>
      <c r="Z707">
        <v>-1.255417E-3</v>
      </c>
      <c r="AA707">
        <v>0.99379859999999998</v>
      </c>
      <c r="AB707">
        <v>40</v>
      </c>
      <c r="AC707">
        <v>41.987499999999997</v>
      </c>
      <c r="AD707">
        <v>-1.0593527600999999</v>
      </c>
      <c r="AE707">
        <v>-4.9644999999999797</v>
      </c>
      <c r="AF707">
        <v>4.7441926494311897</v>
      </c>
      <c r="AG707">
        <v>-1.0593527600999999</v>
      </c>
      <c r="AH707">
        <v>41.9862680867774</v>
      </c>
      <c r="AI707">
        <v>91.436184002884701</v>
      </c>
      <c r="AJ707">
        <v>83.553269459138903</v>
      </c>
      <c r="AK707">
        <v>42.266728049613597</v>
      </c>
      <c r="AL707">
        <v>88.365983046868095</v>
      </c>
      <c r="AM707">
        <v>88.710728167845403</v>
      </c>
      <c r="AN707">
        <v>0.99999999566679099</v>
      </c>
    </row>
    <row r="708" spans="1:40" x14ac:dyDescent="0.25">
      <c r="A708" t="str">
        <f>"20190312160923014"</f>
        <v>20190312160923014</v>
      </c>
      <c r="B708" t="str">
        <f>"1552378163005298"</f>
        <v>1552378163005298</v>
      </c>
      <c r="C708" t="s">
        <v>40</v>
      </c>
      <c r="D708">
        <v>5.4691799999999997</v>
      </c>
      <c r="E708">
        <v>0.53287659999999903</v>
      </c>
      <c r="F708" t="s">
        <v>41</v>
      </c>
      <c r="G708">
        <v>-259.1352</v>
      </c>
      <c r="H708" s="1">
        <v>-1.8969E-6</v>
      </c>
      <c r="I708">
        <v>363.54079999999999</v>
      </c>
      <c r="J708">
        <v>-298.44150000000002</v>
      </c>
      <c r="K708">
        <v>1.059361</v>
      </c>
      <c r="L708">
        <v>368.16329999999999</v>
      </c>
      <c r="M708">
        <v>0.99993390000000004</v>
      </c>
      <c r="N708">
        <v>0</v>
      </c>
      <c r="O708">
        <v>-5.3593640000000001E-3</v>
      </c>
      <c r="P708">
        <v>0.99944580000000005</v>
      </c>
      <c r="Q708">
        <v>1.7920080000000001E-2</v>
      </c>
      <c r="R708">
        <v>-2.8053439999999999E-2</v>
      </c>
      <c r="S708">
        <v>2.993439</v>
      </c>
      <c r="T708">
        <v>-7.9843159999999996E-2</v>
      </c>
      <c r="U708">
        <v>-0.34857179999999999</v>
      </c>
      <c r="V708">
        <v>2.2710770000000002E-2</v>
      </c>
      <c r="W708">
        <v>2.808422E-2</v>
      </c>
      <c r="X708">
        <v>0.99934750000000006</v>
      </c>
      <c r="Y708">
        <v>0.1103016</v>
      </c>
      <c r="Z708">
        <v>-1.3233730000000001E-3</v>
      </c>
      <c r="AA708">
        <v>0.99389729999999998</v>
      </c>
      <c r="AB708">
        <v>40</v>
      </c>
      <c r="AC708">
        <v>39.3063</v>
      </c>
      <c r="AD708">
        <v>-1.0593628969</v>
      </c>
      <c r="AE708">
        <v>-4.6224999999999996</v>
      </c>
      <c r="AF708">
        <v>4.4086072894903001</v>
      </c>
      <c r="AG708">
        <v>-1.0593628969</v>
      </c>
      <c r="AH708">
        <v>39.3023513049245</v>
      </c>
      <c r="AI708">
        <v>91.534369013521797</v>
      </c>
      <c r="AJ708">
        <v>83.599795207838199</v>
      </c>
      <c r="AK708">
        <v>39.563024228134701</v>
      </c>
      <c r="AL708">
        <v>88.390681066787195</v>
      </c>
      <c r="AM708">
        <v>88.698143206750402</v>
      </c>
      <c r="AN708">
        <v>0.99999996412162495</v>
      </c>
    </row>
    <row r="709" spans="1:40" x14ac:dyDescent="0.25">
      <c r="A709" t="str">
        <f>"20190312160923045"</f>
        <v>20190312160923045</v>
      </c>
      <c r="B709" t="str">
        <f>"1552378163036059"</f>
        <v>1552378163036059</v>
      </c>
      <c r="C709" t="s">
        <v>40</v>
      </c>
      <c r="D709">
        <v>5.322692</v>
      </c>
      <c r="E709">
        <v>0.5324508</v>
      </c>
      <c r="F709" t="s">
        <v>41</v>
      </c>
      <c r="G709">
        <v>-260.46730000000002</v>
      </c>
      <c r="H709" s="1">
        <v>-5.112724E-6</v>
      </c>
      <c r="I709">
        <v>363.74829999999997</v>
      </c>
      <c r="J709">
        <v>-297.8673</v>
      </c>
      <c r="K709">
        <v>1.0593969999999999</v>
      </c>
      <c r="L709">
        <v>368.16</v>
      </c>
      <c r="M709">
        <v>0.99993019999999999</v>
      </c>
      <c r="N709">
        <v>0</v>
      </c>
      <c r="O709">
        <v>-5.6185080000000004E-3</v>
      </c>
      <c r="P709">
        <v>0.99948479999999995</v>
      </c>
      <c r="Q709">
        <v>1.6502139999999998E-2</v>
      </c>
      <c r="R709">
        <v>-2.7534969999999999E-2</v>
      </c>
      <c r="S709">
        <v>2.9934080000000001</v>
      </c>
      <c r="T709">
        <v>-8.3506819999999995E-2</v>
      </c>
      <c r="U709">
        <v>-0.34802250000000001</v>
      </c>
      <c r="V709">
        <v>2.1932380000000001E-2</v>
      </c>
      <c r="W709">
        <v>2.6884479999999999E-2</v>
      </c>
      <c r="X709">
        <v>0.99939789999999995</v>
      </c>
      <c r="Y709">
        <v>0.109862</v>
      </c>
      <c r="Z709">
        <v>-1.3707890000000001E-3</v>
      </c>
      <c r="AA709">
        <v>0.99394590000000005</v>
      </c>
      <c r="AB709">
        <v>40</v>
      </c>
      <c r="AC709">
        <v>37.399999999999899</v>
      </c>
      <c r="AD709">
        <v>-1.0594021127240001</v>
      </c>
      <c r="AE709">
        <v>-4.4117000000000504</v>
      </c>
      <c r="AF709">
        <v>4.1981645257310403</v>
      </c>
      <c r="AG709">
        <v>-1.0594021127240001</v>
      </c>
      <c r="AH709">
        <v>37.394605326835098</v>
      </c>
      <c r="AI709">
        <v>91.6126496847032</v>
      </c>
      <c r="AJ709">
        <v>83.594420330054106</v>
      </c>
      <c r="AK709">
        <v>37.644434193799697</v>
      </c>
      <c r="AL709">
        <v>88.459447119299298</v>
      </c>
      <c r="AM709">
        <v>88.742811915356</v>
      </c>
      <c r="AN709">
        <v>0.99999998354087205</v>
      </c>
    </row>
    <row r="710" spans="1:40" x14ac:dyDescent="0.25">
      <c r="A710" t="str">
        <f>"20190312160923068"</f>
        <v>20190312160923068</v>
      </c>
      <c r="B710" t="str">
        <f>"1552378163055579"</f>
        <v>1552378163055579</v>
      </c>
      <c r="C710" t="s">
        <v>40</v>
      </c>
      <c r="D710">
        <v>5.5285570000000002</v>
      </c>
      <c r="E710">
        <v>0.53235959999999904</v>
      </c>
      <c r="F710" t="s">
        <v>41</v>
      </c>
      <c r="G710">
        <v>-262.08300000000003</v>
      </c>
      <c r="H710" s="1">
        <v>-4.3647099999999998E-6</v>
      </c>
      <c r="I710">
        <v>364.05739999999997</v>
      </c>
      <c r="J710">
        <v>-297.4744</v>
      </c>
      <c r="K710">
        <v>1.0594110000000001</v>
      </c>
      <c r="L710">
        <v>368.15769999999998</v>
      </c>
      <c r="M710">
        <v>0.99992749999999997</v>
      </c>
      <c r="N710">
        <v>0</v>
      </c>
      <c r="O710">
        <v>-5.7966160000000001E-3</v>
      </c>
      <c r="P710">
        <v>0.99949710000000003</v>
      </c>
      <c r="Q710">
        <v>1.633863E-2</v>
      </c>
      <c r="R710">
        <v>-2.7183099999999901E-2</v>
      </c>
      <c r="S710">
        <v>2.9935610000000001</v>
      </c>
      <c r="T710">
        <v>-8.8624839999999996E-2</v>
      </c>
      <c r="U710">
        <v>-0.34320070000000003</v>
      </c>
      <c r="V710">
        <v>2.1402560000000001E-2</v>
      </c>
      <c r="W710">
        <v>2.6893540000000001E-2</v>
      </c>
      <c r="X710">
        <v>0.99940910000000005</v>
      </c>
      <c r="Y710">
        <v>0.10809489999999899</v>
      </c>
      <c r="Z710">
        <v>-1.4235059999999999E-3</v>
      </c>
      <c r="AA710">
        <v>0.99413960000000001</v>
      </c>
      <c r="AB710">
        <v>40</v>
      </c>
      <c r="AC710">
        <v>35.391399999999997</v>
      </c>
      <c r="AD710">
        <v>-1.05941536471</v>
      </c>
      <c r="AE710">
        <v>-4.1002999999999998</v>
      </c>
      <c r="AF710">
        <v>3.8916283765991002</v>
      </c>
      <c r="AG710">
        <v>-1.05941536471</v>
      </c>
      <c r="AH710">
        <v>35.383288914958598</v>
      </c>
      <c r="AI710">
        <v>91.704713981033905</v>
      </c>
      <c r="AJ710">
        <v>83.723554920989699</v>
      </c>
      <c r="AK710">
        <v>35.612417311605903</v>
      </c>
      <c r="AL710">
        <v>88.458927765600095</v>
      </c>
      <c r="AM710">
        <v>88.773186126780303</v>
      </c>
      <c r="AN710">
        <v>0.99999994061554498</v>
      </c>
    </row>
    <row r="711" spans="1:40" x14ac:dyDescent="0.25">
      <c r="A711" t="str">
        <f>"20190312160923090"</f>
        <v>20190312160923090</v>
      </c>
      <c r="B711" t="str">
        <f>"1552378163085835"</f>
        <v>1552378163085835</v>
      </c>
      <c r="C711" t="s">
        <v>40</v>
      </c>
      <c r="D711">
        <v>5.3893199999999997</v>
      </c>
      <c r="E711">
        <v>0.53115979999999996</v>
      </c>
      <c r="F711" t="s">
        <v>41</v>
      </c>
      <c r="G711">
        <v>-262.06560000000002</v>
      </c>
      <c r="H711" s="1">
        <v>-4.3611919999999996E-6</v>
      </c>
      <c r="I711">
        <v>364.11959999999999</v>
      </c>
      <c r="J711">
        <v>-297.06479999999999</v>
      </c>
      <c r="K711">
        <v>1.059428</v>
      </c>
      <c r="L711">
        <v>368.1551</v>
      </c>
      <c r="M711">
        <v>0.99992420000000004</v>
      </c>
      <c r="N711">
        <v>0</v>
      </c>
      <c r="O711">
        <v>-5.9840500000000003E-3</v>
      </c>
      <c r="P711">
        <v>0.99950269999999997</v>
      </c>
      <c r="Q711">
        <v>1.6503670000000002E-2</v>
      </c>
      <c r="R711">
        <v>-2.68732E-2</v>
      </c>
      <c r="S711">
        <v>2.9936829999999999</v>
      </c>
      <c r="T711">
        <v>-8.9569449999999995E-2</v>
      </c>
      <c r="U711">
        <v>-0.34140009999999998</v>
      </c>
      <c r="V711">
        <v>2.0905610000000002E-2</v>
      </c>
      <c r="W711">
        <v>2.7251029999999999E-2</v>
      </c>
      <c r="X711">
        <v>0.99941000000000002</v>
      </c>
      <c r="Y711">
        <v>0.10731309999999999</v>
      </c>
      <c r="Z711">
        <v>-1.421421E-3</v>
      </c>
      <c r="AA711">
        <v>0.99422429999999995</v>
      </c>
      <c r="AB711">
        <v>40</v>
      </c>
      <c r="AC711">
        <v>34.999199999999902</v>
      </c>
      <c r="AD711">
        <v>-1.059432361192</v>
      </c>
      <c r="AE711">
        <v>-4.0355000000000096</v>
      </c>
      <c r="AF711">
        <v>3.8225220860595202</v>
      </c>
      <c r="AG711">
        <v>-1.059432361192</v>
      </c>
      <c r="AH711">
        <v>34.991082193792003</v>
      </c>
      <c r="AI711">
        <v>91.723976384429506</v>
      </c>
      <c r="AJ711">
        <v>83.765573483256006</v>
      </c>
      <c r="AK711">
        <v>35.2151942365659</v>
      </c>
      <c r="AL711">
        <v>88.438437687518004</v>
      </c>
      <c r="AM711">
        <v>88.801664418880307</v>
      </c>
      <c r="AN711">
        <v>1.00000000563276</v>
      </c>
    </row>
    <row r="712" spans="1:40" x14ac:dyDescent="0.25">
      <c r="A712" t="str">
        <f>"20190312160923114"</f>
        <v>20190312160923114</v>
      </c>
      <c r="B712" t="str">
        <f>"1552378163105358"</f>
        <v>1552378163105358</v>
      </c>
      <c r="C712" t="s">
        <v>40</v>
      </c>
      <c r="D712">
        <v>5.4302359999999998</v>
      </c>
      <c r="E712">
        <v>0.53012060000000005</v>
      </c>
      <c r="F712" t="s">
        <v>41</v>
      </c>
      <c r="G712">
        <v>-262.38290000000001</v>
      </c>
      <c r="H712" s="1">
        <v>-4.1894850000000001E-6</v>
      </c>
      <c r="I712">
        <v>364.32</v>
      </c>
      <c r="J712">
        <v>-296.65390000000002</v>
      </c>
      <c r="K712">
        <v>1.0594490000000001</v>
      </c>
      <c r="L712">
        <v>368.1524</v>
      </c>
      <c r="M712">
        <v>0.9999207</v>
      </c>
      <c r="N712">
        <v>0</v>
      </c>
      <c r="O712">
        <v>-6.1715119999999997E-3</v>
      </c>
      <c r="P712">
        <v>0.99950550000000005</v>
      </c>
      <c r="Q712">
        <v>1.6012439999999999E-2</v>
      </c>
      <c r="R712">
        <v>-2.7057629999999999E-2</v>
      </c>
      <c r="S712">
        <v>2.99411</v>
      </c>
      <c r="T712">
        <v>-9.1461420000000002E-2</v>
      </c>
      <c r="U712">
        <v>-0.33108520000000002</v>
      </c>
      <c r="V712">
        <v>2.0902850000000001E-2</v>
      </c>
      <c r="W712">
        <v>2.6968369999999998E-2</v>
      </c>
      <c r="X712">
        <v>0.99941769999999996</v>
      </c>
      <c r="Y712">
        <v>0.103727399999999</v>
      </c>
      <c r="Z712">
        <v>-1.391207E-3</v>
      </c>
      <c r="AA712">
        <v>0.99460479999999996</v>
      </c>
      <c r="AB712">
        <v>40</v>
      </c>
      <c r="AC712">
        <v>34.271000000000001</v>
      </c>
      <c r="AD712">
        <v>-1.0594531894849999</v>
      </c>
      <c r="AE712">
        <v>-3.8323999999999998</v>
      </c>
      <c r="AF712">
        <v>3.6173960183394498</v>
      </c>
      <c r="AG712">
        <v>-1.0594531894849999</v>
      </c>
      <c r="AH712">
        <v>34.261661795795199</v>
      </c>
      <c r="AI712">
        <v>91.761375276359104</v>
      </c>
      <c r="AJ712">
        <v>83.972957558663595</v>
      </c>
      <c r="AK712">
        <v>34.468383542366198</v>
      </c>
      <c r="AL712">
        <v>88.454638828325599</v>
      </c>
      <c r="AM712">
        <v>88.801831808042095</v>
      </c>
      <c r="AN712">
        <v>0.99999998059593398</v>
      </c>
    </row>
    <row r="713" spans="1:40" x14ac:dyDescent="0.25">
      <c r="A713" t="str">
        <f>"20190312160923135"</f>
        <v>20190312160923135</v>
      </c>
      <c r="B713" t="str">
        <f>"1552378163125386"</f>
        <v>1552378163125386</v>
      </c>
      <c r="C713" t="s">
        <v>40</v>
      </c>
      <c r="D713">
        <v>5.3808210000000001</v>
      </c>
      <c r="E713">
        <v>0.52927990000000003</v>
      </c>
      <c r="F713" t="s">
        <v>41</v>
      </c>
      <c r="G713">
        <v>-262.53019999999998</v>
      </c>
      <c r="H713" s="1">
        <v>-4.099481E-6</v>
      </c>
      <c r="I713">
        <v>364.47129999999999</v>
      </c>
      <c r="J713">
        <v>-296.26510000000002</v>
      </c>
      <c r="K713">
        <v>1.059482</v>
      </c>
      <c r="L713">
        <v>368.14980000000003</v>
      </c>
      <c r="M713">
        <v>0.99991739999999996</v>
      </c>
      <c r="N713">
        <v>0</v>
      </c>
      <c r="O713">
        <v>-6.3392140000000001E-3</v>
      </c>
      <c r="P713">
        <v>0.99952779999999997</v>
      </c>
      <c r="Q713">
        <v>1.551334E-2</v>
      </c>
      <c r="R713">
        <v>-2.6536299999999999E-2</v>
      </c>
      <c r="S713">
        <v>2.9942319999999998</v>
      </c>
      <c r="T713">
        <v>-9.2962980000000001E-2</v>
      </c>
      <c r="U713">
        <v>-0.32299800000000001</v>
      </c>
      <c r="V713">
        <v>2.0213640000000001E-2</v>
      </c>
      <c r="W713">
        <v>2.6683330000000002E-2</v>
      </c>
      <c r="X713">
        <v>0.99943950000000004</v>
      </c>
      <c r="Y713">
        <v>0.100901</v>
      </c>
      <c r="Z713">
        <v>-1.365256E-3</v>
      </c>
      <c r="AA713">
        <v>0.99489550000000004</v>
      </c>
      <c r="AB713">
        <v>40</v>
      </c>
      <c r="AC713">
        <v>33.734900000000003</v>
      </c>
      <c r="AD713">
        <v>-1.059486099481</v>
      </c>
      <c r="AE713">
        <v>-3.6785000000000401</v>
      </c>
      <c r="AF713">
        <v>3.4611861294514701</v>
      </c>
      <c r="AG713">
        <v>-1.059486099481</v>
      </c>
      <c r="AH713">
        <v>33.724668827537599</v>
      </c>
      <c r="AI713">
        <v>91.790002396233007</v>
      </c>
      <c r="AJ713">
        <v>84.140210812451201</v>
      </c>
      <c r="AK713">
        <v>33.918366820128398</v>
      </c>
      <c r="AL713">
        <v>88.470976254598497</v>
      </c>
      <c r="AM713">
        <v>88.841352193035902</v>
      </c>
      <c r="AN713">
        <v>0.99999995275109299</v>
      </c>
    </row>
    <row r="714" spans="1:40" x14ac:dyDescent="0.25">
      <c r="A714" t="str">
        <f>"20190312160923156"</f>
        <v>20190312160923156</v>
      </c>
      <c r="B714" t="str">
        <f>"1552378163145879"</f>
        <v>1552378163145879</v>
      </c>
      <c r="C714" t="s">
        <v>40</v>
      </c>
      <c r="D714">
        <v>5.4309640000000003</v>
      </c>
      <c r="E714">
        <v>0.52859929999999999</v>
      </c>
      <c r="F714" t="s">
        <v>41</v>
      </c>
      <c r="G714">
        <v>-262.77629999999999</v>
      </c>
      <c r="H714" s="1">
        <v>-3.9663910000000002E-6</v>
      </c>
      <c r="I714">
        <v>364.62630000000001</v>
      </c>
      <c r="J714">
        <v>-295.88420000000002</v>
      </c>
      <c r="K714">
        <v>1.0595220000000001</v>
      </c>
      <c r="L714">
        <v>368.14729999999997</v>
      </c>
      <c r="M714">
        <v>0.99991390000000002</v>
      </c>
      <c r="N714">
        <v>0</v>
      </c>
      <c r="O714">
        <v>-6.5014690000000002E-3</v>
      </c>
      <c r="P714">
        <v>0.99954160000000003</v>
      </c>
      <c r="Q714">
        <v>1.558846E-2</v>
      </c>
      <c r="R714">
        <v>-2.5966800000000002E-2</v>
      </c>
      <c r="S714">
        <v>2.994507</v>
      </c>
      <c r="T714">
        <v>-9.4737050000000003E-2</v>
      </c>
      <c r="U714">
        <v>-0.3150635</v>
      </c>
      <c r="V714">
        <v>1.948188E-2</v>
      </c>
      <c r="W714">
        <v>2.6987919999999999E-2</v>
      </c>
      <c r="X714">
        <v>0.9994459</v>
      </c>
      <c r="Y714">
        <v>9.8122509999999996E-2</v>
      </c>
      <c r="Z714">
        <v>-1.3424279999999999E-3</v>
      </c>
      <c r="AA714">
        <v>0.99517350000000004</v>
      </c>
      <c r="AB714">
        <v>40</v>
      </c>
      <c r="AC714">
        <v>33.107900000000001</v>
      </c>
      <c r="AD714">
        <v>-1.0595259663909999</v>
      </c>
      <c r="AE714">
        <v>-3.5209999999999502</v>
      </c>
      <c r="AF714">
        <v>3.3023173884501902</v>
      </c>
      <c r="AG714">
        <v>-1.0595259663909999</v>
      </c>
      <c r="AH714">
        <v>33.096576841802502</v>
      </c>
      <c r="AI714">
        <v>91.824539059150695</v>
      </c>
      <c r="AJ714">
        <v>84.301988618785401</v>
      </c>
      <c r="AK714">
        <v>33.2777898012001</v>
      </c>
      <c r="AL714">
        <v>88.453518316820094</v>
      </c>
      <c r="AM714">
        <v>88.883293075392501</v>
      </c>
      <c r="AN714">
        <v>0.99999999925053495</v>
      </c>
    </row>
    <row r="715" spans="1:40" x14ac:dyDescent="0.25">
      <c r="A715" t="str">
        <f>"20190312160923180"</f>
        <v>20190312160923180</v>
      </c>
      <c r="B715" t="str">
        <f>"1552378163176135"</f>
        <v>1552378163176135</v>
      </c>
      <c r="C715" t="s">
        <v>40</v>
      </c>
      <c r="D715">
        <v>5.419454</v>
      </c>
      <c r="E715">
        <v>0.52783549999999901</v>
      </c>
      <c r="F715" t="s">
        <v>41</v>
      </c>
      <c r="G715">
        <v>-262.24889999999999</v>
      </c>
      <c r="H715" s="1">
        <v>-4.1818539999999997E-6</v>
      </c>
      <c r="I715">
        <v>364.68729999999999</v>
      </c>
      <c r="J715">
        <v>-295.47699999999998</v>
      </c>
      <c r="K715">
        <v>1.05956299999999</v>
      </c>
      <c r="L715">
        <v>368.14440000000002</v>
      </c>
      <c r="M715">
        <v>0.99990950000000001</v>
      </c>
      <c r="N715">
        <v>0</v>
      </c>
      <c r="O715">
        <v>-6.6857100000000001E-3</v>
      </c>
      <c r="P715">
        <v>0.99955530000000004</v>
      </c>
      <c r="Q715">
        <v>1.592381E-2</v>
      </c>
      <c r="R715">
        <v>-2.5217159999999999E-2</v>
      </c>
      <c r="S715">
        <v>2.9948730000000001</v>
      </c>
      <c r="T715">
        <v>-9.4339610000000004E-2</v>
      </c>
      <c r="U715">
        <v>-0.30807499999999999</v>
      </c>
      <c r="V715">
        <v>1.8547910000000001E-2</v>
      </c>
      <c r="W715">
        <v>2.7590409999999999E-2</v>
      </c>
      <c r="X715">
        <v>0.99944719999999998</v>
      </c>
      <c r="Y715">
        <v>9.5630480000000004E-2</v>
      </c>
      <c r="Z715">
        <v>-1.291873E-3</v>
      </c>
      <c r="AA715">
        <v>0.99541599999999997</v>
      </c>
      <c r="AB715">
        <v>40</v>
      </c>
      <c r="AC715">
        <v>33.228099999999998</v>
      </c>
      <c r="AD715">
        <v>-1.05956718185399</v>
      </c>
      <c r="AE715">
        <v>-3.45710000000002</v>
      </c>
      <c r="AF715">
        <v>3.2316033588757298</v>
      </c>
      <c r="AG715">
        <v>-1.05956718185399</v>
      </c>
      <c r="AH715">
        <v>33.2170577870138</v>
      </c>
      <c r="AI715">
        <v>91.818438067527495</v>
      </c>
      <c r="AJ715">
        <v>84.443325836499895</v>
      </c>
      <c r="AK715">
        <v>33.390700365637301</v>
      </c>
      <c r="AL715">
        <v>88.418985291908299</v>
      </c>
      <c r="AM715">
        <v>88.936817287506699</v>
      </c>
      <c r="AN715">
        <v>0.99999998063858697</v>
      </c>
    </row>
    <row r="716" spans="1:40" x14ac:dyDescent="0.25">
      <c r="A716" t="str">
        <f>"20190312160923335"</f>
        <v>20190312160923335</v>
      </c>
      <c r="B716" t="str">
        <f>"1552378163325466"</f>
        <v>1552378163325466</v>
      </c>
      <c r="C716" t="s">
        <v>40</v>
      </c>
      <c r="D716">
        <v>5.3303890000000003</v>
      </c>
      <c r="E716">
        <v>0.52765779999999995</v>
      </c>
      <c r="F716" t="s">
        <v>41</v>
      </c>
      <c r="G716">
        <v>-260.29230000000001</v>
      </c>
      <c r="H716" s="1">
        <v>-5.032381E-6</v>
      </c>
      <c r="I716">
        <v>364.62430000000001</v>
      </c>
      <c r="J716">
        <v>-292.72640000000001</v>
      </c>
      <c r="K716">
        <v>1.059779</v>
      </c>
      <c r="L716">
        <v>368.12310000000002</v>
      </c>
      <c r="M716">
        <v>0.99987559999999998</v>
      </c>
      <c r="N716">
        <v>0</v>
      </c>
      <c r="O716">
        <v>-8.0350349999999994E-3</v>
      </c>
      <c r="P716">
        <v>0.99953009999999998</v>
      </c>
      <c r="Q716">
        <v>1.2882879999999999E-2</v>
      </c>
      <c r="R716">
        <v>-2.781786E-2</v>
      </c>
      <c r="S716">
        <v>2.9951780000000001</v>
      </c>
      <c r="T716">
        <v>-9.0197920000000001E-2</v>
      </c>
      <c r="U716">
        <v>-0.29965209999999998</v>
      </c>
      <c r="V716">
        <v>1.9799239999999999E-2</v>
      </c>
      <c r="W716">
        <v>2.6438320000000001E-2</v>
      </c>
      <c r="X716">
        <v>0.99945439999999997</v>
      </c>
      <c r="Y716">
        <v>9.1511350000000005E-2</v>
      </c>
      <c r="Z716">
        <v>-1.132854E-3</v>
      </c>
      <c r="AA716">
        <v>0.99580340000000001</v>
      </c>
      <c r="AB716">
        <v>39</v>
      </c>
      <c r="AC716">
        <v>32.434100000000001</v>
      </c>
      <c r="AD716">
        <v>-1.0597840323809999</v>
      </c>
      <c r="AE716">
        <v>-3.4988000000000099</v>
      </c>
      <c r="AF716">
        <v>3.2346401406410901</v>
      </c>
      <c r="AG716">
        <v>-1.0597840323809999</v>
      </c>
      <c r="AH716">
        <v>32.426945801725601</v>
      </c>
      <c r="AI716">
        <v>91.862648493725004</v>
      </c>
      <c r="AJ716">
        <v>84.303497842881598</v>
      </c>
      <c r="AK716">
        <v>32.605104708661599</v>
      </c>
      <c r="AL716">
        <v>88.485019390184704</v>
      </c>
      <c r="AM716">
        <v>88.865116278524397</v>
      </c>
      <c r="AN716">
        <v>1.00000004617417</v>
      </c>
    </row>
    <row r="717" spans="1:40" x14ac:dyDescent="0.25">
      <c r="A717" t="str">
        <f>"20190312160923358"</f>
        <v>20190312160923358</v>
      </c>
      <c r="B717" t="str">
        <f>"1552378163355719"</f>
        <v>1552378163355719</v>
      </c>
      <c r="C717" t="s">
        <v>40</v>
      </c>
      <c r="D717">
        <v>5.3211309999999896</v>
      </c>
      <c r="E717">
        <v>0.52702119999999997</v>
      </c>
      <c r="F717" t="s">
        <v>41</v>
      </c>
      <c r="G717">
        <v>-263.60079999999999</v>
      </c>
      <c r="H717" s="1">
        <v>-3.519734E-6</v>
      </c>
      <c r="I717">
        <v>365.15039999999999</v>
      </c>
      <c r="J717">
        <v>-292.32409999999999</v>
      </c>
      <c r="K717">
        <v>1.0597890000000001</v>
      </c>
      <c r="L717">
        <v>368.11970000000002</v>
      </c>
      <c r="M717">
        <v>0.99987139999999997</v>
      </c>
      <c r="N717">
        <v>0</v>
      </c>
      <c r="O717">
        <v>-8.2375209999999994E-3</v>
      </c>
      <c r="P717">
        <v>0.99951769999999995</v>
      </c>
      <c r="Q717">
        <v>1.226325E-2</v>
      </c>
      <c r="R717">
        <v>-2.853694E-2</v>
      </c>
      <c r="S717">
        <v>2.9943240000000002</v>
      </c>
      <c r="T717">
        <v>-0.10895290000000001</v>
      </c>
      <c r="U717">
        <v>-0.30560300000000001</v>
      </c>
      <c r="V717">
        <v>2.0315639999999999E-2</v>
      </c>
      <c r="W717">
        <v>2.6012170000000001E-2</v>
      </c>
      <c r="X717">
        <v>0.99945519999999999</v>
      </c>
      <c r="Y717">
        <v>9.3278490000000006E-2</v>
      </c>
      <c r="Z717">
        <v>-1.3932320000000001E-3</v>
      </c>
      <c r="AA717">
        <v>0.9956391</v>
      </c>
      <c r="AB717">
        <v>39</v>
      </c>
      <c r="AC717">
        <v>28.723299999999899</v>
      </c>
      <c r="AD717">
        <v>-1.0597925197339999</v>
      </c>
      <c r="AE717">
        <v>-2.9693000000000298</v>
      </c>
      <c r="AF717">
        <v>2.7288923231319901</v>
      </c>
      <c r="AG717">
        <v>-1.0597925197339999</v>
      </c>
      <c r="AH717">
        <v>28.708118401180801</v>
      </c>
      <c r="AI717">
        <v>92.104699394250105</v>
      </c>
      <c r="AJ717">
        <v>84.569981108209305</v>
      </c>
      <c r="AK717">
        <v>28.856993530725699</v>
      </c>
      <c r="AL717">
        <v>88.509444358612697</v>
      </c>
      <c r="AM717">
        <v>88.835525436496496</v>
      </c>
      <c r="AN717">
        <v>1.0000000275118699</v>
      </c>
    </row>
    <row r="718" spans="1:40" x14ac:dyDescent="0.25">
      <c r="A718" t="str">
        <f>"20190312160923381"</f>
        <v>20190312160923381</v>
      </c>
      <c r="B718" t="str">
        <f>"1552378163376215"</f>
        <v>1552378163376215</v>
      </c>
      <c r="C718" t="s">
        <v>40</v>
      </c>
      <c r="D718">
        <v>5.1913479999999996</v>
      </c>
      <c r="E718">
        <v>0.52662730000000002</v>
      </c>
      <c r="F718" t="s">
        <v>41</v>
      </c>
      <c r="G718">
        <v>-263.90929999999997</v>
      </c>
      <c r="H718" s="1">
        <v>-3.370248E-6</v>
      </c>
      <c r="I718">
        <v>365.24689999999998</v>
      </c>
      <c r="J718">
        <v>-291.92099999999999</v>
      </c>
      <c r="K718">
        <v>1.059801</v>
      </c>
      <c r="L718">
        <v>368.11610000000002</v>
      </c>
      <c r="M718">
        <v>0.99986739999999996</v>
      </c>
      <c r="N718">
        <v>0</v>
      </c>
      <c r="O718">
        <v>-8.4421129999999994E-3</v>
      </c>
      <c r="P718">
        <v>0.99950249999999996</v>
      </c>
      <c r="Q718">
        <v>1.187352E-2</v>
      </c>
      <c r="R718">
        <v>-2.9221919999999998E-2</v>
      </c>
      <c r="S718">
        <v>2.994202</v>
      </c>
      <c r="T718">
        <v>-0.11167530000000001</v>
      </c>
      <c r="U718">
        <v>-0.30270390000000003</v>
      </c>
      <c r="V718">
        <v>2.0796410000000001E-2</v>
      </c>
      <c r="W718">
        <v>2.5792900000000001E-2</v>
      </c>
      <c r="X718">
        <v>0.99945099999999998</v>
      </c>
      <c r="Y718">
        <v>9.2122700000000002E-2</v>
      </c>
      <c r="Z718">
        <v>-1.3990470000000001E-3</v>
      </c>
      <c r="AA718">
        <v>0.99574669999999998</v>
      </c>
      <c r="AB718">
        <v>39</v>
      </c>
      <c r="AC718">
        <v>28.011700000000001</v>
      </c>
      <c r="AD718">
        <v>-1.059804370248</v>
      </c>
      <c r="AE718">
        <v>-2.8692000000000299</v>
      </c>
      <c r="AF718">
        <v>2.6288728701028101</v>
      </c>
      <c r="AG718">
        <v>-1.059804370248</v>
      </c>
      <c r="AH718">
        <v>27.995268646462101</v>
      </c>
      <c r="AI718">
        <v>92.158498560736305</v>
      </c>
      <c r="AJ718">
        <v>84.635417932809005</v>
      </c>
      <c r="AK718">
        <v>28.138394134313099</v>
      </c>
      <c r="AL718">
        <v>88.5220118285241</v>
      </c>
      <c r="AM718">
        <v>88.807970975733795</v>
      </c>
      <c r="AN718">
        <v>1.0000000328801399</v>
      </c>
    </row>
    <row r="719" spans="1:40" x14ac:dyDescent="0.25">
      <c r="A719" t="str">
        <f>"20190312160923393"</f>
        <v>20190312160923393</v>
      </c>
      <c r="B719" t="str">
        <f>"1552378163385975"</f>
        <v>1552378163385975</v>
      </c>
      <c r="C719" t="s">
        <v>40</v>
      </c>
      <c r="D719">
        <v>5.1061379999999996</v>
      </c>
      <c r="E719">
        <v>0.52641210000000005</v>
      </c>
      <c r="F719" t="s">
        <v>41</v>
      </c>
      <c r="G719">
        <v>-262.91480000000001</v>
      </c>
      <c r="H719" s="1">
        <v>-3.8064149999999999E-6</v>
      </c>
      <c r="I719">
        <v>365.19319999999999</v>
      </c>
      <c r="J719">
        <v>-291.6909</v>
      </c>
      <c r="K719">
        <v>1.059806</v>
      </c>
      <c r="L719">
        <v>368.11410000000001</v>
      </c>
      <c r="M719">
        <v>0.99986509999999995</v>
      </c>
      <c r="N719">
        <v>0</v>
      </c>
      <c r="O719">
        <v>-8.5591999999999994E-3</v>
      </c>
      <c r="P719">
        <v>0.99949509999999997</v>
      </c>
      <c r="Q719">
        <v>1.164013E-2</v>
      </c>
      <c r="R719">
        <v>-2.956992E-2</v>
      </c>
      <c r="S719">
        <v>2.9940190000000002</v>
      </c>
      <c r="T719">
        <v>-0.109393</v>
      </c>
      <c r="U719">
        <v>-0.30169679999999999</v>
      </c>
      <c r="V719">
        <v>2.102704E-2</v>
      </c>
      <c r="W719">
        <v>2.5645609999999999E-2</v>
      </c>
      <c r="X719">
        <v>0.9994499</v>
      </c>
      <c r="Y719">
        <v>9.1683299999999995E-2</v>
      </c>
      <c r="Z719">
        <v>-1.3583110000000001E-3</v>
      </c>
      <c r="AA719">
        <v>0.99578730000000004</v>
      </c>
      <c r="AB719">
        <v>39</v>
      </c>
      <c r="AC719">
        <v>28.7760999999999</v>
      </c>
      <c r="AD719">
        <v>-1.0598098064149899</v>
      </c>
      <c r="AE719">
        <v>-2.9209000000000098</v>
      </c>
      <c r="AF719">
        <v>2.6708825097178202</v>
      </c>
      <c r="AG719">
        <v>-1.0598098064149899</v>
      </c>
      <c r="AH719">
        <v>28.7614341931871</v>
      </c>
      <c r="AI719">
        <v>92.101264378828702</v>
      </c>
      <c r="AJ719">
        <v>84.694539016272302</v>
      </c>
      <c r="AK719">
        <v>28.904617400261898</v>
      </c>
      <c r="AL719">
        <v>88.530453621030404</v>
      </c>
      <c r="AM719">
        <v>88.794754051051001</v>
      </c>
      <c r="AN719">
        <v>0.99999996816672099</v>
      </c>
    </row>
    <row r="720" spans="1:40" x14ac:dyDescent="0.25">
      <c r="A720" t="str">
        <f>"20190312160923415"</f>
        <v>20190312160923415</v>
      </c>
      <c r="B720" t="str">
        <f>"1552378163405495"</f>
        <v>1552378163405495</v>
      </c>
      <c r="C720" t="s">
        <v>40</v>
      </c>
      <c r="D720">
        <v>5.1490269999999896</v>
      </c>
      <c r="E720">
        <v>0.5260262</v>
      </c>
      <c r="F720" t="s">
        <v>41</v>
      </c>
      <c r="G720">
        <v>-262.59480000000002</v>
      </c>
      <c r="H720" s="1">
        <v>-3.9445199999999998E-6</v>
      </c>
      <c r="I720">
        <v>365.18849999999998</v>
      </c>
      <c r="J720">
        <v>-291.32639999999998</v>
      </c>
      <c r="K720">
        <v>1.0598160000000001</v>
      </c>
      <c r="L720">
        <v>368.11070000000001</v>
      </c>
      <c r="M720">
        <v>0.99986169999999996</v>
      </c>
      <c r="N720">
        <v>0</v>
      </c>
      <c r="O720">
        <v>-8.7446369999999995E-3</v>
      </c>
      <c r="P720">
        <v>0.99949469999999996</v>
      </c>
      <c r="Q720">
        <v>1.135133E-2</v>
      </c>
      <c r="R720">
        <v>-2.9694249999999998E-2</v>
      </c>
      <c r="S720">
        <v>2.9938959999999999</v>
      </c>
      <c r="T720">
        <v>-0.1090511</v>
      </c>
      <c r="U720">
        <v>-0.3010254</v>
      </c>
      <c r="V720">
        <v>2.0965919999999999E-2</v>
      </c>
      <c r="W720">
        <v>2.5481630000000002E-2</v>
      </c>
      <c r="X720">
        <v>0.99945539999999999</v>
      </c>
      <c r="Y720">
        <v>9.1282290000000002E-2</v>
      </c>
      <c r="Z720">
        <v>-1.3401210000000001E-3</v>
      </c>
      <c r="AA720">
        <v>0.99582420000000005</v>
      </c>
      <c r="AB720">
        <v>39</v>
      </c>
      <c r="AC720">
        <v>28.731599999999901</v>
      </c>
      <c r="AD720">
        <v>-1.0598199445200001</v>
      </c>
      <c r="AE720">
        <v>-2.9222000000000299</v>
      </c>
      <c r="AF720">
        <v>2.6672237062985298</v>
      </c>
      <c r="AG720">
        <v>-1.0598199445200001</v>
      </c>
      <c r="AH720">
        <v>28.717383277302801</v>
      </c>
      <c r="AI720">
        <v>92.104501910531695</v>
      </c>
      <c r="AJ720">
        <v>84.693684653023993</v>
      </c>
      <c r="AK720">
        <v>28.860447032396401</v>
      </c>
      <c r="AL720">
        <v>88.539852086481702</v>
      </c>
      <c r="AM720">
        <v>88.798262962114904</v>
      </c>
      <c r="AN720">
        <v>0.99999998992903105</v>
      </c>
    </row>
    <row r="721" spans="1:40" x14ac:dyDescent="0.25">
      <c r="A721" t="str">
        <f>"20190312160923437"</f>
        <v>20190312160923437</v>
      </c>
      <c r="B721" t="str">
        <f>"1552378163425991"</f>
        <v>1552378163425991</v>
      </c>
      <c r="C721" t="s">
        <v>40</v>
      </c>
      <c r="D721">
        <v>5.0991280000000003</v>
      </c>
      <c r="E721">
        <v>0.52564449999999996</v>
      </c>
      <c r="F721" t="s">
        <v>41</v>
      </c>
      <c r="G721">
        <v>-261.99189999999999</v>
      </c>
      <c r="H721" s="1">
        <v>-4.2030560000000001E-6</v>
      </c>
      <c r="I721">
        <v>365.1893</v>
      </c>
      <c r="J721">
        <v>-290.93389999999999</v>
      </c>
      <c r="K721">
        <v>1.0598240000000001</v>
      </c>
      <c r="L721">
        <v>368.1071</v>
      </c>
      <c r="M721">
        <v>0.99985829999999998</v>
      </c>
      <c r="N721">
        <v>0</v>
      </c>
      <c r="O721">
        <v>-8.9440919999999903E-3</v>
      </c>
      <c r="P721">
        <v>0.99947680000000005</v>
      </c>
      <c r="Q721">
        <v>1.1675690000000001E-2</v>
      </c>
      <c r="R721">
        <v>-3.0172009999999999E-2</v>
      </c>
      <c r="S721">
        <v>2.9938959999999999</v>
      </c>
      <c r="T721">
        <v>-0.1081656</v>
      </c>
      <c r="U721">
        <v>-0.2981567</v>
      </c>
      <c r="V721">
        <v>2.124463E-2</v>
      </c>
      <c r="W721">
        <v>2.592303E-2</v>
      </c>
      <c r="X721">
        <v>0.99943820000000005</v>
      </c>
      <c r="Y721">
        <v>9.0140609999999996E-2</v>
      </c>
      <c r="Z721">
        <v>-1.301558E-3</v>
      </c>
      <c r="AA721">
        <v>0.99592820000000004</v>
      </c>
      <c r="AB721">
        <v>39</v>
      </c>
      <c r="AC721">
        <v>28.942</v>
      </c>
      <c r="AD721">
        <v>-1.05982820305599</v>
      </c>
      <c r="AE721">
        <v>-2.9178000000000002</v>
      </c>
      <c r="AF721">
        <v>2.6552722551396699</v>
      </c>
      <c r="AG721">
        <v>-1.05982820305599</v>
      </c>
      <c r="AH721">
        <v>28.9285402968321</v>
      </c>
      <c r="AI721">
        <v>92.089379039477393</v>
      </c>
      <c r="AJ721">
        <v>84.755670512374294</v>
      </c>
      <c r="AK721">
        <v>29.0694711041386</v>
      </c>
      <c r="AL721">
        <v>88.514553425913306</v>
      </c>
      <c r="AM721">
        <v>88.782271525602596</v>
      </c>
      <c r="AN721">
        <v>1.0000000267037199</v>
      </c>
    </row>
    <row r="722" spans="1:40" x14ac:dyDescent="0.25">
      <c r="A722" t="str">
        <f>"20190312160923459"</f>
        <v>20190312160923459</v>
      </c>
      <c r="B722" t="str">
        <f>"1552378163445511"</f>
        <v>1552378163445511</v>
      </c>
      <c r="C722" t="s">
        <v>40</v>
      </c>
      <c r="D722">
        <v>5.0850819999999999</v>
      </c>
      <c r="E722">
        <v>0.52528280000000005</v>
      </c>
      <c r="F722" t="s">
        <v>41</v>
      </c>
      <c r="G722">
        <v>-260.92020000000002</v>
      </c>
      <c r="H722" s="1">
        <v>-4.6727829999999997E-6</v>
      </c>
      <c r="I722">
        <v>365.13299999999998</v>
      </c>
      <c r="J722">
        <v>-290.55990000000003</v>
      </c>
      <c r="K722">
        <v>1.0598289999999999</v>
      </c>
      <c r="L722">
        <v>368.10359999999997</v>
      </c>
      <c r="M722">
        <v>0.9998553</v>
      </c>
      <c r="N722">
        <v>0</v>
      </c>
      <c r="O722">
        <v>-9.1339879999999991E-3</v>
      </c>
      <c r="P722">
        <v>0.99946469999999998</v>
      </c>
      <c r="Q722">
        <v>1.1822930000000001E-2</v>
      </c>
      <c r="R722">
        <v>-3.0510559999999999E-2</v>
      </c>
      <c r="S722">
        <v>2.9938660000000001</v>
      </c>
      <c r="T722">
        <v>-0.105717699999999</v>
      </c>
      <c r="U722">
        <v>-0.29666140000000002</v>
      </c>
      <c r="V722">
        <v>2.1393599999999999E-2</v>
      </c>
      <c r="W722">
        <v>2.6167570000000001E-2</v>
      </c>
      <c r="X722">
        <v>0.9994286</v>
      </c>
      <c r="Y722">
        <v>8.9462739999999999E-2</v>
      </c>
      <c r="Z722">
        <v>-1.2535420000000001E-3</v>
      </c>
      <c r="AA722">
        <v>0.99598940000000002</v>
      </c>
      <c r="AB722">
        <v>39</v>
      </c>
      <c r="AC722">
        <v>29.639700000000001</v>
      </c>
      <c r="AD722">
        <v>-1.059833672783</v>
      </c>
      <c r="AE722">
        <v>-2.97059999999993</v>
      </c>
      <c r="AF722">
        <v>2.6963063488408201</v>
      </c>
      <c r="AG722">
        <v>-1.059833672783</v>
      </c>
      <c r="AH722">
        <v>29.628094372466499</v>
      </c>
      <c r="AI722">
        <v>92.040243585039406</v>
      </c>
      <c r="AJ722">
        <v>84.800117887808099</v>
      </c>
      <c r="AK722">
        <v>29.769401933605401</v>
      </c>
      <c r="AL722">
        <v>88.5005374873477</v>
      </c>
      <c r="AM722">
        <v>88.773723484348395</v>
      </c>
      <c r="AN722">
        <v>0.99999997716931199</v>
      </c>
    </row>
    <row r="723" spans="1:40" x14ac:dyDescent="0.25">
      <c r="A723" t="str">
        <f>"20190312160923472"</f>
        <v>20190312160923472</v>
      </c>
      <c r="B723" t="str">
        <f>"1552378163466006"</f>
        <v>1552378163466006</v>
      </c>
      <c r="C723" t="s">
        <v>40</v>
      </c>
      <c r="D723">
        <v>5.1343189999999996</v>
      </c>
      <c r="E723">
        <v>0.52480830000000001</v>
      </c>
      <c r="F723" t="s">
        <v>41</v>
      </c>
      <c r="G723">
        <v>-260.28129999999999</v>
      </c>
      <c r="H723" s="1">
        <v>-4.9487870000000002E-6</v>
      </c>
      <c r="I723">
        <v>365.12200000000001</v>
      </c>
      <c r="J723">
        <v>-290.30950000000001</v>
      </c>
      <c r="K723">
        <v>1.0598339999999999</v>
      </c>
      <c r="L723">
        <v>368.10120000000001</v>
      </c>
      <c r="M723">
        <v>0.99985329999999994</v>
      </c>
      <c r="N723">
        <v>0</v>
      </c>
      <c r="O723">
        <v>-9.2611280000000004E-3</v>
      </c>
      <c r="P723">
        <v>0.99946170000000001</v>
      </c>
      <c r="Q723">
        <v>1.1755460000000001E-2</v>
      </c>
      <c r="R723">
        <v>-3.063716E-2</v>
      </c>
      <c r="S723">
        <v>2.9938349999999998</v>
      </c>
      <c r="T723">
        <v>-0.10479239999999999</v>
      </c>
      <c r="U723">
        <v>-0.2947998</v>
      </c>
      <c r="V723">
        <v>2.1393100000000002E-2</v>
      </c>
      <c r="W723">
        <v>2.615804E-2</v>
      </c>
      <c r="X723">
        <v>0.99942889999999995</v>
      </c>
      <c r="Y723">
        <v>8.8725100000000001E-2</v>
      </c>
      <c r="Z723">
        <v>-1.225315E-3</v>
      </c>
      <c r="AA723">
        <v>0.99605540000000004</v>
      </c>
      <c r="AB723">
        <v>39</v>
      </c>
      <c r="AC723">
        <v>30.028199999999998</v>
      </c>
      <c r="AD723">
        <v>-1.0598389487869999</v>
      </c>
      <c r="AE723">
        <v>-2.97920000000004</v>
      </c>
      <c r="AF723">
        <v>2.6976206043999902</v>
      </c>
      <c r="AG723">
        <v>-1.0598389487869999</v>
      </c>
      <c r="AH723">
        <v>30.017476639782799</v>
      </c>
      <c r="AI723">
        <v>92.014014981622296</v>
      </c>
      <c r="AJ723">
        <v>84.864718844395995</v>
      </c>
      <c r="AK723">
        <v>30.157077433706199</v>
      </c>
      <c r="AL723">
        <v>88.501083762782301</v>
      </c>
      <c r="AM723">
        <v>88.773752503461196</v>
      </c>
      <c r="AN723">
        <v>1.0000000169697301</v>
      </c>
    </row>
    <row r="724" spans="1:40" x14ac:dyDescent="0.25">
      <c r="A724" t="str">
        <f>"20190312160923485"</f>
        <v>20190312160923485</v>
      </c>
      <c r="B724" t="str">
        <f>"1552378163475767"</f>
        <v>1552378163475767</v>
      </c>
      <c r="C724" t="s">
        <v>40</v>
      </c>
      <c r="D724">
        <v>5.1249770000000003</v>
      </c>
      <c r="E724">
        <v>0.52463890000000002</v>
      </c>
      <c r="F724" t="s">
        <v>41</v>
      </c>
      <c r="G724">
        <v>-259.69490000000002</v>
      </c>
      <c r="H724" s="1">
        <v>-1.286158E-6</v>
      </c>
      <c r="I724">
        <v>365.12040000000002</v>
      </c>
      <c r="J724">
        <v>-290.0806</v>
      </c>
      <c r="K724">
        <v>1.0598339999999999</v>
      </c>
      <c r="L724">
        <v>368.09899999999999</v>
      </c>
      <c r="M724">
        <v>0.9998515</v>
      </c>
      <c r="N724">
        <v>0</v>
      </c>
      <c r="O724">
        <v>-9.3774789999999993E-3</v>
      </c>
      <c r="P724">
        <v>0.99946610000000002</v>
      </c>
      <c r="Q724">
        <v>1.1592450000000001E-2</v>
      </c>
      <c r="R724">
        <v>-3.05543E-2</v>
      </c>
      <c r="S724">
        <v>2.9938959999999999</v>
      </c>
      <c r="T724">
        <v>-0.1036441</v>
      </c>
      <c r="U724">
        <v>-0.29150389999999998</v>
      </c>
      <c r="V724">
        <v>2.1193920000000002E-2</v>
      </c>
      <c r="W724">
        <v>2.6044589999999999E-2</v>
      </c>
      <c r="X724">
        <v>0.99943610000000005</v>
      </c>
      <c r="Y724">
        <v>8.7522859999999994E-2</v>
      </c>
      <c r="Z724">
        <v>-1.187165E-3</v>
      </c>
      <c r="AA724">
        <v>0.99616179999999999</v>
      </c>
      <c r="AB724">
        <v>39</v>
      </c>
      <c r="AC724">
        <v>30.3856999999999</v>
      </c>
      <c r="AD724">
        <v>-1.0598352861579901</v>
      </c>
      <c r="AE724">
        <v>-2.9785999999999699</v>
      </c>
      <c r="AF724">
        <v>2.6902562112505799</v>
      </c>
      <c r="AG724">
        <v>-1.0598352861579901</v>
      </c>
      <c r="AH724">
        <v>30.375695816203699</v>
      </c>
      <c r="AI724">
        <v>91.990505379283704</v>
      </c>
      <c r="AJ724">
        <v>84.9387434331625</v>
      </c>
      <c r="AK724">
        <v>30.513007482621099</v>
      </c>
      <c r="AL724">
        <v>88.507586174484004</v>
      </c>
      <c r="AM724">
        <v>88.785174766162498</v>
      </c>
      <c r="AN724">
        <v>1.0000000104482201</v>
      </c>
    </row>
    <row r="725" spans="1:40" x14ac:dyDescent="0.25">
      <c r="A725" t="str">
        <f>"20190312160923499"</f>
        <v>20190312160923499</v>
      </c>
      <c r="B725" t="str">
        <f>"1552378163496263"</f>
        <v>1552378163496263</v>
      </c>
      <c r="C725" t="s">
        <v>40</v>
      </c>
      <c r="D725">
        <v>5.1066000000000003</v>
      </c>
      <c r="E725">
        <v>0.52412959999999997</v>
      </c>
      <c r="F725" t="s">
        <v>41</v>
      </c>
      <c r="G725">
        <v>-259.61169999999998</v>
      </c>
      <c r="H725" s="1">
        <v>-1.3067360000000001E-6</v>
      </c>
      <c r="I725">
        <v>365.14949999999999</v>
      </c>
      <c r="J725">
        <v>-289.84879999999998</v>
      </c>
      <c r="K725">
        <v>1.0598369999999999</v>
      </c>
      <c r="L725">
        <v>368.0967</v>
      </c>
      <c r="M725">
        <v>0.99984960000000001</v>
      </c>
      <c r="N725">
        <v>0</v>
      </c>
      <c r="O725">
        <v>-9.4948640000000004E-3</v>
      </c>
      <c r="P725">
        <v>0.99947359999999996</v>
      </c>
      <c r="Q725">
        <v>1.1149650000000001E-2</v>
      </c>
      <c r="R725">
        <v>-3.047124E-2</v>
      </c>
      <c r="S725">
        <v>2.9939580000000001</v>
      </c>
      <c r="T725">
        <v>-0.104142</v>
      </c>
      <c r="U725">
        <v>-0.28982540000000001</v>
      </c>
      <c r="V725">
        <v>2.0992980000000001E-2</v>
      </c>
      <c r="W725">
        <v>2.564609E-2</v>
      </c>
      <c r="X725">
        <v>0.99945059999999997</v>
      </c>
      <c r="Y725">
        <v>8.6850709999999998E-2</v>
      </c>
      <c r="Z725">
        <v>-1.177141E-3</v>
      </c>
      <c r="AA725">
        <v>0.99622060000000001</v>
      </c>
      <c r="AB725">
        <v>39</v>
      </c>
      <c r="AC725">
        <v>30.237100000000002</v>
      </c>
      <c r="AD725">
        <v>-1.059838306736</v>
      </c>
      <c r="AE725">
        <v>-2.9472</v>
      </c>
      <c r="AF725">
        <v>2.6567065024274701</v>
      </c>
      <c r="AG725">
        <v>-1.059838306736</v>
      </c>
      <c r="AH725">
        <v>30.2269365752264</v>
      </c>
      <c r="AI725">
        <v>92.000417185695198</v>
      </c>
      <c r="AJ725">
        <v>84.977065753738103</v>
      </c>
      <c r="AK725">
        <v>30.361967021245899</v>
      </c>
      <c r="AL725">
        <v>88.530426104603805</v>
      </c>
      <c r="AM725">
        <v>88.796706599458403</v>
      </c>
      <c r="AN725">
        <v>0.99999996449096296</v>
      </c>
    </row>
    <row r="726" spans="1:40" x14ac:dyDescent="0.25">
      <c r="A726" t="str">
        <f>"20190312160923515"</f>
        <v>20190312160923515</v>
      </c>
      <c r="B726" t="str">
        <f>"1552378163506023"</f>
        <v>1552378163506023</v>
      </c>
      <c r="C726" t="s">
        <v>40</v>
      </c>
      <c r="D726">
        <v>5.0940599999999998</v>
      </c>
      <c r="E726">
        <v>0.52390119999999996</v>
      </c>
      <c r="F726" t="s">
        <v>41</v>
      </c>
      <c r="G726">
        <v>-259.57990000000001</v>
      </c>
      <c r="H726" s="1">
        <v>-1.3005019999999999E-6</v>
      </c>
      <c r="I726">
        <v>365.21350000000001</v>
      </c>
      <c r="J726">
        <v>-289.56819999999999</v>
      </c>
      <c r="K726">
        <v>1.059842</v>
      </c>
      <c r="L726">
        <v>368.09399999999999</v>
      </c>
      <c r="M726">
        <v>0.99984770000000001</v>
      </c>
      <c r="N726">
        <v>0</v>
      </c>
      <c r="O726">
        <v>-9.6373169999999994E-3</v>
      </c>
      <c r="P726">
        <v>0.99947790000000003</v>
      </c>
      <c r="Q726">
        <v>1.084885E-2</v>
      </c>
      <c r="R726">
        <v>-3.0443209999999998E-2</v>
      </c>
      <c r="S726">
        <v>2.9940190000000002</v>
      </c>
      <c r="T726">
        <v>-0.1048326</v>
      </c>
      <c r="U726">
        <v>-0.28518680000000002</v>
      </c>
      <c r="V726">
        <v>2.0822489999999999E-2</v>
      </c>
      <c r="W726">
        <v>2.5394400000000001E-2</v>
      </c>
      <c r="X726">
        <v>0.99946060000000003</v>
      </c>
      <c r="Y726">
        <v>8.5177799999999998E-2</v>
      </c>
      <c r="Z726">
        <v>-1.150819E-3</v>
      </c>
      <c r="AA726">
        <v>0.9963651</v>
      </c>
      <c r="AB726">
        <v>39</v>
      </c>
      <c r="AC726">
        <v>29.988299999999899</v>
      </c>
      <c r="AD726">
        <v>-1.059843300502</v>
      </c>
      <c r="AE726">
        <v>-2.8804999999999801</v>
      </c>
      <c r="AF726">
        <v>2.5881257082824201</v>
      </c>
      <c r="AG726">
        <v>-1.059843300502</v>
      </c>
      <c r="AH726">
        <v>29.977569122847299</v>
      </c>
      <c r="AI726">
        <v>92.017324650202298</v>
      </c>
      <c r="AJ726">
        <v>85.065581196227399</v>
      </c>
      <c r="AK726">
        <v>30.107745066985299</v>
      </c>
      <c r="AL726">
        <v>88.544851588102802</v>
      </c>
      <c r="AM726">
        <v>88.806487989546397</v>
      </c>
      <c r="AN726">
        <v>0.99999997129675899</v>
      </c>
    </row>
    <row r="727" spans="1:40" x14ac:dyDescent="0.25">
      <c r="A727" t="str">
        <f>"20190312160923537"</f>
        <v>20190312160923537</v>
      </c>
      <c r="B727" t="str">
        <f>"1552378163525543"</f>
        <v>1552378163525543</v>
      </c>
      <c r="C727" t="s">
        <v>40</v>
      </c>
      <c r="D727">
        <v>5.0886529999999999</v>
      </c>
      <c r="E727">
        <v>0.5235493</v>
      </c>
      <c r="F727" t="s">
        <v>41</v>
      </c>
      <c r="G727">
        <v>-259.50540000000001</v>
      </c>
      <c r="H727" s="1">
        <v>-1.316775E-6</v>
      </c>
      <c r="I727">
        <v>365.24770000000001</v>
      </c>
      <c r="J727">
        <v>-289.19450000000001</v>
      </c>
      <c r="K727">
        <v>1.059847</v>
      </c>
      <c r="L727">
        <v>368.09019999999998</v>
      </c>
      <c r="M727">
        <v>0.99984490000000004</v>
      </c>
      <c r="N727">
        <v>0</v>
      </c>
      <c r="O727">
        <v>-9.8270379999999997E-3</v>
      </c>
      <c r="P727">
        <v>0.9994847</v>
      </c>
      <c r="Q727">
        <v>1.0730129999999999E-2</v>
      </c>
      <c r="R727">
        <v>-3.0257880000000001E-2</v>
      </c>
      <c r="S727">
        <v>2.9940799999999999</v>
      </c>
      <c r="T727">
        <v>-0.105554</v>
      </c>
      <c r="U727">
        <v>-0.2834778</v>
      </c>
      <c r="V727">
        <v>2.0447199999999999E-2</v>
      </c>
      <c r="W727">
        <v>2.5333379999999999E-2</v>
      </c>
      <c r="X727">
        <v>0.99946990000000002</v>
      </c>
      <c r="Y727">
        <v>8.4423120000000004E-2</v>
      </c>
      <c r="Z727">
        <v>-1.1387999999999999E-3</v>
      </c>
      <c r="AA727">
        <v>0.99642929999999996</v>
      </c>
      <c r="AB727">
        <v>39</v>
      </c>
      <c r="AC727">
        <v>29.6891</v>
      </c>
      <c r="AD727">
        <v>-1.0598483167749999</v>
      </c>
      <c r="AE727">
        <v>-2.8424999999999701</v>
      </c>
      <c r="AF727">
        <v>2.5473588624478301</v>
      </c>
      <c r="AG727">
        <v>-1.0598483167749999</v>
      </c>
      <c r="AH727">
        <v>29.6781252644342</v>
      </c>
      <c r="AI727">
        <v>92.037758876345507</v>
      </c>
      <c r="AJ727">
        <v>85.094162415739305</v>
      </c>
      <c r="AK727">
        <v>29.8060972762304</v>
      </c>
      <c r="AL727">
        <v>88.548348906558402</v>
      </c>
      <c r="AM727">
        <v>88.828003862883605</v>
      </c>
      <c r="AN727">
        <v>0.99999997456803602</v>
      </c>
    </row>
    <row r="728" spans="1:40" x14ac:dyDescent="0.25">
      <c r="A728" t="str">
        <f>"20190312160923551"</f>
        <v>20190312160923551</v>
      </c>
      <c r="B728" t="str">
        <f>"1552378163546039"</f>
        <v>1552378163546039</v>
      </c>
      <c r="C728" t="s">
        <v>40</v>
      </c>
      <c r="D728">
        <v>5.1188019999999996</v>
      </c>
      <c r="E728">
        <v>0.52342299999999997</v>
      </c>
      <c r="F728" t="s">
        <v>41</v>
      </c>
      <c r="G728">
        <v>-258.66660000000002</v>
      </c>
      <c r="H728" s="1">
        <v>-1.6057499999999901E-6</v>
      </c>
      <c r="I728">
        <v>365.23439999999999</v>
      </c>
      <c r="J728">
        <v>-288.935</v>
      </c>
      <c r="K728">
        <v>1.0598529999999999</v>
      </c>
      <c r="L728">
        <v>368.08749999999998</v>
      </c>
      <c r="M728">
        <v>0.99984309999999998</v>
      </c>
      <c r="N728">
        <v>0</v>
      </c>
      <c r="O728">
        <v>-9.9591379999999993E-3</v>
      </c>
      <c r="P728">
        <v>0.99948009999999998</v>
      </c>
      <c r="Q728">
        <v>1.060735E-2</v>
      </c>
      <c r="R728">
        <v>-3.0450330000000001E-2</v>
      </c>
      <c r="S728">
        <v>2.994202</v>
      </c>
      <c r="T728">
        <v>-0.103950399999999</v>
      </c>
      <c r="U728">
        <v>-0.28009030000000001</v>
      </c>
      <c r="V728">
        <v>2.050772E-2</v>
      </c>
      <c r="W728">
        <v>2.5246149999999998E-2</v>
      </c>
      <c r="X728">
        <v>0.99947090000000005</v>
      </c>
      <c r="Y728">
        <v>8.3172380000000004E-2</v>
      </c>
      <c r="Z728">
        <v>-1.0952920000000001E-3</v>
      </c>
      <c r="AA728">
        <v>0.99653460000000005</v>
      </c>
      <c r="AB728">
        <v>39</v>
      </c>
      <c r="AC728">
        <v>30.2683999999999</v>
      </c>
      <c r="AD728">
        <v>-1.05985460575</v>
      </c>
      <c r="AE728">
        <v>-2.85309999999998</v>
      </c>
      <c r="AF728">
        <v>2.5483819861055301</v>
      </c>
      <c r="AG728">
        <v>-1.05985460575</v>
      </c>
      <c r="AH728">
        <v>30.258543793904401</v>
      </c>
      <c r="AI728">
        <v>91.998986393507096</v>
      </c>
      <c r="AJ728">
        <v>85.185896160979695</v>
      </c>
      <c r="AK728">
        <v>30.3841573037672</v>
      </c>
      <c r="AL728">
        <v>88.553348463937297</v>
      </c>
      <c r="AM728">
        <v>88.824537114681604</v>
      </c>
      <c r="AN728">
        <v>1.0000000073081099</v>
      </c>
    </row>
    <row r="729" spans="1:40" x14ac:dyDescent="0.25">
      <c r="A729" t="str">
        <f>"20190312160923570"</f>
        <v>20190312160923570</v>
      </c>
      <c r="B729" t="str">
        <f>"1552378163565559"</f>
        <v>1552378163565559</v>
      </c>
      <c r="C729" t="s">
        <v>40</v>
      </c>
      <c r="D729">
        <v>5.1727509999999999</v>
      </c>
      <c r="E729">
        <v>0.52325140000000003</v>
      </c>
      <c r="F729" t="s">
        <v>41</v>
      </c>
      <c r="G729">
        <v>-257.79109999999997</v>
      </c>
      <c r="H729" s="1">
        <v>-1.9188979999999999E-6</v>
      </c>
      <c r="I729">
        <v>365.17720000000003</v>
      </c>
      <c r="J729">
        <v>-288.60590000000002</v>
      </c>
      <c r="K729">
        <v>1.059858</v>
      </c>
      <c r="L729">
        <v>368.084</v>
      </c>
      <c r="M729">
        <v>0.99984090000000003</v>
      </c>
      <c r="N729">
        <v>0</v>
      </c>
      <c r="O729">
        <v>-1.0126670000000001E-2</v>
      </c>
      <c r="P729">
        <v>0.99946299999999999</v>
      </c>
      <c r="Q729">
        <v>1.0862129999999999E-2</v>
      </c>
      <c r="R729">
        <v>-3.092056E-2</v>
      </c>
      <c r="S729">
        <v>2.9941409999999999</v>
      </c>
      <c r="T729">
        <v>-0.10189289999999999</v>
      </c>
      <c r="U729">
        <v>-0.27978520000000001</v>
      </c>
      <c r="V729">
        <v>2.081061E-2</v>
      </c>
      <c r="W729">
        <v>2.5540259999999999E-2</v>
      </c>
      <c r="X729">
        <v>0.99945720000000005</v>
      </c>
      <c r="Y729">
        <v>8.2908549999999998E-2</v>
      </c>
      <c r="Z729">
        <v>-1.0634869999999999E-3</v>
      </c>
      <c r="AA729">
        <v>0.99655660000000001</v>
      </c>
      <c r="AB729">
        <v>39</v>
      </c>
      <c r="AC729">
        <v>30.814800000000002</v>
      </c>
      <c r="AD729">
        <v>-1.059859918898</v>
      </c>
      <c r="AE729">
        <v>-2.9067999999999699</v>
      </c>
      <c r="AF729">
        <v>2.5915272681371802</v>
      </c>
      <c r="AG729">
        <v>-1.059859918898</v>
      </c>
      <c r="AH729">
        <v>30.806536819583599</v>
      </c>
      <c r="AI729">
        <v>91.963481935413199</v>
      </c>
      <c r="AJ729">
        <v>85.191449086733002</v>
      </c>
      <c r="AK729">
        <v>30.933509782201298</v>
      </c>
      <c r="AL729">
        <v>88.536491815274303</v>
      </c>
      <c r="AM729">
        <v>88.807164678798898</v>
      </c>
      <c r="AN729">
        <v>1.00000004050063</v>
      </c>
    </row>
    <row r="730" spans="1:40" x14ac:dyDescent="0.25">
      <c r="A730" t="str">
        <f>"20190312160923593"</f>
        <v>20190312160923593</v>
      </c>
      <c r="B730" t="str">
        <f>"1552378163586055"</f>
        <v>1552378163586055</v>
      </c>
      <c r="C730" t="s">
        <v>40</v>
      </c>
      <c r="D730">
        <v>5.1575110000000004</v>
      </c>
      <c r="E730">
        <v>0.52313549999999998</v>
      </c>
      <c r="F730" t="s">
        <v>41</v>
      </c>
      <c r="G730">
        <v>-256.84120000000001</v>
      </c>
      <c r="H730" s="1">
        <v>-2.2590349999999998E-6</v>
      </c>
      <c r="I730">
        <v>365.11380000000003</v>
      </c>
      <c r="J730">
        <v>-288.20920000000001</v>
      </c>
      <c r="K730">
        <v>1.0598609999999999</v>
      </c>
      <c r="L730">
        <v>368.07979999999998</v>
      </c>
      <c r="M730">
        <v>0.99983809999999995</v>
      </c>
      <c r="N730">
        <v>0</v>
      </c>
      <c r="O730">
        <v>-1.032843E-2</v>
      </c>
      <c r="P730">
        <v>0.99943599999999999</v>
      </c>
      <c r="Q730">
        <v>1.042043E-2</v>
      </c>
      <c r="R730">
        <v>-3.1925420000000003E-2</v>
      </c>
      <c r="S730">
        <v>2.994049</v>
      </c>
      <c r="T730">
        <v>-9.9899290000000002E-2</v>
      </c>
      <c r="U730">
        <v>-0.2799683</v>
      </c>
      <c r="V730">
        <v>2.1613719999999999E-2</v>
      </c>
      <c r="W730">
        <v>2.5139370000000001E-2</v>
      </c>
      <c r="X730">
        <v>0.99945030000000001</v>
      </c>
      <c r="Y730">
        <v>8.2772490000000004E-2</v>
      </c>
      <c r="Z730">
        <v>-1.0337409999999999E-3</v>
      </c>
      <c r="AA730">
        <v>0.99656789999999995</v>
      </c>
      <c r="AB730">
        <v>39</v>
      </c>
      <c r="AC730">
        <v>31.367999999999899</v>
      </c>
      <c r="AD730">
        <v>-1.0598632590349999</v>
      </c>
      <c r="AE730">
        <v>-2.96599999999995</v>
      </c>
      <c r="AF730">
        <v>2.6388385084911299</v>
      </c>
      <c r="AG730">
        <v>-1.0598632590349999</v>
      </c>
      <c r="AH730">
        <v>31.361477937961201</v>
      </c>
      <c r="AI730">
        <v>91.928767464579195</v>
      </c>
      <c r="AJ730">
        <v>85.190309596634293</v>
      </c>
      <c r="AK730">
        <v>31.490142541039301</v>
      </c>
      <c r="AL730">
        <v>88.559468470079807</v>
      </c>
      <c r="AM730">
        <v>88.761137056301493</v>
      </c>
      <c r="AN730">
        <v>1.0000000214931599</v>
      </c>
    </row>
    <row r="731" spans="1:40" x14ac:dyDescent="0.25">
      <c r="A731" t="str">
        <f>"20190312160923617"</f>
        <v>20190312160923617</v>
      </c>
      <c r="B731" t="str">
        <f>"1552378163605575"</f>
        <v>1552378163605575</v>
      </c>
      <c r="C731" t="s">
        <v>40</v>
      </c>
      <c r="D731">
        <v>5.1509970000000003</v>
      </c>
      <c r="E731">
        <v>0.52289730000000001</v>
      </c>
      <c r="F731" t="s">
        <v>41</v>
      </c>
      <c r="G731">
        <v>-256.61680000000001</v>
      </c>
      <c r="H731" s="1">
        <v>-2.3376529999999998E-6</v>
      </c>
      <c r="I731">
        <v>365.1053</v>
      </c>
      <c r="J731">
        <v>-287.80700000000002</v>
      </c>
      <c r="K731">
        <v>1.059868</v>
      </c>
      <c r="L731">
        <v>368.07549999999998</v>
      </c>
      <c r="M731">
        <v>0.99983540000000004</v>
      </c>
      <c r="N731">
        <v>0</v>
      </c>
      <c r="O731">
        <v>-1.053336E-2</v>
      </c>
      <c r="P731">
        <v>0.99940980000000001</v>
      </c>
      <c r="Q731">
        <v>1.014149E-2</v>
      </c>
      <c r="R731">
        <v>-3.2827820000000001E-2</v>
      </c>
      <c r="S731">
        <v>2.9937130000000001</v>
      </c>
      <c r="T731">
        <v>-0.1004328</v>
      </c>
      <c r="U731">
        <v>-0.28186040000000001</v>
      </c>
      <c r="V731">
        <v>2.2311020000000001E-2</v>
      </c>
      <c r="W731">
        <v>2.489483E-2</v>
      </c>
      <c r="X731">
        <v>0.99944109999999997</v>
      </c>
      <c r="Y731">
        <v>8.3202369999999998E-2</v>
      </c>
      <c r="Z731">
        <v>-1.0396800000000001E-3</v>
      </c>
      <c r="AA731">
        <v>0.99653210000000003</v>
      </c>
      <c r="AB731">
        <v>39</v>
      </c>
      <c r="AC731">
        <v>31.190200000000001</v>
      </c>
      <c r="AD731">
        <v>-1.0598703376530001</v>
      </c>
      <c r="AE731">
        <v>-2.97019999999997</v>
      </c>
      <c r="AF731">
        <v>2.6384424976246899</v>
      </c>
      <c r="AG731">
        <v>-1.0598703376530001</v>
      </c>
      <c r="AH731">
        <v>31.1840742281268</v>
      </c>
      <c r="AI731">
        <v>91.939668987952402</v>
      </c>
      <c r="AJ731">
        <v>85.163799538389696</v>
      </c>
      <c r="AK731">
        <v>31.313434647308</v>
      </c>
      <c r="AL731">
        <v>88.573483968795898</v>
      </c>
      <c r="AM731">
        <v>88.721170262525106</v>
      </c>
      <c r="AN731">
        <v>1.0000000232716799</v>
      </c>
    </row>
    <row r="732" spans="1:40" x14ac:dyDescent="0.25">
      <c r="A732" t="str">
        <f>"20190312160923638"</f>
        <v>20190312160923638</v>
      </c>
      <c r="B732" t="str">
        <f>"1552378163626071"</f>
        <v>1552378163626071</v>
      </c>
      <c r="C732" t="s">
        <v>40</v>
      </c>
      <c r="D732">
        <v>5.2101110000000004</v>
      </c>
      <c r="E732">
        <v>0.52268779999999904</v>
      </c>
      <c r="F732" t="s">
        <v>41</v>
      </c>
      <c r="G732">
        <v>-256.22239999999999</v>
      </c>
      <c r="H732" s="1">
        <v>-2.473811E-6</v>
      </c>
      <c r="I732">
        <v>365.09800000000001</v>
      </c>
      <c r="J732">
        <v>-287.43880000000001</v>
      </c>
      <c r="K732">
        <v>1.059879</v>
      </c>
      <c r="L732">
        <v>368.07139999999998</v>
      </c>
      <c r="M732">
        <v>0.99983310000000003</v>
      </c>
      <c r="N732">
        <v>0</v>
      </c>
      <c r="O732">
        <v>-1.072119E-2</v>
      </c>
      <c r="P732">
        <v>0.99937220000000004</v>
      </c>
      <c r="Q732">
        <v>1.030445E-2</v>
      </c>
      <c r="R732">
        <v>-3.3900779999999998E-2</v>
      </c>
      <c r="S732">
        <v>2.9935299999999998</v>
      </c>
      <c r="T732">
        <v>-0.100452399999999</v>
      </c>
      <c r="U732">
        <v>-0.282196</v>
      </c>
      <c r="V732">
        <v>2.319688E-2</v>
      </c>
      <c r="W732">
        <v>2.5084550000000001E-2</v>
      </c>
      <c r="X732">
        <v>0.99941619999999998</v>
      </c>
      <c r="Y732">
        <v>8.3131750000000004E-2</v>
      </c>
      <c r="Z732">
        <v>-1.0324729999999999E-3</v>
      </c>
      <c r="AA732">
        <v>0.99653800000000003</v>
      </c>
      <c r="AB732">
        <v>39</v>
      </c>
      <c r="AC732">
        <v>31.2164</v>
      </c>
      <c r="AD732">
        <v>-1.0598814738110001</v>
      </c>
      <c r="AE732">
        <v>-2.9733999999999599</v>
      </c>
      <c r="AF732">
        <v>2.6355046327855498</v>
      </c>
      <c r="AG732">
        <v>-1.0598814738110001</v>
      </c>
      <c r="AH732">
        <v>31.210831429674901</v>
      </c>
      <c r="AI732">
        <v>91.938054803595506</v>
      </c>
      <c r="AJ732">
        <v>85.173281003231295</v>
      </c>
      <c r="AK732">
        <v>31.339834586984399</v>
      </c>
      <c r="AL732">
        <v>88.562610435404906</v>
      </c>
      <c r="AM732">
        <v>88.670379038020897</v>
      </c>
      <c r="AN732">
        <v>1.00000003535643</v>
      </c>
    </row>
    <row r="733" spans="1:40" x14ac:dyDescent="0.25">
      <c r="A733" t="str">
        <f>"20190312160923659"</f>
        <v>20190312160923659</v>
      </c>
      <c r="B733" t="str">
        <f>"1552378163656326"</f>
        <v>1552378163656326</v>
      </c>
      <c r="C733" t="s">
        <v>40</v>
      </c>
      <c r="D733">
        <v>5.2079800000000001</v>
      </c>
      <c r="E733">
        <v>0.52252449999999995</v>
      </c>
      <c r="F733" t="s">
        <v>41</v>
      </c>
      <c r="G733">
        <v>-255.61189999999999</v>
      </c>
      <c r="H733" s="1">
        <v>-2.6936279999999999E-6</v>
      </c>
      <c r="I733">
        <v>365.05270000000002</v>
      </c>
      <c r="J733">
        <v>-287.06479999999999</v>
      </c>
      <c r="K733">
        <v>1.059882</v>
      </c>
      <c r="L733">
        <v>368.06720000000001</v>
      </c>
      <c r="M733">
        <v>0.99983060000000001</v>
      </c>
      <c r="N733">
        <v>0</v>
      </c>
      <c r="O733">
        <v>-1.091113E-2</v>
      </c>
      <c r="P733">
        <v>0.99934140000000005</v>
      </c>
      <c r="Q733">
        <v>1.0556650000000001E-2</v>
      </c>
      <c r="R733">
        <v>-3.4720649999999999E-2</v>
      </c>
      <c r="S733">
        <v>2.9932859999999999</v>
      </c>
      <c r="T733">
        <v>-9.9680660000000004E-2</v>
      </c>
      <c r="U733">
        <v>-0.28390500000000002</v>
      </c>
      <c r="V733">
        <v>2.3827149999999998E-2</v>
      </c>
      <c r="W733">
        <v>2.53596E-2</v>
      </c>
      <c r="X733">
        <v>0.99939440000000002</v>
      </c>
      <c r="Y733">
        <v>8.3514439999999995E-2</v>
      </c>
      <c r="Z733">
        <v>-1.0246490000000001E-3</v>
      </c>
      <c r="AA733">
        <v>0.996506</v>
      </c>
      <c r="AB733">
        <v>39</v>
      </c>
      <c r="AC733">
        <v>31.4529</v>
      </c>
      <c r="AD733">
        <v>-1.059884693628</v>
      </c>
      <c r="AE733">
        <v>-3.0144999999999902</v>
      </c>
      <c r="AF733">
        <v>2.6680940184200401</v>
      </c>
      <c r="AG733">
        <v>-1.059884693628</v>
      </c>
      <c r="AH733">
        <v>31.448536978950099</v>
      </c>
      <c r="AI733">
        <v>91.923358503242298</v>
      </c>
      <c r="AJ733">
        <v>85.150638514414098</v>
      </c>
      <c r="AK733">
        <v>31.579305872221202</v>
      </c>
      <c r="AL733">
        <v>88.546846171985294</v>
      </c>
      <c r="AM733">
        <v>88.634236341201699</v>
      </c>
      <c r="AN733">
        <v>1.0000000045703199</v>
      </c>
    </row>
    <row r="734" spans="1:40" x14ac:dyDescent="0.25">
      <c r="A734" t="str">
        <f>"20190312160923683"</f>
        <v>20190312160923683</v>
      </c>
      <c r="B734" t="str">
        <f>"1552378163675848"</f>
        <v>1552378163675848</v>
      </c>
      <c r="C734" t="s">
        <v>40</v>
      </c>
      <c r="D734">
        <v>5.2033620000000003</v>
      </c>
      <c r="E734">
        <v>0.52230540000000003</v>
      </c>
      <c r="F734" t="s">
        <v>41</v>
      </c>
      <c r="G734">
        <v>-254.48750000000001</v>
      </c>
      <c r="H734" s="1">
        <v>-3.1719760000000001E-6</v>
      </c>
      <c r="I734">
        <v>364.9665</v>
      </c>
      <c r="J734">
        <v>-286.65530000000001</v>
      </c>
      <c r="K734">
        <v>1.0598939999999999</v>
      </c>
      <c r="L734">
        <v>368.06259999999997</v>
      </c>
      <c r="M734">
        <v>0.9998281</v>
      </c>
      <c r="N734">
        <v>0</v>
      </c>
      <c r="O734">
        <v>-1.112002E-2</v>
      </c>
      <c r="P734">
        <v>0.99931000000000003</v>
      </c>
      <c r="Q734">
        <v>1.075834E-2</v>
      </c>
      <c r="R734">
        <v>-3.5558800000000002E-2</v>
      </c>
      <c r="S734">
        <v>2.9930729999999999</v>
      </c>
      <c r="T734">
        <v>-9.7377779999999997E-2</v>
      </c>
      <c r="U734">
        <v>-0.28488160000000001</v>
      </c>
      <c r="V734">
        <v>2.4456720000000001E-2</v>
      </c>
      <c r="W734">
        <v>2.5582690000000002E-2</v>
      </c>
      <c r="X734">
        <v>0.99937350000000003</v>
      </c>
      <c r="Y734">
        <v>8.3637009999999998E-2</v>
      </c>
      <c r="Z734">
        <v>-9.9625670000000007E-4</v>
      </c>
      <c r="AA734">
        <v>0.99649580000000004</v>
      </c>
      <c r="AB734">
        <v>39</v>
      </c>
      <c r="AC734">
        <v>32.1678</v>
      </c>
      <c r="AD734">
        <v>-1.059897171976</v>
      </c>
      <c r="AE734">
        <v>-3.0960999999999701</v>
      </c>
      <c r="AF734">
        <v>2.7352203724433801</v>
      </c>
      <c r="AG734">
        <v>-1.059897171976</v>
      </c>
      <c r="AH734">
        <v>32.165643433871097</v>
      </c>
      <c r="AI734">
        <v>91.880501101775195</v>
      </c>
      <c r="AJ734">
        <v>85.139519798868605</v>
      </c>
      <c r="AK734">
        <v>32.299124291781098</v>
      </c>
      <c r="AL734">
        <v>88.534059899761502</v>
      </c>
      <c r="AM734">
        <v>88.598134524916802</v>
      </c>
      <c r="AN734">
        <v>0.99999999884152202</v>
      </c>
    </row>
    <row r="735" spans="1:40" x14ac:dyDescent="0.25">
      <c r="A735" t="str">
        <f>"20190312160923705"</f>
        <v>20190312160923705</v>
      </c>
      <c r="B735" t="str">
        <f>"1552378163695370"</f>
        <v>1552378163695370</v>
      </c>
      <c r="C735" t="s">
        <v>40</v>
      </c>
      <c r="D735">
        <v>5.2180150000000003</v>
      </c>
      <c r="E735">
        <v>0.52212269999999905</v>
      </c>
      <c r="F735" t="s">
        <v>41</v>
      </c>
      <c r="G735">
        <v>-253.6088</v>
      </c>
      <c r="H735" s="1">
        <v>-3.5592519999999999E-6</v>
      </c>
      <c r="I735">
        <v>364.9083</v>
      </c>
      <c r="J735">
        <v>-286.27960000000002</v>
      </c>
      <c r="K735">
        <v>1.059898</v>
      </c>
      <c r="L735">
        <v>368.0582</v>
      </c>
      <c r="M735">
        <v>0.99982570000000004</v>
      </c>
      <c r="N735">
        <v>0</v>
      </c>
      <c r="O735">
        <v>-1.1312040000000001E-2</v>
      </c>
      <c r="P735">
        <v>0.99930629999999998</v>
      </c>
      <c r="Q735">
        <v>1.079165E-2</v>
      </c>
      <c r="R735">
        <v>-3.564341E-2</v>
      </c>
      <c r="S735">
        <v>2.9929199999999998</v>
      </c>
      <c r="T735">
        <v>-9.5991489999999999E-2</v>
      </c>
      <c r="U735">
        <v>-0.28567500000000001</v>
      </c>
      <c r="V735">
        <v>2.434977E-2</v>
      </c>
      <c r="W735">
        <v>2.563226E-2</v>
      </c>
      <c r="X735">
        <v>0.99937489999999995</v>
      </c>
      <c r="Y735">
        <v>8.3713369999999995E-2</v>
      </c>
      <c r="Z735">
        <v>-9.7719769999999998E-4</v>
      </c>
      <c r="AA735">
        <v>0.99648939999999997</v>
      </c>
      <c r="AB735">
        <v>39</v>
      </c>
      <c r="AC735">
        <v>32.6708</v>
      </c>
      <c r="AD735">
        <v>-1.059901559252</v>
      </c>
      <c r="AE735">
        <v>-3.1499000000000001</v>
      </c>
      <c r="AF735">
        <v>2.7771882468715599</v>
      </c>
      <c r="AG735">
        <v>-1.059901559252</v>
      </c>
      <c r="AH735">
        <v>32.670276933855497</v>
      </c>
      <c r="AI735">
        <v>91.851486943592207</v>
      </c>
      <c r="AJ735">
        <v>85.141163237080306</v>
      </c>
      <c r="AK735">
        <v>32.805230692812998</v>
      </c>
      <c r="AL735">
        <v>88.531218902334402</v>
      </c>
      <c r="AM735">
        <v>88.6042644505781</v>
      </c>
      <c r="AN735">
        <v>1.00000005740088</v>
      </c>
    </row>
    <row r="736" spans="1:40" x14ac:dyDescent="0.25">
      <c r="A736" t="str">
        <f>"20190312160923727"</f>
        <v>20190312160923727</v>
      </c>
      <c r="B736" t="str">
        <f>"1552378163715863"</f>
        <v>1552378163715863</v>
      </c>
      <c r="C736" t="s">
        <v>40</v>
      </c>
      <c r="D736">
        <v>5.236135</v>
      </c>
      <c r="E736">
        <v>0.52194830000000003</v>
      </c>
      <c r="F736" t="s">
        <v>41</v>
      </c>
      <c r="G736">
        <v>-252.87629999999999</v>
      </c>
      <c r="H736" s="1">
        <v>-3.8782399999999998E-6</v>
      </c>
      <c r="I736">
        <v>364.88139999999999</v>
      </c>
      <c r="J736">
        <v>-285.89229999999998</v>
      </c>
      <c r="K736">
        <v>1.059903</v>
      </c>
      <c r="L736">
        <v>368.05360000000002</v>
      </c>
      <c r="M736">
        <v>0.99982320000000002</v>
      </c>
      <c r="N736">
        <v>0</v>
      </c>
      <c r="O736">
        <v>-1.1509899999999899E-2</v>
      </c>
      <c r="P736">
        <v>0.99929979999999996</v>
      </c>
      <c r="Q736">
        <v>1.073787E-2</v>
      </c>
      <c r="R736">
        <v>-3.5847459999999998E-2</v>
      </c>
      <c r="S736">
        <v>2.99295</v>
      </c>
      <c r="T736">
        <v>-9.4967599999999999E-2</v>
      </c>
      <c r="U736">
        <v>-0.28463749999999999</v>
      </c>
      <c r="V736">
        <v>2.4355709999999999E-2</v>
      </c>
      <c r="W736">
        <v>2.5592219999999999E-2</v>
      </c>
      <c r="X736">
        <v>0.99937569999999998</v>
      </c>
      <c r="Y736">
        <v>8.3173979999999995E-2</v>
      </c>
      <c r="Z736">
        <v>-9.5198820000000003E-4</v>
      </c>
      <c r="AA736">
        <v>0.99653460000000005</v>
      </c>
      <c r="AB736">
        <v>39</v>
      </c>
      <c r="AC736">
        <v>33.015999999999899</v>
      </c>
      <c r="AD736">
        <v>-1.0599068782400001</v>
      </c>
      <c r="AE736">
        <v>-3.1722000000000299</v>
      </c>
      <c r="AF736">
        <v>2.7890888311594502</v>
      </c>
      <c r="AG736">
        <v>-1.0599068782400001</v>
      </c>
      <c r="AH736">
        <v>33.016612848799703</v>
      </c>
      <c r="AI736">
        <v>91.832169644466106</v>
      </c>
      <c r="AJ736">
        <v>85.171384890023106</v>
      </c>
      <c r="AK736">
        <v>33.151155984462498</v>
      </c>
      <c r="AL736">
        <v>88.533513658704805</v>
      </c>
      <c r="AM736">
        <v>88.603925219984006</v>
      </c>
      <c r="AN736">
        <v>0.99999997604231095</v>
      </c>
    </row>
    <row r="737" spans="1:40" x14ac:dyDescent="0.25">
      <c r="A737" t="str">
        <f>"20190312160923750"</f>
        <v>20190312160923750</v>
      </c>
      <c r="B737" t="str">
        <f>"1552378163746120"</f>
        <v>1552378163746120</v>
      </c>
      <c r="C737" t="s">
        <v>40</v>
      </c>
      <c r="D737">
        <v>5.2174060000000004</v>
      </c>
      <c r="E737">
        <v>0.52163939999999998</v>
      </c>
      <c r="F737" t="s">
        <v>41</v>
      </c>
      <c r="G737">
        <v>-252.3672</v>
      </c>
      <c r="H737" s="1">
        <v>-4.0974550000000004E-6</v>
      </c>
      <c r="I737">
        <v>364.87689999999998</v>
      </c>
      <c r="J737">
        <v>-285.50630000000001</v>
      </c>
      <c r="K737">
        <v>1.059914</v>
      </c>
      <c r="L737">
        <v>368.0489</v>
      </c>
      <c r="M737">
        <v>0.99982059999999995</v>
      </c>
      <c r="N737">
        <v>0</v>
      </c>
      <c r="O737">
        <v>-1.1706899999999999E-2</v>
      </c>
      <c r="P737">
        <v>0.99929849999999998</v>
      </c>
      <c r="Q737">
        <v>1.062899E-2</v>
      </c>
      <c r="R737">
        <v>-3.5907999999999898E-2</v>
      </c>
      <c r="S737">
        <v>2.99295</v>
      </c>
      <c r="T737">
        <v>-9.4622849999999994E-2</v>
      </c>
      <c r="U737">
        <v>-0.28359990000000002</v>
      </c>
      <c r="V737">
        <v>2.4219439999999998E-2</v>
      </c>
      <c r="W737">
        <v>2.5495449999999999E-2</v>
      </c>
      <c r="X737">
        <v>0.99938150000000003</v>
      </c>
      <c r="Y737">
        <v>8.2635829999999993E-2</v>
      </c>
      <c r="Z737">
        <v>-9.3385219999999995E-4</v>
      </c>
      <c r="AA737">
        <v>0.99657929999999995</v>
      </c>
      <c r="AB737">
        <v>39</v>
      </c>
      <c r="AC737">
        <v>33.139099999999999</v>
      </c>
      <c r="AD737">
        <v>-1.059918097455</v>
      </c>
      <c r="AE737">
        <v>-3.1720000000000201</v>
      </c>
      <c r="AF737">
        <v>2.7809644180068198</v>
      </c>
      <c r="AG737">
        <v>-1.059918097455</v>
      </c>
      <c r="AH737">
        <v>33.140373093156803</v>
      </c>
      <c r="AI737">
        <v>91.825436986020094</v>
      </c>
      <c r="AJ737">
        <v>85.203279853652802</v>
      </c>
      <c r="AK737">
        <v>33.273736162642798</v>
      </c>
      <c r="AL737">
        <v>88.539060002873001</v>
      </c>
      <c r="AM737">
        <v>88.611741235447596</v>
      </c>
      <c r="AN737">
        <v>0.99999999089343306</v>
      </c>
    </row>
    <row r="738" spans="1:40" x14ac:dyDescent="0.25">
      <c r="A738" t="str">
        <f>"20190312160923773"</f>
        <v>20190312160923773</v>
      </c>
      <c r="B738" t="str">
        <f>"1552378163765639"</f>
        <v>1552378163765639</v>
      </c>
      <c r="C738" t="s">
        <v>40</v>
      </c>
      <c r="D738">
        <v>5.3325670000000001</v>
      </c>
      <c r="E738">
        <v>0.52158939999999998</v>
      </c>
      <c r="F738" t="s">
        <v>41</v>
      </c>
      <c r="G738">
        <v>-251.8338</v>
      </c>
      <c r="H738" s="1">
        <v>-4.3247030000000002E-6</v>
      </c>
      <c r="I738">
        <v>364.88580000000002</v>
      </c>
      <c r="J738">
        <v>-285.11219999999997</v>
      </c>
      <c r="K738">
        <v>1.059922</v>
      </c>
      <c r="L738">
        <v>368.04410000000001</v>
      </c>
      <c r="M738">
        <v>0.99981819999999999</v>
      </c>
      <c r="N738">
        <v>0</v>
      </c>
      <c r="O738">
        <v>-1.1908180000000001E-2</v>
      </c>
      <c r="P738">
        <v>0.9992723</v>
      </c>
      <c r="Q738">
        <v>1.0896950000000001E-2</v>
      </c>
      <c r="R738">
        <v>-3.6557829999999999E-2</v>
      </c>
      <c r="S738">
        <v>2.9930110000000001</v>
      </c>
      <c r="T738">
        <v>-9.4211580000000003E-2</v>
      </c>
      <c r="U738">
        <v>-0.28115839999999998</v>
      </c>
      <c r="V738">
        <v>2.466819E-2</v>
      </c>
      <c r="W738">
        <v>2.5772409999999999E-2</v>
      </c>
      <c r="X738">
        <v>0.99936340000000001</v>
      </c>
      <c r="Y738">
        <v>8.1628430000000002E-2</v>
      </c>
      <c r="Z738">
        <v>-9.0767609999999998E-4</v>
      </c>
      <c r="AA738">
        <v>0.99666239999999995</v>
      </c>
      <c r="AB738">
        <v>39</v>
      </c>
      <c r="AC738">
        <v>33.278399999999898</v>
      </c>
      <c r="AD738">
        <v>-1.059926324703</v>
      </c>
      <c r="AE738">
        <v>-3.1582999999999899</v>
      </c>
      <c r="AF738">
        <v>2.75897305685795</v>
      </c>
      <c r="AG738">
        <v>-1.059926324703</v>
      </c>
      <c r="AH738">
        <v>33.280194251793603</v>
      </c>
      <c r="AI738">
        <v>91.817939459227404</v>
      </c>
      <c r="AJ738">
        <v>85.260939270086894</v>
      </c>
      <c r="AK738">
        <v>33.411176357311703</v>
      </c>
      <c r="AL738">
        <v>88.523186117980202</v>
      </c>
      <c r="AM738">
        <v>88.5860036256028</v>
      </c>
      <c r="AN738">
        <v>0.99999997098732096</v>
      </c>
    </row>
    <row r="739" spans="1:40" x14ac:dyDescent="0.25">
      <c r="A739" t="str">
        <f>"20190312160923793"</f>
        <v>20190312160923793</v>
      </c>
      <c r="B739" t="str">
        <f>"1552378163786135"</f>
        <v>1552378163786135</v>
      </c>
      <c r="C739" t="s">
        <v>40</v>
      </c>
      <c r="D739">
        <v>5.3653089999999999</v>
      </c>
      <c r="E739">
        <v>0.52196799999999999</v>
      </c>
      <c r="F739" t="s">
        <v>41</v>
      </c>
      <c r="G739">
        <v>-250.93899999999999</v>
      </c>
      <c r="H739" s="1">
        <v>-4.7208099999999996E-6</v>
      </c>
      <c r="I739">
        <v>364.81670000000003</v>
      </c>
      <c r="J739">
        <v>-284.74149999999997</v>
      </c>
      <c r="K739">
        <v>1.0599289999999999</v>
      </c>
      <c r="L739">
        <v>368.03960000000001</v>
      </c>
      <c r="M739">
        <v>0.99981580000000003</v>
      </c>
      <c r="N739">
        <v>0</v>
      </c>
      <c r="O739">
        <v>-1.209728E-2</v>
      </c>
      <c r="P739">
        <v>0.99923490000000004</v>
      </c>
      <c r="Q739">
        <v>1.1307029999999999E-2</v>
      </c>
      <c r="R739">
        <v>-3.7440969999999997E-2</v>
      </c>
      <c r="S739">
        <v>2.9928889999999999</v>
      </c>
      <c r="T739">
        <v>-9.2828389999999997E-2</v>
      </c>
      <c r="U739">
        <v>-0.28265380000000001</v>
      </c>
      <c r="V739">
        <v>2.5362900000000001E-2</v>
      </c>
      <c r="W739">
        <v>2.618854E-2</v>
      </c>
      <c r="X739">
        <v>0.99933519999999998</v>
      </c>
      <c r="Y739">
        <v>8.1938230000000001E-2</v>
      </c>
      <c r="Z739">
        <v>-8.9331509999999905E-4</v>
      </c>
      <c r="AA739">
        <v>0.996637</v>
      </c>
      <c r="AB739">
        <v>38</v>
      </c>
      <c r="AC739">
        <v>33.802499999999903</v>
      </c>
      <c r="AD739">
        <v>-1.0599337208099999</v>
      </c>
      <c r="AE739">
        <v>-3.2228999999999801</v>
      </c>
      <c r="AF739">
        <v>2.8109614511687102</v>
      </c>
      <c r="AG739">
        <v>-1.0599337208099999</v>
      </c>
      <c r="AH739">
        <v>33.806078553601601</v>
      </c>
      <c r="AI739">
        <v>91.789654164969093</v>
      </c>
      <c r="AJ739">
        <v>85.246813782813007</v>
      </c>
      <c r="AK739">
        <v>33.939297443299402</v>
      </c>
      <c r="AL739">
        <v>88.499335585886499</v>
      </c>
      <c r="AM739">
        <v>88.546158254451896</v>
      </c>
      <c r="AN739">
        <v>0.99999997914139005</v>
      </c>
    </row>
    <row r="740" spans="1:40" x14ac:dyDescent="0.25">
      <c r="A740" t="str">
        <f>"20190312160923817"</f>
        <v>20190312160923817</v>
      </c>
      <c r="B740" t="str">
        <f>"1552378163805655"</f>
        <v>1552378163805655</v>
      </c>
      <c r="C740" t="s">
        <v>40</v>
      </c>
      <c r="D740">
        <v>5.3351379999999997</v>
      </c>
      <c r="E740">
        <v>0.52236380000000004</v>
      </c>
      <c r="F740" t="s">
        <v>41</v>
      </c>
      <c r="G740">
        <v>-250.14840000000001</v>
      </c>
      <c r="H740" s="1">
        <v>-5.079559E-6</v>
      </c>
      <c r="I740">
        <v>364.70650000000001</v>
      </c>
      <c r="J740">
        <v>-284.3544</v>
      </c>
      <c r="K740">
        <v>1.0599270000000001</v>
      </c>
      <c r="L740">
        <v>368.03460000000001</v>
      </c>
      <c r="M740">
        <v>0.99981330000000002</v>
      </c>
      <c r="N740">
        <v>0</v>
      </c>
      <c r="O740">
        <v>-1.229447E-2</v>
      </c>
      <c r="P740">
        <v>0.99919290000000005</v>
      </c>
      <c r="Q740">
        <v>1.11054E-2</v>
      </c>
      <c r="R740">
        <v>-3.8606330000000001E-2</v>
      </c>
      <c r="S740">
        <v>2.9925229999999998</v>
      </c>
      <c r="T740">
        <v>-9.169078E-2</v>
      </c>
      <c r="U740">
        <v>-0.28833009999999998</v>
      </c>
      <c r="V740">
        <v>2.6331340000000002E-2</v>
      </c>
      <c r="W740">
        <v>2.599216E-2</v>
      </c>
      <c r="X740">
        <v>0.99931530000000002</v>
      </c>
      <c r="Y740">
        <v>8.362646E-2</v>
      </c>
      <c r="Z740">
        <v>-9.0217439999999997E-4</v>
      </c>
      <c r="AA740">
        <v>0.99649670000000001</v>
      </c>
      <c r="AB740">
        <v>38</v>
      </c>
      <c r="AC740">
        <v>34.205999999999896</v>
      </c>
      <c r="AD740">
        <v>-1.0599320795589999</v>
      </c>
      <c r="AE740">
        <v>-3.3281000000000001</v>
      </c>
      <c r="AF740">
        <v>2.90449435621841</v>
      </c>
      <c r="AG740">
        <v>-1.0599320795589999</v>
      </c>
      <c r="AH740">
        <v>34.211794572353497</v>
      </c>
      <c r="AI740">
        <v>91.768183849607993</v>
      </c>
      <c r="AJ740">
        <v>85.147370272088395</v>
      </c>
      <c r="AK740">
        <v>34.351221686273398</v>
      </c>
      <c r="AL740">
        <v>88.510591194410793</v>
      </c>
      <c r="AM740">
        <v>88.4906408980479</v>
      </c>
      <c r="AN740">
        <v>1.00000000033087</v>
      </c>
    </row>
    <row r="741" spans="1:40" x14ac:dyDescent="0.25">
      <c r="A741" t="str">
        <f>"20190312160923838"</f>
        <v>20190312160923838</v>
      </c>
      <c r="B741" t="str">
        <f>"1552378163826151"</f>
        <v>1552378163826151</v>
      </c>
      <c r="C741" t="s">
        <v>40</v>
      </c>
      <c r="D741">
        <v>5.2287210000000002</v>
      </c>
      <c r="E741">
        <v>0.52265589999999995</v>
      </c>
      <c r="F741" t="s">
        <v>41</v>
      </c>
      <c r="G741">
        <v>-250.12989999999999</v>
      </c>
      <c r="H741" s="1">
        <v>-5.0955819999999999E-6</v>
      </c>
      <c r="I741">
        <v>364.66079999999999</v>
      </c>
      <c r="J741">
        <v>-283.9853</v>
      </c>
      <c r="K741">
        <v>1.059933</v>
      </c>
      <c r="L741">
        <v>368.0299</v>
      </c>
      <c r="M741">
        <v>0.99981100000000001</v>
      </c>
      <c r="N741">
        <v>0</v>
      </c>
      <c r="O741">
        <v>-1.2481880000000001E-2</v>
      </c>
      <c r="P741">
        <v>0.99915920000000003</v>
      </c>
      <c r="Q741">
        <v>1.136356E-2</v>
      </c>
      <c r="R741">
        <v>-3.9397660000000001E-2</v>
      </c>
      <c r="S741">
        <v>2.992035</v>
      </c>
      <c r="T741">
        <v>-9.2663170000000003E-2</v>
      </c>
      <c r="U741">
        <v>-0.2949524</v>
      </c>
      <c r="V741">
        <v>2.6935810000000001E-2</v>
      </c>
      <c r="W741">
        <v>2.6254320000000001E-2</v>
      </c>
      <c r="X741">
        <v>0.99929230000000002</v>
      </c>
      <c r="Y741">
        <v>8.5638270000000002E-2</v>
      </c>
      <c r="Z741">
        <v>-9.3707239999999998E-4</v>
      </c>
      <c r="AA741">
        <v>0.99632589999999999</v>
      </c>
      <c r="AB741">
        <v>38</v>
      </c>
      <c r="AC741">
        <v>33.855400000000003</v>
      </c>
      <c r="AD741">
        <v>-1.0599380955819999</v>
      </c>
      <c r="AE741">
        <v>-3.3691</v>
      </c>
      <c r="AF741">
        <v>2.9433547713775301</v>
      </c>
      <c r="AG741">
        <v>-1.0599380955819999</v>
      </c>
      <c r="AH741">
        <v>33.861954109338299</v>
      </c>
      <c r="AI741">
        <v>91.786141734462902</v>
      </c>
      <c r="AJ741">
        <v>85.032212313916801</v>
      </c>
      <c r="AK741">
        <v>34.006157415673897</v>
      </c>
      <c r="AL741">
        <v>88.495565350307103</v>
      </c>
      <c r="AM741">
        <v>88.455972669934695</v>
      </c>
      <c r="AN741">
        <v>0.99999996400915303</v>
      </c>
    </row>
    <row r="742" spans="1:40" x14ac:dyDescent="0.25">
      <c r="A742" t="str">
        <f>"20190312160923861"</f>
        <v>20190312160923861</v>
      </c>
      <c r="B742" t="str">
        <f>"1552378163855431"</f>
        <v>1552378163855431</v>
      </c>
      <c r="C742" t="s">
        <v>40</v>
      </c>
      <c r="D742">
        <v>5.2884679999999999</v>
      </c>
      <c r="E742">
        <v>0.52302919999999997</v>
      </c>
      <c r="F742" t="s">
        <v>41</v>
      </c>
      <c r="G742">
        <v>-249.7089</v>
      </c>
      <c r="H742" s="1">
        <v>-1.4323259999999999E-6</v>
      </c>
      <c r="I742">
        <v>364.59410000000003</v>
      </c>
      <c r="J742">
        <v>-283.59050000000002</v>
      </c>
      <c r="K742">
        <v>1.0599350000000001</v>
      </c>
      <c r="L742">
        <v>368.02480000000003</v>
      </c>
      <c r="M742">
        <v>0.99980840000000004</v>
      </c>
      <c r="N742">
        <v>0</v>
      </c>
      <c r="O742">
        <v>-1.2682270000000001E-2</v>
      </c>
      <c r="P742">
        <v>0.9991468</v>
      </c>
      <c r="Q742">
        <v>1.1467140000000001E-2</v>
      </c>
      <c r="R742">
        <v>-3.9677820000000003E-2</v>
      </c>
      <c r="S742">
        <v>2.9917910000000001</v>
      </c>
      <c r="T742">
        <v>-9.2515470000000002E-2</v>
      </c>
      <c r="U742">
        <v>-0.2998962</v>
      </c>
      <c r="V742">
        <v>2.701576E-2</v>
      </c>
      <c r="W742">
        <v>2.6361099999999998E-2</v>
      </c>
      <c r="X742">
        <v>0.99928740000000005</v>
      </c>
      <c r="Y742">
        <v>8.7076230000000004E-2</v>
      </c>
      <c r="Z742">
        <v>-9.5157450000000001E-4</v>
      </c>
      <c r="AA742">
        <v>0.99620120000000001</v>
      </c>
      <c r="AB742">
        <v>38</v>
      </c>
      <c r="AC742">
        <v>33.881599999999999</v>
      </c>
      <c r="AD742">
        <v>-1.0599364323260001</v>
      </c>
      <c r="AE742">
        <v>-3.4306999999999999</v>
      </c>
      <c r="AF742">
        <v>2.9977766279943499</v>
      </c>
      <c r="AG742">
        <v>-1.0599364323260001</v>
      </c>
      <c r="AH742">
        <v>33.889558666966401</v>
      </c>
      <c r="AI742">
        <v>91.784446754101097</v>
      </c>
      <c r="AJ742">
        <v>84.944931183069698</v>
      </c>
      <c r="AK742">
        <v>34.038394741727799</v>
      </c>
      <c r="AL742">
        <v>88.489445293264893</v>
      </c>
      <c r="AM742">
        <v>88.451384376414794</v>
      </c>
      <c r="AN742">
        <v>1.00000003334017</v>
      </c>
    </row>
    <row r="743" spans="1:40" x14ac:dyDescent="0.25">
      <c r="A743" t="str">
        <f>"20190312160923883"</f>
        <v>20190312160923883</v>
      </c>
      <c r="B743" t="str">
        <f>"1552378163875928"</f>
        <v>1552378163875928</v>
      </c>
      <c r="C743" t="s">
        <v>40</v>
      </c>
      <c r="D743">
        <v>5.4449889999999996</v>
      </c>
      <c r="E743">
        <v>0.5233508</v>
      </c>
      <c r="F743" t="s">
        <v>41</v>
      </c>
      <c r="G743">
        <v>-249.54140000000001</v>
      </c>
      <c r="H743" s="1">
        <v>-1.503368E-6</v>
      </c>
      <c r="I743">
        <v>364.56880000000001</v>
      </c>
      <c r="J743">
        <v>-283.2122</v>
      </c>
      <c r="K743">
        <v>1.059933</v>
      </c>
      <c r="L743">
        <v>368.01979999999998</v>
      </c>
      <c r="M743">
        <v>0.99980599999999997</v>
      </c>
      <c r="N743">
        <v>0</v>
      </c>
      <c r="O743">
        <v>-1.287454E-2</v>
      </c>
      <c r="P743">
        <v>0.99913779999999996</v>
      </c>
      <c r="Q743">
        <v>1.041186E-2</v>
      </c>
      <c r="R743">
        <v>-4.0190539999999997E-2</v>
      </c>
      <c r="S743">
        <v>2.9916079999999998</v>
      </c>
      <c r="T743">
        <v>-9.312761E-2</v>
      </c>
      <c r="U743">
        <v>-0.30364989999999997</v>
      </c>
      <c r="V743">
        <v>2.733582E-2</v>
      </c>
      <c r="W743">
        <v>2.5308110000000002E-2</v>
      </c>
      <c r="X743">
        <v>0.99930589999999997</v>
      </c>
      <c r="Y743">
        <v>8.8127159999999996E-2</v>
      </c>
      <c r="Z743">
        <v>-9.6821120000000003E-4</v>
      </c>
      <c r="AA743">
        <v>0.99610880000000002</v>
      </c>
      <c r="AB743">
        <v>38</v>
      </c>
      <c r="AC743">
        <v>33.6707999999999</v>
      </c>
      <c r="AD743">
        <v>-1.0599345033679901</v>
      </c>
      <c r="AE743">
        <v>-3.4509999999999601</v>
      </c>
      <c r="AF743">
        <v>3.0142138029251102</v>
      </c>
      <c r="AG743">
        <v>-1.0599345033679901</v>
      </c>
      <c r="AH743">
        <v>33.6794160776086</v>
      </c>
      <c r="AI743">
        <v>91.7954055402313</v>
      </c>
      <c r="AJ743">
        <v>84.885812949786697</v>
      </c>
      <c r="AK743">
        <v>33.830637199583698</v>
      </c>
      <c r="AL743">
        <v>88.549797293420497</v>
      </c>
      <c r="AM743">
        <v>88.433075768721096</v>
      </c>
      <c r="AN743">
        <v>1.0000000146308201</v>
      </c>
    </row>
    <row r="744" spans="1:40" x14ac:dyDescent="0.25">
      <c r="A744" t="str">
        <f>"20190312160923905"</f>
        <v>20190312160923905</v>
      </c>
      <c r="B744" t="str">
        <f>"1552378163895447"</f>
        <v>1552378163895447</v>
      </c>
      <c r="C744" t="s">
        <v>40</v>
      </c>
      <c r="D744">
        <v>5.1211589999999996</v>
      </c>
      <c r="E744">
        <v>0.52357480000000001</v>
      </c>
      <c r="F744" t="s">
        <v>41</v>
      </c>
      <c r="G744">
        <v>-250.60830000000001</v>
      </c>
      <c r="H744" s="1">
        <v>-4.8887259999999998E-6</v>
      </c>
      <c r="I744">
        <v>364.67009999999999</v>
      </c>
      <c r="J744">
        <v>-282.84030000000001</v>
      </c>
      <c r="K744">
        <v>1.0599350000000001</v>
      </c>
      <c r="L744">
        <v>368.01490000000001</v>
      </c>
      <c r="M744">
        <v>0.99980340000000001</v>
      </c>
      <c r="N744">
        <v>0</v>
      </c>
      <c r="O744">
        <v>-1.306324E-2</v>
      </c>
      <c r="P744">
        <v>0.99911280000000002</v>
      </c>
      <c r="Q744">
        <v>9.8699909999999998E-3</v>
      </c>
      <c r="R744">
        <v>-4.0940160000000003E-2</v>
      </c>
      <c r="S744">
        <v>2.9912109999999998</v>
      </c>
      <c r="T744">
        <v>-9.7242469999999998E-2</v>
      </c>
      <c r="U744">
        <v>-0.30731199999999997</v>
      </c>
      <c r="V744">
        <v>2.78967E-2</v>
      </c>
      <c r="W744">
        <v>2.4767069999999999E-2</v>
      </c>
      <c r="X744">
        <v>0.99930390000000002</v>
      </c>
      <c r="Y744">
        <v>8.9155609999999996E-2</v>
      </c>
      <c r="Z744">
        <v>-1.0215949999999999E-3</v>
      </c>
      <c r="AA744">
        <v>0.99601719999999905</v>
      </c>
      <c r="AB744">
        <v>38</v>
      </c>
      <c r="AC744">
        <v>32.231999999999999</v>
      </c>
      <c r="AD744">
        <v>-1.0599398887260001</v>
      </c>
      <c r="AE744">
        <v>-3.3448000000000202</v>
      </c>
      <c r="AF744">
        <v>2.9202889610844598</v>
      </c>
      <c r="AG744">
        <v>-1.0599398887260001</v>
      </c>
      <c r="AH744">
        <v>32.238456524820897</v>
      </c>
      <c r="AI744">
        <v>91.875426132692596</v>
      </c>
      <c r="AJ744">
        <v>84.824044210750202</v>
      </c>
      <c r="AK744">
        <v>32.387800778791899</v>
      </c>
      <c r="AL744">
        <v>88.580806244063993</v>
      </c>
      <c r="AM744">
        <v>88.400938734113694</v>
      </c>
      <c r="AN744">
        <v>0.99999995909124095</v>
      </c>
    </row>
    <row r="745" spans="1:40" x14ac:dyDescent="0.25">
      <c r="A745" t="str">
        <f>"20190312160923927"</f>
        <v>20190312160923927</v>
      </c>
      <c r="B745" t="str">
        <f>"1552378163925703"</f>
        <v>1552378163925703</v>
      </c>
      <c r="C745" t="s">
        <v>40</v>
      </c>
      <c r="D745">
        <v>5.3505830000000003</v>
      </c>
      <c r="E745">
        <v>0.54607589999999995</v>
      </c>
      <c r="F745" t="s">
        <v>41</v>
      </c>
      <c r="G745">
        <v>-250.90940000000001</v>
      </c>
      <c r="H745" s="1">
        <v>-4.7558929999999997E-6</v>
      </c>
      <c r="I745">
        <v>364.69060000000002</v>
      </c>
      <c r="J745">
        <v>-282.45729999999998</v>
      </c>
      <c r="K745">
        <v>1.0599400000000001</v>
      </c>
      <c r="L745">
        <v>368.00959999999998</v>
      </c>
      <c r="M745">
        <v>0.99980080000000005</v>
      </c>
      <c r="N745">
        <v>0</v>
      </c>
      <c r="O745">
        <v>-1.325717E-2</v>
      </c>
      <c r="P745">
        <v>0.99907860000000004</v>
      </c>
      <c r="Q745">
        <v>1.0103819999999999E-2</v>
      </c>
      <c r="R745">
        <v>-4.171482E-2</v>
      </c>
      <c r="S745">
        <v>2.9908450000000002</v>
      </c>
      <c r="T745">
        <v>-9.9280240000000006E-2</v>
      </c>
      <c r="U745">
        <v>-0.3113708</v>
      </c>
      <c r="V745">
        <v>2.847767E-2</v>
      </c>
      <c r="W745">
        <v>2.500113E-2</v>
      </c>
      <c r="X745">
        <v>0.99928170000000005</v>
      </c>
      <c r="Y745">
        <v>9.0309909999999993E-2</v>
      </c>
      <c r="Z745">
        <v>-1.055732E-3</v>
      </c>
      <c r="AA745">
        <v>0.9959131</v>
      </c>
      <c r="AB745">
        <v>38</v>
      </c>
      <c r="AC745">
        <v>31.547899999999899</v>
      </c>
      <c r="AD745">
        <v>-1.059944755893</v>
      </c>
      <c r="AE745">
        <v>-3.31899999999996</v>
      </c>
      <c r="AF745">
        <v>2.8971912156154001</v>
      </c>
      <c r="AG745">
        <v>-1.059944755893</v>
      </c>
      <c r="AH745">
        <v>31.553903563479601</v>
      </c>
      <c r="AI745">
        <v>91.915878205644802</v>
      </c>
      <c r="AJ745">
        <v>84.753970740522604</v>
      </c>
      <c r="AK745">
        <v>31.7043534852669</v>
      </c>
      <c r="AL745">
        <v>88.567391462240707</v>
      </c>
      <c r="AM745">
        <v>88.367618655663804</v>
      </c>
      <c r="AN745">
        <v>0.99999997507239702</v>
      </c>
    </row>
    <row r="746" spans="1:40" x14ac:dyDescent="0.25">
      <c r="A746" t="str">
        <f>"20190312160923961"</f>
        <v>20190312160923961</v>
      </c>
      <c r="B746" t="str">
        <f>"1552378163955960"</f>
        <v>1552378163955960</v>
      </c>
      <c r="C746" t="s">
        <v>40</v>
      </c>
      <c r="D746">
        <v>5.2761170000000002</v>
      </c>
      <c r="E746">
        <v>0.54830679999999998</v>
      </c>
      <c r="F746" t="s">
        <v>42</v>
      </c>
      <c r="G746">
        <v>-281.51909999999998</v>
      </c>
      <c r="H746">
        <v>0.84975659999999897</v>
      </c>
      <c r="I746">
        <v>367.85359999999997</v>
      </c>
      <c r="J746">
        <v>-281.88</v>
      </c>
      <c r="K746">
        <v>1.059949</v>
      </c>
      <c r="L746">
        <v>368.0016</v>
      </c>
      <c r="M746">
        <v>0.99979700000000005</v>
      </c>
      <c r="N746">
        <v>0</v>
      </c>
      <c r="O746">
        <v>-1.354968E-2</v>
      </c>
      <c r="P746">
        <v>0.99904219999999999</v>
      </c>
      <c r="Q746">
        <v>1.032513E-2</v>
      </c>
      <c r="R746">
        <v>-4.2526920000000003E-2</v>
      </c>
      <c r="S746">
        <v>2.9887999999999999</v>
      </c>
      <c r="T746">
        <v>-0.669601</v>
      </c>
      <c r="U746">
        <v>-0.49606319999999998</v>
      </c>
      <c r="V746">
        <v>2.8997950000000002E-2</v>
      </c>
      <c r="W746">
        <v>2.5221839999999999E-2</v>
      </c>
      <c r="X746">
        <v>0.99926119999999996</v>
      </c>
      <c r="Y746">
        <v>0.14712910000000001</v>
      </c>
      <c r="Z746">
        <v>-1.319447E-2</v>
      </c>
      <c r="AA746">
        <v>0.9890293</v>
      </c>
      <c r="AB746">
        <v>38</v>
      </c>
      <c r="AC746">
        <v>0.36090000000001499</v>
      </c>
      <c r="AD746">
        <v>-0.2101924</v>
      </c>
      <c r="AE746">
        <v>-0.148000000000024</v>
      </c>
      <c r="AF746">
        <v>0.11089502768684301</v>
      </c>
      <c r="AG746">
        <v>-0.2101924</v>
      </c>
      <c r="AH746">
        <v>0.28121546961875599</v>
      </c>
      <c r="AI746">
        <v>124.812099035469</v>
      </c>
      <c r="AJ746">
        <v>68.478607288062406</v>
      </c>
      <c r="AK746">
        <v>0.36818567671261099</v>
      </c>
      <c r="AL746">
        <v>88.554741734403706</v>
      </c>
      <c r="AM746">
        <v>88.337777950999396</v>
      </c>
      <c r="AN746">
        <v>0.99999998407131296</v>
      </c>
    </row>
    <row r="747" spans="1:40" x14ac:dyDescent="0.25">
      <c r="A747" t="str">
        <f>"20190312160923985"</f>
        <v>20190312160923985</v>
      </c>
      <c r="B747" t="str">
        <f>"1552378163975479"</f>
        <v>1552378163975479</v>
      </c>
      <c r="C747" t="s">
        <v>40</v>
      </c>
      <c r="D747">
        <v>5.4583019999999998</v>
      </c>
      <c r="E747">
        <v>0.54633529999999997</v>
      </c>
      <c r="F747" t="s">
        <v>42</v>
      </c>
      <c r="G747">
        <v>-281.15929999999997</v>
      </c>
      <c r="H747">
        <v>0.89457739999999997</v>
      </c>
      <c r="I747">
        <v>367.87670000000003</v>
      </c>
      <c r="J747">
        <v>-281.49560000000002</v>
      </c>
      <c r="K747">
        <v>1.059952</v>
      </c>
      <c r="L747">
        <v>367.99630000000002</v>
      </c>
      <c r="M747">
        <v>0.99979430000000002</v>
      </c>
      <c r="N747">
        <v>0</v>
      </c>
      <c r="O747">
        <v>-1.3743729999999999E-2</v>
      </c>
      <c r="P747">
        <v>0.99902789999999997</v>
      </c>
      <c r="Q747">
        <v>1.022497E-2</v>
      </c>
      <c r="R747">
        <v>-4.2883829999999998E-2</v>
      </c>
      <c r="S747">
        <v>2.987946</v>
      </c>
      <c r="T747">
        <v>-0.68573059999999997</v>
      </c>
      <c r="U747">
        <v>-0.51712040000000004</v>
      </c>
      <c r="V747">
        <v>2.916094E-2</v>
      </c>
      <c r="W747">
        <v>2.5120779999999999E-2</v>
      </c>
      <c r="X747">
        <v>0.99925900000000001</v>
      </c>
      <c r="Y747">
        <v>0.15344829999999901</v>
      </c>
      <c r="Z747">
        <v>-1.416775E-2</v>
      </c>
      <c r="AA747">
        <v>0.98805509999999996</v>
      </c>
      <c r="AB747">
        <v>38</v>
      </c>
      <c r="AC747">
        <v>0.336300000000051</v>
      </c>
      <c r="AD747">
        <v>-0.16537460000000001</v>
      </c>
      <c r="AE747">
        <v>-0.11959999999999101</v>
      </c>
      <c r="AF747">
        <v>9.4648434633010897E-2</v>
      </c>
      <c r="AG747">
        <v>-0.16537460000000001</v>
      </c>
      <c r="AH747">
        <v>0.27819363756170201</v>
      </c>
      <c r="AI747">
        <v>119.36987772656001</v>
      </c>
      <c r="AJ747">
        <v>71.210411067233593</v>
      </c>
      <c r="AK747">
        <v>0.337192503599132</v>
      </c>
      <c r="AL747">
        <v>88.560533877567096</v>
      </c>
      <c r="AM747">
        <v>88.328436637075995</v>
      </c>
      <c r="AN747">
        <v>0.99999998154524505</v>
      </c>
    </row>
    <row r="748" spans="1:40" x14ac:dyDescent="0.25">
      <c r="A748" t="str">
        <f>"20190312160924005"</f>
        <v>20190312160924005</v>
      </c>
      <c r="B748" t="str">
        <f>"1552378163995976"</f>
        <v>1552378163995976</v>
      </c>
      <c r="C748" t="s">
        <v>40</v>
      </c>
      <c r="D748">
        <v>5.3439969999999999</v>
      </c>
      <c r="E748">
        <v>0.54727590000000004</v>
      </c>
      <c r="F748" t="s">
        <v>42</v>
      </c>
      <c r="G748">
        <v>-280.50369999999998</v>
      </c>
      <c r="H748">
        <v>0.83886620000000001</v>
      </c>
      <c r="I748">
        <v>367.82940000000002</v>
      </c>
      <c r="J748">
        <v>-281.13350000000003</v>
      </c>
      <c r="K748">
        <v>1.0599700000000001</v>
      </c>
      <c r="L748">
        <v>367.99110000000002</v>
      </c>
      <c r="M748">
        <v>0.99979079999999998</v>
      </c>
      <c r="N748">
        <v>0</v>
      </c>
      <c r="O748">
        <v>-1.392497E-2</v>
      </c>
      <c r="P748">
        <v>0.9990097</v>
      </c>
      <c r="Q748">
        <v>9.7847820000000005E-3</v>
      </c>
      <c r="R748">
        <v>-4.3406309999999997E-2</v>
      </c>
      <c r="S748">
        <v>2.9882200000000001</v>
      </c>
      <c r="T748">
        <v>-0.66614960000000001</v>
      </c>
      <c r="U748">
        <v>-0.50189209999999995</v>
      </c>
      <c r="V748">
        <v>2.9502130000000001E-2</v>
      </c>
      <c r="W748">
        <v>2.4752300000000001E-2</v>
      </c>
      <c r="X748">
        <v>0.99925819999999999</v>
      </c>
      <c r="Y748">
        <v>0.14867069999999999</v>
      </c>
      <c r="Z748">
        <v>-1.3215060000000001E-2</v>
      </c>
      <c r="AA748">
        <v>0.98879839999999997</v>
      </c>
      <c r="AB748">
        <v>38</v>
      </c>
      <c r="AC748">
        <v>0.62980000000004499</v>
      </c>
      <c r="AD748">
        <v>-0.22110379999999999</v>
      </c>
      <c r="AE748">
        <v>-0.16169999999999601</v>
      </c>
      <c r="AF748">
        <v>0.13706486533224599</v>
      </c>
      <c r="AG748">
        <v>-0.22110379999999999</v>
      </c>
      <c r="AH748">
        <v>0.56648891843318105</v>
      </c>
      <c r="AI748">
        <v>110.774704715051</v>
      </c>
      <c r="AJ748">
        <v>76.3983973945858</v>
      </c>
      <c r="AK748">
        <v>0.62336455015550996</v>
      </c>
      <c r="AL748">
        <v>88.581652821941503</v>
      </c>
      <c r="AM748">
        <v>88.308888882264299</v>
      </c>
      <c r="AN748">
        <v>1.0000000011485299</v>
      </c>
    </row>
    <row r="749" spans="1:40" x14ac:dyDescent="0.25">
      <c r="A749" t="str">
        <f>"20190312160924029"</f>
        <v>20190312160924029</v>
      </c>
      <c r="B749" t="str">
        <f>"1552378164026232"</f>
        <v>1552378164026232</v>
      </c>
      <c r="C749" t="s">
        <v>40</v>
      </c>
      <c r="D749">
        <v>5.3503869999999996</v>
      </c>
      <c r="E749">
        <v>0.54887430000000004</v>
      </c>
      <c r="F749" t="s">
        <v>42</v>
      </c>
      <c r="G749">
        <v>-280.16899999999998</v>
      </c>
      <c r="H749">
        <v>0.83639789999999903</v>
      </c>
      <c r="I749">
        <v>367.82619999999997</v>
      </c>
      <c r="J749">
        <v>-280.7432</v>
      </c>
      <c r="K749">
        <v>1.0603560000000001</v>
      </c>
      <c r="L749">
        <v>367.9855</v>
      </c>
      <c r="M749">
        <v>0.99977139999999998</v>
      </c>
      <c r="N749">
        <v>0</v>
      </c>
      <c r="O749">
        <v>-1.4089900000000001E-2</v>
      </c>
      <c r="P749">
        <v>0.99902939999999996</v>
      </c>
      <c r="Q749">
        <v>8.1010960000000003E-3</v>
      </c>
      <c r="R749">
        <v>-4.3298969999999999E-2</v>
      </c>
      <c r="S749">
        <v>2.9875790000000002</v>
      </c>
      <c r="T749">
        <v>-0.69264110000000001</v>
      </c>
      <c r="U749">
        <v>-0.51062010000000002</v>
      </c>
      <c r="V749">
        <v>2.9228400000000002E-2</v>
      </c>
      <c r="W749">
        <v>2.416358E-2</v>
      </c>
      <c r="X749">
        <v>0.99928059999999996</v>
      </c>
      <c r="Y749">
        <v>0.15103610000000001</v>
      </c>
      <c r="Z749">
        <v>-1.3958399999999999E-2</v>
      </c>
      <c r="AA749">
        <v>0.98842969999999997</v>
      </c>
      <c r="AB749">
        <v>38</v>
      </c>
      <c r="AC749">
        <v>0.57419999999996196</v>
      </c>
      <c r="AD749">
        <v>-0.22395809999999899</v>
      </c>
      <c r="AE749">
        <v>-0.15930000000003</v>
      </c>
      <c r="AF749">
        <v>0.13247931155880699</v>
      </c>
      <c r="AG749">
        <v>-0.22395809999999899</v>
      </c>
      <c r="AH749">
        <v>0.50504720580376805</v>
      </c>
      <c r="AI749">
        <v>113.215885125352</v>
      </c>
      <c r="AJ749">
        <v>75.301840774165001</v>
      </c>
      <c r="AK749">
        <v>0.56813790459438496</v>
      </c>
      <c r="AL749">
        <v>88.615394013123904</v>
      </c>
      <c r="AM749">
        <v>88.324608091150793</v>
      </c>
      <c r="AN749">
        <v>0.99999994775066603</v>
      </c>
    </row>
    <row r="750" spans="1:40" x14ac:dyDescent="0.25">
      <c r="A750" t="str">
        <f>"20190312160924051"</f>
        <v>20190312160924051</v>
      </c>
      <c r="B750" t="str">
        <f>"1552378164045752"</f>
        <v>1552378164045752</v>
      </c>
      <c r="C750" t="s">
        <v>40</v>
      </c>
      <c r="D750">
        <v>5.2889119999999998</v>
      </c>
      <c r="E750">
        <v>0.54922340000000003</v>
      </c>
      <c r="F750" t="s">
        <v>42</v>
      </c>
      <c r="G750">
        <v>-279.83449999999999</v>
      </c>
      <c r="H750">
        <v>0.84309909999999999</v>
      </c>
      <c r="I750">
        <v>367.82580000000002</v>
      </c>
      <c r="J750">
        <v>-280.37130000000002</v>
      </c>
      <c r="K750">
        <v>1.0610809999999999</v>
      </c>
      <c r="L750">
        <v>367.98009999999999</v>
      </c>
      <c r="M750">
        <v>0.99975380000000003</v>
      </c>
      <c r="N750">
        <v>0</v>
      </c>
      <c r="O750">
        <v>-1.424633E-2</v>
      </c>
      <c r="P750">
        <v>0.99904479999999996</v>
      </c>
      <c r="Q750">
        <v>7.2215389999999999E-3</v>
      </c>
      <c r="R750">
        <v>-4.3097820000000002E-2</v>
      </c>
      <c r="S750">
        <v>2.9860229999999999</v>
      </c>
      <c r="T750">
        <v>-0.714113</v>
      </c>
      <c r="U750">
        <v>-0.52337650000000002</v>
      </c>
      <c r="V750">
        <v>2.8870119999999999E-2</v>
      </c>
      <c r="W750">
        <v>2.4219350000000001E-2</v>
      </c>
      <c r="X750">
        <v>0.99928969999999995</v>
      </c>
      <c r="Y750">
        <v>0.15474849999999901</v>
      </c>
      <c r="Z750">
        <v>-1.4779799999999999E-2</v>
      </c>
      <c r="AA750">
        <v>0.98784329999999998</v>
      </c>
      <c r="AB750">
        <v>38</v>
      </c>
      <c r="AC750">
        <v>0.53680000000002703</v>
      </c>
      <c r="AD750">
        <v>-0.21798189999999901</v>
      </c>
      <c r="AE750">
        <v>-0.15429999999997701</v>
      </c>
      <c r="AF750">
        <v>0.12725339987939599</v>
      </c>
      <c r="AG750">
        <v>-0.21798189999999901</v>
      </c>
      <c r="AH750">
        <v>0.46770611835333797</v>
      </c>
      <c r="AI750">
        <v>114.214279001679</v>
      </c>
      <c r="AJ750">
        <v>74.779414685138406</v>
      </c>
      <c r="AK750">
        <v>0.53146829600045098</v>
      </c>
      <c r="AL750">
        <v>88.612197740330899</v>
      </c>
      <c r="AM750">
        <v>88.345148517379897</v>
      </c>
      <c r="AN750">
        <v>0.99999998263466305</v>
      </c>
    </row>
    <row r="751" spans="1:40" x14ac:dyDescent="0.25">
      <c r="A751" t="str">
        <f>"20190312160924074"</f>
        <v>20190312160924074</v>
      </c>
      <c r="B751" t="str">
        <f>"1552378164066247"</f>
        <v>1552378164066247</v>
      </c>
      <c r="C751" t="s">
        <v>40</v>
      </c>
      <c r="D751">
        <v>5.1414289999999996</v>
      </c>
      <c r="E751">
        <v>0.54857670000000003</v>
      </c>
      <c r="F751" t="s">
        <v>42</v>
      </c>
      <c r="G751">
        <v>-279.50110000000001</v>
      </c>
      <c r="H751">
        <v>0.85037459999999898</v>
      </c>
      <c r="I751">
        <v>367.82679999999999</v>
      </c>
      <c r="J751">
        <v>-280.00189999999998</v>
      </c>
      <c r="K751">
        <v>1.0618339999999999</v>
      </c>
      <c r="L751">
        <v>367.97469999999998</v>
      </c>
      <c r="M751">
        <v>0.9997606</v>
      </c>
      <c r="N751">
        <v>0</v>
      </c>
      <c r="O751">
        <v>-1.440935E-2</v>
      </c>
      <c r="P751">
        <v>0.99903039999999999</v>
      </c>
      <c r="Q751">
        <v>8.3492180000000003E-3</v>
      </c>
      <c r="R751">
        <v>-4.3227059999999998E-2</v>
      </c>
      <c r="S751">
        <v>2.9854129999999999</v>
      </c>
      <c r="T751">
        <v>-0.722881</v>
      </c>
      <c r="U751">
        <v>-0.52557369999999903</v>
      </c>
      <c r="V751">
        <v>2.883728E-2</v>
      </c>
      <c r="W751">
        <v>2.479377E-2</v>
      </c>
      <c r="X751">
        <v>0.99927659999999996</v>
      </c>
      <c r="Y751">
        <v>0.155224</v>
      </c>
      <c r="Z751">
        <v>-1.4976089999999999E-2</v>
      </c>
      <c r="AA751">
        <v>0.98776580000000003</v>
      </c>
      <c r="AB751">
        <v>37</v>
      </c>
      <c r="AC751">
        <v>0.50079999999996905</v>
      </c>
      <c r="AD751">
        <v>-0.21145939999999999</v>
      </c>
      <c r="AE751">
        <v>-0.14789999999999201</v>
      </c>
      <c r="AF751">
        <v>0.120849715581849</v>
      </c>
      <c r="AG751">
        <v>-0.21145939999999999</v>
      </c>
      <c r="AH751">
        <v>0.432031938681048</v>
      </c>
      <c r="AI751">
        <v>115.237293481827</v>
      </c>
      <c r="AJ751">
        <v>74.372416903985197</v>
      </c>
      <c r="AK751">
        <v>0.49595496533967498</v>
      </c>
      <c r="AL751">
        <v>88.579276065494895</v>
      </c>
      <c r="AM751">
        <v>88.347008222133098</v>
      </c>
      <c r="AN751">
        <v>1.00000002152808</v>
      </c>
    </row>
    <row r="752" spans="1:40" x14ac:dyDescent="0.25">
      <c r="A752" t="str">
        <f>"20190312160924095"</f>
        <v>20190312160924095</v>
      </c>
      <c r="B752" t="str">
        <f>"1552378164085771"</f>
        <v>1552378164085771</v>
      </c>
      <c r="C752" t="s">
        <v>40</v>
      </c>
      <c r="D752">
        <v>5.2223069999999998</v>
      </c>
      <c r="E752">
        <v>0.5488558</v>
      </c>
      <c r="F752" t="s">
        <v>42</v>
      </c>
      <c r="G752">
        <v>-279.16340000000002</v>
      </c>
      <c r="H752">
        <v>0.86112149999999998</v>
      </c>
      <c r="I752">
        <v>367.82799999999997</v>
      </c>
      <c r="J752">
        <v>-279.63589999999999</v>
      </c>
      <c r="K752">
        <v>1.06263</v>
      </c>
      <c r="L752">
        <v>367.9692</v>
      </c>
      <c r="M752">
        <v>0.99978820000000002</v>
      </c>
      <c r="N752">
        <v>0</v>
      </c>
      <c r="O752">
        <v>-1.4563380000000001E-2</v>
      </c>
      <c r="P752">
        <v>0.99902080000000004</v>
      </c>
      <c r="Q752">
        <v>1.0242289999999999E-2</v>
      </c>
      <c r="R752">
        <v>-4.3042270000000001E-2</v>
      </c>
      <c r="S752">
        <v>2.9862980000000001</v>
      </c>
      <c r="T752">
        <v>-0.71493229999999997</v>
      </c>
      <c r="U752">
        <v>-0.52108759999999998</v>
      </c>
      <c r="V752">
        <v>2.8499409999999999E-2</v>
      </c>
      <c r="W752">
        <v>2.4767549999999999E-2</v>
      </c>
      <c r="X752">
        <v>0.99928689999999998</v>
      </c>
      <c r="Y752">
        <v>0.1537142</v>
      </c>
      <c r="Z752">
        <v>-1.460058E-2</v>
      </c>
      <c r="AA752">
        <v>0.98800750000000004</v>
      </c>
      <c r="AB752">
        <v>37</v>
      </c>
      <c r="AC752">
        <v>0.472499999999968</v>
      </c>
      <c r="AD752">
        <v>-0.20150850000000001</v>
      </c>
      <c r="AE752">
        <v>-0.14119999999996899</v>
      </c>
      <c r="AF752">
        <v>0.115087170197606</v>
      </c>
      <c r="AG752">
        <v>-0.20150850000000001</v>
      </c>
      <c r="AH752">
        <v>0.40661462886597899</v>
      </c>
      <c r="AI752">
        <v>115.49386093262299</v>
      </c>
      <c r="AJ752">
        <v>74.196500004580997</v>
      </c>
      <c r="AK752">
        <v>0.46817324648484598</v>
      </c>
      <c r="AL752">
        <v>88.580778760785407</v>
      </c>
      <c r="AM752">
        <v>88.366381658659705</v>
      </c>
      <c r="AN752">
        <v>0.99999997820747999</v>
      </c>
    </row>
    <row r="753" spans="1:40" x14ac:dyDescent="0.25">
      <c r="A753" t="str">
        <f>"20190312160924117"</f>
        <v>20190312160924117</v>
      </c>
      <c r="B753" t="str">
        <f>"1552378164106263"</f>
        <v>1552378164106263</v>
      </c>
      <c r="C753" t="s">
        <v>40</v>
      </c>
      <c r="D753">
        <v>5.1971129999999999</v>
      </c>
      <c r="E753">
        <v>0.54906690000000002</v>
      </c>
      <c r="F753" t="s">
        <v>42</v>
      </c>
      <c r="G753">
        <v>-278.8245</v>
      </c>
      <c r="H753">
        <v>0.87175829999999999</v>
      </c>
      <c r="I753">
        <v>367.82709999999997</v>
      </c>
      <c r="J753">
        <v>-279.27199999999999</v>
      </c>
      <c r="K753">
        <v>1.0637190000000001</v>
      </c>
      <c r="L753">
        <v>367.96370000000002</v>
      </c>
      <c r="M753">
        <v>0.99981500000000001</v>
      </c>
      <c r="N753">
        <v>0</v>
      </c>
      <c r="O753">
        <v>-1.470752E-2</v>
      </c>
      <c r="P753">
        <v>0.99901470000000003</v>
      </c>
      <c r="Q753">
        <v>1.2988110000000001E-2</v>
      </c>
      <c r="R753">
        <v>-4.2438129999999998E-2</v>
      </c>
      <c r="S753">
        <v>2.9875790000000002</v>
      </c>
      <c r="T753">
        <v>-0.70280589999999998</v>
      </c>
      <c r="U753">
        <v>-0.52316279999999904</v>
      </c>
      <c r="V753">
        <v>2.7751910000000001E-2</v>
      </c>
      <c r="W753">
        <v>2.536627E-2</v>
      </c>
      <c r="X753">
        <v>0.99929299999999999</v>
      </c>
      <c r="Y753">
        <v>0.15428539999999999</v>
      </c>
      <c r="Z753">
        <v>-1.438541E-2</v>
      </c>
      <c r="AA753">
        <v>0.98792159999999996</v>
      </c>
      <c r="AB753">
        <v>37</v>
      </c>
      <c r="AC753">
        <v>0.44749999999999002</v>
      </c>
      <c r="AD753">
        <v>-0.19196070000000001</v>
      </c>
      <c r="AE753">
        <v>-0.13660000000004399</v>
      </c>
      <c r="AF753">
        <v>0.11127310417405301</v>
      </c>
      <c r="AG753">
        <v>-0.19196070000000001</v>
      </c>
      <c r="AH753">
        <v>0.38470541673951197</v>
      </c>
      <c r="AI753">
        <v>115.609934780879</v>
      </c>
      <c r="AJ753">
        <v>73.867890923127902</v>
      </c>
      <c r="AK753">
        <v>0.44410457296197903</v>
      </c>
      <c r="AL753">
        <v>88.546463963846605</v>
      </c>
      <c r="AM753">
        <v>88.409216595050907</v>
      </c>
      <c r="AN753">
        <v>1.00000005800567</v>
      </c>
    </row>
    <row r="754" spans="1:40" x14ac:dyDescent="0.25">
      <c r="A754" t="str">
        <f>"20190312160924140"</f>
        <v>20190312160924140</v>
      </c>
      <c r="B754" t="str">
        <f>"1552378164135544"</f>
        <v>1552378164135544</v>
      </c>
      <c r="C754" t="s">
        <v>40</v>
      </c>
      <c r="D754">
        <v>5.1766819999999996</v>
      </c>
      <c r="E754">
        <v>0.54919709999999999</v>
      </c>
      <c r="F754" t="s">
        <v>42</v>
      </c>
      <c r="G754">
        <v>-278.48570000000001</v>
      </c>
      <c r="H754">
        <v>0.88214899999999996</v>
      </c>
      <c r="I754">
        <v>367.82560000000001</v>
      </c>
      <c r="J754">
        <v>-278.89229999999998</v>
      </c>
      <c r="K754">
        <v>1.065177</v>
      </c>
      <c r="L754">
        <v>367.9579</v>
      </c>
      <c r="M754">
        <v>0.99983610000000001</v>
      </c>
      <c r="N754">
        <v>0</v>
      </c>
      <c r="O754">
        <v>-1.485992E-2</v>
      </c>
      <c r="P754">
        <v>0.99899119999999997</v>
      </c>
      <c r="Q754">
        <v>1.5377699999999999E-2</v>
      </c>
      <c r="R754">
        <v>-4.2194580000000002E-2</v>
      </c>
      <c r="S754">
        <v>2.989716</v>
      </c>
      <c r="T754">
        <v>-0.6904266</v>
      </c>
      <c r="U754">
        <v>-0.52313229999999999</v>
      </c>
      <c r="V754">
        <v>2.735545E-2</v>
      </c>
      <c r="W754">
        <v>2.571377E-2</v>
      </c>
      <c r="X754">
        <v>0.99929500000000004</v>
      </c>
      <c r="Y754">
        <v>0.15414530000000001</v>
      </c>
      <c r="Z754">
        <v>-1.4078520000000001E-2</v>
      </c>
      <c r="AA754">
        <v>0.98794789999999999</v>
      </c>
      <c r="AB754">
        <v>38</v>
      </c>
      <c r="AC754">
        <v>0.40659999999996899</v>
      </c>
      <c r="AD754">
        <v>-0.183028</v>
      </c>
      <c r="AE754">
        <v>-0.13229999999998601</v>
      </c>
      <c r="AF754">
        <v>0.106693619190527</v>
      </c>
      <c r="AG754">
        <v>-0.183028</v>
      </c>
      <c r="AH754">
        <v>0.34525949325094701</v>
      </c>
      <c r="AI754">
        <v>116.86152461661899</v>
      </c>
      <c r="AJ754">
        <v>72.827573091831695</v>
      </c>
      <c r="AK754">
        <v>0.40507640617527202</v>
      </c>
      <c r="AL754">
        <v>88.526547110712897</v>
      </c>
      <c r="AM754">
        <v>88.431934018277303</v>
      </c>
      <c r="AN754">
        <v>1.0000000078186499</v>
      </c>
    </row>
    <row r="755" spans="1:40" x14ac:dyDescent="0.25">
      <c r="A755" t="str">
        <f>"20190312160924162"</f>
        <v>20190312160924162</v>
      </c>
      <c r="B755" t="str">
        <f>"1552378164156039"</f>
        <v>1552378164156039</v>
      </c>
      <c r="C755" t="s">
        <v>40</v>
      </c>
      <c r="D755">
        <v>4.5719789999999998</v>
      </c>
      <c r="E755">
        <v>0.54906699999999997</v>
      </c>
      <c r="F755" t="s">
        <v>42</v>
      </c>
      <c r="G755">
        <v>-278.1456</v>
      </c>
      <c r="H755">
        <v>0.89586169999999998</v>
      </c>
      <c r="I755">
        <v>367.82729999999998</v>
      </c>
      <c r="J755">
        <v>-278.51249999999999</v>
      </c>
      <c r="K755">
        <v>1.0668139999999999</v>
      </c>
      <c r="L755">
        <v>367.95209999999997</v>
      </c>
      <c r="M755">
        <v>0.99985139999999995</v>
      </c>
      <c r="N755">
        <v>0</v>
      </c>
      <c r="O755">
        <v>-1.5008479999999999E-2</v>
      </c>
      <c r="P755">
        <v>0.99895590000000001</v>
      </c>
      <c r="Q755">
        <v>1.6861020000000001E-2</v>
      </c>
      <c r="R755">
        <v>-4.2462649999999998E-2</v>
      </c>
      <c r="S755">
        <v>2.9913940000000001</v>
      </c>
      <c r="T755">
        <v>-0.67830109999999999</v>
      </c>
      <c r="U755">
        <v>-0.52255249999999998</v>
      </c>
      <c r="V755">
        <v>2.7473810000000001E-2</v>
      </c>
      <c r="W755">
        <v>2.5327659999999998E-2</v>
      </c>
      <c r="X755">
        <v>0.99930160000000001</v>
      </c>
      <c r="Y755">
        <v>0.15385560000000001</v>
      </c>
      <c r="Z755">
        <v>-1.376494E-2</v>
      </c>
      <c r="AA755">
        <v>0.98799749999999997</v>
      </c>
      <c r="AB755">
        <v>38</v>
      </c>
      <c r="AC755">
        <v>0.36689999999998602</v>
      </c>
      <c r="AD755">
        <v>-0.170952299999999</v>
      </c>
      <c r="AE755">
        <v>-0.124799999999993</v>
      </c>
      <c r="AF755">
        <v>9.9849938273077601E-2</v>
      </c>
      <c r="AG755">
        <v>-0.170952299999999</v>
      </c>
      <c r="AH755">
        <v>0.30866964151072701</v>
      </c>
      <c r="AI755">
        <v>117.787029968056</v>
      </c>
      <c r="AJ755">
        <v>72.074393966426399</v>
      </c>
      <c r="AK755">
        <v>0.366703758691929</v>
      </c>
      <c r="AL755">
        <v>88.548676772087404</v>
      </c>
      <c r="AM755">
        <v>88.425163205181605</v>
      </c>
      <c r="AN755">
        <v>0.99999999417977503</v>
      </c>
    </row>
    <row r="756" spans="1:40" x14ac:dyDescent="0.25">
      <c r="A756" t="str">
        <f>"20190312160924533"</f>
        <v>20190312160924533</v>
      </c>
      <c r="B756" t="str">
        <f>"1552378164525944"</f>
        <v>1552378164525944</v>
      </c>
      <c r="C756" t="s">
        <v>40</v>
      </c>
      <c r="D756">
        <v>5.3710709999999997</v>
      </c>
      <c r="E756">
        <v>0.50167010000000001</v>
      </c>
      <c r="F756" t="s">
        <v>44</v>
      </c>
      <c r="G756">
        <v>-158.19499999999999</v>
      </c>
      <c r="H756">
        <v>17.541550000000001</v>
      </c>
      <c r="I756">
        <v>362.99059999999997</v>
      </c>
      <c r="J756">
        <v>-272.37670000000003</v>
      </c>
      <c r="K756">
        <v>1.1047830000000001</v>
      </c>
      <c r="L756">
        <v>367.85809999999998</v>
      </c>
      <c r="M756">
        <v>0.99981339999999996</v>
      </c>
      <c r="N756">
        <v>0</v>
      </c>
      <c r="O756">
        <v>-1.536323E-2</v>
      </c>
      <c r="P756">
        <v>0.99915770000000004</v>
      </c>
      <c r="Q756">
        <v>1.125749E-2</v>
      </c>
      <c r="R756">
        <v>-3.9465319999999998E-2</v>
      </c>
      <c r="S756">
        <v>2.9926149999999998</v>
      </c>
      <c r="T756">
        <v>0.42995539999999999</v>
      </c>
      <c r="U756">
        <v>-0.12741089999999999</v>
      </c>
      <c r="V756">
        <v>2.4110119999999999E-2</v>
      </c>
      <c r="W756">
        <v>2.2956569999999999E-2</v>
      </c>
      <c r="X756">
        <v>0.99944569999999999</v>
      </c>
      <c r="Y756">
        <v>2.7061290000000002E-2</v>
      </c>
      <c r="Z756">
        <v>-2.6173659999999998E-4</v>
      </c>
      <c r="AA756">
        <v>0.99963369999999996</v>
      </c>
      <c r="AB756">
        <v>37</v>
      </c>
      <c r="AC756">
        <v>114.18170000000001</v>
      </c>
      <c r="AD756">
        <v>16.436767</v>
      </c>
      <c r="AE756">
        <v>-4.8674999999999997</v>
      </c>
      <c r="AF756">
        <v>3.0495265982153898</v>
      </c>
      <c r="AG756">
        <v>16.436767</v>
      </c>
      <c r="AH756">
        <v>111.92780395210799</v>
      </c>
      <c r="AI756">
        <v>81.648796291610196</v>
      </c>
      <c r="AJ756">
        <v>88.439335152302903</v>
      </c>
      <c r="AK756">
        <v>113.169343107695</v>
      </c>
      <c r="AL756">
        <v>88.684569876212294</v>
      </c>
      <c r="AM756">
        <v>88.618093763152103</v>
      </c>
      <c r="AN756">
        <v>1.00000000462053</v>
      </c>
    </row>
    <row r="757" spans="1:40" x14ac:dyDescent="0.25">
      <c r="A757" t="str">
        <f>"20190312160924546"</f>
        <v>20190312160924546</v>
      </c>
      <c r="B757" t="str">
        <f>"1552378164535704"</f>
        <v>1552378164535704</v>
      </c>
      <c r="C757" t="s">
        <v>40</v>
      </c>
      <c r="D757">
        <v>5.3514889999999999</v>
      </c>
      <c r="E757">
        <v>0.53512159999999998</v>
      </c>
      <c r="F757" t="s">
        <v>44</v>
      </c>
      <c r="G757">
        <v>-158.19499999999999</v>
      </c>
      <c r="H757">
        <v>17.500060000000001</v>
      </c>
      <c r="I757">
        <v>362.9957</v>
      </c>
      <c r="J757">
        <v>-272.16550000000001</v>
      </c>
      <c r="K757">
        <v>1.1053170000000001</v>
      </c>
      <c r="L757">
        <v>367.85480000000001</v>
      </c>
      <c r="M757">
        <v>0.99981109999999895</v>
      </c>
      <c r="N757">
        <v>0</v>
      </c>
      <c r="O757">
        <v>-1.5363190000000001E-2</v>
      </c>
      <c r="P757">
        <v>0.99914769999999997</v>
      </c>
      <c r="Q757">
        <v>1.14433E-2</v>
      </c>
      <c r="R757">
        <v>-3.9661200000000001E-2</v>
      </c>
      <c r="S757">
        <v>2.992645</v>
      </c>
      <c r="T757">
        <v>0.42971399999999998</v>
      </c>
      <c r="U757">
        <v>-0.12744140000000001</v>
      </c>
      <c r="V757">
        <v>2.430645E-2</v>
      </c>
      <c r="W757">
        <v>2.3341750000000001E-2</v>
      </c>
      <c r="X757">
        <v>0.99943199999999999</v>
      </c>
      <c r="Y757">
        <v>2.7071080000000001E-2</v>
      </c>
      <c r="Z757">
        <v>-2.6088940000000002E-4</v>
      </c>
      <c r="AA757">
        <v>0.99963349999999995</v>
      </c>
      <c r="AB757">
        <v>37</v>
      </c>
      <c r="AC757">
        <v>113.9705</v>
      </c>
      <c r="AD757">
        <v>16.394742999999998</v>
      </c>
      <c r="AE757">
        <v>-4.8591000000000104</v>
      </c>
      <c r="AF757">
        <v>3.0445649023265302</v>
      </c>
      <c r="AG757">
        <v>16.394742999999998</v>
      </c>
      <c r="AH757">
        <v>111.723989451625</v>
      </c>
      <c r="AI757">
        <v>81.654866456456901</v>
      </c>
      <c r="AJ757">
        <v>88.439032124745594</v>
      </c>
      <c r="AK757">
        <v>112.961527930828</v>
      </c>
      <c r="AL757">
        <v>88.662494741546197</v>
      </c>
      <c r="AM757">
        <v>88.606826153951403</v>
      </c>
      <c r="AN757">
        <v>0.99999998171433202</v>
      </c>
    </row>
    <row r="758" spans="1:40" x14ac:dyDescent="0.25">
      <c r="A758" t="str">
        <f>"20190312160924564"</f>
        <v>20190312160924564</v>
      </c>
      <c r="B758" t="str">
        <f>"1552378164556200"</f>
        <v>1552378164556200</v>
      </c>
      <c r="C758" t="s">
        <v>40</v>
      </c>
      <c r="D758">
        <v>5.2803690000000003</v>
      </c>
      <c r="E758">
        <v>0.53343119999999999</v>
      </c>
      <c r="F758" t="s">
        <v>44</v>
      </c>
      <c r="G758">
        <v>-169.2955</v>
      </c>
      <c r="H758">
        <v>2.797911</v>
      </c>
      <c r="I758">
        <v>354.12180000000001</v>
      </c>
      <c r="J758">
        <v>-271.86790000000002</v>
      </c>
      <c r="K758">
        <v>1.1059840000000001</v>
      </c>
      <c r="L758">
        <v>367.85019999999997</v>
      </c>
      <c r="M758">
        <v>0.99980809999999998</v>
      </c>
      <c r="N758">
        <v>0</v>
      </c>
      <c r="O758">
        <v>-1.5363419999999999E-2</v>
      </c>
      <c r="P758">
        <v>0.99915799999999999</v>
      </c>
      <c r="Q758">
        <v>1.1444009999999999E-2</v>
      </c>
      <c r="R758">
        <v>-3.9404389999999997E-2</v>
      </c>
      <c r="S758">
        <v>2.9861759999999999</v>
      </c>
      <c r="T758">
        <v>4.9136159999999998E-2</v>
      </c>
      <c r="U758">
        <v>-0.39865109999999998</v>
      </c>
      <c r="V758">
        <v>2.4049089999999999E-2</v>
      </c>
      <c r="W758">
        <v>2.3602979999999999E-2</v>
      </c>
      <c r="X758">
        <v>0.99943210000000005</v>
      </c>
      <c r="Y758">
        <v>0.1170664</v>
      </c>
      <c r="Z758">
        <v>7.0720750000000001E-4</v>
      </c>
      <c r="AA758">
        <v>0.9931238</v>
      </c>
      <c r="AB758">
        <v>37</v>
      </c>
      <c r="AC758">
        <v>102.5724</v>
      </c>
      <c r="AD758">
        <v>1.691927</v>
      </c>
      <c r="AE758">
        <v>-13.728399999999899</v>
      </c>
      <c r="AF758">
        <v>12.1475532171496</v>
      </c>
      <c r="AG758">
        <v>1.691927</v>
      </c>
      <c r="AH758">
        <v>102.743760004607</v>
      </c>
      <c r="AI758">
        <v>89.063094752061204</v>
      </c>
      <c r="AJ758">
        <v>83.257134174127799</v>
      </c>
      <c r="AK758">
        <v>103.47321337438601</v>
      </c>
      <c r="AL758">
        <v>88.647523252387302</v>
      </c>
      <c r="AM758">
        <v>88.621571684403904</v>
      </c>
      <c r="AN758">
        <v>0.99999999095255898</v>
      </c>
    </row>
    <row r="759" spans="1:40" x14ac:dyDescent="0.25">
      <c r="A759" t="str">
        <f>"20190312160924577"</f>
        <v>20190312160924577</v>
      </c>
      <c r="B759" t="str">
        <f>"1552378164565961"</f>
        <v>1552378164565961</v>
      </c>
      <c r="C759" t="s">
        <v>40</v>
      </c>
      <c r="D759">
        <v>5.4367650000000003</v>
      </c>
      <c r="E759">
        <v>0.53300080000000005</v>
      </c>
      <c r="F759" t="s">
        <v>46</v>
      </c>
      <c r="G759">
        <v>-187.92160000000001</v>
      </c>
      <c r="H759" s="1">
        <v>-4.208254E-6</v>
      </c>
      <c r="I759">
        <v>357.02499999999998</v>
      </c>
      <c r="J759">
        <v>-271.64269999999999</v>
      </c>
      <c r="K759">
        <v>1.1064210000000001</v>
      </c>
      <c r="L759">
        <v>367.84679999999997</v>
      </c>
      <c r="M759">
        <v>0.99980570000000002</v>
      </c>
      <c r="N759">
        <v>0</v>
      </c>
      <c r="O759">
        <v>-1.536332E-2</v>
      </c>
      <c r="P759">
        <v>0.99915710000000002</v>
      </c>
      <c r="Q759">
        <v>1.136477E-2</v>
      </c>
      <c r="R759">
        <v>-3.9444119999999999E-2</v>
      </c>
      <c r="S759">
        <v>2.987762</v>
      </c>
      <c r="T759">
        <v>-3.9363620000000002E-2</v>
      </c>
      <c r="U759">
        <v>-0.38528440000000003</v>
      </c>
      <c r="V759">
        <v>2.4088970000000001E-2</v>
      </c>
      <c r="W759">
        <v>2.3705469999999999E-2</v>
      </c>
      <c r="X759">
        <v>0.99942869999999995</v>
      </c>
      <c r="Y759">
        <v>0.1126335</v>
      </c>
      <c r="Z759">
        <v>-5.3735169999999995E-4</v>
      </c>
      <c r="AA759">
        <v>0.99363650000000003</v>
      </c>
      <c r="AB759">
        <v>37</v>
      </c>
      <c r="AC759">
        <v>83.721099999999893</v>
      </c>
      <c r="AD759">
        <v>-1.10642520825399</v>
      </c>
      <c r="AE759">
        <v>-10.8217999999999</v>
      </c>
      <c r="AF759">
        <v>9.5325529079172693</v>
      </c>
      <c r="AG759">
        <v>-1.10642520825399</v>
      </c>
      <c r="AH759">
        <v>83.863082776364607</v>
      </c>
      <c r="AI759">
        <v>90.751036998917101</v>
      </c>
      <c r="AJ759">
        <v>83.515134083819703</v>
      </c>
      <c r="AK759">
        <v>84.410368998358706</v>
      </c>
      <c r="AL759">
        <v>88.641649345531107</v>
      </c>
      <c r="AM759">
        <v>88.619282060268901</v>
      </c>
      <c r="AN759">
        <v>0.99999997708363497</v>
      </c>
    </row>
    <row r="760" spans="1:40" x14ac:dyDescent="0.25">
      <c r="A760" t="str">
        <f>"20190312160924597"</f>
        <v>20190312160924597</v>
      </c>
      <c r="B760" t="str">
        <f>"1552378164585480"</f>
        <v>1552378164585480</v>
      </c>
      <c r="C760" t="s">
        <v>40</v>
      </c>
      <c r="D760">
        <v>5.429691</v>
      </c>
      <c r="E760">
        <v>0.53409980000000001</v>
      </c>
      <c r="F760" t="s">
        <v>46</v>
      </c>
      <c r="G760">
        <v>-206.1344</v>
      </c>
      <c r="H760">
        <v>7.9987530000000001E-2</v>
      </c>
      <c r="I760">
        <v>359.47140000000002</v>
      </c>
      <c r="J760">
        <v>-271.3347</v>
      </c>
      <c r="K760">
        <v>1.1069639999999901</v>
      </c>
      <c r="L760">
        <v>367.84199999999998</v>
      </c>
      <c r="M760">
        <v>0.99980290000000005</v>
      </c>
      <c r="N760">
        <v>0</v>
      </c>
      <c r="O760">
        <v>-1.536331E-2</v>
      </c>
      <c r="P760">
        <v>0.99913689999999999</v>
      </c>
      <c r="Q760">
        <v>1.1387029999999999E-2</v>
      </c>
      <c r="R760">
        <v>-3.9947959999999998E-2</v>
      </c>
      <c r="S760">
        <v>2.9879760000000002</v>
      </c>
      <c r="T760">
        <v>-4.6817900000000003E-2</v>
      </c>
      <c r="U760">
        <v>-0.382019</v>
      </c>
      <c r="V760">
        <v>2.4592960000000001E-2</v>
      </c>
      <c r="W760">
        <v>2.3959080000000001E-2</v>
      </c>
      <c r="X760">
        <v>0.99941040000000003</v>
      </c>
      <c r="Y760">
        <v>0.11155279999999999</v>
      </c>
      <c r="Z760">
        <v>-6.3066469999999999E-4</v>
      </c>
      <c r="AA760">
        <v>0.99375829999999998</v>
      </c>
      <c r="AB760">
        <v>37</v>
      </c>
      <c r="AC760">
        <v>65.200299999999999</v>
      </c>
      <c r="AD760">
        <v>-1.0269764699999999</v>
      </c>
      <c r="AE760">
        <v>-8.3705999999999605</v>
      </c>
      <c r="AF760">
        <v>7.3660424329477898</v>
      </c>
      <c r="AG760">
        <v>-1.0269764699999999</v>
      </c>
      <c r="AH760">
        <v>65.305274626145007</v>
      </c>
      <c r="AI760">
        <v>90.895270537598805</v>
      </c>
      <c r="AJ760">
        <v>83.564580001738506</v>
      </c>
      <c r="AK760">
        <v>65.727407949729297</v>
      </c>
      <c r="AL760">
        <v>88.627114464840503</v>
      </c>
      <c r="AM760">
        <v>88.5903803820364</v>
      </c>
      <c r="AN760">
        <v>0.99999999941208395</v>
      </c>
    </row>
    <row r="761" spans="1:40" x14ac:dyDescent="0.25">
      <c r="A761" t="str">
        <f>"20190312160924620"</f>
        <v>20190312160924620</v>
      </c>
      <c r="B761" t="str">
        <f>"1552378164615736"</f>
        <v>1552378164615736</v>
      </c>
      <c r="C761" t="s">
        <v>40</v>
      </c>
      <c r="D761">
        <v>5.6143289999999997</v>
      </c>
      <c r="E761">
        <v>0.53372549999999996</v>
      </c>
      <c r="F761" t="s">
        <v>46</v>
      </c>
      <c r="G761">
        <v>-194.4153</v>
      </c>
      <c r="H761" s="1">
        <v>-5.3542369999999999E-6</v>
      </c>
      <c r="I761">
        <v>357.74040000000002</v>
      </c>
      <c r="J761">
        <v>-270.96010000000001</v>
      </c>
      <c r="K761">
        <v>1.1075280000000001</v>
      </c>
      <c r="L761">
        <v>367.83620000000002</v>
      </c>
      <c r="M761">
        <v>0.99979969999999996</v>
      </c>
      <c r="N761">
        <v>0</v>
      </c>
      <c r="O761">
        <v>-1.536325E-2</v>
      </c>
      <c r="P761">
        <v>0.99912029999999996</v>
      </c>
      <c r="Q761">
        <v>1.167083E-2</v>
      </c>
      <c r="R761">
        <v>-4.0281869999999997E-2</v>
      </c>
      <c r="S761">
        <v>2.9874269999999998</v>
      </c>
      <c r="T761">
        <v>-4.2992950000000002E-2</v>
      </c>
      <c r="U761">
        <v>-0.39233400000000002</v>
      </c>
      <c r="V761">
        <v>2.4927029999999999E-2</v>
      </c>
      <c r="W761">
        <v>2.4500129999999998E-2</v>
      </c>
      <c r="X761">
        <v>0.99938899999999997</v>
      </c>
      <c r="Y761">
        <v>0.1149511</v>
      </c>
      <c r="Z761">
        <v>-6.0347280000000003E-4</v>
      </c>
      <c r="AA761">
        <v>0.993371</v>
      </c>
      <c r="AB761">
        <v>37</v>
      </c>
      <c r="AC761">
        <v>76.544799999999995</v>
      </c>
      <c r="AD761">
        <v>-1.1075333542370001</v>
      </c>
      <c r="AE761">
        <v>-10.095799999999899</v>
      </c>
      <c r="AF761">
        <v>8.91669979581674</v>
      </c>
      <c r="AG761">
        <v>-1.1075333542370001</v>
      </c>
      <c r="AH761">
        <v>76.675103822497803</v>
      </c>
      <c r="AI761">
        <v>90.8220122587324</v>
      </c>
      <c r="AJ761">
        <v>83.366755437342505</v>
      </c>
      <c r="AK761">
        <v>77.1997779243586</v>
      </c>
      <c r="AL761">
        <v>88.596105470678907</v>
      </c>
      <c r="AM761">
        <v>88.571209455581993</v>
      </c>
      <c r="AN761">
        <v>0.99999999325781797</v>
      </c>
    </row>
    <row r="762" spans="1:40" x14ac:dyDescent="0.25">
      <c r="A762" t="str">
        <f>"20190312160924635"</f>
        <v>20190312160924635</v>
      </c>
      <c r="B762" t="str">
        <f>"1552378164625495"</f>
        <v>1552378164625495</v>
      </c>
      <c r="C762" t="s">
        <v>40</v>
      </c>
      <c r="D762">
        <v>5.5425750000000003</v>
      </c>
      <c r="E762">
        <v>0.5332884</v>
      </c>
      <c r="F762" t="s">
        <v>46</v>
      </c>
      <c r="G762">
        <v>-190.93450000000001</v>
      </c>
      <c r="H762" s="1">
        <v>-4.4604030000000004E-6</v>
      </c>
      <c r="I762">
        <v>357.38040000000001</v>
      </c>
      <c r="J762">
        <v>-270.72359999999998</v>
      </c>
      <c r="K762">
        <v>1.1078319999999999</v>
      </c>
      <c r="L762">
        <v>367.83260000000001</v>
      </c>
      <c r="M762">
        <v>0.99979759999999995</v>
      </c>
      <c r="N762">
        <v>0</v>
      </c>
      <c r="O762">
        <v>-1.5363E-2</v>
      </c>
      <c r="P762">
        <v>0.9991061</v>
      </c>
      <c r="Q762">
        <v>1.1600539999999999E-2</v>
      </c>
      <c r="R762">
        <v>-4.0651600000000003E-2</v>
      </c>
      <c r="S762">
        <v>2.9873959999999999</v>
      </c>
      <c r="T762">
        <v>-4.1344760000000001E-2</v>
      </c>
      <c r="U762">
        <v>-0.39031979999999999</v>
      </c>
      <c r="V762">
        <v>2.5296969999999998E-2</v>
      </c>
      <c r="W762">
        <v>2.4576400000000002E-2</v>
      </c>
      <c r="X762">
        <v>0.99937779999999998</v>
      </c>
      <c r="Y762">
        <v>0.11429499999999999</v>
      </c>
      <c r="Z762">
        <v>-5.7585320000000005E-4</v>
      </c>
      <c r="AA762">
        <v>0.99344670000000002</v>
      </c>
      <c r="AB762">
        <v>37</v>
      </c>
      <c r="AC762">
        <v>79.789099999999905</v>
      </c>
      <c r="AD762">
        <v>-1.107836460403</v>
      </c>
      <c r="AE762">
        <v>-10.452199999999999</v>
      </c>
      <c r="AF762">
        <v>9.22331478840748</v>
      </c>
      <c r="AG762">
        <v>-1.107836460403</v>
      </c>
      <c r="AH762">
        <v>79.925124475147598</v>
      </c>
      <c r="AI762">
        <v>90.788887090238006</v>
      </c>
      <c r="AJ762">
        <v>83.417216989396195</v>
      </c>
      <c r="AK762">
        <v>80.463173934893305</v>
      </c>
      <c r="AL762">
        <v>88.591734160770798</v>
      </c>
      <c r="AM762">
        <v>88.549997636003198</v>
      </c>
      <c r="AN762">
        <v>0.99999996163048899</v>
      </c>
    </row>
    <row r="763" spans="1:40" x14ac:dyDescent="0.25">
      <c r="A763" t="str">
        <f>"20190312160924654"</f>
        <v>20190312160924654</v>
      </c>
      <c r="B763" t="str">
        <f>"1552378164645992"</f>
        <v>1552378164645992</v>
      </c>
      <c r="C763" t="s">
        <v>40</v>
      </c>
      <c r="D763">
        <v>5.5506099999999998</v>
      </c>
      <c r="E763">
        <v>0.53230659999999996</v>
      </c>
      <c r="F763" t="s">
        <v>46</v>
      </c>
      <c r="G763">
        <v>-184.10319999999999</v>
      </c>
      <c r="H763" s="1">
        <v>-4.3813069999999999E-6</v>
      </c>
      <c r="I763">
        <v>356.58479999999997</v>
      </c>
      <c r="J763">
        <v>-270.3974</v>
      </c>
      <c r="K763">
        <v>1.1082000000000001</v>
      </c>
      <c r="L763">
        <v>367.82760000000002</v>
      </c>
      <c r="M763">
        <v>0.99979530000000005</v>
      </c>
      <c r="N763">
        <v>0</v>
      </c>
      <c r="O763">
        <v>-1.5362890000000001E-2</v>
      </c>
      <c r="P763">
        <v>0.99907690000000005</v>
      </c>
      <c r="Q763">
        <v>1.1378269999999999E-2</v>
      </c>
      <c r="R763">
        <v>-4.1424740000000002E-2</v>
      </c>
      <c r="S763">
        <v>2.9873349999999999</v>
      </c>
      <c r="T763">
        <v>-3.8206700000000003E-2</v>
      </c>
      <c r="U763">
        <v>-0.3879089</v>
      </c>
      <c r="V763">
        <v>2.6070690000000001E-2</v>
      </c>
      <c r="W763">
        <v>2.4540650000000001E-2</v>
      </c>
      <c r="X763">
        <v>0.99935879999999999</v>
      </c>
      <c r="Y763">
        <v>0.11351070000000001</v>
      </c>
      <c r="Z763">
        <v>-5.2719430000000003E-4</v>
      </c>
      <c r="AA763">
        <v>0.99353670000000005</v>
      </c>
      <c r="AB763">
        <v>37</v>
      </c>
      <c r="AC763">
        <v>86.294200000000004</v>
      </c>
      <c r="AD763">
        <v>-1.1082043813069999</v>
      </c>
      <c r="AE763">
        <v>-11.242800000000001</v>
      </c>
      <c r="AF763">
        <v>9.9140219774531904</v>
      </c>
      <c r="AG763">
        <v>-1.1082043813069999</v>
      </c>
      <c r="AH763">
        <v>86.4427327030199</v>
      </c>
      <c r="AI763">
        <v>90.729714357485506</v>
      </c>
      <c r="AJ763">
        <v>83.457396248850799</v>
      </c>
      <c r="AK763">
        <v>87.016446640195099</v>
      </c>
      <c r="AL763">
        <v>88.593783111559503</v>
      </c>
      <c r="AM763">
        <v>88.505640028789998</v>
      </c>
      <c r="AN763">
        <v>0.999999967758468</v>
      </c>
    </row>
    <row r="764" spans="1:40" x14ac:dyDescent="0.25">
      <c r="A764" t="str">
        <f>"20190312160924675"</f>
        <v>20190312160924675</v>
      </c>
      <c r="B764" t="str">
        <f>"1552378164665512"</f>
        <v>1552378164665512</v>
      </c>
      <c r="C764" t="s">
        <v>40</v>
      </c>
      <c r="D764">
        <v>5.5830719999999996</v>
      </c>
      <c r="E764">
        <v>0.53161099999999994</v>
      </c>
      <c r="F764" t="s">
        <v>43</v>
      </c>
      <c r="G764">
        <v>-160.8449</v>
      </c>
      <c r="H764">
        <v>-0.05</v>
      </c>
      <c r="I764">
        <v>353.79989999999998</v>
      </c>
      <c r="J764">
        <v>-270.05470000000003</v>
      </c>
      <c r="K764">
        <v>1.1085290000000001</v>
      </c>
      <c r="L764">
        <v>367.82229999999998</v>
      </c>
      <c r="M764">
        <v>0.99979289999999998</v>
      </c>
      <c r="N764">
        <v>0</v>
      </c>
      <c r="O764">
        <v>-1.5362270000000001E-2</v>
      </c>
      <c r="P764">
        <v>0.99904899999999996</v>
      </c>
      <c r="Q764">
        <v>1.1496849999999999E-2</v>
      </c>
      <c r="R764">
        <v>-4.2060100000000003E-2</v>
      </c>
      <c r="S764">
        <v>2.9872740000000002</v>
      </c>
      <c r="T764">
        <v>-3.158176E-2</v>
      </c>
      <c r="U764">
        <v>-0.38250729999999999</v>
      </c>
      <c r="V764">
        <v>2.6706870000000001E-2</v>
      </c>
      <c r="W764">
        <v>2.4836190000000001E-2</v>
      </c>
      <c r="X764">
        <v>0.99933479999999997</v>
      </c>
      <c r="Y764">
        <v>0.1117491</v>
      </c>
      <c r="Z764">
        <v>-4.2657699999999998E-4</v>
      </c>
      <c r="AA764">
        <v>0.99373639999999996</v>
      </c>
      <c r="AB764">
        <v>37</v>
      </c>
      <c r="AC764">
        <v>109.2098</v>
      </c>
      <c r="AD764">
        <v>-1.1585289999999999</v>
      </c>
      <c r="AE764">
        <v>-14.022399999999999</v>
      </c>
      <c r="AF764">
        <v>12.341518729534201</v>
      </c>
      <c r="AG764">
        <v>-1.1585289999999999</v>
      </c>
      <c r="AH764">
        <v>109.400233546728</v>
      </c>
      <c r="AI764">
        <v>90.602905474975898</v>
      </c>
      <c r="AJ764">
        <v>83.5636336341354</v>
      </c>
      <c r="AK764">
        <v>110.100256012754</v>
      </c>
      <c r="AL764">
        <v>88.576844895865904</v>
      </c>
      <c r="AM764">
        <v>88.469154881703204</v>
      </c>
      <c r="AN764">
        <v>1.0000000678649701</v>
      </c>
    </row>
    <row r="765" spans="1:40" x14ac:dyDescent="0.25">
      <c r="A765" t="str">
        <f>"20190312160925045"</f>
        <v>20190312160925045</v>
      </c>
      <c r="B765" t="str">
        <f>"1552378165035924"</f>
        <v>1552378165035924</v>
      </c>
      <c r="C765" t="s">
        <v>40</v>
      </c>
      <c r="D765">
        <v>5.5998359999999998</v>
      </c>
      <c r="E765">
        <v>0.5314432</v>
      </c>
      <c r="F765" t="s">
        <v>44</v>
      </c>
      <c r="G765">
        <v>-169.2955</v>
      </c>
      <c r="H765">
        <v>0.26716420000000002</v>
      </c>
      <c r="I765">
        <v>355.0521</v>
      </c>
      <c r="J765">
        <v>-264.09690000000001</v>
      </c>
      <c r="K765">
        <v>1.110136</v>
      </c>
      <c r="L765">
        <v>367.73070000000001</v>
      </c>
      <c r="M765">
        <v>0.99977590000000005</v>
      </c>
      <c r="N765">
        <v>0</v>
      </c>
      <c r="O765">
        <v>-1.535955E-2</v>
      </c>
      <c r="P765">
        <v>0.99899579999999999</v>
      </c>
      <c r="Q765">
        <v>9.2999150000000006E-3</v>
      </c>
      <c r="R765">
        <v>-4.3830870000000001E-2</v>
      </c>
      <c r="S765">
        <v>2.9872130000000001</v>
      </c>
      <c r="T765">
        <v>-2.4941330000000001E-2</v>
      </c>
      <c r="U765">
        <v>-0.37860110000000002</v>
      </c>
      <c r="V765">
        <v>2.848082E-2</v>
      </c>
      <c r="W765">
        <v>2.3868029999999998E-2</v>
      </c>
      <c r="X765">
        <v>0.99930940000000001</v>
      </c>
      <c r="Y765">
        <v>0.1104774</v>
      </c>
      <c r="Z765">
        <v>-3.3165430000000001E-4</v>
      </c>
      <c r="AA765">
        <v>0.99387859999999995</v>
      </c>
      <c r="AB765">
        <v>36</v>
      </c>
      <c r="AC765">
        <v>94.801400000000001</v>
      </c>
      <c r="AD765">
        <v>-0.84297179999999905</v>
      </c>
      <c r="AE765">
        <v>-12.678599999999999</v>
      </c>
      <c r="AF765">
        <v>11.2199711239859</v>
      </c>
      <c r="AG765">
        <v>-0.84297179999999905</v>
      </c>
      <c r="AH765">
        <v>94.977594992517297</v>
      </c>
      <c r="AI765">
        <v>90.505002869444994</v>
      </c>
      <c r="AJ765">
        <v>83.262712641885798</v>
      </c>
      <c r="AK765">
        <v>95.641737249180693</v>
      </c>
      <c r="AL765">
        <v>88.632332818593596</v>
      </c>
      <c r="AM765">
        <v>88.367483419530203</v>
      </c>
      <c r="AN765">
        <v>1.0000000584461499</v>
      </c>
    </row>
    <row r="766" spans="1:40" x14ac:dyDescent="0.25">
      <c r="A766" t="str">
        <f>"20190312160925068"</f>
        <v>20190312160925068</v>
      </c>
      <c r="B766" t="str">
        <f>"1552378165056421"</f>
        <v>1552378165056421</v>
      </c>
      <c r="C766" t="s">
        <v>40</v>
      </c>
      <c r="D766">
        <v>5.491142</v>
      </c>
      <c r="E766">
        <v>0.52941190000000005</v>
      </c>
      <c r="F766" t="s">
        <v>44</v>
      </c>
      <c r="G766">
        <v>-169.2955</v>
      </c>
      <c r="H766">
        <v>7.2742459999999995E-2</v>
      </c>
      <c r="I766">
        <v>355.57709999999997</v>
      </c>
      <c r="J766">
        <v>-263.74020000000002</v>
      </c>
      <c r="K766">
        <v>1.1101449999999999</v>
      </c>
      <c r="L766">
        <v>367.7253</v>
      </c>
      <c r="M766">
        <v>0.99977559999999999</v>
      </c>
      <c r="N766">
        <v>0</v>
      </c>
      <c r="O766">
        <v>-1.535943E-2</v>
      </c>
      <c r="P766">
        <v>0.99897519999999995</v>
      </c>
      <c r="Q766">
        <v>8.5728550000000008E-3</v>
      </c>
      <c r="R766">
        <v>-4.4443719999999999E-2</v>
      </c>
      <c r="S766">
        <v>2.9865110000000001</v>
      </c>
      <c r="T766">
        <v>-3.267801E-2</v>
      </c>
      <c r="U766">
        <v>-0.38287349999999998</v>
      </c>
      <c r="V766">
        <v>2.9094120000000001E-2</v>
      </c>
      <c r="W766">
        <v>2.315774E-2</v>
      </c>
      <c r="X766">
        <v>0.99930839999999999</v>
      </c>
      <c r="Y766">
        <v>0.11190319999999999</v>
      </c>
      <c r="Z766">
        <v>-4.4235880000000001E-4</v>
      </c>
      <c r="AA766">
        <v>0.99371900000000002</v>
      </c>
      <c r="AB766">
        <v>36</v>
      </c>
      <c r="AC766">
        <v>94.444699999999997</v>
      </c>
      <c r="AD766">
        <v>-1.03740254</v>
      </c>
      <c r="AE766">
        <v>-12.148199999999999</v>
      </c>
      <c r="AF766">
        <v>10.6947261476005</v>
      </c>
      <c r="AG766">
        <v>-1.03740254</v>
      </c>
      <c r="AH766">
        <v>94.608936834952203</v>
      </c>
      <c r="AI766">
        <v>90.624256949851997</v>
      </c>
      <c r="AJ766">
        <v>83.550583183087497</v>
      </c>
      <c r="AK766">
        <v>95.2171428916145</v>
      </c>
      <c r="AL766">
        <v>88.673040631029394</v>
      </c>
      <c r="AM766">
        <v>88.332347124051694</v>
      </c>
      <c r="AN766">
        <v>1.00000001352552</v>
      </c>
    </row>
    <row r="767" spans="1:40" x14ac:dyDescent="0.25">
      <c r="A767" t="str">
        <f>"20190312160925089"</f>
        <v>20190312160925089</v>
      </c>
      <c r="B767" t="str">
        <f>"1552378165085701"</f>
        <v>1552378165085701</v>
      </c>
      <c r="C767" t="s">
        <v>40</v>
      </c>
      <c r="D767">
        <v>5.3962599999999998</v>
      </c>
      <c r="E767">
        <v>0.52911450000000004</v>
      </c>
      <c r="F767" t="s">
        <v>44</v>
      </c>
      <c r="G767">
        <v>-169.2955</v>
      </c>
      <c r="H767">
        <v>0.86585040000000002</v>
      </c>
      <c r="I767">
        <v>356.09129999999999</v>
      </c>
      <c r="J767">
        <v>-263.40530000000001</v>
      </c>
      <c r="K767">
        <v>1.1101589999999999</v>
      </c>
      <c r="L767">
        <v>367.7201</v>
      </c>
      <c r="M767">
        <v>0.99977550000000004</v>
      </c>
      <c r="N767">
        <v>0</v>
      </c>
      <c r="O767">
        <v>-1.5359289999999999E-2</v>
      </c>
      <c r="P767">
        <v>0.99894870000000002</v>
      </c>
      <c r="Q767">
        <v>8.3809409999999994E-3</v>
      </c>
      <c r="R767">
        <v>-4.5071529999999999E-2</v>
      </c>
      <c r="S767">
        <v>2.9867859999999999</v>
      </c>
      <c r="T767">
        <v>-7.7229739999999996E-3</v>
      </c>
      <c r="U767">
        <v>-0.36791990000000002</v>
      </c>
      <c r="V767">
        <v>2.9722330000000002E-2</v>
      </c>
      <c r="W767">
        <v>2.2979449999999998E-2</v>
      </c>
      <c r="X767">
        <v>0.99929400000000002</v>
      </c>
      <c r="Y767">
        <v>0.106998</v>
      </c>
      <c r="Z767" s="1">
        <v>-9.8253239999999999E-5</v>
      </c>
      <c r="AA767">
        <v>0.99425920000000001</v>
      </c>
      <c r="AB767">
        <v>36</v>
      </c>
      <c r="AC767">
        <v>94.109800000000007</v>
      </c>
      <c r="AD767">
        <v>-0.24430859999999999</v>
      </c>
      <c r="AE767">
        <v>-11.6288</v>
      </c>
      <c r="AF767">
        <v>10.1817466733859</v>
      </c>
      <c r="AG767">
        <v>-0.24430859999999999</v>
      </c>
      <c r="AH767">
        <v>94.276699708695205</v>
      </c>
      <c r="AI767">
        <v>90.147617543790702</v>
      </c>
      <c r="AJ767">
        <v>83.836029794710001</v>
      </c>
      <c r="AK767">
        <v>94.825227444897394</v>
      </c>
      <c r="AL767">
        <v>88.683258577332296</v>
      </c>
      <c r="AM767">
        <v>88.296335064449593</v>
      </c>
      <c r="AN767">
        <v>0.99999998522946498</v>
      </c>
    </row>
    <row r="768" spans="1:40" x14ac:dyDescent="0.25">
      <c r="A768" t="str">
        <f>"20190312160925113"</f>
        <v>20190312160925113</v>
      </c>
      <c r="B768" t="str">
        <f>"1552378165106196"</f>
        <v>1552378165106196</v>
      </c>
      <c r="C768" t="s">
        <v>40</v>
      </c>
      <c r="D768">
        <v>5.4535140000000002</v>
      </c>
      <c r="E768">
        <v>0.52878139999999996</v>
      </c>
      <c r="F768" t="s">
        <v>44</v>
      </c>
      <c r="G768">
        <v>-169.2955</v>
      </c>
      <c r="H768">
        <v>0.97254470000000004</v>
      </c>
      <c r="I768">
        <v>356.14319999999998</v>
      </c>
      <c r="J768">
        <v>-263.02960000000002</v>
      </c>
      <c r="K768">
        <v>1.110166</v>
      </c>
      <c r="L768">
        <v>367.71440000000001</v>
      </c>
      <c r="M768">
        <v>0.99977519999999998</v>
      </c>
      <c r="N768">
        <v>0</v>
      </c>
      <c r="O768">
        <v>-1.535926E-2</v>
      </c>
      <c r="P768">
        <v>0.99892389999999998</v>
      </c>
      <c r="Q768">
        <v>8.8731469999999996E-3</v>
      </c>
      <c r="R768">
        <v>-4.5525570000000001E-2</v>
      </c>
      <c r="S768">
        <v>2.9866329999999999</v>
      </c>
      <c r="T768">
        <v>-4.3644909999999999E-3</v>
      </c>
      <c r="U768">
        <v>-0.36740109999999998</v>
      </c>
      <c r="V768">
        <v>3.0176689999999999E-2</v>
      </c>
      <c r="W768">
        <v>2.3483810000000001E-2</v>
      </c>
      <c r="X768">
        <v>0.99926870000000001</v>
      </c>
      <c r="Y768">
        <v>0.10683429999999999</v>
      </c>
      <c r="Z768" s="1">
        <v>-5.5410240000000003E-5</v>
      </c>
      <c r="AA768">
        <v>0.99427679999999996</v>
      </c>
      <c r="AB768">
        <v>36</v>
      </c>
      <c r="AC768">
        <v>93.734099999999998</v>
      </c>
      <c r="AD768">
        <v>-0.137621299999999</v>
      </c>
      <c r="AE768">
        <v>-11.571199999999999</v>
      </c>
      <c r="AF768">
        <v>10.129973029656</v>
      </c>
      <c r="AG768">
        <v>-0.137621299999999</v>
      </c>
      <c r="AH768">
        <v>93.900585405761205</v>
      </c>
      <c r="AI768">
        <v>90.083488585803394</v>
      </c>
      <c r="AJ768">
        <v>83.842757210766095</v>
      </c>
      <c r="AK768">
        <v>94.445514624826998</v>
      </c>
      <c r="AL768">
        <v>88.654353133986007</v>
      </c>
      <c r="AM768">
        <v>88.270263374993604</v>
      </c>
      <c r="AN768">
        <v>1.0000000283755801</v>
      </c>
    </row>
    <row r="769" spans="1:40" x14ac:dyDescent="0.25">
      <c r="A769" t="str">
        <f>"20190312160925134"</f>
        <v>20190312160925134</v>
      </c>
      <c r="B769" t="str">
        <f>"1552378165125720"</f>
        <v>1552378165125720</v>
      </c>
      <c r="C769" t="s">
        <v>40</v>
      </c>
      <c r="D769">
        <v>5.5117849999999997</v>
      </c>
      <c r="E769">
        <v>0.52834559999999997</v>
      </c>
      <c r="F769" t="s">
        <v>44</v>
      </c>
      <c r="G769">
        <v>-169.2955</v>
      </c>
      <c r="H769">
        <v>1.1726840000000001</v>
      </c>
      <c r="I769">
        <v>356.22340000000003</v>
      </c>
      <c r="J769">
        <v>-262.68799999999999</v>
      </c>
      <c r="K769">
        <v>1.1101730000000001</v>
      </c>
      <c r="L769">
        <v>367.70909999999998</v>
      </c>
      <c r="M769">
        <v>0.99977499999999997</v>
      </c>
      <c r="N769">
        <v>0</v>
      </c>
      <c r="O769">
        <v>-1.535898E-2</v>
      </c>
      <c r="P769">
        <v>0.99889950000000005</v>
      </c>
      <c r="Q769">
        <v>8.8061140000000003E-3</v>
      </c>
      <c r="R769">
        <v>-4.6068400000000002E-2</v>
      </c>
      <c r="S769">
        <v>2.9865110000000001</v>
      </c>
      <c r="T769">
        <v>1.9947290000000002E-3</v>
      </c>
      <c r="U769">
        <v>-0.36611939999999998</v>
      </c>
      <c r="V769">
        <v>3.072014E-2</v>
      </c>
      <c r="W769">
        <v>2.3426120000000002E-2</v>
      </c>
      <c r="X769">
        <v>0.99925350000000002</v>
      </c>
      <c r="Y769">
        <v>0.10641920000000001</v>
      </c>
      <c r="Z769" s="1">
        <v>2.5188250000000001E-5</v>
      </c>
      <c r="AA769">
        <v>0.99432129999999996</v>
      </c>
      <c r="AB769">
        <v>36</v>
      </c>
      <c r="AC769">
        <v>93.392499999999899</v>
      </c>
      <c r="AD769">
        <v>6.2511000000000205E-2</v>
      </c>
      <c r="AE769">
        <v>-11.4856999999999</v>
      </c>
      <c r="AF769">
        <v>10.049773383126301</v>
      </c>
      <c r="AG769">
        <v>6.2511000000000205E-2</v>
      </c>
      <c r="AH769">
        <v>93.557867656561797</v>
      </c>
      <c r="AI769">
        <v>89.961936608934195</v>
      </c>
      <c r="AJ769">
        <v>83.868926806259296</v>
      </c>
      <c r="AK769">
        <v>94.096102220655496</v>
      </c>
      <c r="AL769">
        <v>88.657659444118096</v>
      </c>
      <c r="AM769">
        <v>88.239105332868803</v>
      </c>
      <c r="AN769">
        <v>1.0000000336810599</v>
      </c>
    </row>
    <row r="770" spans="1:40" x14ac:dyDescent="0.25">
      <c r="A770" t="str">
        <f>"20190312160925155"</f>
        <v>20190312160925155</v>
      </c>
      <c r="B770" t="str">
        <f>"1552378165146212"</f>
        <v>1552378165146212</v>
      </c>
      <c r="C770" t="s">
        <v>40</v>
      </c>
      <c r="D770">
        <v>5.4597769999999999</v>
      </c>
      <c r="E770">
        <v>0.52798959999999995</v>
      </c>
      <c r="F770" t="s">
        <v>44</v>
      </c>
      <c r="G770">
        <v>-169.2955</v>
      </c>
      <c r="H770">
        <v>1.45191</v>
      </c>
      <c r="I770">
        <v>356.32380000000001</v>
      </c>
      <c r="J770">
        <v>-262.34339999999997</v>
      </c>
      <c r="K770">
        <v>1.1101799999999999</v>
      </c>
      <c r="L770">
        <v>367.7038</v>
      </c>
      <c r="M770">
        <v>0.99977510000000003</v>
      </c>
      <c r="N770">
        <v>0</v>
      </c>
      <c r="O770">
        <v>-1.5358790000000001E-2</v>
      </c>
      <c r="P770">
        <v>0.9988958</v>
      </c>
      <c r="Q770">
        <v>8.3887700000000003E-3</v>
      </c>
      <c r="R770">
        <v>-4.6231630000000003E-2</v>
      </c>
      <c r="S770">
        <v>2.98645</v>
      </c>
      <c r="T770">
        <v>1.093066E-2</v>
      </c>
      <c r="U770">
        <v>-0.36407469999999997</v>
      </c>
      <c r="V770">
        <v>3.0883580000000001E-2</v>
      </c>
      <c r="W770">
        <v>2.301663E-2</v>
      </c>
      <c r="X770">
        <v>0.99925790000000003</v>
      </c>
      <c r="Y770">
        <v>0.1057505</v>
      </c>
      <c r="Z770">
        <v>1.368152E-4</v>
      </c>
      <c r="AA770">
        <v>0.99439270000000002</v>
      </c>
      <c r="AB770">
        <v>36</v>
      </c>
      <c r="AC770">
        <v>93.047899999999899</v>
      </c>
      <c r="AD770">
        <v>0.34172999999999998</v>
      </c>
      <c r="AE770">
        <v>-11.3799999999999</v>
      </c>
      <c r="AF770">
        <v>9.9492691936512703</v>
      </c>
      <c r="AG770">
        <v>0.34172999999999998</v>
      </c>
      <c r="AH770">
        <v>93.210485369362502</v>
      </c>
      <c r="AI770">
        <v>89.791128593616406</v>
      </c>
      <c r="AJ770">
        <v>83.907328404280804</v>
      </c>
      <c r="AK770">
        <v>93.740595899923605</v>
      </c>
      <c r="AL770">
        <v>88.681127717739798</v>
      </c>
      <c r="AM770">
        <v>88.229750600891293</v>
      </c>
      <c r="AN770">
        <v>0.99999995574128997</v>
      </c>
    </row>
    <row r="771" spans="1:40" x14ac:dyDescent="0.25">
      <c r="A771" t="str">
        <f>"20190312160925178"</f>
        <v>20190312160925178</v>
      </c>
      <c r="B771" t="str">
        <f>"1552378165165732"</f>
        <v>1552378165165732</v>
      </c>
      <c r="C771" t="s">
        <v>40</v>
      </c>
      <c r="D771">
        <v>5.4578819999999997</v>
      </c>
      <c r="E771">
        <v>0.52770220000000001</v>
      </c>
      <c r="F771" t="s">
        <v>44</v>
      </c>
      <c r="G771">
        <v>-169.2955</v>
      </c>
      <c r="H771">
        <v>1.7014469999999999</v>
      </c>
      <c r="I771">
        <v>356.43270000000001</v>
      </c>
      <c r="J771">
        <v>-261.98669999999998</v>
      </c>
      <c r="K771">
        <v>1.110182</v>
      </c>
      <c r="L771">
        <v>367.69830000000002</v>
      </c>
      <c r="M771">
        <v>0.99977490000000002</v>
      </c>
      <c r="N771">
        <v>0</v>
      </c>
      <c r="O771">
        <v>-1.5358719999999999E-2</v>
      </c>
      <c r="P771">
        <v>0.99890279999999998</v>
      </c>
      <c r="Q771">
        <v>7.8367909999999992E-3</v>
      </c>
      <c r="R771">
        <v>-4.6174739999999999E-2</v>
      </c>
      <c r="S771">
        <v>2.98645</v>
      </c>
      <c r="T771">
        <v>1.8980029999999998E-2</v>
      </c>
      <c r="U771">
        <v>-0.3617554</v>
      </c>
      <c r="V771">
        <v>3.0826619999999999E-2</v>
      </c>
      <c r="W771">
        <v>2.2472220000000001E-2</v>
      </c>
      <c r="X771">
        <v>0.9992721</v>
      </c>
      <c r="Y771">
        <v>0.10498830000000001</v>
      </c>
      <c r="Z771">
        <v>2.3516300000000001E-4</v>
      </c>
      <c r="AA771">
        <v>0.99447339999999995</v>
      </c>
      <c r="AB771">
        <v>35</v>
      </c>
      <c r="AC771">
        <v>92.691199999999895</v>
      </c>
      <c r="AD771">
        <v>0.59126500000000004</v>
      </c>
      <c r="AE771">
        <v>-11.265599999999999</v>
      </c>
      <c r="AF771">
        <v>9.8401056256053696</v>
      </c>
      <c r="AG771">
        <v>0.59126500000000004</v>
      </c>
      <c r="AH771">
        <v>92.849585220010297</v>
      </c>
      <c r="AI771">
        <v>89.637177905486993</v>
      </c>
      <c r="AJ771">
        <v>83.950432162952296</v>
      </c>
      <c r="AK771">
        <v>93.371423618531395</v>
      </c>
      <c r="AL771">
        <v>88.712328250105799</v>
      </c>
      <c r="AM771">
        <v>88.233038574752797</v>
      </c>
      <c r="AN771">
        <v>1.0000000055053799</v>
      </c>
    </row>
    <row r="772" spans="1:40" x14ac:dyDescent="0.25">
      <c r="A772" t="str">
        <f>"20190312160925200"</f>
        <v>20190312160925200</v>
      </c>
      <c r="B772" t="str">
        <f>"1552378165195988"</f>
        <v>1552378165195988</v>
      </c>
      <c r="C772" t="s">
        <v>40</v>
      </c>
      <c r="D772">
        <v>5.5637990000000004</v>
      </c>
      <c r="E772">
        <v>0.52725669999999902</v>
      </c>
      <c r="F772" t="s">
        <v>44</v>
      </c>
      <c r="G772">
        <v>-169.2955</v>
      </c>
      <c r="H772">
        <v>1.989528</v>
      </c>
      <c r="I772">
        <v>356.55099999999999</v>
      </c>
      <c r="J772">
        <v>-261.63080000000002</v>
      </c>
      <c r="K772">
        <v>1.1101840000000001</v>
      </c>
      <c r="L772">
        <v>367.69290000000001</v>
      </c>
      <c r="M772">
        <v>0.99977479999999996</v>
      </c>
      <c r="N772">
        <v>0</v>
      </c>
      <c r="O772">
        <v>-1.535864E-2</v>
      </c>
      <c r="P772">
        <v>0.99889059999999996</v>
      </c>
      <c r="Q772">
        <v>7.9415119999999995E-3</v>
      </c>
      <c r="R772">
        <v>-4.6419769999999999E-2</v>
      </c>
      <c r="S772">
        <v>2.9864809999999999</v>
      </c>
      <c r="T772">
        <v>2.8334979999999999E-2</v>
      </c>
      <c r="U772">
        <v>-0.35916140000000002</v>
      </c>
      <c r="V772">
        <v>3.1071910000000001E-2</v>
      </c>
      <c r="W772">
        <v>2.258187E-2</v>
      </c>
      <c r="X772">
        <v>0.99926199999999998</v>
      </c>
      <c r="Y772">
        <v>0.10413360000000001</v>
      </c>
      <c r="Z772">
        <v>3.4704190000000001E-4</v>
      </c>
      <c r="AA772">
        <v>0.99456330000000004</v>
      </c>
      <c r="AB772">
        <v>35</v>
      </c>
      <c r="AC772">
        <v>92.335300000000004</v>
      </c>
      <c r="AD772">
        <v>0.87934399999999902</v>
      </c>
      <c r="AE772">
        <v>-11.1419</v>
      </c>
      <c r="AF772">
        <v>9.7214197682440506</v>
      </c>
      <c r="AG772">
        <v>0.87934399999999902</v>
      </c>
      <c r="AH772">
        <v>92.487281693175305</v>
      </c>
      <c r="AI772">
        <v>89.458247994246804</v>
      </c>
      <c r="AJ772">
        <v>83.9996233218437</v>
      </c>
      <c r="AK772">
        <v>93.000949044477494</v>
      </c>
      <c r="AL772">
        <v>88.7060441331585</v>
      </c>
      <c r="AM772">
        <v>88.218969744044102</v>
      </c>
      <c r="AN772">
        <v>0.99999997454387202</v>
      </c>
    </row>
    <row r="773" spans="1:40" x14ac:dyDescent="0.25">
      <c r="A773" t="str">
        <f>"20190312160925224"</f>
        <v>20190312160925224</v>
      </c>
      <c r="B773" t="str">
        <f>"1552378165216484"</f>
        <v>1552378165216484</v>
      </c>
      <c r="C773" t="s">
        <v>40</v>
      </c>
      <c r="D773">
        <v>5.5410190000000004</v>
      </c>
      <c r="E773">
        <v>0.52695049999999999</v>
      </c>
      <c r="F773" t="s">
        <v>44</v>
      </c>
      <c r="G773">
        <v>-168.73670000000001</v>
      </c>
      <c r="H773">
        <v>2.4314629999999999</v>
      </c>
      <c r="I773">
        <v>356.61509999999998</v>
      </c>
      <c r="J773">
        <v>-261.2627</v>
      </c>
      <c r="K773">
        <v>1.1101909999999999</v>
      </c>
      <c r="L773">
        <v>367.68729999999999</v>
      </c>
      <c r="M773">
        <v>0.99977470000000002</v>
      </c>
      <c r="N773">
        <v>0</v>
      </c>
      <c r="O773">
        <v>-1.5358439999999999E-2</v>
      </c>
      <c r="P773">
        <v>0.99886249999999999</v>
      </c>
      <c r="Q773">
        <v>8.1348959999999904E-3</v>
      </c>
      <c r="R773">
        <v>-4.6984650000000003E-2</v>
      </c>
      <c r="S773">
        <v>2.98645</v>
      </c>
      <c r="T773">
        <v>4.2480589999999999E-2</v>
      </c>
      <c r="U773">
        <v>-0.35614010000000001</v>
      </c>
      <c r="V773">
        <v>3.1637400000000003E-2</v>
      </c>
      <c r="W773">
        <v>2.2779230000000001E-2</v>
      </c>
      <c r="X773">
        <v>0.99923980000000001</v>
      </c>
      <c r="Y773">
        <v>0.1031382</v>
      </c>
      <c r="Z773">
        <v>5.1326550000000001E-4</v>
      </c>
      <c r="AA773">
        <v>0.99466690000000002</v>
      </c>
      <c r="AB773">
        <v>35</v>
      </c>
      <c r="AC773">
        <v>92.525999999999897</v>
      </c>
      <c r="AD773">
        <v>1.321272</v>
      </c>
      <c r="AE773">
        <v>-11.0722</v>
      </c>
      <c r="AF773">
        <v>9.6477466262087805</v>
      </c>
      <c r="AG773">
        <v>1.321272</v>
      </c>
      <c r="AH773">
        <v>92.666524738438497</v>
      </c>
      <c r="AI773">
        <v>89.187502954299205</v>
      </c>
      <c r="AJ773">
        <v>84.056205293219406</v>
      </c>
      <c r="AK773">
        <v>93.176765246284106</v>
      </c>
      <c r="AL773">
        <v>88.694733359071606</v>
      </c>
      <c r="AM773">
        <v>88.186537256162296</v>
      </c>
      <c r="AN773">
        <v>0.99999999815109597</v>
      </c>
    </row>
    <row r="774" spans="1:40" x14ac:dyDescent="0.25">
      <c r="A774" t="str">
        <f>"20190312160925246"</f>
        <v>20190312160925246</v>
      </c>
      <c r="B774" t="str">
        <f>"1552378165236004"</f>
        <v>1552378165236004</v>
      </c>
      <c r="C774" t="s">
        <v>40</v>
      </c>
      <c r="D774">
        <v>5.6415980000000001</v>
      </c>
      <c r="E774">
        <v>0.52699229999999997</v>
      </c>
      <c r="F774" t="s">
        <v>44</v>
      </c>
      <c r="G774">
        <v>-168.2302</v>
      </c>
      <c r="H774">
        <v>2.7149589999999999</v>
      </c>
      <c r="I774">
        <v>356.61509999999998</v>
      </c>
      <c r="J774">
        <v>-260.91910000000001</v>
      </c>
      <c r="K774">
        <v>1.110193</v>
      </c>
      <c r="L774">
        <v>367.68200000000002</v>
      </c>
      <c r="M774">
        <v>0.99977459999999996</v>
      </c>
      <c r="N774">
        <v>0</v>
      </c>
      <c r="O774">
        <v>-1.535834E-2</v>
      </c>
      <c r="P774">
        <v>0.99883750000000004</v>
      </c>
      <c r="Q774">
        <v>8.0837830000000006E-3</v>
      </c>
      <c r="R774">
        <v>-4.7520470000000002E-2</v>
      </c>
      <c r="S774">
        <v>2.9862669999999998</v>
      </c>
      <c r="T774">
        <v>5.1514509999999999E-2</v>
      </c>
      <c r="U774">
        <v>-0.35540769999999999</v>
      </c>
      <c r="V774">
        <v>3.2173489999999999E-2</v>
      </c>
      <c r="W774">
        <v>2.27306E-2</v>
      </c>
      <c r="X774">
        <v>0.9992238</v>
      </c>
      <c r="Y774">
        <v>0.1029009</v>
      </c>
      <c r="Z774">
        <v>6.2041039999999998E-4</v>
      </c>
      <c r="AA774">
        <v>0.9946914</v>
      </c>
      <c r="AB774">
        <v>35</v>
      </c>
      <c r="AC774">
        <v>92.688900000000004</v>
      </c>
      <c r="AD774">
        <v>1.6047659999999999</v>
      </c>
      <c r="AE774">
        <v>-11.066899999999899</v>
      </c>
      <c r="AF774">
        <v>9.6390450651594097</v>
      </c>
      <c r="AG774">
        <v>1.6047659999999999</v>
      </c>
      <c r="AH774">
        <v>92.820520380107695</v>
      </c>
      <c r="AI774">
        <v>89.014813700226199</v>
      </c>
      <c r="AJ774">
        <v>84.071309934301397</v>
      </c>
      <c r="AK774">
        <v>93.333463812916094</v>
      </c>
      <c r="AL774">
        <v>88.697520387376599</v>
      </c>
      <c r="AM774">
        <v>88.155799992131506</v>
      </c>
      <c r="AN774">
        <v>1.00000000806079</v>
      </c>
    </row>
    <row r="775" spans="1:40" x14ac:dyDescent="0.25">
      <c r="A775" t="str">
        <f>"20190312160925268"</f>
        <v>20190312160925268</v>
      </c>
      <c r="B775" t="str">
        <f>"1552378165255525"</f>
        <v>1552378165255525</v>
      </c>
      <c r="C775" t="s">
        <v>40</v>
      </c>
      <c r="D775">
        <v>5.5912569999999997</v>
      </c>
      <c r="E775">
        <v>0.52723379999999997</v>
      </c>
      <c r="F775" t="s">
        <v>44</v>
      </c>
      <c r="G775">
        <v>-168.38929999999999</v>
      </c>
      <c r="H775">
        <v>2.7072989999999999</v>
      </c>
      <c r="I775">
        <v>356.61509999999998</v>
      </c>
      <c r="J775">
        <v>-260.56619999999998</v>
      </c>
      <c r="K775">
        <v>1.110196</v>
      </c>
      <c r="L775">
        <v>367.67649999999998</v>
      </c>
      <c r="M775">
        <v>0.99977479999999996</v>
      </c>
      <c r="N775">
        <v>0</v>
      </c>
      <c r="O775">
        <v>-1.5358119999999999E-2</v>
      </c>
      <c r="P775">
        <v>0.99881379999999997</v>
      </c>
      <c r="Q775">
        <v>7.5472059999999999E-3</v>
      </c>
      <c r="R775">
        <v>-4.8106320000000001E-2</v>
      </c>
      <c r="S775">
        <v>2.986084</v>
      </c>
      <c r="T775">
        <v>5.1543949999999998E-2</v>
      </c>
      <c r="U775">
        <v>-0.3571472</v>
      </c>
      <c r="V775">
        <v>3.275993E-2</v>
      </c>
      <c r="W775">
        <v>2.2196199999999999E-2</v>
      </c>
      <c r="X775">
        <v>0.99921669999999996</v>
      </c>
      <c r="Y775">
        <v>0.1034795</v>
      </c>
      <c r="Z775">
        <v>6.257608E-4</v>
      </c>
      <c r="AA775">
        <v>0.99463140000000005</v>
      </c>
      <c r="AB775">
        <v>35</v>
      </c>
      <c r="AC775">
        <v>92.176900000000003</v>
      </c>
      <c r="AD775">
        <v>1.5971029999999999</v>
      </c>
      <c r="AE775">
        <v>-11.0613999999999</v>
      </c>
      <c r="AF775">
        <v>9.6414260370928897</v>
      </c>
      <c r="AG775">
        <v>1.5971029999999999</v>
      </c>
      <c r="AH775">
        <v>92.308608240529594</v>
      </c>
      <c r="AI775">
        <v>89.014141943963807</v>
      </c>
      <c r="AJ775">
        <v>84.037205637782705</v>
      </c>
      <c r="AK775">
        <v>92.8244956319446</v>
      </c>
      <c r="AL775">
        <v>88.728146904983703</v>
      </c>
      <c r="AM775">
        <v>88.1221954850012</v>
      </c>
      <c r="AN775">
        <v>0.999999948933466</v>
      </c>
    </row>
    <row r="776" spans="1:40" x14ac:dyDescent="0.25">
      <c r="A776" t="str">
        <f>"20190312160925290"</f>
        <v>20190312160925290</v>
      </c>
      <c r="B776" t="str">
        <f>"1552378165285781"</f>
        <v>1552378165285781</v>
      </c>
      <c r="C776" t="s">
        <v>40</v>
      </c>
      <c r="D776">
        <v>5.6508500000000002</v>
      </c>
      <c r="E776">
        <v>0.52768009999999999</v>
      </c>
      <c r="F776" t="s">
        <v>44</v>
      </c>
      <c r="G776">
        <v>-169.0591</v>
      </c>
      <c r="H776">
        <v>2.5284759999999999</v>
      </c>
      <c r="I776">
        <v>356.61509999999998</v>
      </c>
      <c r="J776">
        <v>-260.22410000000002</v>
      </c>
      <c r="K776">
        <v>1.110196</v>
      </c>
      <c r="L776">
        <v>367.67129999999997</v>
      </c>
      <c r="M776">
        <v>0.99977459999999996</v>
      </c>
      <c r="N776">
        <v>0</v>
      </c>
      <c r="O776">
        <v>-1.535801E-2</v>
      </c>
      <c r="P776">
        <v>0.99879810000000002</v>
      </c>
      <c r="Q776">
        <v>6.9418500000000003E-3</v>
      </c>
      <c r="R776">
        <v>-4.852422E-2</v>
      </c>
      <c r="S776">
        <v>2.98584</v>
      </c>
      <c r="T776">
        <v>4.6280740000000001E-2</v>
      </c>
      <c r="U776">
        <v>-0.36093140000000001</v>
      </c>
      <c r="V776">
        <v>3.3178180000000002E-2</v>
      </c>
      <c r="W776">
        <v>2.1592199999999999E-2</v>
      </c>
      <c r="X776">
        <v>0.9992162</v>
      </c>
      <c r="Y776">
        <v>0.1047341</v>
      </c>
      <c r="Z776">
        <v>5.7156449999999897E-4</v>
      </c>
      <c r="AA776">
        <v>0.9945001</v>
      </c>
      <c r="AB776">
        <v>35</v>
      </c>
      <c r="AC776">
        <v>91.165000000000006</v>
      </c>
      <c r="AD776">
        <v>1.41828</v>
      </c>
      <c r="AE776">
        <v>-11.056199999999899</v>
      </c>
      <c r="AF776">
        <v>9.6523300206350804</v>
      </c>
      <c r="AG776">
        <v>1.41828</v>
      </c>
      <c r="AH776">
        <v>91.302287546403406</v>
      </c>
      <c r="AI776">
        <v>89.114976194376197</v>
      </c>
      <c r="AJ776">
        <v>83.965198738438403</v>
      </c>
      <c r="AK776">
        <v>91.8220382271695</v>
      </c>
      <c r="AL776">
        <v>88.7627619367195</v>
      </c>
      <c r="AM776">
        <v>88.0982378697</v>
      </c>
      <c r="AN776">
        <v>1.00000001453569</v>
      </c>
    </row>
    <row r="777" spans="1:40" x14ac:dyDescent="0.25">
      <c r="A777" t="str">
        <f>"20190312160925313"</f>
        <v>20190312160925313</v>
      </c>
      <c r="B777" t="str">
        <f>"1552378165306276"</f>
        <v>1552378165306276</v>
      </c>
      <c r="C777" t="s">
        <v>40</v>
      </c>
      <c r="D777">
        <v>5.5385530000000003</v>
      </c>
      <c r="E777">
        <v>0.52834209999999904</v>
      </c>
      <c r="F777" t="s">
        <v>44</v>
      </c>
      <c r="G777">
        <v>-169.2955</v>
      </c>
      <c r="H777">
        <v>2.2210939999999999</v>
      </c>
      <c r="I777">
        <v>356.53</v>
      </c>
      <c r="J777">
        <v>-259.8639</v>
      </c>
      <c r="K777">
        <v>1.1102030000000001</v>
      </c>
      <c r="L777">
        <v>367.66570000000002</v>
      </c>
      <c r="M777">
        <v>0.99977470000000002</v>
      </c>
      <c r="N777">
        <v>0</v>
      </c>
      <c r="O777">
        <v>-1.535801E-2</v>
      </c>
      <c r="P777">
        <v>0.99880179999999996</v>
      </c>
      <c r="Q777">
        <v>6.9342509999999998E-3</v>
      </c>
      <c r="R777">
        <v>-4.8449140000000002E-2</v>
      </c>
      <c r="S777">
        <v>2.9855649999999998</v>
      </c>
      <c r="T777">
        <v>3.6478280000000002E-2</v>
      </c>
      <c r="U777">
        <v>-0.36581419999999998</v>
      </c>
      <c r="V777">
        <v>3.3103E-2</v>
      </c>
      <c r="W777">
        <v>2.1585050000000001E-2</v>
      </c>
      <c r="X777">
        <v>0.99921879999999996</v>
      </c>
      <c r="Y777">
        <v>0.106351399999999</v>
      </c>
      <c r="Z777">
        <v>4.6035580000000002E-4</v>
      </c>
      <c r="AA777">
        <v>0.99432849999999995</v>
      </c>
      <c r="AB777">
        <v>35</v>
      </c>
      <c r="AC777">
        <v>90.568399999999997</v>
      </c>
      <c r="AD777">
        <v>1.1108910000000001</v>
      </c>
      <c r="AE777">
        <v>-11.1357</v>
      </c>
      <c r="AF777">
        <v>9.7418428140854605</v>
      </c>
      <c r="AG777">
        <v>1.1108910000000001</v>
      </c>
      <c r="AH777">
        <v>90.715311731826503</v>
      </c>
      <c r="AI777">
        <v>89.302406996239597</v>
      </c>
      <c r="AJ777">
        <v>83.870543792473498</v>
      </c>
      <c r="AK777">
        <v>91.243659302061502</v>
      </c>
      <c r="AL777">
        <v>88.763171637779706</v>
      </c>
      <c r="AM777">
        <v>88.102548942050404</v>
      </c>
      <c r="AN777">
        <v>0.99999996663296997</v>
      </c>
    </row>
    <row r="778" spans="1:40" x14ac:dyDescent="0.25">
      <c r="A778" t="str">
        <f>"20190312160925334"</f>
        <v>20190312160925334</v>
      </c>
      <c r="B778" t="str">
        <f>"1552378165325796"</f>
        <v>1552378165325796</v>
      </c>
      <c r="C778" t="s">
        <v>40</v>
      </c>
      <c r="D778">
        <v>5.5907369999999998</v>
      </c>
      <c r="E778">
        <v>0.52894019999999897</v>
      </c>
      <c r="F778" t="s">
        <v>44</v>
      </c>
      <c r="G778">
        <v>-169.2955</v>
      </c>
      <c r="H778">
        <v>1.9261619999999999</v>
      </c>
      <c r="I778">
        <v>356.40410000000003</v>
      </c>
      <c r="J778">
        <v>-259.52370000000002</v>
      </c>
      <c r="K778">
        <v>1.110206</v>
      </c>
      <c r="L778">
        <v>367.66050000000001</v>
      </c>
      <c r="M778">
        <v>0.99977459999999996</v>
      </c>
      <c r="N778">
        <v>0</v>
      </c>
      <c r="O778">
        <v>-1.535765E-2</v>
      </c>
      <c r="P778">
        <v>0.99880679999999999</v>
      </c>
      <c r="Q778">
        <v>7.1556679999999996E-3</v>
      </c>
      <c r="R778">
        <v>-4.8312769999999998E-2</v>
      </c>
      <c r="S778">
        <v>2.985382</v>
      </c>
      <c r="T778">
        <v>2.6899099999999999E-2</v>
      </c>
      <c r="U778">
        <v>-0.37121579999999998</v>
      </c>
      <c r="V778">
        <v>3.2966950000000002E-2</v>
      </c>
      <c r="W778">
        <v>2.1806240000000001E-2</v>
      </c>
      <c r="X778">
        <v>0.99921850000000001</v>
      </c>
      <c r="Y778">
        <v>0.10813399999999999</v>
      </c>
      <c r="Z778">
        <v>3.4745909999999997E-4</v>
      </c>
      <c r="AA778">
        <v>0.99413629999999997</v>
      </c>
      <c r="AB778">
        <v>35</v>
      </c>
      <c r="AC778">
        <v>90.228200000000001</v>
      </c>
      <c r="AD778">
        <v>0.81595599999999902</v>
      </c>
      <c r="AE778">
        <v>-11.2563999999999</v>
      </c>
      <c r="AF778">
        <v>9.8684354810755099</v>
      </c>
      <c r="AG778">
        <v>0.81595599999999902</v>
      </c>
      <c r="AH778">
        <v>90.383168730641401</v>
      </c>
      <c r="AI778">
        <v>89.485818088543795</v>
      </c>
      <c r="AJ778">
        <v>83.768875202382901</v>
      </c>
      <c r="AK778">
        <v>90.923973696873105</v>
      </c>
      <c r="AL778">
        <v>88.750495406005996</v>
      </c>
      <c r="AM778">
        <v>88.110341042682094</v>
      </c>
      <c r="AN778">
        <v>0.99999997131874396</v>
      </c>
    </row>
    <row r="779" spans="1:40" x14ac:dyDescent="0.25">
      <c r="A779" t="str">
        <f>"20190312160925357"</f>
        <v>20190312160925357</v>
      </c>
      <c r="B779" t="str">
        <f>"1552378165346293"</f>
        <v>1552378165346293</v>
      </c>
      <c r="C779" t="s">
        <v>40</v>
      </c>
      <c r="D779">
        <v>5.5256169999999996</v>
      </c>
      <c r="E779">
        <v>0.52949360000000001</v>
      </c>
      <c r="F779" t="s">
        <v>44</v>
      </c>
      <c r="G779">
        <v>-169.2955</v>
      </c>
      <c r="H779">
        <v>1.7250840000000001</v>
      </c>
      <c r="I779">
        <v>356.31439999999998</v>
      </c>
      <c r="J779">
        <v>-259.17720000000003</v>
      </c>
      <c r="K779">
        <v>1.1101989999999999</v>
      </c>
      <c r="L779">
        <v>367.65519999999998</v>
      </c>
      <c r="M779">
        <v>0.99977459999999996</v>
      </c>
      <c r="N779">
        <v>0</v>
      </c>
      <c r="O779">
        <v>-1.5357289999999999E-2</v>
      </c>
      <c r="P779">
        <v>0.9988245</v>
      </c>
      <c r="Q779">
        <v>7.1625269999999897E-3</v>
      </c>
      <c r="R779">
        <v>-4.7937489999999999E-2</v>
      </c>
      <c r="S779">
        <v>2.9852910000000001</v>
      </c>
      <c r="T779">
        <v>2.0346759999999998E-2</v>
      </c>
      <c r="U779">
        <v>-0.37539670000000003</v>
      </c>
      <c r="V779">
        <v>3.2591839999999997E-2</v>
      </c>
      <c r="W779">
        <v>2.181292E-2</v>
      </c>
      <c r="X779">
        <v>0.99923070000000003</v>
      </c>
      <c r="Y779">
        <v>0.10951039999999999</v>
      </c>
      <c r="Z779">
        <v>2.6748400000000002E-4</v>
      </c>
      <c r="AA779">
        <v>0.99398560000000002</v>
      </c>
      <c r="AB779">
        <v>35</v>
      </c>
      <c r="AC779">
        <v>89.881699999999995</v>
      </c>
      <c r="AD779">
        <v>0.61488500000000001</v>
      </c>
      <c r="AE779">
        <v>-11.3408</v>
      </c>
      <c r="AF779">
        <v>9.9585158600582204</v>
      </c>
      <c r="AG779">
        <v>0.61488500000000001</v>
      </c>
      <c r="AH779">
        <v>90.041132747852103</v>
      </c>
      <c r="AI779">
        <v>89.611108168688702</v>
      </c>
      <c r="AJ779">
        <v>83.688758266131103</v>
      </c>
      <c r="AK779">
        <v>90.592249713839095</v>
      </c>
      <c r="AL779">
        <v>88.750112629569799</v>
      </c>
      <c r="AM779">
        <v>88.131849742195399</v>
      </c>
      <c r="AN779">
        <v>1.0000000116679999</v>
      </c>
    </row>
    <row r="780" spans="1:40" x14ac:dyDescent="0.25">
      <c r="A780" t="str">
        <f>"20190312160925379"</f>
        <v>20190312160925379</v>
      </c>
      <c r="B780" t="str">
        <f>"1552378165375573"</f>
        <v>1552378165375573</v>
      </c>
      <c r="C780" t="s">
        <v>40</v>
      </c>
      <c r="D780">
        <v>5.4488260000000004</v>
      </c>
      <c r="E780">
        <v>0.5303196</v>
      </c>
      <c r="F780" t="s">
        <v>44</v>
      </c>
      <c r="G780">
        <v>-169.2955</v>
      </c>
      <c r="H780">
        <v>1.510758</v>
      </c>
      <c r="I780">
        <v>356.24590000000001</v>
      </c>
      <c r="J780">
        <v>-258.82229999999998</v>
      </c>
      <c r="K780">
        <v>1.110201</v>
      </c>
      <c r="L780">
        <v>367.6497</v>
      </c>
      <c r="M780">
        <v>0.99977459999999996</v>
      </c>
      <c r="N780">
        <v>0</v>
      </c>
      <c r="O780">
        <v>-1.535716E-2</v>
      </c>
      <c r="P780">
        <v>0.99883809999999995</v>
      </c>
      <c r="Q780">
        <v>6.8279219999999897E-3</v>
      </c>
      <c r="R780">
        <v>-4.7703580000000002E-2</v>
      </c>
      <c r="S780">
        <v>2.9852599999999998</v>
      </c>
      <c r="T780">
        <v>1.3306739999999999E-2</v>
      </c>
      <c r="U780">
        <v>-0.37893680000000002</v>
      </c>
      <c r="V780">
        <v>3.2357919999999998E-2</v>
      </c>
      <c r="W780">
        <v>2.1477300000000001E-2</v>
      </c>
      <c r="X780">
        <v>0.99924559999999996</v>
      </c>
      <c r="Y780">
        <v>0.1106732</v>
      </c>
      <c r="Z780">
        <v>1.775057E-4</v>
      </c>
      <c r="AA780">
        <v>0.99385679999999998</v>
      </c>
      <c r="AB780">
        <v>35</v>
      </c>
      <c r="AC780">
        <v>89.526799999999895</v>
      </c>
      <c r="AD780">
        <v>0.400557</v>
      </c>
      <c r="AE780">
        <v>-11.403799999999899</v>
      </c>
      <c r="AF780">
        <v>10.027232209919701</v>
      </c>
      <c r="AG780">
        <v>0.400557</v>
      </c>
      <c r="AH780">
        <v>89.689622056006002</v>
      </c>
      <c r="AI780">
        <v>89.745701033229395</v>
      </c>
      <c r="AJ780">
        <v>83.620864739511205</v>
      </c>
      <c r="AK780">
        <v>90.249288840694504</v>
      </c>
      <c r="AL780">
        <v>88.769346779141401</v>
      </c>
      <c r="AM780">
        <v>88.145276174428304</v>
      </c>
      <c r="AN780">
        <v>1.00000003926068</v>
      </c>
    </row>
    <row r="781" spans="1:40" x14ac:dyDescent="0.25">
      <c r="A781" t="str">
        <f>"20190312160925402"</f>
        <v>20190312160925402</v>
      </c>
      <c r="B781" t="str">
        <f>"1552378165396068"</f>
        <v>1552378165396068</v>
      </c>
      <c r="C781" t="s">
        <v>40</v>
      </c>
      <c r="D781">
        <v>5.4353889999999998</v>
      </c>
      <c r="E781">
        <v>0.53087320000000005</v>
      </c>
      <c r="F781" t="s">
        <v>44</v>
      </c>
      <c r="G781">
        <v>-169.2955</v>
      </c>
      <c r="H781">
        <v>1.294608</v>
      </c>
      <c r="I781">
        <v>356.10719999999998</v>
      </c>
      <c r="J781">
        <v>-258.46080000000001</v>
      </c>
      <c r="K781">
        <v>1.110201</v>
      </c>
      <c r="L781">
        <v>367.64420000000001</v>
      </c>
      <c r="M781">
        <v>0.99977479999999996</v>
      </c>
      <c r="N781">
        <v>0</v>
      </c>
      <c r="O781">
        <v>-1.535715E-2</v>
      </c>
      <c r="P781">
        <v>0.99881200000000003</v>
      </c>
      <c r="Q781">
        <v>6.6340799999999997E-3</v>
      </c>
      <c r="R781">
        <v>-4.8277559999999997E-2</v>
      </c>
      <c r="S781">
        <v>2.9850620000000001</v>
      </c>
      <c r="T781">
        <v>6.1515569999999898E-3</v>
      </c>
      <c r="U781">
        <v>-0.38485720000000001</v>
      </c>
      <c r="V781">
        <v>3.2932259999999998E-2</v>
      </c>
      <c r="W781">
        <v>2.128184E-2</v>
      </c>
      <c r="X781">
        <v>0.99923099999999998</v>
      </c>
      <c r="Y781">
        <v>0.11262129999999999</v>
      </c>
      <c r="Z781" s="1">
        <v>8.4053600000000004E-5</v>
      </c>
      <c r="AA781">
        <v>0.99363800000000002</v>
      </c>
      <c r="AB781">
        <v>35</v>
      </c>
      <c r="AC781">
        <v>89.165300000000002</v>
      </c>
      <c r="AD781">
        <v>0.18440699999999999</v>
      </c>
      <c r="AE781">
        <v>-11.537000000000001</v>
      </c>
      <c r="AF781">
        <v>10.1661246304652</v>
      </c>
      <c r="AG781">
        <v>0.18440699999999999</v>
      </c>
      <c r="AH781">
        <v>89.331601304542303</v>
      </c>
      <c r="AI781">
        <v>89.882483159835303</v>
      </c>
      <c r="AJ781">
        <v>83.507551037836194</v>
      </c>
      <c r="AK781">
        <v>89.908392753833098</v>
      </c>
      <c r="AL781">
        <v>88.780548349742304</v>
      </c>
      <c r="AM781">
        <v>88.112351624167204</v>
      </c>
      <c r="AN781">
        <v>1.0000000209117399</v>
      </c>
    </row>
    <row r="782" spans="1:40" x14ac:dyDescent="0.25">
      <c r="A782" t="str">
        <f>"20190312160925424"</f>
        <v>20190312160925424</v>
      </c>
      <c r="B782" t="str">
        <f>"1552378165415593"</f>
        <v>1552378165415593</v>
      </c>
      <c r="C782" t="s">
        <v>40</v>
      </c>
      <c r="D782">
        <v>5.5359579999999999</v>
      </c>
      <c r="E782">
        <v>0.53125940000000005</v>
      </c>
      <c r="F782" t="s">
        <v>44</v>
      </c>
      <c r="G782">
        <v>-169.2955</v>
      </c>
      <c r="H782">
        <v>1.192842</v>
      </c>
      <c r="I782">
        <v>355.96359999999999</v>
      </c>
      <c r="J782">
        <v>-258.1241</v>
      </c>
      <c r="K782">
        <v>1.1102099999999999</v>
      </c>
      <c r="L782">
        <v>367.63900000000001</v>
      </c>
      <c r="M782">
        <v>0.99977470000000002</v>
      </c>
      <c r="N782">
        <v>0</v>
      </c>
      <c r="O782">
        <v>-1.5356899999999901E-2</v>
      </c>
      <c r="P782">
        <v>0.99878639999999996</v>
      </c>
      <c r="Q782">
        <v>6.2723589999999999E-3</v>
      </c>
      <c r="R782">
        <v>-4.8852439999999997E-2</v>
      </c>
      <c r="S782">
        <v>2.98468</v>
      </c>
      <c r="T782">
        <v>2.7692319999999999E-3</v>
      </c>
      <c r="U782">
        <v>-0.39099119999999998</v>
      </c>
      <c r="V782">
        <v>3.3507540000000002E-2</v>
      </c>
      <c r="W782">
        <v>2.0918579999999999E-2</v>
      </c>
      <c r="X782">
        <v>0.99921950000000004</v>
      </c>
      <c r="Y782">
        <v>0.11464580000000001</v>
      </c>
      <c r="Z782" s="1">
        <v>3.8773509999999998E-5</v>
      </c>
      <c r="AA782">
        <v>0.99340640000000002</v>
      </c>
      <c r="AB782">
        <v>35</v>
      </c>
      <c r="AC782">
        <v>88.828599999999994</v>
      </c>
      <c r="AD782">
        <v>8.2631999999999803E-2</v>
      </c>
      <c r="AE782">
        <v>-11.6754</v>
      </c>
      <c r="AF782">
        <v>10.309735722141401</v>
      </c>
      <c r="AG782">
        <v>8.2631999999999803E-2</v>
      </c>
      <c r="AH782">
        <v>88.997364210307794</v>
      </c>
      <c r="AI782">
        <v>89.947155599981699</v>
      </c>
      <c r="AJ782">
        <v>83.392129331621305</v>
      </c>
      <c r="AK782">
        <v>89.592568414405903</v>
      </c>
      <c r="AL782">
        <v>88.801366194867597</v>
      </c>
      <c r="AM782">
        <v>88.079379473269896</v>
      </c>
      <c r="AN782">
        <v>0.99999997570315802</v>
      </c>
    </row>
    <row r="783" spans="1:40" x14ac:dyDescent="0.25">
      <c r="A783" t="str">
        <f>"20190312160925446"</f>
        <v>20190312160925446</v>
      </c>
      <c r="B783" t="str">
        <f>"1552378165436085"</f>
        <v>1552378165436085</v>
      </c>
      <c r="C783" t="s">
        <v>40</v>
      </c>
      <c r="D783">
        <v>5.4315610000000003</v>
      </c>
      <c r="E783">
        <v>0.53172810000000004</v>
      </c>
      <c r="F783" t="s">
        <v>44</v>
      </c>
      <c r="G783">
        <v>-169.2955</v>
      </c>
      <c r="H783">
        <v>1.0757060000000001</v>
      </c>
      <c r="I783">
        <v>355.85930000000002</v>
      </c>
      <c r="J783">
        <v>-257.77690000000001</v>
      </c>
      <c r="K783">
        <v>1.110214</v>
      </c>
      <c r="L783">
        <v>367.63369999999998</v>
      </c>
      <c r="M783">
        <v>0.99977479999999996</v>
      </c>
      <c r="N783">
        <v>0</v>
      </c>
      <c r="O783">
        <v>-1.535689E-2</v>
      </c>
      <c r="P783">
        <v>0.99877499999999997</v>
      </c>
      <c r="Q783">
        <v>6.5791019999999999E-3</v>
      </c>
      <c r="R783">
        <v>-4.9046100000000002E-2</v>
      </c>
      <c r="S783">
        <v>2.984299</v>
      </c>
      <c r="T783">
        <v>-1.1562110000000001E-3</v>
      </c>
      <c r="U783">
        <v>-0.39575199999999999</v>
      </c>
      <c r="V783">
        <v>3.3701370000000001E-2</v>
      </c>
      <c r="W783">
        <v>2.1223209999999999E-2</v>
      </c>
      <c r="X783">
        <v>0.99920659999999994</v>
      </c>
      <c r="Y783">
        <v>0.1162197</v>
      </c>
      <c r="Z783" s="1">
        <v>-1.6492690000000001E-5</v>
      </c>
      <c r="AA783">
        <v>0.99322350000000004</v>
      </c>
      <c r="AB783">
        <v>35</v>
      </c>
      <c r="AC783">
        <v>88.481399999999994</v>
      </c>
      <c r="AD783">
        <v>-3.45079999999999E-2</v>
      </c>
      <c r="AE783">
        <v>-11.774399999999901</v>
      </c>
      <c r="AF783">
        <v>10.414064769577999</v>
      </c>
      <c r="AG783">
        <v>-3.45079999999999E-2</v>
      </c>
      <c r="AH783">
        <v>88.651787994892899</v>
      </c>
      <c r="AI783">
        <v>90.022150261085301</v>
      </c>
      <c r="AJ783">
        <v>83.3000808643759</v>
      </c>
      <c r="AK783">
        <v>89.261377148901701</v>
      </c>
      <c r="AL783">
        <v>88.783908356860707</v>
      </c>
      <c r="AM783">
        <v>88.068252793887595</v>
      </c>
      <c r="AN783">
        <v>1.0000000182330699</v>
      </c>
    </row>
    <row r="784" spans="1:40" x14ac:dyDescent="0.25">
      <c r="A784" t="str">
        <f>"20190312160925471"</f>
        <v>20190312160925471</v>
      </c>
      <c r="B784" t="str">
        <f>"1552378165466344"</f>
        <v>1552378165466344</v>
      </c>
      <c r="C784" t="s">
        <v>40</v>
      </c>
      <c r="D784">
        <v>5.5636839999999896</v>
      </c>
      <c r="E784">
        <v>0.53259440000000002</v>
      </c>
      <c r="F784" t="s">
        <v>44</v>
      </c>
      <c r="G784">
        <v>-169.2955</v>
      </c>
      <c r="H784">
        <v>1.036875</v>
      </c>
      <c r="I784">
        <v>355.77140000000003</v>
      </c>
      <c r="J784">
        <v>-257.40300000000002</v>
      </c>
      <c r="K784">
        <v>1.1102190000000001</v>
      </c>
      <c r="L784">
        <v>367.62790000000001</v>
      </c>
      <c r="M784">
        <v>0.99977479999999996</v>
      </c>
      <c r="N784">
        <v>0</v>
      </c>
      <c r="O784">
        <v>-1.5356750000000001E-2</v>
      </c>
      <c r="P784">
        <v>0.99876200000000004</v>
      </c>
      <c r="Q784">
        <v>6.6369899999999997E-3</v>
      </c>
      <c r="R784">
        <v>-4.9300160000000003E-2</v>
      </c>
      <c r="S784">
        <v>2.9840239999999998</v>
      </c>
      <c r="T784">
        <v>-2.470374E-3</v>
      </c>
      <c r="U784">
        <v>-0.40005489999999999</v>
      </c>
      <c r="V784">
        <v>3.3955800000000001E-2</v>
      </c>
      <c r="W784">
        <v>2.127851E-2</v>
      </c>
      <c r="X784">
        <v>0.9991968</v>
      </c>
      <c r="Y784">
        <v>0.1176388</v>
      </c>
      <c r="Z784" s="1">
        <v>-3.58233E-5</v>
      </c>
      <c r="AA784">
        <v>0.99305639999999995</v>
      </c>
      <c r="AB784">
        <v>35</v>
      </c>
      <c r="AC784">
        <v>88.107500000000002</v>
      </c>
      <c r="AD784">
        <v>-7.3344000000000006E-2</v>
      </c>
      <c r="AE784">
        <v>-11.856499999999899</v>
      </c>
      <c r="AF784">
        <v>10.5019044105943</v>
      </c>
      <c r="AG784">
        <v>-7.3344000000000006E-2</v>
      </c>
      <c r="AH784">
        <v>88.279144726130298</v>
      </c>
      <c r="AI784">
        <v>90.047269114687495</v>
      </c>
      <c r="AJ784">
        <v>83.215836423709007</v>
      </c>
      <c r="AK784">
        <v>88.901646605496794</v>
      </c>
      <c r="AL784">
        <v>88.780739172441599</v>
      </c>
      <c r="AM784">
        <v>88.053661082045807</v>
      </c>
      <c r="AN784">
        <v>1.00000000823585</v>
      </c>
    </row>
    <row r="785" spans="1:40" x14ac:dyDescent="0.25">
      <c r="A785" t="str">
        <f>"20190312160925491"</f>
        <v>20190312160925491</v>
      </c>
      <c r="B785" t="str">
        <f>"1552378165485861"</f>
        <v>1552378165485861</v>
      </c>
      <c r="C785" t="s">
        <v>40</v>
      </c>
      <c r="D785">
        <v>5.3856729999999997</v>
      </c>
      <c r="E785">
        <v>0.53302729999999998</v>
      </c>
      <c r="F785" t="s">
        <v>44</v>
      </c>
      <c r="G785">
        <v>-169.2955</v>
      </c>
      <c r="H785">
        <v>0.94651510000000005</v>
      </c>
      <c r="I785">
        <v>355.58620000000002</v>
      </c>
      <c r="J785">
        <v>-257.07029999999997</v>
      </c>
      <c r="K785">
        <v>1.1102209999999999</v>
      </c>
      <c r="L785">
        <v>367.62279999999998</v>
      </c>
      <c r="M785">
        <v>0.99977479999999996</v>
      </c>
      <c r="N785">
        <v>0</v>
      </c>
      <c r="O785">
        <v>-1.53565E-2</v>
      </c>
      <c r="P785">
        <v>0.99874110000000005</v>
      </c>
      <c r="Q785">
        <v>6.9445929999999998E-3</v>
      </c>
      <c r="R785">
        <v>-4.9678350000000003E-2</v>
      </c>
      <c r="S785">
        <v>2.9836269999999998</v>
      </c>
      <c r="T785">
        <v>-5.5406090000000002E-3</v>
      </c>
      <c r="U785">
        <v>-0.40777590000000002</v>
      </c>
      <c r="V785">
        <v>3.4334400000000001E-2</v>
      </c>
      <c r="W785">
        <v>2.1583140000000001E-2</v>
      </c>
      <c r="X785">
        <v>0.99917730000000005</v>
      </c>
      <c r="Y785">
        <v>0.12017949999999999</v>
      </c>
      <c r="Z785" s="1">
        <v>-8.2690710000000005E-5</v>
      </c>
      <c r="AA785">
        <v>0.99275219999999997</v>
      </c>
      <c r="AB785">
        <v>35</v>
      </c>
      <c r="AC785">
        <v>87.7747999999999</v>
      </c>
      <c r="AD785">
        <v>-0.16370589999999899</v>
      </c>
      <c r="AE785">
        <v>-12.0365999999999</v>
      </c>
      <c r="AF785">
        <v>10.6870855535047</v>
      </c>
      <c r="AG785">
        <v>-0.16370589999999899</v>
      </c>
      <c r="AH785">
        <v>87.949007146204707</v>
      </c>
      <c r="AI785">
        <v>90.105869928536706</v>
      </c>
      <c r="AJ785">
        <v>83.071695526441403</v>
      </c>
      <c r="AK785">
        <v>88.5960972913186</v>
      </c>
      <c r="AL785">
        <v>88.763281114627105</v>
      </c>
      <c r="AM785">
        <v>88.031938407286106</v>
      </c>
      <c r="AN785">
        <v>0.99999997989545397</v>
      </c>
    </row>
    <row r="786" spans="1:40" x14ac:dyDescent="0.25">
      <c r="A786" t="str">
        <f>"20190312160925514"</f>
        <v>20190312160925514</v>
      </c>
      <c r="B786" t="str">
        <f>"1552378165506357"</f>
        <v>1552378165506357</v>
      </c>
      <c r="C786" t="s">
        <v>40</v>
      </c>
      <c r="D786">
        <v>5.412693</v>
      </c>
      <c r="E786">
        <v>0.53346680000000002</v>
      </c>
      <c r="F786" t="s">
        <v>44</v>
      </c>
      <c r="G786">
        <v>-169.2955</v>
      </c>
      <c r="H786">
        <v>0.90233229999999998</v>
      </c>
      <c r="I786">
        <v>355.48500000000001</v>
      </c>
      <c r="J786">
        <v>-256.72710000000001</v>
      </c>
      <c r="K786">
        <v>1.1102259999999999</v>
      </c>
      <c r="L786">
        <v>367.61759999999998</v>
      </c>
      <c r="M786">
        <v>0.99977490000000002</v>
      </c>
      <c r="N786">
        <v>0</v>
      </c>
      <c r="O786">
        <v>-1.535648E-2</v>
      </c>
      <c r="P786">
        <v>0.99872369999999999</v>
      </c>
      <c r="Q786">
        <v>7.0676910000000001E-3</v>
      </c>
      <c r="R786">
        <v>-5.0013370000000001E-2</v>
      </c>
      <c r="S786">
        <v>2.983276</v>
      </c>
      <c r="T786">
        <v>-7.0626739999999997E-3</v>
      </c>
      <c r="U786">
        <v>-0.41253659999999998</v>
      </c>
      <c r="V786">
        <v>3.4669680000000001E-2</v>
      </c>
      <c r="W786">
        <v>2.1703750000000001E-2</v>
      </c>
      <c r="X786">
        <v>0.99916320000000003</v>
      </c>
      <c r="Y786">
        <v>0.12174980000000001</v>
      </c>
      <c r="Z786">
        <v>-1.072577E-4</v>
      </c>
      <c r="AA786">
        <v>0.99256080000000002</v>
      </c>
      <c r="AB786">
        <v>35</v>
      </c>
      <c r="AC786">
        <v>87.431600000000003</v>
      </c>
      <c r="AD786">
        <v>-0.20789369999999899</v>
      </c>
      <c r="AE786">
        <v>-12.132599999999901</v>
      </c>
      <c r="AF786">
        <v>10.7883236790395</v>
      </c>
      <c r="AG786">
        <v>-0.20789369999999899</v>
      </c>
      <c r="AH786">
        <v>87.607136094352995</v>
      </c>
      <c r="AI786">
        <v>90.134944583463394</v>
      </c>
      <c r="AJ786">
        <v>82.9796927527603</v>
      </c>
      <c r="AK786">
        <v>88.269142072689903</v>
      </c>
      <c r="AL786">
        <v>88.756369163282002</v>
      </c>
      <c r="AM786">
        <v>88.0127073367034</v>
      </c>
      <c r="AN786">
        <v>1.0000000698547999</v>
      </c>
    </row>
    <row r="787" spans="1:40" x14ac:dyDescent="0.25">
      <c r="A787" t="str">
        <f>"20190312160925528"</f>
        <v>20190312160925528</v>
      </c>
      <c r="B787" t="str">
        <f>"1552378165525877"</f>
        <v>1552378165525877</v>
      </c>
      <c r="C787" t="s">
        <v>40</v>
      </c>
      <c r="D787">
        <v>5.4296579999999999</v>
      </c>
      <c r="E787">
        <v>0.53378680000000001</v>
      </c>
      <c r="F787" t="s">
        <v>44</v>
      </c>
      <c r="G787">
        <v>-169.2955</v>
      </c>
      <c r="H787">
        <v>0.86250879999999996</v>
      </c>
      <c r="I787">
        <v>355.399</v>
      </c>
      <c r="J787">
        <v>-256.49590000000001</v>
      </c>
      <c r="K787">
        <v>1.1102270000000001</v>
      </c>
      <c r="L787">
        <v>367.61399999999998</v>
      </c>
      <c r="M787">
        <v>0.99977490000000002</v>
      </c>
      <c r="N787">
        <v>0</v>
      </c>
      <c r="O787">
        <v>-1.5356470000000001E-2</v>
      </c>
      <c r="P787">
        <v>0.99870289999999995</v>
      </c>
      <c r="Q787">
        <v>6.9864870000000004E-3</v>
      </c>
      <c r="R787">
        <v>-5.0436830000000002E-2</v>
      </c>
      <c r="S787">
        <v>2.9829859999999999</v>
      </c>
      <c r="T787">
        <v>-8.448601E-3</v>
      </c>
      <c r="U787">
        <v>-0.41687010000000002</v>
      </c>
      <c r="V787">
        <v>3.5093560000000003E-2</v>
      </c>
      <c r="W787">
        <v>2.1620799999999999E-2</v>
      </c>
      <c r="X787">
        <v>0.99915019999999999</v>
      </c>
      <c r="Y787">
        <v>0.1231772</v>
      </c>
      <c r="Z787">
        <v>-1.303164E-4</v>
      </c>
      <c r="AA787">
        <v>0.99238470000000001</v>
      </c>
      <c r="AB787">
        <v>35</v>
      </c>
      <c r="AC787">
        <v>87.200400000000002</v>
      </c>
      <c r="AD787">
        <v>-0.2477182</v>
      </c>
      <c r="AE787">
        <v>-12.215</v>
      </c>
      <c r="AF787">
        <v>10.874239409088601</v>
      </c>
      <c r="AG787">
        <v>-0.2477182</v>
      </c>
      <c r="AH787">
        <v>87.377023154131507</v>
      </c>
      <c r="AI787">
        <v>90.161192451041501</v>
      </c>
      <c r="AJ787">
        <v>82.905904567637904</v>
      </c>
      <c r="AK787">
        <v>88.051431688022106</v>
      </c>
      <c r="AL787">
        <v>88.761122962989006</v>
      </c>
      <c r="AM787">
        <v>87.988403899242101</v>
      </c>
      <c r="AN787">
        <v>1.00000006955307</v>
      </c>
    </row>
    <row r="788" spans="1:40" x14ac:dyDescent="0.25">
      <c r="A788" t="str">
        <f>"20190312160925548"</f>
        <v>20190312160925548</v>
      </c>
      <c r="B788" t="str">
        <f>"1552378165535637"</f>
        <v>1552378165535637</v>
      </c>
      <c r="C788" t="s">
        <v>40</v>
      </c>
      <c r="D788">
        <v>5.3979160000000004</v>
      </c>
      <c r="E788">
        <v>0.53392289999999998</v>
      </c>
      <c r="F788" t="s">
        <v>44</v>
      </c>
      <c r="G788">
        <v>-169.2955</v>
      </c>
      <c r="H788">
        <v>0.82131390000000004</v>
      </c>
      <c r="I788">
        <v>355.3134</v>
      </c>
      <c r="J788">
        <v>-256.20819999999998</v>
      </c>
      <c r="K788">
        <v>1.110223</v>
      </c>
      <c r="L788">
        <v>367.60950000000003</v>
      </c>
      <c r="M788">
        <v>0.99977510000000003</v>
      </c>
      <c r="N788">
        <v>0</v>
      </c>
      <c r="O788">
        <v>-1.5356450000000001E-2</v>
      </c>
      <c r="P788">
        <v>0.99866719999999998</v>
      </c>
      <c r="Q788">
        <v>6.9884049999999996E-3</v>
      </c>
      <c r="R788">
        <v>-5.114105E-2</v>
      </c>
      <c r="S788">
        <v>2.9827119999999998</v>
      </c>
      <c r="T788">
        <v>-9.8793509999999998E-3</v>
      </c>
      <c r="U788">
        <v>-0.4207458</v>
      </c>
      <c r="V788">
        <v>3.5798120000000003E-2</v>
      </c>
      <c r="W788">
        <v>2.1619369999999999E-2</v>
      </c>
      <c r="X788">
        <v>0.99912520000000005</v>
      </c>
      <c r="Y788">
        <v>0.1244541</v>
      </c>
      <c r="Z788">
        <v>-1.5448959999999999E-4</v>
      </c>
      <c r="AA788">
        <v>0.99222529999999998</v>
      </c>
      <c r="AB788">
        <v>35</v>
      </c>
      <c r="AC788">
        <v>86.912699999999901</v>
      </c>
      <c r="AD788">
        <v>-0.28890909999999898</v>
      </c>
      <c r="AE788">
        <v>-12.296099999999999</v>
      </c>
      <c r="AF788">
        <v>10.9597177238432</v>
      </c>
      <c r="AG788">
        <v>-0.28890909999999898</v>
      </c>
      <c r="AH788">
        <v>87.090350496999093</v>
      </c>
      <c r="AI788">
        <v>90.188582046620098</v>
      </c>
      <c r="AJ788">
        <v>82.827426966718207</v>
      </c>
      <c r="AK788">
        <v>87.777719443743393</v>
      </c>
      <c r="AL788">
        <v>88.761204870948404</v>
      </c>
      <c r="AM788">
        <v>87.948000737261296</v>
      </c>
      <c r="AN788">
        <v>1.00000003391488</v>
      </c>
    </row>
    <row r="789" spans="1:40" x14ac:dyDescent="0.25">
      <c r="A789" t="str">
        <f>"20190312160925569"</f>
        <v>20190312160925569</v>
      </c>
      <c r="B789" t="str">
        <f>"1552378165565893"</f>
        <v>1552378165565893</v>
      </c>
      <c r="C789" t="s">
        <v>40</v>
      </c>
      <c r="D789">
        <v>5.386431</v>
      </c>
      <c r="E789">
        <v>0.53455620000000004</v>
      </c>
      <c r="F789" t="s">
        <v>44</v>
      </c>
      <c r="G789">
        <v>-169.2955</v>
      </c>
      <c r="H789">
        <v>0.78725619999999996</v>
      </c>
      <c r="I789">
        <v>355.25830000000002</v>
      </c>
      <c r="J789">
        <v>-255.8672</v>
      </c>
      <c r="K789">
        <v>1.1102270000000001</v>
      </c>
      <c r="L789">
        <v>367.60430000000002</v>
      </c>
      <c r="M789">
        <v>0.99977510000000003</v>
      </c>
      <c r="N789">
        <v>0</v>
      </c>
      <c r="O789">
        <v>-1.5356430000000001E-2</v>
      </c>
      <c r="P789">
        <v>0.99864200000000003</v>
      </c>
      <c r="Q789">
        <v>7.2486490000000002E-3</v>
      </c>
      <c r="R789">
        <v>-5.1596540000000003E-2</v>
      </c>
      <c r="S789">
        <v>2.9823759999999999</v>
      </c>
      <c r="T789">
        <v>-1.1079429999999999E-2</v>
      </c>
      <c r="U789">
        <v>-0.42382809999999999</v>
      </c>
      <c r="V789">
        <v>3.6253840000000002E-2</v>
      </c>
      <c r="W789">
        <v>2.1876799999999998E-2</v>
      </c>
      <c r="X789">
        <v>0.99910310000000002</v>
      </c>
      <c r="Y789">
        <v>0.12547459999999999</v>
      </c>
      <c r="Z789">
        <v>-1.7514900000000001E-4</v>
      </c>
      <c r="AA789">
        <v>0.9920968</v>
      </c>
      <c r="AB789">
        <v>35</v>
      </c>
      <c r="AC789">
        <v>86.571699999999893</v>
      </c>
      <c r="AD789">
        <v>-0.3229708</v>
      </c>
      <c r="AE789">
        <v>-12.346</v>
      </c>
      <c r="AF789">
        <v>11.0148191621269</v>
      </c>
      <c r="AG789">
        <v>-0.3229708</v>
      </c>
      <c r="AH789">
        <v>86.749917001163695</v>
      </c>
      <c r="AI789">
        <v>90.211612803152704</v>
      </c>
      <c r="AJ789">
        <v>82.763756118490306</v>
      </c>
      <c r="AK789">
        <v>87.447004814463398</v>
      </c>
      <c r="AL789">
        <v>88.746451649203706</v>
      </c>
      <c r="AM789">
        <v>87.921855049875504</v>
      </c>
      <c r="AN789">
        <v>0.99999996986129702</v>
      </c>
    </row>
    <row r="790" spans="1:40" x14ac:dyDescent="0.25">
      <c r="A790" t="str">
        <f>"20190312160925593"</f>
        <v>20190312160925593</v>
      </c>
      <c r="B790" t="str">
        <f>"1552378165586389"</f>
        <v>1552378165586389</v>
      </c>
      <c r="C790" t="s">
        <v>40</v>
      </c>
      <c r="D790">
        <v>5.3828079999999998</v>
      </c>
      <c r="E790">
        <v>0.53491599999999995</v>
      </c>
      <c r="F790" t="s">
        <v>44</v>
      </c>
      <c r="G790">
        <v>-169.2955</v>
      </c>
      <c r="H790">
        <v>0.77077769999999901</v>
      </c>
      <c r="I790">
        <v>355.11450000000002</v>
      </c>
      <c r="J790">
        <v>-255.49770000000001</v>
      </c>
      <c r="K790">
        <v>1.110236</v>
      </c>
      <c r="L790">
        <v>367.59859999999998</v>
      </c>
      <c r="M790">
        <v>0.99977510000000003</v>
      </c>
      <c r="N790">
        <v>0</v>
      </c>
      <c r="O790">
        <v>-1.535664E-2</v>
      </c>
      <c r="P790">
        <v>0.99861</v>
      </c>
      <c r="Q790">
        <v>7.5140119999999996E-3</v>
      </c>
      <c r="R790">
        <v>-5.217521E-2</v>
      </c>
      <c r="S790">
        <v>2.9819339999999999</v>
      </c>
      <c r="T790">
        <v>-1.168919E-2</v>
      </c>
      <c r="U790">
        <v>-0.43020629999999999</v>
      </c>
      <c r="V790">
        <v>3.683289E-2</v>
      </c>
      <c r="W790">
        <v>2.2138519999999998E-2</v>
      </c>
      <c r="X790">
        <v>0.99907619999999997</v>
      </c>
      <c r="Y790">
        <v>0.12757389999999999</v>
      </c>
      <c r="Z790">
        <v>-1.8888029999999999E-4</v>
      </c>
      <c r="AA790">
        <v>0.99182899999999996</v>
      </c>
      <c r="AB790">
        <v>35</v>
      </c>
      <c r="AC790">
        <v>86.202200000000005</v>
      </c>
      <c r="AD790">
        <v>-0.33945829999999999</v>
      </c>
      <c r="AE790">
        <v>-12.4840999999999</v>
      </c>
      <c r="AF790">
        <v>11.1585403055421</v>
      </c>
      <c r="AG790">
        <v>-0.33945829999999999</v>
      </c>
      <c r="AH790">
        <v>86.382455147299893</v>
      </c>
      <c r="AI790">
        <v>90.223299528789894</v>
      </c>
      <c r="AJ790">
        <v>82.639519674430801</v>
      </c>
      <c r="AK790">
        <v>87.100842768386201</v>
      </c>
      <c r="AL790">
        <v>88.731452621348495</v>
      </c>
      <c r="AM790">
        <v>87.888635716542694</v>
      </c>
      <c r="AN790">
        <v>1.0000000146299901</v>
      </c>
    </row>
    <row r="791" spans="1:40" x14ac:dyDescent="0.25">
      <c r="A791" t="str">
        <f>"20190312160925615"</f>
        <v>20190312160925615</v>
      </c>
      <c r="B791" t="str">
        <f>"1552378165605909"</f>
        <v>1552378165605909</v>
      </c>
      <c r="C791" t="s">
        <v>40</v>
      </c>
      <c r="D791">
        <v>5.3429679999999999</v>
      </c>
      <c r="E791">
        <v>0.53520829999999997</v>
      </c>
      <c r="F791" t="s">
        <v>44</v>
      </c>
      <c r="G791">
        <v>-169.2955</v>
      </c>
      <c r="H791">
        <v>0.75903609999999999</v>
      </c>
      <c r="I791">
        <v>355.03</v>
      </c>
      <c r="J791">
        <v>-255.1652</v>
      </c>
      <c r="K791">
        <v>1.110228</v>
      </c>
      <c r="L791">
        <v>367.59350000000001</v>
      </c>
      <c r="M791">
        <v>0.99977490000000002</v>
      </c>
      <c r="N791">
        <v>0</v>
      </c>
      <c r="O791">
        <v>-1.5356140000000001E-2</v>
      </c>
      <c r="P791">
        <v>0.99857819999999997</v>
      </c>
      <c r="Q791">
        <v>7.5346669999999897E-3</v>
      </c>
      <c r="R791">
        <v>-5.2770049999999999E-2</v>
      </c>
      <c r="S791">
        <v>2.9815520000000002</v>
      </c>
      <c r="T791">
        <v>-1.2144210000000001E-2</v>
      </c>
      <c r="U791">
        <v>-0.43472290000000002</v>
      </c>
      <c r="V791">
        <v>3.7428870000000003E-2</v>
      </c>
      <c r="W791">
        <v>2.2155680000000001E-2</v>
      </c>
      <c r="X791">
        <v>0.99905370000000004</v>
      </c>
      <c r="Y791">
        <v>0.1290636</v>
      </c>
      <c r="Z791">
        <v>-1.9925659999999999E-4</v>
      </c>
      <c r="AA791">
        <v>0.99163630000000003</v>
      </c>
      <c r="AB791">
        <v>35</v>
      </c>
      <c r="AC791">
        <v>85.869699999999995</v>
      </c>
      <c r="AD791">
        <v>-0.3511919</v>
      </c>
      <c r="AE791">
        <v>-12.563499999999999</v>
      </c>
      <c r="AF791">
        <v>11.2430656976561</v>
      </c>
      <c r="AG791">
        <v>-0.3511919</v>
      </c>
      <c r="AH791">
        <v>86.051111082984093</v>
      </c>
      <c r="AI791">
        <v>90.231863642801599</v>
      </c>
      <c r="AJ791">
        <v>82.556148100591898</v>
      </c>
      <c r="AK791">
        <v>86.783198723304196</v>
      </c>
      <c r="AL791">
        <v>88.730469223101807</v>
      </c>
      <c r="AM791">
        <v>87.854455874689194</v>
      </c>
      <c r="AN791">
        <v>1.00000004497471</v>
      </c>
    </row>
    <row r="792" spans="1:40" x14ac:dyDescent="0.25">
      <c r="A792" t="str">
        <f>"20190312160925637"</f>
        <v>20190312160925637</v>
      </c>
      <c r="B792" t="str">
        <f>"1552378165626405"</f>
        <v>1552378165626405</v>
      </c>
      <c r="C792" t="s">
        <v>40</v>
      </c>
      <c r="D792">
        <v>5.3865059999999998</v>
      </c>
      <c r="E792">
        <v>0.53531329999999999</v>
      </c>
      <c r="F792" t="s">
        <v>44</v>
      </c>
      <c r="G792">
        <v>-169.2955</v>
      </c>
      <c r="H792">
        <v>0.73604009999999997</v>
      </c>
      <c r="I792">
        <v>354.94880000000001</v>
      </c>
      <c r="J792">
        <v>-254.8331</v>
      </c>
      <c r="K792">
        <v>1.1102320000000001</v>
      </c>
      <c r="L792">
        <v>367.58839999999998</v>
      </c>
      <c r="M792">
        <v>0.99977510000000003</v>
      </c>
      <c r="N792">
        <v>0</v>
      </c>
      <c r="O792">
        <v>-1.5356119999999999E-2</v>
      </c>
      <c r="P792">
        <v>0.99855289999999997</v>
      </c>
      <c r="Q792">
        <v>6.7113809999999998E-3</v>
      </c>
      <c r="R792">
        <v>-5.3361640000000002E-2</v>
      </c>
      <c r="S792">
        <v>2.9811860000000001</v>
      </c>
      <c r="T792">
        <v>-1.298785E-2</v>
      </c>
      <c r="U792">
        <v>-0.43899539999999998</v>
      </c>
      <c r="V792">
        <v>3.8020499999999999E-2</v>
      </c>
      <c r="W792">
        <v>2.1329520000000001E-2</v>
      </c>
      <c r="X792">
        <v>0.99904930000000003</v>
      </c>
      <c r="Y792">
        <v>0.13047210000000001</v>
      </c>
      <c r="Z792">
        <v>-2.161543E-4</v>
      </c>
      <c r="AA792">
        <v>0.991452</v>
      </c>
      <c r="AB792">
        <v>35</v>
      </c>
      <c r="AC792">
        <v>85.537599999999998</v>
      </c>
      <c r="AD792">
        <v>-0.37419189999999902</v>
      </c>
      <c r="AE792">
        <v>-12.6395999999999</v>
      </c>
      <c r="AF792">
        <v>11.324231057245299</v>
      </c>
      <c r="AG792">
        <v>-0.37419189999999902</v>
      </c>
      <c r="AH792">
        <v>85.720022524453299</v>
      </c>
      <c r="AI792">
        <v>90.247956213726894</v>
      </c>
      <c r="AJ792">
        <v>82.4743935627382</v>
      </c>
      <c r="AK792">
        <v>86.465602930926707</v>
      </c>
      <c r="AL792">
        <v>88.7778158477429</v>
      </c>
      <c r="AM792">
        <v>87.820564586520405</v>
      </c>
      <c r="AN792">
        <v>1.0000000053370799</v>
      </c>
    </row>
    <row r="793" spans="1:40" x14ac:dyDescent="0.25">
      <c r="A793" t="str">
        <f>"20190312160925659"</f>
        <v>20190312160925659</v>
      </c>
      <c r="B793" t="str">
        <f>"1552378165655686"</f>
        <v>1552378165655686</v>
      </c>
      <c r="C793" t="s">
        <v>40</v>
      </c>
      <c r="D793">
        <v>5.4108749999999999</v>
      </c>
      <c r="E793">
        <v>0.53568629999999995</v>
      </c>
      <c r="F793" t="s">
        <v>44</v>
      </c>
      <c r="G793">
        <v>-169.2955</v>
      </c>
      <c r="H793">
        <v>0.60158819999999902</v>
      </c>
      <c r="I793">
        <v>354.91759999999999</v>
      </c>
      <c r="J793">
        <v>-254.4787</v>
      </c>
      <c r="K793">
        <v>1.110239</v>
      </c>
      <c r="L793">
        <v>367.58300000000003</v>
      </c>
      <c r="M793">
        <v>0.99977510000000003</v>
      </c>
      <c r="N793">
        <v>0</v>
      </c>
      <c r="O793">
        <v>-1.5356099999999999E-2</v>
      </c>
      <c r="P793">
        <v>0.99850899999999998</v>
      </c>
      <c r="Q793">
        <v>7.0454549999999999E-3</v>
      </c>
      <c r="R793">
        <v>-5.4130369999999997E-2</v>
      </c>
      <c r="S793">
        <v>2.9808650000000001</v>
      </c>
      <c r="T793">
        <v>-1.772249E-2</v>
      </c>
      <c r="U793">
        <v>-0.44155879999999997</v>
      </c>
      <c r="V793">
        <v>3.879005E-2</v>
      </c>
      <c r="W793">
        <v>2.1659419999999999E-2</v>
      </c>
      <c r="X793">
        <v>0.99901260000000003</v>
      </c>
      <c r="Y793">
        <v>0.13132089999999999</v>
      </c>
      <c r="Z793">
        <v>-2.9747360000000002E-4</v>
      </c>
      <c r="AA793">
        <v>0.99133990000000005</v>
      </c>
      <c r="AB793">
        <v>35</v>
      </c>
      <c r="AC793">
        <v>85.183199999999999</v>
      </c>
      <c r="AD793">
        <v>-0.50865079999999996</v>
      </c>
      <c r="AE793">
        <v>-12.6654</v>
      </c>
      <c r="AF793">
        <v>11.355288468359999</v>
      </c>
      <c r="AG793">
        <v>-0.50865079999999996</v>
      </c>
      <c r="AH793">
        <v>85.3646877754678</v>
      </c>
      <c r="AI793">
        <v>90.3384155657794</v>
      </c>
      <c r="AJ793">
        <v>82.422945203729299</v>
      </c>
      <c r="AK793">
        <v>86.118123649085106</v>
      </c>
      <c r="AL793">
        <v>88.758909579007394</v>
      </c>
      <c r="AM793">
        <v>87.776414185882203</v>
      </c>
      <c r="AN793">
        <v>0.99999998670624901</v>
      </c>
    </row>
    <row r="794" spans="1:40" x14ac:dyDescent="0.25">
      <c r="A794" t="str">
        <f>"20190312160925683"</f>
        <v>20190312160925683</v>
      </c>
      <c r="B794" t="str">
        <f>"1552378165676180"</f>
        <v>1552378165676180</v>
      </c>
      <c r="C794" t="s">
        <v>40</v>
      </c>
      <c r="D794">
        <v>5.4048809999999996</v>
      </c>
      <c r="E794">
        <v>0.53580159999999999</v>
      </c>
      <c r="F794" t="s">
        <v>44</v>
      </c>
      <c r="G794">
        <v>-169.2955</v>
      </c>
      <c r="H794">
        <v>0.62763979999999997</v>
      </c>
      <c r="I794">
        <v>354.80739999999997</v>
      </c>
      <c r="J794">
        <v>-254.13</v>
      </c>
      <c r="K794">
        <v>1.1102459999999901</v>
      </c>
      <c r="L794">
        <v>367.57760000000002</v>
      </c>
      <c r="M794">
        <v>0.99977530000000003</v>
      </c>
      <c r="N794">
        <v>0</v>
      </c>
      <c r="O794">
        <v>-1.5355840000000001E-2</v>
      </c>
      <c r="P794">
        <v>0.99843879999999996</v>
      </c>
      <c r="Q794">
        <v>7.3998269999999899E-3</v>
      </c>
      <c r="R794">
        <v>-5.536688E-2</v>
      </c>
      <c r="S794">
        <v>2.9803769999999998</v>
      </c>
      <c r="T794">
        <v>-1.6882060000000001E-2</v>
      </c>
      <c r="U794">
        <v>-0.44699100000000003</v>
      </c>
      <c r="V794">
        <v>4.0027760000000003E-2</v>
      </c>
      <c r="W794">
        <v>2.2009810000000001E-2</v>
      </c>
      <c r="X794">
        <v>0.99895610000000001</v>
      </c>
      <c r="Y794">
        <v>0.13311220000000001</v>
      </c>
      <c r="Z794">
        <v>-2.8842199999999998E-4</v>
      </c>
      <c r="AA794">
        <v>0.99110089999999995</v>
      </c>
      <c r="AB794">
        <v>34</v>
      </c>
      <c r="AC794">
        <v>84.834499999999906</v>
      </c>
      <c r="AD794">
        <v>-0.48260619999999899</v>
      </c>
      <c r="AE794">
        <v>-12.770200000000001</v>
      </c>
      <c r="AF794">
        <v>11.465487016606099</v>
      </c>
      <c r="AG794">
        <v>-0.48260619999999899</v>
      </c>
      <c r="AH794">
        <v>85.017922877378993</v>
      </c>
      <c r="AI794">
        <v>90.322319556919993</v>
      </c>
      <c r="AJ794">
        <v>82.319450109954104</v>
      </c>
      <c r="AK794">
        <v>85.788912521701803</v>
      </c>
      <c r="AL794">
        <v>88.738828903993493</v>
      </c>
      <c r="AM794">
        <v>87.705409202077405</v>
      </c>
      <c r="AN794">
        <v>0.99999997151703102</v>
      </c>
    </row>
    <row r="795" spans="1:40" x14ac:dyDescent="0.25">
      <c r="A795" t="str">
        <f>"20190312160925705"</f>
        <v>20190312160925705</v>
      </c>
      <c r="B795" t="str">
        <f>"1552378165695701"</f>
        <v>1552378165695701</v>
      </c>
      <c r="C795" t="s">
        <v>40</v>
      </c>
      <c r="D795">
        <v>5.3600729999999999</v>
      </c>
      <c r="E795">
        <v>0.5358503</v>
      </c>
      <c r="F795" t="s">
        <v>44</v>
      </c>
      <c r="G795">
        <v>-169.2955</v>
      </c>
      <c r="H795">
        <v>0.61641309999999905</v>
      </c>
      <c r="I795">
        <v>354.7285</v>
      </c>
      <c r="J795">
        <v>-253.7878</v>
      </c>
      <c r="K795">
        <v>1.1102459999999901</v>
      </c>
      <c r="L795">
        <v>367.57229999999998</v>
      </c>
      <c r="M795">
        <v>0.99977519999999998</v>
      </c>
      <c r="N795">
        <v>0</v>
      </c>
      <c r="O795">
        <v>-1.5356170000000001E-2</v>
      </c>
      <c r="P795">
        <v>0.99834330000000004</v>
      </c>
      <c r="Q795">
        <v>6.8202419999999998E-3</v>
      </c>
      <c r="R795">
        <v>-5.713298E-2</v>
      </c>
      <c r="S795">
        <v>2.979797</v>
      </c>
      <c r="T795">
        <v>-1.7342690000000001E-2</v>
      </c>
      <c r="U795">
        <v>-0.45132450000000002</v>
      </c>
      <c r="V795">
        <v>4.179472E-2</v>
      </c>
      <c r="W795">
        <v>2.1425820000000002E-2</v>
      </c>
      <c r="X795">
        <v>0.99889649999999996</v>
      </c>
      <c r="Y795">
        <v>0.13454920000000001</v>
      </c>
      <c r="Z795">
        <v>-3.0047299999999999E-4</v>
      </c>
      <c r="AA795">
        <v>0.99090679999999998</v>
      </c>
      <c r="AB795">
        <v>34</v>
      </c>
      <c r="AC795">
        <v>84.4923</v>
      </c>
      <c r="AD795">
        <v>-0.49383289999999902</v>
      </c>
      <c r="AE795">
        <v>-12.8437999999999</v>
      </c>
      <c r="AF795">
        <v>11.544282968491499</v>
      </c>
      <c r="AG795">
        <v>-0.49383289999999902</v>
      </c>
      <c r="AH795">
        <v>84.676760513342401</v>
      </c>
      <c r="AI795">
        <v>90.331081225666594</v>
      </c>
      <c r="AJ795">
        <v>82.236526602945105</v>
      </c>
      <c r="AK795">
        <v>85.461500754571802</v>
      </c>
      <c r="AL795">
        <v>88.772297046838204</v>
      </c>
      <c r="AM795">
        <v>87.604090999083297</v>
      </c>
      <c r="AN795">
        <v>1.0000000410473899</v>
      </c>
    </row>
    <row r="796" spans="1:40" x14ac:dyDescent="0.25">
      <c r="A796" t="str">
        <f>"20190312160925726"</f>
        <v>20190312160925726</v>
      </c>
      <c r="B796" t="str">
        <f>"1552378165716197"</f>
        <v>1552378165716197</v>
      </c>
      <c r="C796" t="s">
        <v>40</v>
      </c>
      <c r="D796">
        <v>5.4746639999999998</v>
      </c>
      <c r="E796">
        <v>0.53590890000000002</v>
      </c>
      <c r="F796" t="s">
        <v>44</v>
      </c>
      <c r="G796">
        <v>-169.2955</v>
      </c>
      <c r="H796">
        <v>0.52764129999999998</v>
      </c>
      <c r="I796">
        <v>354.60950000000003</v>
      </c>
      <c r="J796">
        <v>-253.4435</v>
      </c>
      <c r="K796">
        <v>1.110241</v>
      </c>
      <c r="L796">
        <v>367.56700000000001</v>
      </c>
      <c r="M796">
        <v>0.99977539999999998</v>
      </c>
      <c r="N796">
        <v>0</v>
      </c>
      <c r="O796">
        <v>-1.535543E-2</v>
      </c>
      <c r="P796">
        <v>0.99825039999999998</v>
      </c>
      <c r="Q796">
        <v>6.2200210000000001E-3</v>
      </c>
      <c r="R796">
        <v>-5.8804219999999997E-2</v>
      </c>
      <c r="S796">
        <v>2.978958</v>
      </c>
      <c r="T796">
        <v>-2.053785E-2</v>
      </c>
      <c r="U796">
        <v>-0.45703129999999997</v>
      </c>
      <c r="V796">
        <v>4.3467770000000003E-2</v>
      </c>
      <c r="W796">
        <v>2.0821320000000001E-2</v>
      </c>
      <c r="X796">
        <v>0.9988378</v>
      </c>
      <c r="Y796">
        <v>0.13644539999999999</v>
      </c>
      <c r="Z796">
        <v>-3.6238170000000002E-4</v>
      </c>
      <c r="AA796">
        <v>0.99064759999999996</v>
      </c>
      <c r="AB796">
        <v>34</v>
      </c>
      <c r="AC796">
        <v>84.147999999999996</v>
      </c>
      <c r="AD796">
        <v>-0.58259969999999905</v>
      </c>
      <c r="AE796">
        <v>-12.9574999999999</v>
      </c>
      <c r="AF796">
        <v>11.6631592497468</v>
      </c>
      <c r="AG796">
        <v>-0.58259969999999905</v>
      </c>
      <c r="AH796">
        <v>84.333117038452201</v>
      </c>
      <c r="AI796">
        <v>90.392079291288297</v>
      </c>
      <c r="AJ796">
        <v>82.126016139242907</v>
      </c>
      <c r="AK796">
        <v>85.137790290309198</v>
      </c>
      <c r="AL796">
        <v>88.806939980808707</v>
      </c>
      <c r="AM796">
        <v>87.508154648109794</v>
      </c>
      <c r="AN796">
        <v>0.99999996255207702</v>
      </c>
    </row>
    <row r="797" spans="1:40" x14ac:dyDescent="0.25">
      <c r="A797" t="str">
        <f>"20190312160925750"</f>
        <v>20190312160925750</v>
      </c>
      <c r="B797" t="str">
        <f>"1552378165746453"</f>
        <v>1552378165746453</v>
      </c>
      <c r="C797" t="s">
        <v>40</v>
      </c>
      <c r="D797">
        <v>5.3008930000000003</v>
      </c>
      <c r="E797">
        <v>0.53587259999999903</v>
      </c>
      <c r="F797" t="s">
        <v>44</v>
      </c>
      <c r="G797">
        <v>-169.2955</v>
      </c>
      <c r="H797">
        <v>0.43753340000000002</v>
      </c>
      <c r="I797">
        <v>354.4984</v>
      </c>
      <c r="J797">
        <v>-253.1002</v>
      </c>
      <c r="K797">
        <v>1.110242</v>
      </c>
      <c r="L797">
        <v>367.56180000000001</v>
      </c>
      <c r="M797">
        <v>0.99977539999999998</v>
      </c>
      <c r="N797">
        <v>0</v>
      </c>
      <c r="O797">
        <v>-1.535576E-2</v>
      </c>
      <c r="P797">
        <v>0.99814369999999997</v>
      </c>
      <c r="Q797">
        <v>6.5678849999999999E-3</v>
      </c>
      <c r="R797">
        <v>-6.0548610000000003E-2</v>
      </c>
      <c r="S797">
        <v>2.9781490000000002</v>
      </c>
      <c r="T797">
        <v>-2.3805260000000002E-2</v>
      </c>
      <c r="U797">
        <v>-0.4625244</v>
      </c>
      <c r="V797">
        <v>4.5213429999999999E-2</v>
      </c>
      <c r="W797">
        <v>2.116409E-2</v>
      </c>
      <c r="X797">
        <v>0.99875309999999995</v>
      </c>
      <c r="Y797">
        <v>0.1382688</v>
      </c>
      <c r="Z797">
        <v>-4.2732799999999999E-4</v>
      </c>
      <c r="AA797">
        <v>0.99039469999999996</v>
      </c>
      <c r="AB797">
        <v>34</v>
      </c>
      <c r="AC797">
        <v>83.804699999999997</v>
      </c>
      <c r="AD797">
        <v>-0.67270859999999899</v>
      </c>
      <c r="AE797">
        <v>-13.0634</v>
      </c>
      <c r="AF797">
        <v>11.774096590085501</v>
      </c>
      <c r="AG797">
        <v>-0.67270859999999899</v>
      </c>
      <c r="AH797">
        <v>83.9901531300589</v>
      </c>
      <c r="AI797">
        <v>90.454450121738006</v>
      </c>
      <c r="AJ797">
        <v>82.020036077717506</v>
      </c>
      <c r="AK797">
        <v>84.814077311398705</v>
      </c>
      <c r="AL797">
        <v>88.787296378334901</v>
      </c>
      <c r="AM797">
        <v>87.407996792409705</v>
      </c>
      <c r="AN797">
        <v>0.99999996385875001</v>
      </c>
    </row>
    <row r="798" spans="1:40" x14ac:dyDescent="0.25">
      <c r="A798" t="str">
        <f>"20190312160925772"</f>
        <v>20190312160925772</v>
      </c>
      <c r="B798" t="str">
        <f>"1552378165765973"</f>
        <v>1552378165765973</v>
      </c>
      <c r="C798" t="s">
        <v>40</v>
      </c>
      <c r="D798">
        <v>5.4281879999999996</v>
      </c>
      <c r="E798">
        <v>0.53598760000000001</v>
      </c>
      <c r="F798" t="s">
        <v>44</v>
      </c>
      <c r="G798">
        <v>-169.2955</v>
      </c>
      <c r="H798">
        <v>0.42885109999999899</v>
      </c>
      <c r="I798">
        <v>354.40550000000002</v>
      </c>
      <c r="J798">
        <v>-252.73939999999999</v>
      </c>
      <c r="K798">
        <v>1.110241</v>
      </c>
      <c r="L798">
        <v>367.55619999999999</v>
      </c>
      <c r="M798">
        <v>0.99977539999999998</v>
      </c>
      <c r="N798">
        <v>0</v>
      </c>
      <c r="O798">
        <v>-1.535561E-2</v>
      </c>
      <c r="P798">
        <v>0.998085</v>
      </c>
      <c r="Q798">
        <v>6.5181630000000004E-3</v>
      </c>
      <c r="R798">
        <v>-6.1513199999999997E-2</v>
      </c>
      <c r="S798">
        <v>2.9773710000000002</v>
      </c>
      <c r="T798">
        <v>-2.4204969999999999E-2</v>
      </c>
      <c r="U798">
        <v>-0.46740720000000002</v>
      </c>
      <c r="V798">
        <v>4.6178839999999999E-2</v>
      </c>
      <c r="W798">
        <v>2.110975E-2</v>
      </c>
      <c r="X798">
        <v>0.99871010000000005</v>
      </c>
      <c r="Y798">
        <v>0.1398934</v>
      </c>
      <c r="Z798">
        <v>-4.4112539999999998E-4</v>
      </c>
      <c r="AA798">
        <v>0.99016649999999995</v>
      </c>
      <c r="AB798">
        <v>34</v>
      </c>
      <c r="AC798">
        <v>83.4438999999999</v>
      </c>
      <c r="AD798">
        <v>-0.68138989999999999</v>
      </c>
      <c r="AE798">
        <v>-13.150699999999899</v>
      </c>
      <c r="AF798">
        <v>11.866908328385399</v>
      </c>
      <c r="AG798">
        <v>-0.68138989999999999</v>
      </c>
      <c r="AH798">
        <v>83.630576649055996</v>
      </c>
      <c r="AI798">
        <v>90.462184156949505</v>
      </c>
      <c r="AJ798">
        <v>81.923829935837503</v>
      </c>
      <c r="AK798">
        <v>84.471066976354507</v>
      </c>
      <c r="AL798">
        <v>88.790410552807103</v>
      </c>
      <c r="AM798">
        <v>87.352615697617495</v>
      </c>
      <c r="AN798">
        <v>0.99999998532540901</v>
      </c>
    </row>
    <row r="799" spans="1:40" x14ac:dyDescent="0.25">
      <c r="A799" t="str">
        <f>"20190312160925793"</f>
        <v>20190312160925793</v>
      </c>
      <c r="B799" t="str">
        <f>"1552378165785493"</f>
        <v>1552378165785493</v>
      </c>
      <c r="C799" t="s">
        <v>40</v>
      </c>
      <c r="D799">
        <v>5.3095889999999999</v>
      </c>
      <c r="E799">
        <v>0.53595719999999902</v>
      </c>
      <c r="F799" t="s">
        <v>44</v>
      </c>
      <c r="G799">
        <v>-169.2955</v>
      </c>
      <c r="H799">
        <v>0.41755680000000001</v>
      </c>
      <c r="I799">
        <v>354.34500000000003</v>
      </c>
      <c r="J799">
        <v>-252.42189999999999</v>
      </c>
      <c r="K799">
        <v>1.110242</v>
      </c>
      <c r="L799">
        <v>367.55130000000003</v>
      </c>
      <c r="M799">
        <v>0.99977539999999998</v>
      </c>
      <c r="N799">
        <v>0</v>
      </c>
      <c r="O799">
        <v>-1.535535E-2</v>
      </c>
      <c r="P799">
        <v>0.99802880000000005</v>
      </c>
      <c r="Q799">
        <v>5.9748969999999998E-3</v>
      </c>
      <c r="R799">
        <v>-6.2472880000000001E-2</v>
      </c>
      <c r="S799">
        <v>2.9768829999999999</v>
      </c>
      <c r="T799">
        <v>-2.470851E-2</v>
      </c>
      <c r="U799">
        <v>-0.4713135</v>
      </c>
      <c r="V799">
        <v>4.71397E-2</v>
      </c>
      <c r="W799">
        <v>2.056293E-2</v>
      </c>
      <c r="X799">
        <v>0.99867669999999997</v>
      </c>
      <c r="Y799">
        <v>0.14118599999999901</v>
      </c>
      <c r="Z799">
        <v>-4.5566269999999998E-4</v>
      </c>
      <c r="AA799">
        <v>0.98998299999999995</v>
      </c>
      <c r="AB799">
        <v>34</v>
      </c>
      <c r="AC799">
        <v>83.126399999999904</v>
      </c>
      <c r="AD799">
        <v>-0.692685199999999</v>
      </c>
      <c r="AE799">
        <v>-13.206300000000001</v>
      </c>
      <c r="AF799">
        <v>11.927363663724501</v>
      </c>
      <c r="AG799">
        <v>-0.692685199999999</v>
      </c>
      <c r="AH799">
        <v>83.313763596372098</v>
      </c>
      <c r="AI799">
        <v>90.4715486065341</v>
      </c>
      <c r="AJ799">
        <v>81.8527816064951</v>
      </c>
      <c r="AK799">
        <v>84.166056230200198</v>
      </c>
      <c r="AL799">
        <v>88.821747932875496</v>
      </c>
      <c r="AM799">
        <v>87.297521187481806</v>
      </c>
      <c r="AN799">
        <v>1.00000006826458</v>
      </c>
    </row>
    <row r="800" spans="1:40" x14ac:dyDescent="0.25">
      <c r="A800" t="str">
        <f>"20190312160925814"</f>
        <v>20190312160925814</v>
      </c>
      <c r="B800" t="str">
        <f>"1552378165805989"</f>
        <v>1552378165805989</v>
      </c>
      <c r="C800" t="s">
        <v>40</v>
      </c>
      <c r="D800">
        <v>5.3608710000000004</v>
      </c>
      <c r="E800">
        <v>0.53605749999999996</v>
      </c>
      <c r="F800" t="s">
        <v>44</v>
      </c>
      <c r="G800">
        <v>-169.2955</v>
      </c>
      <c r="H800">
        <v>0.35799979999999998</v>
      </c>
      <c r="I800">
        <v>354.3159</v>
      </c>
      <c r="J800">
        <v>-252.09530000000001</v>
      </c>
      <c r="K800">
        <v>1.1102459999999901</v>
      </c>
      <c r="L800">
        <v>367.54629999999997</v>
      </c>
      <c r="M800">
        <v>0.99977550000000004</v>
      </c>
      <c r="N800">
        <v>0</v>
      </c>
      <c r="O800">
        <v>-1.535533E-2</v>
      </c>
      <c r="P800">
        <v>0.99796719999999906</v>
      </c>
      <c r="Q800">
        <v>5.7023369999999896E-3</v>
      </c>
      <c r="R800">
        <v>-6.3475509999999999E-2</v>
      </c>
      <c r="S800">
        <v>2.9764249999999999</v>
      </c>
      <c r="T800">
        <v>-2.693164E-2</v>
      </c>
      <c r="U800">
        <v>-0.47390749999999998</v>
      </c>
      <c r="V800">
        <v>4.814305E-2</v>
      </c>
      <c r="W800">
        <v>2.0285950000000001E-2</v>
      </c>
      <c r="X800">
        <v>0.99863449999999998</v>
      </c>
      <c r="Y800">
        <v>0.14205019999999999</v>
      </c>
      <c r="Z800">
        <v>-5.0058639999999897E-4</v>
      </c>
      <c r="AA800">
        <v>0.9898593</v>
      </c>
      <c r="AB800">
        <v>34</v>
      </c>
      <c r="AC800">
        <v>82.799800000000005</v>
      </c>
      <c r="AD800">
        <v>-0.75224619999999898</v>
      </c>
      <c r="AE800">
        <v>-13.2303999999999</v>
      </c>
      <c r="AF800">
        <v>11.9563237197868</v>
      </c>
      <c r="AG800">
        <v>-0.75224619999999898</v>
      </c>
      <c r="AH800">
        <v>82.986535505673899</v>
      </c>
      <c r="AI800">
        <v>90.514046027383898</v>
      </c>
      <c r="AJ800">
        <v>81.801500702946996</v>
      </c>
      <c r="AK800">
        <v>83.846792583093006</v>
      </c>
      <c r="AL800">
        <v>88.837621028624397</v>
      </c>
      <c r="AM800">
        <v>87.239971552215394</v>
      </c>
      <c r="AN800">
        <v>1.00000006881047</v>
      </c>
    </row>
    <row r="801" spans="1:40" x14ac:dyDescent="0.25">
      <c r="A801" t="str">
        <f>"20190312160925837"</f>
        <v>20190312160925837</v>
      </c>
      <c r="B801" t="str">
        <f>"1552378165825509"</f>
        <v>1552378165825509</v>
      </c>
      <c r="C801" t="s">
        <v>40</v>
      </c>
      <c r="D801">
        <v>5.3056960000000002</v>
      </c>
      <c r="E801">
        <v>0.53610769999999996</v>
      </c>
      <c r="F801" t="s">
        <v>44</v>
      </c>
      <c r="G801">
        <v>-169.2955</v>
      </c>
      <c r="H801">
        <v>0.30235099999999998</v>
      </c>
      <c r="I801">
        <v>354.25869999999998</v>
      </c>
      <c r="J801">
        <v>-251.76050000000001</v>
      </c>
      <c r="K801">
        <v>1.11025</v>
      </c>
      <c r="L801">
        <v>367.54109999999997</v>
      </c>
      <c r="M801">
        <v>0.99977550000000004</v>
      </c>
      <c r="N801">
        <v>0</v>
      </c>
      <c r="O801">
        <v>-1.535518E-2</v>
      </c>
      <c r="P801">
        <v>0.99794749999999999</v>
      </c>
      <c r="Q801">
        <v>6.4501300000000001E-3</v>
      </c>
      <c r="R801">
        <v>-6.3714889999999996E-2</v>
      </c>
      <c r="S801">
        <v>2.9759060000000002</v>
      </c>
      <c r="T801">
        <v>-2.9033300000000001E-2</v>
      </c>
      <c r="U801">
        <v>-0.47756959999999998</v>
      </c>
      <c r="V801">
        <v>4.8382880000000003E-2</v>
      </c>
      <c r="W801">
        <v>2.1030130000000001E-2</v>
      </c>
      <c r="X801">
        <v>0.99860749999999998</v>
      </c>
      <c r="Y801">
        <v>0.1432639</v>
      </c>
      <c r="Z801">
        <v>-5.4557409999999998E-4</v>
      </c>
      <c r="AA801">
        <v>0.98968440000000002</v>
      </c>
      <c r="AB801">
        <v>34</v>
      </c>
      <c r="AC801">
        <v>82.465000000000003</v>
      </c>
      <c r="AD801">
        <v>-0.80789899999999903</v>
      </c>
      <c r="AE801">
        <v>-13.2823999999999</v>
      </c>
      <c r="AF801">
        <v>12.013309931721199</v>
      </c>
      <c r="AG801">
        <v>-0.80789899999999903</v>
      </c>
      <c r="AH801">
        <v>82.651518684274507</v>
      </c>
      <c r="AI801">
        <v>90.554211568015504</v>
      </c>
      <c r="AJ801">
        <v>81.730033119542398</v>
      </c>
      <c r="AK801">
        <v>83.523923860932001</v>
      </c>
      <c r="AL801">
        <v>88.794973538854407</v>
      </c>
      <c r="AM801">
        <v>87.226168701682994</v>
      </c>
      <c r="AN801">
        <v>1.00000005425057</v>
      </c>
    </row>
    <row r="802" spans="1:40" x14ac:dyDescent="0.25">
      <c r="A802" t="str">
        <f>"20190312160925860"</f>
        <v>20190312160925860</v>
      </c>
      <c r="B802" t="str">
        <f>"1552378165855765"</f>
        <v>1552378165855765</v>
      </c>
      <c r="C802" t="s">
        <v>40</v>
      </c>
      <c r="D802">
        <v>5.352538</v>
      </c>
      <c r="E802">
        <v>0.53615550000000001</v>
      </c>
      <c r="F802" t="s">
        <v>44</v>
      </c>
      <c r="G802">
        <v>-169.2955</v>
      </c>
      <c r="H802">
        <v>0.29127309999999901</v>
      </c>
      <c r="I802">
        <v>354.27210000000002</v>
      </c>
      <c r="J802">
        <v>-251.40090000000001</v>
      </c>
      <c r="K802">
        <v>1.110257</v>
      </c>
      <c r="L802">
        <v>367.53559999999999</v>
      </c>
      <c r="M802">
        <v>0.99977559999999999</v>
      </c>
      <c r="N802">
        <v>0</v>
      </c>
      <c r="O802">
        <v>-1.535515E-2</v>
      </c>
      <c r="P802">
        <v>0.99796530000000006</v>
      </c>
      <c r="Q802">
        <v>7.0466210000000003E-3</v>
      </c>
      <c r="R802">
        <v>-6.3369659999999994E-2</v>
      </c>
      <c r="S802">
        <v>2.9758</v>
      </c>
      <c r="T802">
        <v>-2.9550079999999999E-2</v>
      </c>
      <c r="U802">
        <v>-0.47882079999999999</v>
      </c>
      <c r="V802">
        <v>4.8037440000000001E-2</v>
      </c>
      <c r="W802">
        <v>2.1623179999999999E-2</v>
      </c>
      <c r="X802">
        <v>0.99861149999999999</v>
      </c>
      <c r="Y802">
        <v>0.143675</v>
      </c>
      <c r="Z802">
        <v>-5.5731409999999998E-4</v>
      </c>
      <c r="AA802">
        <v>0.98962479999999997</v>
      </c>
      <c r="AB802">
        <v>34</v>
      </c>
      <c r="AC802">
        <v>82.105400000000003</v>
      </c>
      <c r="AD802">
        <v>-0.81898389999999999</v>
      </c>
      <c r="AE802">
        <v>-13.263499999999899</v>
      </c>
      <c r="AF802">
        <v>11.999897351273701</v>
      </c>
      <c r="AG802">
        <v>-0.81898389999999999</v>
      </c>
      <c r="AH802">
        <v>82.291423191010793</v>
      </c>
      <c r="AI802">
        <v>90.564235441963106</v>
      </c>
      <c r="AJ802">
        <v>81.703492607115294</v>
      </c>
      <c r="AK802">
        <v>83.165777828813702</v>
      </c>
      <c r="AL802">
        <v>88.760986533933902</v>
      </c>
      <c r="AM802">
        <v>87.245953482435596</v>
      </c>
      <c r="AN802">
        <v>1.00000004274365</v>
      </c>
    </row>
    <row r="803" spans="1:40" x14ac:dyDescent="0.25">
      <c r="A803" t="str">
        <f>"20190312160925884"</f>
        <v>20190312160925884</v>
      </c>
      <c r="B803" t="str">
        <f>"1552378165876261"</f>
        <v>1552378165876261</v>
      </c>
      <c r="C803" t="s">
        <v>40</v>
      </c>
      <c r="D803">
        <v>5.4349910000000001</v>
      </c>
      <c r="E803">
        <v>0.53619119999999998</v>
      </c>
      <c r="F803" t="s">
        <v>44</v>
      </c>
      <c r="G803">
        <v>-169.2955</v>
      </c>
      <c r="H803">
        <v>0.3007107</v>
      </c>
      <c r="I803">
        <v>354.34710000000001</v>
      </c>
      <c r="J803">
        <v>-251.05719999999999</v>
      </c>
      <c r="K803">
        <v>1.110257</v>
      </c>
      <c r="L803">
        <v>367.53039999999999</v>
      </c>
      <c r="M803">
        <v>0.99977579999999999</v>
      </c>
      <c r="N803">
        <v>0</v>
      </c>
      <c r="O803">
        <v>-1.535477E-2</v>
      </c>
      <c r="P803">
        <v>0.99799839999999995</v>
      </c>
      <c r="Q803">
        <v>7.7977419999999999E-3</v>
      </c>
      <c r="R803">
        <v>-6.2759490000000001E-2</v>
      </c>
      <c r="S803">
        <v>2.9759669999999998</v>
      </c>
      <c r="T803">
        <v>-2.933931E-2</v>
      </c>
      <c r="U803">
        <v>-0.47802729999999999</v>
      </c>
      <c r="V803">
        <v>4.7427249999999997E-2</v>
      </c>
      <c r="W803">
        <v>2.237068E-2</v>
      </c>
      <c r="X803">
        <v>0.99862410000000001</v>
      </c>
      <c r="Y803">
        <v>0.14340939999999999</v>
      </c>
      <c r="Z803">
        <v>-5.5202349999999996E-4</v>
      </c>
      <c r="AA803">
        <v>0.98966330000000002</v>
      </c>
      <c r="AB803">
        <v>34</v>
      </c>
      <c r="AC803">
        <v>81.761699999999905</v>
      </c>
      <c r="AD803">
        <v>-0.80954630000000005</v>
      </c>
      <c r="AE803">
        <v>-13.1832999999999</v>
      </c>
      <c r="AF803">
        <v>11.925040457757801</v>
      </c>
      <c r="AG803">
        <v>-0.80954630000000005</v>
      </c>
      <c r="AH803">
        <v>81.946676889769606</v>
      </c>
      <c r="AI803">
        <v>90.560104043397999</v>
      </c>
      <c r="AJ803">
        <v>81.720325063892403</v>
      </c>
      <c r="AK803">
        <v>82.813765814671797</v>
      </c>
      <c r="AL803">
        <v>88.718147445330601</v>
      </c>
      <c r="AM803">
        <v>87.280917855488894</v>
      </c>
      <c r="AN803">
        <v>0.99999994223351496</v>
      </c>
    </row>
    <row r="804" spans="1:40" x14ac:dyDescent="0.25">
      <c r="A804" t="str">
        <f>"20190312160925905"</f>
        <v>20190312160925905</v>
      </c>
      <c r="B804" t="str">
        <f>"1552378165895781"</f>
        <v>1552378165895781</v>
      </c>
      <c r="C804" t="s">
        <v>40</v>
      </c>
      <c r="D804">
        <v>5.3724270000000001</v>
      </c>
      <c r="E804">
        <v>0.53617019999999904</v>
      </c>
      <c r="F804" t="s">
        <v>44</v>
      </c>
      <c r="G804">
        <v>-169.2955</v>
      </c>
      <c r="H804">
        <v>0.33172040000000003</v>
      </c>
      <c r="I804">
        <v>354.44029999999998</v>
      </c>
      <c r="J804">
        <v>-250.7296</v>
      </c>
      <c r="K804">
        <v>1.1102620000000001</v>
      </c>
      <c r="L804">
        <v>367.52530000000002</v>
      </c>
      <c r="M804">
        <v>0.99977570000000004</v>
      </c>
      <c r="N804">
        <v>0</v>
      </c>
      <c r="O804">
        <v>-1.5354390000000001E-2</v>
      </c>
      <c r="P804">
        <v>0.99798940000000003</v>
      </c>
      <c r="Q804">
        <v>8.4122940000000007E-3</v>
      </c>
      <c r="R804">
        <v>-6.2824759999999993E-2</v>
      </c>
      <c r="S804">
        <v>2.9762729999999999</v>
      </c>
      <c r="T804">
        <v>-2.8336879999999998E-2</v>
      </c>
      <c r="U804">
        <v>-0.47650150000000002</v>
      </c>
      <c r="V804">
        <v>4.7492989999999999E-2</v>
      </c>
      <c r="W804">
        <v>2.2982309999999999E-2</v>
      </c>
      <c r="X804">
        <v>0.99860720000000003</v>
      </c>
      <c r="Y804">
        <v>0.14289959999999999</v>
      </c>
      <c r="Z804">
        <v>-5.3072280000000002E-4</v>
      </c>
      <c r="AA804">
        <v>0.98973699999999998</v>
      </c>
      <c r="AB804">
        <v>34</v>
      </c>
      <c r="AC804">
        <v>81.434100000000001</v>
      </c>
      <c r="AD804">
        <v>-0.77854159999999994</v>
      </c>
      <c r="AE804">
        <v>-13.085000000000001</v>
      </c>
      <c r="AF804">
        <v>11.831898923228399</v>
      </c>
      <c r="AG804">
        <v>-0.77854159999999994</v>
      </c>
      <c r="AH804">
        <v>81.618159398715704</v>
      </c>
      <c r="AI804">
        <v>90.540864698494005</v>
      </c>
      <c r="AJ804">
        <v>81.751492651194198</v>
      </c>
      <c r="AK804">
        <v>82.474989559178397</v>
      </c>
      <c r="AL804">
        <v>88.683094760381493</v>
      </c>
      <c r="AM804">
        <v>87.277108530486103</v>
      </c>
      <c r="AN804">
        <v>1.0000000552819499</v>
      </c>
    </row>
    <row r="805" spans="1:40" x14ac:dyDescent="0.25">
      <c r="A805" t="str">
        <f>"20190312160925927"</f>
        <v>20190312160925927</v>
      </c>
      <c r="B805" t="str">
        <f>"1552378165916278"</f>
        <v>1552378165916278</v>
      </c>
      <c r="C805" t="s">
        <v>40</v>
      </c>
      <c r="D805">
        <v>5.2549089999999996</v>
      </c>
      <c r="E805">
        <v>0.49168119999999998</v>
      </c>
      <c r="F805" t="s">
        <v>44</v>
      </c>
      <c r="G805">
        <v>-169.2955</v>
      </c>
      <c r="H805">
        <v>0.33953290000000003</v>
      </c>
      <c r="I805">
        <v>354.48700000000002</v>
      </c>
      <c r="J805">
        <v>-250.4015</v>
      </c>
      <c r="K805">
        <v>1.1102669999999999</v>
      </c>
      <c r="L805">
        <v>367.52030000000002</v>
      </c>
      <c r="M805">
        <v>0.99977579999999999</v>
      </c>
      <c r="N805">
        <v>0</v>
      </c>
      <c r="O805">
        <v>-1.5354599999999999E-2</v>
      </c>
      <c r="P805">
        <v>0.99798819999999999</v>
      </c>
      <c r="Q805">
        <v>8.7373050000000008E-3</v>
      </c>
      <c r="R805">
        <v>-6.2796149999999995E-2</v>
      </c>
      <c r="S805">
        <v>2.9763030000000001</v>
      </c>
      <c r="T805">
        <v>-2.8165820000000001E-2</v>
      </c>
      <c r="U805">
        <v>-0.47653200000000001</v>
      </c>
      <c r="V805">
        <v>4.7464289999999999E-2</v>
      </c>
      <c r="W805">
        <v>2.3303129999999998E-2</v>
      </c>
      <c r="X805">
        <v>0.99860110000000002</v>
      </c>
      <c r="Y805">
        <v>0.1429078</v>
      </c>
      <c r="Z805">
        <v>-5.2754970000000001E-4</v>
      </c>
      <c r="AA805">
        <v>0.98973580000000005</v>
      </c>
      <c r="AB805">
        <v>34</v>
      </c>
      <c r="AC805">
        <v>81.105999999999995</v>
      </c>
      <c r="AD805">
        <v>-0.77073409999999998</v>
      </c>
      <c r="AE805">
        <v>-13.033300000000001</v>
      </c>
      <c r="AF805">
        <v>11.785243156911999</v>
      </c>
      <c r="AG805">
        <v>-0.77073409999999998</v>
      </c>
      <c r="AH805">
        <v>81.289422948966404</v>
      </c>
      <c r="AI805">
        <v>90.537605297825095</v>
      </c>
      <c r="AJ805">
        <v>81.750802318684904</v>
      </c>
      <c r="AK805">
        <v>82.142901523481598</v>
      </c>
      <c r="AL805">
        <v>88.664708165525596</v>
      </c>
      <c r="AM805">
        <v>87.278734901021906</v>
      </c>
      <c r="AN805">
        <v>1.0000000258071</v>
      </c>
    </row>
    <row r="806" spans="1:40" x14ac:dyDescent="0.25">
      <c r="A806" t="str">
        <f>"20190312160925949"</f>
        <v>20190312160925949</v>
      </c>
      <c r="B806" t="str">
        <f>"1552378165935797"</f>
        <v>1552378165935797</v>
      </c>
      <c r="C806" t="s">
        <v>40</v>
      </c>
      <c r="D806">
        <v>5.2431580000000002</v>
      </c>
      <c r="E806">
        <v>0.48430489999999998</v>
      </c>
      <c r="F806" t="s">
        <v>44</v>
      </c>
      <c r="G806">
        <v>-158.19499999999999</v>
      </c>
      <c r="H806">
        <v>1.0676829999999999</v>
      </c>
      <c r="I806">
        <v>363.75880000000001</v>
      </c>
      <c r="J806">
        <v>-250.05789999999999</v>
      </c>
      <c r="K806">
        <v>1.1102730000000001</v>
      </c>
      <c r="L806">
        <v>367.51499999999999</v>
      </c>
      <c r="M806">
        <v>0.99977579999999999</v>
      </c>
      <c r="N806">
        <v>0</v>
      </c>
      <c r="O806">
        <v>-1.5354690000000001E-2</v>
      </c>
      <c r="P806">
        <v>0.99798989999999999</v>
      </c>
      <c r="Q806">
        <v>9.5893679999999992E-3</v>
      </c>
      <c r="R806">
        <v>-6.2643599999999994E-2</v>
      </c>
      <c r="S806">
        <v>2.998367</v>
      </c>
      <c r="T806">
        <v>-1.3818739999999999E-3</v>
      </c>
      <c r="U806">
        <v>-0.12231450000000001</v>
      </c>
      <c r="V806">
        <v>4.7311730000000003E-2</v>
      </c>
      <c r="W806">
        <v>2.4151659999999998E-2</v>
      </c>
      <c r="X806">
        <v>0.99858809999999998</v>
      </c>
      <c r="Y806">
        <v>2.5411420000000001E-2</v>
      </c>
      <c r="Z806" s="1">
        <v>1.2203330000000001E-6</v>
      </c>
      <c r="AA806">
        <v>0.99967709999999999</v>
      </c>
      <c r="AB806">
        <v>34</v>
      </c>
      <c r="AC806">
        <v>91.862899999999996</v>
      </c>
      <c r="AD806">
        <v>-4.25900000000001E-2</v>
      </c>
      <c r="AE806">
        <v>-3.75619999999997</v>
      </c>
      <c r="AF806">
        <v>2.3450802803999098</v>
      </c>
      <c r="AG806">
        <v>-4.25900000000001E-2</v>
      </c>
      <c r="AH806">
        <v>91.909729656404906</v>
      </c>
      <c r="AI806">
        <v>90.026541620313495</v>
      </c>
      <c r="AJ806">
        <v>88.538413103946496</v>
      </c>
      <c r="AK806">
        <v>91.939652060158807</v>
      </c>
      <c r="AL806">
        <v>88.616077178526993</v>
      </c>
      <c r="AM806">
        <v>87.287433262665701</v>
      </c>
      <c r="AN806">
        <v>0.99999994796897695</v>
      </c>
    </row>
    <row r="807" spans="1:40" x14ac:dyDescent="0.25">
      <c r="A807" t="str">
        <f>"20190312160925971"</f>
        <v>20190312160925971</v>
      </c>
      <c r="B807" t="str">
        <f>"1552378165966053"</f>
        <v>1552378165966053</v>
      </c>
      <c r="C807" t="s">
        <v>40</v>
      </c>
      <c r="D807">
        <v>5.1843170000000001</v>
      </c>
      <c r="E807">
        <v>0.48285080000000002</v>
      </c>
      <c r="F807" t="s">
        <v>44</v>
      </c>
      <c r="G807">
        <v>-158.19499999999999</v>
      </c>
      <c r="H807">
        <v>0.31276079999999901</v>
      </c>
      <c r="I807">
        <v>365.5831</v>
      </c>
      <c r="J807">
        <v>-249.71780000000001</v>
      </c>
      <c r="K807">
        <v>1.1102749999999999</v>
      </c>
      <c r="L807">
        <v>367.50979999999998</v>
      </c>
      <c r="M807">
        <v>0.99977590000000005</v>
      </c>
      <c r="N807">
        <v>0</v>
      </c>
      <c r="O807">
        <v>-1.535454E-2</v>
      </c>
      <c r="P807">
        <v>0.99798039999999999</v>
      </c>
      <c r="Q807">
        <v>1.067364E-2</v>
      </c>
      <c r="R807">
        <v>-6.2623460000000006E-2</v>
      </c>
      <c r="S807">
        <v>3.002319</v>
      </c>
      <c r="T807">
        <v>-2.6061890000000001E-2</v>
      </c>
      <c r="U807">
        <v>-6.3140870000000002E-2</v>
      </c>
      <c r="V807">
        <v>4.7291890000000003E-2</v>
      </c>
      <c r="W807">
        <v>2.5231369999999999E-2</v>
      </c>
      <c r="X807">
        <v>0.99856239999999996</v>
      </c>
      <c r="Y807">
        <v>5.671153E-3</v>
      </c>
      <c r="Z807">
        <v>1.086628E-4</v>
      </c>
      <c r="AA807">
        <v>0.99998390000000004</v>
      </c>
      <c r="AB807">
        <v>34</v>
      </c>
      <c r="AC807">
        <v>91.522800000000004</v>
      </c>
      <c r="AD807">
        <v>-0.79751419999999995</v>
      </c>
      <c r="AE807">
        <v>-1.9266999999999801</v>
      </c>
      <c r="AF807">
        <v>0.52099352455395898</v>
      </c>
      <c r="AG807">
        <v>-0.79751419999999995</v>
      </c>
      <c r="AH807">
        <v>91.534647786959795</v>
      </c>
      <c r="AI807">
        <v>90.499180393448398</v>
      </c>
      <c r="AJ807">
        <v>89.673889521740506</v>
      </c>
      <c r="AK807">
        <v>91.539604590770494</v>
      </c>
      <c r="AL807">
        <v>88.554195563203606</v>
      </c>
      <c r="AM807">
        <v>87.288499389708505</v>
      </c>
      <c r="AN807">
        <v>1.0000000057928</v>
      </c>
    </row>
    <row r="808" spans="1:40" x14ac:dyDescent="0.25">
      <c r="A808" t="str">
        <f>"20190312160926005"</f>
        <v>20190312160926005</v>
      </c>
      <c r="B808" t="str">
        <f>"1552378165996309"</f>
        <v>1552378165996309</v>
      </c>
      <c r="C808" t="s">
        <v>40</v>
      </c>
      <c r="D808">
        <v>5.1422819999999998</v>
      </c>
      <c r="E808">
        <v>0.48277589999999998</v>
      </c>
      <c r="F808" t="s">
        <v>46</v>
      </c>
      <c r="G808">
        <v>-196.3296</v>
      </c>
      <c r="H808" s="1">
        <v>-8.0217419999999997E-6</v>
      </c>
      <c r="I808">
        <v>366.58870000000002</v>
      </c>
      <c r="J808">
        <v>-249.21899999999999</v>
      </c>
      <c r="K808">
        <v>1.110276</v>
      </c>
      <c r="L808">
        <v>367.50209999999998</v>
      </c>
      <c r="M808">
        <v>0.99977590000000005</v>
      </c>
      <c r="N808">
        <v>0</v>
      </c>
      <c r="O808">
        <v>-1.535427E-2</v>
      </c>
      <c r="P808">
        <v>0.99791660000000004</v>
      </c>
      <c r="Q808">
        <v>1.0538499999999999E-2</v>
      </c>
      <c r="R808">
        <v>-6.3653009999999996E-2</v>
      </c>
      <c r="S808">
        <v>3.0034939999999999</v>
      </c>
      <c r="T808">
        <v>-6.2461849999999999E-2</v>
      </c>
      <c r="U808">
        <v>-5.181885E-2</v>
      </c>
      <c r="V808">
        <v>4.832235E-2</v>
      </c>
      <c r="W808">
        <v>2.5089790000000001E-2</v>
      </c>
      <c r="X808">
        <v>0.99851659999999998</v>
      </c>
      <c r="Y808">
        <v>1.8975509999999999E-3</v>
      </c>
      <c r="Z808">
        <v>2.995416E-4</v>
      </c>
      <c r="AA808">
        <v>0.99999819999999995</v>
      </c>
      <c r="AB808">
        <v>34</v>
      </c>
      <c r="AC808">
        <v>52.889400000000002</v>
      </c>
      <c r="AD808">
        <v>-1.110284021742</v>
      </c>
      <c r="AE808">
        <v>-0.91339999999996702</v>
      </c>
      <c r="AF808">
        <v>0.10108338656377901</v>
      </c>
      <c r="AG808">
        <v>-1.110284021742</v>
      </c>
      <c r="AH808">
        <v>52.873896027777</v>
      </c>
      <c r="AI808">
        <v>91.202958914589402</v>
      </c>
      <c r="AJ808">
        <v>89.890463067635906</v>
      </c>
      <c r="AK808">
        <v>52.885648616767</v>
      </c>
      <c r="AL808">
        <v>88.562310022453403</v>
      </c>
      <c r="AM808">
        <v>87.229381720537901</v>
      </c>
      <c r="AN808">
        <v>0.99999997377366201</v>
      </c>
    </row>
    <row r="809" spans="1:40" x14ac:dyDescent="0.25">
      <c r="A809" t="str">
        <f>"20190312160926027"</f>
        <v>20190312160926027</v>
      </c>
      <c r="B809" t="str">
        <f>"1552378166015830"</f>
        <v>1552378166015830</v>
      </c>
      <c r="C809" t="s">
        <v>40</v>
      </c>
      <c r="D809">
        <v>5.1457069999999998</v>
      </c>
      <c r="E809">
        <v>0.4830063</v>
      </c>
      <c r="F809" t="s">
        <v>46</v>
      </c>
      <c r="G809">
        <v>-209.72499999999999</v>
      </c>
      <c r="H809" s="1">
        <v>-5.6339099999999901E-6</v>
      </c>
      <c r="I809">
        <v>366.79349999999999</v>
      </c>
      <c r="J809">
        <v>-248.8801</v>
      </c>
      <c r="K809">
        <v>1.110277</v>
      </c>
      <c r="L809">
        <v>367.49689999999998</v>
      </c>
      <c r="M809">
        <v>0.999776</v>
      </c>
      <c r="N809">
        <v>0</v>
      </c>
      <c r="O809">
        <v>-1.5354120000000001E-2</v>
      </c>
      <c r="P809">
        <v>0.99788189999999999</v>
      </c>
      <c r="Q809">
        <v>1.044051E-2</v>
      </c>
      <c r="R809">
        <v>-6.4209059999999998E-2</v>
      </c>
      <c r="S809">
        <v>3.003708</v>
      </c>
      <c r="T809">
        <v>-8.4442139999999999E-2</v>
      </c>
      <c r="U809">
        <v>-5.3894039999999997E-2</v>
      </c>
      <c r="V809">
        <v>4.887917E-2</v>
      </c>
      <c r="W809">
        <v>2.4987309999999999E-2</v>
      </c>
      <c r="X809">
        <v>0.99849209999999999</v>
      </c>
      <c r="Y809">
        <v>2.5892670000000001E-3</v>
      </c>
      <c r="Z809">
        <v>3.9515760000000003E-4</v>
      </c>
      <c r="AA809">
        <v>0.99999649999999995</v>
      </c>
      <c r="AB809">
        <v>34</v>
      </c>
      <c r="AC809">
        <v>39.155099999999997</v>
      </c>
      <c r="AD809">
        <v>-1.11028263391</v>
      </c>
      <c r="AE809">
        <v>-0.70339999999998704</v>
      </c>
      <c r="AF809">
        <v>0.10197919238811901</v>
      </c>
      <c r="AG809">
        <v>-1.11028263391</v>
      </c>
      <c r="AH809">
        <v>39.129831870225402</v>
      </c>
      <c r="AI809">
        <v>91.625287568652695</v>
      </c>
      <c r="AJ809">
        <v>89.850677505780396</v>
      </c>
      <c r="AK809">
        <v>39.145713296285102</v>
      </c>
      <c r="AL809">
        <v>88.568183582162206</v>
      </c>
      <c r="AM809">
        <v>87.197437748837004</v>
      </c>
      <c r="AN809">
        <v>1.0000000063416601</v>
      </c>
    </row>
    <row r="810" spans="1:40" x14ac:dyDescent="0.25">
      <c r="A810" t="str">
        <f>"20190312160926049"</f>
        <v>20190312160926049</v>
      </c>
      <c r="B810" t="str">
        <f>"1552378166046086"</f>
        <v>1552378166046086</v>
      </c>
      <c r="C810" t="s">
        <v>40</v>
      </c>
      <c r="D810">
        <v>5.0855920000000001</v>
      </c>
      <c r="E810">
        <v>0.48368949999999999</v>
      </c>
      <c r="F810" t="s">
        <v>41</v>
      </c>
      <c r="G810">
        <v>-213.00970000000001</v>
      </c>
      <c r="H810" s="1">
        <v>-3.4790329999999999E-6</v>
      </c>
      <c r="I810">
        <v>366.80950000000001</v>
      </c>
      <c r="J810">
        <v>-248.54320000000001</v>
      </c>
      <c r="K810">
        <v>1.110279</v>
      </c>
      <c r="L810">
        <v>367.49169999999998</v>
      </c>
      <c r="M810">
        <v>0.99977609999999995</v>
      </c>
      <c r="N810">
        <v>0</v>
      </c>
      <c r="O810">
        <v>-1.5354090000000001E-2</v>
      </c>
      <c r="P810">
        <v>0.99784640000000002</v>
      </c>
      <c r="Q810">
        <v>1.137256E-2</v>
      </c>
      <c r="R810">
        <v>-6.4599719999999999E-2</v>
      </c>
      <c r="S810">
        <v>3.0036320000000001</v>
      </c>
      <c r="T810">
        <v>-9.2970010000000006E-2</v>
      </c>
      <c r="U810">
        <v>-5.755615E-2</v>
      </c>
      <c r="V810">
        <v>4.9270510000000003E-2</v>
      </c>
      <c r="W810">
        <v>2.591541E-2</v>
      </c>
      <c r="X810">
        <v>0.99844920000000004</v>
      </c>
      <c r="Y810">
        <v>3.8090379999999998E-3</v>
      </c>
      <c r="Z810">
        <v>4.1617949999999998E-4</v>
      </c>
      <c r="AA810">
        <v>0.99999269999999996</v>
      </c>
      <c r="AB810">
        <v>34</v>
      </c>
      <c r="AC810">
        <v>35.533499999999997</v>
      </c>
      <c r="AD810">
        <v>-1.1102824790329999</v>
      </c>
      <c r="AE810">
        <v>-0.68219999999996594</v>
      </c>
      <c r="AF810">
        <v>0.13634409981304299</v>
      </c>
      <c r="AG810">
        <v>-1.1102824790329999</v>
      </c>
      <c r="AH810">
        <v>35.505134552447501</v>
      </c>
      <c r="AI810">
        <v>91.791101730856994</v>
      </c>
      <c r="AJ810">
        <v>89.779978214985306</v>
      </c>
      <c r="AK810">
        <v>35.522751814635697</v>
      </c>
      <c r="AL810">
        <v>88.514990124288104</v>
      </c>
      <c r="AM810">
        <v>87.174914689220699</v>
      </c>
      <c r="AN810">
        <v>0.99999999830588404</v>
      </c>
    </row>
    <row r="811" spans="1:40" x14ac:dyDescent="0.25">
      <c r="A811" t="str">
        <f>"20190312160926073"</f>
        <v>20190312160926073</v>
      </c>
      <c r="B811" t="str">
        <f>"1552378166065607"</f>
        <v>1552378166065607</v>
      </c>
      <c r="C811" t="s">
        <v>40</v>
      </c>
      <c r="D811">
        <v>5.1580539999999999</v>
      </c>
      <c r="E811">
        <v>0.48390759999999999</v>
      </c>
      <c r="F811" t="s">
        <v>41</v>
      </c>
      <c r="G811">
        <v>-214.3</v>
      </c>
      <c r="H811" s="1">
        <v>-2.9337989999999999E-6</v>
      </c>
      <c r="I811">
        <v>366.76280000000003</v>
      </c>
      <c r="J811">
        <v>-248.19130000000001</v>
      </c>
      <c r="K811">
        <v>1.1102829999999999</v>
      </c>
      <c r="L811">
        <v>367.48630000000003</v>
      </c>
      <c r="M811">
        <v>0.9997762</v>
      </c>
      <c r="N811">
        <v>0</v>
      </c>
      <c r="O811">
        <v>-1.5354069999999999E-2</v>
      </c>
      <c r="P811">
        <v>0.99779430000000002</v>
      </c>
      <c r="Q811">
        <v>1.1525000000000001E-2</v>
      </c>
      <c r="R811">
        <v>-6.5375630000000004E-2</v>
      </c>
      <c r="S811">
        <v>3.0034480000000001</v>
      </c>
      <c r="T811">
        <v>-9.7381830000000003E-2</v>
      </c>
      <c r="U811">
        <v>-6.3934329999999998E-2</v>
      </c>
      <c r="V811">
        <v>5.0047290000000001E-2</v>
      </c>
      <c r="W811">
        <v>2.6063650000000001E-2</v>
      </c>
      <c r="X811">
        <v>0.99840669999999998</v>
      </c>
      <c r="Y811">
        <v>5.9323789999999998E-3</v>
      </c>
      <c r="Z811">
        <v>4.0152329999999998E-4</v>
      </c>
      <c r="AA811">
        <v>0.99998229999999999</v>
      </c>
      <c r="AB811">
        <v>34</v>
      </c>
      <c r="AC811">
        <v>33.891300000000001</v>
      </c>
      <c r="AD811">
        <v>-1.1102859337990001</v>
      </c>
      <c r="AE811">
        <v>-0.72350000000000103</v>
      </c>
      <c r="AF811">
        <v>0.20277266337268099</v>
      </c>
      <c r="AG811">
        <v>-1.1102859337990001</v>
      </c>
      <c r="AH811">
        <v>33.862088580454198</v>
      </c>
      <c r="AI811">
        <v>91.8779342644156</v>
      </c>
      <c r="AJ811">
        <v>89.656906013954497</v>
      </c>
      <c r="AK811">
        <v>33.880892766252998</v>
      </c>
      <c r="AL811">
        <v>88.506493718306999</v>
      </c>
      <c r="AM811">
        <v>87.130327394755497</v>
      </c>
      <c r="AN811">
        <v>0.99999999184627797</v>
      </c>
    </row>
    <row r="812" spans="1:40" x14ac:dyDescent="0.25">
      <c r="A812" t="str">
        <f>"20190312160926095"</f>
        <v>20190312160926095</v>
      </c>
      <c r="B812" t="str">
        <f>"1552378166086100"</f>
        <v>1552378166086100</v>
      </c>
      <c r="C812" t="s">
        <v>40</v>
      </c>
      <c r="D812">
        <v>5.1437089999999897</v>
      </c>
      <c r="E812">
        <v>0.48408060000000003</v>
      </c>
      <c r="F812" t="s">
        <v>41</v>
      </c>
      <c r="G812">
        <v>-215.25569999999999</v>
      </c>
      <c r="H812" s="1">
        <v>-2.5280510000000001E-6</v>
      </c>
      <c r="I812">
        <v>366.73899999999998</v>
      </c>
      <c r="J812">
        <v>-247.85849999999999</v>
      </c>
      <c r="K812">
        <v>1.110279</v>
      </c>
      <c r="L812">
        <v>367.4812</v>
      </c>
      <c r="M812">
        <v>0.9997762</v>
      </c>
      <c r="N812">
        <v>0</v>
      </c>
      <c r="O812">
        <v>-1.5353800000000001E-2</v>
      </c>
      <c r="P812">
        <v>0.99772130000000003</v>
      </c>
      <c r="Q812">
        <v>1.1617830000000001E-2</v>
      </c>
      <c r="R812">
        <v>-6.6465440000000001E-2</v>
      </c>
      <c r="S812">
        <v>3.0033569999999998</v>
      </c>
      <c r="T812">
        <v>-0.1012454</v>
      </c>
      <c r="U812">
        <v>-6.8145750000000005E-2</v>
      </c>
      <c r="V812">
        <v>5.1138009999999998E-2</v>
      </c>
      <c r="W812">
        <v>2.6151839999999999E-2</v>
      </c>
      <c r="X812">
        <v>0.99834909999999999</v>
      </c>
      <c r="Y812">
        <v>7.334424E-3</v>
      </c>
      <c r="Z812">
        <v>3.938182E-4</v>
      </c>
      <c r="AA812">
        <v>0.999973</v>
      </c>
      <c r="AB812">
        <v>34</v>
      </c>
      <c r="AC812">
        <v>32.602800000000002</v>
      </c>
      <c r="AD812">
        <v>-1.1102815280509899</v>
      </c>
      <c r="AE812">
        <v>-0.742199999999968</v>
      </c>
      <c r="AF812">
        <v>0.24120301547575301</v>
      </c>
      <c r="AG812">
        <v>-1.1102815280509899</v>
      </c>
      <c r="AH812">
        <v>32.572597066943402</v>
      </c>
      <c r="AI812">
        <v>91.952195679503603</v>
      </c>
      <c r="AJ812">
        <v>89.575727346338496</v>
      </c>
      <c r="AK812">
        <v>32.592406840423003</v>
      </c>
      <c r="AL812">
        <v>88.501439047977499</v>
      </c>
      <c r="AM812">
        <v>87.067725460022501</v>
      </c>
      <c r="AN812">
        <v>0.99999997013647701</v>
      </c>
    </row>
    <row r="813" spans="1:40" x14ac:dyDescent="0.25">
      <c r="A813" t="str">
        <f>"20190312160926116"</f>
        <v>20190312160926116</v>
      </c>
      <c r="B813" t="str">
        <f>"1552378166105622"</f>
        <v>1552378166105622</v>
      </c>
      <c r="C813" t="s">
        <v>40</v>
      </c>
      <c r="D813">
        <v>5.1360210000000004</v>
      </c>
      <c r="E813">
        <v>0.48454659999999999</v>
      </c>
      <c r="F813" t="s">
        <v>41</v>
      </c>
      <c r="G813">
        <v>-215.63470000000001</v>
      </c>
      <c r="H813" s="1">
        <v>-2.37231E-6</v>
      </c>
      <c r="I813">
        <v>366.7002</v>
      </c>
      <c r="J813">
        <v>-247.54040000000001</v>
      </c>
      <c r="K813">
        <v>1.1102810000000001</v>
      </c>
      <c r="L813">
        <v>367.47629999999998</v>
      </c>
      <c r="M813">
        <v>0.9997762</v>
      </c>
      <c r="N813">
        <v>0</v>
      </c>
      <c r="O813">
        <v>-1.535366E-2</v>
      </c>
      <c r="P813">
        <v>0.99768539999999994</v>
      </c>
      <c r="Q813">
        <v>1.165858E-2</v>
      </c>
      <c r="R813">
        <v>-6.6994730000000002E-2</v>
      </c>
      <c r="S813">
        <v>3.0031889999999999</v>
      </c>
      <c r="T813">
        <v>-0.1034756</v>
      </c>
      <c r="U813">
        <v>-7.2784420000000002E-2</v>
      </c>
      <c r="V813">
        <v>5.1667970000000001E-2</v>
      </c>
      <c r="W813">
        <v>2.618902E-2</v>
      </c>
      <c r="X813">
        <v>0.99832089999999996</v>
      </c>
      <c r="Y813">
        <v>8.8788019999999999E-3</v>
      </c>
      <c r="Z813">
        <v>3.7590239999999998E-4</v>
      </c>
      <c r="AA813">
        <v>0.99996050000000003</v>
      </c>
      <c r="AB813">
        <v>34</v>
      </c>
      <c r="AC813">
        <v>31.9057</v>
      </c>
      <c r="AD813">
        <v>-1.1102833723099901</v>
      </c>
      <c r="AE813">
        <v>-0.77609999999998502</v>
      </c>
      <c r="AF813">
        <v>0.285741521378442</v>
      </c>
      <c r="AG813">
        <v>-1.1102833723099901</v>
      </c>
      <c r="AH813">
        <v>31.8752785973765</v>
      </c>
      <c r="AI813">
        <v>91.994846561086007</v>
      </c>
      <c r="AJ813">
        <v>89.486393675478695</v>
      </c>
      <c r="AK813">
        <v>31.895889438048901</v>
      </c>
      <c r="AL813">
        <v>88.499308153269993</v>
      </c>
      <c r="AM813">
        <v>87.037307657362803</v>
      </c>
      <c r="AN813">
        <v>1.00000003163464</v>
      </c>
    </row>
    <row r="814" spans="1:40" x14ac:dyDescent="0.25">
      <c r="A814" t="str">
        <f>"20190312160926138"</f>
        <v>20190312160926138</v>
      </c>
      <c r="B814" t="str">
        <f>"1552378166126117"</f>
        <v>1552378166126117</v>
      </c>
      <c r="C814" t="s">
        <v>40</v>
      </c>
      <c r="D814">
        <v>5.3165559999999896</v>
      </c>
      <c r="E814">
        <v>0.48432619999999998</v>
      </c>
      <c r="F814" t="s">
        <v>41</v>
      </c>
      <c r="G814">
        <v>-216.30670000000001</v>
      </c>
      <c r="H814" s="1">
        <v>-2.0901460000000001E-6</v>
      </c>
      <c r="I814">
        <v>366.66559999999998</v>
      </c>
      <c r="J814">
        <v>-247.20760000000001</v>
      </c>
      <c r="K814">
        <v>1.1102829999999999</v>
      </c>
      <c r="L814">
        <v>367.47120000000001</v>
      </c>
      <c r="M814">
        <v>0.9997762</v>
      </c>
      <c r="N814">
        <v>0</v>
      </c>
      <c r="O814">
        <v>-1.5353510000000001E-2</v>
      </c>
      <c r="P814">
        <v>0.99764600000000003</v>
      </c>
      <c r="Q814">
        <v>1.198249E-2</v>
      </c>
      <c r="R814">
        <v>-6.7520659999999996E-2</v>
      </c>
      <c r="S814">
        <v>3.0029599999999999</v>
      </c>
      <c r="T814">
        <v>-0.10674790000000001</v>
      </c>
      <c r="U814">
        <v>-7.794189E-2</v>
      </c>
      <c r="V814">
        <v>5.2194789999999998E-2</v>
      </c>
      <c r="W814">
        <v>2.650887E-2</v>
      </c>
      <c r="X814">
        <v>0.99828499999999998</v>
      </c>
      <c r="Y814">
        <v>1.059626E-2</v>
      </c>
      <c r="Z814">
        <v>3.5728589999999997E-4</v>
      </c>
      <c r="AA814">
        <v>0.99994380000000005</v>
      </c>
      <c r="AB814">
        <v>34</v>
      </c>
      <c r="AC814">
        <v>30.9009</v>
      </c>
      <c r="AD814">
        <v>-1.110285090146</v>
      </c>
      <c r="AE814">
        <v>-0.80560000000002596</v>
      </c>
      <c r="AF814">
        <v>0.33059098583197599</v>
      </c>
      <c r="AG814">
        <v>-1.110285090146</v>
      </c>
      <c r="AH814">
        <v>30.869801080523199</v>
      </c>
      <c r="AI814">
        <v>92.059734600903695</v>
      </c>
      <c r="AJ814">
        <v>89.386431285384603</v>
      </c>
      <c r="AK814">
        <v>30.8915302653071</v>
      </c>
      <c r="AL814">
        <v>88.480975653454493</v>
      </c>
      <c r="AM814">
        <v>87.007046489702603</v>
      </c>
      <c r="AN814">
        <v>0.99999997875840996</v>
      </c>
    </row>
    <row r="815" spans="1:40" x14ac:dyDescent="0.25">
      <c r="A815" t="str">
        <f>"20190312160926161"</f>
        <v>20190312160926161</v>
      </c>
      <c r="B815" t="str">
        <f>"1552378166156118"</f>
        <v>1552378166156118</v>
      </c>
      <c r="C815" t="s">
        <v>40</v>
      </c>
      <c r="D815">
        <v>5.2179529999999996</v>
      </c>
      <c r="E815">
        <v>0.48386380000000001</v>
      </c>
      <c r="F815" t="s">
        <v>41</v>
      </c>
      <c r="G815">
        <v>-215.18289999999999</v>
      </c>
      <c r="H815" s="1">
        <v>-2.5768579999999902E-6</v>
      </c>
      <c r="I815">
        <v>366.6397</v>
      </c>
      <c r="J815">
        <v>-246.858</v>
      </c>
      <c r="K815">
        <v>1.110282</v>
      </c>
      <c r="L815">
        <v>367.4658</v>
      </c>
      <c r="M815">
        <v>0.99977629999999995</v>
      </c>
      <c r="N815">
        <v>0</v>
      </c>
      <c r="O815">
        <v>-1.5353489999999999E-2</v>
      </c>
      <c r="P815">
        <v>0.99764569999999997</v>
      </c>
      <c r="Q815">
        <v>1.215484E-2</v>
      </c>
      <c r="R815">
        <v>-6.7496059999999997E-2</v>
      </c>
      <c r="S815">
        <v>3.0030359999999998</v>
      </c>
      <c r="T815">
        <v>-0.1041142</v>
      </c>
      <c r="U815">
        <v>-7.7972410000000006E-2</v>
      </c>
      <c r="V815">
        <v>5.2170149999999998E-2</v>
      </c>
      <c r="W815">
        <v>2.6677610000000001E-2</v>
      </c>
      <c r="X815">
        <v>0.9982818</v>
      </c>
      <c r="Y815">
        <v>1.060563E-2</v>
      </c>
      <c r="Z815">
        <v>3.4830400000000002E-4</v>
      </c>
      <c r="AA815">
        <v>0.99994369999999999</v>
      </c>
      <c r="AB815">
        <v>34</v>
      </c>
      <c r="AC815">
        <v>31.6751</v>
      </c>
      <c r="AD815">
        <v>-1.1102845768580001</v>
      </c>
      <c r="AE815">
        <v>-0.82609999999999595</v>
      </c>
      <c r="AF815">
        <v>0.33921131535274601</v>
      </c>
      <c r="AG815">
        <v>-1.1102845768580001</v>
      </c>
      <c r="AH815">
        <v>31.645195631309601</v>
      </c>
      <c r="AI815">
        <v>92.009306168386601</v>
      </c>
      <c r="AJ815">
        <v>89.385858358187093</v>
      </c>
      <c r="AK815">
        <v>31.666483901783799</v>
      </c>
      <c r="AL815">
        <v>88.471304153745194</v>
      </c>
      <c r="AM815">
        <v>87.008447257479204</v>
      </c>
      <c r="AN815">
        <v>0.99999998581878702</v>
      </c>
    </row>
    <row r="816" spans="1:40" x14ac:dyDescent="0.25">
      <c r="A816" t="str">
        <f>"20190312160926184"</f>
        <v>20190312160926184</v>
      </c>
      <c r="B816" t="str">
        <f>"1552378166175638"</f>
        <v>1552378166175638</v>
      </c>
      <c r="C816" t="s">
        <v>40</v>
      </c>
      <c r="D816">
        <v>5.1955850000000003</v>
      </c>
      <c r="E816">
        <v>0.48373430000000001</v>
      </c>
      <c r="F816" t="s">
        <v>41</v>
      </c>
      <c r="G816">
        <v>-213.011</v>
      </c>
      <c r="H816" s="1">
        <v>-3.510404E-6</v>
      </c>
      <c r="I816">
        <v>366.62970000000001</v>
      </c>
      <c r="J816">
        <v>-246.5275</v>
      </c>
      <c r="K816">
        <v>1.1102860000000001</v>
      </c>
      <c r="L816">
        <v>367.46069999999997</v>
      </c>
      <c r="M816">
        <v>0.99977640000000001</v>
      </c>
      <c r="N816">
        <v>0</v>
      </c>
      <c r="O816">
        <v>-1.5353220000000001E-2</v>
      </c>
      <c r="P816">
        <v>0.99762740000000005</v>
      </c>
      <c r="Q816">
        <v>1.193381E-2</v>
      </c>
      <c r="R816">
        <v>-6.7804149999999994E-2</v>
      </c>
      <c r="S816">
        <v>3.0032649999999999</v>
      </c>
      <c r="T816">
        <v>-9.8516110000000004E-2</v>
      </c>
      <c r="U816">
        <v>-7.4188229999999994E-2</v>
      </c>
      <c r="V816">
        <v>5.2478789999999997E-2</v>
      </c>
      <c r="W816">
        <v>2.645262E-2</v>
      </c>
      <c r="X816">
        <v>0.99827160000000004</v>
      </c>
      <c r="Y816">
        <v>9.3451439999999997E-3</v>
      </c>
      <c r="Z816">
        <v>3.5022429999999999E-4</v>
      </c>
      <c r="AA816">
        <v>0.99995630000000002</v>
      </c>
      <c r="AB816">
        <v>33</v>
      </c>
      <c r="AC816">
        <v>33.516500000000001</v>
      </c>
      <c r="AD816">
        <v>-1.110289510404</v>
      </c>
      <c r="AE816">
        <v>-0.83099999999995999</v>
      </c>
      <c r="AF816">
        <v>0.31591496112823703</v>
      </c>
      <c r="AG816">
        <v>-1.110289510404</v>
      </c>
      <c r="AH816">
        <v>33.488581566286904</v>
      </c>
      <c r="AI816">
        <v>91.898819820475396</v>
      </c>
      <c r="AJ816">
        <v>89.459515565938204</v>
      </c>
      <c r="AK816">
        <v>33.508471173442601</v>
      </c>
      <c r="AL816">
        <v>88.484199667428399</v>
      </c>
      <c r="AM816">
        <v>86.990750893622206</v>
      </c>
      <c r="AN816">
        <v>0.99999997593564305</v>
      </c>
    </row>
    <row r="817" spans="1:40" x14ac:dyDescent="0.25">
      <c r="A817" t="str">
        <f>"20190312160926205"</f>
        <v>20190312160926205</v>
      </c>
      <c r="B817" t="str">
        <f>"1552378166196134"</f>
        <v>1552378166196134</v>
      </c>
      <c r="C817" t="s">
        <v>40</v>
      </c>
      <c r="D817">
        <v>5.2327949999999896</v>
      </c>
      <c r="E817">
        <v>0.48369709999999999</v>
      </c>
      <c r="F817" t="s">
        <v>41</v>
      </c>
      <c r="G817">
        <v>-212.8075</v>
      </c>
      <c r="H817" s="1">
        <v>-3.5976070000000001E-6</v>
      </c>
      <c r="I817">
        <v>366.6302</v>
      </c>
      <c r="J817">
        <v>-246.20580000000001</v>
      </c>
      <c r="K817">
        <v>1.110284</v>
      </c>
      <c r="L817">
        <v>367.45580000000001</v>
      </c>
      <c r="M817">
        <v>0.99977640000000001</v>
      </c>
      <c r="N817">
        <v>0</v>
      </c>
      <c r="O817">
        <v>-1.535308E-2</v>
      </c>
      <c r="P817">
        <v>0.99762490000000004</v>
      </c>
      <c r="Q817">
        <v>1.145536E-2</v>
      </c>
      <c r="R817">
        <v>-6.7921910000000002E-2</v>
      </c>
      <c r="S817">
        <v>3.0033110000000001</v>
      </c>
      <c r="T817">
        <v>-9.8889110000000002E-2</v>
      </c>
      <c r="U817">
        <v>-7.3974609999999996E-2</v>
      </c>
      <c r="V817">
        <v>5.2596669999999998E-2</v>
      </c>
      <c r="W817">
        <v>2.5970699999999999E-2</v>
      </c>
      <c r="X817">
        <v>0.99827809999999995</v>
      </c>
      <c r="Y817">
        <v>9.2738920000000006E-3</v>
      </c>
      <c r="Z817">
        <v>3.5271260000000002E-4</v>
      </c>
      <c r="AA817">
        <v>0.99995690000000004</v>
      </c>
      <c r="AB817">
        <v>33</v>
      </c>
      <c r="AC817">
        <v>33.398299999999999</v>
      </c>
      <c r="AD817">
        <v>-1.1102875976069999</v>
      </c>
      <c r="AE817">
        <v>-0.82560000000000799</v>
      </c>
      <c r="AF817">
        <v>0.31233671249318401</v>
      </c>
      <c r="AG817">
        <v>-1.1102875976069999</v>
      </c>
      <c r="AH817">
        <v>33.370182881115603</v>
      </c>
      <c r="AI817">
        <v>91.905549986904802</v>
      </c>
      <c r="AJ817">
        <v>89.463741240992306</v>
      </c>
      <c r="AK817">
        <v>33.390109288387698</v>
      </c>
      <c r="AL817">
        <v>88.5118212151786</v>
      </c>
      <c r="AM817">
        <v>86.984023462595303</v>
      </c>
      <c r="AN817">
        <v>1.00000002594659</v>
      </c>
    </row>
    <row r="818" spans="1:40" x14ac:dyDescent="0.25">
      <c r="A818" t="str">
        <f>"20190312160926228"</f>
        <v>20190312160926228</v>
      </c>
      <c r="B818" t="str">
        <f>"1552378166215654"</f>
        <v>1552378166215654</v>
      </c>
      <c r="C818" t="s">
        <v>40</v>
      </c>
      <c r="D818">
        <v>5.2333660000000002</v>
      </c>
      <c r="E818">
        <v>0.48369210000000001</v>
      </c>
      <c r="F818" t="s">
        <v>41</v>
      </c>
      <c r="G818">
        <v>-213.5052</v>
      </c>
      <c r="H818" s="1">
        <v>-3.2948420000000001E-6</v>
      </c>
      <c r="I818">
        <v>366.6497</v>
      </c>
      <c r="J818">
        <v>-245.87360000000001</v>
      </c>
      <c r="K818">
        <v>1.1102909999999999</v>
      </c>
      <c r="L818">
        <v>367.45069999999998</v>
      </c>
      <c r="M818">
        <v>0.99977640000000001</v>
      </c>
      <c r="N818">
        <v>0</v>
      </c>
      <c r="O818">
        <v>-1.535305E-2</v>
      </c>
      <c r="P818">
        <v>0.99761610000000001</v>
      </c>
      <c r="Q818">
        <v>1.1665E-2</v>
      </c>
      <c r="R818">
        <v>-6.8015770000000003E-2</v>
      </c>
      <c r="S818">
        <v>3.00325</v>
      </c>
      <c r="T818">
        <v>-0.1019692</v>
      </c>
      <c r="U818">
        <v>-7.403564E-2</v>
      </c>
      <c r="V818">
        <v>5.269074E-2</v>
      </c>
      <c r="W818">
        <v>2.6177099999999998E-2</v>
      </c>
      <c r="X818">
        <v>0.99826769999999998</v>
      </c>
      <c r="Y818">
        <v>9.2949239999999995E-3</v>
      </c>
      <c r="Z818">
        <v>3.6334190000000003E-4</v>
      </c>
      <c r="AA818">
        <v>0.99995670000000003</v>
      </c>
      <c r="AB818">
        <v>33</v>
      </c>
      <c r="AC818">
        <v>32.368400000000001</v>
      </c>
      <c r="AD818">
        <v>-1.11029429484199</v>
      </c>
      <c r="AE818">
        <v>-0.80099999999998694</v>
      </c>
      <c r="AF818">
        <v>0.30354242830835498</v>
      </c>
      <c r="AG818">
        <v>-1.11029429484199</v>
      </c>
      <c r="AH818">
        <v>32.338856143388298</v>
      </c>
      <c r="AI818">
        <v>91.966284765260994</v>
      </c>
      <c r="AJ818">
        <v>89.462220022784194</v>
      </c>
      <c r="AK818">
        <v>32.3593341725337</v>
      </c>
      <c r="AL818">
        <v>88.499991272326199</v>
      </c>
      <c r="AM818">
        <v>86.978607906435997</v>
      </c>
      <c r="AN818">
        <v>0.99999997775472305</v>
      </c>
    </row>
    <row r="819" spans="1:40" x14ac:dyDescent="0.25">
      <c r="A819" t="str">
        <f>"20190312160926251"</f>
        <v>20190312160926251</v>
      </c>
      <c r="B819" t="str">
        <f>"1552378166246476"</f>
        <v>1552378166246476</v>
      </c>
      <c r="C819" t="s">
        <v>40</v>
      </c>
      <c r="D819">
        <v>5.1729089999999998</v>
      </c>
      <c r="E819">
        <v>0.48361709999999902</v>
      </c>
      <c r="F819" t="s">
        <v>41</v>
      </c>
      <c r="G819">
        <v>-213.60159999999999</v>
      </c>
      <c r="H819" s="1">
        <v>-3.2531989999999998E-6</v>
      </c>
      <c r="I819">
        <v>366.65120000000002</v>
      </c>
      <c r="J819">
        <v>-245.52379999999999</v>
      </c>
      <c r="K819">
        <v>1.110293</v>
      </c>
      <c r="L819">
        <v>367.44529999999997</v>
      </c>
      <c r="M819">
        <v>0.99977660000000002</v>
      </c>
      <c r="N819">
        <v>0</v>
      </c>
      <c r="O819">
        <v>-1.535303E-2</v>
      </c>
      <c r="P819">
        <v>0.99760170000000004</v>
      </c>
      <c r="Q819">
        <v>1.2174610000000001E-2</v>
      </c>
      <c r="R819">
        <v>-6.8138320000000002E-2</v>
      </c>
      <c r="S819">
        <v>3.0033259999999999</v>
      </c>
      <c r="T819">
        <v>-0.103327</v>
      </c>
      <c r="U819">
        <v>-7.440186E-2</v>
      </c>
      <c r="V819">
        <v>5.2813520000000003E-2</v>
      </c>
      <c r="W819">
        <v>2.668237E-2</v>
      </c>
      <c r="X819">
        <v>0.99824789999999997</v>
      </c>
      <c r="Y819">
        <v>9.4162050000000004E-3</v>
      </c>
      <c r="Z819">
        <v>3.6608080000000002E-4</v>
      </c>
      <c r="AA819">
        <v>0.99995560000000006</v>
      </c>
      <c r="AB819">
        <v>33</v>
      </c>
      <c r="AC819">
        <v>31.9222</v>
      </c>
      <c r="AD819">
        <v>-1.1102962531989999</v>
      </c>
      <c r="AE819">
        <v>-0.79409999999995695</v>
      </c>
      <c r="AF819">
        <v>0.30348525587203701</v>
      </c>
      <c r="AG819">
        <v>-1.1102962531989999</v>
      </c>
      <c r="AH819">
        <v>31.8920725697816</v>
      </c>
      <c r="AI819">
        <v>91.993809905702605</v>
      </c>
      <c r="AJ819">
        <v>89.454789291912704</v>
      </c>
      <c r="AK819">
        <v>31.9128368194778</v>
      </c>
      <c r="AL819">
        <v>88.471031416633707</v>
      </c>
      <c r="AM819">
        <v>86.971520590589705</v>
      </c>
      <c r="AN819">
        <v>1.0000000433089999</v>
      </c>
    </row>
    <row r="820" spans="1:40" x14ac:dyDescent="0.25">
      <c r="A820" t="str">
        <f>"20190312160926273"</f>
        <v>20190312160926273</v>
      </c>
      <c r="B820" t="str">
        <f>"1552378166265997"</f>
        <v>1552378166265997</v>
      </c>
      <c r="C820" t="s">
        <v>40</v>
      </c>
      <c r="D820">
        <v>5.391286</v>
      </c>
      <c r="E820">
        <v>0.48382009999999998</v>
      </c>
      <c r="F820" t="s">
        <v>41</v>
      </c>
      <c r="G820">
        <v>-213.69800000000001</v>
      </c>
      <c r="H820" s="1">
        <v>-3.2104549999999998E-6</v>
      </c>
      <c r="I820">
        <v>366.6592</v>
      </c>
      <c r="J820">
        <v>-245.18950000000001</v>
      </c>
      <c r="K820">
        <v>1.1102939999999999</v>
      </c>
      <c r="L820">
        <v>367.4402</v>
      </c>
      <c r="M820">
        <v>0.99977669999999996</v>
      </c>
      <c r="N820">
        <v>0</v>
      </c>
      <c r="O820">
        <v>-1.535277E-2</v>
      </c>
      <c r="P820">
        <v>0.99757560000000001</v>
      </c>
      <c r="Q820">
        <v>1.2258379999999999E-2</v>
      </c>
      <c r="R820">
        <v>-6.8505969999999999E-2</v>
      </c>
      <c r="S820">
        <v>3.0034329999999998</v>
      </c>
      <c r="T820">
        <v>-0.104779399999999</v>
      </c>
      <c r="U820">
        <v>-7.4188229999999994E-2</v>
      </c>
      <c r="V820">
        <v>5.3181819999999998E-2</v>
      </c>
      <c r="W820">
        <v>2.676245E-2</v>
      </c>
      <c r="X820">
        <v>0.99822619999999895</v>
      </c>
      <c r="Y820">
        <v>9.3446510000000007E-3</v>
      </c>
      <c r="Z820">
        <v>3.7244870000000002E-4</v>
      </c>
      <c r="AA820">
        <v>0.99995630000000002</v>
      </c>
      <c r="AB820">
        <v>33</v>
      </c>
      <c r="AC820">
        <v>31.491499999999998</v>
      </c>
      <c r="AD820">
        <v>-1.110297210455</v>
      </c>
      <c r="AE820">
        <v>-0.78100000000000502</v>
      </c>
      <c r="AF820">
        <v>0.297006228197086</v>
      </c>
      <c r="AG820">
        <v>-1.110297210455</v>
      </c>
      <c r="AH820">
        <v>31.4606959159482</v>
      </c>
      <c r="AI820">
        <v>92.021128905964503</v>
      </c>
      <c r="AJ820">
        <v>89.459112478298294</v>
      </c>
      <c r="AK820">
        <v>31.481682930092699</v>
      </c>
      <c r="AL820">
        <v>88.466441527474998</v>
      </c>
      <c r="AM820">
        <v>86.950374765145796</v>
      </c>
      <c r="AN820">
        <v>1.00000004053747</v>
      </c>
    </row>
    <row r="821" spans="1:40" x14ac:dyDescent="0.25">
      <c r="A821" t="str">
        <f>"20190312160926296"</f>
        <v>20190312160926296</v>
      </c>
      <c r="B821" t="str">
        <f>"1552378166285517"</f>
        <v>1552378166285517</v>
      </c>
      <c r="C821" t="s">
        <v>40</v>
      </c>
      <c r="D821">
        <v>5.2833649999999999</v>
      </c>
      <c r="E821">
        <v>0.51553679999999902</v>
      </c>
      <c r="F821" t="s">
        <v>41</v>
      </c>
      <c r="G821">
        <v>-213.6979</v>
      </c>
      <c r="H821" s="1">
        <v>-3.2149299999999999E-6</v>
      </c>
      <c r="I821">
        <v>366.63409999999999</v>
      </c>
      <c r="J821">
        <v>-244.8623</v>
      </c>
      <c r="K821">
        <v>1.1102810000000001</v>
      </c>
      <c r="L821">
        <v>367.43520000000001</v>
      </c>
      <c r="M821">
        <v>0.99977660000000002</v>
      </c>
      <c r="N821">
        <v>0</v>
      </c>
      <c r="O821">
        <v>-1.5352620000000001E-2</v>
      </c>
      <c r="P821">
        <v>0.99757119999999999</v>
      </c>
      <c r="Q821">
        <v>1.140145E-2</v>
      </c>
      <c r="R821">
        <v>-6.8716180000000002E-2</v>
      </c>
      <c r="S821">
        <v>3.0032960000000002</v>
      </c>
      <c r="T821">
        <v>-0.1058866</v>
      </c>
      <c r="U821">
        <v>-7.6873780000000003E-2</v>
      </c>
      <c r="V821">
        <v>5.3392000000000002E-2</v>
      </c>
      <c r="W821">
        <v>2.5902060000000001E-2</v>
      </c>
      <c r="X821">
        <v>0.99823759999999995</v>
      </c>
      <c r="Y821">
        <v>1.023904E-2</v>
      </c>
      <c r="Z821">
        <v>3.6063000000000002E-4</v>
      </c>
      <c r="AA821">
        <v>0.99994749999999999</v>
      </c>
      <c r="AB821">
        <v>33</v>
      </c>
      <c r="AC821">
        <v>31.164400000000001</v>
      </c>
      <c r="AD821">
        <v>-1.1102842149299901</v>
      </c>
      <c r="AE821">
        <v>-0.80110000000001902</v>
      </c>
      <c r="AF821">
        <v>0.32209132880193803</v>
      </c>
      <c r="AG821">
        <v>-1.1102842149299901</v>
      </c>
      <c r="AH821">
        <v>31.133536044278301</v>
      </c>
      <c r="AI821">
        <v>92.042307447819894</v>
      </c>
      <c r="AJ821">
        <v>89.4072688888714</v>
      </c>
      <c r="AK821">
        <v>31.154992224078399</v>
      </c>
      <c r="AL821">
        <v>88.515755229188599</v>
      </c>
      <c r="AM821">
        <v>86.938380116739793</v>
      </c>
      <c r="AN821">
        <v>0.99999996421500104</v>
      </c>
    </row>
    <row r="822" spans="1:40" x14ac:dyDescent="0.25">
      <c r="A822" t="str">
        <f>"20190312160926317"</f>
        <v>20190312160926317</v>
      </c>
      <c r="B822" t="str">
        <f>"1552378166306013"</f>
        <v>1552378166306013</v>
      </c>
      <c r="C822" t="s">
        <v>40</v>
      </c>
      <c r="D822">
        <v>5.2960940000000001</v>
      </c>
      <c r="E822">
        <v>0.52050109999999905</v>
      </c>
      <c r="F822" t="s">
        <v>41</v>
      </c>
      <c r="G822">
        <v>-210.6096</v>
      </c>
      <c r="H822" s="1">
        <v>-5.0686019999999997E-6</v>
      </c>
      <c r="I822">
        <v>363.65300000000002</v>
      </c>
      <c r="J822">
        <v>-244.5497</v>
      </c>
      <c r="K822">
        <v>1.1102829999999999</v>
      </c>
      <c r="L822">
        <v>367.43040000000002</v>
      </c>
      <c r="M822">
        <v>0.99977669999999996</v>
      </c>
      <c r="N822">
        <v>0</v>
      </c>
      <c r="O822">
        <v>-1.5352599999999999E-2</v>
      </c>
      <c r="P822">
        <v>0.99761929999999999</v>
      </c>
      <c r="Q822">
        <v>1.0932519999999999E-2</v>
      </c>
      <c r="R822">
        <v>-6.8090899999999996E-2</v>
      </c>
      <c r="S822">
        <v>2.985703</v>
      </c>
      <c r="T822">
        <v>-9.6779820000000003E-2</v>
      </c>
      <c r="U822">
        <v>-0.32968140000000001</v>
      </c>
      <c r="V822">
        <v>5.2766149999999998E-2</v>
      </c>
      <c r="W822">
        <v>2.5430629999999999E-2</v>
      </c>
      <c r="X822">
        <v>0.99828300000000003</v>
      </c>
      <c r="Y822">
        <v>9.4437560000000004E-2</v>
      </c>
      <c r="Z822">
        <v>-1.029594E-3</v>
      </c>
      <c r="AA822">
        <v>0.99553020000000003</v>
      </c>
      <c r="AB822">
        <v>33</v>
      </c>
      <c r="AC822">
        <v>33.940100000000001</v>
      </c>
      <c r="AD822">
        <v>-1.11028806860199</v>
      </c>
      <c r="AE822">
        <v>-3.7774000000000001</v>
      </c>
      <c r="AF822">
        <v>3.2523930212590701</v>
      </c>
      <c r="AG822">
        <v>-1.11028806860199</v>
      </c>
      <c r="AH822">
        <v>33.958202292558497</v>
      </c>
      <c r="AI822">
        <v>91.864135601523202</v>
      </c>
      <c r="AJ822">
        <v>84.529106418921799</v>
      </c>
      <c r="AK822">
        <v>34.131661297134897</v>
      </c>
      <c r="AL822">
        <v>88.542775083347095</v>
      </c>
      <c r="AM822">
        <v>86.974338062579207</v>
      </c>
      <c r="AN822">
        <v>0.99999996580850903</v>
      </c>
    </row>
    <row r="823" spans="1:40" x14ac:dyDescent="0.25">
      <c r="A823" t="str">
        <f>"20190312160926340"</f>
        <v>20190312160926340</v>
      </c>
      <c r="B823" t="str">
        <f>"1552378166336269"</f>
        <v>1552378166336269</v>
      </c>
      <c r="C823" t="s">
        <v>40</v>
      </c>
      <c r="D823">
        <v>5.145632</v>
      </c>
      <c r="E823">
        <v>0.52517550000000002</v>
      </c>
      <c r="F823" t="s">
        <v>46</v>
      </c>
      <c r="G823">
        <v>-194.4332</v>
      </c>
      <c r="H823" s="1">
        <v>-8.1472609999999906E-6</v>
      </c>
      <c r="I823">
        <v>361.25580000000002</v>
      </c>
      <c r="J823">
        <v>-244.20500000000001</v>
      </c>
      <c r="K823">
        <v>1.1102810000000001</v>
      </c>
      <c r="L823">
        <v>367.42509999999999</v>
      </c>
      <c r="M823">
        <v>0.99977689999999997</v>
      </c>
      <c r="N823">
        <v>0</v>
      </c>
      <c r="O823">
        <v>-1.5352569999999999E-2</v>
      </c>
      <c r="P823">
        <v>0.99766370000000004</v>
      </c>
      <c r="Q823">
        <v>1.0478060000000001E-2</v>
      </c>
      <c r="R823">
        <v>-6.7509799999999995E-2</v>
      </c>
      <c r="S823">
        <v>2.9827880000000002</v>
      </c>
      <c r="T823">
        <v>-6.6081290000000001E-2</v>
      </c>
      <c r="U823">
        <v>-0.36749270000000001</v>
      </c>
      <c r="V823">
        <v>5.218453E-2</v>
      </c>
      <c r="W823">
        <v>2.497301E-2</v>
      </c>
      <c r="X823">
        <v>0.99832520000000002</v>
      </c>
      <c r="Y823">
        <v>0.1070043</v>
      </c>
      <c r="Z823">
        <v>-8.4194249999999999E-4</v>
      </c>
      <c r="AA823">
        <v>0.99425819999999998</v>
      </c>
      <c r="AB823">
        <v>33</v>
      </c>
      <c r="AC823">
        <v>49.771799999999999</v>
      </c>
      <c r="AD823">
        <v>-1.1102891472609999</v>
      </c>
      <c r="AE823">
        <v>-6.1692999999999598</v>
      </c>
      <c r="AF823">
        <v>5.4017199099787998</v>
      </c>
      <c r="AG823">
        <v>-1.1102891472609999</v>
      </c>
      <c r="AH823">
        <v>49.836232673385901</v>
      </c>
      <c r="AI823">
        <v>91.268838315760405</v>
      </c>
      <c r="AJ823">
        <v>83.813894105764902</v>
      </c>
      <c r="AK823">
        <v>50.140416901460299</v>
      </c>
      <c r="AL823">
        <v>88.569003216702598</v>
      </c>
      <c r="AM823">
        <v>87.007754025199205</v>
      </c>
      <c r="AN823">
        <v>1.0000000406773999</v>
      </c>
    </row>
    <row r="824" spans="1:40" x14ac:dyDescent="0.25">
      <c r="A824" t="str">
        <f>"20190312160926362"</f>
        <v>20190312160926362</v>
      </c>
      <c r="B824" t="str">
        <f>"1552378166356367"</f>
        <v>1552378166356367</v>
      </c>
      <c r="C824" t="s">
        <v>40</v>
      </c>
      <c r="D824">
        <v>5.4732279999999998</v>
      </c>
      <c r="E824">
        <v>0.5287172</v>
      </c>
      <c r="F824" t="s">
        <v>46</v>
      </c>
      <c r="G824">
        <v>-180</v>
      </c>
      <c r="H824">
        <v>4.650787E-2</v>
      </c>
      <c r="I824">
        <v>358.7441</v>
      </c>
      <c r="J824">
        <v>-243.8734</v>
      </c>
      <c r="K824">
        <v>1.110276</v>
      </c>
      <c r="L824">
        <v>367.42</v>
      </c>
      <c r="M824">
        <v>0.99977680000000002</v>
      </c>
      <c r="N824">
        <v>0</v>
      </c>
      <c r="O824">
        <v>-1.5352309999999999E-2</v>
      </c>
      <c r="P824">
        <v>0.99767609999999995</v>
      </c>
      <c r="Q824">
        <v>1.0511070000000001E-2</v>
      </c>
      <c r="R824">
        <v>-6.7322209999999993E-2</v>
      </c>
      <c r="S824">
        <v>2.98027</v>
      </c>
      <c r="T824">
        <v>-4.9378279999999997E-2</v>
      </c>
      <c r="U824">
        <v>-0.40295409999999998</v>
      </c>
      <c r="V824">
        <v>5.1996830000000001E-2</v>
      </c>
      <c r="W824">
        <v>2.5003029999999999E-2</v>
      </c>
      <c r="X824">
        <v>0.99833419999999895</v>
      </c>
      <c r="Y824">
        <v>0.118742899999999</v>
      </c>
      <c r="Z824">
        <v>-7.2601969999999997E-4</v>
      </c>
      <c r="AA824">
        <v>0.99292469999999999</v>
      </c>
      <c r="AB824">
        <v>33</v>
      </c>
      <c r="AC824">
        <v>63.873399999999997</v>
      </c>
      <c r="AD824">
        <v>-1.0637681299999999</v>
      </c>
      <c r="AE824">
        <v>-8.6759000000000093</v>
      </c>
      <c r="AF824">
        <v>7.6920748851720102</v>
      </c>
      <c r="AG824">
        <v>-1.0637681299999999</v>
      </c>
      <c r="AH824">
        <v>63.9816549588597</v>
      </c>
      <c r="AI824">
        <v>90.945711350447397</v>
      </c>
      <c r="AJ824">
        <v>83.144623939064203</v>
      </c>
      <c r="AK824">
        <v>64.451158173830095</v>
      </c>
      <c r="AL824">
        <v>88.567282599593796</v>
      </c>
      <c r="AM824">
        <v>87.0185240655657</v>
      </c>
      <c r="AN824">
        <v>0.99999999836443398</v>
      </c>
    </row>
    <row r="825" spans="1:40" x14ac:dyDescent="0.25">
      <c r="A825" t="str">
        <f>"20190312160926384"</f>
        <v>20190312160926384</v>
      </c>
      <c r="B825" t="str">
        <f>"1552378166375890"</f>
        <v>1552378166375890</v>
      </c>
      <c r="C825" t="s">
        <v>40</v>
      </c>
      <c r="D825">
        <v>5.1391710000000002</v>
      </c>
      <c r="E825">
        <v>0.52894540000000001</v>
      </c>
      <c r="F825" t="s">
        <v>43</v>
      </c>
      <c r="G825">
        <v>-164.8742</v>
      </c>
      <c r="H825">
        <v>-0.05</v>
      </c>
      <c r="I825">
        <v>356.00189999999998</v>
      </c>
      <c r="J825">
        <v>-243.5532</v>
      </c>
      <c r="K825">
        <v>1.1102749999999999</v>
      </c>
      <c r="L825">
        <v>367.4151</v>
      </c>
      <c r="M825">
        <v>0.99977680000000002</v>
      </c>
      <c r="N825">
        <v>0</v>
      </c>
      <c r="O825">
        <v>-1.5352050000000001E-2</v>
      </c>
      <c r="P825">
        <v>0.99768369999999995</v>
      </c>
      <c r="Q825">
        <v>9.886054E-3</v>
      </c>
      <c r="R825">
        <v>-6.7300940000000004E-2</v>
      </c>
      <c r="S825">
        <v>2.9783940000000002</v>
      </c>
      <c r="T825">
        <v>-4.3744209999999999E-2</v>
      </c>
      <c r="U825">
        <v>-0.430481</v>
      </c>
      <c r="V825">
        <v>5.197587E-2</v>
      </c>
      <c r="W825">
        <v>2.4374759999999999E-2</v>
      </c>
      <c r="X825">
        <v>0.99835090000000004</v>
      </c>
      <c r="Y825">
        <v>0.12782370000000001</v>
      </c>
      <c r="Z825">
        <v>-7.0952720000000001E-4</v>
      </c>
      <c r="AA825">
        <v>0.99179669999999998</v>
      </c>
      <c r="AB825">
        <v>33</v>
      </c>
      <c r="AC825">
        <v>78.679000000000002</v>
      </c>
      <c r="AD825">
        <v>-1.1602749999999999</v>
      </c>
      <c r="AE825">
        <v>-11.4132</v>
      </c>
      <c r="AF825">
        <v>10.201670623739499</v>
      </c>
      <c r="AG825">
        <v>-1.1602749999999999</v>
      </c>
      <c r="AH825">
        <v>78.828170570788501</v>
      </c>
      <c r="AI825">
        <v>90.836304578384002</v>
      </c>
      <c r="AJ825">
        <v>82.625963444751704</v>
      </c>
      <c r="AK825">
        <v>79.494029946457104</v>
      </c>
      <c r="AL825">
        <v>88.603290895296496</v>
      </c>
      <c r="AM825">
        <v>87.019773498854093</v>
      </c>
      <c r="AN825">
        <v>1.0000000697590501</v>
      </c>
    </row>
    <row r="826" spans="1:40" x14ac:dyDescent="0.25">
      <c r="A826" t="str">
        <f>"20190312160926406"</f>
        <v>20190312160926406</v>
      </c>
      <c r="B826" t="str">
        <f>"1552378166396383"</f>
        <v>1552378166396383</v>
      </c>
      <c r="C826" t="s">
        <v>40</v>
      </c>
      <c r="D826">
        <v>5.121073</v>
      </c>
      <c r="E826">
        <v>0.52990139999999997</v>
      </c>
      <c r="F826" t="s">
        <v>43</v>
      </c>
      <c r="G826">
        <v>-165.47620000000001</v>
      </c>
      <c r="H826">
        <v>-0.05</v>
      </c>
      <c r="I826">
        <v>356.07679999999999</v>
      </c>
      <c r="J826">
        <v>-243.2253</v>
      </c>
      <c r="K826">
        <v>1.1102730000000001</v>
      </c>
      <c r="L826">
        <v>367.41</v>
      </c>
      <c r="M826">
        <v>0.99977700000000003</v>
      </c>
      <c r="N826">
        <v>0</v>
      </c>
      <c r="O826">
        <v>-1.535214E-2</v>
      </c>
      <c r="P826">
        <v>0.99768319999999999</v>
      </c>
      <c r="Q826">
        <v>9.8107769999999997E-3</v>
      </c>
      <c r="R826">
        <v>-6.7322839999999995E-2</v>
      </c>
      <c r="S826">
        <v>2.9782259999999998</v>
      </c>
      <c r="T826">
        <v>-4.4258359999999997E-2</v>
      </c>
      <c r="U826">
        <v>-0.43249510000000002</v>
      </c>
      <c r="V826">
        <v>5.1997620000000001E-2</v>
      </c>
      <c r="W826">
        <v>2.4295629999999999E-2</v>
      </c>
      <c r="X826">
        <v>0.99835160000000001</v>
      </c>
      <c r="Y826">
        <v>0.12848809999999999</v>
      </c>
      <c r="Z826">
        <v>-7.2278119999999999E-4</v>
      </c>
      <c r="AA826">
        <v>0.9917108</v>
      </c>
      <c r="AB826">
        <v>33</v>
      </c>
      <c r="AC826">
        <v>77.749099999999999</v>
      </c>
      <c r="AD826">
        <v>-1.1602729999999899</v>
      </c>
      <c r="AE826">
        <v>-11.3332</v>
      </c>
      <c r="AF826">
        <v>10.135913164126601</v>
      </c>
      <c r="AG826">
        <v>-1.1602729999999899</v>
      </c>
      <c r="AH826">
        <v>77.896955338310804</v>
      </c>
      <c r="AI826">
        <v>90.846223329097</v>
      </c>
      <c r="AJ826">
        <v>82.586354712003796</v>
      </c>
      <c r="AK826">
        <v>78.5621958710678</v>
      </c>
      <c r="AL826">
        <v>88.607825919281794</v>
      </c>
      <c r="AM826">
        <v>87.018530719404893</v>
      </c>
      <c r="AN826">
        <v>0.99999997367266003</v>
      </c>
    </row>
    <row r="827" spans="1:40" x14ac:dyDescent="0.25">
      <c r="A827" t="str">
        <f>"20190312160926429"</f>
        <v>20190312160926429</v>
      </c>
      <c r="B827" t="str">
        <f>"1552378166425664"</f>
        <v>1552378166425664</v>
      </c>
      <c r="C827" t="s">
        <v>40</v>
      </c>
      <c r="D827">
        <v>5.1852039999999997</v>
      </c>
      <c r="E827">
        <v>0.53131459999999997</v>
      </c>
      <c r="F827" t="s">
        <v>46</v>
      </c>
      <c r="G827">
        <v>-177.76599999999999</v>
      </c>
      <c r="H827">
        <v>7.998798E-2</v>
      </c>
      <c r="I827">
        <v>357.73739999999998</v>
      </c>
      <c r="J827">
        <v>-242.89400000000001</v>
      </c>
      <c r="K827">
        <v>1.1102749999999999</v>
      </c>
      <c r="L827">
        <v>367.40499999999997</v>
      </c>
      <c r="M827">
        <v>0.99977700000000003</v>
      </c>
      <c r="N827">
        <v>0</v>
      </c>
      <c r="O827">
        <v>-1.5351989999999999E-2</v>
      </c>
      <c r="P827">
        <v>0.99766169999999998</v>
      </c>
      <c r="Q827">
        <v>9.5266150000000004E-3</v>
      </c>
      <c r="R827">
        <v>-6.7679199999999995E-2</v>
      </c>
      <c r="S827">
        <v>2.9777070000000001</v>
      </c>
      <c r="T827">
        <v>-4.686713E-2</v>
      </c>
      <c r="U827">
        <v>-0.44000240000000002</v>
      </c>
      <c r="V827">
        <v>5.235451E-2</v>
      </c>
      <c r="W827">
        <v>2.40077E-2</v>
      </c>
      <c r="X827">
        <v>0.99834000000000001</v>
      </c>
      <c r="Y827">
        <v>0.130958399999999</v>
      </c>
      <c r="Z827">
        <v>-7.8471029999999998E-4</v>
      </c>
      <c r="AA827">
        <v>0.99138749999999998</v>
      </c>
      <c r="AB827">
        <v>33</v>
      </c>
      <c r="AC827">
        <v>65.128</v>
      </c>
      <c r="AD827">
        <v>-1.0302870199999901</v>
      </c>
      <c r="AE827">
        <v>-9.6675999999999895</v>
      </c>
      <c r="AF827">
        <v>8.6643893569344606</v>
      </c>
      <c r="AG827">
        <v>-1.0302870199999901</v>
      </c>
      <c r="AH827">
        <v>65.252777930413004</v>
      </c>
      <c r="AI827">
        <v>90.896708368178295</v>
      </c>
      <c r="AJ827">
        <v>82.436400485316199</v>
      </c>
      <c r="AK827">
        <v>65.833564098474397</v>
      </c>
      <c r="AL827">
        <v>88.624328025864401</v>
      </c>
      <c r="AM827">
        <v>86.998069641207294</v>
      </c>
      <c r="AN827">
        <v>1.0000000599883101</v>
      </c>
    </row>
    <row r="828" spans="1:40" x14ac:dyDescent="0.25">
      <c r="A828" t="str">
        <f>"20190312160926452"</f>
        <v>20190312160926452</v>
      </c>
      <c r="B828" t="str">
        <f>"1552378166446209"</f>
        <v>1552378166446209</v>
      </c>
      <c r="C828" t="s">
        <v>40</v>
      </c>
      <c r="D828">
        <v>5.1586959999999999</v>
      </c>
      <c r="E828">
        <v>0.53206640000000005</v>
      </c>
      <c r="F828" t="s">
        <v>46</v>
      </c>
      <c r="G828">
        <v>-182.61580000000001</v>
      </c>
      <c r="H828" s="1">
        <v>-5.0926019999999998E-6</v>
      </c>
      <c r="I828">
        <v>358.24650000000003</v>
      </c>
      <c r="J828">
        <v>-242.55439999999999</v>
      </c>
      <c r="K828">
        <v>1.110277</v>
      </c>
      <c r="L828">
        <v>367.3997</v>
      </c>
      <c r="M828">
        <v>0.99977709999999997</v>
      </c>
      <c r="N828">
        <v>0</v>
      </c>
      <c r="O828">
        <v>-1.535197E-2</v>
      </c>
      <c r="P828">
        <v>0.99765780000000004</v>
      </c>
      <c r="Q828">
        <v>8.4477549999999995E-3</v>
      </c>
      <c r="R828">
        <v>-6.7879170000000003E-2</v>
      </c>
      <c r="S828">
        <v>2.9768829999999999</v>
      </c>
      <c r="T828">
        <v>-5.4831980000000002E-2</v>
      </c>
      <c r="U828">
        <v>-0.45230100000000001</v>
      </c>
      <c r="V828">
        <v>5.2554539999999997E-2</v>
      </c>
      <c r="W828">
        <v>2.29251E-2</v>
      </c>
      <c r="X828">
        <v>0.99835490000000005</v>
      </c>
      <c r="Y828">
        <v>0.1349969</v>
      </c>
      <c r="Z828">
        <v>-9.5500019999999997E-4</v>
      </c>
      <c r="AA828">
        <v>0.99084559999999999</v>
      </c>
      <c r="AB828">
        <v>33</v>
      </c>
      <c r="AC828">
        <v>59.938599999999902</v>
      </c>
      <c r="AD828">
        <v>-1.1102820926019901</v>
      </c>
      <c r="AE828">
        <v>-9.1531999999999698</v>
      </c>
      <c r="AF828">
        <v>8.2290895624430203</v>
      </c>
      <c r="AG828">
        <v>-1.1102820926019901</v>
      </c>
      <c r="AH828">
        <v>60.051933457567699</v>
      </c>
      <c r="AI828">
        <v>91.049398950568701</v>
      </c>
      <c r="AJ828">
        <v>82.197192370455198</v>
      </c>
      <c r="AK828">
        <v>60.623307014249903</v>
      </c>
      <c r="AL828">
        <v>88.686373473346407</v>
      </c>
      <c r="AM828">
        <v>86.9866662048764</v>
      </c>
      <c r="AN828">
        <v>1.00000002311931</v>
      </c>
    </row>
    <row r="829" spans="1:40" x14ac:dyDescent="0.25">
      <c r="A829" t="str">
        <f>"20190312160926474"</f>
        <v>20190312160926474</v>
      </c>
      <c r="B829" t="str">
        <f>"1552378166465729"</f>
        <v>1552378166465729</v>
      </c>
      <c r="C829" t="s">
        <v>40</v>
      </c>
      <c r="D829">
        <v>5.088584</v>
      </c>
      <c r="E829">
        <v>0.53310029999999997</v>
      </c>
      <c r="F829" t="s">
        <v>46</v>
      </c>
      <c r="G829">
        <v>-188.1591</v>
      </c>
      <c r="H829" s="1">
        <v>-5.1194730000000002E-6</v>
      </c>
      <c r="I829">
        <v>359.01069999999999</v>
      </c>
      <c r="J829">
        <v>-242.2235</v>
      </c>
      <c r="K829">
        <v>1.1102780000000001</v>
      </c>
      <c r="L829">
        <v>367.3947</v>
      </c>
      <c r="M829">
        <v>0.99977700000000003</v>
      </c>
      <c r="N829">
        <v>0</v>
      </c>
      <c r="O829">
        <v>-1.5351709999999999E-2</v>
      </c>
      <c r="P829">
        <v>0.99767450000000002</v>
      </c>
      <c r="Q829">
        <v>7.8701969999999902E-3</v>
      </c>
      <c r="R829">
        <v>-6.7704420000000001E-2</v>
      </c>
      <c r="S829">
        <v>2.9763030000000001</v>
      </c>
      <c r="T829">
        <v>-6.0750480000000003E-2</v>
      </c>
      <c r="U829">
        <v>-0.4590149</v>
      </c>
      <c r="V829">
        <v>5.2379509999999997E-2</v>
      </c>
      <c r="W829">
        <v>2.234446E-2</v>
      </c>
      <c r="X829">
        <v>0.99837730000000002</v>
      </c>
      <c r="Y829">
        <v>0.13720450000000001</v>
      </c>
      <c r="Z829">
        <v>-1.0804880000000001E-3</v>
      </c>
      <c r="AA829">
        <v>0.99054219999999904</v>
      </c>
      <c r="AB829">
        <v>33</v>
      </c>
      <c r="AC829">
        <v>54.064399999999999</v>
      </c>
      <c r="AD829">
        <v>-1.1102831194730001</v>
      </c>
      <c r="AE829">
        <v>-8.3840000000000092</v>
      </c>
      <c r="AF829">
        <v>7.5498342242979204</v>
      </c>
      <c r="AG829">
        <v>-1.1102831194730001</v>
      </c>
      <c r="AH829">
        <v>54.164442871178899</v>
      </c>
      <c r="AI829">
        <v>91.1630649791217</v>
      </c>
      <c r="AJ829">
        <v>82.064824058367904</v>
      </c>
      <c r="AK829">
        <v>54.6993564584171</v>
      </c>
      <c r="AL829">
        <v>88.719650267888298</v>
      </c>
      <c r="AM829">
        <v>86.996750803881</v>
      </c>
      <c r="AN829">
        <v>1.0000000605579</v>
      </c>
    </row>
    <row r="830" spans="1:40" x14ac:dyDescent="0.25">
      <c r="A830" t="str">
        <f>"20190312160926496"</f>
        <v>20190312160926496</v>
      </c>
      <c r="B830" t="str">
        <f>"1552378166486225"</f>
        <v>1552378166486225</v>
      </c>
      <c r="C830" t="s">
        <v>40</v>
      </c>
      <c r="D830">
        <v>5.5350830000000002</v>
      </c>
      <c r="E830">
        <v>0.53336510000000004</v>
      </c>
      <c r="F830" t="s">
        <v>46</v>
      </c>
      <c r="G830">
        <v>-192.161</v>
      </c>
      <c r="H830" s="1">
        <v>-5.6069100000000003E-6</v>
      </c>
      <c r="I830">
        <v>359.54700000000003</v>
      </c>
      <c r="J830">
        <v>-241.9076</v>
      </c>
      <c r="K830">
        <v>1.1102780000000001</v>
      </c>
      <c r="L830">
        <v>367.38979999999998</v>
      </c>
      <c r="M830">
        <v>0.99977720000000003</v>
      </c>
      <c r="N830">
        <v>0</v>
      </c>
      <c r="O830">
        <v>-1.5351679999999999E-2</v>
      </c>
      <c r="P830">
        <v>0.99770959999999997</v>
      </c>
      <c r="Q830">
        <v>7.7854809999999899E-3</v>
      </c>
      <c r="R830">
        <v>-6.7196710000000007E-2</v>
      </c>
      <c r="S830">
        <v>2.975876</v>
      </c>
      <c r="T830">
        <v>-6.5998909999999994E-2</v>
      </c>
      <c r="U830">
        <v>-0.46649170000000001</v>
      </c>
      <c r="V830">
        <v>5.1871390000000003E-2</v>
      </c>
      <c r="W830">
        <v>2.2256270000000002E-2</v>
      </c>
      <c r="X830">
        <v>0.99840580000000001</v>
      </c>
      <c r="Y830">
        <v>0.13965050000000001</v>
      </c>
      <c r="Z830">
        <v>-1.200712E-3</v>
      </c>
      <c r="AA830">
        <v>0.99020019999999997</v>
      </c>
      <c r="AB830">
        <v>33</v>
      </c>
      <c r="AC830">
        <v>49.746600000000001</v>
      </c>
      <c r="AD830">
        <v>-1.1102836069099999</v>
      </c>
      <c r="AE830">
        <v>-7.8428000000000102</v>
      </c>
      <c r="AF830">
        <v>7.0746629204777598</v>
      </c>
      <c r="AG830">
        <v>-1.1102836069099999</v>
      </c>
      <c r="AH830">
        <v>49.836926118259797</v>
      </c>
      <c r="AI830">
        <v>91.263579419750997</v>
      </c>
      <c r="AJ830">
        <v>81.920489275955603</v>
      </c>
      <c r="AK830">
        <v>50.348811207843298</v>
      </c>
      <c r="AL830">
        <v>88.724704441192301</v>
      </c>
      <c r="AM830">
        <v>87.025916727683494</v>
      </c>
      <c r="AN830">
        <v>1.00000006206424</v>
      </c>
    </row>
    <row r="831" spans="1:40" x14ac:dyDescent="0.25">
      <c r="A831" t="str">
        <f>"20190312160926518"</f>
        <v>20190312160926518</v>
      </c>
      <c r="B831" t="str">
        <f>"1552378166516480"</f>
        <v>1552378166516480</v>
      </c>
      <c r="C831" t="s">
        <v>40</v>
      </c>
      <c r="D831">
        <v>5.071847</v>
      </c>
      <c r="E831">
        <v>0.53448030000000002</v>
      </c>
      <c r="F831" t="s">
        <v>46</v>
      </c>
      <c r="G831">
        <v>-187.71729999999999</v>
      </c>
      <c r="H831" s="1">
        <v>-5.0858490000000004E-6</v>
      </c>
      <c r="I831">
        <v>358.88350000000003</v>
      </c>
      <c r="J831">
        <v>-241.58199999999999</v>
      </c>
      <c r="K831">
        <v>1.110271</v>
      </c>
      <c r="L831">
        <v>367.38479999999998</v>
      </c>
      <c r="M831">
        <v>0.99977720000000003</v>
      </c>
      <c r="N831">
        <v>0</v>
      </c>
      <c r="O831">
        <v>-1.535154E-2</v>
      </c>
      <c r="P831">
        <v>0.99770749999999997</v>
      </c>
      <c r="Q831">
        <v>7.1348519999999997E-3</v>
      </c>
      <c r="R831">
        <v>-6.7297700000000002E-2</v>
      </c>
      <c r="S831">
        <v>2.9759220000000002</v>
      </c>
      <c r="T831">
        <v>-6.0972449999999997E-2</v>
      </c>
      <c r="U831">
        <v>-0.46713260000000001</v>
      </c>
      <c r="V831">
        <v>5.1972730000000002E-2</v>
      </c>
      <c r="W831">
        <v>2.1602679999999999E-2</v>
      </c>
      <c r="X831">
        <v>0.99841480000000005</v>
      </c>
      <c r="Y831">
        <v>0.1398607</v>
      </c>
      <c r="Z831">
        <v>-1.1113939999999999E-3</v>
      </c>
      <c r="AA831">
        <v>0.99017049999999995</v>
      </c>
      <c r="AB831">
        <v>33</v>
      </c>
      <c r="AC831">
        <v>53.864699999999999</v>
      </c>
      <c r="AD831">
        <v>-1.1102760858489999</v>
      </c>
      <c r="AE831">
        <v>-8.5012999999999508</v>
      </c>
      <c r="AF831">
        <v>7.6701255093886997</v>
      </c>
      <c r="AG831">
        <v>-1.1102760858489999</v>
      </c>
      <c r="AH831">
        <v>53.9665015418067</v>
      </c>
      <c r="AI831">
        <v>91.166881067126695</v>
      </c>
      <c r="AJ831">
        <v>81.910869546434895</v>
      </c>
      <c r="AK831">
        <v>54.520150650731097</v>
      </c>
      <c r="AL831">
        <v>88.762161289967807</v>
      </c>
      <c r="AM831">
        <v>87.020143601272494</v>
      </c>
      <c r="AN831">
        <v>0.99999997665293705</v>
      </c>
    </row>
    <row r="832" spans="1:40" x14ac:dyDescent="0.25">
      <c r="A832" t="str">
        <f>"20190312160926541"</f>
        <v>20190312160926541</v>
      </c>
      <c r="B832" t="str">
        <f>"1552378166536001"</f>
        <v>1552378166536001</v>
      </c>
      <c r="C832" t="s">
        <v>40</v>
      </c>
      <c r="D832">
        <v>5.0284170000000001</v>
      </c>
      <c r="E832">
        <v>0.53513599999999995</v>
      </c>
      <c r="F832" t="s">
        <v>46</v>
      </c>
      <c r="G832">
        <v>-193.06809999999999</v>
      </c>
      <c r="H832" s="1">
        <v>-7.923845E-6</v>
      </c>
      <c r="I832">
        <v>359.61860000000001</v>
      </c>
      <c r="J832">
        <v>-241.2525</v>
      </c>
      <c r="K832">
        <v>1.110276</v>
      </c>
      <c r="L832">
        <v>367.37979999999999</v>
      </c>
      <c r="M832">
        <v>0.99977729999999998</v>
      </c>
      <c r="N832">
        <v>0</v>
      </c>
      <c r="O832">
        <v>-1.5351510000000001E-2</v>
      </c>
      <c r="P832">
        <v>0.99768230000000002</v>
      </c>
      <c r="Q832">
        <v>6.2904369999999899E-3</v>
      </c>
      <c r="R832">
        <v>-6.7754110000000006E-2</v>
      </c>
      <c r="S832">
        <v>2.97525</v>
      </c>
      <c r="T832">
        <v>-6.8090919999999999E-2</v>
      </c>
      <c r="U832">
        <v>-0.47628779999999998</v>
      </c>
      <c r="V832">
        <v>5.2429400000000001E-2</v>
      </c>
      <c r="W832">
        <v>2.0754100000000001E-2</v>
      </c>
      <c r="X832">
        <v>0.99840899999999999</v>
      </c>
      <c r="Y832">
        <v>0.1428594</v>
      </c>
      <c r="Z832">
        <v>-1.275191E-3</v>
      </c>
      <c r="AA832">
        <v>0.98974220000000002</v>
      </c>
      <c r="AB832">
        <v>33</v>
      </c>
      <c r="AC832">
        <v>48.184399999999997</v>
      </c>
      <c r="AD832">
        <v>-1.110283923845</v>
      </c>
      <c r="AE832">
        <v>-7.7611999999999703</v>
      </c>
      <c r="AF832">
        <v>7.01687294881184</v>
      </c>
      <c r="AG832">
        <v>-1.110283923845</v>
      </c>
      <c r="AH832">
        <v>48.272896894880098</v>
      </c>
      <c r="AI832">
        <v>91.303881191260004</v>
      </c>
      <c r="AJ832">
        <v>81.729499641856904</v>
      </c>
      <c r="AK832">
        <v>48.792845899732498</v>
      </c>
      <c r="AL832">
        <v>88.810792343214302</v>
      </c>
      <c r="AM832">
        <v>86.993990808467302</v>
      </c>
      <c r="AN832">
        <v>1.00000005296608</v>
      </c>
    </row>
    <row r="833" spans="1:40" x14ac:dyDescent="0.25">
      <c r="A833" t="str">
        <f>"20190312160926563"</f>
        <v>20190312160926563</v>
      </c>
      <c r="B833" t="str">
        <f>"1552378166555525"</f>
        <v>1552378166555525</v>
      </c>
      <c r="C833" t="s">
        <v>40</v>
      </c>
      <c r="D833">
        <v>4.8989370000000001</v>
      </c>
      <c r="E833">
        <v>0.5357286</v>
      </c>
      <c r="F833" t="s">
        <v>46</v>
      </c>
      <c r="G833">
        <v>-195.1414</v>
      </c>
      <c r="H833" s="1">
        <v>-8.6072169999999994E-6</v>
      </c>
      <c r="I833">
        <v>359.90249999999997</v>
      </c>
      <c r="J833">
        <v>-240.92</v>
      </c>
      <c r="K833">
        <v>1.1102700000000001</v>
      </c>
      <c r="L833">
        <v>367.37470000000002</v>
      </c>
      <c r="M833">
        <v>0.99977729999999998</v>
      </c>
      <c r="N833">
        <v>0</v>
      </c>
      <c r="O833">
        <v>-1.535125E-2</v>
      </c>
      <c r="P833">
        <v>0.99766359999999998</v>
      </c>
      <c r="Q833">
        <v>6.6350659999999898E-3</v>
      </c>
      <c r="R833">
        <v>-6.7998740000000002E-2</v>
      </c>
      <c r="S833">
        <v>2.9746549999999998</v>
      </c>
      <c r="T833">
        <v>-7.1624989999999999E-2</v>
      </c>
      <c r="U833">
        <v>-0.48236079999999998</v>
      </c>
      <c r="V833">
        <v>5.2674440000000003E-2</v>
      </c>
      <c r="W833">
        <v>2.1095450000000002E-2</v>
      </c>
      <c r="X833">
        <v>0.99838890000000002</v>
      </c>
      <c r="Y833">
        <v>0.14485580000000001</v>
      </c>
      <c r="Z833">
        <v>-1.3652899999999999E-3</v>
      </c>
      <c r="AA833">
        <v>0.98945179999999999</v>
      </c>
      <c r="AB833">
        <v>33</v>
      </c>
      <c r="AC833">
        <v>45.778599999999898</v>
      </c>
      <c r="AD833">
        <v>-1.1102786072169999</v>
      </c>
      <c r="AE833">
        <v>-7.4722000000000399</v>
      </c>
      <c r="AF833">
        <v>6.7646110743309</v>
      </c>
      <c r="AG833">
        <v>-1.1102786072169999</v>
      </c>
      <c r="AH833">
        <v>45.861647461658201</v>
      </c>
      <c r="AI833">
        <v>91.371981510216699</v>
      </c>
      <c r="AJ833">
        <v>81.6093508876979</v>
      </c>
      <c r="AK833">
        <v>46.371148244032298</v>
      </c>
      <c r="AL833">
        <v>88.791230088915697</v>
      </c>
      <c r="AM833">
        <v>86.9799068414993</v>
      </c>
      <c r="AN833">
        <v>1.00000000514161</v>
      </c>
    </row>
    <row r="834" spans="1:40" x14ac:dyDescent="0.25">
      <c r="A834" t="str">
        <f>"20190312160926585"</f>
        <v>20190312160926585</v>
      </c>
      <c r="B834" t="str">
        <f>"1552378166576017"</f>
        <v>1552378166576017</v>
      </c>
      <c r="C834" t="s">
        <v>40</v>
      </c>
      <c r="D834">
        <v>4.9123029999999996</v>
      </c>
      <c r="E834">
        <v>0.53596650000000001</v>
      </c>
      <c r="F834" t="s">
        <v>46</v>
      </c>
      <c r="G834">
        <v>-197.22730000000001</v>
      </c>
      <c r="H834" s="1">
        <v>-9.2925449999999993E-6</v>
      </c>
      <c r="I834">
        <v>360.20260000000002</v>
      </c>
      <c r="J834">
        <v>-240.602</v>
      </c>
      <c r="K834">
        <v>1.110268</v>
      </c>
      <c r="L834">
        <v>367.3698</v>
      </c>
      <c r="M834">
        <v>0.99977740000000004</v>
      </c>
      <c r="N834">
        <v>0</v>
      </c>
      <c r="O834">
        <v>-1.5351109999999999E-2</v>
      </c>
      <c r="P834">
        <v>0.99765539999999997</v>
      </c>
      <c r="Q834">
        <v>6.2668309999999996E-3</v>
      </c>
      <c r="R834">
        <v>-6.8151509999999998E-2</v>
      </c>
      <c r="S834">
        <v>2.9742579999999998</v>
      </c>
      <c r="T834">
        <v>-7.5579289999999993E-2</v>
      </c>
      <c r="U834">
        <v>-0.48822019999999999</v>
      </c>
      <c r="V834">
        <v>5.2827440000000003E-2</v>
      </c>
      <c r="W834">
        <v>2.072359E-2</v>
      </c>
      <c r="X834">
        <v>0.99838859999999996</v>
      </c>
      <c r="Y834">
        <v>0.1467704</v>
      </c>
      <c r="Z834">
        <v>-1.4647709999999999E-3</v>
      </c>
      <c r="AA834">
        <v>0.98916950000000003</v>
      </c>
      <c r="AB834">
        <v>33</v>
      </c>
      <c r="AC834">
        <v>43.374699999999898</v>
      </c>
      <c r="AD834">
        <v>-1.110277292545</v>
      </c>
      <c r="AE834">
        <v>-7.1671999999999798</v>
      </c>
      <c r="AF834">
        <v>6.4962923298844899</v>
      </c>
      <c r="AG834">
        <v>-1.110277292545</v>
      </c>
      <c r="AH834">
        <v>43.451909823055502</v>
      </c>
      <c r="AI834">
        <v>91.447613429289206</v>
      </c>
      <c r="AJ834">
        <v>81.496954954832304</v>
      </c>
      <c r="AK834">
        <v>43.9488679828344</v>
      </c>
      <c r="AL834">
        <v>88.812540751811298</v>
      </c>
      <c r="AM834">
        <v>86.971149976285005</v>
      </c>
      <c r="AN834">
        <v>1.0000000011047001</v>
      </c>
    </row>
    <row r="835" spans="1:40" x14ac:dyDescent="0.25">
      <c r="A835" t="str">
        <f>"20190312160926608"</f>
        <v>20190312160926608</v>
      </c>
      <c r="B835" t="str">
        <f>"1552378166595537"</f>
        <v>1552378166595537</v>
      </c>
      <c r="C835" t="s">
        <v>40</v>
      </c>
      <c r="D835">
        <v>4.9784490000000003</v>
      </c>
      <c r="E835">
        <v>0.53585249999999995</v>
      </c>
      <c r="F835" t="s">
        <v>46</v>
      </c>
      <c r="G835">
        <v>-194.8878</v>
      </c>
      <c r="H835" s="1">
        <v>-8.5299109999999995E-6</v>
      </c>
      <c r="I835">
        <v>359.82760000000002</v>
      </c>
      <c r="J835">
        <v>-240.27529999999999</v>
      </c>
      <c r="K835">
        <v>1.1102669999999999</v>
      </c>
      <c r="L835">
        <v>367.36470000000003</v>
      </c>
      <c r="M835">
        <v>0.99977740000000004</v>
      </c>
      <c r="N835">
        <v>0</v>
      </c>
      <c r="O835">
        <v>-1.535108E-2</v>
      </c>
      <c r="P835">
        <v>0.99766270000000001</v>
      </c>
      <c r="Q835">
        <v>5.9649669999999998E-3</v>
      </c>
      <c r="R835">
        <v>-6.8070640000000002E-2</v>
      </c>
      <c r="S835">
        <v>2.9739840000000002</v>
      </c>
      <c r="T835">
        <v>-7.2230100000000005E-2</v>
      </c>
      <c r="U835">
        <v>-0.49066159999999998</v>
      </c>
      <c r="V835">
        <v>5.2746710000000002E-2</v>
      </c>
      <c r="W835">
        <v>2.041801E-2</v>
      </c>
      <c r="X835">
        <v>0.99839909999999998</v>
      </c>
      <c r="Y835">
        <v>0.14757899999999999</v>
      </c>
      <c r="Z835">
        <v>-1.409668E-3</v>
      </c>
      <c r="AA835">
        <v>0.98904930000000002</v>
      </c>
      <c r="AB835">
        <v>33</v>
      </c>
      <c r="AC835">
        <v>45.387499999999903</v>
      </c>
      <c r="AD835">
        <v>-1.1102755299110001</v>
      </c>
      <c r="AE835">
        <v>-7.5370999999999997</v>
      </c>
      <c r="AF835">
        <v>6.8354110262489698</v>
      </c>
      <c r="AG835">
        <v>-1.1102755299110001</v>
      </c>
      <c r="AH835">
        <v>45.4713856963957</v>
      </c>
      <c r="AI835">
        <v>91.383179527133805</v>
      </c>
      <c r="AJ835">
        <v>81.451116336320496</v>
      </c>
      <c r="AK835">
        <v>45.995678849218699</v>
      </c>
      <c r="AL835">
        <v>88.830052826413706</v>
      </c>
      <c r="AM835">
        <v>86.975801761183703</v>
      </c>
      <c r="AN835">
        <v>0.99999993671449505</v>
      </c>
    </row>
    <row r="836" spans="1:40" x14ac:dyDescent="0.25">
      <c r="A836" t="str">
        <f>"20190312160926631"</f>
        <v>20190312160926631</v>
      </c>
      <c r="B836" t="str">
        <f>"1552378166625792"</f>
        <v>1552378166625792</v>
      </c>
      <c r="C836" t="s">
        <v>40</v>
      </c>
      <c r="D836">
        <v>4.9777879999999897</v>
      </c>
      <c r="E836">
        <v>0.53615419999999903</v>
      </c>
      <c r="F836" t="s">
        <v>46</v>
      </c>
      <c r="G836">
        <v>-190.1491</v>
      </c>
      <c r="H836" s="1">
        <v>-5.09250099999999E-6</v>
      </c>
      <c r="I836">
        <v>359.1112</v>
      </c>
      <c r="J836">
        <v>-239.94159999999999</v>
      </c>
      <c r="K836">
        <v>1.1102650000000001</v>
      </c>
      <c r="L836">
        <v>367.3596</v>
      </c>
      <c r="M836">
        <v>0.99977740000000004</v>
      </c>
      <c r="N836">
        <v>0</v>
      </c>
      <c r="O836">
        <v>-1.5350809999999999E-2</v>
      </c>
      <c r="P836">
        <v>0.99767099999999997</v>
      </c>
      <c r="Q836">
        <v>5.8282799999999999E-3</v>
      </c>
      <c r="R836">
        <v>-6.7961469999999996E-2</v>
      </c>
      <c r="S836">
        <v>2.9740139999999999</v>
      </c>
      <c r="T836">
        <v>-6.5873029999999999E-2</v>
      </c>
      <c r="U836">
        <v>-0.48968509999999998</v>
      </c>
      <c r="V836">
        <v>5.2637530000000002E-2</v>
      </c>
      <c r="W836">
        <v>2.0277369999999999E-2</v>
      </c>
      <c r="X836">
        <v>0.99840779999999996</v>
      </c>
      <c r="Y836">
        <v>0.14726789999999901</v>
      </c>
      <c r="Z836">
        <v>-1.2822370000000001E-3</v>
      </c>
      <c r="AA836">
        <v>0.98909579999999997</v>
      </c>
      <c r="AB836">
        <v>33</v>
      </c>
      <c r="AC836">
        <v>49.792499999999897</v>
      </c>
      <c r="AD836">
        <v>-1.1102700925010001</v>
      </c>
      <c r="AE836">
        <v>-8.2484000000000002</v>
      </c>
      <c r="AF836">
        <v>7.4793731883241303</v>
      </c>
      <c r="AG836">
        <v>-1.1102700925010001</v>
      </c>
      <c r="AH836">
        <v>49.889122307249302</v>
      </c>
      <c r="AI836">
        <v>91.260807388239897</v>
      </c>
      <c r="AJ836">
        <v>81.4737217663222</v>
      </c>
      <c r="AK836">
        <v>50.458876796419197</v>
      </c>
      <c r="AL836">
        <v>88.838112657085802</v>
      </c>
      <c r="AM836">
        <v>86.982076190883305</v>
      </c>
      <c r="AN836">
        <v>1.00000000819972</v>
      </c>
    </row>
    <row r="837" spans="1:40" x14ac:dyDescent="0.25">
      <c r="A837" t="str">
        <f>"20190312160926653"</f>
        <v>20190312160926653</v>
      </c>
      <c r="B837" t="str">
        <f>"1552378166646289"</f>
        <v>1552378166646289</v>
      </c>
      <c r="C837" t="s">
        <v>40</v>
      </c>
      <c r="D837">
        <v>4.8934509999999998</v>
      </c>
      <c r="E837">
        <v>0.53652219999999995</v>
      </c>
      <c r="F837" t="s">
        <v>46</v>
      </c>
      <c r="G837">
        <v>-184.28970000000001</v>
      </c>
      <c r="H837" s="1">
        <v>-4.9481939999999997E-6</v>
      </c>
      <c r="I837">
        <v>358.16090000000003</v>
      </c>
      <c r="J837">
        <v>-239.6129</v>
      </c>
      <c r="K837">
        <v>1.110258</v>
      </c>
      <c r="L837">
        <v>367.3546</v>
      </c>
      <c r="M837">
        <v>0.99977760000000004</v>
      </c>
      <c r="N837">
        <v>0</v>
      </c>
      <c r="O837">
        <v>-1.535079E-2</v>
      </c>
      <c r="P837">
        <v>0.99767059999999996</v>
      </c>
      <c r="Q837">
        <v>5.1334090000000002E-3</v>
      </c>
      <c r="R837">
        <v>-6.8024989999999994E-2</v>
      </c>
      <c r="S837">
        <v>2.973846</v>
      </c>
      <c r="T837">
        <v>-5.9329029999999998E-2</v>
      </c>
      <c r="U837">
        <v>-0.4915466</v>
      </c>
      <c r="V837">
        <v>5.2701100000000001E-2</v>
      </c>
      <c r="W837">
        <v>1.957894E-2</v>
      </c>
      <c r="X837">
        <v>0.99841840000000004</v>
      </c>
      <c r="Y837">
        <v>0.1478854</v>
      </c>
      <c r="Z837">
        <v>-1.161008E-3</v>
      </c>
      <c r="AA837">
        <v>0.98900379999999999</v>
      </c>
      <c r="AB837">
        <v>33</v>
      </c>
      <c r="AC837">
        <v>55.3231999999999</v>
      </c>
      <c r="AD837">
        <v>-1.1102629481940001</v>
      </c>
      <c r="AE837">
        <v>-9.1936999999999696</v>
      </c>
      <c r="AF837">
        <v>8.3400041665857501</v>
      </c>
      <c r="AG837">
        <v>-1.1102629481940001</v>
      </c>
      <c r="AH837">
        <v>55.4360982520896</v>
      </c>
      <c r="AI837">
        <v>91.134590370034005</v>
      </c>
      <c r="AJ837">
        <v>81.444380932583798</v>
      </c>
      <c r="AK837">
        <v>56.070931352423003</v>
      </c>
      <c r="AL837">
        <v>88.878137711771402</v>
      </c>
      <c r="AM837">
        <v>86.978470233690899</v>
      </c>
      <c r="AN837">
        <v>1.0000000211456399</v>
      </c>
    </row>
    <row r="838" spans="1:40" x14ac:dyDescent="0.25">
      <c r="A838" t="str">
        <f>"20190312160926676"</f>
        <v>20190312160926676</v>
      </c>
      <c r="B838" t="str">
        <f>"1552378166665809"</f>
        <v>1552378166665809</v>
      </c>
      <c r="C838" t="s">
        <v>40</v>
      </c>
      <c r="D838">
        <v>4.9751120000000002</v>
      </c>
      <c r="E838">
        <v>0.53695509999999902</v>
      </c>
      <c r="F838" t="s">
        <v>46</v>
      </c>
      <c r="G838">
        <v>-184.95500000000001</v>
      </c>
      <c r="H838" s="1">
        <v>-4.9569890000000001E-6</v>
      </c>
      <c r="I838">
        <v>358.2627</v>
      </c>
      <c r="J838">
        <v>-239.291</v>
      </c>
      <c r="K838">
        <v>1.1102540000000001</v>
      </c>
      <c r="L838">
        <v>367.34960000000001</v>
      </c>
      <c r="M838">
        <v>0.99977769999999999</v>
      </c>
      <c r="N838">
        <v>0</v>
      </c>
      <c r="O838">
        <v>-1.535076E-2</v>
      </c>
      <c r="P838">
        <v>0.99766370000000004</v>
      </c>
      <c r="Q838">
        <v>4.7765560000000004E-3</v>
      </c>
      <c r="R838">
        <v>-6.8150100000000005E-2</v>
      </c>
      <c r="S838">
        <v>2.9735719999999999</v>
      </c>
      <c r="T838">
        <v>-6.0402039999999997E-2</v>
      </c>
      <c r="U838">
        <v>-0.49462889999999998</v>
      </c>
      <c r="V838">
        <v>5.2826430000000001E-2</v>
      </c>
      <c r="W838">
        <v>1.9218519999999999E-2</v>
      </c>
      <c r="X838">
        <v>0.99841869999999999</v>
      </c>
      <c r="Y838">
        <v>0.14889669999999999</v>
      </c>
      <c r="Z838">
        <v>-1.19221E-3</v>
      </c>
      <c r="AA838">
        <v>0.98885199999999995</v>
      </c>
      <c r="AB838">
        <v>33</v>
      </c>
      <c r="AC838">
        <v>54.335999999999899</v>
      </c>
      <c r="AD838">
        <v>-1.110258956989</v>
      </c>
      <c r="AE838">
        <v>-9.0869000000000106</v>
      </c>
      <c r="AF838">
        <v>8.2482929347680791</v>
      </c>
      <c r="AG838">
        <v>-1.110258956989</v>
      </c>
      <c r="AH838">
        <v>54.446987635077498</v>
      </c>
      <c r="AI838">
        <v>91.155013468350802</v>
      </c>
      <c r="AJ838">
        <v>81.385638368137705</v>
      </c>
      <c r="AK838">
        <v>55.079410616160402</v>
      </c>
      <c r="AL838">
        <v>88.898792055589595</v>
      </c>
      <c r="AM838">
        <v>86.971298917629298</v>
      </c>
      <c r="AN838">
        <v>0.99999994186360996</v>
      </c>
    </row>
    <row r="839" spans="1:40" x14ac:dyDescent="0.25">
      <c r="A839" t="str">
        <f>"20190312160926698"</f>
        <v>20190312160926698</v>
      </c>
      <c r="B839" t="str">
        <f>"1552378166686305"</f>
        <v>1552378166686305</v>
      </c>
      <c r="C839" t="s">
        <v>40</v>
      </c>
      <c r="D839">
        <v>4.9822600000000001</v>
      </c>
      <c r="E839">
        <v>0.53731010000000001</v>
      </c>
      <c r="F839" t="s">
        <v>46</v>
      </c>
      <c r="G839">
        <v>-185.42410000000001</v>
      </c>
      <c r="H839" s="1">
        <v>-4.9569209999999999E-6</v>
      </c>
      <c r="I839">
        <v>358.32100000000003</v>
      </c>
      <c r="J839">
        <v>-238.96799999999999</v>
      </c>
      <c r="K839">
        <v>1.1102540000000001</v>
      </c>
      <c r="L839">
        <v>367.34469999999999</v>
      </c>
      <c r="M839">
        <v>0.99977760000000004</v>
      </c>
      <c r="N839">
        <v>0</v>
      </c>
      <c r="O839">
        <v>-1.535049E-2</v>
      </c>
      <c r="P839">
        <v>0.99767209999999995</v>
      </c>
      <c r="Q839">
        <v>4.3534250000000002E-3</v>
      </c>
      <c r="R839">
        <v>-6.8056140000000001E-2</v>
      </c>
      <c r="S839">
        <v>2.9732820000000002</v>
      </c>
      <c r="T839">
        <v>-6.1282749999999997E-2</v>
      </c>
      <c r="U839">
        <v>-0.49835210000000002</v>
      </c>
      <c r="V839">
        <v>5.2732420000000002E-2</v>
      </c>
      <c r="W839">
        <v>1.8791820000000001E-2</v>
      </c>
      <c r="X839">
        <v>0.99843190000000004</v>
      </c>
      <c r="Y839">
        <v>0.1501161</v>
      </c>
      <c r="Z839">
        <v>-1.2220670000000001E-3</v>
      </c>
      <c r="AA839">
        <v>0.98866759999999998</v>
      </c>
      <c r="AB839">
        <v>32</v>
      </c>
      <c r="AC839">
        <v>53.543899999999901</v>
      </c>
      <c r="AD839">
        <v>-1.110258956921</v>
      </c>
      <c r="AE839">
        <v>-9.0237000000000194</v>
      </c>
      <c r="AF839">
        <v>8.1971983670736002</v>
      </c>
      <c r="AG839">
        <v>-1.110258956921</v>
      </c>
      <c r="AH839">
        <v>53.653690676029697</v>
      </c>
      <c r="AI839">
        <v>91.171861877749507</v>
      </c>
      <c r="AJ839">
        <v>81.313534037154895</v>
      </c>
      <c r="AK839">
        <v>54.287616075672801</v>
      </c>
      <c r="AL839">
        <v>88.923244699008507</v>
      </c>
      <c r="AM839">
        <v>86.976718687142196</v>
      </c>
      <c r="AN839">
        <v>1.0000000497777799</v>
      </c>
    </row>
    <row r="840" spans="1:40" x14ac:dyDescent="0.25">
      <c r="A840" t="str">
        <f>"20190312160926720"</f>
        <v>20190312160926720</v>
      </c>
      <c r="B840" t="str">
        <f>"1552378166716561"</f>
        <v>1552378166716561</v>
      </c>
      <c r="C840" t="s">
        <v>40</v>
      </c>
      <c r="D840">
        <v>4.9366629999999896</v>
      </c>
      <c r="E840">
        <v>0.53798829999999997</v>
      </c>
      <c r="F840" t="s">
        <v>46</v>
      </c>
      <c r="G840">
        <v>-188.37909999999999</v>
      </c>
      <c r="H840" s="1">
        <v>-5.0167770000000004E-6</v>
      </c>
      <c r="I840">
        <v>358.8177</v>
      </c>
      <c r="J840">
        <v>-238.6491</v>
      </c>
      <c r="K840">
        <v>1.110266</v>
      </c>
      <c r="L840">
        <v>367.33980000000003</v>
      </c>
      <c r="M840">
        <v>0.99977769999999999</v>
      </c>
      <c r="N840">
        <v>0</v>
      </c>
      <c r="O840">
        <v>-1.535047E-2</v>
      </c>
      <c r="P840">
        <v>0.99766540000000004</v>
      </c>
      <c r="Q840">
        <v>4.7052509999999997E-3</v>
      </c>
      <c r="R840">
        <v>-6.8132490000000004E-2</v>
      </c>
      <c r="S840">
        <v>2.9730829999999999</v>
      </c>
      <c r="T840">
        <v>-6.524932E-2</v>
      </c>
      <c r="U840">
        <v>-0.50112920000000005</v>
      </c>
      <c r="V840">
        <v>5.2809010000000003E-2</v>
      </c>
      <c r="W840">
        <v>1.913985E-2</v>
      </c>
      <c r="X840">
        <v>0.99842120000000001</v>
      </c>
      <c r="Y840">
        <v>0.15102099999999999</v>
      </c>
      <c r="Z840">
        <v>-1.310994E-3</v>
      </c>
      <c r="AA840">
        <v>0.98852969999999896</v>
      </c>
      <c r="AB840">
        <v>32</v>
      </c>
      <c r="AC840">
        <v>50.27</v>
      </c>
      <c r="AD840">
        <v>-1.110271016777</v>
      </c>
      <c r="AE840">
        <v>-8.5221000000000195</v>
      </c>
      <c r="AF840">
        <v>7.74567415123646</v>
      </c>
      <c r="AG840">
        <v>-1.110271016777</v>
      </c>
      <c r="AH840">
        <v>50.371023111680699</v>
      </c>
      <c r="AI840">
        <v>91.248036483319694</v>
      </c>
      <c r="AJ840">
        <v>81.257964709111405</v>
      </c>
      <c r="AK840">
        <v>50.975171790836498</v>
      </c>
      <c r="AL840">
        <v>88.903300417710398</v>
      </c>
      <c r="AM840">
        <v>86.972303368182693</v>
      </c>
      <c r="AN840">
        <v>1.00000000900232</v>
      </c>
    </row>
    <row r="841" spans="1:40" x14ac:dyDescent="0.25">
      <c r="A841" t="str">
        <f>"20190312160926742"</f>
        <v>20190312160926742</v>
      </c>
      <c r="B841" t="str">
        <f>"1552378166736081"</f>
        <v>1552378166736081</v>
      </c>
      <c r="C841" t="s">
        <v>40</v>
      </c>
      <c r="D841">
        <v>4.9024489999999998</v>
      </c>
      <c r="E841">
        <v>0.53828390000000004</v>
      </c>
      <c r="F841" t="s">
        <v>46</v>
      </c>
      <c r="G841">
        <v>-186.34289999999999</v>
      </c>
      <c r="H841" s="1">
        <v>-4.952268E-6</v>
      </c>
      <c r="I841">
        <v>358.4255</v>
      </c>
      <c r="J841">
        <v>-238.31870000000001</v>
      </c>
      <c r="K841">
        <v>1.110271</v>
      </c>
      <c r="L841">
        <v>367.3347</v>
      </c>
      <c r="M841">
        <v>0.99977769999999999</v>
      </c>
      <c r="N841">
        <v>0</v>
      </c>
      <c r="O841">
        <v>-1.53502E-2</v>
      </c>
      <c r="P841">
        <v>0.99767459999999997</v>
      </c>
      <c r="Q841">
        <v>4.8762629999999996E-3</v>
      </c>
      <c r="R841">
        <v>-6.7983840000000004E-2</v>
      </c>
      <c r="S841">
        <v>2.972702</v>
      </c>
      <c r="T841">
        <v>-6.3099619999999995E-2</v>
      </c>
      <c r="U841">
        <v>-0.50662229999999997</v>
      </c>
      <c r="V841">
        <v>5.2660360000000003E-2</v>
      </c>
      <c r="W841">
        <v>1.9307189999999998E-2</v>
      </c>
      <c r="X841">
        <v>0.99842580000000003</v>
      </c>
      <c r="Y841">
        <v>0.15281910000000001</v>
      </c>
      <c r="Z841">
        <v>-1.2867289999999999E-3</v>
      </c>
      <c r="AA841">
        <v>0.98825339999999995</v>
      </c>
      <c r="AB841">
        <v>32</v>
      </c>
      <c r="AC841">
        <v>51.9758</v>
      </c>
      <c r="AD841">
        <v>-1.1102759522679999</v>
      </c>
      <c r="AE841">
        <v>-8.9091999999999896</v>
      </c>
      <c r="AF841">
        <v>8.1066342562141696</v>
      </c>
      <c r="AG841">
        <v>-1.1102759522679999</v>
      </c>
      <c r="AH841">
        <v>52.083359379907897</v>
      </c>
      <c r="AI841">
        <v>91.206680918569901</v>
      </c>
      <c r="AJ841">
        <v>81.153053139422198</v>
      </c>
      <c r="AK841">
        <v>52.7221638018666</v>
      </c>
      <c r="AL841">
        <v>88.893710737453205</v>
      </c>
      <c r="AM841">
        <v>86.980824006450106</v>
      </c>
      <c r="AN841">
        <v>0.99999997960333198</v>
      </c>
    </row>
    <row r="842" spans="1:40" x14ac:dyDescent="0.25">
      <c r="A842" t="str">
        <f>"20190312160926766"</f>
        <v>20190312160926766</v>
      </c>
      <c r="B842" t="str">
        <f>"1552378166755601"</f>
        <v>1552378166755601</v>
      </c>
      <c r="C842" t="s">
        <v>40</v>
      </c>
      <c r="D842">
        <v>5.0551769999999996</v>
      </c>
      <c r="E842">
        <v>0.53862829999999995</v>
      </c>
      <c r="F842" t="s">
        <v>46</v>
      </c>
      <c r="G842">
        <v>-185.2868</v>
      </c>
      <c r="H842" s="1">
        <v>-4.9357500000000001E-6</v>
      </c>
      <c r="I842">
        <v>358.25850000000003</v>
      </c>
      <c r="J842">
        <v>-237.9907</v>
      </c>
      <c r="K842">
        <v>1.1102780000000001</v>
      </c>
      <c r="L842">
        <v>367.3297</v>
      </c>
      <c r="M842">
        <v>0.9997779</v>
      </c>
      <c r="N842">
        <v>0</v>
      </c>
      <c r="O842">
        <v>-1.535017E-2</v>
      </c>
      <c r="P842">
        <v>0.99769929999999996</v>
      </c>
      <c r="Q842">
        <v>5.2170130000000004E-3</v>
      </c>
      <c r="R842">
        <v>-6.7597640000000001E-2</v>
      </c>
      <c r="S842">
        <v>2.972626</v>
      </c>
      <c r="T842">
        <v>-6.2234879999999999E-2</v>
      </c>
      <c r="U842">
        <v>-0.5087585</v>
      </c>
      <c r="V842">
        <v>5.2273970000000003E-2</v>
      </c>
      <c r="W842">
        <v>1.9644729999999999E-2</v>
      </c>
      <c r="X842">
        <v>0.99843959999999998</v>
      </c>
      <c r="Y842">
        <v>0.15351400000000001</v>
      </c>
      <c r="Z842">
        <v>-1.2762769999999999E-3</v>
      </c>
      <c r="AA842">
        <v>0.98814559999999996</v>
      </c>
      <c r="AB842">
        <v>32</v>
      </c>
      <c r="AC842">
        <v>52.703899999999997</v>
      </c>
      <c r="AD842">
        <v>-1.1102829357499999</v>
      </c>
      <c r="AE842">
        <v>-9.0711999999999708</v>
      </c>
      <c r="AF842">
        <v>8.2574736309111891</v>
      </c>
      <c r="AG842">
        <v>-1.1102829357499999</v>
      </c>
      <c r="AH842">
        <v>52.814183801200201</v>
      </c>
      <c r="AI842">
        <v>91.189868380264699</v>
      </c>
      <c r="AJ842">
        <v>81.113773327465793</v>
      </c>
      <c r="AK842">
        <v>53.467341523116403</v>
      </c>
      <c r="AL842">
        <v>88.874367540119707</v>
      </c>
      <c r="AM842">
        <v>87.002977713345103</v>
      </c>
      <c r="AN842">
        <v>1.00000005910224</v>
      </c>
    </row>
    <row r="843" spans="1:40" x14ac:dyDescent="0.25">
      <c r="A843" t="str">
        <f>"20190312160926786"</f>
        <v>20190312160926786</v>
      </c>
      <c r="B843" t="str">
        <f>"1552378166776098"</f>
        <v>1552378166776098</v>
      </c>
      <c r="C843" t="s">
        <v>40</v>
      </c>
      <c r="D843">
        <v>4.9961869999999999</v>
      </c>
      <c r="E843">
        <v>0.53884519999999902</v>
      </c>
      <c r="F843" t="s">
        <v>46</v>
      </c>
      <c r="G843">
        <v>-183.21940000000001</v>
      </c>
      <c r="H843" s="1">
        <v>-4.9125209999999999E-6</v>
      </c>
      <c r="I843">
        <v>357.92989999999998</v>
      </c>
      <c r="J843">
        <v>-237.68780000000001</v>
      </c>
      <c r="K843">
        <v>1.1102810000000001</v>
      </c>
      <c r="L843">
        <v>367.32510000000002</v>
      </c>
      <c r="M843">
        <v>0.99977800000000006</v>
      </c>
      <c r="N843">
        <v>0</v>
      </c>
      <c r="O843">
        <v>-1.535015E-2</v>
      </c>
      <c r="P843">
        <v>0.99767669999999997</v>
      </c>
      <c r="Q843">
        <v>4.9281230000000004E-3</v>
      </c>
      <c r="R843">
        <v>-6.7950880000000005E-2</v>
      </c>
      <c r="S843">
        <v>2.9726560000000002</v>
      </c>
      <c r="T843">
        <v>-6.0259460000000001E-2</v>
      </c>
      <c r="U843">
        <v>-0.51016240000000002</v>
      </c>
      <c r="V843">
        <v>5.2627599999999997E-2</v>
      </c>
      <c r="W843">
        <v>1.935249E-2</v>
      </c>
      <c r="X843">
        <v>0.9984267</v>
      </c>
      <c r="Y843">
        <v>0.1539674</v>
      </c>
      <c r="Z843">
        <v>-1.240276E-3</v>
      </c>
      <c r="AA843">
        <v>0.98807509999999998</v>
      </c>
      <c r="AB843">
        <v>32</v>
      </c>
      <c r="AC843">
        <v>54.468400000000003</v>
      </c>
      <c r="AD843">
        <v>-1.1102859125209901</v>
      </c>
      <c r="AE843">
        <v>-9.39520000000004</v>
      </c>
      <c r="AF843">
        <v>8.5544558537748099</v>
      </c>
      <c r="AG843">
        <v>-1.1102859125209901</v>
      </c>
      <c r="AH843">
        <v>54.584188997068502</v>
      </c>
      <c r="AI843">
        <v>91.151232865885405</v>
      </c>
      <c r="AJ843">
        <v>81.0930332101196</v>
      </c>
      <c r="AK843">
        <v>55.261606366711902</v>
      </c>
      <c r="AL843">
        <v>88.891114808574599</v>
      </c>
      <c r="AM843">
        <v>86.982701478381401</v>
      </c>
      <c r="AN843">
        <v>1.00000002921192</v>
      </c>
    </row>
    <row r="844" spans="1:40" x14ac:dyDescent="0.25">
      <c r="A844" t="str">
        <f>"20190312160926809"</f>
        <v>20190312160926809</v>
      </c>
      <c r="B844" t="str">
        <f>"1552378166795617"</f>
        <v>1552378166795617</v>
      </c>
      <c r="C844" t="s">
        <v>40</v>
      </c>
      <c r="D844">
        <v>4.9763260000000002</v>
      </c>
      <c r="E844">
        <v>0.539029599999999</v>
      </c>
      <c r="F844" t="s">
        <v>46</v>
      </c>
      <c r="G844">
        <v>-184.25450000000001</v>
      </c>
      <c r="H844" s="1">
        <v>-4.9234799999999998E-6</v>
      </c>
      <c r="I844">
        <v>358.1035</v>
      </c>
      <c r="J844">
        <v>-237.36359999999999</v>
      </c>
      <c r="K844">
        <v>1.1102799999999999</v>
      </c>
      <c r="L844">
        <v>367.32010000000002</v>
      </c>
      <c r="M844">
        <v>0.99977800000000006</v>
      </c>
      <c r="N844">
        <v>0</v>
      </c>
      <c r="O844">
        <v>-1.5350000000000001E-2</v>
      </c>
      <c r="P844">
        <v>0.9976391</v>
      </c>
      <c r="Q844">
        <v>5.1486889999999997E-3</v>
      </c>
      <c r="R844">
        <v>-6.8483639999999998E-2</v>
      </c>
      <c r="S844">
        <v>2.9723359999999999</v>
      </c>
      <c r="T844">
        <v>-6.1761980000000001E-2</v>
      </c>
      <c r="U844">
        <v>-0.51297000000000004</v>
      </c>
      <c r="V844">
        <v>5.3161020000000003E-2</v>
      </c>
      <c r="W844">
        <v>1.9568929999999998E-2</v>
      </c>
      <c r="X844">
        <v>0.99839420000000001</v>
      </c>
      <c r="Y844">
        <v>0.1548901</v>
      </c>
      <c r="Z844">
        <v>-1.280747E-3</v>
      </c>
      <c r="AA844">
        <v>0.98793089999999995</v>
      </c>
      <c r="AB844">
        <v>32</v>
      </c>
      <c r="AC844">
        <v>53.109099999999899</v>
      </c>
      <c r="AD844">
        <v>-1.1102849234800001</v>
      </c>
      <c r="AE844">
        <v>-9.2166000000000192</v>
      </c>
      <c r="AF844">
        <v>8.3966418125786202</v>
      </c>
      <c r="AG844">
        <v>-1.1102849234800001</v>
      </c>
      <c r="AH844">
        <v>53.221750512120799</v>
      </c>
      <c r="AI844">
        <v>91.180504736992305</v>
      </c>
      <c r="AJ844">
        <v>81.034508086215098</v>
      </c>
      <c r="AK844">
        <v>53.8914747795463</v>
      </c>
      <c r="AL844">
        <v>88.878711337483594</v>
      </c>
      <c r="AM844">
        <v>86.952077250797103</v>
      </c>
      <c r="AN844">
        <v>1.0000000078312099</v>
      </c>
    </row>
    <row r="845" spans="1:40" x14ac:dyDescent="0.25">
      <c r="A845" t="str">
        <f>"20190312160926832"</f>
        <v>20190312160926832</v>
      </c>
      <c r="B845" t="str">
        <f>"1552378166825877"</f>
        <v>1552378166825877</v>
      </c>
      <c r="C845" t="s">
        <v>40</v>
      </c>
      <c r="D845">
        <v>5.1900139999999997</v>
      </c>
      <c r="E845">
        <v>0.5392863</v>
      </c>
      <c r="F845" t="s">
        <v>46</v>
      </c>
      <c r="G845">
        <v>-182.38800000000001</v>
      </c>
      <c r="H845" s="1">
        <v>-4.9818899999999998E-6</v>
      </c>
      <c r="I845">
        <v>357.77699999999999</v>
      </c>
      <c r="J845">
        <v>-237.0334</v>
      </c>
      <c r="K845">
        <v>1.1102799999999999</v>
      </c>
      <c r="L845">
        <v>367.315</v>
      </c>
      <c r="M845">
        <v>0.99977800000000006</v>
      </c>
      <c r="N845">
        <v>0</v>
      </c>
      <c r="O845">
        <v>-1.5349740000000001E-2</v>
      </c>
      <c r="P845">
        <v>0.99760510000000002</v>
      </c>
      <c r="Q845">
        <v>5.2492349999999997E-3</v>
      </c>
      <c r="R845">
        <v>-6.8968929999999998E-2</v>
      </c>
      <c r="S845">
        <v>2.972</v>
      </c>
      <c r="T845">
        <v>-6.0022350000000002E-2</v>
      </c>
      <c r="U845">
        <v>-0.51589969999999996</v>
      </c>
      <c r="V845">
        <v>5.3646869999999999E-2</v>
      </c>
      <c r="W845">
        <v>1.9665229999999999E-2</v>
      </c>
      <c r="X845">
        <v>0.99836630000000004</v>
      </c>
      <c r="Y845">
        <v>0.15585599999999999</v>
      </c>
      <c r="Z845">
        <v>-1.254401E-3</v>
      </c>
      <c r="AA845">
        <v>0.98777899999999996</v>
      </c>
      <c r="AB845">
        <v>32</v>
      </c>
      <c r="AC845">
        <v>54.645400000000002</v>
      </c>
      <c r="AD845">
        <v>-1.11028498189</v>
      </c>
      <c r="AE845">
        <v>-9.5380000000000091</v>
      </c>
      <c r="AF845">
        <v>8.6945128218210304</v>
      </c>
      <c r="AG845">
        <v>-1.11028498189</v>
      </c>
      <c r="AH845">
        <v>54.763442616726799</v>
      </c>
      <c r="AI845">
        <v>91.147103731760694</v>
      </c>
      <c r="AJ845">
        <v>80.978735632356106</v>
      </c>
      <c r="AK845">
        <v>55.460453777311898</v>
      </c>
      <c r="AL845">
        <v>88.8731926701482</v>
      </c>
      <c r="AM845">
        <v>86.924189083087398</v>
      </c>
      <c r="AN845">
        <v>0.99999998845371896</v>
      </c>
    </row>
    <row r="846" spans="1:40" x14ac:dyDescent="0.25">
      <c r="A846" t="str">
        <f>"20190312160926854"</f>
        <v>20190312160926854</v>
      </c>
      <c r="B846" t="str">
        <f>"1552378166846369"</f>
        <v>1552378166846369</v>
      </c>
      <c r="C846" t="s">
        <v>40</v>
      </c>
      <c r="D846">
        <v>5.1678169999999897</v>
      </c>
      <c r="E846">
        <v>0.53956759999999904</v>
      </c>
      <c r="F846" t="s">
        <v>46</v>
      </c>
      <c r="G846">
        <v>-179.99799999999999</v>
      </c>
      <c r="H846">
        <v>5.204893E-2</v>
      </c>
      <c r="I846">
        <v>357.34460000000001</v>
      </c>
      <c r="J846">
        <v>-236.7167</v>
      </c>
      <c r="K846">
        <v>1.1102749999999999</v>
      </c>
      <c r="L846">
        <v>367.31020000000001</v>
      </c>
      <c r="M846">
        <v>0.9997781</v>
      </c>
      <c r="N846">
        <v>0</v>
      </c>
      <c r="O846">
        <v>-1.5349720000000001E-2</v>
      </c>
      <c r="P846">
        <v>0.99757750000000001</v>
      </c>
      <c r="Q846">
        <v>5.3831800000000004E-3</v>
      </c>
      <c r="R846">
        <v>-6.9355550000000002E-2</v>
      </c>
      <c r="S846">
        <v>2.971603</v>
      </c>
      <c r="T846">
        <v>-5.5134889999999999E-2</v>
      </c>
      <c r="U846">
        <v>-0.51947019999999999</v>
      </c>
      <c r="V846">
        <v>5.4034079999999998E-2</v>
      </c>
      <c r="W846">
        <v>1.9795859999999998E-2</v>
      </c>
      <c r="X846">
        <v>0.99834290000000003</v>
      </c>
      <c r="Y846">
        <v>0.15703420000000001</v>
      </c>
      <c r="Z846">
        <v>-1.1631580000000001E-3</v>
      </c>
      <c r="AA846">
        <v>0.98759249999999998</v>
      </c>
      <c r="AB846">
        <v>32</v>
      </c>
      <c r="AC846">
        <v>56.718699999999998</v>
      </c>
      <c r="AD846">
        <v>-1.0582260699999999</v>
      </c>
      <c r="AE846">
        <v>-9.9655999999999896</v>
      </c>
      <c r="AF846">
        <v>9.0906491955883908</v>
      </c>
      <c r="AG846">
        <v>-1.0582260699999999</v>
      </c>
      <c r="AH846">
        <v>56.845805996069899</v>
      </c>
      <c r="AI846">
        <v>91.053101717431005</v>
      </c>
      <c r="AJ846">
        <v>80.914322209334998</v>
      </c>
      <c r="AK846">
        <v>57.577820422062601</v>
      </c>
      <c r="AL846">
        <v>88.865706737114095</v>
      </c>
      <c r="AM846">
        <v>86.901959249548796</v>
      </c>
      <c r="AN846">
        <v>1.0000000519274901</v>
      </c>
    </row>
    <row r="847" spans="1:40" x14ac:dyDescent="0.25">
      <c r="A847" t="str">
        <f>"20190312160926876"</f>
        <v>20190312160926876</v>
      </c>
      <c r="B847" t="str">
        <f>"1552378166865889"</f>
        <v>1552378166865889</v>
      </c>
      <c r="C847" t="s">
        <v>40</v>
      </c>
      <c r="D847">
        <v>5.1880990000000002</v>
      </c>
      <c r="E847">
        <v>0.53995309999999996</v>
      </c>
      <c r="F847" t="s">
        <v>46</v>
      </c>
      <c r="G847">
        <v>-179.99170000000001</v>
      </c>
      <c r="H847">
        <v>5.8265690000000002E-2</v>
      </c>
      <c r="I847">
        <v>357.3288</v>
      </c>
      <c r="J847">
        <v>-236.39330000000001</v>
      </c>
      <c r="K847">
        <v>1.110274</v>
      </c>
      <c r="L847">
        <v>367.30520000000001</v>
      </c>
      <c r="M847">
        <v>0.9997781</v>
      </c>
      <c r="N847">
        <v>0</v>
      </c>
      <c r="O847">
        <v>-1.534957E-2</v>
      </c>
      <c r="P847">
        <v>0.99753179999999997</v>
      </c>
      <c r="Q847">
        <v>4.7646040000000004E-3</v>
      </c>
      <c r="R847">
        <v>-7.0057099999999997E-2</v>
      </c>
      <c r="S847">
        <v>2.9712519999999998</v>
      </c>
      <c r="T847">
        <v>-5.5104260000000002E-2</v>
      </c>
      <c r="U847">
        <v>-0.52282709999999999</v>
      </c>
      <c r="V847">
        <v>5.4736279999999998E-2</v>
      </c>
      <c r="W847">
        <v>1.9173229999999999E-2</v>
      </c>
      <c r="X847">
        <v>0.9983168</v>
      </c>
      <c r="Y847">
        <v>0.15813629999999901</v>
      </c>
      <c r="Z847">
        <v>-1.172679E-3</v>
      </c>
      <c r="AA847">
        <v>0.98741659999999998</v>
      </c>
      <c r="AB847">
        <v>32</v>
      </c>
      <c r="AC847">
        <v>56.401600000000002</v>
      </c>
      <c r="AD847">
        <v>-1.0520083099999999</v>
      </c>
      <c r="AE847">
        <v>-9.9764000000000106</v>
      </c>
      <c r="AF847">
        <v>9.1063220163295693</v>
      </c>
      <c r="AG847">
        <v>-1.0520083099999999</v>
      </c>
      <c r="AH847">
        <v>56.529033384870701</v>
      </c>
      <c r="AI847">
        <v>91.052587513934199</v>
      </c>
      <c r="AJ847">
        <v>80.848780626030901</v>
      </c>
      <c r="AK847">
        <v>57.267472771000001</v>
      </c>
      <c r="AL847">
        <v>88.901387582071393</v>
      </c>
      <c r="AM847">
        <v>86.861696731251399</v>
      </c>
      <c r="AN847">
        <v>1.0000000531295501</v>
      </c>
    </row>
    <row r="848" spans="1:40" x14ac:dyDescent="0.25">
      <c r="A848" t="str">
        <f>"20190312160926899"</f>
        <v>20190312160926899</v>
      </c>
      <c r="B848" t="str">
        <f>"1552378166886387"</f>
        <v>1552378166886387</v>
      </c>
      <c r="C848" t="s">
        <v>40</v>
      </c>
      <c r="D848">
        <v>5.3493009999999996</v>
      </c>
      <c r="E848">
        <v>0.56178980000000001</v>
      </c>
      <c r="F848" t="s">
        <v>46</v>
      </c>
      <c r="G848">
        <v>-180</v>
      </c>
      <c r="H848">
        <v>4.7642139999999999E-2</v>
      </c>
      <c r="I848">
        <v>357.27910000000003</v>
      </c>
      <c r="J848">
        <v>-236.07560000000001</v>
      </c>
      <c r="K848">
        <v>1.1102620000000001</v>
      </c>
      <c r="L848">
        <v>367.30029999999999</v>
      </c>
      <c r="M848">
        <v>0.9997781</v>
      </c>
      <c r="N848">
        <v>0</v>
      </c>
      <c r="O848">
        <v>-1.534931E-2</v>
      </c>
      <c r="P848">
        <v>0.99747379999999997</v>
      </c>
      <c r="Q848">
        <v>3.937538E-3</v>
      </c>
      <c r="R848">
        <v>-7.0926589999999998E-2</v>
      </c>
      <c r="S848">
        <v>2.9705810000000001</v>
      </c>
      <c r="T848">
        <v>-5.5975320000000002E-2</v>
      </c>
      <c r="U848">
        <v>-0.52813719999999997</v>
      </c>
      <c r="V848">
        <v>5.5606650000000001E-2</v>
      </c>
      <c r="W848">
        <v>1.834177E-2</v>
      </c>
      <c r="X848">
        <v>0.99828430000000001</v>
      </c>
      <c r="Y848">
        <v>0.15988479999999999</v>
      </c>
      <c r="Z848">
        <v>-1.2076439999999999E-3</v>
      </c>
      <c r="AA848">
        <v>0.98713490000000004</v>
      </c>
      <c r="AB848">
        <v>32</v>
      </c>
      <c r="AC848">
        <v>56.075600000000001</v>
      </c>
      <c r="AD848">
        <v>-1.0626198600000001</v>
      </c>
      <c r="AE848">
        <v>-10.021199999999901</v>
      </c>
      <c r="AF848">
        <v>9.1560217026003397</v>
      </c>
      <c r="AG848">
        <v>-1.0626198600000001</v>
      </c>
      <c r="AH848">
        <v>56.203269368240903</v>
      </c>
      <c r="AI848">
        <v>91.069056788002797</v>
      </c>
      <c r="AJ848">
        <v>80.747280875105702</v>
      </c>
      <c r="AK848">
        <v>56.954098904858398</v>
      </c>
      <c r="AL848">
        <v>88.949035090350904</v>
      </c>
      <c r="AM848">
        <v>86.811792648071901</v>
      </c>
      <c r="AN848">
        <v>1.0000000318387201</v>
      </c>
    </row>
    <row r="849" spans="1:40" x14ac:dyDescent="0.25">
      <c r="A849" t="str">
        <f>"20190312160926921"</f>
        <v>20190312160926921</v>
      </c>
      <c r="B849" t="str">
        <f>"1552378166915665"</f>
        <v>1552378166915665</v>
      </c>
      <c r="C849" t="s">
        <v>40</v>
      </c>
      <c r="D849">
        <v>5.1320940000000004</v>
      </c>
      <c r="E849">
        <v>0.56125649999999905</v>
      </c>
      <c r="F849" t="s">
        <v>52</v>
      </c>
      <c r="G849">
        <v>239.1866</v>
      </c>
      <c r="H849">
        <v>-0.1</v>
      </c>
      <c r="I849">
        <v>254.15440000000001</v>
      </c>
      <c r="J849">
        <v>-235.75899999999999</v>
      </c>
      <c r="K849">
        <v>1.110258</v>
      </c>
      <c r="L849">
        <v>367.29539999999997</v>
      </c>
      <c r="M849">
        <v>0.99977819999999995</v>
      </c>
      <c r="N849">
        <v>0</v>
      </c>
      <c r="O849">
        <v>-1.534989E-2</v>
      </c>
      <c r="P849">
        <v>0.99745150000000005</v>
      </c>
      <c r="Q849">
        <v>3.136116E-3</v>
      </c>
      <c r="R849">
        <v>-7.128015E-2</v>
      </c>
      <c r="S849">
        <v>2.957535</v>
      </c>
      <c r="T849">
        <v>-7.5314040000000002E-3</v>
      </c>
      <c r="U849">
        <v>-0.70410159999999999</v>
      </c>
      <c r="V849">
        <v>5.5960099999999999E-2</v>
      </c>
      <c r="W849">
        <v>1.7537000000000001E-2</v>
      </c>
      <c r="X849">
        <v>0.99827900000000003</v>
      </c>
      <c r="Y849">
        <v>0.21663569999999999</v>
      </c>
      <c r="Z849">
        <v>-2.3349570000000001E-4</v>
      </c>
      <c r="AA849">
        <v>0.97625249999999997</v>
      </c>
      <c r="AB849">
        <v>32</v>
      </c>
      <c r="AC849">
        <v>474.94560000000001</v>
      </c>
      <c r="AD849">
        <v>-1.2102580000000001</v>
      </c>
      <c r="AE849">
        <v>-113.140999999999</v>
      </c>
      <c r="AF849">
        <v>105.83589624401699</v>
      </c>
      <c r="AG849">
        <v>-1.2102580000000001</v>
      </c>
      <c r="AH849">
        <v>476.62358574113</v>
      </c>
      <c r="AI849">
        <v>90.142027597664793</v>
      </c>
      <c r="AJ849">
        <v>77.480409255578394</v>
      </c>
      <c r="AK849">
        <v>488.23431274638398</v>
      </c>
      <c r="AL849">
        <v>88.995152424587701</v>
      </c>
      <c r="AM849">
        <v>86.791552797575207</v>
      </c>
      <c r="AN849">
        <v>1.000000020501</v>
      </c>
    </row>
    <row r="850" spans="1:40" x14ac:dyDescent="0.25">
      <c r="A850" t="str">
        <f>"20190312160926943"</f>
        <v>20190312160926943</v>
      </c>
      <c r="B850" t="str">
        <f>"1552378166936161"</f>
        <v>1552378166936161</v>
      </c>
      <c r="C850" t="s">
        <v>40</v>
      </c>
      <c r="D850">
        <v>5.3352250000000003</v>
      </c>
      <c r="E850">
        <v>0.55905869999999902</v>
      </c>
      <c r="F850" t="s">
        <v>43</v>
      </c>
      <c r="G850">
        <v>-165.11760000000001</v>
      </c>
      <c r="H850">
        <v>-0.05</v>
      </c>
      <c r="I850">
        <v>350.54719999999998</v>
      </c>
      <c r="J850">
        <v>-235.43389999999999</v>
      </c>
      <c r="K850">
        <v>1.110255</v>
      </c>
      <c r="L850">
        <v>367.29050000000001</v>
      </c>
      <c r="M850">
        <v>0.9997781</v>
      </c>
      <c r="N850">
        <v>0</v>
      </c>
      <c r="O850">
        <v>-1.5358510000000001E-2</v>
      </c>
      <c r="P850">
        <v>0.99742980000000003</v>
      </c>
      <c r="Q850">
        <v>2.6008709999999998E-3</v>
      </c>
      <c r="R850">
        <v>-7.1603420000000001E-2</v>
      </c>
      <c r="S850">
        <v>2.957687</v>
      </c>
      <c r="T850">
        <v>-4.8578860000000001E-2</v>
      </c>
      <c r="U850">
        <v>-0.70123290000000005</v>
      </c>
      <c r="V850">
        <v>5.6275239999999997E-2</v>
      </c>
      <c r="W850">
        <v>1.6997780000000001E-2</v>
      </c>
      <c r="X850">
        <v>0.99827060000000001</v>
      </c>
      <c r="Y850">
        <v>0.21569459999999999</v>
      </c>
      <c r="Z850">
        <v>-1.49832E-3</v>
      </c>
      <c r="AA850">
        <v>0.97645970000000004</v>
      </c>
      <c r="AB850">
        <v>32</v>
      </c>
      <c r="AC850">
        <v>70.316299999999899</v>
      </c>
      <c r="AD850">
        <v>-1.160255</v>
      </c>
      <c r="AE850">
        <v>-16.743300000000001</v>
      </c>
      <c r="AF850">
        <v>15.6572246671626</v>
      </c>
      <c r="AG850">
        <v>-1.160255</v>
      </c>
      <c r="AH850">
        <v>70.5470064083962</v>
      </c>
      <c r="AI850">
        <v>90.919854494987803</v>
      </c>
      <c r="AJ850">
        <v>77.486585326760505</v>
      </c>
      <c r="AK850">
        <v>72.272920164673806</v>
      </c>
      <c r="AL850">
        <v>89.026052050252702</v>
      </c>
      <c r="AM850">
        <v>86.773495362460096</v>
      </c>
      <c r="AN850">
        <v>1.00000000899317</v>
      </c>
    </row>
    <row r="851" spans="1:40" x14ac:dyDescent="0.25">
      <c r="A851" t="str">
        <f>"20190312160926966"</f>
        <v>20190312160926966</v>
      </c>
      <c r="B851" t="str">
        <f>"1552378166955682"</f>
        <v>1552378166955682</v>
      </c>
      <c r="C851" t="s">
        <v>40</v>
      </c>
      <c r="D851">
        <v>5.3175080000000001</v>
      </c>
      <c r="E851">
        <v>0.56037869999999901</v>
      </c>
      <c r="F851" t="s">
        <v>45</v>
      </c>
      <c r="G851">
        <v>0</v>
      </c>
      <c r="H851">
        <v>0</v>
      </c>
      <c r="I851">
        <v>0</v>
      </c>
      <c r="J851">
        <v>-235.11150000000001</v>
      </c>
      <c r="K851">
        <v>1.1102369999999999</v>
      </c>
      <c r="L851">
        <v>367.28550000000001</v>
      </c>
      <c r="M851">
        <v>0.99977769999999999</v>
      </c>
      <c r="N851">
        <v>0</v>
      </c>
      <c r="O851">
        <v>-1.53927E-2</v>
      </c>
      <c r="P851">
        <v>0.99742030000000004</v>
      </c>
      <c r="Q851">
        <v>2.7420840000000001E-3</v>
      </c>
      <c r="R851">
        <v>-7.1732069999999995E-2</v>
      </c>
      <c r="S851">
        <v>2.9585720000000002</v>
      </c>
      <c r="T851">
        <v>-2.1650789999999999E-3</v>
      </c>
      <c r="U851">
        <v>-0.6847839</v>
      </c>
      <c r="V851">
        <v>5.6370299999999998E-2</v>
      </c>
      <c r="W851">
        <v>1.7133659999999998E-2</v>
      </c>
      <c r="X851">
        <v>0.99826289999999995</v>
      </c>
      <c r="Y851">
        <v>0.21047160000000001</v>
      </c>
      <c r="Z851" s="1">
        <v>-6.4893380000000003E-5</v>
      </c>
      <c r="AA851">
        <v>0.97760000000000002</v>
      </c>
      <c r="AB851">
        <v>32</v>
      </c>
      <c r="AC851">
        <v>2.9585720000000002</v>
      </c>
      <c r="AD851">
        <v>-2.1650789999999999E-3</v>
      </c>
      <c r="AE851">
        <v>-0.6847839</v>
      </c>
      <c r="AF851">
        <v>0.639157289348253</v>
      </c>
      <c r="AG851">
        <v>-2.1650789999999999E-3</v>
      </c>
      <c r="AH851">
        <v>2.9687616699946102</v>
      </c>
      <c r="AI851">
        <v>90.040849067680597</v>
      </c>
      <c r="AJ851">
        <v>77.850006922109699</v>
      </c>
      <c r="AK851">
        <v>3.0367865551143498</v>
      </c>
      <c r="AL851">
        <v>89.018265552378693</v>
      </c>
      <c r="AM851">
        <v>86.768031826326606</v>
      </c>
      <c r="AN851">
        <v>0.99999999527174699</v>
      </c>
    </row>
    <row r="852" spans="1:40" x14ac:dyDescent="0.25">
      <c r="A852" t="str">
        <f>"20190312160926988"</f>
        <v>20190312160926988</v>
      </c>
      <c r="B852" t="str">
        <f>"1552378166985937"</f>
        <v>1552378166985937</v>
      </c>
      <c r="C852" t="s">
        <v>40</v>
      </c>
      <c r="D852">
        <v>5.1852</v>
      </c>
      <c r="E852">
        <v>0.56138509999999997</v>
      </c>
      <c r="F852" t="s">
        <v>45</v>
      </c>
      <c r="G852">
        <v>0</v>
      </c>
      <c r="H852">
        <v>0</v>
      </c>
      <c r="I852">
        <v>0</v>
      </c>
      <c r="J852">
        <v>-234.79329999999999</v>
      </c>
      <c r="K852">
        <v>1.1102190000000001</v>
      </c>
      <c r="L852">
        <v>367.28050000000002</v>
      </c>
      <c r="M852">
        <v>0.99977660000000002</v>
      </c>
      <c r="N852">
        <v>0</v>
      </c>
      <c r="O852">
        <v>-1.546142E-2</v>
      </c>
      <c r="P852">
        <v>0.99738300000000002</v>
      </c>
      <c r="Q852">
        <v>2.4161180000000001E-3</v>
      </c>
      <c r="R852">
        <v>-7.2261140000000001E-2</v>
      </c>
      <c r="S852">
        <v>2.957703</v>
      </c>
      <c r="T852">
        <v>8.7885859999999993E-3</v>
      </c>
      <c r="U852">
        <v>-0.69549559999999999</v>
      </c>
      <c r="V852">
        <v>5.6832149999999998E-2</v>
      </c>
      <c r="W852">
        <v>1.6800389999999998E-2</v>
      </c>
      <c r="X852">
        <v>0.99824239999999997</v>
      </c>
      <c r="Y852">
        <v>0.21382319999999999</v>
      </c>
      <c r="Z852">
        <v>2.6809760000000001E-4</v>
      </c>
      <c r="AA852">
        <v>0.97687230000000003</v>
      </c>
      <c r="AB852">
        <v>32</v>
      </c>
      <c r="AC852">
        <v>2.957703</v>
      </c>
      <c r="AD852">
        <v>8.7885859999999993E-3</v>
      </c>
      <c r="AE852">
        <v>-0.69549559999999999</v>
      </c>
      <c r="AF852">
        <v>0.64967197308304303</v>
      </c>
      <c r="AG852">
        <v>8.7885859999999993E-3</v>
      </c>
      <c r="AH852">
        <v>2.9680790111905102</v>
      </c>
      <c r="AI852">
        <v>89.834269392492999</v>
      </c>
      <c r="AJ852">
        <v>77.653457563564899</v>
      </c>
      <c r="AK852">
        <v>3.0383620469791199</v>
      </c>
      <c r="AL852">
        <v>89.037363287775506</v>
      </c>
      <c r="AM852">
        <v>86.741541900047494</v>
      </c>
      <c r="AN852">
        <v>1.0000000177677599</v>
      </c>
    </row>
    <row r="853" spans="1:40" x14ac:dyDescent="0.25">
      <c r="A853" t="str">
        <f>"20190312160927011"</f>
        <v>20190312160927011</v>
      </c>
      <c r="B853" t="str">
        <f>"1552378167006434"</f>
        <v>1552378167006434</v>
      </c>
      <c r="C853" t="s">
        <v>40</v>
      </c>
      <c r="D853">
        <v>5.3249029999999999</v>
      </c>
      <c r="E853">
        <v>0.56196579999999996</v>
      </c>
      <c r="F853" t="s">
        <v>45</v>
      </c>
      <c r="G853">
        <v>0</v>
      </c>
      <c r="H853">
        <v>0</v>
      </c>
      <c r="I853">
        <v>0</v>
      </c>
      <c r="J853">
        <v>-234.46850000000001</v>
      </c>
      <c r="K853">
        <v>1.11019</v>
      </c>
      <c r="L853">
        <v>367.27539999999999</v>
      </c>
      <c r="M853">
        <v>0.99977499999999997</v>
      </c>
      <c r="N853">
        <v>0</v>
      </c>
      <c r="O853">
        <v>-1.556826E-2</v>
      </c>
      <c r="P853">
        <v>0.99736409999999998</v>
      </c>
      <c r="Q853">
        <v>1.773663E-3</v>
      </c>
      <c r="R853">
        <v>-7.2539049999999994E-2</v>
      </c>
      <c r="S853">
        <v>2.9567570000000001</v>
      </c>
      <c r="T853">
        <v>9.4861979999999995E-3</v>
      </c>
      <c r="U853">
        <v>-0.70498660000000002</v>
      </c>
      <c r="V853">
        <v>5.700467E-2</v>
      </c>
      <c r="W853">
        <v>1.615055E-2</v>
      </c>
      <c r="X853">
        <v>0.99824329999999994</v>
      </c>
      <c r="Y853">
        <v>0.21675649999999999</v>
      </c>
      <c r="Z853">
        <v>2.9366579999999998E-4</v>
      </c>
      <c r="AA853">
        <v>0.97622569999999997</v>
      </c>
      <c r="AB853">
        <v>32</v>
      </c>
      <c r="AC853">
        <v>2.9567570000000001</v>
      </c>
      <c r="AD853">
        <v>9.4861979999999995E-3</v>
      </c>
      <c r="AE853">
        <v>-0.70498660000000002</v>
      </c>
      <c r="AF853">
        <v>0.65885838596936197</v>
      </c>
      <c r="AG853">
        <v>9.4861979999999995E-3</v>
      </c>
      <c r="AH853">
        <v>2.9673462415415401</v>
      </c>
      <c r="AI853">
        <v>89.821188548636997</v>
      </c>
      <c r="AJ853">
        <v>77.481347528022198</v>
      </c>
      <c r="AK853">
        <v>3.0396263056345201</v>
      </c>
      <c r="AL853">
        <v>89.074601442154503</v>
      </c>
      <c r="AM853">
        <v>86.731674857128894</v>
      </c>
      <c r="AN853">
        <v>1.0000000293310001</v>
      </c>
    </row>
    <row r="854" spans="1:40" x14ac:dyDescent="0.25">
      <c r="A854" t="str">
        <f>"20190312160927032"</f>
        <v>20190312160927032</v>
      </c>
      <c r="B854" t="str">
        <f>"1552378167025953"</f>
        <v>1552378167025953</v>
      </c>
      <c r="C854" t="s">
        <v>40</v>
      </c>
      <c r="D854">
        <v>5.4449489999999896</v>
      </c>
      <c r="E854">
        <v>0.56242320000000001</v>
      </c>
      <c r="F854" t="s">
        <v>45</v>
      </c>
      <c r="G854">
        <v>0</v>
      </c>
      <c r="H854">
        <v>0</v>
      </c>
      <c r="I854">
        <v>0</v>
      </c>
      <c r="J854">
        <v>-234.16130000000001</v>
      </c>
      <c r="K854">
        <v>1.110152</v>
      </c>
      <c r="L854">
        <v>367.27050000000003</v>
      </c>
      <c r="M854">
        <v>0.99977269999999896</v>
      </c>
      <c r="N854">
        <v>0</v>
      </c>
      <c r="O854">
        <v>-1.5716919999999999E-2</v>
      </c>
      <c r="P854">
        <v>0.99732290000000001</v>
      </c>
      <c r="Q854">
        <v>1.641123E-3</v>
      </c>
      <c r="R854">
        <v>-7.3107050000000007E-2</v>
      </c>
      <c r="S854">
        <v>2.956223</v>
      </c>
      <c r="T854">
        <v>9.9772209999999997E-3</v>
      </c>
      <c r="U854">
        <v>-0.71057130000000002</v>
      </c>
      <c r="V854">
        <v>5.7426409999999997E-2</v>
      </c>
      <c r="W854">
        <v>1.6009430000000002E-2</v>
      </c>
      <c r="X854">
        <v>0.99822140000000004</v>
      </c>
      <c r="Y854">
        <v>0.21839500000000001</v>
      </c>
      <c r="Z854">
        <v>3.1108569999999998E-4</v>
      </c>
      <c r="AA854">
        <v>0.97586039999999996</v>
      </c>
      <c r="AB854">
        <v>32</v>
      </c>
      <c r="AC854">
        <v>2.956223</v>
      </c>
      <c r="AD854">
        <v>9.9772209999999997E-3</v>
      </c>
      <c r="AE854">
        <v>-0.71057130000000002</v>
      </c>
      <c r="AF854">
        <v>0.66400882055002997</v>
      </c>
      <c r="AG854">
        <v>9.9772209999999997E-3</v>
      </c>
      <c r="AH854">
        <v>2.9669949776975399</v>
      </c>
      <c r="AI854">
        <v>89.811981114293005</v>
      </c>
      <c r="AJ854">
        <v>77.385160853002404</v>
      </c>
      <c r="AK854">
        <v>3.0404056401061998</v>
      </c>
      <c r="AL854">
        <v>89.082688067479495</v>
      </c>
      <c r="AM854">
        <v>86.707475599120002</v>
      </c>
      <c r="AN854">
        <v>1.0000000289161799</v>
      </c>
    </row>
    <row r="855" spans="1:40" x14ac:dyDescent="0.25">
      <c r="A855" t="str">
        <f>"20190312160927065"</f>
        <v>20190312160927065</v>
      </c>
      <c r="B855" t="str">
        <f>"1552378167056209"</f>
        <v>1552378167056209</v>
      </c>
      <c r="C855" t="s">
        <v>40</v>
      </c>
      <c r="D855">
        <v>5.5315110000000001</v>
      </c>
      <c r="E855">
        <v>0.56348929999999997</v>
      </c>
      <c r="F855" t="s">
        <v>45</v>
      </c>
      <c r="G855">
        <v>0</v>
      </c>
      <c r="H855">
        <v>0</v>
      </c>
      <c r="I855">
        <v>0</v>
      </c>
      <c r="J855">
        <v>-233.6918</v>
      </c>
      <c r="K855">
        <v>1.110079</v>
      </c>
      <c r="L855">
        <v>367.26280000000003</v>
      </c>
      <c r="M855">
        <v>0.99976719999999997</v>
      </c>
      <c r="N855">
        <v>0</v>
      </c>
      <c r="O855">
        <v>-1.6066589999999999E-2</v>
      </c>
      <c r="P855">
        <v>0.99735490000000004</v>
      </c>
      <c r="Q855">
        <v>1.9596879999999998E-3</v>
      </c>
      <c r="R855">
        <v>-7.2659749999999995E-2</v>
      </c>
      <c r="S855">
        <v>2.9555509999999998</v>
      </c>
      <c r="T855">
        <v>1.036024E-2</v>
      </c>
      <c r="U855">
        <v>-0.71585080000000001</v>
      </c>
      <c r="V855">
        <v>5.6632380000000003E-2</v>
      </c>
      <c r="W855">
        <v>1.6314559999999999E-2</v>
      </c>
      <c r="X855">
        <v>0.99826179999999998</v>
      </c>
      <c r="Y855">
        <v>0.219751</v>
      </c>
      <c r="Z855">
        <v>3.2416850000000001E-4</v>
      </c>
      <c r="AA855">
        <v>0.97555599999999998</v>
      </c>
      <c r="AB855">
        <v>32</v>
      </c>
      <c r="AC855">
        <v>2.9555509999999998</v>
      </c>
      <c r="AD855">
        <v>1.036024E-2</v>
      </c>
      <c r="AE855">
        <v>-0.71585080000000001</v>
      </c>
      <c r="AF855">
        <v>0.66826007404268495</v>
      </c>
      <c r="AG855">
        <v>1.036024E-2</v>
      </c>
      <c r="AH855">
        <v>2.9666374718683901</v>
      </c>
      <c r="AI855">
        <v>89.804800645478906</v>
      </c>
      <c r="AJ855">
        <v>77.305524285972496</v>
      </c>
      <c r="AK855">
        <v>3.04098943612536</v>
      </c>
      <c r="AL855">
        <v>89.065203101833504</v>
      </c>
      <c r="AM855">
        <v>86.753034082631601</v>
      </c>
      <c r="AN855">
        <v>1.0000000063358401</v>
      </c>
    </row>
    <row r="856" spans="1:40" x14ac:dyDescent="0.25">
      <c r="A856" t="str">
        <f>"20190312160927089"</f>
        <v>20190312160927089</v>
      </c>
      <c r="B856" t="str">
        <f>"1552378167086465"</f>
        <v>1552378167086465</v>
      </c>
      <c r="C856" t="s">
        <v>40</v>
      </c>
      <c r="D856">
        <v>5.3927449999999997</v>
      </c>
      <c r="E856">
        <v>0.56386440000000004</v>
      </c>
      <c r="F856" t="s">
        <v>45</v>
      </c>
      <c r="G856">
        <v>0</v>
      </c>
      <c r="H856">
        <v>0</v>
      </c>
      <c r="I856">
        <v>0</v>
      </c>
      <c r="J856">
        <v>-233.37219999999999</v>
      </c>
      <c r="K856">
        <v>1.1100139999999901</v>
      </c>
      <c r="L856">
        <v>367.25729999999999</v>
      </c>
      <c r="M856">
        <v>0.99976160000000003</v>
      </c>
      <c r="N856">
        <v>0</v>
      </c>
      <c r="O856">
        <v>-1.6413049999999998E-2</v>
      </c>
      <c r="P856">
        <v>0.99731970000000003</v>
      </c>
      <c r="Q856">
        <v>1.6706449999999999E-3</v>
      </c>
      <c r="R856">
        <v>-7.314938E-2</v>
      </c>
      <c r="S856">
        <v>2.9552459999999998</v>
      </c>
      <c r="T856">
        <v>1.394308E-2</v>
      </c>
      <c r="U856">
        <v>-0.72314449999999997</v>
      </c>
      <c r="V856">
        <v>5.6778809999999999E-2</v>
      </c>
      <c r="W856">
        <v>1.6013719999999999E-2</v>
      </c>
      <c r="X856">
        <v>0.99825839999999999</v>
      </c>
      <c r="Y856">
        <v>0.2217075</v>
      </c>
      <c r="Z856">
        <v>4.3913120000000001E-4</v>
      </c>
      <c r="AA856">
        <v>0.97511309999999995</v>
      </c>
      <c r="AB856">
        <v>32</v>
      </c>
      <c r="AC856">
        <v>2.9552459999999998</v>
      </c>
      <c r="AD856">
        <v>1.394308E-2</v>
      </c>
      <c r="AE856">
        <v>-0.72314449999999997</v>
      </c>
      <c r="AF856">
        <v>0.67452327316639804</v>
      </c>
      <c r="AG856">
        <v>1.394308E-2</v>
      </c>
      <c r="AH856">
        <v>2.9666557662867401</v>
      </c>
      <c r="AI856">
        <v>89.737417378816602</v>
      </c>
      <c r="AJ856">
        <v>77.190530849302803</v>
      </c>
      <c r="AK856">
        <v>3.0424040644144101</v>
      </c>
      <c r="AL856">
        <v>89.082442259024603</v>
      </c>
      <c r="AM856">
        <v>86.744645621060798</v>
      </c>
      <c r="AN856">
        <v>1.0000000528319</v>
      </c>
    </row>
    <row r="857" spans="1:40" x14ac:dyDescent="0.25">
      <c r="A857" t="str">
        <f>"20190312160927111"</f>
        <v>20190312160927111</v>
      </c>
      <c r="B857" t="str">
        <f>"1552378167105987"</f>
        <v>1552378167105987</v>
      </c>
      <c r="C857" t="s">
        <v>40</v>
      </c>
      <c r="D857">
        <v>5.6841039999999996</v>
      </c>
      <c r="E857">
        <v>0.56421829999999995</v>
      </c>
      <c r="F857" t="s">
        <v>45</v>
      </c>
      <c r="G857">
        <v>0</v>
      </c>
      <c r="H857">
        <v>0</v>
      </c>
      <c r="I857">
        <v>0</v>
      </c>
      <c r="J857">
        <v>-233.0505</v>
      </c>
      <c r="K857">
        <v>1.1099429999999999</v>
      </c>
      <c r="L857">
        <v>367.2516</v>
      </c>
      <c r="M857">
        <v>0.99975460000000005</v>
      </c>
      <c r="N857">
        <v>0</v>
      </c>
      <c r="O857">
        <v>-1.684076E-2</v>
      </c>
      <c r="P857">
        <v>0.99728450000000002</v>
      </c>
      <c r="Q857">
        <v>1.107296E-3</v>
      </c>
      <c r="R857">
        <v>-7.364002E-2</v>
      </c>
      <c r="S857">
        <v>2.9546969999999999</v>
      </c>
      <c r="T857">
        <v>1.46724E-2</v>
      </c>
      <c r="U857">
        <v>-0.72732540000000001</v>
      </c>
      <c r="V857">
        <v>5.6844989999999998E-2</v>
      </c>
      <c r="W857">
        <v>1.543777E-2</v>
      </c>
      <c r="X857">
        <v>0.99826369999999998</v>
      </c>
      <c r="Y857">
        <v>0.2226332</v>
      </c>
      <c r="Z857">
        <v>4.622815E-4</v>
      </c>
      <c r="AA857">
        <v>0.97490220000000005</v>
      </c>
      <c r="AB857">
        <v>32</v>
      </c>
      <c r="AC857">
        <v>2.9546969999999999</v>
      </c>
      <c r="AD857">
        <v>1.46724E-2</v>
      </c>
      <c r="AE857">
        <v>-0.72732540000000001</v>
      </c>
      <c r="AF857">
        <v>0.67744198468276295</v>
      </c>
      <c r="AG857">
        <v>1.46724E-2</v>
      </c>
      <c r="AH857">
        <v>2.9664589012920901</v>
      </c>
      <c r="AI857">
        <v>89.723724145250998</v>
      </c>
      <c r="AJ857">
        <v>77.136118069944501</v>
      </c>
      <c r="AK857">
        <v>3.0428640020526401</v>
      </c>
      <c r="AL857">
        <v>89.115445837197001</v>
      </c>
      <c r="AM857">
        <v>86.740876700125796</v>
      </c>
      <c r="AN857">
        <v>1.00000004618418</v>
      </c>
    </row>
    <row r="858" spans="1:40" x14ac:dyDescent="0.25">
      <c r="A858" t="str">
        <f>"20190312160927133"</f>
        <v>20190312160927133</v>
      </c>
      <c r="B858" t="str">
        <f>"1552378167126483"</f>
        <v>1552378167126483</v>
      </c>
      <c r="C858" t="s">
        <v>40</v>
      </c>
      <c r="D858">
        <v>5.6299720000000004</v>
      </c>
      <c r="E858">
        <v>0.56446169999999996</v>
      </c>
      <c r="F858" t="s">
        <v>45</v>
      </c>
      <c r="G858">
        <v>0</v>
      </c>
      <c r="H858">
        <v>0</v>
      </c>
      <c r="I858">
        <v>0</v>
      </c>
      <c r="J858">
        <v>-232.73419999999999</v>
      </c>
      <c r="K858">
        <v>1.1098709999999901</v>
      </c>
      <c r="L858">
        <v>367.2457</v>
      </c>
      <c r="M858">
        <v>0.99974569999999996</v>
      </c>
      <c r="N858">
        <v>0</v>
      </c>
      <c r="O858">
        <v>-1.7357270000000001E-2</v>
      </c>
      <c r="P858">
        <v>0.99718240000000002</v>
      </c>
      <c r="Q858">
        <v>3.0141910000000002E-4</v>
      </c>
      <c r="R858">
        <v>-7.5015310000000002E-2</v>
      </c>
      <c r="S858">
        <v>2.954132</v>
      </c>
      <c r="T858">
        <v>9.8427529999999992E-3</v>
      </c>
      <c r="U858">
        <v>-0.73153690000000005</v>
      </c>
      <c r="V858">
        <v>5.770782E-2</v>
      </c>
      <c r="W858">
        <v>1.4617700000000001E-2</v>
      </c>
      <c r="X858">
        <v>0.99822650000000002</v>
      </c>
      <c r="Y858">
        <v>0.22348399999999999</v>
      </c>
      <c r="Z858">
        <v>3.0982360000000002E-4</v>
      </c>
      <c r="AA858">
        <v>0.97470749999999995</v>
      </c>
      <c r="AB858">
        <v>32</v>
      </c>
      <c r="AC858">
        <v>2.954132</v>
      </c>
      <c r="AD858">
        <v>9.8427529999999992E-3</v>
      </c>
      <c r="AE858">
        <v>-0.73153690000000005</v>
      </c>
      <c r="AF858">
        <v>0.68013857658712895</v>
      </c>
      <c r="AG858">
        <v>9.8427529999999992E-3</v>
      </c>
      <c r="AH858">
        <v>2.9663546432600398</v>
      </c>
      <c r="AI858">
        <v>89.814694260061998</v>
      </c>
      <c r="AJ858">
        <v>77.086187373238005</v>
      </c>
      <c r="AK858">
        <v>3.0433444157273701</v>
      </c>
      <c r="AL858">
        <v>89.162437660274904</v>
      </c>
      <c r="AM858">
        <v>86.691393673022006</v>
      </c>
      <c r="AN858">
        <v>1.0000000074723401</v>
      </c>
    </row>
    <row r="859" spans="1:40" x14ac:dyDescent="0.25">
      <c r="A859" t="str">
        <f>"20190312160927154"</f>
        <v>20190312160927154</v>
      </c>
      <c r="B859" t="str">
        <f>"1552378167146002"</f>
        <v>1552378167146002</v>
      </c>
      <c r="C859" t="s">
        <v>40</v>
      </c>
      <c r="D859">
        <v>5.6680390000000003</v>
      </c>
      <c r="E859">
        <v>0.56448399999999999</v>
      </c>
      <c r="F859" t="s">
        <v>45</v>
      </c>
      <c r="G859">
        <v>0</v>
      </c>
      <c r="H859">
        <v>0</v>
      </c>
      <c r="I859">
        <v>0</v>
      </c>
      <c r="J859">
        <v>-232.43029999999999</v>
      </c>
      <c r="K859">
        <v>1.1097900000000001</v>
      </c>
      <c r="L859">
        <v>367.23989999999998</v>
      </c>
      <c r="M859">
        <v>0.99973509999999999</v>
      </c>
      <c r="N859">
        <v>0</v>
      </c>
      <c r="O859">
        <v>-1.79594E-2</v>
      </c>
      <c r="P859">
        <v>0.99710489999999996</v>
      </c>
      <c r="Q859">
        <v>4.835978E-4</v>
      </c>
      <c r="R859">
        <v>-7.6038720000000004E-2</v>
      </c>
      <c r="S859">
        <v>2.9530029999999998</v>
      </c>
      <c r="T859">
        <v>6.2052009999999996E-3</v>
      </c>
      <c r="U859">
        <v>-0.73757930000000005</v>
      </c>
      <c r="V859">
        <v>5.8134100000000001E-2</v>
      </c>
      <c r="W859">
        <v>1.478553E-2</v>
      </c>
      <c r="X859">
        <v>0.99819930000000001</v>
      </c>
      <c r="Y859">
        <v>0.2248626</v>
      </c>
      <c r="Z859">
        <v>1.9553039999999999E-4</v>
      </c>
      <c r="AA859">
        <v>0.97439039999999999</v>
      </c>
      <c r="AB859">
        <v>32</v>
      </c>
      <c r="AC859">
        <v>2.9530029999999998</v>
      </c>
      <c r="AD859">
        <v>6.2052009999999996E-3</v>
      </c>
      <c r="AE859">
        <v>-0.73757930000000005</v>
      </c>
      <c r="AF859">
        <v>0.68441781471085605</v>
      </c>
      <c r="AG859">
        <v>6.2052009999999996E-3</v>
      </c>
      <c r="AH859">
        <v>2.9657621597399002</v>
      </c>
      <c r="AI859">
        <v>89.883191470176897</v>
      </c>
      <c r="AJ859">
        <v>77.005178463370299</v>
      </c>
      <c r="AK859">
        <v>3.0437167144394501</v>
      </c>
      <c r="AL859">
        <v>89.152820675838399</v>
      </c>
      <c r="AM859">
        <v>86.666917719137302</v>
      </c>
      <c r="AN859">
        <v>1.00000001400034</v>
      </c>
    </row>
    <row r="860" spans="1:40" x14ac:dyDescent="0.25">
      <c r="A860" t="str">
        <f>"20190312160927177"</f>
        <v>20190312160927177</v>
      </c>
      <c r="B860" t="str">
        <f>"1552378167166498"</f>
        <v>1552378167166498</v>
      </c>
      <c r="C860" t="s">
        <v>40</v>
      </c>
      <c r="D860">
        <v>5.5574149999999998</v>
      </c>
      <c r="E860">
        <v>0.56468309999999999</v>
      </c>
      <c r="F860" t="s">
        <v>45</v>
      </c>
      <c r="G860">
        <v>0</v>
      </c>
      <c r="H860">
        <v>0</v>
      </c>
      <c r="I860">
        <v>0</v>
      </c>
      <c r="J860">
        <v>-232.11850000000001</v>
      </c>
      <c r="K860">
        <v>1.109696</v>
      </c>
      <c r="L860">
        <v>367.23349999999999</v>
      </c>
      <c r="M860">
        <v>0.99972169999999905</v>
      </c>
      <c r="N860">
        <v>0</v>
      </c>
      <c r="O860">
        <v>-1.8692319999999998E-2</v>
      </c>
      <c r="P860">
        <v>0.99701890000000004</v>
      </c>
      <c r="Q860">
        <v>3.044729E-4</v>
      </c>
      <c r="R860">
        <v>-7.7157859999999995E-2</v>
      </c>
      <c r="S860">
        <v>2.9522249999999999</v>
      </c>
      <c r="T860">
        <v>6.0046910000000004E-3</v>
      </c>
      <c r="U860">
        <v>-0.74069209999999996</v>
      </c>
      <c r="V860">
        <v>5.8525979999999998E-2</v>
      </c>
      <c r="W860">
        <v>1.459005E-2</v>
      </c>
      <c r="X860">
        <v>0.99817929999999999</v>
      </c>
      <c r="Y860">
        <v>0.2251754</v>
      </c>
      <c r="Z860">
        <v>1.880838E-4</v>
      </c>
      <c r="AA860">
        <v>0.97431820000000002</v>
      </c>
      <c r="AB860">
        <v>32</v>
      </c>
      <c r="AC860">
        <v>2.9522249999999999</v>
      </c>
      <c r="AD860">
        <v>6.0046910000000004E-3</v>
      </c>
      <c r="AE860">
        <v>-0.74069209999999996</v>
      </c>
      <c r="AF860">
        <v>0.68537034433759703</v>
      </c>
      <c r="AG860">
        <v>6.0046910000000004E-3</v>
      </c>
      <c r="AH860">
        <v>2.9655442361433302</v>
      </c>
      <c r="AI860">
        <v>89.886965993849699</v>
      </c>
      <c r="AJ860">
        <v>76.986784503819294</v>
      </c>
      <c r="AK860">
        <v>3.0437183151097198</v>
      </c>
      <c r="AL860">
        <v>89.164022082568707</v>
      </c>
      <c r="AM860">
        <v>86.644433613375298</v>
      </c>
      <c r="AN860">
        <v>1.0000000374212199</v>
      </c>
    </row>
    <row r="861" spans="1:40" x14ac:dyDescent="0.25">
      <c r="A861" t="str">
        <f>"20190312160927200"</f>
        <v>20190312160927200</v>
      </c>
      <c r="B861" t="str">
        <f>"1552378167195777"</f>
        <v>1552378167195777</v>
      </c>
      <c r="C861" t="s">
        <v>40</v>
      </c>
      <c r="D861">
        <v>5.4817920000000004</v>
      </c>
      <c r="E861">
        <v>0.56523500000000004</v>
      </c>
      <c r="F861" t="s">
        <v>45</v>
      </c>
      <c r="G861">
        <v>0</v>
      </c>
      <c r="H861">
        <v>0</v>
      </c>
      <c r="I861">
        <v>0</v>
      </c>
      <c r="J861">
        <v>-231.7989</v>
      </c>
      <c r="K861">
        <v>1.1095999999999999</v>
      </c>
      <c r="L861">
        <v>367.22669999999999</v>
      </c>
      <c r="M861">
        <v>0.99970499999999995</v>
      </c>
      <c r="N861">
        <v>0</v>
      </c>
      <c r="O861">
        <v>-1.9568760000000001E-2</v>
      </c>
      <c r="P861">
        <v>0.99684709999999999</v>
      </c>
      <c r="Q861">
        <v>-3.498889E-4</v>
      </c>
      <c r="R861">
        <v>-7.9346059999999996E-2</v>
      </c>
      <c r="S861">
        <v>2.9512330000000002</v>
      </c>
      <c r="T861">
        <v>5.5862669999999998E-3</v>
      </c>
      <c r="U861">
        <v>-0.74575809999999998</v>
      </c>
      <c r="V861">
        <v>5.984453E-2</v>
      </c>
      <c r="W861">
        <v>1.391587E-2</v>
      </c>
      <c r="X861">
        <v>0.99811070000000002</v>
      </c>
      <c r="Y861">
        <v>0.22597120000000001</v>
      </c>
      <c r="Z861">
        <v>1.741088E-4</v>
      </c>
      <c r="AA861">
        <v>0.97413400000000006</v>
      </c>
      <c r="AB861">
        <v>32</v>
      </c>
      <c r="AC861">
        <v>2.9512330000000002</v>
      </c>
      <c r="AD861">
        <v>5.5862669999999998E-3</v>
      </c>
      <c r="AE861">
        <v>-0.74575809999999998</v>
      </c>
      <c r="AF861">
        <v>0.68785500334953997</v>
      </c>
      <c r="AG861">
        <v>5.5862669999999998E-3</v>
      </c>
      <c r="AH861">
        <v>2.96525284687982</v>
      </c>
      <c r="AI861">
        <v>89.894852062735296</v>
      </c>
      <c r="AJ861">
        <v>76.939982821649096</v>
      </c>
      <c r="AK861">
        <v>3.0439941126652799</v>
      </c>
      <c r="AL861">
        <v>89.202653640270498</v>
      </c>
      <c r="AM861">
        <v>86.568778379249693</v>
      </c>
      <c r="AN861">
        <v>0.999999994331633</v>
      </c>
    </row>
    <row r="862" spans="1:40" x14ac:dyDescent="0.25">
      <c r="A862" t="str">
        <f>"20190312160927223"</f>
        <v>20190312160927223</v>
      </c>
      <c r="B862" t="str">
        <f>"1552378167216274"</f>
        <v>1552378167216274</v>
      </c>
      <c r="C862" t="s">
        <v>40</v>
      </c>
      <c r="D862">
        <v>5.6479460000000001</v>
      </c>
      <c r="E862">
        <v>0.56565399999999999</v>
      </c>
      <c r="F862" t="s">
        <v>45</v>
      </c>
      <c r="G862">
        <v>0</v>
      </c>
      <c r="H862">
        <v>0</v>
      </c>
      <c r="I862">
        <v>0</v>
      </c>
      <c r="J862">
        <v>-231.4744</v>
      </c>
      <c r="K862">
        <v>1.1094889999999999</v>
      </c>
      <c r="L862">
        <v>367.21929999999998</v>
      </c>
      <c r="M862">
        <v>0.99968449999999998</v>
      </c>
      <c r="N862">
        <v>0</v>
      </c>
      <c r="O862">
        <v>-2.0593299999999998E-2</v>
      </c>
      <c r="P862">
        <v>0.9966874</v>
      </c>
      <c r="Q862">
        <v>-1.1077890000000001E-3</v>
      </c>
      <c r="R862">
        <v>-8.1320420000000004E-2</v>
      </c>
      <c r="S862">
        <v>2.949265</v>
      </c>
      <c r="T862">
        <v>5.6196450000000004E-3</v>
      </c>
      <c r="U862">
        <v>-0.75659180000000004</v>
      </c>
      <c r="V862">
        <v>6.0800949999999999E-2</v>
      </c>
      <c r="W862">
        <v>1.313727E-2</v>
      </c>
      <c r="X862">
        <v>0.99806340000000004</v>
      </c>
      <c r="Y862">
        <v>0.22848689999999999</v>
      </c>
      <c r="Z862">
        <v>1.756246E-4</v>
      </c>
      <c r="AA862">
        <v>0.97354700000000005</v>
      </c>
      <c r="AB862">
        <v>32</v>
      </c>
      <c r="AC862">
        <v>2.949265</v>
      </c>
      <c r="AD862">
        <v>5.6196450000000004E-3</v>
      </c>
      <c r="AE862">
        <v>-0.75659180000000004</v>
      </c>
      <c r="AF862">
        <v>0.69568757027686401</v>
      </c>
      <c r="AG862">
        <v>5.6196450000000004E-3</v>
      </c>
      <c r="AH862">
        <v>2.9642116719487799</v>
      </c>
      <c r="AI862">
        <v>89.894250410216898</v>
      </c>
      <c r="AJ862">
        <v>76.791975556396096</v>
      </c>
      <c r="AK862">
        <v>3.0447600253492899</v>
      </c>
      <c r="AL862">
        <v>89.247268181584701</v>
      </c>
      <c r="AM862">
        <v>86.513910838214997</v>
      </c>
      <c r="AN862">
        <v>0.99999994690175598</v>
      </c>
    </row>
    <row r="863" spans="1:40" x14ac:dyDescent="0.25">
      <c r="A863" t="str">
        <f>"20190312160927244"</f>
        <v>20190312160927244</v>
      </c>
      <c r="B863" t="str">
        <f>"1552378167235794"</f>
        <v>1552378167235794</v>
      </c>
      <c r="C863" t="s">
        <v>40</v>
      </c>
      <c r="D863">
        <v>5.5485139999999999</v>
      </c>
      <c r="E863">
        <v>0.56599900000000003</v>
      </c>
      <c r="F863" t="s">
        <v>45</v>
      </c>
      <c r="G863">
        <v>0</v>
      </c>
      <c r="H863">
        <v>0</v>
      </c>
      <c r="I863">
        <v>0</v>
      </c>
      <c r="J863">
        <v>-231.17269999999999</v>
      </c>
      <c r="K863">
        <v>1.1093839999999999</v>
      </c>
      <c r="L863">
        <v>367.21190000000001</v>
      </c>
      <c r="M863">
        <v>0.99966160000000004</v>
      </c>
      <c r="N863">
        <v>0</v>
      </c>
      <c r="O863">
        <v>-2.1679750000000001E-2</v>
      </c>
      <c r="P863">
        <v>0.99654540000000003</v>
      </c>
      <c r="Q863">
        <v>-1.381265E-3</v>
      </c>
      <c r="R863">
        <v>-8.3038340000000002E-2</v>
      </c>
      <c r="S863">
        <v>2.94754</v>
      </c>
      <c r="T863">
        <v>4.4058559999999997E-3</v>
      </c>
      <c r="U863">
        <v>-0.76565550000000004</v>
      </c>
      <c r="V863">
        <v>6.1439479999999998E-2</v>
      </c>
      <c r="W863">
        <v>1.2844990000000001E-2</v>
      </c>
      <c r="X863">
        <v>0.99802820000000003</v>
      </c>
      <c r="Y863">
        <v>0.2303722</v>
      </c>
      <c r="Z863">
        <v>1.375084E-4</v>
      </c>
      <c r="AA863">
        <v>0.97310260000000004</v>
      </c>
      <c r="AB863">
        <v>31</v>
      </c>
      <c r="AC863">
        <v>2.94754</v>
      </c>
      <c r="AD863">
        <v>4.4058559999999997E-3</v>
      </c>
      <c r="AE863">
        <v>-0.76565550000000004</v>
      </c>
      <c r="AF863">
        <v>0.70156550498640202</v>
      </c>
      <c r="AG863">
        <v>4.4058559999999997E-3</v>
      </c>
      <c r="AH863">
        <v>2.96344181914899</v>
      </c>
      <c r="AI863">
        <v>89.917107577701103</v>
      </c>
      <c r="AJ863">
        <v>76.681003047679596</v>
      </c>
      <c r="AK863">
        <v>3.0453572836097602</v>
      </c>
      <c r="AL863">
        <v>89.264016079032302</v>
      </c>
      <c r="AM863">
        <v>86.477267802950095</v>
      </c>
      <c r="AN863">
        <v>1.0000000457330001</v>
      </c>
    </row>
    <row r="864" spans="1:40" x14ac:dyDescent="0.25">
      <c r="A864" t="str">
        <f>"20190312160927267"</f>
        <v>20190312160927267</v>
      </c>
      <c r="B864" t="str">
        <f>"1552378167256290"</f>
        <v>1552378167256290</v>
      </c>
      <c r="C864" t="s">
        <v>40</v>
      </c>
      <c r="D864">
        <v>5.5650300000000001</v>
      </c>
      <c r="E864">
        <v>0.56619410000000003</v>
      </c>
      <c r="F864" t="s">
        <v>45</v>
      </c>
      <c r="G864">
        <v>0</v>
      </c>
      <c r="H864">
        <v>0</v>
      </c>
      <c r="I864">
        <v>0</v>
      </c>
      <c r="J864">
        <v>-230.852</v>
      </c>
      <c r="K864">
        <v>1.1092850000000001</v>
      </c>
      <c r="L864">
        <v>367.20370000000003</v>
      </c>
      <c r="M864">
        <v>0.99963259999999998</v>
      </c>
      <c r="N864">
        <v>0</v>
      </c>
      <c r="O864">
        <v>-2.2979260000000001E-2</v>
      </c>
      <c r="P864">
        <v>0.99636720000000001</v>
      </c>
      <c r="Q864">
        <v>-1.3810129999999999E-3</v>
      </c>
      <c r="R864">
        <v>-8.5153679999999995E-2</v>
      </c>
      <c r="S864">
        <v>2.9459529999999998</v>
      </c>
      <c r="T864">
        <v>5.0255059999999999E-3</v>
      </c>
      <c r="U864">
        <v>-0.77383419999999903</v>
      </c>
      <c r="V864">
        <v>6.2264060000000003E-2</v>
      </c>
      <c r="W864">
        <v>1.2824489999999999E-2</v>
      </c>
      <c r="X864">
        <v>0.99797729999999996</v>
      </c>
      <c r="Y864">
        <v>0.23176330000000001</v>
      </c>
      <c r="Z864">
        <v>1.55866E-4</v>
      </c>
      <c r="AA864">
        <v>0.97277219999999998</v>
      </c>
      <c r="AB864">
        <v>31</v>
      </c>
      <c r="AC864">
        <v>2.9459529999999998</v>
      </c>
      <c r="AD864">
        <v>5.0255059999999999E-3</v>
      </c>
      <c r="AE864">
        <v>-0.77383419999999903</v>
      </c>
      <c r="AF864">
        <v>0.70592508426612399</v>
      </c>
      <c r="AG864">
        <v>5.0255059999999999E-3</v>
      </c>
      <c r="AH864">
        <v>2.9629508452702402</v>
      </c>
      <c r="AI864">
        <v>89.9054658535117</v>
      </c>
      <c r="AJ864">
        <v>76.5990736154899</v>
      </c>
      <c r="AK864">
        <v>3.0458879151725702</v>
      </c>
      <c r="AL864">
        <v>89.265190695328798</v>
      </c>
      <c r="AM864">
        <v>86.429929025303593</v>
      </c>
      <c r="AN864">
        <v>0.99999998601336604</v>
      </c>
    </row>
    <row r="865" spans="1:40" x14ac:dyDescent="0.25">
      <c r="A865" t="str">
        <f>"20190312160927290"</f>
        <v>20190312160927290</v>
      </c>
      <c r="B865" t="str">
        <f>"1552378167285570"</f>
        <v>1552378167285570</v>
      </c>
      <c r="C865" t="s">
        <v>40</v>
      </c>
      <c r="D865">
        <v>5.6186210000000001</v>
      </c>
      <c r="E865">
        <v>0.5664226</v>
      </c>
      <c r="F865" t="s">
        <v>45</v>
      </c>
      <c r="G865">
        <v>0</v>
      </c>
      <c r="H865">
        <v>0</v>
      </c>
      <c r="I865">
        <v>0</v>
      </c>
      <c r="J865">
        <v>-230.53110000000001</v>
      </c>
      <c r="K865">
        <v>1.1091869999999999</v>
      </c>
      <c r="L865">
        <v>367.19479999999999</v>
      </c>
      <c r="M865">
        <v>0.99959909999999996</v>
      </c>
      <c r="N865">
        <v>0</v>
      </c>
      <c r="O865">
        <v>-2.4392270000000001E-2</v>
      </c>
      <c r="P865">
        <v>0.99614519999999995</v>
      </c>
      <c r="Q865">
        <v>-5.6045680000000003E-4</v>
      </c>
      <c r="R865">
        <v>-8.7719420000000006E-2</v>
      </c>
      <c r="S865">
        <v>2.944153</v>
      </c>
      <c r="T865">
        <v>6.687999E-3</v>
      </c>
      <c r="U865">
        <v>-0.78143309999999999</v>
      </c>
      <c r="V865">
        <v>6.3428860000000004E-2</v>
      </c>
      <c r="W865">
        <v>1.362503E-2</v>
      </c>
      <c r="X865">
        <v>0.99789329999999998</v>
      </c>
      <c r="Y865">
        <v>0.23288110000000001</v>
      </c>
      <c r="Z865">
        <v>2.0558189999999999E-4</v>
      </c>
      <c r="AA865">
        <v>0.97250519999999996</v>
      </c>
      <c r="AB865">
        <v>31</v>
      </c>
      <c r="AC865">
        <v>2.944153</v>
      </c>
      <c r="AD865">
        <v>6.687999E-3</v>
      </c>
      <c r="AE865">
        <v>-0.78143309999999999</v>
      </c>
      <c r="AF865">
        <v>0.70937513152847098</v>
      </c>
      <c r="AG865">
        <v>6.687999E-3</v>
      </c>
      <c r="AH865">
        <v>2.9623254449737901</v>
      </c>
      <c r="AI865">
        <v>89.874200980562705</v>
      </c>
      <c r="AJ865">
        <v>76.533219826553307</v>
      </c>
      <c r="AK865">
        <v>3.0460843469117602</v>
      </c>
      <c r="AL865">
        <v>89.219319090464097</v>
      </c>
      <c r="AM865">
        <v>86.363014492043703</v>
      </c>
      <c r="AN865">
        <v>0.99999994995414399</v>
      </c>
    </row>
    <row r="866" spans="1:40" x14ac:dyDescent="0.25">
      <c r="A866" t="str">
        <f>"20190312160927323"</f>
        <v>20190312160927323</v>
      </c>
      <c r="B866" t="str">
        <f>"1552378167315827"</f>
        <v>1552378167315827</v>
      </c>
      <c r="C866" t="s">
        <v>40</v>
      </c>
      <c r="D866">
        <v>5.6468360000000004</v>
      </c>
      <c r="E866">
        <v>0.56625769999999997</v>
      </c>
      <c r="F866" t="s">
        <v>45</v>
      </c>
      <c r="G866">
        <v>0</v>
      </c>
      <c r="H866">
        <v>0</v>
      </c>
      <c r="I866">
        <v>0</v>
      </c>
      <c r="J866">
        <v>-230.0669</v>
      </c>
      <c r="K866">
        <v>1.109054</v>
      </c>
      <c r="L866">
        <v>367.18099999999998</v>
      </c>
      <c r="M866">
        <v>0.99954209999999999</v>
      </c>
      <c r="N866">
        <v>0</v>
      </c>
      <c r="O866">
        <v>-2.6623529999999999E-2</v>
      </c>
      <c r="P866">
        <v>0.99578169999999999</v>
      </c>
      <c r="Q866">
        <v>-1.3289230000000001E-3</v>
      </c>
      <c r="R866">
        <v>-9.1745789999999994E-2</v>
      </c>
      <c r="S866">
        <v>2.9419559999999998</v>
      </c>
      <c r="T866">
        <v>9.7960229999999992E-3</v>
      </c>
      <c r="U866">
        <v>-0.79095459999999995</v>
      </c>
      <c r="V866">
        <v>6.523764E-2</v>
      </c>
      <c r="W866">
        <v>1.2826870000000001E-2</v>
      </c>
      <c r="X866">
        <v>0.99778730000000004</v>
      </c>
      <c r="Y866">
        <v>0.23382729999999999</v>
      </c>
      <c r="Z866">
        <v>2.9547440000000003E-4</v>
      </c>
      <c r="AA866">
        <v>0.97227810000000003</v>
      </c>
      <c r="AB866">
        <v>31</v>
      </c>
      <c r="AC866">
        <v>2.9419559999999998</v>
      </c>
      <c r="AD866">
        <v>9.7960229999999992E-3</v>
      </c>
      <c r="AE866">
        <v>-0.79095459999999995</v>
      </c>
      <c r="AF866">
        <v>0.71233345458068698</v>
      </c>
      <c r="AG866">
        <v>9.7960229999999992E-3</v>
      </c>
      <c r="AH866">
        <v>2.9619425067893799</v>
      </c>
      <c r="AI866">
        <v>89.815759662363703</v>
      </c>
      <c r="AJ866">
        <v>76.477433010056004</v>
      </c>
      <c r="AK866">
        <v>3.0464107283994402</v>
      </c>
      <c r="AL866">
        <v>89.265054320992903</v>
      </c>
      <c r="AM866">
        <v>86.259193894195704</v>
      </c>
      <c r="AN866">
        <v>0.99999998715402805</v>
      </c>
    </row>
    <row r="867" spans="1:40" x14ac:dyDescent="0.25">
      <c r="A867" t="str">
        <f>"20190312160927346"</f>
        <v>20190312160927346</v>
      </c>
      <c r="B867" t="str">
        <f>"1552378167336322"</f>
        <v>1552378167336322</v>
      </c>
      <c r="C867" t="s">
        <v>40</v>
      </c>
      <c r="D867">
        <v>5.8523239999999896</v>
      </c>
      <c r="E867">
        <v>0.57595629999999998</v>
      </c>
      <c r="F867" t="s">
        <v>45</v>
      </c>
      <c r="G867">
        <v>0</v>
      </c>
      <c r="H867">
        <v>0</v>
      </c>
      <c r="I867">
        <v>0</v>
      </c>
      <c r="J867">
        <v>-229.7587</v>
      </c>
      <c r="K867">
        <v>1.108967</v>
      </c>
      <c r="L867">
        <v>367.17110000000002</v>
      </c>
      <c r="M867">
        <v>0.99949759999999999</v>
      </c>
      <c r="N867">
        <v>0</v>
      </c>
      <c r="O867">
        <v>-2.824987E-2</v>
      </c>
      <c r="P867">
        <v>0.99557879999999999</v>
      </c>
      <c r="Q867">
        <v>-1.5214860000000001E-3</v>
      </c>
      <c r="R867">
        <v>-9.3918429999999997E-2</v>
      </c>
      <c r="S867">
        <v>2.9388730000000001</v>
      </c>
      <c r="T867">
        <v>1.0311600000000001E-2</v>
      </c>
      <c r="U867">
        <v>-0.80160520000000002</v>
      </c>
      <c r="V867">
        <v>6.579343E-2</v>
      </c>
      <c r="W867">
        <v>1.26166E-2</v>
      </c>
      <c r="X867">
        <v>0.99775349999999996</v>
      </c>
      <c r="Y867">
        <v>0.23578299999999999</v>
      </c>
      <c r="Z867">
        <v>3.0897360000000003E-4</v>
      </c>
      <c r="AA867">
        <v>0.97180569999999999</v>
      </c>
      <c r="AB867">
        <v>31</v>
      </c>
      <c r="AC867">
        <v>2.9388730000000001</v>
      </c>
      <c r="AD867">
        <v>1.0311600000000001E-2</v>
      </c>
      <c r="AE867">
        <v>-0.80160520000000002</v>
      </c>
      <c r="AF867">
        <v>0.71824562420191995</v>
      </c>
      <c r="AG867">
        <v>1.0311600000000001E-2</v>
      </c>
      <c r="AH867">
        <v>2.9603134927869901</v>
      </c>
      <c r="AI867">
        <v>89.8060505032077</v>
      </c>
      <c r="AJ867">
        <v>76.362149542282197</v>
      </c>
      <c r="AK867">
        <v>3.0462171756715701</v>
      </c>
      <c r="AL867">
        <v>89.277102889324198</v>
      </c>
      <c r="AM867">
        <v>86.227288429950505</v>
      </c>
      <c r="AN867">
        <v>1.00000000039448</v>
      </c>
    </row>
    <row r="868" spans="1:40" x14ac:dyDescent="0.25">
      <c r="A868" t="str">
        <f>"20190312160927367"</f>
        <v>20190312160927367</v>
      </c>
      <c r="B868" t="str">
        <f>"1552378167355842"</f>
        <v>1552378167355842</v>
      </c>
      <c r="C868" t="s">
        <v>40</v>
      </c>
      <c r="D868">
        <v>6.0170079999999997</v>
      </c>
      <c r="E868">
        <v>0.57737369999999899</v>
      </c>
      <c r="F868" t="s">
        <v>47</v>
      </c>
      <c r="G868">
        <v>-148.5513</v>
      </c>
      <c r="H868">
        <v>5.7018139999999997</v>
      </c>
      <c r="I868">
        <v>342.64400000000001</v>
      </c>
      <c r="J868">
        <v>-229.44800000000001</v>
      </c>
      <c r="K868">
        <v>1.108865</v>
      </c>
      <c r="L868">
        <v>367.16050000000001</v>
      </c>
      <c r="M868">
        <v>0.99944599999999995</v>
      </c>
      <c r="N868">
        <v>0</v>
      </c>
      <c r="O868">
        <v>-3.0021260000000001E-2</v>
      </c>
      <c r="P868">
        <v>0.99531139999999996</v>
      </c>
      <c r="Q868">
        <v>-2.0406180000000001E-3</v>
      </c>
      <c r="R868">
        <v>-9.6702339999999998E-2</v>
      </c>
      <c r="S868">
        <v>2.9300989999999998</v>
      </c>
      <c r="T868">
        <v>0.1657177</v>
      </c>
      <c r="U868">
        <v>-0.88497919999999997</v>
      </c>
      <c r="V868">
        <v>6.6816699999999896E-2</v>
      </c>
      <c r="W868">
        <v>1.207543E-2</v>
      </c>
      <c r="X868">
        <v>0.99769220000000003</v>
      </c>
      <c r="Y868">
        <v>0.25992219999999999</v>
      </c>
      <c r="Z868">
        <v>5.5266789999999996E-3</v>
      </c>
      <c r="AA868">
        <v>0.96561370000000002</v>
      </c>
      <c r="AB868">
        <v>31</v>
      </c>
      <c r="AC868">
        <v>80.896699999999896</v>
      </c>
      <c r="AD868">
        <v>4.5929489999999999</v>
      </c>
      <c r="AE868">
        <v>-24.516500000000001</v>
      </c>
      <c r="AF868">
        <v>22.011590757902901</v>
      </c>
      <c r="AG868">
        <v>4.5929489999999999</v>
      </c>
      <c r="AH868">
        <v>81.356133509575599</v>
      </c>
      <c r="AI868">
        <v>86.880723470185899</v>
      </c>
      <c r="AJ868">
        <v>74.860605417337993</v>
      </c>
      <c r="AK868">
        <v>84.406313554365695</v>
      </c>
      <c r="AL868">
        <v>89.3081120143936</v>
      </c>
      <c r="AM868">
        <v>86.168551038904397</v>
      </c>
      <c r="AN868">
        <v>1.0000000066746999</v>
      </c>
    </row>
    <row r="869" spans="1:40" x14ac:dyDescent="0.25">
      <c r="A869" t="str">
        <f>"20190312160927390"</f>
        <v>20190312160927390</v>
      </c>
      <c r="B869" t="str">
        <f>"1552378167386098"</f>
        <v>1552378167386098</v>
      </c>
      <c r="C869" t="s">
        <v>40</v>
      </c>
      <c r="D869">
        <v>5.6094429999999997</v>
      </c>
      <c r="E869">
        <v>0.57785149999999996</v>
      </c>
      <c r="F869" t="s">
        <v>47</v>
      </c>
      <c r="G869">
        <v>-149.96709999999999</v>
      </c>
      <c r="H869">
        <v>5.3441720000000004</v>
      </c>
      <c r="I869">
        <v>342.59370000000001</v>
      </c>
      <c r="J869">
        <v>-229.136</v>
      </c>
      <c r="K869">
        <v>1.108762</v>
      </c>
      <c r="L869">
        <v>367.14920000000001</v>
      </c>
      <c r="M869">
        <v>0.99938740000000004</v>
      </c>
      <c r="N869">
        <v>0</v>
      </c>
      <c r="O869">
        <v>-3.190979E-2</v>
      </c>
      <c r="P869">
        <v>0.99504680000000001</v>
      </c>
      <c r="Q869">
        <v>-2.9114449999999999E-3</v>
      </c>
      <c r="R869">
        <v>-9.936702E-2</v>
      </c>
      <c r="S869">
        <v>2.9265590000000001</v>
      </c>
      <c r="T869">
        <v>0.15594820000000001</v>
      </c>
      <c r="U869">
        <v>-0.90457149999999997</v>
      </c>
      <c r="V869">
        <v>6.7602869999999995E-2</v>
      </c>
      <c r="W869">
        <v>1.1183810000000001E-2</v>
      </c>
      <c r="X869">
        <v>0.99764960000000003</v>
      </c>
      <c r="Y869">
        <v>0.26436530000000003</v>
      </c>
      <c r="Z869">
        <v>5.2199739999999996E-3</v>
      </c>
      <c r="AA869">
        <v>0.9644085</v>
      </c>
      <c r="AB869">
        <v>31</v>
      </c>
      <c r="AC869">
        <v>79.168899999999994</v>
      </c>
      <c r="AD869">
        <v>4.2354099999999999</v>
      </c>
      <c r="AE869">
        <v>-24.555499999999899</v>
      </c>
      <c r="AF869">
        <v>21.9591354641131</v>
      </c>
      <c r="AG869">
        <v>4.2354099999999999</v>
      </c>
      <c r="AH869">
        <v>79.704117223912704</v>
      </c>
      <c r="AI869">
        <v>87.067277916001203</v>
      </c>
      <c r="AJ869">
        <v>74.596683368764204</v>
      </c>
      <c r="AK869">
        <v>82.782175802781296</v>
      </c>
      <c r="AL869">
        <v>89.359201513379205</v>
      </c>
      <c r="AM869">
        <v>86.123441567344997</v>
      </c>
      <c r="AN869">
        <v>0.99999997500925597</v>
      </c>
    </row>
    <row r="870" spans="1:40" x14ac:dyDescent="0.25">
      <c r="A870" t="str">
        <f>"20190312160927412"</f>
        <v>20190312160927412</v>
      </c>
      <c r="B870" t="str">
        <f>"1552378167405621"</f>
        <v>1552378167405621</v>
      </c>
      <c r="C870" t="s">
        <v>40</v>
      </c>
      <c r="D870">
        <v>5.654846</v>
      </c>
      <c r="E870">
        <v>0.58635119999999996</v>
      </c>
      <c r="F870" t="s">
        <v>47</v>
      </c>
      <c r="G870">
        <v>-149.96709999999999</v>
      </c>
      <c r="H870">
        <v>5.3056749999999999</v>
      </c>
      <c r="I870">
        <v>342.33679999999998</v>
      </c>
      <c r="J870">
        <v>-228.8184</v>
      </c>
      <c r="K870">
        <v>1.1086469999999999</v>
      </c>
      <c r="L870">
        <v>367.13690000000003</v>
      </c>
      <c r="M870">
        <v>0.99932010000000004</v>
      </c>
      <c r="N870">
        <v>0</v>
      </c>
      <c r="O870">
        <v>-3.3953589999999999E-2</v>
      </c>
      <c r="P870">
        <v>0.99481929999999996</v>
      </c>
      <c r="Q870">
        <v>-3.0212250000000002E-3</v>
      </c>
      <c r="R870">
        <v>-0.1016157</v>
      </c>
      <c r="S870">
        <v>2.9239039999999998</v>
      </c>
      <c r="T870">
        <v>0.15500249999999999</v>
      </c>
      <c r="U870">
        <v>-0.91638180000000002</v>
      </c>
      <c r="V870">
        <v>6.7819809999999994E-2</v>
      </c>
      <c r="W870">
        <v>1.1055550000000001E-2</v>
      </c>
      <c r="X870">
        <v>0.99763630000000003</v>
      </c>
      <c r="Y870">
        <v>0.26619470000000001</v>
      </c>
      <c r="Z870">
        <v>5.1317259999999996E-3</v>
      </c>
      <c r="AA870">
        <v>0.96390560000000003</v>
      </c>
      <c r="AB870">
        <v>31</v>
      </c>
      <c r="AC870">
        <v>78.851299999999995</v>
      </c>
      <c r="AD870">
        <v>4.1970280000000004</v>
      </c>
      <c r="AE870">
        <v>-24.8001</v>
      </c>
      <c r="AF870">
        <v>22.0513857577794</v>
      </c>
      <c r="AG870">
        <v>4.1970280000000004</v>
      </c>
      <c r="AH870">
        <v>79.443152901494003</v>
      </c>
      <c r="AI870">
        <v>87.085823414836995</v>
      </c>
      <c r="AJ870">
        <v>74.4867073669174</v>
      </c>
      <c r="AK870">
        <v>82.553577758939895</v>
      </c>
      <c r="AL870">
        <v>89.366550721093105</v>
      </c>
      <c r="AM870">
        <v>86.110987979443607</v>
      </c>
      <c r="AN870">
        <v>0.99999996944596303</v>
      </c>
    </row>
    <row r="871" spans="1:40" x14ac:dyDescent="0.25">
      <c r="A871" t="str">
        <f>"20190312160927434"</f>
        <v>20190312160927434</v>
      </c>
      <c r="B871" t="str">
        <f>"1552378167426114"</f>
        <v>1552378167426114</v>
      </c>
      <c r="C871" t="s">
        <v>40</v>
      </c>
      <c r="D871">
        <v>5.8701280000000002</v>
      </c>
      <c r="E871">
        <v>0.58709040000000001</v>
      </c>
      <c r="F871" t="s">
        <v>47</v>
      </c>
      <c r="G871">
        <v>-156.46700000000001</v>
      </c>
      <c r="H871">
        <v>4.4840430000000001E-2</v>
      </c>
      <c r="I871">
        <v>342.56439999999998</v>
      </c>
      <c r="J871">
        <v>-228.51390000000001</v>
      </c>
      <c r="K871">
        <v>1.1085430000000001</v>
      </c>
      <c r="L871">
        <v>367.12439999999998</v>
      </c>
      <c r="M871">
        <v>0.99924679999999999</v>
      </c>
      <c r="N871">
        <v>0</v>
      </c>
      <c r="O871">
        <v>-3.6043730000000003E-2</v>
      </c>
      <c r="P871">
        <v>0.99457450000000003</v>
      </c>
      <c r="Q871">
        <v>-2.798563E-3</v>
      </c>
      <c r="R871">
        <v>-0.1039889</v>
      </c>
      <c r="S871">
        <v>2.9143979999999998</v>
      </c>
      <c r="T871">
        <v>-4.2851090000000001E-2</v>
      </c>
      <c r="U871">
        <v>-0.98980710000000005</v>
      </c>
      <c r="V871">
        <v>6.8116960000000004E-2</v>
      </c>
      <c r="W871">
        <v>1.125962E-2</v>
      </c>
      <c r="X871">
        <v>0.9976138</v>
      </c>
      <c r="Y871">
        <v>0.28721989999999997</v>
      </c>
      <c r="Z871">
        <v>-1.53913799999999E-3</v>
      </c>
      <c r="AA871">
        <v>0.95786349999999998</v>
      </c>
      <c r="AB871">
        <v>31</v>
      </c>
      <c r="AC871">
        <v>72.046899999999994</v>
      </c>
      <c r="AD871">
        <v>-1.06370257</v>
      </c>
      <c r="AE871">
        <v>-24.56</v>
      </c>
      <c r="AF871">
        <v>21.942645496121902</v>
      </c>
      <c r="AG871">
        <v>-1.06370257</v>
      </c>
      <c r="AH871">
        <v>72.871170188371593</v>
      </c>
      <c r="AI871">
        <v>90.800777782860607</v>
      </c>
      <c r="AJ871">
        <v>73.242132804517198</v>
      </c>
      <c r="AK871">
        <v>76.110568248755897</v>
      </c>
      <c r="AL871">
        <v>89.354857660651504</v>
      </c>
      <c r="AM871">
        <v>86.0939132246708</v>
      </c>
      <c r="AN871">
        <v>0.999999996616313</v>
      </c>
    </row>
    <row r="872" spans="1:40" x14ac:dyDescent="0.25">
      <c r="A872" t="str">
        <f>"20190312160927457"</f>
        <v>20190312160927457</v>
      </c>
      <c r="B872" t="str">
        <f>"1552378167445634"</f>
        <v>1552378167445634</v>
      </c>
      <c r="C872" t="s">
        <v>40</v>
      </c>
      <c r="D872">
        <v>6.053229</v>
      </c>
      <c r="E872">
        <v>0.58902909999999997</v>
      </c>
      <c r="F872" t="s">
        <v>47</v>
      </c>
      <c r="G872">
        <v>-156.46729999999999</v>
      </c>
      <c r="H872">
        <v>1.0536639999999999</v>
      </c>
      <c r="I872">
        <v>342.31040000000002</v>
      </c>
      <c r="J872">
        <v>-228.20609999999999</v>
      </c>
      <c r="K872">
        <v>1.108439</v>
      </c>
      <c r="L872">
        <v>367.11099999999999</v>
      </c>
      <c r="M872">
        <v>0.99916300000000002</v>
      </c>
      <c r="N872">
        <v>0</v>
      </c>
      <c r="O872">
        <v>-3.8297240000000003E-2</v>
      </c>
      <c r="P872">
        <v>0.9942744</v>
      </c>
      <c r="Q872">
        <v>-2.3711740000000002E-3</v>
      </c>
      <c r="R872">
        <v>-0.1068308</v>
      </c>
      <c r="S872">
        <v>2.91153</v>
      </c>
      <c r="T872">
        <v>-2.217531E-3</v>
      </c>
      <c r="U872">
        <v>-1.002777</v>
      </c>
      <c r="V872">
        <v>6.8722839999999993E-2</v>
      </c>
      <c r="W872">
        <v>1.166586E-2</v>
      </c>
      <c r="X872">
        <v>0.9975676</v>
      </c>
      <c r="Y872">
        <v>0.28919040000000001</v>
      </c>
      <c r="Z872" s="1">
        <v>-7.8739829999999997E-5</v>
      </c>
      <c r="AA872">
        <v>0.9572716</v>
      </c>
      <c r="AB872">
        <v>31</v>
      </c>
      <c r="AC872">
        <v>71.738799999999998</v>
      </c>
      <c r="AD872">
        <v>-5.4774999999999997E-2</v>
      </c>
      <c r="AE872">
        <v>-24.8005999999999</v>
      </c>
      <c r="AF872">
        <v>22.0347089161776</v>
      </c>
      <c r="AG872">
        <v>-5.4774999999999997E-2</v>
      </c>
      <c r="AH872">
        <v>72.636015778556796</v>
      </c>
      <c r="AI872">
        <v>90.041346279589305</v>
      </c>
      <c r="AJ872">
        <v>73.124411715988799</v>
      </c>
      <c r="AK872">
        <v>75.904691459118993</v>
      </c>
      <c r="AL872">
        <v>89.331580308462705</v>
      </c>
      <c r="AM872">
        <v>86.059096805454701</v>
      </c>
      <c r="AN872">
        <v>1.0000000187984801</v>
      </c>
    </row>
    <row r="873" spans="1:40" x14ac:dyDescent="0.25">
      <c r="A873" t="str">
        <f>"20190312160927479"</f>
        <v>20190312160927479</v>
      </c>
      <c r="B873" t="str">
        <f>"1552378167475889"</f>
        <v>1552378167475889</v>
      </c>
      <c r="C873" t="s">
        <v>40</v>
      </c>
      <c r="D873">
        <v>5.8128339999999996</v>
      </c>
      <c r="E873">
        <v>0.58862349999999997</v>
      </c>
      <c r="F873" t="s">
        <v>47</v>
      </c>
      <c r="G873">
        <v>-157.64439999999999</v>
      </c>
      <c r="H873">
        <v>1.818695</v>
      </c>
      <c r="I873">
        <v>342.19</v>
      </c>
      <c r="J873">
        <v>-227.89230000000001</v>
      </c>
      <c r="K873">
        <v>1.1083160000000001</v>
      </c>
      <c r="L873">
        <v>367.09640000000002</v>
      </c>
      <c r="M873">
        <v>0.99906629999999996</v>
      </c>
      <c r="N873">
        <v>0</v>
      </c>
      <c r="O873">
        <v>-4.0746150000000002E-2</v>
      </c>
      <c r="P873">
        <v>0.99397769999999996</v>
      </c>
      <c r="Q873">
        <v>-2.9072299999999998E-3</v>
      </c>
      <c r="R873">
        <v>-0.109546699999999</v>
      </c>
      <c r="S873">
        <v>2.9070279999999999</v>
      </c>
      <c r="T873">
        <v>2.9261590000000001E-2</v>
      </c>
      <c r="U873">
        <v>-1.0267029999999999</v>
      </c>
      <c r="V873">
        <v>6.9003780000000001E-2</v>
      </c>
      <c r="W873">
        <v>1.1109900000000001E-2</v>
      </c>
      <c r="X873">
        <v>0.99755450000000001</v>
      </c>
      <c r="Y873">
        <v>0.294307599999999</v>
      </c>
      <c r="Z873">
        <v>1.0403229999999999E-3</v>
      </c>
      <c r="AA873">
        <v>0.95571019999999896</v>
      </c>
      <c r="AB873">
        <v>31</v>
      </c>
      <c r="AC873">
        <v>70.247900000000001</v>
      </c>
      <c r="AD873">
        <v>0.71037899999999998</v>
      </c>
      <c r="AE873">
        <v>-24.906400000000001</v>
      </c>
      <c r="AF873">
        <v>22.0210845476015</v>
      </c>
      <c r="AG873">
        <v>0.71037899999999998</v>
      </c>
      <c r="AH873">
        <v>71.198026037110907</v>
      </c>
      <c r="AI873">
        <v>89.453873498067296</v>
      </c>
      <c r="AJ873">
        <v>72.813503192210604</v>
      </c>
      <c r="AK873">
        <v>74.529133327561098</v>
      </c>
      <c r="AL873">
        <v>89.363436501927595</v>
      </c>
      <c r="AM873">
        <v>86.042985610024203</v>
      </c>
      <c r="AN873">
        <v>0.99999996600127306</v>
      </c>
    </row>
    <row r="874" spans="1:40" x14ac:dyDescent="0.25">
      <c r="A874" t="str">
        <f>"20190312160927502"</f>
        <v>20190312160927502</v>
      </c>
      <c r="B874" t="str">
        <f>"1552378167496386"</f>
        <v>1552378167496386</v>
      </c>
      <c r="C874" t="s">
        <v>40</v>
      </c>
      <c r="D874">
        <v>5.8687379999999996</v>
      </c>
      <c r="E874">
        <v>0.58714549999999999</v>
      </c>
      <c r="F874" t="s">
        <v>47</v>
      </c>
      <c r="G874">
        <v>-157.7517</v>
      </c>
      <c r="H874">
        <v>1.7430030000000001</v>
      </c>
      <c r="I874">
        <v>342.19</v>
      </c>
      <c r="J874">
        <v>-227.57589999999999</v>
      </c>
      <c r="K874">
        <v>1.108187</v>
      </c>
      <c r="L874">
        <v>367.08080000000001</v>
      </c>
      <c r="M874">
        <v>0.99895560000000005</v>
      </c>
      <c r="N874">
        <v>0</v>
      </c>
      <c r="O874">
        <v>-4.3371590000000002E-2</v>
      </c>
      <c r="P874">
        <v>0.99362569999999995</v>
      </c>
      <c r="Q874">
        <v>-3.168723E-3</v>
      </c>
      <c r="R874">
        <v>-0.1126848</v>
      </c>
      <c r="S874">
        <v>2.9046020000000001</v>
      </c>
      <c r="T874">
        <v>2.6283379999999999E-2</v>
      </c>
      <c r="U874">
        <v>-1.0314030000000001</v>
      </c>
      <c r="V874">
        <v>6.9534529999999997E-2</v>
      </c>
      <c r="W874">
        <v>1.0826199999999999E-2</v>
      </c>
      <c r="X874">
        <v>0.99752079999999999</v>
      </c>
      <c r="Y874">
        <v>0.29342269999999998</v>
      </c>
      <c r="Z874">
        <v>9.0809739999999999E-4</v>
      </c>
      <c r="AA874">
        <v>0.95598240000000001</v>
      </c>
      <c r="AB874">
        <v>31</v>
      </c>
      <c r="AC874">
        <v>69.824199999999905</v>
      </c>
      <c r="AD874">
        <v>0.63481599999999905</v>
      </c>
      <c r="AE874">
        <v>-24.890799999999999</v>
      </c>
      <c r="AF874">
        <v>21.837072190981001</v>
      </c>
      <c r="AG874">
        <v>0.63481599999999905</v>
      </c>
      <c r="AH874">
        <v>70.832952884610805</v>
      </c>
      <c r="AI874">
        <v>89.509307938231004</v>
      </c>
      <c r="AJ874">
        <v>72.866006720118804</v>
      </c>
      <c r="AK874">
        <v>74.125352799035397</v>
      </c>
      <c r="AL874">
        <v>89.379692315283293</v>
      </c>
      <c r="AM874">
        <v>86.012513336096205</v>
      </c>
      <c r="AN874">
        <v>1.0000000019507</v>
      </c>
    </row>
    <row r="875" spans="1:40" x14ac:dyDescent="0.25">
      <c r="A875" t="str">
        <f>"20190312160927524"</f>
        <v>20190312160927524</v>
      </c>
      <c r="B875" t="str">
        <f>"1552378167515905"</f>
        <v>1552378167515905</v>
      </c>
      <c r="C875" t="s">
        <v>40</v>
      </c>
      <c r="D875">
        <v>5.8097310000000002</v>
      </c>
      <c r="E875">
        <v>0.58797509999999997</v>
      </c>
      <c r="F875" t="s">
        <v>47</v>
      </c>
      <c r="G875">
        <v>-157.34379999999999</v>
      </c>
      <c r="H875">
        <v>1.572573</v>
      </c>
      <c r="I875">
        <v>342.19</v>
      </c>
      <c r="J875">
        <v>-227.2739</v>
      </c>
      <c r="K875">
        <v>1.10807099999999</v>
      </c>
      <c r="L875">
        <v>367.06490000000002</v>
      </c>
      <c r="M875">
        <v>0.99883670000000002</v>
      </c>
      <c r="N875">
        <v>0</v>
      </c>
      <c r="O875">
        <v>-4.602871E-2</v>
      </c>
      <c r="P875">
        <v>0.99329409999999896</v>
      </c>
      <c r="Q875">
        <v>-3.0697150000000002E-3</v>
      </c>
      <c r="R875">
        <v>-0.1155764</v>
      </c>
      <c r="S875">
        <v>2.9026339999999999</v>
      </c>
      <c r="T875">
        <v>1.919293E-2</v>
      </c>
      <c r="U875">
        <v>-1.0287170000000001</v>
      </c>
      <c r="V875">
        <v>6.9788020000000006E-2</v>
      </c>
      <c r="W875">
        <v>1.09044E-2</v>
      </c>
      <c r="X875">
        <v>0.99750229999999995</v>
      </c>
      <c r="Y875">
        <v>0.29030139999999999</v>
      </c>
      <c r="Z875">
        <v>6.3666120000000002E-4</v>
      </c>
      <c r="AA875">
        <v>0.95693499999999998</v>
      </c>
      <c r="AB875">
        <v>31</v>
      </c>
      <c r="AC875">
        <v>69.930099999999996</v>
      </c>
      <c r="AD875">
        <v>0.46450200000000003</v>
      </c>
      <c r="AE875">
        <v>-24.8749</v>
      </c>
      <c r="AF875">
        <v>21.628558124304</v>
      </c>
      <c r="AG875">
        <v>0.46450200000000003</v>
      </c>
      <c r="AH875">
        <v>70.9982641380589</v>
      </c>
      <c r="AI875">
        <v>89.641420068417403</v>
      </c>
      <c r="AJ875">
        <v>73.057427740096898</v>
      </c>
      <c r="AK875">
        <v>74.2210468752764</v>
      </c>
      <c r="AL875">
        <v>89.375211554662599</v>
      </c>
      <c r="AM875">
        <v>85.997950013365596</v>
      </c>
      <c r="AN875">
        <v>1.0000000560900799</v>
      </c>
    </row>
    <row r="876" spans="1:40" x14ac:dyDescent="0.25">
      <c r="A876" t="str">
        <f>"20190312160927546"</f>
        <v>20190312160927546</v>
      </c>
      <c r="B876" t="str">
        <f>"1552378167536402"</f>
        <v>1552378167536402</v>
      </c>
      <c r="C876" t="s">
        <v>40</v>
      </c>
      <c r="D876">
        <v>6.063364</v>
      </c>
      <c r="E876">
        <v>0.58844079999999999</v>
      </c>
      <c r="F876" t="s">
        <v>47</v>
      </c>
      <c r="G876">
        <v>-158.1808</v>
      </c>
      <c r="H876">
        <v>1.8872070000000001</v>
      </c>
      <c r="I876">
        <v>342.19</v>
      </c>
      <c r="J876">
        <v>-226.9708</v>
      </c>
      <c r="K876">
        <v>1.107953</v>
      </c>
      <c r="L876">
        <v>367.048</v>
      </c>
      <c r="M876">
        <v>0.99870289999999995</v>
      </c>
      <c r="N876">
        <v>0</v>
      </c>
      <c r="O876">
        <v>-4.8844560000000002E-2</v>
      </c>
      <c r="P876">
        <v>0.99284790000000001</v>
      </c>
      <c r="Q876">
        <v>-3.4094220000000001E-3</v>
      </c>
      <c r="R876">
        <v>-0.11933879999999999</v>
      </c>
      <c r="S876">
        <v>2.8989259999999999</v>
      </c>
      <c r="T876">
        <v>3.2690289999999997E-2</v>
      </c>
      <c r="U876">
        <v>-1.043671</v>
      </c>
      <c r="V876">
        <v>7.0756280000000005E-2</v>
      </c>
      <c r="W876">
        <v>1.0540590000000001E-2</v>
      </c>
      <c r="X876">
        <v>0.99743800000000005</v>
      </c>
      <c r="Y876">
        <v>0.29235630000000001</v>
      </c>
      <c r="Z876">
        <v>1.0653749999999999E-3</v>
      </c>
      <c r="AA876">
        <v>0.95630890000000002</v>
      </c>
      <c r="AB876">
        <v>31</v>
      </c>
      <c r="AC876">
        <v>68.789999999999907</v>
      </c>
      <c r="AD876">
        <v>0.779254</v>
      </c>
      <c r="AE876">
        <v>-24.858000000000001</v>
      </c>
      <c r="AF876">
        <v>21.465522127090999</v>
      </c>
      <c r="AG876">
        <v>0.779254</v>
      </c>
      <c r="AH876">
        <v>69.914242876225103</v>
      </c>
      <c r="AI876">
        <v>89.389538503529096</v>
      </c>
      <c r="AJ876">
        <v>72.932128605527595</v>
      </c>
      <c r="AK876">
        <v>73.139436926605796</v>
      </c>
      <c r="AL876">
        <v>89.396057531609898</v>
      </c>
      <c r="AM876">
        <v>85.942347863158105</v>
      </c>
      <c r="AN876">
        <v>1.0000000595204901</v>
      </c>
    </row>
    <row r="877" spans="1:40" x14ac:dyDescent="0.25">
      <c r="A877" t="str">
        <f>"20190312160927568"</f>
        <v>20190312160927568</v>
      </c>
      <c r="B877" t="str">
        <f>"1552378167555922"</f>
        <v>1552378167555922</v>
      </c>
      <c r="C877" t="s">
        <v>40</v>
      </c>
      <c r="D877">
        <v>5.921773</v>
      </c>
      <c r="E877">
        <v>0.58807159999999903</v>
      </c>
      <c r="F877" t="s">
        <v>47</v>
      </c>
      <c r="G877">
        <v>-160.22649999999999</v>
      </c>
      <c r="H877">
        <v>1.6806460000000001</v>
      </c>
      <c r="I877">
        <v>342.64389999999997</v>
      </c>
      <c r="J877">
        <v>-226.66300000000001</v>
      </c>
      <c r="K877">
        <v>1.1078520000000001</v>
      </c>
      <c r="L877">
        <v>367.02980000000002</v>
      </c>
      <c r="M877">
        <v>0.99855289999999997</v>
      </c>
      <c r="N877">
        <v>0</v>
      </c>
      <c r="O877">
        <v>-5.1819440000000001E-2</v>
      </c>
      <c r="P877">
        <v>0.99229599999999996</v>
      </c>
      <c r="Q877">
        <v>-3.4509160000000001E-3</v>
      </c>
      <c r="R877">
        <v>-0.1238427</v>
      </c>
      <c r="S877">
        <v>2.8944700000000001</v>
      </c>
      <c r="T877">
        <v>2.4835940000000001E-2</v>
      </c>
      <c r="U877">
        <v>-1.058319</v>
      </c>
      <c r="V877">
        <v>7.2313000000000002E-2</v>
      </c>
      <c r="W877">
        <v>1.0473359999999999E-2</v>
      </c>
      <c r="X877">
        <v>0.99732699999999996</v>
      </c>
      <c r="Y877">
        <v>0.29425770000000001</v>
      </c>
      <c r="Z877">
        <v>7.9322569999999996E-4</v>
      </c>
      <c r="AA877">
        <v>0.95572579999999996</v>
      </c>
      <c r="AB877">
        <v>31</v>
      </c>
      <c r="AC877">
        <v>66.436499999999995</v>
      </c>
      <c r="AD877">
        <v>0.57279399999999903</v>
      </c>
      <c r="AE877">
        <v>-24.385899999999999</v>
      </c>
      <c r="AF877">
        <v>20.908702014195899</v>
      </c>
      <c r="AG877">
        <v>0.57279399999999903</v>
      </c>
      <c r="AH877">
        <v>67.606587768357898</v>
      </c>
      <c r="AI877">
        <v>89.536246653239502</v>
      </c>
      <c r="AJ877">
        <v>72.814720778534493</v>
      </c>
      <c r="AK877">
        <v>70.768302385782604</v>
      </c>
      <c r="AL877">
        <v>89.399909705410707</v>
      </c>
      <c r="AM877">
        <v>85.852922989965293</v>
      </c>
      <c r="AN877">
        <v>1.0000000030838401</v>
      </c>
    </row>
    <row r="878" spans="1:40" x14ac:dyDescent="0.25">
      <c r="A878" t="str">
        <f>"20190312160927592"</f>
        <v>20190312160927592</v>
      </c>
      <c r="B878" t="str">
        <f>"1552378167586182"</f>
        <v>1552378167586182</v>
      </c>
      <c r="C878" t="s">
        <v>40</v>
      </c>
      <c r="D878">
        <v>5.7210960000000002</v>
      </c>
      <c r="E878">
        <v>0.58810169999999995</v>
      </c>
      <c r="F878" t="s">
        <v>47</v>
      </c>
      <c r="G878">
        <v>-160.70750000000001</v>
      </c>
      <c r="H878">
        <v>1.607685</v>
      </c>
      <c r="I878">
        <v>342.64389999999997</v>
      </c>
      <c r="J878">
        <v>-226.3459</v>
      </c>
      <c r="K878">
        <v>1.107774</v>
      </c>
      <c r="L878">
        <v>367.01</v>
      </c>
      <c r="M878">
        <v>0.99838320000000003</v>
      </c>
      <c r="N878">
        <v>0</v>
      </c>
      <c r="O878">
        <v>-5.4991989999999998E-2</v>
      </c>
      <c r="P878">
        <v>0.99185480000000004</v>
      </c>
      <c r="Q878">
        <v>-2.8862760000000001E-3</v>
      </c>
      <c r="R878">
        <v>-0.1273417</v>
      </c>
      <c r="S878">
        <v>2.8900450000000002</v>
      </c>
      <c r="T878">
        <v>2.190197E-2</v>
      </c>
      <c r="U878">
        <v>-1.0685420000000001</v>
      </c>
      <c r="V878">
        <v>7.2667259999999997E-2</v>
      </c>
      <c r="W878">
        <v>1.1021690000000001E-2</v>
      </c>
      <c r="X878">
        <v>0.9972953</v>
      </c>
      <c r="Y878">
        <v>0.2946723</v>
      </c>
      <c r="Z878">
        <v>6.7850279999999896E-4</v>
      </c>
      <c r="AA878">
        <v>0.95559810000000001</v>
      </c>
      <c r="AB878">
        <v>31</v>
      </c>
      <c r="AC878">
        <v>65.638399999999905</v>
      </c>
      <c r="AD878">
        <v>0.49991099999999999</v>
      </c>
      <c r="AE878">
        <v>-24.366099999999999</v>
      </c>
      <c r="AF878">
        <v>20.718205608662402</v>
      </c>
      <c r="AG878">
        <v>0.49991099999999999</v>
      </c>
      <c r="AH878">
        <v>66.875724716300297</v>
      </c>
      <c r="AI878">
        <v>89.590891296742399</v>
      </c>
      <c r="AJ878">
        <v>72.786935946272607</v>
      </c>
      <c r="AK878">
        <v>70.013259536898602</v>
      </c>
      <c r="AL878">
        <v>89.368490869667198</v>
      </c>
      <c r="AM878">
        <v>85.832545945812001</v>
      </c>
      <c r="AN878">
        <v>0.99999996186422602</v>
      </c>
    </row>
    <row r="879" spans="1:40" x14ac:dyDescent="0.25">
      <c r="A879" t="str">
        <f>"20190312160927613"</f>
        <v>20190312160927613</v>
      </c>
      <c r="B879" t="str">
        <f>"1552378167605698"</f>
        <v>1552378167605698</v>
      </c>
      <c r="C879" t="s">
        <v>40</v>
      </c>
      <c r="D879">
        <v>4.5832899999999999</v>
      </c>
      <c r="E879">
        <v>0.58566249999999997</v>
      </c>
      <c r="F879" t="s">
        <v>47</v>
      </c>
      <c r="G879">
        <v>-161.16309999999999</v>
      </c>
      <c r="H879">
        <v>1.6795099999999901</v>
      </c>
      <c r="I879">
        <v>342.64389999999997</v>
      </c>
      <c r="J879">
        <v>-226.03440000000001</v>
      </c>
      <c r="K879">
        <v>1.107696</v>
      </c>
      <c r="L879">
        <v>366.98939999999999</v>
      </c>
      <c r="M879">
        <v>0.99820089999999995</v>
      </c>
      <c r="N879">
        <v>0</v>
      </c>
      <c r="O879">
        <v>-5.8206540000000001E-2</v>
      </c>
      <c r="P879">
        <v>0.99149690000000001</v>
      </c>
      <c r="Q879">
        <v>-2.4154390000000001E-3</v>
      </c>
      <c r="R879">
        <v>-0.1301069</v>
      </c>
      <c r="S879">
        <v>2.8861849999999998</v>
      </c>
      <c r="T879">
        <v>2.531576E-2</v>
      </c>
      <c r="U879">
        <v>-1.0788879999999901</v>
      </c>
      <c r="V879">
        <v>7.2241840000000002E-2</v>
      </c>
      <c r="W879">
        <v>1.148324E-2</v>
      </c>
      <c r="X879">
        <v>0.99732100000000001</v>
      </c>
      <c r="Y879">
        <v>0.2950178</v>
      </c>
      <c r="Z879">
        <v>7.5913719999999997E-4</v>
      </c>
      <c r="AA879">
        <v>0.95549139999999999</v>
      </c>
      <c r="AB879">
        <v>31</v>
      </c>
      <c r="AC879">
        <v>64.871300000000005</v>
      </c>
      <c r="AD879">
        <v>0.57181399999999905</v>
      </c>
      <c r="AE879">
        <v>-24.345500000000001</v>
      </c>
      <c r="AF879">
        <v>20.526492492248401</v>
      </c>
      <c r="AG879">
        <v>0.57181399999999905</v>
      </c>
      <c r="AH879">
        <v>66.173999155283894</v>
      </c>
      <c r="AI879">
        <v>89.527140868212896</v>
      </c>
      <c r="AJ879">
        <v>72.7666486245584</v>
      </c>
      <c r="AK879">
        <v>69.286809924317097</v>
      </c>
      <c r="AL879">
        <v>89.342044327545906</v>
      </c>
      <c r="AM879">
        <v>85.856964888302699</v>
      </c>
      <c r="AN879">
        <v>0.99999996264423996</v>
      </c>
    </row>
    <row r="880" spans="1:40" x14ac:dyDescent="0.25">
      <c r="A880" t="str">
        <f>"20190312160927634"</f>
        <v>20190312160927634</v>
      </c>
      <c r="B880" t="str">
        <f>"1552378167626194"</f>
        <v>1552378167626194</v>
      </c>
      <c r="C880" t="s">
        <v>40</v>
      </c>
      <c r="D880">
        <v>5.4598240000000002</v>
      </c>
      <c r="E880">
        <v>0.58299679999999998</v>
      </c>
      <c r="F880" t="s">
        <v>47</v>
      </c>
      <c r="G880">
        <v>-160.2234</v>
      </c>
      <c r="H880">
        <v>1.9160140000000001</v>
      </c>
      <c r="I880">
        <v>342.64389999999997</v>
      </c>
      <c r="J880">
        <v>-225.74109999999999</v>
      </c>
      <c r="K880">
        <v>1.107634</v>
      </c>
      <c r="L880">
        <v>366.96910000000003</v>
      </c>
      <c r="M880">
        <v>0.99801530000000005</v>
      </c>
      <c r="N880">
        <v>0</v>
      </c>
      <c r="O880">
        <v>-6.1307319999999998E-2</v>
      </c>
      <c r="P880">
        <v>0.99098560000000002</v>
      </c>
      <c r="Q880">
        <v>-2.8044770000000001E-3</v>
      </c>
      <c r="R880">
        <v>-0.1339379</v>
      </c>
      <c r="S880">
        <v>2.8856959999999998</v>
      </c>
      <c r="T880">
        <v>3.5443540000000003E-2</v>
      </c>
      <c r="U880">
        <v>-1.0675049999999999</v>
      </c>
      <c r="V880">
        <v>7.2997290000000006E-2</v>
      </c>
      <c r="W880">
        <v>1.1078910000000001E-2</v>
      </c>
      <c r="X880">
        <v>0.99727060000000001</v>
      </c>
      <c r="Y880">
        <v>0.28877799999999998</v>
      </c>
      <c r="Z880">
        <v>9.8996419999999993E-4</v>
      </c>
      <c r="AA880">
        <v>0.95739560000000001</v>
      </c>
      <c r="AB880">
        <v>31</v>
      </c>
      <c r="AC880">
        <v>65.517699999999905</v>
      </c>
      <c r="AD880">
        <v>0.80837999999999899</v>
      </c>
      <c r="AE880">
        <v>-24.325199999999999</v>
      </c>
      <c r="AF880">
        <v>20.259592579369599</v>
      </c>
      <c r="AG880">
        <v>0.80837999999999899</v>
      </c>
      <c r="AH880">
        <v>66.876951056719506</v>
      </c>
      <c r="AI880">
        <v>89.337209231509405</v>
      </c>
      <c r="AJ880">
        <v>73.146427262625494</v>
      </c>
      <c r="AK880">
        <v>69.882981850728896</v>
      </c>
      <c r="AL880">
        <v>89.365212227863196</v>
      </c>
      <c r="AM880">
        <v>85.813582607911798</v>
      </c>
      <c r="AN880">
        <v>0.999999998109246</v>
      </c>
    </row>
    <row r="881" spans="1:40" x14ac:dyDescent="0.25">
      <c r="A881" t="str">
        <f>"20190312160927658"</f>
        <v>20190312160927658</v>
      </c>
      <c r="B881" t="str">
        <f>"1552378167645714"</f>
        <v>1552378167645714</v>
      </c>
      <c r="C881" t="s">
        <v>40</v>
      </c>
      <c r="D881">
        <v>5.3671730000000002</v>
      </c>
      <c r="E881">
        <v>0.58221999999999996</v>
      </c>
      <c r="F881" t="s">
        <v>47</v>
      </c>
      <c r="G881">
        <v>-158.18729999999999</v>
      </c>
      <c r="H881">
        <v>2.00908</v>
      </c>
      <c r="I881">
        <v>342.19</v>
      </c>
      <c r="J881">
        <v>-225.43109999999999</v>
      </c>
      <c r="K881">
        <v>1.1075759999999999</v>
      </c>
      <c r="L881">
        <v>366.94659999999999</v>
      </c>
      <c r="M881">
        <v>0.99780460000000004</v>
      </c>
      <c r="N881">
        <v>0</v>
      </c>
      <c r="O881">
        <v>-6.4644519999999997E-2</v>
      </c>
      <c r="P881">
        <v>0.99045919999999998</v>
      </c>
      <c r="Q881">
        <v>-3.4647229999999998E-3</v>
      </c>
      <c r="R881">
        <v>-0.13776340000000001</v>
      </c>
      <c r="S881">
        <v>2.8843990000000002</v>
      </c>
      <c r="T881">
        <v>3.849006E-2</v>
      </c>
      <c r="U881">
        <v>-1.058014</v>
      </c>
      <c r="V881">
        <v>7.3510300000000001E-2</v>
      </c>
      <c r="W881">
        <v>1.040518E-2</v>
      </c>
      <c r="X881">
        <v>0.99724020000000002</v>
      </c>
      <c r="Y881">
        <v>0.2829354</v>
      </c>
      <c r="Z881">
        <v>9.9549929999999897E-4</v>
      </c>
      <c r="AA881">
        <v>0.9591385</v>
      </c>
      <c r="AB881">
        <v>31</v>
      </c>
      <c r="AC881">
        <v>67.243799999999993</v>
      </c>
      <c r="AD881">
        <v>0.90150399999999997</v>
      </c>
      <c r="AE881">
        <v>-24.756599999999899</v>
      </c>
      <c r="AF881">
        <v>20.354192292161201</v>
      </c>
      <c r="AG881">
        <v>0.90150399999999997</v>
      </c>
      <c r="AH881">
        <v>68.692792234966205</v>
      </c>
      <c r="AI881">
        <v>89.279088353483402</v>
      </c>
      <c r="AJ881">
        <v>73.495046388443001</v>
      </c>
      <c r="AK881">
        <v>71.650579609410897</v>
      </c>
      <c r="AL881">
        <v>89.403816357133294</v>
      </c>
      <c r="AM881">
        <v>85.784138978559298</v>
      </c>
      <c r="AN881">
        <v>1.0000000242364799</v>
      </c>
    </row>
    <row r="882" spans="1:40" x14ac:dyDescent="0.25">
      <c r="A882" t="str">
        <f>"20190312160927680"</f>
        <v>20190312160927680</v>
      </c>
      <c r="B882" t="str">
        <f>"1552378167675970"</f>
        <v>1552378167675970</v>
      </c>
      <c r="C882" t="s">
        <v>40</v>
      </c>
      <c r="D882">
        <v>5.3243309999999999</v>
      </c>
      <c r="E882">
        <v>0.58175100000000002</v>
      </c>
      <c r="F882" t="s">
        <v>47</v>
      </c>
      <c r="G882">
        <v>-158.32839999999999</v>
      </c>
      <c r="H882">
        <v>1.74186199999999</v>
      </c>
      <c r="I882">
        <v>342.19</v>
      </c>
      <c r="J882">
        <v>-225.12540000000001</v>
      </c>
      <c r="K882">
        <v>1.107518</v>
      </c>
      <c r="L882">
        <v>366.92329999999998</v>
      </c>
      <c r="M882">
        <v>0.997583</v>
      </c>
      <c r="N882">
        <v>0</v>
      </c>
      <c r="O882">
        <v>-6.7979869999999998E-2</v>
      </c>
      <c r="P882">
        <v>0.98999910000000002</v>
      </c>
      <c r="Q882">
        <v>-3.4240920000000001E-3</v>
      </c>
      <c r="R882">
        <v>-0.14103379999999999</v>
      </c>
      <c r="S882">
        <v>2.8811490000000002</v>
      </c>
      <c r="T882">
        <v>2.72342E-2</v>
      </c>
      <c r="U882">
        <v>-1.0629580000000001</v>
      </c>
      <c r="V882">
        <v>7.3471350000000005E-2</v>
      </c>
      <c r="W882">
        <v>1.043855E-2</v>
      </c>
      <c r="X882">
        <v>0.99724270000000004</v>
      </c>
      <c r="Y882">
        <v>0.28153650000000002</v>
      </c>
      <c r="Z882">
        <v>6.6825169999999896E-4</v>
      </c>
      <c r="AA882">
        <v>0.95955029999999997</v>
      </c>
      <c r="AB882">
        <v>31</v>
      </c>
      <c r="AC882">
        <v>66.796999999999997</v>
      </c>
      <c r="AD882">
        <v>0.63434399999999902</v>
      </c>
      <c r="AE882">
        <v>-24.7332999999999</v>
      </c>
      <c r="AF882">
        <v>20.133154450362301</v>
      </c>
      <c r="AG882">
        <v>0.63434399999999902</v>
      </c>
      <c r="AH882">
        <v>68.318568053494303</v>
      </c>
      <c r="AI882">
        <v>89.489714330354204</v>
      </c>
      <c r="AJ882">
        <v>73.580007456445301</v>
      </c>
      <c r="AK882">
        <v>71.226210353439498</v>
      </c>
      <c r="AL882">
        <v>89.401904280263594</v>
      </c>
      <c r="AM882">
        <v>85.786375262617298</v>
      </c>
      <c r="AN882">
        <v>1.0000000026500999</v>
      </c>
    </row>
    <row r="883" spans="1:40" x14ac:dyDescent="0.25">
      <c r="A883" t="str">
        <f>"20190312160927703"</f>
        <v>20190312160927703</v>
      </c>
      <c r="B883" t="str">
        <f>"1552378167696467"</f>
        <v>1552378167696467</v>
      </c>
      <c r="C883" t="s">
        <v>40</v>
      </c>
      <c r="D883">
        <v>5.3093459999999997</v>
      </c>
      <c r="E883">
        <v>0.58143979999999995</v>
      </c>
      <c r="F883" t="s">
        <v>47</v>
      </c>
      <c r="G883">
        <v>-158.50389999999999</v>
      </c>
      <c r="H883">
        <v>1.503652</v>
      </c>
      <c r="I883">
        <v>342.19</v>
      </c>
      <c r="J883">
        <v>-224.80709999999999</v>
      </c>
      <c r="K883">
        <v>1.1074809999999999</v>
      </c>
      <c r="L883">
        <v>366.89789999999999</v>
      </c>
      <c r="M883">
        <v>0.99733799999999995</v>
      </c>
      <c r="N883">
        <v>0</v>
      </c>
      <c r="O883">
        <v>-7.1484539999999999E-2</v>
      </c>
      <c r="P883">
        <v>0.98944989999999999</v>
      </c>
      <c r="Q883">
        <v>-4.1739780000000001E-3</v>
      </c>
      <c r="R883">
        <v>-0.14481720000000001</v>
      </c>
      <c r="S883">
        <v>2.8781430000000001</v>
      </c>
      <c r="T883">
        <v>1.7113799999999998E-2</v>
      </c>
      <c r="U883">
        <v>-1.0685119999999999</v>
      </c>
      <c r="V883">
        <v>7.3775489999999999E-2</v>
      </c>
      <c r="W883">
        <v>9.6794689999999996E-3</v>
      </c>
      <c r="X883">
        <v>0.99722789999999994</v>
      </c>
      <c r="Y883">
        <v>0.28012379999999998</v>
      </c>
      <c r="Z883">
        <v>3.9614160000000002E-4</v>
      </c>
      <c r="AA883">
        <v>0.95996380000000003</v>
      </c>
      <c r="AB883">
        <v>31</v>
      </c>
      <c r="AC883">
        <v>66.303200000000004</v>
      </c>
      <c r="AD883">
        <v>0.396171</v>
      </c>
      <c r="AE883">
        <v>-24.707899999999899</v>
      </c>
      <c r="AF883">
        <v>19.903908825732401</v>
      </c>
      <c r="AG883">
        <v>0.396171</v>
      </c>
      <c r="AH883">
        <v>67.897828963411001</v>
      </c>
      <c r="AI883">
        <v>89.679193488621095</v>
      </c>
      <c r="AJ883">
        <v>73.6617649349066</v>
      </c>
      <c r="AK883">
        <v>70.756185001375897</v>
      </c>
      <c r="AL883">
        <v>89.445398617730206</v>
      </c>
      <c r="AM883">
        <v>85.768933303140301</v>
      </c>
      <c r="AN883">
        <v>0.99999999979163501</v>
      </c>
    </row>
    <row r="884" spans="1:40" x14ac:dyDescent="0.25">
      <c r="A884" t="str">
        <f>"20190312160927727"</f>
        <v>20190312160927727</v>
      </c>
      <c r="B884" t="str">
        <f>"1552378167715986"</f>
        <v>1552378167715986</v>
      </c>
      <c r="C884" t="s">
        <v>40</v>
      </c>
      <c r="D884">
        <v>5.5363800000000003</v>
      </c>
      <c r="E884">
        <v>0.58119129999999997</v>
      </c>
      <c r="F884" t="s">
        <v>47</v>
      </c>
      <c r="G884">
        <v>-160.0831</v>
      </c>
      <c r="H884">
        <v>1.33339599999999</v>
      </c>
      <c r="I884">
        <v>342.64389999999997</v>
      </c>
      <c r="J884">
        <v>-224.4941</v>
      </c>
      <c r="K884">
        <v>1.107464</v>
      </c>
      <c r="L884">
        <v>366.87169999999998</v>
      </c>
      <c r="M884">
        <v>0.99708350000000001</v>
      </c>
      <c r="N884">
        <v>0</v>
      </c>
      <c r="O884">
        <v>-7.4953030000000004E-2</v>
      </c>
      <c r="P884">
        <v>0.98878310000000003</v>
      </c>
      <c r="Q884">
        <v>-5.0483389999999998E-3</v>
      </c>
      <c r="R884">
        <v>-0.14927499999999999</v>
      </c>
      <c r="S884">
        <v>2.87439</v>
      </c>
      <c r="T884">
        <v>1.0033129999999999E-2</v>
      </c>
      <c r="U884">
        <v>-1.077118</v>
      </c>
      <c r="V884">
        <v>7.4796260000000003E-2</v>
      </c>
      <c r="W884">
        <v>8.7930649999999992E-3</v>
      </c>
      <c r="X884">
        <v>0.99716009999999999</v>
      </c>
      <c r="Y884">
        <v>0.27971859999999998</v>
      </c>
      <c r="Z884">
        <v>2.2012250000000001E-4</v>
      </c>
      <c r="AA884">
        <v>0.96008199999999999</v>
      </c>
      <c r="AB884">
        <v>31</v>
      </c>
      <c r="AC884">
        <v>64.411000000000001</v>
      </c>
      <c r="AD884">
        <v>0.22593199999999899</v>
      </c>
      <c r="AE884">
        <v>-24.227799999999998</v>
      </c>
      <c r="AF884">
        <v>19.331128066271202</v>
      </c>
      <c r="AG884">
        <v>0.22593199999999899</v>
      </c>
      <c r="AH884">
        <v>66.045201283959599</v>
      </c>
      <c r="AI884">
        <v>89.811891461133797</v>
      </c>
      <c r="AJ884">
        <v>73.685488140181704</v>
      </c>
      <c r="AK884">
        <v>68.816510883812896</v>
      </c>
      <c r="AL884">
        <v>89.496188010089796</v>
      </c>
      <c r="AM884">
        <v>85.710318006287395</v>
      </c>
      <c r="AN884">
        <v>1.0000000317670401</v>
      </c>
    </row>
    <row r="885" spans="1:40" x14ac:dyDescent="0.25">
      <c r="A885" t="str">
        <f>"20190312160927750"</f>
        <v>20190312160927750</v>
      </c>
      <c r="B885" t="str">
        <f>"1552378167746243"</f>
        <v>1552378167746243</v>
      </c>
      <c r="C885" t="s">
        <v>40</v>
      </c>
      <c r="D885">
        <v>5.3646560000000001</v>
      </c>
      <c r="E885">
        <v>0.58059629999999995</v>
      </c>
      <c r="F885" t="s">
        <v>47</v>
      </c>
      <c r="G885">
        <v>-160.59219999999999</v>
      </c>
      <c r="H885">
        <v>1.1229899999999999</v>
      </c>
      <c r="I885">
        <v>342.64389999999997</v>
      </c>
      <c r="J885">
        <v>-224.17750000000001</v>
      </c>
      <c r="K885">
        <v>1.107453</v>
      </c>
      <c r="L885">
        <v>366.84410000000003</v>
      </c>
      <c r="M885">
        <v>0.99681249999999999</v>
      </c>
      <c r="N885">
        <v>0</v>
      </c>
      <c r="O885">
        <v>-7.8471529999999998E-2</v>
      </c>
      <c r="P885">
        <v>0.98810019999999998</v>
      </c>
      <c r="Q885">
        <v>-6.0317110000000004E-3</v>
      </c>
      <c r="R885">
        <v>-0.15369279999999999</v>
      </c>
      <c r="S885">
        <v>2.8697659999999998</v>
      </c>
      <c r="T885">
        <v>6.9749359999999997E-4</v>
      </c>
      <c r="U885">
        <v>-1.0880430000000001</v>
      </c>
      <c r="V885">
        <v>7.5727669999999997E-2</v>
      </c>
      <c r="W885">
        <v>7.7993730000000001E-3</v>
      </c>
      <c r="X885">
        <v>0.99709800000000004</v>
      </c>
      <c r="Y885">
        <v>0.28003909999999999</v>
      </c>
      <c r="Z885" s="1">
        <v>1.45351799999999E-5</v>
      </c>
      <c r="AA885">
        <v>0.95998859999999997</v>
      </c>
      <c r="AB885">
        <v>31</v>
      </c>
      <c r="AC885">
        <v>63.585299999999997</v>
      </c>
      <c r="AD885">
        <v>1.55369999999999E-2</v>
      </c>
      <c r="AE885">
        <v>-24.200199999999999</v>
      </c>
      <c r="AF885">
        <v>19.135406268055601</v>
      </c>
      <c r="AG885">
        <v>1.55369999999999E-2</v>
      </c>
      <c r="AH885">
        <v>65.288404792043707</v>
      </c>
      <c r="AI885">
        <v>89.986915461264701</v>
      </c>
      <c r="AJ885">
        <v>73.664644291296995</v>
      </c>
      <c r="AK885">
        <v>68.034842652362101</v>
      </c>
      <c r="AL885">
        <v>89.5531242983498</v>
      </c>
      <c r="AM885">
        <v>85.656833865568302</v>
      </c>
      <c r="AN885">
        <v>0.99999996591341</v>
      </c>
    </row>
    <row r="886" spans="1:40" x14ac:dyDescent="0.25">
      <c r="A886" t="str">
        <f>"20190312160927771"</f>
        <v>20190312160927771</v>
      </c>
      <c r="B886" t="str">
        <f>"1552378167765762"</f>
        <v>1552378167765762</v>
      </c>
      <c r="C886" t="s">
        <v>40</v>
      </c>
      <c r="D886">
        <v>5.2813559999999997</v>
      </c>
      <c r="E886">
        <v>0.58040360000000002</v>
      </c>
      <c r="F886" t="s">
        <v>47</v>
      </c>
      <c r="G886">
        <v>-160.91200000000001</v>
      </c>
      <c r="H886">
        <v>0.83339819999999998</v>
      </c>
      <c r="I886">
        <v>342.64389999999997</v>
      </c>
      <c r="J886">
        <v>-223.8835</v>
      </c>
      <c r="K886">
        <v>1.1074469999999901</v>
      </c>
      <c r="L886">
        <v>366.81740000000002</v>
      </c>
      <c r="M886">
        <v>0.99655009999999999</v>
      </c>
      <c r="N886">
        <v>0</v>
      </c>
      <c r="O886">
        <v>-8.1738459999999999E-2</v>
      </c>
      <c r="P886">
        <v>0.98765939999999997</v>
      </c>
      <c r="Q886">
        <v>-6.2075460000000004E-3</v>
      </c>
      <c r="R886">
        <v>-0.15649449999999901</v>
      </c>
      <c r="S886">
        <v>2.86557</v>
      </c>
      <c r="T886">
        <v>-1.2412909999999999E-2</v>
      </c>
      <c r="U886">
        <v>-1.0961299999999901</v>
      </c>
      <c r="V886">
        <v>7.5286179999999994E-2</v>
      </c>
      <c r="W886">
        <v>7.6253319999999899E-3</v>
      </c>
      <c r="X886">
        <v>0.99713280000000004</v>
      </c>
      <c r="Y886">
        <v>0.27972239999999998</v>
      </c>
      <c r="Z886">
        <v>-2.4471250000000002E-4</v>
      </c>
      <c r="AA886">
        <v>0.96008090000000001</v>
      </c>
      <c r="AB886">
        <v>30</v>
      </c>
      <c r="AC886">
        <v>62.971499999999899</v>
      </c>
      <c r="AD886">
        <v>-0.27404879999999898</v>
      </c>
      <c r="AE886">
        <v>-24.173500000000001</v>
      </c>
      <c r="AF886">
        <v>18.944555956882201</v>
      </c>
      <c r="AG886">
        <v>-0.27404879999999898</v>
      </c>
      <c r="AH886">
        <v>64.735782318019901</v>
      </c>
      <c r="AI886">
        <v>90.232788056462795</v>
      </c>
      <c r="AJ886">
        <v>73.6881875445209</v>
      </c>
      <c r="AK886">
        <v>67.451410774529194</v>
      </c>
      <c r="AL886">
        <v>89.563096419565298</v>
      </c>
      <c r="AM886">
        <v>85.682208476055294</v>
      </c>
      <c r="AN886">
        <v>0.99999998771147103</v>
      </c>
    </row>
    <row r="887" spans="1:40" x14ac:dyDescent="0.25">
      <c r="A887" t="str">
        <f>"20190312160927793"</f>
        <v>20190312160927793</v>
      </c>
      <c r="B887" t="str">
        <f>"1552378167786258"</f>
        <v>1552378167786258</v>
      </c>
      <c r="C887" t="s">
        <v>40</v>
      </c>
      <c r="D887">
        <v>5.5035489999999996</v>
      </c>
      <c r="E887">
        <v>0.58036940000000004</v>
      </c>
      <c r="F887" t="s">
        <v>47</v>
      </c>
      <c r="G887">
        <v>-161.12960000000001</v>
      </c>
      <c r="H887">
        <v>0.70441500000000001</v>
      </c>
      <c r="I887">
        <v>342.64389999999997</v>
      </c>
      <c r="J887">
        <v>-223.58869999999999</v>
      </c>
      <c r="K887">
        <v>1.1074440000000001</v>
      </c>
      <c r="L887">
        <v>366.78969999999998</v>
      </c>
      <c r="M887">
        <v>0.99627619999999895</v>
      </c>
      <c r="N887">
        <v>0</v>
      </c>
      <c r="O887">
        <v>-8.5010769999999999E-2</v>
      </c>
      <c r="P887">
        <v>0.98719619999999997</v>
      </c>
      <c r="Q887">
        <v>-7.1289630000000003E-3</v>
      </c>
      <c r="R887">
        <v>-0.1593512</v>
      </c>
      <c r="S887">
        <v>2.8626399999999999</v>
      </c>
      <c r="T887">
        <v>-1.8384810000000001E-2</v>
      </c>
      <c r="U887">
        <v>-1.102722</v>
      </c>
      <c r="V887">
        <v>7.4890380000000006E-2</v>
      </c>
      <c r="W887">
        <v>6.7060130000000003E-3</v>
      </c>
      <c r="X887">
        <v>0.99716919999999998</v>
      </c>
      <c r="Y887">
        <v>0.27882190000000001</v>
      </c>
      <c r="Z887">
        <v>-3.3978330000000002E-4</v>
      </c>
      <c r="AA887">
        <v>0.96034280000000005</v>
      </c>
      <c r="AB887">
        <v>30</v>
      </c>
      <c r="AC887">
        <v>62.4590999999999</v>
      </c>
      <c r="AD887">
        <v>-0.40302900000000003</v>
      </c>
      <c r="AE887">
        <v>-24.145800000000001</v>
      </c>
      <c r="AF887">
        <v>18.7474502011666</v>
      </c>
      <c r="AG887">
        <v>-0.40302900000000003</v>
      </c>
      <c r="AH887">
        <v>64.283490060091594</v>
      </c>
      <c r="AI887">
        <v>90.344848961989996</v>
      </c>
      <c r="AJ887">
        <v>73.741356879390693</v>
      </c>
      <c r="AK887">
        <v>66.962649407904706</v>
      </c>
      <c r="AL887">
        <v>89.615770868848202</v>
      </c>
      <c r="AM887">
        <v>85.704979313934402</v>
      </c>
      <c r="AN887">
        <v>0.99999997652776995</v>
      </c>
    </row>
    <row r="888" spans="1:40" x14ac:dyDescent="0.25">
      <c r="A888" t="str">
        <f>"20190312160927814"</f>
        <v>20190312160927814</v>
      </c>
      <c r="B888" t="str">
        <f>"1552378167805778"</f>
        <v>1552378167805778</v>
      </c>
      <c r="C888" t="s">
        <v>40</v>
      </c>
      <c r="D888">
        <v>5.2643409999999999</v>
      </c>
      <c r="E888">
        <v>0.58020579999999999</v>
      </c>
      <c r="F888" t="s">
        <v>47</v>
      </c>
      <c r="G888">
        <v>-161.43860000000001</v>
      </c>
      <c r="H888">
        <v>0.53013149999999998</v>
      </c>
      <c r="I888">
        <v>342.64389999999997</v>
      </c>
      <c r="J888">
        <v>-223.29169999999999</v>
      </c>
      <c r="K888">
        <v>1.1074440000000001</v>
      </c>
      <c r="L888">
        <v>366.76089999999999</v>
      </c>
      <c r="M888">
        <v>0.9959903</v>
      </c>
      <c r="N888">
        <v>0</v>
      </c>
      <c r="O888">
        <v>-8.8297890000000004E-2</v>
      </c>
      <c r="P888">
        <v>0.98654180000000002</v>
      </c>
      <c r="Q888">
        <v>-8.7688369999999998E-3</v>
      </c>
      <c r="R888">
        <v>-0.16327449999999999</v>
      </c>
      <c r="S888">
        <v>2.8594059999999999</v>
      </c>
      <c r="T888">
        <v>-2.6560779999999999E-2</v>
      </c>
      <c r="U888">
        <v>-1.1109009999999999</v>
      </c>
      <c r="V888">
        <v>7.5553889999999999E-2</v>
      </c>
      <c r="W888">
        <v>5.0595229999999998E-3</v>
      </c>
      <c r="X888">
        <v>0.99712889999999998</v>
      </c>
      <c r="Y888">
        <v>0.2784025</v>
      </c>
      <c r="Z888">
        <v>-4.6015820000000002E-4</v>
      </c>
      <c r="AA888">
        <v>0.9604644</v>
      </c>
      <c r="AB888">
        <v>30</v>
      </c>
      <c r="AC888">
        <v>61.853099999999898</v>
      </c>
      <c r="AD888">
        <v>-0.57731250000000001</v>
      </c>
      <c r="AE888">
        <v>-24.117000000000001</v>
      </c>
      <c r="AF888">
        <v>18.559315715382802</v>
      </c>
      <c r="AG888">
        <v>-0.57731250000000001</v>
      </c>
      <c r="AH888">
        <v>63.736339437904498</v>
      </c>
      <c r="AI888">
        <v>90.498267423392903</v>
      </c>
      <c r="AJ888">
        <v>73.765025472884005</v>
      </c>
      <c r="AK888">
        <v>66.3860109849183</v>
      </c>
      <c r="AL888">
        <v>89.710109453613796</v>
      </c>
      <c r="AM888">
        <v>85.666896337666003</v>
      </c>
      <c r="AN888">
        <v>1.00000001614116</v>
      </c>
    </row>
    <row r="889" spans="1:40" x14ac:dyDescent="0.25">
      <c r="A889" t="str">
        <f>"20190312160927832"</f>
        <v>20190312160927832</v>
      </c>
      <c r="B889" t="str">
        <f>"1552378167826275"</f>
        <v>1552378167826275</v>
      </c>
      <c r="C889" t="s">
        <v>40</v>
      </c>
      <c r="D889">
        <v>5.4474640000000001</v>
      </c>
      <c r="E889">
        <v>0.57996419999999904</v>
      </c>
      <c r="F889" t="s">
        <v>47</v>
      </c>
      <c r="G889">
        <v>-161.86439999999999</v>
      </c>
      <c r="H889">
        <v>0.23118649999999999</v>
      </c>
      <c r="I889">
        <v>342.64389999999997</v>
      </c>
      <c r="J889">
        <v>-223.0641</v>
      </c>
      <c r="K889">
        <v>1.1074489999999999</v>
      </c>
      <c r="L889">
        <v>366.73809999999997</v>
      </c>
      <c r="M889">
        <v>0.99576469999999995</v>
      </c>
      <c r="N889">
        <v>0</v>
      </c>
      <c r="O889">
        <v>-9.0807760000000001E-2</v>
      </c>
      <c r="P889">
        <v>0.98602529999999999</v>
      </c>
      <c r="Q889">
        <v>-1.005463E-2</v>
      </c>
      <c r="R889">
        <v>-0.166293</v>
      </c>
      <c r="S889">
        <v>2.8550260000000001</v>
      </c>
      <c r="T889">
        <v>-4.0726539999999999E-2</v>
      </c>
      <c r="U889">
        <v>-1.120911</v>
      </c>
      <c r="V889">
        <v>7.6084899999999997E-2</v>
      </c>
      <c r="W889">
        <v>3.7687369999999999E-3</v>
      </c>
      <c r="X889">
        <v>0.99709420000000004</v>
      </c>
      <c r="Y889">
        <v>0.27939079999999999</v>
      </c>
      <c r="Z889">
        <v>-6.7884749999999995E-4</v>
      </c>
      <c r="AA889">
        <v>0.96017719999999995</v>
      </c>
      <c r="AB889">
        <v>30</v>
      </c>
      <c r="AC889">
        <v>61.1997</v>
      </c>
      <c r="AD889">
        <v>-0.87626249999999895</v>
      </c>
      <c r="AE889">
        <v>-24.094200000000001</v>
      </c>
      <c r="AF889">
        <v>18.433379037763999</v>
      </c>
      <c r="AG889">
        <v>-0.87626249999999895</v>
      </c>
      <c r="AH889">
        <v>63.123759614023498</v>
      </c>
      <c r="AI889">
        <v>90.763428384000207</v>
      </c>
      <c r="AJ889">
        <v>73.721157492997094</v>
      </c>
      <c r="AK889">
        <v>65.765996734846198</v>
      </c>
      <c r="AL889">
        <v>89.784066760219403</v>
      </c>
      <c r="AM889">
        <v>85.636408236139999</v>
      </c>
      <c r="AN889">
        <v>0.99999997953011199</v>
      </c>
    </row>
    <row r="890" spans="1:40" x14ac:dyDescent="0.25">
      <c r="A890" t="str">
        <f>"20190312160927847"</f>
        <v>20190312160927847</v>
      </c>
      <c r="B890" t="str">
        <f>"1552378167836034"</f>
        <v>1552378167836034</v>
      </c>
      <c r="C890" t="s">
        <v>40</v>
      </c>
      <c r="D890">
        <v>5.4976430000000001</v>
      </c>
      <c r="E890">
        <v>0.57971459999999997</v>
      </c>
      <c r="F890" t="s">
        <v>47</v>
      </c>
      <c r="G890">
        <v>-162.12309999999999</v>
      </c>
      <c r="H890">
        <v>7.3493089999999997E-2</v>
      </c>
      <c r="I890">
        <v>342.64389999999997</v>
      </c>
      <c r="J890">
        <v>-222.85</v>
      </c>
      <c r="K890">
        <v>1.1074619999999999</v>
      </c>
      <c r="L890">
        <v>366.71609999999998</v>
      </c>
      <c r="M890">
        <v>0.99554759999999998</v>
      </c>
      <c r="N890">
        <v>0</v>
      </c>
      <c r="O890">
        <v>-9.3159140000000001E-2</v>
      </c>
      <c r="P890">
        <v>0.98540510000000003</v>
      </c>
      <c r="Q890">
        <v>-1.107993E-2</v>
      </c>
      <c r="R890">
        <v>-0.169866299999999</v>
      </c>
      <c r="S890">
        <v>2.8518520000000001</v>
      </c>
      <c r="T890">
        <v>-4.8385739999999997E-2</v>
      </c>
      <c r="U890">
        <v>-1.1275329999999999</v>
      </c>
      <c r="V890">
        <v>7.7338489999999996E-2</v>
      </c>
      <c r="W890">
        <v>2.7335290000000002E-3</v>
      </c>
      <c r="X890">
        <v>0.99700120000000003</v>
      </c>
      <c r="Y890">
        <v>0.27940989999999999</v>
      </c>
      <c r="Z890">
        <v>-7.6920709999999998E-4</v>
      </c>
      <c r="AA890">
        <v>0.96017160000000001</v>
      </c>
      <c r="AB890">
        <v>30</v>
      </c>
      <c r="AC890">
        <v>60.726900000000001</v>
      </c>
      <c r="AD890">
        <v>-1.03396891</v>
      </c>
      <c r="AE890">
        <v>-24.072199999999999</v>
      </c>
      <c r="AF890">
        <v>18.305058293805999</v>
      </c>
      <c r="AG890">
        <v>-1.03396891</v>
      </c>
      <c r="AH890">
        <v>62.689828976991599</v>
      </c>
      <c r="AI890">
        <v>90.907046891239801</v>
      </c>
      <c r="AJ890">
        <v>73.722508690688898</v>
      </c>
      <c r="AK890">
        <v>65.315839641016197</v>
      </c>
      <c r="AL890">
        <v>89.843380138454805</v>
      </c>
      <c r="AM890">
        <v>85.564385314077896</v>
      </c>
      <c r="AN890">
        <v>1.00000005350885</v>
      </c>
    </row>
    <row r="891" spans="1:40" x14ac:dyDescent="0.25">
      <c r="A891" t="str">
        <f>"20190312160927870"</f>
        <v>20190312160927870</v>
      </c>
      <c r="B891" t="str">
        <f>"1552378167866291"</f>
        <v>1552378167866291</v>
      </c>
      <c r="C891" t="s">
        <v>40</v>
      </c>
      <c r="D891">
        <v>5.3768140000000004</v>
      </c>
      <c r="E891">
        <v>0.57960590000000001</v>
      </c>
      <c r="F891" t="s">
        <v>47</v>
      </c>
      <c r="G891">
        <v>-162.4956</v>
      </c>
      <c r="H891">
        <v>-3.3795510000000001E-2</v>
      </c>
      <c r="I891">
        <v>342.64389999999997</v>
      </c>
      <c r="J891">
        <v>-222.5368</v>
      </c>
      <c r="K891">
        <v>1.1074889999999999</v>
      </c>
      <c r="L891">
        <v>366.68310000000002</v>
      </c>
      <c r="M891">
        <v>0.9952223</v>
      </c>
      <c r="N891">
        <v>0</v>
      </c>
      <c r="O891">
        <v>-9.6572279999999996E-2</v>
      </c>
      <c r="P891">
        <v>0.98465789999999997</v>
      </c>
      <c r="Q891">
        <v>-1.0371160000000001E-2</v>
      </c>
      <c r="R891">
        <v>-0.17418789999999901</v>
      </c>
      <c r="S891">
        <v>2.8480219999999998</v>
      </c>
      <c r="T891">
        <v>-5.3853749999999999E-2</v>
      </c>
      <c r="U891">
        <v>-1.1359250000000001</v>
      </c>
      <c r="V891">
        <v>7.8297909999999998E-2</v>
      </c>
      <c r="W891">
        <v>3.4359070000000002E-3</v>
      </c>
      <c r="X891">
        <v>0.99692409999999998</v>
      </c>
      <c r="Y891">
        <v>0.27899750000000001</v>
      </c>
      <c r="Z891">
        <v>-7.9165789999999995E-4</v>
      </c>
      <c r="AA891">
        <v>0.96029149999999996</v>
      </c>
      <c r="AB891">
        <v>30</v>
      </c>
      <c r="AC891">
        <v>60.041200000000003</v>
      </c>
      <c r="AD891">
        <v>-1.14128451</v>
      </c>
      <c r="AE891">
        <v>-24.039200000000001</v>
      </c>
      <c r="AF891">
        <v>18.122259684612501</v>
      </c>
      <c r="AG891">
        <v>-1.14128451</v>
      </c>
      <c r="AH891">
        <v>62.062941387387902</v>
      </c>
      <c r="AI891">
        <v>91.011280481334893</v>
      </c>
      <c r="AJ891">
        <v>73.722297004596797</v>
      </c>
      <c r="AK891">
        <v>64.664731655390398</v>
      </c>
      <c r="AL891">
        <v>89.803136645642397</v>
      </c>
      <c r="AM891">
        <v>85.509237264029906</v>
      </c>
      <c r="AN891">
        <v>1.00000001466404</v>
      </c>
    </row>
    <row r="892" spans="1:40" x14ac:dyDescent="0.25">
      <c r="A892" t="str">
        <f>"20190312160927893"</f>
        <v>20190312160927893</v>
      </c>
      <c r="B892" t="str">
        <f>"1552378167885811"</f>
        <v>1552378167885811</v>
      </c>
      <c r="C892" t="s">
        <v>40</v>
      </c>
      <c r="D892">
        <v>5.3829120000000001</v>
      </c>
      <c r="E892">
        <v>0.57944799999999996</v>
      </c>
      <c r="F892" t="s">
        <v>43</v>
      </c>
      <c r="G892">
        <v>-164.4948</v>
      </c>
      <c r="H892">
        <v>-0.05</v>
      </c>
      <c r="I892">
        <v>343.25740000000002</v>
      </c>
      <c r="J892">
        <v>-222.22300000000001</v>
      </c>
      <c r="K892">
        <v>1.107529</v>
      </c>
      <c r="L892">
        <v>366.64890000000003</v>
      </c>
      <c r="M892">
        <v>0.99488900000000002</v>
      </c>
      <c r="N892">
        <v>0</v>
      </c>
      <c r="O892">
        <v>-9.9946359999999998E-2</v>
      </c>
      <c r="P892">
        <v>0.98397389999999996</v>
      </c>
      <c r="Q892">
        <v>-9.2666469999999994E-3</v>
      </c>
      <c r="R892">
        <v>-0.1780706</v>
      </c>
      <c r="S892">
        <v>2.8431549999999999</v>
      </c>
      <c r="T892">
        <v>-5.669892E-2</v>
      </c>
      <c r="U892">
        <v>-1.147491</v>
      </c>
      <c r="V892">
        <v>7.8855800000000004E-2</v>
      </c>
      <c r="W892">
        <v>4.5392990000000001E-3</v>
      </c>
      <c r="X892">
        <v>0.99687570000000003</v>
      </c>
      <c r="Y892">
        <v>0.27966829999999998</v>
      </c>
      <c r="Z892">
        <v>-7.7681509999999996E-4</v>
      </c>
      <c r="AA892">
        <v>0.96009639999999996</v>
      </c>
      <c r="AB892">
        <v>30</v>
      </c>
      <c r="AC892">
        <v>57.728200000000001</v>
      </c>
      <c r="AD892">
        <v>-1.157529</v>
      </c>
      <c r="AE892">
        <v>-23.391500000000001</v>
      </c>
      <c r="AF892">
        <v>17.497987864145799</v>
      </c>
      <c r="AG892">
        <v>-1.157529</v>
      </c>
      <c r="AH892">
        <v>59.756584649546703</v>
      </c>
      <c r="AI892">
        <v>91.065013140973605</v>
      </c>
      <c r="AJ892">
        <v>73.678856639165701</v>
      </c>
      <c r="AK892">
        <v>62.276551459261697</v>
      </c>
      <c r="AL892">
        <v>89.739916432644804</v>
      </c>
      <c r="AM892">
        <v>85.477153191701802</v>
      </c>
      <c r="AN892">
        <v>1.0000000018397699</v>
      </c>
    </row>
    <row r="893" spans="1:40" x14ac:dyDescent="0.25">
      <c r="A893" t="str">
        <f>"20190312160927916"</f>
        <v>20190312160927916</v>
      </c>
      <c r="B893" t="str">
        <f>"1552378167906306"</f>
        <v>1552378167906306</v>
      </c>
      <c r="C893" t="s">
        <v>40</v>
      </c>
      <c r="D893">
        <v>5.3889459999999998</v>
      </c>
      <c r="E893">
        <v>0.57918919999999996</v>
      </c>
      <c r="F893" t="s">
        <v>43</v>
      </c>
      <c r="G893">
        <v>-162.92939999999999</v>
      </c>
      <c r="H893">
        <v>-0.05</v>
      </c>
      <c r="I893">
        <v>342.47089999999997</v>
      </c>
      <c r="J893">
        <v>-221.92850000000001</v>
      </c>
      <c r="K893">
        <v>1.1075759999999999</v>
      </c>
      <c r="L893">
        <v>366.61590000000001</v>
      </c>
      <c r="M893">
        <v>0.99457209999999996</v>
      </c>
      <c r="N893">
        <v>0</v>
      </c>
      <c r="O893">
        <v>-0.1030546</v>
      </c>
      <c r="P893">
        <v>0.9833828</v>
      </c>
      <c r="Q893">
        <v>-8.7109500000000003E-3</v>
      </c>
      <c r="R893">
        <v>-0.18133679999999999</v>
      </c>
      <c r="S893">
        <v>2.838867</v>
      </c>
      <c r="T893">
        <v>-5.5420280000000002E-2</v>
      </c>
      <c r="U893">
        <v>-1.1575930000000001</v>
      </c>
      <c r="V893">
        <v>7.9053100000000001E-2</v>
      </c>
      <c r="W893">
        <v>5.0981469999999999E-3</v>
      </c>
      <c r="X893">
        <v>0.99685729999999995</v>
      </c>
      <c r="Y893">
        <v>0.28010600000000002</v>
      </c>
      <c r="Z893">
        <v>-7.0651839999999997E-4</v>
      </c>
      <c r="AA893">
        <v>0.95996879999999996</v>
      </c>
      <c r="AB893">
        <v>30</v>
      </c>
      <c r="AC893">
        <v>58.999099999999999</v>
      </c>
      <c r="AD893">
        <v>-1.1575759999999999</v>
      </c>
      <c r="AE893">
        <v>-24.145</v>
      </c>
      <c r="AF893">
        <v>17.9297509751338</v>
      </c>
      <c r="AG893">
        <v>-1.1575759999999999</v>
      </c>
      <c r="AH893">
        <v>61.153251886578801</v>
      </c>
      <c r="AI893">
        <v>91.040632543936894</v>
      </c>
      <c r="AJ893">
        <v>73.659192875507003</v>
      </c>
      <c r="AK893">
        <v>63.7380276485667</v>
      </c>
      <c r="AL893">
        <v>89.7078964077987</v>
      </c>
      <c r="AM893">
        <v>85.465800654456601</v>
      </c>
      <c r="AN893">
        <v>0.99999993014286404</v>
      </c>
    </row>
    <row r="894" spans="1:40" x14ac:dyDescent="0.25">
      <c r="A894" t="str">
        <f>"20190312160927937"</f>
        <v>20190312160927937</v>
      </c>
      <c r="B894" t="str">
        <f>"1552378167925826"</f>
        <v>1552378167925826</v>
      </c>
      <c r="C894" t="s">
        <v>40</v>
      </c>
      <c r="D894">
        <v>5.4557229999999999</v>
      </c>
      <c r="E894">
        <v>0.57896359999999902</v>
      </c>
      <c r="F894" t="s">
        <v>43</v>
      </c>
      <c r="G894">
        <v>-164.78739999999999</v>
      </c>
      <c r="H894">
        <v>-0.05</v>
      </c>
      <c r="I894">
        <v>343.13940000000002</v>
      </c>
      <c r="J894">
        <v>-221.63570000000001</v>
      </c>
      <c r="K894">
        <v>1.10765</v>
      </c>
      <c r="L894">
        <v>366.58229999999998</v>
      </c>
      <c r="M894">
        <v>0.99425629999999998</v>
      </c>
      <c r="N894">
        <v>0</v>
      </c>
      <c r="O894">
        <v>-0.10605829999999999</v>
      </c>
      <c r="P894">
        <v>0.98291949999999995</v>
      </c>
      <c r="Q894">
        <v>-8.6011600000000001E-3</v>
      </c>
      <c r="R894">
        <v>-0.1838352</v>
      </c>
      <c r="S894">
        <v>2.8353730000000001</v>
      </c>
      <c r="T894">
        <v>-5.7439570000000002E-2</v>
      </c>
      <c r="U894">
        <v>-1.164917</v>
      </c>
      <c r="V894">
        <v>7.8575220000000001E-2</v>
      </c>
      <c r="W894">
        <v>5.2197379999999998E-3</v>
      </c>
      <c r="X894">
        <v>0.99689450000000002</v>
      </c>
      <c r="Y894">
        <v>0.27974189999999999</v>
      </c>
      <c r="Z894">
        <v>-6.7162979999999895E-4</v>
      </c>
      <c r="AA894">
        <v>0.96007500000000001</v>
      </c>
      <c r="AB894">
        <v>30</v>
      </c>
      <c r="AC894">
        <v>56.848300000000002</v>
      </c>
      <c r="AD894">
        <v>-1.1576500000000001</v>
      </c>
      <c r="AE894">
        <v>-23.442899999999899</v>
      </c>
      <c r="AF894">
        <v>17.274674953997501</v>
      </c>
      <c r="AG894">
        <v>-1.1576500000000001</v>
      </c>
      <c r="AH894">
        <v>58.993266528748897</v>
      </c>
      <c r="AI894">
        <v>91.078901929672099</v>
      </c>
      <c r="AJ894">
        <v>73.678675293050603</v>
      </c>
      <c r="AK894">
        <v>61.481379652873599</v>
      </c>
      <c r="AL894">
        <v>89.700929677633695</v>
      </c>
      <c r="AM894">
        <v>85.493264341492093</v>
      </c>
      <c r="AN894">
        <v>0.99999997749654301</v>
      </c>
    </row>
    <row r="895" spans="1:40" x14ac:dyDescent="0.25">
      <c r="A895" t="str">
        <f>"20190312160927953"</f>
        <v>20190312160927953</v>
      </c>
      <c r="B895" t="str">
        <f>"1552378167946323"</f>
        <v>1552378167946323</v>
      </c>
      <c r="C895" t="s">
        <v>40</v>
      </c>
      <c r="D895">
        <v>5.4249429999999998</v>
      </c>
      <c r="E895">
        <v>0.57865489999999997</v>
      </c>
      <c r="F895" t="s">
        <v>43</v>
      </c>
      <c r="G895">
        <v>-166.75700000000001</v>
      </c>
      <c r="H895">
        <v>-0.05</v>
      </c>
      <c r="I895">
        <v>343.9126</v>
      </c>
      <c r="J895">
        <v>-221.42099999999999</v>
      </c>
      <c r="K895">
        <v>1.1077079999999999</v>
      </c>
      <c r="L895">
        <v>366.55709999999999</v>
      </c>
      <c r="M895">
        <v>0.99402699999999999</v>
      </c>
      <c r="N895">
        <v>0</v>
      </c>
      <c r="O895">
        <v>-0.1081863</v>
      </c>
      <c r="P895">
        <v>0.98262749999999999</v>
      </c>
      <c r="Q895">
        <v>-8.2215469999999992E-3</v>
      </c>
      <c r="R895">
        <v>-0.18540590000000001</v>
      </c>
      <c r="S895">
        <v>2.8327330000000002</v>
      </c>
      <c r="T895">
        <v>-5.9755679999999999E-2</v>
      </c>
      <c r="U895">
        <v>-1.170166</v>
      </c>
      <c r="V895">
        <v>7.8035789999999994E-2</v>
      </c>
      <c r="W895">
        <v>5.6112150000000001E-3</v>
      </c>
      <c r="X895">
        <v>0.99693480000000001</v>
      </c>
      <c r="Y895">
        <v>0.27951989999999999</v>
      </c>
      <c r="Z895">
        <v>-6.5439449999999896E-4</v>
      </c>
      <c r="AA895">
        <v>0.96013970000000004</v>
      </c>
      <c r="AB895">
        <v>30</v>
      </c>
      <c r="AC895">
        <v>54.663999999999902</v>
      </c>
      <c r="AD895">
        <v>-1.157708</v>
      </c>
      <c r="AE895">
        <v>-22.644499999999901</v>
      </c>
      <c r="AF895">
        <v>16.590706925774001</v>
      </c>
      <c r="AG895">
        <v>-1.157708</v>
      </c>
      <c r="AH895">
        <v>56.771433687028797</v>
      </c>
      <c r="AI895">
        <v>91.121349418104401</v>
      </c>
      <c r="AJ895">
        <v>73.709690230521005</v>
      </c>
      <c r="AK895">
        <v>59.157311695097299</v>
      </c>
      <c r="AL895">
        <v>89.678499385992893</v>
      </c>
      <c r="AM895">
        <v>85.524257765034903</v>
      </c>
      <c r="AN895">
        <v>1.00000003285286</v>
      </c>
    </row>
    <row r="896" spans="1:40" x14ac:dyDescent="0.25">
      <c r="A896" t="str">
        <f>"20190312160927971"</f>
        <v>20190312160927971</v>
      </c>
      <c r="B896" t="str">
        <f>"1552378167965843"</f>
        <v>1552378167965843</v>
      </c>
      <c r="C896" t="s">
        <v>40</v>
      </c>
      <c r="D896">
        <v>5.4792329999999998</v>
      </c>
      <c r="E896">
        <v>0.57840809999999998</v>
      </c>
      <c r="F896" t="s">
        <v>43</v>
      </c>
      <c r="G896">
        <v>-167.4864</v>
      </c>
      <c r="H896">
        <v>-0.05</v>
      </c>
      <c r="I896">
        <v>344.22449999999998</v>
      </c>
      <c r="J896">
        <v>-221.1833</v>
      </c>
      <c r="K896">
        <v>1.1077939999999999</v>
      </c>
      <c r="L896">
        <v>366.52879999999999</v>
      </c>
      <c r="M896">
        <v>0.99377700000000002</v>
      </c>
      <c r="N896">
        <v>0</v>
      </c>
      <c r="O896">
        <v>-0.11045969999999999</v>
      </c>
      <c r="P896">
        <v>0.98243389999999997</v>
      </c>
      <c r="Q896">
        <v>-8.9806139999999996E-3</v>
      </c>
      <c r="R896">
        <v>-0.18639610000000001</v>
      </c>
      <c r="S896">
        <v>2.8313290000000002</v>
      </c>
      <c r="T896">
        <v>-6.0774559999999998E-2</v>
      </c>
      <c r="U896">
        <v>-1.1723629999999901</v>
      </c>
      <c r="V896">
        <v>7.6754799999999998E-2</v>
      </c>
      <c r="W896">
        <v>4.8721279999999999E-3</v>
      </c>
      <c r="X896">
        <v>0.99703810000000004</v>
      </c>
      <c r="Y896">
        <v>0.27812730000000002</v>
      </c>
      <c r="Z896">
        <v>-6.0527699999999999E-4</v>
      </c>
      <c r="AA896">
        <v>0.96054399999999995</v>
      </c>
      <c r="AB896">
        <v>30</v>
      </c>
      <c r="AC896">
        <v>53.696899999999999</v>
      </c>
      <c r="AD896">
        <v>-1.157794</v>
      </c>
      <c r="AE896">
        <v>-22.304300000000001</v>
      </c>
      <c r="AF896">
        <v>16.229393796349999</v>
      </c>
      <c r="AG896">
        <v>-1.157794</v>
      </c>
      <c r="AH896">
        <v>55.810091066564098</v>
      </c>
      <c r="AI896">
        <v>91.141185955232203</v>
      </c>
      <c r="AJ896">
        <v>73.785740263052901</v>
      </c>
      <c r="AK896">
        <v>58.133466908499599</v>
      </c>
      <c r="AL896">
        <v>89.720846525306698</v>
      </c>
      <c r="AM896">
        <v>85.597892031794501</v>
      </c>
      <c r="AN896">
        <v>1.0000000049029401</v>
      </c>
    </row>
    <row r="897" spans="1:40" x14ac:dyDescent="0.25">
      <c r="A897" t="str">
        <f>"20190312160927988"</f>
        <v>20190312160927988</v>
      </c>
      <c r="B897" t="str">
        <f>"1552378167976578"</f>
        <v>1552378167976578</v>
      </c>
      <c r="C897" t="s">
        <v>40</v>
      </c>
      <c r="D897">
        <v>5.4904140000000003</v>
      </c>
      <c r="E897">
        <v>0.57833849999999998</v>
      </c>
      <c r="F897" t="s">
        <v>41</v>
      </c>
      <c r="G897">
        <v>-179.01650000000001</v>
      </c>
      <c r="H897">
        <v>7.9986699999999994E-2</v>
      </c>
      <c r="I897">
        <v>349.05549999999999</v>
      </c>
      <c r="J897">
        <v>-220.95849999999999</v>
      </c>
      <c r="K897">
        <v>1.107888</v>
      </c>
      <c r="L897">
        <v>366.5016</v>
      </c>
      <c r="M897">
        <v>0.99354540000000002</v>
      </c>
      <c r="N897">
        <v>0</v>
      </c>
      <c r="O897">
        <v>-0.1125241</v>
      </c>
      <c r="P897">
        <v>0.98213640000000002</v>
      </c>
      <c r="Q897">
        <v>-9.1883929999999996E-3</v>
      </c>
      <c r="R897">
        <v>-0.1879461</v>
      </c>
      <c r="S897">
        <v>2.8304900000000002</v>
      </c>
      <c r="T897">
        <v>-6.8992609999999996E-2</v>
      </c>
      <c r="U897">
        <v>-1.1729130000000001</v>
      </c>
      <c r="V897">
        <v>7.62549E-2</v>
      </c>
      <c r="W897">
        <v>4.6799650000000003E-3</v>
      </c>
      <c r="X897">
        <v>0.99707730000000006</v>
      </c>
      <c r="Y897">
        <v>0.27638259999999998</v>
      </c>
      <c r="Z897">
        <v>-6.192878E-4</v>
      </c>
      <c r="AA897">
        <v>0.96104750000000005</v>
      </c>
      <c r="AB897">
        <v>30</v>
      </c>
      <c r="AC897">
        <v>41.941999999999901</v>
      </c>
      <c r="AD897">
        <v>-1.0279012999999999</v>
      </c>
      <c r="AE897">
        <v>-17.446100000000001</v>
      </c>
      <c r="AF897">
        <v>12.608849033037099</v>
      </c>
      <c r="AG897">
        <v>-1.0279012999999999</v>
      </c>
      <c r="AH897">
        <v>43.616546802974398</v>
      </c>
      <c r="AI897">
        <v>91.296940876925902</v>
      </c>
      <c r="AJ897">
        <v>73.876260462738003</v>
      </c>
      <c r="AK897">
        <v>45.414125666322398</v>
      </c>
      <c r="AL897">
        <v>89.731856758837907</v>
      </c>
      <c r="AM897">
        <v>85.626622406404906</v>
      </c>
      <c r="AN897">
        <v>0.99999992701084806</v>
      </c>
    </row>
    <row r="898" spans="1:40" x14ac:dyDescent="0.25">
      <c r="A898" t="str">
        <f>"20190312160928004"</f>
        <v>20190312160928004</v>
      </c>
      <c r="B898" t="str">
        <f>"1552378167996098"</f>
        <v>1552378167996098</v>
      </c>
      <c r="C898" t="s">
        <v>40</v>
      </c>
      <c r="D898">
        <v>5.5845589999999996</v>
      </c>
      <c r="E898">
        <v>0.57797940000000003</v>
      </c>
      <c r="F898" t="s">
        <v>41</v>
      </c>
      <c r="G898">
        <v>-179.9453</v>
      </c>
      <c r="H898">
        <v>6.2398559999999999E-2</v>
      </c>
      <c r="I898">
        <v>349.43849999999998</v>
      </c>
      <c r="J898">
        <v>-220.7336</v>
      </c>
      <c r="K898">
        <v>1.107988</v>
      </c>
      <c r="L898">
        <v>366.47410000000002</v>
      </c>
      <c r="M898">
        <v>0.99331979999999997</v>
      </c>
      <c r="N898">
        <v>0</v>
      </c>
      <c r="O898">
        <v>-0.114499</v>
      </c>
      <c r="P898">
        <v>0.98198770000000002</v>
      </c>
      <c r="Q898">
        <v>-8.7479800000000007E-3</v>
      </c>
      <c r="R898">
        <v>-0.1887423</v>
      </c>
      <c r="S898">
        <v>2.8286899999999999</v>
      </c>
      <c r="T898">
        <v>-7.2107790000000005E-2</v>
      </c>
      <c r="U898">
        <v>-1.176849</v>
      </c>
      <c r="V898">
        <v>7.5081850000000006E-2</v>
      </c>
      <c r="W898">
        <v>5.1405840000000001E-3</v>
      </c>
      <c r="X898">
        <v>0.9971641</v>
      </c>
      <c r="Y898">
        <v>0.27582590000000001</v>
      </c>
      <c r="Z898">
        <v>-5.9314120000000001E-4</v>
      </c>
      <c r="AA898">
        <v>0.96120740000000005</v>
      </c>
      <c r="AB898">
        <v>30</v>
      </c>
      <c r="AC898">
        <v>40.7882999999999</v>
      </c>
      <c r="AD898">
        <v>-1.0455894400000001</v>
      </c>
      <c r="AE898">
        <v>-17.035599999999999</v>
      </c>
      <c r="AF898">
        <v>12.2459878677488</v>
      </c>
      <c r="AG898">
        <v>-1.0455894400000001</v>
      </c>
      <c r="AH898">
        <v>42.447004424224602</v>
      </c>
      <c r="AI898">
        <v>91.355797531927493</v>
      </c>
      <c r="AJ898">
        <v>73.907115512177</v>
      </c>
      <c r="AK898">
        <v>44.190560764989598</v>
      </c>
      <c r="AL898">
        <v>89.705464928297204</v>
      </c>
      <c r="AM898">
        <v>85.6940176706036</v>
      </c>
      <c r="AN898">
        <v>0.99999997606604596</v>
      </c>
    </row>
    <row r="899" spans="1:40" x14ac:dyDescent="0.25">
      <c r="A899" t="str">
        <f>"20190312160928026"</f>
        <v>20190312160928026</v>
      </c>
      <c r="B899" t="str">
        <f>"1552378168015618"</f>
        <v>1552378168015618</v>
      </c>
      <c r="C899" t="s">
        <v>40</v>
      </c>
      <c r="D899">
        <v>5.6562279999999996</v>
      </c>
      <c r="E899">
        <v>0.57772639999999997</v>
      </c>
      <c r="F899" t="s">
        <v>41</v>
      </c>
      <c r="G899">
        <v>-179.892</v>
      </c>
      <c r="H899">
        <v>7.9986769999999999E-2</v>
      </c>
      <c r="I899">
        <v>349.48540000000003</v>
      </c>
      <c r="J899">
        <v>-220.441</v>
      </c>
      <c r="K899">
        <v>1.108114</v>
      </c>
      <c r="L899">
        <v>366.43759999999997</v>
      </c>
      <c r="M899">
        <v>0.99303960000000002</v>
      </c>
      <c r="N899">
        <v>0</v>
      </c>
      <c r="O899">
        <v>-0.1169065</v>
      </c>
      <c r="P899">
        <v>0.98159969999999996</v>
      </c>
      <c r="Q899">
        <v>-8.5844430000000006E-3</v>
      </c>
      <c r="R899">
        <v>-0.1907576</v>
      </c>
      <c r="S899">
        <v>2.8282470000000002</v>
      </c>
      <c r="T899">
        <v>-7.1188210000000002E-2</v>
      </c>
      <c r="U899">
        <v>-1.176453</v>
      </c>
      <c r="V899">
        <v>7.4710589999999993E-2</v>
      </c>
      <c r="W899">
        <v>5.3236869999999997E-3</v>
      </c>
      <c r="X899">
        <v>0.9971911</v>
      </c>
      <c r="Y899">
        <v>0.27343600000000001</v>
      </c>
      <c r="Z899">
        <v>-4.9957940000000002E-4</v>
      </c>
      <c r="AA899">
        <v>0.96189009999999997</v>
      </c>
      <c r="AB899">
        <v>30</v>
      </c>
      <c r="AC899">
        <v>40.5489999999999</v>
      </c>
      <c r="AD899">
        <v>-1.0281272299999999</v>
      </c>
      <c r="AE899">
        <v>-16.952199999999898</v>
      </c>
      <c r="AF899">
        <v>12.088390153594901</v>
      </c>
      <c r="AG899">
        <v>-1.0281272299999999</v>
      </c>
      <c r="AH899">
        <v>42.2298111792607</v>
      </c>
      <c r="AI899">
        <v>91.340816589841694</v>
      </c>
      <c r="AJ899">
        <v>74.026096682773201</v>
      </c>
      <c r="AK899">
        <v>43.937946860801503</v>
      </c>
      <c r="AL899">
        <v>89.694973778449693</v>
      </c>
      <c r="AM899">
        <v>85.715345711996207</v>
      </c>
      <c r="AN899">
        <v>1.0000000519103101</v>
      </c>
    </row>
    <row r="900" spans="1:40" x14ac:dyDescent="0.25">
      <c r="A900" t="str">
        <f>"20190312160928048"</f>
        <v>20190312160928048</v>
      </c>
      <c r="B900" t="str">
        <f>"1552378168045874"</f>
        <v>1552378168045874</v>
      </c>
      <c r="C900" t="s">
        <v>40</v>
      </c>
      <c r="D900">
        <v>5.6191170000000001</v>
      </c>
      <c r="E900">
        <v>0.57761600000000002</v>
      </c>
      <c r="F900" t="s">
        <v>41</v>
      </c>
      <c r="G900">
        <v>-179.35839999999999</v>
      </c>
      <c r="H900">
        <v>7.9986760000000004E-2</v>
      </c>
      <c r="I900">
        <v>349.28449999999998</v>
      </c>
      <c r="J900">
        <v>-220.14510000000001</v>
      </c>
      <c r="K900">
        <v>1.1082479999999999</v>
      </c>
      <c r="L900">
        <v>366.40019999999998</v>
      </c>
      <c r="M900">
        <v>0.99277040000000005</v>
      </c>
      <c r="N900">
        <v>0</v>
      </c>
      <c r="O900">
        <v>-0.119171</v>
      </c>
      <c r="P900">
        <v>0.98105339999999996</v>
      </c>
      <c r="Q900">
        <v>-9.1638870000000008E-3</v>
      </c>
      <c r="R900">
        <v>-0.19352069999999999</v>
      </c>
      <c r="S900">
        <v>2.8262939999999999</v>
      </c>
      <c r="T900">
        <v>-7.073045E-2</v>
      </c>
      <c r="U900">
        <v>-1.1800539999999999</v>
      </c>
      <c r="V900">
        <v>7.5240080000000001E-2</v>
      </c>
      <c r="W900">
        <v>4.7576880000000004E-3</v>
      </c>
      <c r="X900">
        <v>0.99715410000000004</v>
      </c>
      <c r="Y900">
        <v>0.27252330000000002</v>
      </c>
      <c r="Z900">
        <v>-4.3218839999999999E-4</v>
      </c>
      <c r="AA900">
        <v>0.96214909999999998</v>
      </c>
      <c r="AB900">
        <v>30</v>
      </c>
      <c r="AC900">
        <v>40.786700000000003</v>
      </c>
      <c r="AD900">
        <v>-1.02826124</v>
      </c>
      <c r="AE900">
        <v>-17.1157</v>
      </c>
      <c r="AF900">
        <v>12.1260603206771</v>
      </c>
      <c r="AG900">
        <v>-1.02826124</v>
      </c>
      <c r="AH900">
        <v>42.512913509464497</v>
      </c>
      <c r="AI900">
        <v>91.332423478795405</v>
      </c>
      <c r="AJ900">
        <v>74.080133627933805</v>
      </c>
      <c r="AK900">
        <v>44.220430517370502</v>
      </c>
      <c r="AL900">
        <v>89.727403529553101</v>
      </c>
      <c r="AM900">
        <v>85.684934227639701</v>
      </c>
      <c r="AN900">
        <v>1.0000000021901601</v>
      </c>
    </row>
    <row r="901" spans="1:40" x14ac:dyDescent="0.25">
      <c r="A901" t="str">
        <f>"20190312160928064"</f>
        <v>20190312160928064</v>
      </c>
      <c r="B901" t="str">
        <f>"1552378168056305"</f>
        <v>1552378168056305</v>
      </c>
      <c r="C901" t="s">
        <v>40</v>
      </c>
      <c r="D901">
        <v>5.7189940000000004</v>
      </c>
      <c r="E901">
        <v>0.57755080000000003</v>
      </c>
      <c r="F901" t="s">
        <v>41</v>
      </c>
      <c r="G901">
        <v>-179.95779999999999</v>
      </c>
      <c r="H901">
        <v>3.4741510000000003E-2</v>
      </c>
      <c r="I901">
        <v>349.50310000000002</v>
      </c>
      <c r="J901">
        <v>-219.9417</v>
      </c>
      <c r="K901">
        <v>1.108339</v>
      </c>
      <c r="L901">
        <v>366.37419999999997</v>
      </c>
      <c r="M901">
        <v>0.99259260000000005</v>
      </c>
      <c r="N901">
        <v>0</v>
      </c>
      <c r="O901">
        <v>-0.120644</v>
      </c>
      <c r="P901">
        <v>0.98071529999999996</v>
      </c>
      <c r="Q901">
        <v>-9.2018710000000004E-3</v>
      </c>
      <c r="R901">
        <v>-0.19522500000000001</v>
      </c>
      <c r="S901">
        <v>2.8230740000000001</v>
      </c>
      <c r="T901">
        <v>-7.5411439999999996E-2</v>
      </c>
      <c r="U901">
        <v>-1.1869809999999901</v>
      </c>
      <c r="V901">
        <v>7.5491710000000004E-2</v>
      </c>
      <c r="W901">
        <v>4.7300320000000003E-3</v>
      </c>
      <c r="X901">
        <v>0.9971352</v>
      </c>
      <c r="Y901">
        <v>0.27348820000000001</v>
      </c>
      <c r="Z901">
        <v>-4.3644240000000002E-4</v>
      </c>
      <c r="AA901">
        <v>0.96187529999999999</v>
      </c>
      <c r="AB901">
        <v>30</v>
      </c>
      <c r="AC901">
        <v>39.983899999999998</v>
      </c>
      <c r="AD901">
        <v>-1.07359749</v>
      </c>
      <c r="AE901">
        <v>-16.871099999999899</v>
      </c>
      <c r="AF901">
        <v>11.9162405805391</v>
      </c>
      <c r="AG901">
        <v>-1.07359749</v>
      </c>
      <c r="AH901">
        <v>41.701874972016299</v>
      </c>
      <c r="AI901">
        <v>91.417999434726596</v>
      </c>
      <c r="AJ901">
        <v>74.052801435402799</v>
      </c>
      <c r="AK901">
        <v>43.384280302034497</v>
      </c>
      <c r="AL901">
        <v>89.728988115959197</v>
      </c>
      <c r="AM901">
        <v>85.670476118544599</v>
      </c>
      <c r="AN901">
        <v>0.99999998928024203</v>
      </c>
    </row>
    <row r="902" spans="1:40" x14ac:dyDescent="0.25">
      <c r="A902" t="str">
        <f>"20190312160928082"</f>
        <v>20190312160928082</v>
      </c>
      <c r="B902" t="str">
        <f>"1552378168075826"</f>
        <v>1552378168075826</v>
      </c>
      <c r="C902" t="s">
        <v>40</v>
      </c>
      <c r="D902">
        <v>5.5920740000000002</v>
      </c>
      <c r="E902">
        <v>0.57751019999999997</v>
      </c>
      <c r="F902" t="s">
        <v>41</v>
      </c>
      <c r="G902">
        <v>-179.95779999999999</v>
      </c>
      <c r="H902">
        <v>4.564178E-2</v>
      </c>
      <c r="I902">
        <v>349.48759999999999</v>
      </c>
      <c r="J902">
        <v>-219.68629999999999</v>
      </c>
      <c r="K902">
        <v>1.108455</v>
      </c>
      <c r="L902">
        <v>366.34120000000001</v>
      </c>
      <c r="M902">
        <v>0.99238340000000003</v>
      </c>
      <c r="N902">
        <v>0</v>
      </c>
      <c r="O902">
        <v>-0.1223535</v>
      </c>
      <c r="P902">
        <v>0.98029549999999999</v>
      </c>
      <c r="Q902">
        <v>-9.043209E-3</v>
      </c>
      <c r="R902">
        <v>-0.1973299</v>
      </c>
      <c r="S902">
        <v>2.821075</v>
      </c>
      <c r="T902">
        <v>-7.4978950000000003E-2</v>
      </c>
      <c r="U902">
        <v>-1.1914370000000001</v>
      </c>
      <c r="V902">
        <v>7.5913969999999997E-2</v>
      </c>
      <c r="W902">
        <v>4.900738E-3</v>
      </c>
      <c r="X902">
        <v>0.9971023</v>
      </c>
      <c r="Y902">
        <v>0.273366</v>
      </c>
      <c r="Z902">
        <v>-3.8981649999999998E-4</v>
      </c>
      <c r="AA902">
        <v>0.96191000000000004</v>
      </c>
      <c r="AB902">
        <v>30</v>
      </c>
      <c r="AC902">
        <v>39.728499999999997</v>
      </c>
      <c r="AD902">
        <v>-1.06281322</v>
      </c>
      <c r="AE902">
        <v>-16.8536</v>
      </c>
      <c r="AF902">
        <v>11.8583347305493</v>
      </c>
      <c r="AG902">
        <v>-1.06281322</v>
      </c>
      <c r="AH902">
        <v>41.467099638062102</v>
      </c>
      <c r="AI902">
        <v>91.411623324806797</v>
      </c>
      <c r="AJ902">
        <v>74.041074438726199</v>
      </c>
      <c r="AK902">
        <v>43.142438815107901</v>
      </c>
      <c r="AL902">
        <v>89.719207264357095</v>
      </c>
      <c r="AM902">
        <v>85.646208844079098</v>
      </c>
      <c r="AN902">
        <v>0.99999997236969695</v>
      </c>
    </row>
    <row r="903" spans="1:40" x14ac:dyDescent="0.25">
      <c r="A903" t="str">
        <f>"20190312160928107"</f>
        <v>20190312160928107</v>
      </c>
      <c r="B903" t="str">
        <f>"1552378168096322"</f>
        <v>1552378168096322</v>
      </c>
      <c r="C903" t="s">
        <v>40</v>
      </c>
      <c r="D903">
        <v>5.7617820000000002</v>
      </c>
      <c r="E903">
        <v>0.57749629999999996</v>
      </c>
      <c r="F903" t="s">
        <v>41</v>
      </c>
      <c r="G903">
        <v>-179.95779999999999</v>
      </c>
      <c r="H903">
        <v>2.3930880000000002E-2</v>
      </c>
      <c r="I903">
        <v>349.46550000000002</v>
      </c>
      <c r="J903">
        <v>-219.3836</v>
      </c>
      <c r="K903">
        <v>1.108603</v>
      </c>
      <c r="L903">
        <v>366.30180000000001</v>
      </c>
      <c r="M903">
        <v>0.99215469999999895</v>
      </c>
      <c r="N903">
        <v>0</v>
      </c>
      <c r="O903">
        <v>-0.1241954</v>
      </c>
      <c r="P903">
        <v>0.97972349999999997</v>
      </c>
      <c r="Q903">
        <v>-9.779945E-3</v>
      </c>
      <c r="R903">
        <v>-0.20011619999999999</v>
      </c>
      <c r="S903">
        <v>2.8185730000000002</v>
      </c>
      <c r="T903">
        <v>-7.6942319999999995E-2</v>
      </c>
      <c r="U903">
        <v>-1.1972659999999999</v>
      </c>
      <c r="V903">
        <v>7.6893989999999995E-2</v>
      </c>
      <c r="W903">
        <v>4.1778600000000003E-3</v>
      </c>
      <c r="X903">
        <v>0.99703050000000004</v>
      </c>
      <c r="Y903">
        <v>0.27357100000000001</v>
      </c>
      <c r="Z903">
        <v>-3.5565770000000002E-4</v>
      </c>
      <c r="AA903">
        <v>0.96185169999999998</v>
      </c>
      <c r="AB903">
        <v>30</v>
      </c>
      <c r="AC903">
        <v>39.425800000000002</v>
      </c>
      <c r="AD903">
        <v>-1.08467212</v>
      </c>
      <c r="AE903">
        <v>-16.836299999999898</v>
      </c>
      <c r="AF903">
        <v>11.801364302725901</v>
      </c>
      <c r="AG903">
        <v>-1.08467212</v>
      </c>
      <c r="AH903">
        <v>41.185333970214003</v>
      </c>
      <c r="AI903">
        <v>91.450276083211307</v>
      </c>
      <c r="AJ903">
        <v>74.0107216526267</v>
      </c>
      <c r="AK903">
        <v>42.856509975167398</v>
      </c>
      <c r="AL903">
        <v>89.760625553229403</v>
      </c>
      <c r="AM903">
        <v>85.5899070660641</v>
      </c>
      <c r="AN903">
        <v>0.99999997907127403</v>
      </c>
    </row>
    <row r="904" spans="1:40" x14ac:dyDescent="0.25">
      <c r="A904" t="str">
        <f>"20190312160928127"</f>
        <v>20190312160928127</v>
      </c>
      <c r="B904" t="str">
        <f>"1552378168115842"</f>
        <v>1552378168115842</v>
      </c>
      <c r="C904" t="s">
        <v>40</v>
      </c>
      <c r="D904">
        <v>5.7876159999999999</v>
      </c>
      <c r="E904">
        <v>0.57742209999999905</v>
      </c>
      <c r="F904" t="s">
        <v>41</v>
      </c>
      <c r="G904">
        <v>-179.95779999999999</v>
      </c>
      <c r="H904">
        <v>3.0672649999999999E-2</v>
      </c>
      <c r="I904">
        <v>349.42559999999997</v>
      </c>
      <c r="J904">
        <v>-219.1002</v>
      </c>
      <c r="K904">
        <v>1.1087689999999999</v>
      </c>
      <c r="L904">
        <v>366.2645</v>
      </c>
      <c r="M904">
        <v>0.99196329999999999</v>
      </c>
      <c r="N904">
        <v>0</v>
      </c>
      <c r="O904">
        <v>-0.12571749999999901</v>
      </c>
      <c r="P904">
        <v>0.97906110000000002</v>
      </c>
      <c r="Q904">
        <v>-1.0992780000000001E-2</v>
      </c>
      <c r="R904">
        <v>-0.2032706</v>
      </c>
      <c r="S904">
        <v>2.8152159999999999</v>
      </c>
      <c r="T904">
        <v>-7.6969979999999993E-2</v>
      </c>
      <c r="U904">
        <v>-1.2050479999999999</v>
      </c>
      <c r="V904">
        <v>7.8570780000000007E-2</v>
      </c>
      <c r="W904">
        <v>2.9790989999999998E-3</v>
      </c>
      <c r="X904">
        <v>0.99690409999999996</v>
      </c>
      <c r="Y904">
        <v>0.27475709999999998</v>
      </c>
      <c r="Z904">
        <v>-3.325348E-4</v>
      </c>
      <c r="AA904">
        <v>0.96151359999999997</v>
      </c>
      <c r="AB904">
        <v>30</v>
      </c>
      <c r="AC904">
        <v>39.142400000000002</v>
      </c>
      <c r="AD904">
        <v>-1.07809635</v>
      </c>
      <c r="AE904">
        <v>-16.838899999999999</v>
      </c>
      <c r="AF904">
        <v>11.776349152688599</v>
      </c>
      <c r="AG904">
        <v>-1.07809635</v>
      </c>
      <c r="AH904">
        <v>40.922747687786803</v>
      </c>
      <c r="AI904">
        <v>91.450261060489197</v>
      </c>
      <c r="AJ904">
        <v>73.945755921374001</v>
      </c>
      <c r="AK904">
        <v>42.597135695069603</v>
      </c>
      <c r="AL904">
        <v>89.829309950380406</v>
      </c>
      <c r="AM904">
        <v>85.493561169571805</v>
      </c>
      <c r="AN904">
        <v>1.0000000135487299</v>
      </c>
    </row>
    <row r="905" spans="1:40" x14ac:dyDescent="0.25">
      <c r="A905" t="str">
        <f>"20190312160928150"</f>
        <v>20190312160928150</v>
      </c>
      <c r="B905" t="str">
        <f>"1552378168146098"</f>
        <v>1552378168146098</v>
      </c>
      <c r="C905" t="s">
        <v>40</v>
      </c>
      <c r="D905">
        <v>5.8587999999999996</v>
      </c>
      <c r="E905">
        <v>0.57723040000000003</v>
      </c>
      <c r="F905" t="s">
        <v>46</v>
      </c>
      <c r="G905">
        <v>-180.52330000000001</v>
      </c>
      <c r="H905" s="1">
        <v>-2.5243729999999998E-6</v>
      </c>
      <c r="I905">
        <v>349.61309999999997</v>
      </c>
      <c r="J905">
        <v>-218.8083</v>
      </c>
      <c r="K905">
        <v>1.1089389999999999</v>
      </c>
      <c r="L905">
        <v>366.22579999999999</v>
      </c>
      <c r="M905">
        <v>0.99178520000000003</v>
      </c>
      <c r="N905">
        <v>0</v>
      </c>
      <c r="O905">
        <v>-0.12711500000000001</v>
      </c>
      <c r="P905">
        <v>0.97847010000000001</v>
      </c>
      <c r="Q905">
        <v>-1.167869E-2</v>
      </c>
      <c r="R905">
        <v>-0.2060582</v>
      </c>
      <c r="S905">
        <v>2.8112949999999999</v>
      </c>
      <c r="T905">
        <v>-8.0801730000000002E-2</v>
      </c>
      <c r="U905">
        <v>-1.21347</v>
      </c>
      <c r="V905">
        <v>8.0003210000000005E-2</v>
      </c>
      <c r="W905">
        <v>2.3100989999999999E-3</v>
      </c>
      <c r="X905">
        <v>0.99679200000000001</v>
      </c>
      <c r="Y905">
        <v>0.27631319999999998</v>
      </c>
      <c r="Z905">
        <v>-3.3318250000000002E-4</v>
      </c>
      <c r="AA905">
        <v>0.96106760000000002</v>
      </c>
      <c r="AB905">
        <v>30</v>
      </c>
      <c r="AC905">
        <v>38.284999999999997</v>
      </c>
      <c r="AD905">
        <v>-1.1089415243730001</v>
      </c>
      <c r="AE905">
        <v>-16.6127</v>
      </c>
      <c r="AF905">
        <v>11.6026238799894</v>
      </c>
      <c r="AG905">
        <v>-1.1089415243730001</v>
      </c>
      <c r="AH905">
        <v>40.058023480255201</v>
      </c>
      <c r="AI905">
        <v>91.523161431009896</v>
      </c>
      <c r="AJ905">
        <v>73.846581557555794</v>
      </c>
      <c r="AK905">
        <v>41.719250680587002</v>
      </c>
      <c r="AL905">
        <v>89.8676409686787</v>
      </c>
      <c r="AM905">
        <v>85.411237808191402</v>
      </c>
      <c r="AN905">
        <v>1.0000000707158401</v>
      </c>
    </row>
    <row r="906" spans="1:40" x14ac:dyDescent="0.25">
      <c r="A906" t="str">
        <f>"20190312160928172"</f>
        <v>20190312160928172</v>
      </c>
      <c r="B906" t="str">
        <f>"1552378168165721"</f>
        <v>1552378168165721</v>
      </c>
      <c r="C906" t="s">
        <v>40</v>
      </c>
      <c r="D906">
        <v>5.3429250000000001</v>
      </c>
      <c r="E906">
        <v>0.57701919999999995</v>
      </c>
      <c r="F906" t="s">
        <v>41</v>
      </c>
      <c r="G906">
        <v>-180.47120000000001</v>
      </c>
      <c r="H906" s="1">
        <v>-5.9538849999999997E-6</v>
      </c>
      <c r="I906">
        <v>349.57139999999998</v>
      </c>
      <c r="J906">
        <v>-218.51230000000001</v>
      </c>
      <c r="K906">
        <v>1.1090960000000001</v>
      </c>
      <c r="L906">
        <v>366.18639999999999</v>
      </c>
      <c r="M906">
        <v>0.99162539999999999</v>
      </c>
      <c r="N906">
        <v>0</v>
      </c>
      <c r="O906">
        <v>-0.12835559999999999</v>
      </c>
      <c r="P906">
        <v>0.97804899999999995</v>
      </c>
      <c r="Q906">
        <v>-1.1544789999999999E-2</v>
      </c>
      <c r="R906">
        <v>-0.20805480000000001</v>
      </c>
      <c r="S906">
        <v>2.8081360000000002</v>
      </c>
      <c r="T906">
        <v>-8.122849E-2</v>
      </c>
      <c r="U906">
        <v>-1.21991</v>
      </c>
      <c r="V906">
        <v>8.0789899999999901E-2</v>
      </c>
      <c r="W906">
        <v>2.46364E-3</v>
      </c>
      <c r="X906">
        <v>0.99672810000000001</v>
      </c>
      <c r="Y906">
        <v>0.27735910000000003</v>
      </c>
      <c r="Z906">
        <v>-3.160711E-4</v>
      </c>
      <c r="AA906">
        <v>0.96076629999999996</v>
      </c>
      <c r="AB906">
        <v>30</v>
      </c>
      <c r="AC906">
        <v>38.0411</v>
      </c>
      <c r="AD906">
        <v>-1.10910195388499</v>
      </c>
      <c r="AE906">
        <v>-16.614999999999998</v>
      </c>
      <c r="AF906">
        <v>11.585979198885701</v>
      </c>
      <c r="AG906">
        <v>-1.10910195388499</v>
      </c>
      <c r="AH906">
        <v>39.8307797787403</v>
      </c>
      <c r="AI906">
        <v>91.531562746072495</v>
      </c>
      <c r="AJ906">
        <v>73.781340429893106</v>
      </c>
      <c r="AK906">
        <v>41.496458149143699</v>
      </c>
      <c r="AL906">
        <v>89.858843681753797</v>
      </c>
      <c r="AM906">
        <v>85.366015221282098</v>
      </c>
      <c r="AN906">
        <v>0.99999999139683404</v>
      </c>
    </row>
    <row r="907" spans="1:40" x14ac:dyDescent="0.25">
      <c r="A907" t="str">
        <f>"20190312160928194"</f>
        <v>20190312160928194</v>
      </c>
      <c r="B907" t="str">
        <f>"1552378168186217"</f>
        <v>1552378168186217</v>
      </c>
      <c r="C907" t="s">
        <v>40</v>
      </c>
      <c r="D907">
        <v>5.837529</v>
      </c>
      <c r="E907">
        <v>0.57683850000000003</v>
      </c>
      <c r="F907" t="s">
        <v>41</v>
      </c>
      <c r="G907">
        <v>-179.95779999999999</v>
      </c>
      <c r="H907">
        <v>5.0218520000000003E-3</v>
      </c>
      <c r="I907">
        <v>349.36689999999999</v>
      </c>
      <c r="J907">
        <v>-218.21619999999999</v>
      </c>
      <c r="K907">
        <v>1.109245</v>
      </c>
      <c r="L907">
        <v>366.14670000000001</v>
      </c>
      <c r="M907">
        <v>0.99148849999999999</v>
      </c>
      <c r="N907">
        <v>0</v>
      </c>
      <c r="O907">
        <v>-0.1294111</v>
      </c>
      <c r="P907">
        <v>0.97796850000000002</v>
      </c>
      <c r="Q907">
        <v>-1.1048179999999999E-2</v>
      </c>
      <c r="R907">
        <v>-0.2084608</v>
      </c>
      <c r="S907">
        <v>2.805984</v>
      </c>
      <c r="T907">
        <v>-8.0354090000000003E-2</v>
      </c>
      <c r="U907">
        <v>-1.224121</v>
      </c>
      <c r="V907">
        <v>8.0142190000000002E-2</v>
      </c>
      <c r="W907">
        <v>2.9848219999999998E-3</v>
      </c>
      <c r="X907">
        <v>0.99677899999999997</v>
      </c>
      <c r="Y907">
        <v>0.27781899999999998</v>
      </c>
      <c r="Z907">
        <v>-2.9084320000000001E-4</v>
      </c>
      <c r="AA907">
        <v>0.96063339999999997</v>
      </c>
      <c r="AB907">
        <v>30</v>
      </c>
      <c r="AC907">
        <v>38.258400000000002</v>
      </c>
      <c r="AD907">
        <v>-1.104223148</v>
      </c>
      <c r="AE907">
        <v>-16.779800000000002</v>
      </c>
      <c r="AF907">
        <v>11.6789459358983</v>
      </c>
      <c r="AG907">
        <v>-1.104223148</v>
      </c>
      <c r="AH907">
        <v>40.080332035687597</v>
      </c>
      <c r="AI907">
        <v>91.515132514637401</v>
      </c>
      <c r="AJ907">
        <v>73.754487141644205</v>
      </c>
      <c r="AK907">
        <v>41.761825906264903</v>
      </c>
      <c r="AL907">
        <v>89.828982047534396</v>
      </c>
      <c r="AM907">
        <v>85.403240739748497</v>
      </c>
      <c r="AN907">
        <v>1.0000000273106799</v>
      </c>
    </row>
    <row r="908" spans="1:40" x14ac:dyDescent="0.25">
      <c r="A908" t="str">
        <f>"20190312160928216"</f>
        <v>20190312160928216</v>
      </c>
      <c r="B908" t="str">
        <f>"1552378168205737"</f>
        <v>1552378168205737</v>
      </c>
      <c r="C908" t="s">
        <v>40</v>
      </c>
      <c r="D908">
        <v>6.0114970000000003</v>
      </c>
      <c r="E908">
        <v>0.57670719999999998</v>
      </c>
      <c r="F908" t="s">
        <v>41</v>
      </c>
      <c r="G908">
        <v>-179.95779999999999</v>
      </c>
      <c r="H908">
        <v>4.1686559999999998E-2</v>
      </c>
      <c r="I908">
        <v>349.45600000000002</v>
      </c>
      <c r="J908">
        <v>-217.92740000000001</v>
      </c>
      <c r="K908">
        <v>1.1093850000000001</v>
      </c>
      <c r="L908">
        <v>366.108</v>
      </c>
      <c r="M908">
        <v>0.99137660000000005</v>
      </c>
      <c r="N908">
        <v>0</v>
      </c>
      <c r="O908">
        <v>-0.13026479999999999</v>
      </c>
      <c r="P908">
        <v>0.97808709999999999</v>
      </c>
      <c r="Q908">
        <v>-1.013443E-2</v>
      </c>
      <c r="R908">
        <v>-0.2079503</v>
      </c>
      <c r="S908">
        <v>2.8057859999999999</v>
      </c>
      <c r="T908">
        <v>-7.829237E-2</v>
      </c>
      <c r="U908">
        <v>-1.2240599999999999</v>
      </c>
      <c r="V908">
        <v>7.8762949999999998E-2</v>
      </c>
      <c r="W908">
        <v>3.9232310000000001E-3</v>
      </c>
      <c r="X908">
        <v>0.99688569999999999</v>
      </c>
      <c r="Y908">
        <v>0.27700200000000003</v>
      </c>
      <c r="Z908">
        <v>-2.501658E-4</v>
      </c>
      <c r="AA908">
        <v>0.96086930000000004</v>
      </c>
      <c r="AB908">
        <v>30</v>
      </c>
      <c r="AC908">
        <v>37.9696</v>
      </c>
      <c r="AD908">
        <v>-1.06769844</v>
      </c>
      <c r="AE908">
        <v>-16.652000000000001</v>
      </c>
      <c r="AF908">
        <v>11.5558140481442</v>
      </c>
      <c r="AG908">
        <v>-1.06769844</v>
      </c>
      <c r="AH908">
        <v>39.789007224776697</v>
      </c>
      <c r="AI908">
        <v>91.476140475188402</v>
      </c>
      <c r="AJ908">
        <v>73.805260183736294</v>
      </c>
      <c r="AK908">
        <v>41.446856505740001</v>
      </c>
      <c r="AL908">
        <v>89.775214855444602</v>
      </c>
      <c r="AM908">
        <v>85.482501760885995</v>
      </c>
      <c r="AN908">
        <v>1.0000000464493299</v>
      </c>
    </row>
    <row r="909" spans="1:40" x14ac:dyDescent="0.25">
      <c r="A909" t="str">
        <f>"20190312160928238"</f>
        <v>20190312160928238</v>
      </c>
      <c r="B909" t="str">
        <f>"1552378168235993"</f>
        <v>1552378168235993</v>
      </c>
      <c r="C909" t="s">
        <v>40</v>
      </c>
      <c r="D909">
        <v>6.0614210000000002</v>
      </c>
      <c r="E909">
        <v>0.57596309999999995</v>
      </c>
      <c r="F909" t="s">
        <v>41</v>
      </c>
      <c r="G909">
        <v>-179.94099999999901</v>
      </c>
      <c r="H909">
        <v>6.6714659999999995E-2</v>
      </c>
      <c r="I909">
        <v>349.57749999999999</v>
      </c>
      <c r="J909">
        <v>-217.63910000000001</v>
      </c>
      <c r="K909">
        <v>1.109518</v>
      </c>
      <c r="L909">
        <v>366.06920000000002</v>
      </c>
      <c r="M909">
        <v>0.99128490000000002</v>
      </c>
      <c r="N909">
        <v>0</v>
      </c>
      <c r="O909">
        <v>-0.13096259999999901</v>
      </c>
      <c r="P909">
        <v>0.97833289999999995</v>
      </c>
      <c r="Q909">
        <v>-1.0737109999999999E-2</v>
      </c>
      <c r="R909">
        <v>-0.20676120000000001</v>
      </c>
      <c r="S909">
        <v>2.8067470000000001</v>
      </c>
      <c r="T909">
        <v>-7.7041029999999996E-2</v>
      </c>
      <c r="U909">
        <v>-1.2214050000000001</v>
      </c>
      <c r="V909">
        <v>7.6847929999999995E-2</v>
      </c>
      <c r="W909">
        <v>3.3453089999999999E-3</v>
      </c>
      <c r="X909">
        <v>0.99703719999999996</v>
      </c>
      <c r="Y909">
        <v>0.275443099999999</v>
      </c>
      <c r="Z909">
        <v>-2.076635E-4</v>
      </c>
      <c r="AA909">
        <v>0.96131739999999999</v>
      </c>
      <c r="AB909">
        <v>30</v>
      </c>
      <c r="AC909">
        <v>37.698099999999997</v>
      </c>
      <c r="AD909">
        <v>-1.0428033400000001</v>
      </c>
      <c r="AE909">
        <v>-16.491700000000002</v>
      </c>
      <c r="AF909">
        <v>11.4047657168194</v>
      </c>
      <c r="AG909">
        <v>-1.0428033400000001</v>
      </c>
      <c r="AH909">
        <v>39.507992195522498</v>
      </c>
      <c r="AI909">
        <v>91.452668686447197</v>
      </c>
      <c r="AJ909">
        <v>73.898166363466601</v>
      </c>
      <c r="AK909">
        <v>41.134384244606402</v>
      </c>
      <c r="AL909">
        <v>89.808327553099701</v>
      </c>
      <c r="AM909">
        <v>85.592567829427196</v>
      </c>
      <c r="AN909">
        <v>0.999999986810715</v>
      </c>
    </row>
    <row r="910" spans="1:40" x14ac:dyDescent="0.25">
      <c r="A910" t="str">
        <f>"20190312160928261"</f>
        <v>20190312160928261</v>
      </c>
      <c r="B910" t="str">
        <f>"1552378168256488"</f>
        <v>1552378168256488</v>
      </c>
      <c r="C910" t="s">
        <v>40</v>
      </c>
      <c r="D910">
        <v>5.9721760000000002</v>
      </c>
      <c r="E910">
        <v>0.57546039999999998</v>
      </c>
      <c r="F910" t="s">
        <v>46</v>
      </c>
      <c r="G910">
        <v>-179.9538</v>
      </c>
      <c r="H910">
        <v>7.9986390000000004E-2</v>
      </c>
      <c r="I910">
        <v>349.80610000000001</v>
      </c>
      <c r="J910">
        <v>-217.33539999999999</v>
      </c>
      <c r="K910">
        <v>1.1096469999999901</v>
      </c>
      <c r="L910">
        <v>366.02839999999998</v>
      </c>
      <c r="M910">
        <v>0.99120589999999997</v>
      </c>
      <c r="N910">
        <v>0</v>
      </c>
      <c r="O910">
        <v>-0.13155929999999999</v>
      </c>
      <c r="P910">
        <v>0.97850870000000001</v>
      </c>
      <c r="Q910">
        <v>-1.192301E-2</v>
      </c>
      <c r="R910">
        <v>-0.20586189999999999</v>
      </c>
      <c r="S910">
        <v>2.809402</v>
      </c>
      <c r="T910">
        <v>-7.6750520000000003E-2</v>
      </c>
      <c r="U910">
        <v>-1.212402</v>
      </c>
      <c r="V910">
        <v>7.5330469999999997E-2</v>
      </c>
      <c r="W910">
        <v>2.1808769999999999E-3</v>
      </c>
      <c r="X910">
        <v>0.9971563</v>
      </c>
      <c r="Y910">
        <v>0.27193790000000001</v>
      </c>
      <c r="Z910">
        <v>-1.455292E-4</v>
      </c>
      <c r="AA910">
        <v>0.96231480000000003</v>
      </c>
      <c r="AB910">
        <v>30</v>
      </c>
      <c r="AC910">
        <v>37.381599999999899</v>
      </c>
      <c r="AD910">
        <v>-1.0296606100000001</v>
      </c>
      <c r="AE910">
        <v>-16.222299999999901</v>
      </c>
      <c r="AF910">
        <v>11.1557529558547</v>
      </c>
      <c r="AG910">
        <v>-1.0296606100000001</v>
      </c>
      <c r="AH910">
        <v>39.1660291435104</v>
      </c>
      <c r="AI910">
        <v>91.4483576386002</v>
      </c>
      <c r="AJ910">
        <v>74.101331364452903</v>
      </c>
      <c r="AK910">
        <v>40.736824420346601</v>
      </c>
      <c r="AL910">
        <v>89.875044860867803</v>
      </c>
      <c r="AM910">
        <v>85.679779414733503</v>
      </c>
      <c r="AN910">
        <v>1.0000000612822899</v>
      </c>
    </row>
    <row r="911" spans="1:40" x14ac:dyDescent="0.25">
      <c r="A911" t="str">
        <f>"20190312160928284"</f>
        <v>20190312160928284</v>
      </c>
      <c r="B911" t="str">
        <f>"1552378168276009"</f>
        <v>1552378168276009</v>
      </c>
      <c r="C911" t="s">
        <v>40</v>
      </c>
      <c r="D911">
        <v>6.0152469999999996</v>
      </c>
      <c r="E911">
        <v>0.57493030000000001</v>
      </c>
      <c r="F911" t="s">
        <v>46</v>
      </c>
      <c r="G911">
        <v>-179.9958</v>
      </c>
      <c r="H911">
        <v>5.4217380000000003E-2</v>
      </c>
      <c r="I911">
        <v>350.01429999999999</v>
      </c>
      <c r="J911">
        <v>-217.03809999999999</v>
      </c>
      <c r="K911">
        <v>1.109748</v>
      </c>
      <c r="L911">
        <v>365.98829999999998</v>
      </c>
      <c r="M911">
        <v>0.99114230000000003</v>
      </c>
      <c r="N911">
        <v>0</v>
      </c>
      <c r="O911">
        <v>-0.13203860000000001</v>
      </c>
      <c r="P911">
        <v>0.97861779999999998</v>
      </c>
      <c r="Q911">
        <v>-1.260523E-2</v>
      </c>
      <c r="R911">
        <v>-0.20530100000000001</v>
      </c>
      <c r="S911">
        <v>2.8112789999999999</v>
      </c>
      <c r="T911">
        <v>-7.9462770000000002E-2</v>
      </c>
      <c r="U911">
        <v>-1.2056880000000001</v>
      </c>
      <c r="V911">
        <v>7.4276490000000001E-2</v>
      </c>
      <c r="W911">
        <v>1.5133060000000001E-3</v>
      </c>
      <c r="X911">
        <v>0.99723649999999997</v>
      </c>
      <c r="Y911">
        <v>0.26929619999999999</v>
      </c>
      <c r="Z911">
        <v>-1.0204040000000001E-4</v>
      </c>
      <c r="AA911">
        <v>0.96305739999999995</v>
      </c>
      <c r="AB911">
        <v>30</v>
      </c>
      <c r="AC911">
        <v>37.042299999999898</v>
      </c>
      <c r="AD911">
        <v>-1.0555306200000001</v>
      </c>
      <c r="AE911">
        <v>-15.973999999999901</v>
      </c>
      <c r="AF911">
        <v>10.9351162080335</v>
      </c>
      <c r="AG911">
        <v>-1.0555306200000001</v>
      </c>
      <c r="AH911">
        <v>38.800746067126298</v>
      </c>
      <c r="AI911">
        <v>91.4998837107984</v>
      </c>
      <c r="AJ911">
        <v>74.260705396068204</v>
      </c>
      <c r="AK911">
        <v>40.326031378485197</v>
      </c>
      <c r="AL911">
        <v>89.913293916698805</v>
      </c>
      <c r="AM911">
        <v>85.740342669252399</v>
      </c>
      <c r="AN911">
        <v>0.99999996199700902</v>
      </c>
    </row>
    <row r="912" spans="1:40" x14ac:dyDescent="0.25">
      <c r="A912" t="str">
        <f>"20190312160928306"</f>
        <v>20190312160928306</v>
      </c>
      <c r="B912" t="str">
        <f>"1552378168296504"</f>
        <v>1552378168296504</v>
      </c>
      <c r="C912" t="s">
        <v>40</v>
      </c>
      <c r="D912">
        <v>5.9680609999999996</v>
      </c>
      <c r="E912">
        <v>0.574457199999999</v>
      </c>
      <c r="F912" t="s">
        <v>46</v>
      </c>
      <c r="G912">
        <v>-179.99599999999899</v>
      </c>
      <c r="H912">
        <v>5.3988439999999999E-2</v>
      </c>
      <c r="I912">
        <v>350.18509999999998</v>
      </c>
      <c r="J912">
        <v>-216.75700000000001</v>
      </c>
      <c r="K912">
        <v>1.1098129999999999</v>
      </c>
      <c r="L912">
        <v>365.95030000000003</v>
      </c>
      <c r="M912">
        <v>0.99109069999999999</v>
      </c>
      <c r="N912">
        <v>0</v>
      </c>
      <c r="O912">
        <v>-0.1324253</v>
      </c>
      <c r="P912">
        <v>0.97870400000000002</v>
      </c>
      <c r="Q912">
        <v>-1.2905740000000001E-2</v>
      </c>
      <c r="R912">
        <v>-0.20487</v>
      </c>
      <c r="S912">
        <v>2.8127900000000001</v>
      </c>
      <c r="T912">
        <v>-8.0169080000000004E-2</v>
      </c>
      <c r="U912">
        <v>-1.2000120000000001</v>
      </c>
      <c r="V912">
        <v>7.3448509999999995E-2</v>
      </c>
      <c r="W912">
        <v>1.221481E-3</v>
      </c>
      <c r="X912">
        <v>0.99729820000000002</v>
      </c>
      <c r="Y912">
        <v>0.26708949999999998</v>
      </c>
      <c r="Z912" s="1">
        <v>-6.2341340000000002E-5</v>
      </c>
      <c r="AA912">
        <v>0.96367170000000002</v>
      </c>
      <c r="AB912">
        <v>30</v>
      </c>
      <c r="AC912">
        <v>36.761000000000003</v>
      </c>
      <c r="AD912">
        <v>-1.05582456</v>
      </c>
      <c r="AE912">
        <v>-15.7652</v>
      </c>
      <c r="AF912">
        <v>10.750256930507</v>
      </c>
      <c r="AG912">
        <v>-1.05582456</v>
      </c>
      <c r="AH912">
        <v>38.498278208198599</v>
      </c>
      <c r="AI912">
        <v>91.513100501487202</v>
      </c>
      <c r="AJ912">
        <v>74.398143721515098</v>
      </c>
      <c r="AK912">
        <v>39.984999869566998</v>
      </c>
      <c r="AL912">
        <v>89.930014272179704</v>
      </c>
      <c r="AM912">
        <v>85.787914007699897</v>
      </c>
      <c r="AN912">
        <v>0.99999993768014395</v>
      </c>
    </row>
    <row r="913" spans="1:40" x14ac:dyDescent="0.25">
      <c r="A913" t="str">
        <f>"20190312160928331"</f>
        <v>20190312160928331</v>
      </c>
      <c r="B913" t="str">
        <f>"1552378168325784"</f>
        <v>1552378168325784</v>
      </c>
      <c r="C913" t="s">
        <v>40</v>
      </c>
      <c r="D913">
        <v>6.0179499999999999</v>
      </c>
      <c r="E913">
        <v>0.57384099999999905</v>
      </c>
      <c r="F913" t="s">
        <v>46</v>
      </c>
      <c r="G913">
        <v>-179.9802</v>
      </c>
      <c r="H913">
        <v>6.9765079999999993E-2</v>
      </c>
      <c r="I913">
        <v>350.32679999999999</v>
      </c>
      <c r="J913">
        <v>-216.42330000000001</v>
      </c>
      <c r="K913">
        <v>1.1098650000000001</v>
      </c>
      <c r="L913">
        <v>365.90519999999998</v>
      </c>
      <c r="M913">
        <v>0.99103529999999995</v>
      </c>
      <c r="N913">
        <v>0</v>
      </c>
      <c r="O913">
        <v>-0.1328414</v>
      </c>
      <c r="P913">
        <v>0.97861540000000002</v>
      </c>
      <c r="Q913">
        <v>-1.3820539999999999E-2</v>
      </c>
      <c r="R913">
        <v>-0.20523530000000001</v>
      </c>
      <c r="S913">
        <v>2.8139799999999999</v>
      </c>
      <c r="T913">
        <v>-7.9579349999999993E-2</v>
      </c>
      <c r="U913">
        <v>-1.195435</v>
      </c>
      <c r="V913">
        <v>7.340236E-2</v>
      </c>
      <c r="W913">
        <v>3.0881559999999998E-4</v>
      </c>
      <c r="X913">
        <v>0.99730240000000003</v>
      </c>
      <c r="Y913">
        <v>0.26521139999999999</v>
      </c>
      <c r="Z913" s="1">
        <v>-2.528215E-5</v>
      </c>
      <c r="AA913">
        <v>0.96419029999999994</v>
      </c>
      <c r="AB913">
        <v>29</v>
      </c>
      <c r="AC913">
        <v>36.443100000000001</v>
      </c>
      <c r="AD913">
        <v>-1.0400999199999901</v>
      </c>
      <c r="AE913">
        <v>-15.578399999999901</v>
      </c>
      <c r="AF913">
        <v>10.5913691279373</v>
      </c>
      <c r="AG913">
        <v>-1.0400999199999901</v>
      </c>
      <c r="AH913">
        <v>38.163432780169501</v>
      </c>
      <c r="AI913">
        <v>91.504313533935004</v>
      </c>
      <c r="AJ913">
        <v>74.489248461138303</v>
      </c>
      <c r="AK913">
        <v>39.619521822131098</v>
      </c>
      <c r="AL913">
        <v>89.982306169888602</v>
      </c>
      <c r="AM913">
        <v>85.790568740809505</v>
      </c>
      <c r="AN913">
        <v>1.0000000394332</v>
      </c>
    </row>
    <row r="914" spans="1:40" x14ac:dyDescent="0.25">
      <c r="A914" t="str">
        <f>"20190312160928351"</f>
        <v>20190312160928351</v>
      </c>
      <c r="B914" t="str">
        <f>"1552378168346281"</f>
        <v>1552378168346281</v>
      </c>
      <c r="C914" t="s">
        <v>40</v>
      </c>
      <c r="D914">
        <v>6.0191980000000003</v>
      </c>
      <c r="E914">
        <v>0.57340369999999996</v>
      </c>
      <c r="F914" t="s">
        <v>46</v>
      </c>
      <c r="G914">
        <v>-179.9948</v>
      </c>
      <c r="H914">
        <v>5.5156049999999998E-2</v>
      </c>
      <c r="I914">
        <v>350.48520000000002</v>
      </c>
      <c r="J914">
        <v>-216.1694</v>
      </c>
      <c r="K914">
        <v>1.109885</v>
      </c>
      <c r="L914">
        <v>365.87079999999997</v>
      </c>
      <c r="M914">
        <v>0.99099429999999999</v>
      </c>
      <c r="N914">
        <v>0</v>
      </c>
      <c r="O914">
        <v>-0.13314670000000001</v>
      </c>
      <c r="P914">
        <v>0.9784583</v>
      </c>
      <c r="Q914">
        <v>-1.455357E-2</v>
      </c>
      <c r="R914">
        <v>-0.20593139999999999</v>
      </c>
      <c r="S914">
        <v>2.8145289999999998</v>
      </c>
      <c r="T914">
        <v>-8.1488850000000002E-2</v>
      </c>
      <c r="U914">
        <v>-1.191376</v>
      </c>
      <c r="V914">
        <v>7.3805560000000006E-2</v>
      </c>
      <c r="W914">
        <v>-4.2575240000000003E-4</v>
      </c>
      <c r="X914">
        <v>0.99727259999999995</v>
      </c>
      <c r="Y914">
        <v>0.26366630000000002</v>
      </c>
      <c r="Z914" s="1">
        <v>3.9353040000000004E-6</v>
      </c>
      <c r="AA914">
        <v>0.96461399999999997</v>
      </c>
      <c r="AB914">
        <v>29</v>
      </c>
      <c r="AC914">
        <v>36.174599999999998</v>
      </c>
      <c r="AD914">
        <v>-1.0547289500000001</v>
      </c>
      <c r="AE914">
        <v>-15.385599999999901</v>
      </c>
      <c r="AF914">
        <v>10.424064114497799</v>
      </c>
      <c r="AG914">
        <v>-1.0547289500000001</v>
      </c>
      <c r="AH914">
        <v>37.873932377764604</v>
      </c>
      <c r="AI914">
        <v>91.538022586752106</v>
      </c>
      <c r="AJ914">
        <v>74.611467437985098</v>
      </c>
      <c r="AK914">
        <v>39.296416116188198</v>
      </c>
      <c r="AL914">
        <v>90.024393815390695</v>
      </c>
      <c r="AM914">
        <v>85.767404071321906</v>
      </c>
      <c r="AN914">
        <v>1.00000004033138</v>
      </c>
    </row>
    <row r="915" spans="1:40" x14ac:dyDescent="0.25">
      <c r="A915" t="str">
        <f>"20190312160928372"</f>
        <v>20190312160928372</v>
      </c>
      <c r="B915" t="str">
        <f>"1552378168365802"</f>
        <v>1552378168365802</v>
      </c>
      <c r="C915" t="s">
        <v>40</v>
      </c>
      <c r="D915">
        <v>6.0610010000000001</v>
      </c>
      <c r="E915">
        <v>0.57309180000000004</v>
      </c>
      <c r="F915" t="s">
        <v>46</v>
      </c>
      <c r="G915">
        <v>-180</v>
      </c>
      <c r="H915">
        <v>2.489951E-2</v>
      </c>
      <c r="I915">
        <v>350.57799999999997</v>
      </c>
      <c r="J915">
        <v>-215.8784</v>
      </c>
      <c r="K915">
        <v>1.1098980000000001</v>
      </c>
      <c r="L915">
        <v>365.83120000000002</v>
      </c>
      <c r="M915">
        <v>0.99094649999999995</v>
      </c>
      <c r="N915">
        <v>0</v>
      </c>
      <c r="O915">
        <v>-0.13350219999999999</v>
      </c>
      <c r="P915">
        <v>0.97826990000000003</v>
      </c>
      <c r="Q915">
        <v>-1.441884E-2</v>
      </c>
      <c r="R915">
        <v>-0.2068335</v>
      </c>
      <c r="S915">
        <v>2.814362</v>
      </c>
      <c r="T915">
        <v>-8.4423419999999999E-2</v>
      </c>
      <c r="U915">
        <v>-1.1899409999999999</v>
      </c>
      <c r="V915">
        <v>7.4366950000000001E-2</v>
      </c>
      <c r="W915">
        <v>-2.9494219999999998E-4</v>
      </c>
      <c r="X915">
        <v>0.99723090000000003</v>
      </c>
      <c r="Y915">
        <v>0.26292080000000001</v>
      </c>
      <c r="Z915" s="1">
        <v>2.4846520000000001E-5</v>
      </c>
      <c r="AA915">
        <v>0.96481740000000005</v>
      </c>
      <c r="AB915">
        <v>29</v>
      </c>
      <c r="AC915">
        <v>35.878399999999999</v>
      </c>
      <c r="AD915">
        <v>-1.08499849</v>
      </c>
      <c r="AE915">
        <v>-15.2531999999999</v>
      </c>
      <c r="AF915">
        <v>10.3183120157435</v>
      </c>
      <c r="AG915">
        <v>-1.08499849</v>
      </c>
      <c r="AH915">
        <v>37.564616636587303</v>
      </c>
      <c r="AI915">
        <v>91.595384717312697</v>
      </c>
      <c r="AJ915">
        <v>74.640706205685603</v>
      </c>
      <c r="AK915">
        <v>38.971081684132301</v>
      </c>
      <c r="AL915">
        <v>90.0168989435208</v>
      </c>
      <c r="AM915">
        <v>85.735150177726993</v>
      </c>
      <c r="AN915">
        <v>0.99999999907900605</v>
      </c>
    </row>
    <row r="916" spans="1:40" x14ac:dyDescent="0.25">
      <c r="A916" t="str">
        <f>"20190312160928395"</f>
        <v>20190312160928395</v>
      </c>
      <c r="B916" t="str">
        <f>"1552378168386308"</f>
        <v>1552378168386308</v>
      </c>
      <c r="C916" t="s">
        <v>40</v>
      </c>
      <c r="D916">
        <v>6.1099459999999999</v>
      </c>
      <c r="E916">
        <v>0.57280489999999995</v>
      </c>
      <c r="F916" t="s">
        <v>46</v>
      </c>
      <c r="G916">
        <v>-180</v>
      </c>
      <c r="H916">
        <v>3.7380829999999997E-2</v>
      </c>
      <c r="I916">
        <v>350.65519999999998</v>
      </c>
      <c r="J916">
        <v>-215.59649999999999</v>
      </c>
      <c r="K916">
        <v>1.1099049999999999</v>
      </c>
      <c r="L916">
        <v>365.7928</v>
      </c>
      <c r="M916">
        <v>0.99089720000000003</v>
      </c>
      <c r="N916">
        <v>0</v>
      </c>
      <c r="O916">
        <v>-0.13386809999999999</v>
      </c>
      <c r="P916">
        <v>0.97805350000000002</v>
      </c>
      <c r="Q916">
        <v>-1.3910830000000001E-2</v>
      </c>
      <c r="R916">
        <v>-0.2078903</v>
      </c>
      <c r="S916">
        <v>2.8137660000000002</v>
      </c>
      <c r="T916">
        <v>-8.4112409999999999E-2</v>
      </c>
      <c r="U916">
        <v>-1.190186</v>
      </c>
      <c r="V916">
        <v>7.5075359999999994E-2</v>
      </c>
      <c r="W916">
        <v>2.0724919999999999E-4</v>
      </c>
      <c r="X916">
        <v>0.9971778</v>
      </c>
      <c r="Y916">
        <v>0.26270929999999998</v>
      </c>
      <c r="Z916" s="1">
        <v>3.8053139999999999E-5</v>
      </c>
      <c r="AA916">
        <v>0.96487500000000004</v>
      </c>
      <c r="AB916">
        <v>29</v>
      </c>
      <c r="AC916">
        <v>35.596499999999899</v>
      </c>
      <c r="AD916">
        <v>-1.0725241700000001</v>
      </c>
      <c r="AE916">
        <v>-15.137600000000001</v>
      </c>
      <c r="AF916">
        <v>10.227740858227699</v>
      </c>
      <c r="AG916">
        <v>-1.0725241700000001</v>
      </c>
      <c r="AH916">
        <v>37.274027111058103</v>
      </c>
      <c r="AI916">
        <v>91.589457206828698</v>
      </c>
      <c r="AJ916">
        <v>74.656074606451995</v>
      </c>
      <c r="AK916">
        <v>38.666653439807597</v>
      </c>
      <c r="AL916">
        <v>89.988125494957302</v>
      </c>
      <c r="AM916">
        <v>85.694447407061404</v>
      </c>
      <c r="AN916">
        <v>0.99999995872209901</v>
      </c>
    </row>
    <row r="917" spans="1:40" x14ac:dyDescent="0.25">
      <c r="A917" t="str">
        <f>"20190312160928417"</f>
        <v>20190312160928417</v>
      </c>
      <c r="B917" t="str">
        <f>"1552378168405818"</f>
        <v>1552378168405818</v>
      </c>
      <c r="C917" t="s">
        <v>40</v>
      </c>
      <c r="D917">
        <v>6.1094269999999904</v>
      </c>
      <c r="E917">
        <v>0.57253659999999995</v>
      </c>
      <c r="F917" t="s">
        <v>46</v>
      </c>
      <c r="G917">
        <v>-179.9778</v>
      </c>
      <c r="H917">
        <v>7.2241319999999998E-2</v>
      </c>
      <c r="I917">
        <v>350.71440000000001</v>
      </c>
      <c r="J917">
        <v>-215.3006</v>
      </c>
      <c r="K917">
        <v>1.109891</v>
      </c>
      <c r="L917">
        <v>365.75240000000002</v>
      </c>
      <c r="M917">
        <v>0.99084090000000002</v>
      </c>
      <c r="N917">
        <v>0</v>
      </c>
      <c r="O917">
        <v>-0.13428409999999999</v>
      </c>
      <c r="P917">
        <v>0.97798220000000002</v>
      </c>
      <c r="Q917">
        <v>-1.308671E-2</v>
      </c>
      <c r="R917">
        <v>-0.2082775</v>
      </c>
      <c r="S917">
        <v>2.8130039999999998</v>
      </c>
      <c r="T917">
        <v>-8.1949949999999994E-2</v>
      </c>
      <c r="U917">
        <v>-1.1908259999999999</v>
      </c>
      <c r="V917">
        <v>7.5050899999999907E-2</v>
      </c>
      <c r="W917">
        <v>1.025502E-3</v>
      </c>
      <c r="X917">
        <v>0.99717920000000004</v>
      </c>
      <c r="Y917">
        <v>0.26258720000000002</v>
      </c>
      <c r="Z917" s="1">
        <v>5.0156140000000002E-5</v>
      </c>
      <c r="AA917">
        <v>0.96490819999999999</v>
      </c>
      <c r="AB917">
        <v>29</v>
      </c>
      <c r="AC917">
        <v>35.322800000000001</v>
      </c>
      <c r="AD917">
        <v>-1.0376496799999999</v>
      </c>
      <c r="AE917">
        <v>-15.038</v>
      </c>
      <c r="AF917">
        <v>10.1505859975164</v>
      </c>
      <c r="AG917">
        <v>-1.0376496799999999</v>
      </c>
      <c r="AH917">
        <v>36.995353377475098</v>
      </c>
      <c r="AI917">
        <v>91.549384676817098</v>
      </c>
      <c r="AJ917">
        <v>74.657066499130195</v>
      </c>
      <c r="AK917">
        <v>38.376650250844499</v>
      </c>
      <c r="AL917">
        <v>89.941243054575096</v>
      </c>
      <c r="AM917">
        <v>85.695850929538295</v>
      </c>
      <c r="AN917">
        <v>1.0000000230788999</v>
      </c>
    </row>
    <row r="918" spans="1:40" x14ac:dyDescent="0.25">
      <c r="A918" t="str">
        <f>"20190312160928439"</f>
        <v>20190312160928439</v>
      </c>
      <c r="B918" t="str">
        <f>"1552378168436073"</f>
        <v>1552378168436073</v>
      </c>
      <c r="C918" t="s">
        <v>40</v>
      </c>
      <c r="D918">
        <v>5.6591040000000001</v>
      </c>
      <c r="E918">
        <v>0.57204719999999998</v>
      </c>
      <c r="F918" t="s">
        <v>46</v>
      </c>
      <c r="G918">
        <v>-178.59379999999999</v>
      </c>
      <c r="H918">
        <v>7.9986580000000002E-2</v>
      </c>
      <c r="I918">
        <v>350.22379999999998</v>
      </c>
      <c r="J918">
        <v>-215.01679999999999</v>
      </c>
      <c r="K918">
        <v>1.1098749999999999</v>
      </c>
      <c r="L918">
        <v>365.71350000000001</v>
      </c>
      <c r="M918">
        <v>0.99078169999999999</v>
      </c>
      <c r="N918">
        <v>0</v>
      </c>
      <c r="O918">
        <v>-0.1347216</v>
      </c>
      <c r="P918">
        <v>0.97805390000000003</v>
      </c>
      <c r="Q918">
        <v>-1.258212E-2</v>
      </c>
      <c r="R918">
        <v>-0.20797260000000001</v>
      </c>
      <c r="S918">
        <v>2.813034</v>
      </c>
      <c r="T918">
        <v>-7.8926800000000005E-2</v>
      </c>
      <c r="U918">
        <v>-1.1900329999999999</v>
      </c>
      <c r="V918">
        <v>7.4299180000000006E-2</v>
      </c>
      <c r="W918">
        <v>1.523796E-3</v>
      </c>
      <c r="X918">
        <v>0.99723479999999998</v>
      </c>
      <c r="Y918">
        <v>0.2619301</v>
      </c>
      <c r="Z918" s="1">
        <v>6.8691789999999998E-5</v>
      </c>
      <c r="AA918">
        <v>0.96508680000000002</v>
      </c>
      <c r="AB918">
        <v>29</v>
      </c>
      <c r="AC918">
        <v>36.423000000000002</v>
      </c>
      <c r="AD918">
        <v>-1.02988842</v>
      </c>
      <c r="AE918">
        <v>-15.489699999999999</v>
      </c>
      <c r="AF918">
        <v>10.433935085334401</v>
      </c>
      <c r="AG918">
        <v>-1.02988842</v>
      </c>
      <c r="AH918">
        <v>38.1520582131701</v>
      </c>
      <c r="AI918">
        <v>91.491538003457194</v>
      </c>
      <c r="AJ918">
        <v>74.704592681343399</v>
      </c>
      <c r="AK918">
        <v>39.566491093142702</v>
      </c>
      <c r="AL918">
        <v>89.912692883798897</v>
      </c>
      <c r="AM918">
        <v>85.739038982841805</v>
      </c>
      <c r="AN918">
        <v>0.99999996821698001</v>
      </c>
    </row>
    <row r="919" spans="1:40" x14ac:dyDescent="0.25">
      <c r="A919" t="str">
        <f>"20190312160928462"</f>
        <v>20190312160928462</v>
      </c>
      <c r="B919" t="str">
        <f>"1552378168456573"</f>
        <v>1552378168456573</v>
      </c>
      <c r="C919" t="s">
        <v>40</v>
      </c>
      <c r="D919">
        <v>5.8604209999999997</v>
      </c>
      <c r="E919">
        <v>0.571802699999999</v>
      </c>
      <c r="F919" t="s">
        <v>46</v>
      </c>
      <c r="G919">
        <v>-177.7003</v>
      </c>
      <c r="H919">
        <v>7.9986539999999995E-2</v>
      </c>
      <c r="I919">
        <v>349.99540000000002</v>
      </c>
      <c r="J919">
        <v>-214.7191</v>
      </c>
      <c r="K919">
        <v>1.1098460000000001</v>
      </c>
      <c r="L919">
        <v>365.67250000000001</v>
      </c>
      <c r="M919">
        <v>0.99071240000000005</v>
      </c>
      <c r="N919">
        <v>0</v>
      </c>
      <c r="O919">
        <v>-0.13523019999999999</v>
      </c>
      <c r="P919">
        <v>0.97822120000000001</v>
      </c>
      <c r="Q919">
        <v>-1.190627E-2</v>
      </c>
      <c r="R919">
        <v>-0.20722380000000001</v>
      </c>
      <c r="S919">
        <v>2.8142550000000002</v>
      </c>
      <c r="T919">
        <v>-7.766998E-2</v>
      </c>
      <c r="U919">
        <v>-1.1853940000000001</v>
      </c>
      <c r="V919">
        <v>7.3023589999999999E-2</v>
      </c>
      <c r="W919">
        <v>2.1927980000000001E-3</v>
      </c>
      <c r="X919">
        <v>0.99732779999999999</v>
      </c>
      <c r="Y919">
        <v>0.2599359</v>
      </c>
      <c r="Z919">
        <v>1.0726900000000001E-4</v>
      </c>
      <c r="AA919">
        <v>0.96562590000000004</v>
      </c>
      <c r="AB919">
        <v>29</v>
      </c>
      <c r="AC919">
        <v>37.018799999999999</v>
      </c>
      <c r="AD919">
        <v>-1.0298594599999999</v>
      </c>
      <c r="AE919">
        <v>-15.6770999999999</v>
      </c>
      <c r="AF919">
        <v>10.5195959577898</v>
      </c>
      <c r="AG919">
        <v>-1.0298594599999999</v>
      </c>
      <c r="AH919">
        <v>38.773470104936997</v>
      </c>
      <c r="AI919">
        <v>91.468411665600598</v>
      </c>
      <c r="AJ919">
        <v>74.820537497934893</v>
      </c>
      <c r="AK919">
        <v>40.188362663847599</v>
      </c>
      <c r="AL919">
        <v>89.874361828194495</v>
      </c>
      <c r="AM919">
        <v>85.812318996565594</v>
      </c>
      <c r="AN919">
        <v>0.999999996856198</v>
      </c>
    </row>
    <row r="920" spans="1:40" x14ac:dyDescent="0.25">
      <c r="A920" t="str">
        <f>"20190312160928484"</f>
        <v>20190312160928484</v>
      </c>
      <c r="B920" t="str">
        <f>"1552378168476089"</f>
        <v>1552378168476089</v>
      </c>
      <c r="C920" t="s">
        <v>40</v>
      </c>
      <c r="D920">
        <v>6.0965319999999998</v>
      </c>
      <c r="E920">
        <v>0.57159740000000003</v>
      </c>
      <c r="F920" t="s">
        <v>46</v>
      </c>
      <c r="G920">
        <v>-176.92089999999999</v>
      </c>
      <c r="H920">
        <v>7.998653E-2</v>
      </c>
      <c r="I920">
        <v>349.81630000000001</v>
      </c>
      <c r="J920">
        <v>-214.4331</v>
      </c>
      <c r="K920">
        <v>1.109799</v>
      </c>
      <c r="L920">
        <v>365.63279999999997</v>
      </c>
      <c r="M920">
        <v>0.99063579999999996</v>
      </c>
      <c r="N920">
        <v>0</v>
      </c>
      <c r="O920">
        <v>-0.13579059999999901</v>
      </c>
      <c r="P920">
        <v>0.97838360000000002</v>
      </c>
      <c r="Q920">
        <v>-1.2763180000000001E-2</v>
      </c>
      <c r="R920">
        <v>-0.206404</v>
      </c>
      <c r="S920">
        <v>2.8156590000000001</v>
      </c>
      <c r="T920">
        <v>-7.6716069999999997E-2</v>
      </c>
      <c r="U920">
        <v>-1.181152</v>
      </c>
      <c r="V920">
        <v>7.1624519999999997E-2</v>
      </c>
      <c r="W920">
        <v>1.32734E-3</v>
      </c>
      <c r="X920">
        <v>0.99743079999999995</v>
      </c>
      <c r="Y920">
        <v>0.25798219999999999</v>
      </c>
      <c r="Z920">
        <v>1.4590379999999999E-4</v>
      </c>
      <c r="AA920">
        <v>0.9661497</v>
      </c>
      <c r="AB920">
        <v>29</v>
      </c>
      <c r="AC920">
        <v>37.5122</v>
      </c>
      <c r="AD920">
        <v>-1.02981247</v>
      </c>
      <c r="AE920">
        <v>-15.8164999999999</v>
      </c>
      <c r="AF920">
        <v>10.5688902246936</v>
      </c>
      <c r="AG920">
        <v>-1.02981247</v>
      </c>
      <c r="AH920">
        <v>39.287483848874899</v>
      </c>
      <c r="AI920">
        <v>91.449979245818497</v>
      </c>
      <c r="AJ920">
        <v>74.943083434187201</v>
      </c>
      <c r="AK920">
        <v>40.697276831264801</v>
      </c>
      <c r="AL920">
        <v>89.923948999000899</v>
      </c>
      <c r="AM920">
        <v>85.892696832564198</v>
      </c>
      <c r="AN920">
        <v>1.00000001724267</v>
      </c>
    </row>
    <row r="921" spans="1:40" x14ac:dyDescent="0.25">
      <c r="A921" t="str">
        <f>"20190312160928506"</f>
        <v>20190312160928506</v>
      </c>
      <c r="B921" t="str">
        <f>"1552378168495609"</f>
        <v>1552378168495609</v>
      </c>
      <c r="C921" t="s">
        <v>40</v>
      </c>
      <c r="D921">
        <v>6.6913220000000004</v>
      </c>
      <c r="E921">
        <v>0.57148699999999997</v>
      </c>
      <c r="F921" t="s">
        <v>46</v>
      </c>
      <c r="G921">
        <v>-178.06479999999999</v>
      </c>
      <c r="H921">
        <v>7.9986669999999996E-2</v>
      </c>
      <c r="I921">
        <v>350.43049999999999</v>
      </c>
      <c r="J921">
        <v>-214.149</v>
      </c>
      <c r="K921">
        <v>1.109731</v>
      </c>
      <c r="L921">
        <v>365.59320000000002</v>
      </c>
      <c r="M921">
        <v>0.99054620000000004</v>
      </c>
      <c r="N921">
        <v>0</v>
      </c>
      <c r="O921">
        <v>-0.1364418</v>
      </c>
      <c r="P921">
        <v>0.97846359999999999</v>
      </c>
      <c r="Q921">
        <v>-1.4195269999999999E-2</v>
      </c>
      <c r="R921">
        <v>-0.20593069999999999</v>
      </c>
      <c r="S921">
        <v>2.8168329999999999</v>
      </c>
      <c r="T921">
        <v>-7.9761979999999996E-2</v>
      </c>
      <c r="U921">
        <v>-1.17746</v>
      </c>
      <c r="V921">
        <v>7.0487690000000006E-2</v>
      </c>
      <c r="W921">
        <v>-1.166556E-4</v>
      </c>
      <c r="X921">
        <v>0.99751259999999997</v>
      </c>
      <c r="Y921">
        <v>0.25612289999999999</v>
      </c>
      <c r="Z921">
        <v>1.943491E-4</v>
      </c>
      <c r="AA921">
        <v>0.96664419999999995</v>
      </c>
      <c r="AB921">
        <v>29</v>
      </c>
      <c r="AC921">
        <v>36.084200000000003</v>
      </c>
      <c r="AD921">
        <v>-1.02974433</v>
      </c>
      <c r="AE921">
        <v>-15.162699999999999</v>
      </c>
      <c r="AF921">
        <v>10.089996917659301</v>
      </c>
      <c r="AG921">
        <v>-1.02974433</v>
      </c>
      <c r="AH921">
        <v>37.789553796989601</v>
      </c>
      <c r="AI921">
        <v>91.508086016195193</v>
      </c>
      <c r="AJ921">
        <v>75.050490346146105</v>
      </c>
      <c r="AK921">
        <v>39.126957297483699</v>
      </c>
      <c r="AL921">
        <v>90.006683873835101</v>
      </c>
      <c r="AM921">
        <v>85.958000810483298</v>
      </c>
      <c r="AN921">
        <v>0.99999995760441096</v>
      </c>
    </row>
    <row r="922" spans="1:40" x14ac:dyDescent="0.25">
      <c r="A922" t="str">
        <f>"20190312160928529"</f>
        <v>20190312160928529</v>
      </c>
      <c r="B922" t="str">
        <f>"1552378168525865"</f>
        <v>1552378168525865</v>
      </c>
      <c r="C922" t="s">
        <v>40</v>
      </c>
      <c r="D922">
        <v>6.0147019999999998</v>
      </c>
      <c r="E922">
        <v>0.54408659999999998</v>
      </c>
      <c r="F922" t="s">
        <v>46</v>
      </c>
      <c r="G922">
        <v>-179.76769999999999</v>
      </c>
      <c r="H922">
        <v>7.9986840000000003E-2</v>
      </c>
      <c r="I922">
        <v>351.25389999999999</v>
      </c>
      <c r="J922">
        <v>-213.85319999999999</v>
      </c>
      <c r="K922">
        <v>1.109648</v>
      </c>
      <c r="L922">
        <v>365.55160000000001</v>
      </c>
      <c r="M922">
        <v>0.99044030000000005</v>
      </c>
      <c r="N922">
        <v>0</v>
      </c>
      <c r="O922">
        <v>-0.13720959999999999</v>
      </c>
      <c r="P922">
        <v>0.97832920000000001</v>
      </c>
      <c r="Q922">
        <v>-1.4892910000000001E-2</v>
      </c>
      <c r="R922">
        <v>-0.20652000000000001</v>
      </c>
      <c r="S922">
        <v>2.8174899999999998</v>
      </c>
      <c r="T922">
        <v>-8.4385749999999995E-2</v>
      </c>
      <c r="U922">
        <v>-1.175079</v>
      </c>
      <c r="V922">
        <v>7.0315290000000003E-2</v>
      </c>
      <c r="W922">
        <v>-8.2945709999999995E-4</v>
      </c>
      <c r="X922">
        <v>0.99752450000000004</v>
      </c>
      <c r="Y922">
        <v>0.25459379999999998</v>
      </c>
      <c r="Z922">
        <v>2.4925030000000001E-4</v>
      </c>
      <c r="AA922">
        <v>0.96704800000000002</v>
      </c>
      <c r="AB922">
        <v>29</v>
      </c>
      <c r="AC922">
        <v>34.085500000000003</v>
      </c>
      <c r="AD922">
        <v>-1.0296611600000001</v>
      </c>
      <c r="AE922">
        <v>-14.297700000000001</v>
      </c>
      <c r="AF922">
        <v>9.4777615971672002</v>
      </c>
      <c r="AG922">
        <v>-1.0296611600000001</v>
      </c>
      <c r="AH922">
        <v>35.697333682327098</v>
      </c>
      <c r="AI922">
        <v>91.596897320983402</v>
      </c>
      <c r="AJ922">
        <v>75.130828978334804</v>
      </c>
      <c r="AK922">
        <v>36.948447856771402</v>
      </c>
      <c r="AL922">
        <v>90.047524395233395</v>
      </c>
      <c r="AM922">
        <v>85.967902096416296</v>
      </c>
      <c r="AN922">
        <v>1.0000000280535499</v>
      </c>
    </row>
    <row r="923" spans="1:40" x14ac:dyDescent="0.25">
      <c r="A923" t="str">
        <f>"20190312160928551"</f>
        <v>20190312160928551</v>
      </c>
      <c r="B923" t="str">
        <f>"1552378168546360"</f>
        <v>1552378168546360</v>
      </c>
      <c r="C923" t="s">
        <v>40</v>
      </c>
      <c r="D923">
        <v>5.9188700000000001</v>
      </c>
      <c r="E923">
        <v>0.55797719999999995</v>
      </c>
      <c r="F923" t="s">
        <v>47</v>
      </c>
      <c r="G923">
        <v>-144.57329999999999</v>
      </c>
      <c r="H923">
        <v>3.241069</v>
      </c>
      <c r="I923">
        <v>342.19009999999997</v>
      </c>
      <c r="J923">
        <v>-213.5728</v>
      </c>
      <c r="K923">
        <v>1.109575</v>
      </c>
      <c r="L923">
        <v>365.51190000000003</v>
      </c>
      <c r="M923">
        <v>0.99032450000000005</v>
      </c>
      <c r="N923">
        <v>0</v>
      </c>
      <c r="O923">
        <v>-0.1380429</v>
      </c>
      <c r="P923">
        <v>0.97807140000000004</v>
      </c>
      <c r="Q923">
        <v>-1.466948E-2</v>
      </c>
      <c r="R923">
        <v>-0.20775279999999999</v>
      </c>
      <c r="S923">
        <v>2.8639220000000001</v>
      </c>
      <c r="T923">
        <v>8.8109850000000003E-2</v>
      </c>
      <c r="U923">
        <v>-0.96572880000000005</v>
      </c>
      <c r="V923">
        <v>7.0733050000000006E-2</v>
      </c>
      <c r="W923">
        <v>-6.2285900000000002E-4</v>
      </c>
      <c r="X923">
        <v>0.99749509999999997</v>
      </c>
      <c r="Y923">
        <v>0.18562819999999999</v>
      </c>
      <c r="Z923">
        <v>-1.321079E-3</v>
      </c>
      <c r="AA923">
        <v>0.98261920000000003</v>
      </c>
      <c r="AB923">
        <v>29</v>
      </c>
      <c r="AC923">
        <v>68.999499999999998</v>
      </c>
      <c r="AD923">
        <v>2.131494</v>
      </c>
      <c r="AE923">
        <v>-23.3218</v>
      </c>
      <c r="AF923">
        <v>13.561012472271599</v>
      </c>
      <c r="AG923">
        <v>2.131494</v>
      </c>
      <c r="AH923">
        <v>71.497282624181906</v>
      </c>
      <c r="AI923">
        <v>88.3222843753327</v>
      </c>
      <c r="AJ923">
        <v>79.260187789607102</v>
      </c>
      <c r="AK923">
        <v>72.803198752439997</v>
      </c>
      <c r="AL923">
        <v>90.035687193760296</v>
      </c>
      <c r="AM923">
        <v>85.943907006415799</v>
      </c>
      <c r="AN923">
        <v>1.0000000134198199</v>
      </c>
    </row>
    <row r="924" spans="1:40" x14ac:dyDescent="0.25">
      <c r="A924" t="str">
        <f>"20190312160928574"</f>
        <v>20190312160928574</v>
      </c>
      <c r="B924" t="str">
        <f>"1552378168565881"</f>
        <v>1552378168565881</v>
      </c>
      <c r="C924" t="s">
        <v>40</v>
      </c>
      <c r="D924">
        <v>6.0306989999999896</v>
      </c>
      <c r="E924">
        <v>0.56619039999999998</v>
      </c>
      <c r="F924" t="s">
        <v>46</v>
      </c>
      <c r="G924">
        <v>-178.20330000000001</v>
      </c>
      <c r="H924">
        <v>7.998719E-2</v>
      </c>
      <c r="I924">
        <v>352.1155</v>
      </c>
      <c r="J924">
        <v>-213.27969999999999</v>
      </c>
      <c r="K924">
        <v>1.1094710000000001</v>
      </c>
      <c r="L924">
        <v>365.47</v>
      </c>
      <c r="M924">
        <v>0.99018209999999995</v>
      </c>
      <c r="N924">
        <v>0</v>
      </c>
      <c r="O924">
        <v>-0.13906160000000001</v>
      </c>
      <c r="P924">
        <v>0.97755429999999999</v>
      </c>
      <c r="Q924">
        <v>-1.4773619999999999E-2</v>
      </c>
      <c r="R924">
        <v>-0.21016560000000001</v>
      </c>
      <c r="S924">
        <v>2.837723</v>
      </c>
      <c r="T924">
        <v>-8.2604769999999994E-2</v>
      </c>
      <c r="U924">
        <v>-1.0747990000000001</v>
      </c>
      <c r="V924">
        <v>7.2168019999999999E-2</v>
      </c>
      <c r="W924">
        <v>-7.5042079999999996E-4</v>
      </c>
      <c r="X924">
        <v>0.99739219999999895</v>
      </c>
      <c r="Y924">
        <v>0.22066769999999999</v>
      </c>
      <c r="Z924">
        <v>7.7434719999999995E-4</v>
      </c>
      <c r="AA924">
        <v>0.97534880000000002</v>
      </c>
      <c r="AB924">
        <v>29</v>
      </c>
      <c r="AC924">
        <v>35.0763999999999</v>
      </c>
      <c r="AD924">
        <v>-1.0294838100000001</v>
      </c>
      <c r="AE924">
        <v>-13.3545</v>
      </c>
      <c r="AF924">
        <v>8.3401718253545702</v>
      </c>
      <c r="AG924">
        <v>-1.0294838100000001</v>
      </c>
      <c r="AH924">
        <v>36.56529443366</v>
      </c>
      <c r="AI924">
        <v>91.572356469568604</v>
      </c>
      <c r="AJ924">
        <v>77.151224651845297</v>
      </c>
      <c r="AK924">
        <v>37.518516228813397</v>
      </c>
      <c r="AL924">
        <v>90.0429959490166</v>
      </c>
      <c r="AM924">
        <v>85.861478138429902</v>
      </c>
      <c r="AN924">
        <v>0.99999999343146795</v>
      </c>
    </row>
    <row r="925" spans="1:40" x14ac:dyDescent="0.25">
      <c r="A925" t="str">
        <f>"20190312160928597"</f>
        <v>20190312160928597</v>
      </c>
      <c r="B925" t="str">
        <f>"1552378168586378"</f>
        <v>1552378168586378</v>
      </c>
      <c r="C925" t="s">
        <v>40</v>
      </c>
      <c r="D925">
        <v>6.0245139999999999</v>
      </c>
      <c r="E925">
        <v>0.56406099999999904</v>
      </c>
      <c r="F925" t="s">
        <v>47</v>
      </c>
      <c r="G925">
        <v>-156.46709999999999</v>
      </c>
      <c r="H925">
        <v>0.58802860000000001</v>
      </c>
      <c r="I925">
        <v>342.3809</v>
      </c>
      <c r="J925">
        <v>-212.99109999999999</v>
      </c>
      <c r="K925">
        <v>1.1093440000000001</v>
      </c>
      <c r="L925">
        <v>365.4282</v>
      </c>
      <c r="M925">
        <v>0.99001499999999998</v>
      </c>
      <c r="N925">
        <v>0</v>
      </c>
      <c r="O925">
        <v>-0.14024629999999999</v>
      </c>
      <c r="P925">
        <v>0.97660829999999998</v>
      </c>
      <c r="Q925">
        <v>-1.6706229999999999E-2</v>
      </c>
      <c r="R925">
        <v>-0.2143767</v>
      </c>
      <c r="S925">
        <v>2.8219150000000002</v>
      </c>
      <c r="T925">
        <v>-2.590013E-2</v>
      </c>
      <c r="U925">
        <v>-1.1468510000000001</v>
      </c>
      <c r="V925">
        <v>7.5272309999999995E-2</v>
      </c>
      <c r="W925">
        <v>-2.7166040000000001E-3</v>
      </c>
      <c r="X925">
        <v>0.99715929999999997</v>
      </c>
      <c r="Y925">
        <v>0.2428382</v>
      </c>
      <c r="Z925">
        <v>1.5487709999999999E-4</v>
      </c>
      <c r="AA925">
        <v>0.97006680000000001</v>
      </c>
      <c r="AB925">
        <v>29</v>
      </c>
      <c r="AC925">
        <v>56.523999999999901</v>
      </c>
      <c r="AD925">
        <v>-0.52131539999999998</v>
      </c>
      <c r="AE925">
        <v>-23.0473</v>
      </c>
      <c r="AF925">
        <v>14.8903035177667</v>
      </c>
      <c r="AG925">
        <v>-0.52131539999999998</v>
      </c>
      <c r="AH925">
        <v>59.193546898338703</v>
      </c>
      <c r="AI925">
        <v>90.489344466542406</v>
      </c>
      <c r="AJ925">
        <v>75.880050792806898</v>
      </c>
      <c r="AK925">
        <v>61.0398959943685</v>
      </c>
      <c r="AL925">
        <v>90.155650137578505</v>
      </c>
      <c r="AM925">
        <v>85.6831152295876</v>
      </c>
      <c r="AN925">
        <v>0.99999998508325905</v>
      </c>
    </row>
    <row r="926" spans="1:40" x14ac:dyDescent="0.25">
      <c r="A926" t="str">
        <f>"20190312160928618"</f>
        <v>20190312160928618</v>
      </c>
      <c r="B926" t="str">
        <f>"1552378168615658"</f>
        <v>1552378168615658</v>
      </c>
      <c r="C926" t="s">
        <v>40</v>
      </c>
      <c r="D926">
        <v>6.0258260000000003</v>
      </c>
      <c r="E926">
        <v>0.55055350000000003</v>
      </c>
      <c r="F926" t="s">
        <v>47</v>
      </c>
      <c r="G926">
        <v>-156.46719999999999</v>
      </c>
      <c r="H926">
        <v>0.69435179999999996</v>
      </c>
      <c r="I926">
        <v>342.53059999999999</v>
      </c>
      <c r="J926">
        <v>-212.70859999999999</v>
      </c>
      <c r="K926">
        <v>1.1091850000000001</v>
      </c>
      <c r="L926">
        <v>365.38670000000002</v>
      </c>
      <c r="M926">
        <v>0.9898209</v>
      </c>
      <c r="N926">
        <v>0</v>
      </c>
      <c r="O926">
        <v>-0.14160989999999901</v>
      </c>
      <c r="P926">
        <v>0.97595410000000005</v>
      </c>
      <c r="Q926">
        <v>-1.7007640000000001E-2</v>
      </c>
      <c r="R926">
        <v>-0.2173117</v>
      </c>
      <c r="S926">
        <v>2.8206630000000001</v>
      </c>
      <c r="T926">
        <v>-2.070868E-2</v>
      </c>
      <c r="U926">
        <v>-1.142639</v>
      </c>
      <c r="V926">
        <v>7.6895249999999998E-2</v>
      </c>
      <c r="W926">
        <v>-3.052164E-3</v>
      </c>
      <c r="X926">
        <v>0.99703450000000005</v>
      </c>
      <c r="Y926">
        <v>0.24040919999999999</v>
      </c>
      <c r="Z926">
        <v>1.419449E-4</v>
      </c>
      <c r="AA926">
        <v>0.97067159999999997</v>
      </c>
      <c r="AB926">
        <v>29</v>
      </c>
      <c r="AC926">
        <v>56.241399999999999</v>
      </c>
      <c r="AD926">
        <v>-0.41483320000000001</v>
      </c>
      <c r="AE926">
        <v>-22.856100000000001</v>
      </c>
      <c r="AF926">
        <v>14.659897020288399</v>
      </c>
      <c r="AG926">
        <v>-0.41483320000000001</v>
      </c>
      <c r="AH926">
        <v>58.908740026086598</v>
      </c>
      <c r="AI926">
        <v>90.391526951145494</v>
      </c>
      <c r="AJ926">
        <v>76.025368922856899</v>
      </c>
      <c r="AK926">
        <v>60.706872087848097</v>
      </c>
      <c r="AL926">
        <v>90.174876388028295</v>
      </c>
      <c r="AM926">
        <v>85.589852709833494</v>
      </c>
      <c r="AN926">
        <v>0.99999999468394696</v>
      </c>
    </row>
    <row r="927" spans="1:40" x14ac:dyDescent="0.25">
      <c r="A927" t="str">
        <f>"20190312160928642"</f>
        <v>20190312160928642</v>
      </c>
      <c r="B927" t="str">
        <f>"1552378168636153"</f>
        <v>1552378168636153</v>
      </c>
      <c r="C927" t="s">
        <v>40</v>
      </c>
      <c r="D927">
        <v>6.0532349999999999</v>
      </c>
      <c r="E927">
        <v>0.55681809999999998</v>
      </c>
      <c r="F927" t="s">
        <v>47</v>
      </c>
      <c r="G927">
        <v>-149.96610000000001</v>
      </c>
      <c r="H927">
        <v>2.213381</v>
      </c>
      <c r="I927">
        <v>342.27809999999999</v>
      </c>
      <c r="J927">
        <v>-212.41149999999999</v>
      </c>
      <c r="K927">
        <v>1.1089960000000001</v>
      </c>
      <c r="L927">
        <v>365.34249999999997</v>
      </c>
      <c r="M927">
        <v>0.9895794</v>
      </c>
      <c r="N927">
        <v>0</v>
      </c>
      <c r="O927">
        <v>-0.14328750000000001</v>
      </c>
      <c r="P927">
        <v>0.9755085</v>
      </c>
      <c r="Q927">
        <v>-1.62168E-2</v>
      </c>
      <c r="R927">
        <v>-0.21936430000000001</v>
      </c>
      <c r="S927">
        <v>2.8417210000000002</v>
      </c>
      <c r="T927">
        <v>5.0011279999999998E-2</v>
      </c>
      <c r="U927">
        <v>-1.0466310000000001</v>
      </c>
      <c r="V927">
        <v>7.7301460000000002E-2</v>
      </c>
      <c r="W927">
        <v>-2.29692E-3</v>
      </c>
      <c r="X927">
        <v>0.99700509999999998</v>
      </c>
      <c r="Y927">
        <v>0.20756559999999999</v>
      </c>
      <c r="Z927">
        <v>-6.5160789999999999E-4</v>
      </c>
      <c r="AA927">
        <v>0.97822089999999995</v>
      </c>
      <c r="AB927">
        <v>29</v>
      </c>
      <c r="AC927">
        <v>62.4453999999999</v>
      </c>
      <c r="AD927">
        <v>1.104385</v>
      </c>
      <c r="AE927">
        <v>-23.0643999999999</v>
      </c>
      <c r="AF927">
        <v>13.873988176209</v>
      </c>
      <c r="AG927">
        <v>1.104385</v>
      </c>
      <c r="AH927">
        <v>65.088160635079205</v>
      </c>
      <c r="AI927">
        <v>89.0492801148269</v>
      </c>
      <c r="AJ927">
        <v>77.9670960474119</v>
      </c>
      <c r="AK927">
        <v>66.559566322202599</v>
      </c>
      <c r="AL927">
        <v>90.131603940166798</v>
      </c>
      <c r="AM927">
        <v>85.566517909431695</v>
      </c>
      <c r="AN927">
        <v>0.99999998049281302</v>
      </c>
    </row>
    <row r="928" spans="1:40" x14ac:dyDescent="0.25">
      <c r="A928" t="str">
        <f>"20190312160928664"</f>
        <v>20190312160928664</v>
      </c>
      <c r="B928" t="str">
        <f>"1552378168655673"</f>
        <v>1552378168655673</v>
      </c>
      <c r="C928" t="s">
        <v>40</v>
      </c>
      <c r="D928">
        <v>5.9385240000000001</v>
      </c>
      <c r="E928">
        <v>0.56164939999999997</v>
      </c>
      <c r="F928" t="s">
        <v>47</v>
      </c>
      <c r="G928">
        <v>-154.1438</v>
      </c>
      <c r="H928">
        <v>2.94957</v>
      </c>
      <c r="I928">
        <v>342.64400000000001</v>
      </c>
      <c r="J928">
        <v>-212.12389999999999</v>
      </c>
      <c r="K928">
        <v>1.108803</v>
      </c>
      <c r="L928">
        <v>365.29880000000003</v>
      </c>
      <c r="M928">
        <v>0.98930309999999999</v>
      </c>
      <c r="N928">
        <v>0</v>
      </c>
      <c r="O928">
        <v>-0.1451829</v>
      </c>
      <c r="P928">
        <v>0.97513689999999997</v>
      </c>
      <c r="Q928">
        <v>-1.5677969999999999E-2</v>
      </c>
      <c r="R928">
        <v>-0.22104840000000001</v>
      </c>
      <c r="S928">
        <v>2.8289949999999999</v>
      </c>
      <c r="T928">
        <v>8.9363219999999993E-2</v>
      </c>
      <c r="U928">
        <v>-1.1020509999999999</v>
      </c>
      <c r="V928">
        <v>7.7112739999999999E-2</v>
      </c>
      <c r="W928">
        <v>-1.7925879999999999E-3</v>
      </c>
      <c r="X928">
        <v>0.99702080000000004</v>
      </c>
      <c r="Y928">
        <v>0.22381100000000001</v>
      </c>
      <c r="Z928">
        <v>-9.7274130000000005E-4</v>
      </c>
      <c r="AA928">
        <v>0.9746321</v>
      </c>
      <c r="AB928">
        <v>29</v>
      </c>
      <c r="AC928">
        <v>57.980099999999901</v>
      </c>
      <c r="AD928">
        <v>1.8407669999999901</v>
      </c>
      <c r="AE928">
        <v>-22.654800000000002</v>
      </c>
      <c r="AF928">
        <v>13.9839254029958</v>
      </c>
      <c r="AG928">
        <v>1.8407669999999901</v>
      </c>
      <c r="AH928">
        <v>60.602094202386901</v>
      </c>
      <c r="AI928">
        <v>88.304716828475804</v>
      </c>
      <c r="AJ928">
        <v>77.0064363756441</v>
      </c>
      <c r="AK928">
        <v>62.2218001550889</v>
      </c>
      <c r="AL928">
        <v>90.102707778542197</v>
      </c>
      <c r="AM928">
        <v>85.577367967537995</v>
      </c>
      <c r="AN928">
        <v>1.0000000318373401</v>
      </c>
    </row>
    <row r="929" spans="1:40" x14ac:dyDescent="0.25">
      <c r="A929" t="str">
        <f>"20190312160928685"</f>
        <v>20190312160928685</v>
      </c>
      <c r="B929" t="str">
        <f>"1552378168676170"</f>
        <v>1552378168676170</v>
      </c>
      <c r="C929" t="s">
        <v>40</v>
      </c>
      <c r="D929">
        <v>5.7879949999999996</v>
      </c>
      <c r="E929">
        <v>0.5634557</v>
      </c>
      <c r="F929" t="s">
        <v>47</v>
      </c>
      <c r="G929">
        <v>-156.3185</v>
      </c>
      <c r="H929">
        <v>2.7773020000000002</v>
      </c>
      <c r="I929">
        <v>342.64400000000001</v>
      </c>
      <c r="J929">
        <v>-211.8433</v>
      </c>
      <c r="K929">
        <v>1.1085959999999999</v>
      </c>
      <c r="L929">
        <v>365.25529999999998</v>
      </c>
      <c r="M929">
        <v>0.98898620000000004</v>
      </c>
      <c r="N929">
        <v>0</v>
      </c>
      <c r="O929">
        <v>-0.1473257</v>
      </c>
      <c r="P929">
        <v>0.97450099999999995</v>
      </c>
      <c r="Q929">
        <v>-1.7103989999999999E-2</v>
      </c>
      <c r="R929">
        <v>-0.2237307</v>
      </c>
      <c r="S929">
        <v>2.8184809999999998</v>
      </c>
      <c r="T929">
        <v>8.426881E-2</v>
      </c>
      <c r="U929">
        <v>-1.144196</v>
      </c>
      <c r="V929">
        <v>7.7693139999999994E-2</v>
      </c>
      <c r="W929">
        <v>-3.2566130000000002E-3</v>
      </c>
      <c r="X929">
        <v>0.99697199999999997</v>
      </c>
      <c r="Y929">
        <v>0.235489</v>
      </c>
      <c r="Z929">
        <v>-8.0932979999999996E-4</v>
      </c>
      <c r="AA929">
        <v>0.97187670000000004</v>
      </c>
      <c r="AB929">
        <v>29</v>
      </c>
      <c r="AC929">
        <v>55.524799999999999</v>
      </c>
      <c r="AD929">
        <v>1.668706</v>
      </c>
      <c r="AE929">
        <v>-22.6112999999999</v>
      </c>
      <c r="AF929">
        <v>14.172482428389999</v>
      </c>
      <c r="AG929">
        <v>1.668706</v>
      </c>
      <c r="AH929">
        <v>58.205260503693303</v>
      </c>
      <c r="AI929">
        <v>88.404411524334705</v>
      </c>
      <c r="AJ929">
        <v>76.315267648603495</v>
      </c>
      <c r="AK929">
        <v>59.929093003317398</v>
      </c>
      <c r="AL929">
        <v>90.186590510380697</v>
      </c>
      <c r="AM929">
        <v>85.543996727551402</v>
      </c>
      <c r="AN929">
        <v>0.99999999915764504</v>
      </c>
    </row>
    <row r="930" spans="1:40" x14ac:dyDescent="0.25">
      <c r="A930" t="str">
        <f>"20190312160928708"</f>
        <v>20190312160928708</v>
      </c>
      <c r="B930" t="str">
        <f>"1552378168695689"</f>
        <v>1552378168695689</v>
      </c>
      <c r="C930" t="s">
        <v>40</v>
      </c>
      <c r="D930">
        <v>5.9628370000000004</v>
      </c>
      <c r="E930">
        <v>0.56499790000000005</v>
      </c>
      <c r="F930" t="s">
        <v>47</v>
      </c>
      <c r="G930">
        <v>-156.46780000000001</v>
      </c>
      <c r="H930">
        <v>2.5427300000000002</v>
      </c>
      <c r="I930">
        <v>342.29259999999999</v>
      </c>
      <c r="J930">
        <v>-211.5677</v>
      </c>
      <c r="K930">
        <v>1.108409</v>
      </c>
      <c r="L930">
        <v>365.21179999999998</v>
      </c>
      <c r="M930">
        <v>0.98863719999999999</v>
      </c>
      <c r="N930">
        <v>0</v>
      </c>
      <c r="O930">
        <v>-0.14964930000000001</v>
      </c>
      <c r="P930">
        <v>0.97367110000000001</v>
      </c>
      <c r="Q930">
        <v>-1.8229039999999998E-2</v>
      </c>
      <c r="R930">
        <v>-0.22722880000000001</v>
      </c>
      <c r="S930">
        <v>2.8120419999999999</v>
      </c>
      <c r="T930">
        <v>7.2827580000000003E-2</v>
      </c>
      <c r="U930">
        <v>-1.166077</v>
      </c>
      <c r="V930">
        <v>7.8926679999999999E-2</v>
      </c>
      <c r="W930">
        <v>-4.4189729999999997E-3</v>
      </c>
      <c r="X930">
        <v>0.99687060000000005</v>
      </c>
      <c r="Y930">
        <v>0.2404558</v>
      </c>
      <c r="Z930">
        <v>-6.9417039999999995E-4</v>
      </c>
      <c r="AA930">
        <v>0.97065990000000002</v>
      </c>
      <c r="AB930">
        <v>29</v>
      </c>
      <c r="AC930">
        <v>55.099899999999899</v>
      </c>
      <c r="AD930">
        <v>1.43432099999999</v>
      </c>
      <c r="AE930">
        <v>-22.919199999999901</v>
      </c>
      <c r="AF930">
        <v>14.4062429576938</v>
      </c>
      <c r="AG930">
        <v>1.43432099999999</v>
      </c>
      <c r="AH930">
        <v>57.8760562030252</v>
      </c>
      <c r="AI930">
        <v>88.622370275696397</v>
      </c>
      <c r="AJ930">
        <v>76.022257782397702</v>
      </c>
      <c r="AK930">
        <v>59.659324455636202</v>
      </c>
      <c r="AL930">
        <v>90.253189334138398</v>
      </c>
      <c r="AM930">
        <v>85.473081630872599</v>
      </c>
      <c r="AN930">
        <v>0.99999997064127799</v>
      </c>
    </row>
    <row r="931" spans="1:40" x14ac:dyDescent="0.25">
      <c r="A931" t="str">
        <f>"20190312160928732"</f>
        <v>20190312160928732</v>
      </c>
      <c r="B931" t="str">
        <f>"1552378168725945"</f>
        <v>1552378168725945</v>
      </c>
      <c r="C931" t="s">
        <v>40</v>
      </c>
      <c r="D931">
        <v>5.9102489999999896</v>
      </c>
      <c r="E931">
        <v>0.56583760000000005</v>
      </c>
      <c r="F931" t="s">
        <v>47</v>
      </c>
      <c r="G931">
        <v>-157.2303</v>
      </c>
      <c r="H931">
        <v>2.3468719999999998</v>
      </c>
      <c r="I931">
        <v>342.19</v>
      </c>
      <c r="J931">
        <v>-211.26390000000001</v>
      </c>
      <c r="K931">
        <v>1.108233</v>
      </c>
      <c r="L931">
        <v>365.1626</v>
      </c>
      <c r="M931">
        <v>0.98820790000000003</v>
      </c>
      <c r="N931">
        <v>0</v>
      </c>
      <c r="O931">
        <v>-0.15245790000000001</v>
      </c>
      <c r="P931">
        <v>0.97273739999999997</v>
      </c>
      <c r="Q931">
        <v>-1.8771199999999998E-2</v>
      </c>
      <c r="R931">
        <v>-0.2311493</v>
      </c>
      <c r="S931">
        <v>2.8049770000000001</v>
      </c>
      <c r="T931">
        <v>6.3931580000000002E-2</v>
      </c>
      <c r="U931">
        <v>-1.1884159999999999</v>
      </c>
      <c r="V931">
        <v>8.0106849999999993E-2</v>
      </c>
      <c r="W931">
        <v>-4.998682E-3</v>
      </c>
      <c r="X931">
        <v>0.99677380000000004</v>
      </c>
      <c r="Y931">
        <v>0.24513760000000001</v>
      </c>
      <c r="Z931">
        <v>-6.1820959999999998E-4</v>
      </c>
      <c r="AA931">
        <v>0.96948809999999996</v>
      </c>
      <c r="AB931">
        <v>29</v>
      </c>
      <c r="AC931">
        <v>54.0336</v>
      </c>
      <c r="AD931">
        <v>1.238639</v>
      </c>
      <c r="AE931">
        <v>-22.9726</v>
      </c>
      <c r="AF931">
        <v>14.4588799553167</v>
      </c>
      <c r="AG931">
        <v>1.238639</v>
      </c>
      <c r="AH931">
        <v>56.8792111776064</v>
      </c>
      <c r="AI931">
        <v>88.790927951820507</v>
      </c>
      <c r="AJ931">
        <v>75.737319917389698</v>
      </c>
      <c r="AK931">
        <v>58.701261488330204</v>
      </c>
      <c r="AL931">
        <v>90.286404559766297</v>
      </c>
      <c r="AM931">
        <v>85.405235206847706</v>
      </c>
      <c r="AN931">
        <v>1.00000005130254</v>
      </c>
    </row>
    <row r="932" spans="1:40" x14ac:dyDescent="0.25">
      <c r="A932" t="str">
        <f>"20190312160928753"</f>
        <v>20190312160928753</v>
      </c>
      <c r="B932" t="str">
        <f>"1552378168746441"</f>
        <v>1552378168746441</v>
      </c>
      <c r="C932" t="s">
        <v>40</v>
      </c>
      <c r="D932">
        <v>5.8489019999999998</v>
      </c>
      <c r="E932">
        <v>0.56906619999999997</v>
      </c>
      <c r="F932" t="s">
        <v>47</v>
      </c>
      <c r="G932">
        <v>-157.97059999999999</v>
      </c>
      <c r="H932">
        <v>2.3264309999999999</v>
      </c>
      <c r="I932">
        <v>342.19</v>
      </c>
      <c r="J932">
        <v>-210.98849999999999</v>
      </c>
      <c r="K932">
        <v>1.1080909999999999</v>
      </c>
      <c r="L932">
        <v>365.11720000000003</v>
      </c>
      <c r="M932">
        <v>0.98777890000000002</v>
      </c>
      <c r="N932">
        <v>0</v>
      </c>
      <c r="O932">
        <v>-0.15521309999999999</v>
      </c>
      <c r="P932">
        <v>0.97184879999999996</v>
      </c>
      <c r="Q932">
        <v>-1.7477799999999901E-2</v>
      </c>
      <c r="R932">
        <v>-0.23495669999999999</v>
      </c>
      <c r="S932">
        <v>2.7986599999999999</v>
      </c>
      <c r="T932">
        <v>6.3973070000000007E-2</v>
      </c>
      <c r="U932">
        <v>-1.2063900000000001</v>
      </c>
      <c r="V932">
        <v>8.1231419999999999E-2</v>
      </c>
      <c r="W932">
        <v>-3.738173E-3</v>
      </c>
      <c r="X932">
        <v>0.99668820000000002</v>
      </c>
      <c r="Y932">
        <v>0.24848139999999999</v>
      </c>
      <c r="Z932">
        <v>-6.409753E-4</v>
      </c>
      <c r="AA932">
        <v>0.96863650000000001</v>
      </c>
      <c r="AB932">
        <v>29</v>
      </c>
      <c r="AC932">
        <v>53.017899999999997</v>
      </c>
      <c r="AD932">
        <v>1.21834</v>
      </c>
      <c r="AE932">
        <v>-22.927199999999999</v>
      </c>
      <c r="AF932">
        <v>14.412974342176099</v>
      </c>
      <c r="AG932">
        <v>1.21834</v>
      </c>
      <c r="AH932">
        <v>55.909334337243003</v>
      </c>
      <c r="AI932">
        <v>88.7911546090249</v>
      </c>
      <c r="AJ932">
        <v>75.544350553286904</v>
      </c>
      <c r="AK932">
        <v>57.7500809330813</v>
      </c>
      <c r="AL932">
        <v>90.214182047075894</v>
      </c>
      <c r="AM932">
        <v>85.340615807756706</v>
      </c>
      <c r="AN932">
        <v>0.99999994277591497</v>
      </c>
    </row>
    <row r="933" spans="1:40" x14ac:dyDescent="0.25">
      <c r="A933" t="str">
        <f>"20190312160928776"</f>
        <v>20190312160928776</v>
      </c>
      <c r="B933" t="str">
        <f>"1552378168765962"</f>
        <v>1552378168765962</v>
      </c>
      <c r="C933" t="s">
        <v>40</v>
      </c>
      <c r="D933">
        <v>6.1948189999999999</v>
      </c>
      <c r="E933">
        <v>0.57216709999999904</v>
      </c>
      <c r="F933" t="s">
        <v>47</v>
      </c>
      <c r="G933">
        <v>-160.55950000000001</v>
      </c>
      <c r="H933">
        <v>2.0925120000000001</v>
      </c>
      <c r="I933">
        <v>342.64389999999997</v>
      </c>
      <c r="J933">
        <v>-210.7002</v>
      </c>
      <c r="K933">
        <v>1.107942</v>
      </c>
      <c r="L933">
        <v>365.0686</v>
      </c>
      <c r="M933">
        <v>0.98728899999999997</v>
      </c>
      <c r="N933">
        <v>0</v>
      </c>
      <c r="O933">
        <v>-0.1582981</v>
      </c>
      <c r="P933">
        <v>0.97087109999999999</v>
      </c>
      <c r="Q933">
        <v>-1.6210840000000001E-2</v>
      </c>
      <c r="R933">
        <v>-0.23905370000000001</v>
      </c>
      <c r="S933">
        <v>2.7875519999999998</v>
      </c>
      <c r="T933">
        <v>5.4415940000000003E-2</v>
      </c>
      <c r="U933">
        <v>-1.2422489999999999</v>
      </c>
      <c r="V933">
        <v>8.2323549999999995E-2</v>
      </c>
      <c r="W933">
        <v>-2.5043019999999999E-3</v>
      </c>
      <c r="X933">
        <v>0.99660249999999995</v>
      </c>
      <c r="Y933">
        <v>0.25729730000000001</v>
      </c>
      <c r="Z933">
        <v>-5.190619E-4</v>
      </c>
      <c r="AA933">
        <v>0.96633210000000003</v>
      </c>
      <c r="AB933">
        <v>29</v>
      </c>
      <c r="AC933">
        <v>50.140699999999903</v>
      </c>
      <c r="AD933">
        <v>0.98456999999999895</v>
      </c>
      <c r="AE933">
        <v>-22.424700000000001</v>
      </c>
      <c r="AF933">
        <v>14.199355379277</v>
      </c>
      <c r="AG933">
        <v>0.98456999999999895</v>
      </c>
      <c r="AH933">
        <v>53.041469165505902</v>
      </c>
      <c r="AI933">
        <v>88.972746437208301</v>
      </c>
      <c r="AJ933">
        <v>75.013166769438001</v>
      </c>
      <c r="AK933">
        <v>54.918016374475997</v>
      </c>
      <c r="AL933">
        <v>90.1434860865389</v>
      </c>
      <c r="AM933">
        <v>85.277849083563794</v>
      </c>
      <c r="AN933">
        <v>0.99999999070967904</v>
      </c>
    </row>
    <row r="934" spans="1:40" x14ac:dyDescent="0.25">
      <c r="A934" t="str">
        <f>"20190312160928799"</f>
        <v>20190312160928799</v>
      </c>
      <c r="B934" t="str">
        <f>"1552378168796220"</f>
        <v>1552378168796220</v>
      </c>
      <c r="C934" t="s">
        <v>40</v>
      </c>
      <c r="D934">
        <v>5.8120729999999998</v>
      </c>
      <c r="E934">
        <v>0.57464249999999995</v>
      </c>
      <c r="F934" t="s">
        <v>47</v>
      </c>
      <c r="G934">
        <v>-161.9837</v>
      </c>
      <c r="H934">
        <v>1.950304</v>
      </c>
      <c r="I934">
        <v>342.64389999999997</v>
      </c>
      <c r="J934">
        <v>-210.4084</v>
      </c>
      <c r="K934">
        <v>1.1077939999999999</v>
      </c>
      <c r="L934">
        <v>365.01819999999998</v>
      </c>
      <c r="M934">
        <v>0.98675250000000003</v>
      </c>
      <c r="N934">
        <v>0</v>
      </c>
      <c r="O934">
        <v>-0.16161010000000001</v>
      </c>
      <c r="P934">
        <v>0.96981070000000003</v>
      </c>
      <c r="Q934">
        <v>-1.5848709999999998E-2</v>
      </c>
      <c r="R934">
        <v>-0.24334439999999999</v>
      </c>
      <c r="S934">
        <v>2.7761689999999999</v>
      </c>
      <c r="T934">
        <v>4.8003320000000002E-2</v>
      </c>
      <c r="U934">
        <v>-1.2778929999999999</v>
      </c>
      <c r="V934">
        <v>8.3386379999999996E-2</v>
      </c>
      <c r="W934">
        <v>-2.175026E-3</v>
      </c>
      <c r="X934">
        <v>0.99651489999999998</v>
      </c>
      <c r="Y934">
        <v>0.26580740000000003</v>
      </c>
      <c r="Z934">
        <v>-4.4083570000000001E-4</v>
      </c>
      <c r="AA934">
        <v>0.96402600000000005</v>
      </c>
      <c r="AB934">
        <v>29</v>
      </c>
      <c r="AC934">
        <v>48.424700000000001</v>
      </c>
      <c r="AD934">
        <v>0.84250999999999998</v>
      </c>
      <c r="AE934">
        <v>-22.374300000000002</v>
      </c>
      <c r="AF934">
        <v>14.2498586161923</v>
      </c>
      <c r="AG934">
        <v>0.84250999999999998</v>
      </c>
      <c r="AH934">
        <v>51.3914709345459</v>
      </c>
      <c r="AI934">
        <v>89.094922117773507</v>
      </c>
      <c r="AJ934">
        <v>74.5023372768717</v>
      </c>
      <c r="AK934">
        <v>53.337150078513297</v>
      </c>
      <c r="AL934">
        <v>90.124619910567702</v>
      </c>
      <c r="AM934">
        <v>85.216746762947807</v>
      </c>
      <c r="AN934">
        <v>0.99999998251480704</v>
      </c>
    </row>
    <row r="935" spans="1:40" x14ac:dyDescent="0.25">
      <c r="A935" t="str">
        <f>"20190312160928821"</f>
        <v>20190312160928821</v>
      </c>
      <c r="B935" t="str">
        <f>"1552378168815738"</f>
        <v>1552378168815738</v>
      </c>
      <c r="C935" t="s">
        <v>40</v>
      </c>
      <c r="D935">
        <v>6.1378589999999997</v>
      </c>
      <c r="E935">
        <v>0.57503139999999997</v>
      </c>
      <c r="F935" t="s">
        <v>47</v>
      </c>
      <c r="G935">
        <v>-162.62790000000001</v>
      </c>
      <c r="H935">
        <v>2.0115340000000002</v>
      </c>
      <c r="I935">
        <v>342.3972</v>
      </c>
      <c r="J935">
        <v>-210.131</v>
      </c>
      <c r="K935">
        <v>1.107661</v>
      </c>
      <c r="L935">
        <v>364.9692</v>
      </c>
      <c r="M935">
        <v>0.98620430000000003</v>
      </c>
      <c r="N935">
        <v>0</v>
      </c>
      <c r="O935">
        <v>-0.1649206</v>
      </c>
      <c r="P935">
        <v>0.9687093</v>
      </c>
      <c r="Q935">
        <v>-1.6177609999999999E-2</v>
      </c>
      <c r="R935">
        <v>-0.24767040000000001</v>
      </c>
      <c r="S935">
        <v>2.765717</v>
      </c>
      <c r="T935">
        <v>5.2312249999999998E-2</v>
      </c>
      <c r="U935">
        <v>-1.3093870000000001</v>
      </c>
      <c r="V935">
        <v>8.4487899999999894E-2</v>
      </c>
      <c r="W935">
        <v>-2.5353289999999998E-3</v>
      </c>
      <c r="X935">
        <v>0.99642129999999995</v>
      </c>
      <c r="Y935">
        <v>0.27295190000000003</v>
      </c>
      <c r="Z935">
        <v>-4.7394279999999998E-4</v>
      </c>
      <c r="AA935">
        <v>0.96202750000000004</v>
      </c>
      <c r="AB935">
        <v>29</v>
      </c>
      <c r="AC935">
        <v>47.503099999999897</v>
      </c>
      <c r="AD935">
        <v>0.90387300000000004</v>
      </c>
      <c r="AE935">
        <v>-22.571999999999999</v>
      </c>
      <c r="AF935">
        <v>14.423562778848501</v>
      </c>
      <c r="AG935">
        <v>0.90387300000000004</v>
      </c>
      <c r="AH935">
        <v>50.560530863634902</v>
      </c>
      <c r="AI935">
        <v>89.015113193652894</v>
      </c>
      <c r="AJ935">
        <v>74.077973556716302</v>
      </c>
      <c r="AK935">
        <v>52.585391800842203</v>
      </c>
      <c r="AL935">
        <v>90.145263804078496</v>
      </c>
      <c r="AM935">
        <v>85.153406711395505</v>
      </c>
      <c r="AN935">
        <v>1.0000000201166099</v>
      </c>
    </row>
    <row r="936" spans="1:40" x14ac:dyDescent="0.25">
      <c r="A936" t="str">
        <f>"20190312160928843"</f>
        <v>20190312160928843</v>
      </c>
      <c r="B936" t="str">
        <f>"1552378168836234"</f>
        <v>1552378168836234</v>
      </c>
      <c r="C936" t="s">
        <v>40</v>
      </c>
      <c r="D936">
        <v>5.96347</v>
      </c>
      <c r="E936">
        <v>0.57569349999999997</v>
      </c>
      <c r="F936" t="s">
        <v>47</v>
      </c>
      <c r="G936">
        <v>-162.69640000000001</v>
      </c>
      <c r="H936">
        <v>1.8033619999999999</v>
      </c>
      <c r="I936">
        <v>342.18990000000002</v>
      </c>
      <c r="J936">
        <v>-209.8493</v>
      </c>
      <c r="K936">
        <v>1.107532</v>
      </c>
      <c r="L936">
        <v>364.91829999999999</v>
      </c>
      <c r="M936">
        <v>0.98560990000000004</v>
      </c>
      <c r="N936">
        <v>0</v>
      </c>
      <c r="O936">
        <v>-0.16843559999999999</v>
      </c>
      <c r="P936">
        <v>0.96772279999999999</v>
      </c>
      <c r="Q936">
        <v>-1.6001560000000001E-2</v>
      </c>
      <c r="R936">
        <v>-0.25150840000000002</v>
      </c>
      <c r="S936">
        <v>2.7588349999999999</v>
      </c>
      <c r="T936">
        <v>4.0462970000000001E-2</v>
      </c>
      <c r="U936">
        <v>-1.3248599999999999</v>
      </c>
      <c r="V936">
        <v>8.4884829999999994E-2</v>
      </c>
      <c r="W936">
        <v>-2.3845329999999999E-3</v>
      </c>
      <c r="X936">
        <v>0.99638789999999999</v>
      </c>
      <c r="Y936">
        <v>0.27484930000000002</v>
      </c>
      <c r="Z936">
        <v>-4.010102E-4</v>
      </c>
      <c r="AA936">
        <v>0.96148719999999999</v>
      </c>
      <c r="AB936">
        <v>29</v>
      </c>
      <c r="AC936">
        <v>47.152899999999903</v>
      </c>
      <c r="AD936">
        <v>0.69582999999999995</v>
      </c>
      <c r="AE936">
        <v>-22.728399999999901</v>
      </c>
      <c r="AF936">
        <v>14.458018920839599</v>
      </c>
      <c r="AG936">
        <v>0.69582999999999995</v>
      </c>
      <c r="AH936">
        <v>50.298844238147701</v>
      </c>
      <c r="AI936">
        <v>89.238265651859805</v>
      </c>
      <c r="AJ936">
        <v>73.963106685123094</v>
      </c>
      <c r="AK936">
        <v>52.3401587903371</v>
      </c>
      <c r="AL936">
        <v>90.136623808695006</v>
      </c>
      <c r="AM936">
        <v>85.130583864435906</v>
      </c>
      <c r="AN936">
        <v>0.99999998381408295</v>
      </c>
    </row>
    <row r="937" spans="1:40" x14ac:dyDescent="0.25">
      <c r="A937" t="str">
        <f>"20190312160928864"</f>
        <v>20190312160928864</v>
      </c>
      <c r="B937" t="str">
        <f>"1552378168855754"</f>
        <v>1552378168855754</v>
      </c>
      <c r="C937" t="s">
        <v>40</v>
      </c>
      <c r="D937">
        <v>5.99472</v>
      </c>
      <c r="E937">
        <v>0.57656229999999997</v>
      </c>
      <c r="F937" t="s">
        <v>47</v>
      </c>
      <c r="G937">
        <v>-163.18780000000001</v>
      </c>
      <c r="H937">
        <v>1.832592</v>
      </c>
      <c r="I937">
        <v>342.18990000000002</v>
      </c>
      <c r="J937">
        <v>-209.58189999999999</v>
      </c>
      <c r="K937">
        <v>1.107418</v>
      </c>
      <c r="L937">
        <v>364.86880000000002</v>
      </c>
      <c r="M937">
        <v>0.98500880000000002</v>
      </c>
      <c r="N937">
        <v>0</v>
      </c>
      <c r="O937">
        <v>-0.17191589999999901</v>
      </c>
      <c r="P937">
        <v>0.96681950000000005</v>
      </c>
      <c r="Q937">
        <v>-1.6026060000000002E-2</v>
      </c>
      <c r="R937">
        <v>-0.25495790000000002</v>
      </c>
      <c r="S937">
        <v>2.7523499999999999</v>
      </c>
      <c r="T937">
        <v>4.2768359999999998E-2</v>
      </c>
      <c r="U937">
        <v>-1.3406370000000001</v>
      </c>
      <c r="V937">
        <v>8.4917980000000004E-2</v>
      </c>
      <c r="W937">
        <v>-2.428155E-3</v>
      </c>
      <c r="X937">
        <v>0.99638499999999997</v>
      </c>
      <c r="Y937">
        <v>0.27680009999999999</v>
      </c>
      <c r="Z937">
        <v>-4.5927110000000001E-4</v>
      </c>
      <c r="AA937">
        <v>0.96092739999999999</v>
      </c>
      <c r="AB937">
        <v>29</v>
      </c>
      <c r="AC937">
        <v>46.394099999999902</v>
      </c>
      <c r="AD937">
        <v>0.72517399999999899</v>
      </c>
      <c r="AE937">
        <v>-22.678899999999999</v>
      </c>
      <c r="AF937">
        <v>14.361655630154599</v>
      </c>
      <c r="AG937">
        <v>0.72517399999999899</v>
      </c>
      <c r="AH937">
        <v>49.592705350128902</v>
      </c>
      <c r="AI937">
        <v>89.195305212318402</v>
      </c>
      <c r="AJ937">
        <v>73.849401323176394</v>
      </c>
      <c r="AK937">
        <v>51.635447647078003</v>
      </c>
      <c r="AL937">
        <v>90.139123168301793</v>
      </c>
      <c r="AM937">
        <v>85.128677254686195</v>
      </c>
      <c r="AN937">
        <v>1.00000001374449</v>
      </c>
    </row>
    <row r="938" spans="1:40" x14ac:dyDescent="0.25">
      <c r="A938" t="str">
        <f>"20190312160928880"</f>
        <v>20190312160928880</v>
      </c>
      <c r="B938" t="str">
        <f>"1552378168876250"</f>
        <v>1552378168876250</v>
      </c>
      <c r="C938" t="s">
        <v>40</v>
      </c>
      <c r="D938">
        <v>6.1570309999999999</v>
      </c>
      <c r="E938">
        <v>0.57749890000000004</v>
      </c>
      <c r="F938" t="s">
        <v>47</v>
      </c>
      <c r="G938">
        <v>-163.71090000000001</v>
      </c>
      <c r="H938">
        <v>1.900215</v>
      </c>
      <c r="I938">
        <v>342.18990000000002</v>
      </c>
      <c r="J938">
        <v>-209.38489999999999</v>
      </c>
      <c r="K938">
        <v>1.1073440000000001</v>
      </c>
      <c r="L938">
        <v>364.83150000000001</v>
      </c>
      <c r="M938">
        <v>0.98454219999999903</v>
      </c>
      <c r="N938">
        <v>0</v>
      </c>
      <c r="O938">
        <v>-0.174568899999999</v>
      </c>
      <c r="P938">
        <v>0.96610609999999997</v>
      </c>
      <c r="Q938">
        <v>-1.5948500000000001E-2</v>
      </c>
      <c r="R938">
        <v>-0.2576524</v>
      </c>
      <c r="S938">
        <v>2.7457579999999999</v>
      </c>
      <c r="T938">
        <v>4.7455789999999998E-2</v>
      </c>
      <c r="U938">
        <v>-1.357513</v>
      </c>
      <c r="V938">
        <v>8.5011740000000002E-2</v>
      </c>
      <c r="W938">
        <v>-2.3635990000000001E-3</v>
      </c>
      <c r="X938">
        <v>0.99637719999999996</v>
      </c>
      <c r="Y938">
        <v>0.27987289999999998</v>
      </c>
      <c r="Z938">
        <v>-5.2658049999999997E-4</v>
      </c>
      <c r="AA938">
        <v>0.96003689999999997</v>
      </c>
      <c r="AB938">
        <v>29</v>
      </c>
      <c r="AC938">
        <v>45.6739999999999</v>
      </c>
      <c r="AD938">
        <v>0.79287099999999999</v>
      </c>
      <c r="AE938">
        <v>-22.641599999999901</v>
      </c>
      <c r="AF938">
        <v>14.3163365050302</v>
      </c>
      <c r="AG938">
        <v>0.79287099999999999</v>
      </c>
      <c r="AH938">
        <v>48.913617764927501</v>
      </c>
      <c r="AI938">
        <v>89.108723618864303</v>
      </c>
      <c r="AJ938">
        <v>73.685979587321498</v>
      </c>
      <c r="AK938">
        <v>50.971836715987898</v>
      </c>
      <c r="AL938">
        <v>90.135424365995206</v>
      </c>
      <c r="AM938">
        <v>85.123286641327695</v>
      </c>
      <c r="AN938">
        <v>1.00000005360894</v>
      </c>
    </row>
    <row r="939" spans="1:40" x14ac:dyDescent="0.25">
      <c r="A939" t="str">
        <f>"20190312160928897"</f>
        <v>20190312160928897</v>
      </c>
      <c r="B939" t="str">
        <f>"1552378168886009"</f>
        <v>1552378168886009</v>
      </c>
      <c r="C939" t="s">
        <v>40</v>
      </c>
      <c r="D939">
        <v>6.2068320000000003</v>
      </c>
      <c r="E939">
        <v>0.57802119999999901</v>
      </c>
      <c r="F939" t="s">
        <v>47</v>
      </c>
      <c r="G939">
        <v>-164.17500000000001</v>
      </c>
      <c r="H939">
        <v>1.83297</v>
      </c>
      <c r="I939">
        <v>342.18990000000002</v>
      </c>
      <c r="J939">
        <v>-209.16550000000001</v>
      </c>
      <c r="K939">
        <v>1.1072649999999999</v>
      </c>
      <c r="L939">
        <v>364.7894</v>
      </c>
      <c r="M939">
        <v>0.98400279999999996</v>
      </c>
      <c r="N939">
        <v>0</v>
      </c>
      <c r="O939">
        <v>-0.17758270000000001</v>
      </c>
      <c r="P939">
        <v>0.96516279999999999</v>
      </c>
      <c r="Q939">
        <v>-1.6138E-2</v>
      </c>
      <c r="R939">
        <v>-0.26115129999999998</v>
      </c>
      <c r="S939">
        <v>2.740005</v>
      </c>
      <c r="T939">
        <v>4.397798E-2</v>
      </c>
      <c r="U939">
        <v>-1.372223</v>
      </c>
      <c r="V939">
        <v>8.5569820000000005E-2</v>
      </c>
      <c r="W939">
        <v>-2.5695330000000001E-3</v>
      </c>
      <c r="X939">
        <v>0.99632889999999996</v>
      </c>
      <c r="Y939">
        <v>0.28186430000000001</v>
      </c>
      <c r="Z939">
        <v>-5.1717810000000001E-4</v>
      </c>
      <c r="AA939">
        <v>0.95945409999999998</v>
      </c>
      <c r="AB939">
        <v>29</v>
      </c>
      <c r="AC939">
        <v>44.990499999999997</v>
      </c>
      <c r="AD939">
        <v>0.72570500000000004</v>
      </c>
      <c r="AE939">
        <v>-22.5994999999999</v>
      </c>
      <c r="AF939">
        <v>14.2469224109355</v>
      </c>
      <c r="AG939">
        <v>0.72570500000000004</v>
      </c>
      <c r="AH939">
        <v>48.278926303110502</v>
      </c>
      <c r="AI939">
        <v>89.174030585953204</v>
      </c>
      <c r="AJ939">
        <v>73.558876087000399</v>
      </c>
      <c r="AK939">
        <v>50.342389404073998</v>
      </c>
      <c r="AL939">
        <v>90.147223552811496</v>
      </c>
      <c r="AM939">
        <v>85.091191399309196</v>
      </c>
      <c r="AN939">
        <v>1.00000003678493</v>
      </c>
    </row>
    <row r="940" spans="1:40" x14ac:dyDescent="0.25">
      <c r="A940" t="str">
        <f>"20190312160928920"</f>
        <v>20190312160928920</v>
      </c>
      <c r="B940" t="str">
        <f>"1552378168916266"</f>
        <v>1552378168916266</v>
      </c>
      <c r="C940" t="s">
        <v>40</v>
      </c>
      <c r="D940">
        <v>6.1706099999999999</v>
      </c>
      <c r="E940">
        <v>0.57952060000000005</v>
      </c>
      <c r="F940" t="s">
        <v>47</v>
      </c>
      <c r="G940">
        <v>-164.59309999999999</v>
      </c>
      <c r="H940">
        <v>1.7765799999999901</v>
      </c>
      <c r="I940">
        <v>342.18990000000002</v>
      </c>
      <c r="J940">
        <v>-208.8835</v>
      </c>
      <c r="K940">
        <v>1.1071709999999999</v>
      </c>
      <c r="L940">
        <v>364.73410000000001</v>
      </c>
      <c r="M940">
        <v>0.98327799999999999</v>
      </c>
      <c r="N940">
        <v>0</v>
      </c>
      <c r="O940">
        <v>-0.1815534</v>
      </c>
      <c r="P940">
        <v>0.96389250000000004</v>
      </c>
      <c r="Q940">
        <v>-1.6308759999999999E-2</v>
      </c>
      <c r="R940">
        <v>-0.26579229999999998</v>
      </c>
      <c r="S940">
        <v>2.7339169999999999</v>
      </c>
      <c r="T940">
        <v>4.1053770000000003E-2</v>
      </c>
      <c r="U940">
        <v>-1.386169</v>
      </c>
      <c r="V940">
        <v>8.6340390000000003E-2</v>
      </c>
      <c r="W940">
        <v>-2.7607859999999999E-3</v>
      </c>
      <c r="X940">
        <v>0.99626190000000003</v>
      </c>
      <c r="Y940">
        <v>0.28274939999999998</v>
      </c>
      <c r="Z940">
        <v>-5.310391E-4</v>
      </c>
      <c r="AA940">
        <v>0.95919359999999998</v>
      </c>
      <c r="AB940">
        <v>28</v>
      </c>
      <c r="AC940">
        <v>44.290399999999998</v>
      </c>
      <c r="AD940">
        <v>0.66940899999999903</v>
      </c>
      <c r="AE940">
        <v>-22.544199999999901</v>
      </c>
      <c r="AF940">
        <v>14.125012659079999</v>
      </c>
      <c r="AG940">
        <v>0.66940899999999903</v>
      </c>
      <c r="AH940">
        <v>47.638939222059797</v>
      </c>
      <c r="AI940">
        <v>89.228157435924999</v>
      </c>
      <c r="AJ940">
        <v>73.484835533711603</v>
      </c>
      <c r="AK940">
        <v>49.693386091426298</v>
      </c>
      <c r="AL940">
        <v>90.158181582271794</v>
      </c>
      <c r="AM940">
        <v>85.046874267465896</v>
      </c>
      <c r="AN940">
        <v>1.0000000291381399</v>
      </c>
    </row>
    <row r="941" spans="1:40" x14ac:dyDescent="0.25">
      <c r="A941" t="str">
        <f>"20190312160928943"</f>
        <v>20190312160928943</v>
      </c>
      <c r="B941" t="str">
        <f>"1552378168935785"</f>
        <v>1552378168935785</v>
      </c>
      <c r="C941" t="s">
        <v>40</v>
      </c>
      <c r="D941">
        <v>6.0755319999999999</v>
      </c>
      <c r="E941">
        <v>0.57961119999999899</v>
      </c>
      <c r="F941" t="s">
        <v>47</v>
      </c>
      <c r="G941">
        <v>-165.3571</v>
      </c>
      <c r="H941">
        <v>1.711306</v>
      </c>
      <c r="I941">
        <v>342.18990000000002</v>
      </c>
      <c r="J941">
        <v>-208.5909</v>
      </c>
      <c r="K941">
        <v>1.107083</v>
      </c>
      <c r="L941">
        <v>364.67540000000002</v>
      </c>
      <c r="M941">
        <v>0.98248539999999995</v>
      </c>
      <c r="N941">
        <v>0</v>
      </c>
      <c r="O941">
        <v>-0.18579419999999999</v>
      </c>
      <c r="P941">
        <v>0.96243190000000001</v>
      </c>
      <c r="Q941">
        <v>-1.7339360000000002E-2</v>
      </c>
      <c r="R941">
        <v>-0.27096920000000002</v>
      </c>
      <c r="S941">
        <v>2.7239689999999999</v>
      </c>
      <c r="T941">
        <v>3.7808300000000003E-2</v>
      </c>
      <c r="U941">
        <v>-1.4108579999999999</v>
      </c>
      <c r="V941">
        <v>8.7391239999999995E-2</v>
      </c>
      <c r="W941">
        <v>-3.814685E-3</v>
      </c>
      <c r="X941">
        <v>0.99616680000000002</v>
      </c>
      <c r="Y941">
        <v>0.28690159999999998</v>
      </c>
      <c r="Z941">
        <v>-5.1557689999999999E-4</v>
      </c>
      <c r="AA941">
        <v>0.95795989999999998</v>
      </c>
      <c r="AB941">
        <v>28</v>
      </c>
      <c r="AC941">
        <v>43.233800000000002</v>
      </c>
      <c r="AD941">
        <v>0.60422299999999995</v>
      </c>
      <c r="AE941">
        <v>-22.485499999999998</v>
      </c>
      <c r="AF941">
        <v>14.0583517974993</v>
      </c>
      <c r="AG941">
        <v>0.60422299999999995</v>
      </c>
      <c r="AH941">
        <v>46.651815772870499</v>
      </c>
      <c r="AI941">
        <v>89.289515514467794</v>
      </c>
      <c r="AJ941">
        <v>73.230014150760297</v>
      </c>
      <c r="AK941">
        <v>48.727756521328097</v>
      </c>
      <c r="AL941">
        <v>90.218565872667696</v>
      </c>
      <c r="AM941">
        <v>84.9864189343688</v>
      </c>
      <c r="AN941">
        <v>1.00000003703631</v>
      </c>
    </row>
    <row r="942" spans="1:40" x14ac:dyDescent="0.25">
      <c r="A942" t="str">
        <f>"20190312160928965"</f>
        <v>20190312160928965</v>
      </c>
      <c r="B942" t="str">
        <f>"1552378168956281"</f>
        <v>1552378168956281</v>
      </c>
      <c r="C942" t="s">
        <v>40</v>
      </c>
      <c r="D942">
        <v>6.1888379999999996</v>
      </c>
      <c r="E942">
        <v>0.57985369999999903</v>
      </c>
      <c r="F942" t="s">
        <v>47</v>
      </c>
      <c r="G942">
        <v>-166.6378</v>
      </c>
      <c r="H942">
        <v>1.6381680000000001</v>
      </c>
      <c r="I942">
        <v>342.64389999999997</v>
      </c>
      <c r="J942">
        <v>-208.3192</v>
      </c>
      <c r="K942">
        <v>1.107</v>
      </c>
      <c r="L942">
        <v>364.61950000000002</v>
      </c>
      <c r="M942">
        <v>0.98171010000000003</v>
      </c>
      <c r="N942">
        <v>0</v>
      </c>
      <c r="O942">
        <v>-0.18984880000000001</v>
      </c>
      <c r="P942">
        <v>0.96113249999999995</v>
      </c>
      <c r="Q942">
        <v>-1.7418739999999999E-2</v>
      </c>
      <c r="R942">
        <v>-0.27553850000000002</v>
      </c>
      <c r="S942">
        <v>2.7161249999999999</v>
      </c>
      <c r="T942">
        <v>3.438389E-2</v>
      </c>
      <c r="U942">
        <v>-1.426361</v>
      </c>
      <c r="V942">
        <v>8.8010179999999993E-2</v>
      </c>
      <c r="W942">
        <v>-3.9123079999999998E-3</v>
      </c>
      <c r="X942">
        <v>0.99611190000000005</v>
      </c>
      <c r="Y942">
        <v>0.28837269999999998</v>
      </c>
      <c r="Z942">
        <v>-5.0693599999999896E-4</v>
      </c>
      <c r="AA942">
        <v>0.95751810000000004</v>
      </c>
      <c r="AB942">
        <v>28</v>
      </c>
      <c r="AC942">
        <v>41.681399999999996</v>
      </c>
      <c r="AD942">
        <v>0.53116799999999997</v>
      </c>
      <c r="AE942">
        <v>-21.9756</v>
      </c>
      <c r="AF942">
        <v>13.660153631985001</v>
      </c>
      <c r="AG942">
        <v>0.53116799999999997</v>
      </c>
      <c r="AH942">
        <v>45.089933829205997</v>
      </c>
      <c r="AI942">
        <v>89.354065016647198</v>
      </c>
      <c r="AJ942">
        <v>73.145631284364001</v>
      </c>
      <c r="AK942">
        <v>47.116706903346198</v>
      </c>
      <c r="AL942">
        <v>90.224159306683603</v>
      </c>
      <c r="AM942">
        <v>84.950816795329303</v>
      </c>
      <c r="AN942">
        <v>1.0000000076295601</v>
      </c>
    </row>
    <row r="943" spans="1:40" x14ac:dyDescent="0.25">
      <c r="A943" t="str">
        <f>"20190312160928982"</f>
        <v>20190312160928982</v>
      </c>
      <c r="B943" t="str">
        <f>"1552378168975801"</f>
        <v>1552378168975801</v>
      </c>
      <c r="C943" t="s">
        <v>40</v>
      </c>
      <c r="D943">
        <v>6.0205199999999897</v>
      </c>
      <c r="E943">
        <v>0.58011069999999998</v>
      </c>
      <c r="F943" t="s">
        <v>47</v>
      </c>
      <c r="G943">
        <v>-167.00599999999901</v>
      </c>
      <c r="H943">
        <v>1.6546149999999999</v>
      </c>
      <c r="I943">
        <v>342.64389999999997</v>
      </c>
      <c r="J943">
        <v>-208.09989999999999</v>
      </c>
      <c r="K943">
        <v>1.1069329999999999</v>
      </c>
      <c r="L943">
        <v>364.57350000000002</v>
      </c>
      <c r="M943">
        <v>0.98105690000000001</v>
      </c>
      <c r="N943">
        <v>0</v>
      </c>
      <c r="O943">
        <v>-0.19319459999999999</v>
      </c>
      <c r="P943">
        <v>0.96019560000000004</v>
      </c>
      <c r="Q943">
        <v>-1.7043470000000002E-2</v>
      </c>
      <c r="R943">
        <v>-0.278808</v>
      </c>
      <c r="S943">
        <v>2.7088619999999999</v>
      </c>
      <c r="T943">
        <v>3.590691E-2</v>
      </c>
      <c r="U943">
        <v>-1.4409179999999999</v>
      </c>
      <c r="V943">
        <v>8.8005479999999997E-2</v>
      </c>
      <c r="W943">
        <v>-3.5470789999999999E-3</v>
      </c>
      <c r="X943">
        <v>0.99611369999999999</v>
      </c>
      <c r="Y943">
        <v>0.29018310000000003</v>
      </c>
      <c r="Z943">
        <v>-5.5851239999999997E-4</v>
      </c>
      <c r="AA943">
        <v>0.95697100000000002</v>
      </c>
      <c r="AB943">
        <v>28</v>
      </c>
      <c r="AC943">
        <v>41.093899999999998</v>
      </c>
      <c r="AD943">
        <v>0.547682</v>
      </c>
      <c r="AE943">
        <v>-21.929600000000001</v>
      </c>
      <c r="AF943">
        <v>13.5745685728377</v>
      </c>
      <c r="AG943">
        <v>0.547682</v>
      </c>
      <c r="AH943">
        <v>44.550502518728997</v>
      </c>
      <c r="AI943">
        <v>89.326248592975503</v>
      </c>
      <c r="AJ943">
        <v>73.053985426719905</v>
      </c>
      <c r="AK943">
        <v>46.575918049815002</v>
      </c>
      <c r="AL943">
        <v>90.203233077432003</v>
      </c>
      <c r="AM943">
        <v>84.951094119025299</v>
      </c>
      <c r="AN943">
        <v>1.0000000248035701</v>
      </c>
    </row>
    <row r="944" spans="1:40" x14ac:dyDescent="0.25">
      <c r="A944" t="str">
        <f>"20190312160928998"</f>
        <v>20190312160928998</v>
      </c>
      <c r="B944" t="str">
        <f>"1552378168985561"</f>
        <v>1552378168985561</v>
      </c>
      <c r="C944" t="s">
        <v>40</v>
      </c>
      <c r="D944">
        <v>6.212402</v>
      </c>
      <c r="E944">
        <v>0.58013559999999997</v>
      </c>
      <c r="F944" t="s">
        <v>47</v>
      </c>
      <c r="G944">
        <v>-167.2758</v>
      </c>
      <c r="H944">
        <v>1.7139740000000001</v>
      </c>
      <c r="I944">
        <v>342.64389999999997</v>
      </c>
      <c r="J944">
        <v>-207.90770000000001</v>
      </c>
      <c r="K944">
        <v>1.106887</v>
      </c>
      <c r="L944">
        <v>364.53230000000002</v>
      </c>
      <c r="M944">
        <v>0.98046509999999998</v>
      </c>
      <c r="N944">
        <v>0</v>
      </c>
      <c r="O944">
        <v>-0.19617609999999999</v>
      </c>
      <c r="P944">
        <v>0.9593699</v>
      </c>
      <c r="Q944">
        <v>-1.7035109999999999E-2</v>
      </c>
      <c r="R944">
        <v>-0.28163690000000002</v>
      </c>
      <c r="S944">
        <v>2.70343</v>
      </c>
      <c r="T944">
        <v>4.0199520000000002E-2</v>
      </c>
      <c r="U944">
        <v>-1.4522090000000001</v>
      </c>
      <c r="V944">
        <v>8.7912950000000004E-2</v>
      </c>
      <c r="W944">
        <v>-3.5456509999999999E-3</v>
      </c>
      <c r="X944">
        <v>0.99612179999999995</v>
      </c>
      <c r="Y944">
        <v>0.2911765</v>
      </c>
      <c r="Z944">
        <v>-6.5856029999999998E-4</v>
      </c>
      <c r="AA944">
        <v>0.9566692</v>
      </c>
      <c r="AB944">
        <v>28</v>
      </c>
      <c r="AC944">
        <v>40.631900000000002</v>
      </c>
      <c r="AD944">
        <v>0.60708699999999904</v>
      </c>
      <c r="AE944">
        <v>-21.888400000000001</v>
      </c>
      <c r="AF944">
        <v>13.4888409671755</v>
      </c>
      <c r="AG944">
        <v>0.60708699999999904</v>
      </c>
      <c r="AH944">
        <v>44.128988245206699</v>
      </c>
      <c r="AI944">
        <v>89.246248121259001</v>
      </c>
      <c r="AJ944">
        <v>73.003259047865996</v>
      </c>
      <c r="AK944">
        <v>46.148510147229103</v>
      </c>
      <c r="AL944">
        <v>90.203151273859305</v>
      </c>
      <c r="AM944">
        <v>84.956416004030601</v>
      </c>
      <c r="AN944">
        <v>0.99999994942697601</v>
      </c>
    </row>
    <row r="945" spans="1:40" x14ac:dyDescent="0.25">
      <c r="A945" t="str">
        <f>"20190312160929021"</f>
        <v>20190312160929021</v>
      </c>
      <c r="B945" t="str">
        <f>"1552378169015818"</f>
        <v>1552378169015818</v>
      </c>
      <c r="C945" t="s">
        <v>40</v>
      </c>
      <c r="D945">
        <v>6.2505040000000003</v>
      </c>
      <c r="E945">
        <v>0.58030090000000001</v>
      </c>
      <c r="F945" t="s">
        <v>47</v>
      </c>
      <c r="G945">
        <v>-167.45150000000001</v>
      </c>
      <c r="H945">
        <v>1.738056</v>
      </c>
      <c r="I945">
        <v>342.64389999999997</v>
      </c>
      <c r="J945">
        <v>-207.62479999999999</v>
      </c>
      <c r="K945">
        <v>1.1068150000000001</v>
      </c>
      <c r="L945">
        <v>364.47070000000002</v>
      </c>
      <c r="M945">
        <v>0.97956169999999998</v>
      </c>
      <c r="N945">
        <v>0</v>
      </c>
      <c r="O945">
        <v>-0.20063829999999999</v>
      </c>
      <c r="P945">
        <v>0.95804670000000003</v>
      </c>
      <c r="Q945">
        <v>-1.7462979999999999E-2</v>
      </c>
      <c r="R945">
        <v>-0.2860801</v>
      </c>
      <c r="S945">
        <v>2.699112</v>
      </c>
      <c r="T945">
        <v>4.2110090000000003E-2</v>
      </c>
      <c r="U945">
        <v>-1.4603269999999999</v>
      </c>
      <c r="V945">
        <v>8.7991150000000004E-2</v>
      </c>
      <c r="W945">
        <v>-3.9856379999999997E-3</v>
      </c>
      <c r="X945">
        <v>0.99611329999999998</v>
      </c>
      <c r="Y945">
        <v>0.28968640000000001</v>
      </c>
      <c r="Z945">
        <v>-7.6362049999999996E-4</v>
      </c>
      <c r="AA945">
        <v>0.95712129999999995</v>
      </c>
      <c r="AB945">
        <v>28</v>
      </c>
      <c r="AC945">
        <v>40.173299999999898</v>
      </c>
      <c r="AD945">
        <v>0.63124100000000005</v>
      </c>
      <c r="AE945">
        <v>-21.826799999999999</v>
      </c>
      <c r="AF945">
        <v>13.3192089297186</v>
      </c>
      <c r="AG945">
        <v>0.63124100000000005</v>
      </c>
      <c r="AH945">
        <v>43.727625158832701</v>
      </c>
      <c r="AI945">
        <v>89.208832641230998</v>
      </c>
      <c r="AJ945">
        <v>73.0595348529109</v>
      </c>
      <c r="AK945">
        <v>45.7154787106616</v>
      </c>
      <c r="AL945">
        <v>90.228360836758895</v>
      </c>
      <c r="AM945">
        <v>84.951909971346097</v>
      </c>
      <c r="AN945">
        <v>1.0000000171127299</v>
      </c>
    </row>
    <row r="946" spans="1:40" x14ac:dyDescent="0.25">
      <c r="A946" t="str">
        <f>"20190312160929037"</f>
        <v>20190312160929037</v>
      </c>
      <c r="B946" t="str">
        <f>"1552378169025579"</f>
        <v>1552378169025579</v>
      </c>
      <c r="C946" t="s">
        <v>40</v>
      </c>
      <c r="D946">
        <v>6.2556269999999996</v>
      </c>
      <c r="E946">
        <v>0.58034280000000005</v>
      </c>
      <c r="F946" t="s">
        <v>47</v>
      </c>
      <c r="G946">
        <v>-167.75880000000001</v>
      </c>
      <c r="H946">
        <v>1.7392049999999999</v>
      </c>
      <c r="I946">
        <v>342.64389999999997</v>
      </c>
      <c r="J946">
        <v>-207.42699999999999</v>
      </c>
      <c r="K946">
        <v>1.1067659999999999</v>
      </c>
      <c r="L946">
        <v>364.42669999999998</v>
      </c>
      <c r="M946">
        <v>0.97890279999999996</v>
      </c>
      <c r="N946">
        <v>0</v>
      </c>
      <c r="O946">
        <v>-0.2038276</v>
      </c>
      <c r="P946">
        <v>0.95702810000000005</v>
      </c>
      <c r="Q946">
        <v>-1.780953E-2</v>
      </c>
      <c r="R946">
        <v>-0.28944799999999998</v>
      </c>
      <c r="S946">
        <v>2.6920470000000001</v>
      </c>
      <c r="T946">
        <v>4.2703989999999997E-2</v>
      </c>
      <c r="U946">
        <v>-1.4739070000000001</v>
      </c>
      <c r="V946">
        <v>8.824833E-2</v>
      </c>
      <c r="W946">
        <v>-4.3422809999999999E-3</v>
      </c>
      <c r="X946">
        <v>0.996089</v>
      </c>
      <c r="Y946">
        <v>0.29134169999999998</v>
      </c>
      <c r="Z946">
        <v>-8.0800990000000003E-4</v>
      </c>
      <c r="AA946">
        <v>0.95661870000000004</v>
      </c>
      <c r="AB946">
        <v>28</v>
      </c>
      <c r="AC946">
        <v>39.668199999999999</v>
      </c>
      <c r="AD946">
        <v>0.63243899999999997</v>
      </c>
      <c r="AE946">
        <v>-21.782800000000002</v>
      </c>
      <c r="AF946">
        <v>13.236532783158401</v>
      </c>
      <c r="AG946">
        <v>0.63243899999999997</v>
      </c>
      <c r="AH946">
        <v>43.267204012576997</v>
      </c>
      <c r="AI946">
        <v>89.199194882505907</v>
      </c>
      <c r="AJ946">
        <v>72.989802416591502</v>
      </c>
      <c r="AK946">
        <v>45.251041118125698</v>
      </c>
      <c r="AL946">
        <v>90.248795166686705</v>
      </c>
      <c r="AM946">
        <v>84.937109147993496</v>
      </c>
      <c r="AN946">
        <v>0.99999995953653498</v>
      </c>
    </row>
    <row r="947" spans="1:40" x14ac:dyDescent="0.25">
      <c r="A947" t="str">
        <f>"20190312160929054"</f>
        <v>20190312160929054</v>
      </c>
      <c r="B947" t="str">
        <f>"1552378169046074"</f>
        <v>1552378169046074</v>
      </c>
      <c r="C947" t="s">
        <v>40</v>
      </c>
      <c r="D947">
        <v>6.2725379999999999</v>
      </c>
      <c r="E947">
        <v>0.5803682</v>
      </c>
      <c r="F947" t="s">
        <v>47</v>
      </c>
      <c r="G947">
        <v>-167.99799999999999</v>
      </c>
      <c r="H947">
        <v>1.7167399999999999</v>
      </c>
      <c r="I947">
        <v>342.64389999999997</v>
      </c>
      <c r="J947">
        <v>-207.20840000000001</v>
      </c>
      <c r="K947">
        <v>1.1067089999999999</v>
      </c>
      <c r="L947">
        <v>364.37729999999999</v>
      </c>
      <c r="M947">
        <v>0.97815039999999998</v>
      </c>
      <c r="N947">
        <v>0</v>
      </c>
      <c r="O947">
        <v>-0.2074085</v>
      </c>
      <c r="P947">
        <v>0.95568129999999996</v>
      </c>
      <c r="Q947">
        <v>-1.840932E-2</v>
      </c>
      <c r="R947">
        <v>-0.29382709999999901</v>
      </c>
      <c r="S947">
        <v>2.6865839999999999</v>
      </c>
      <c r="T947">
        <v>4.156232E-2</v>
      </c>
      <c r="U947">
        <v>-1.4842219999999999</v>
      </c>
      <c r="V947">
        <v>8.9160760000000006E-2</v>
      </c>
      <c r="W947">
        <v>-4.9592270000000001E-3</v>
      </c>
      <c r="X947">
        <v>0.99600489999999997</v>
      </c>
      <c r="Y947">
        <v>0.291479299999999</v>
      </c>
      <c r="Z947">
        <v>-8.3540009999999996E-4</v>
      </c>
      <c r="AA947">
        <v>0.9565768</v>
      </c>
      <c r="AB947">
        <v>28</v>
      </c>
      <c r="AC947">
        <v>39.2104</v>
      </c>
      <c r="AD947">
        <v>0.61003099999999999</v>
      </c>
      <c r="AE947">
        <v>-21.7334</v>
      </c>
      <c r="AF947">
        <v>13.1248692587303</v>
      </c>
      <c r="AG947">
        <v>0.61003099999999999</v>
      </c>
      <c r="AH947">
        <v>42.857786710067202</v>
      </c>
      <c r="AI947">
        <v>89.220255845034103</v>
      </c>
      <c r="AJ947">
        <v>72.973193466858405</v>
      </c>
      <c r="AK947">
        <v>44.826601617402801</v>
      </c>
      <c r="AL947">
        <v>90.284143942043499</v>
      </c>
      <c r="AM947">
        <v>84.884608839335499</v>
      </c>
      <c r="AN947">
        <v>0.99999999794011196</v>
      </c>
    </row>
    <row r="948" spans="1:40" x14ac:dyDescent="0.25">
      <c r="A948" t="str">
        <f>"20190312160929070"</f>
        <v>20190312160929070</v>
      </c>
      <c r="B948" t="str">
        <f>"1552378169065594"</f>
        <v>1552378169065594</v>
      </c>
      <c r="C948" t="s">
        <v>40</v>
      </c>
      <c r="D948">
        <v>6.241714</v>
      </c>
      <c r="E948">
        <v>0.58057169999999902</v>
      </c>
      <c r="F948" t="s">
        <v>47</v>
      </c>
      <c r="G948">
        <v>-168.29050000000001</v>
      </c>
      <c r="H948">
        <v>1.6775099999999901</v>
      </c>
      <c r="I948">
        <v>342.64389999999997</v>
      </c>
      <c r="J948">
        <v>-207.02010000000001</v>
      </c>
      <c r="K948">
        <v>1.106665</v>
      </c>
      <c r="L948">
        <v>364.334</v>
      </c>
      <c r="M948">
        <v>0.97748109999999999</v>
      </c>
      <c r="N948">
        <v>0</v>
      </c>
      <c r="O948">
        <v>-0.2105398</v>
      </c>
      <c r="P948">
        <v>0.95465960000000005</v>
      </c>
      <c r="Q948">
        <v>-1.8501400000000001E-2</v>
      </c>
      <c r="R948">
        <v>-0.2971241</v>
      </c>
      <c r="S948">
        <v>2.679764</v>
      </c>
      <c r="T948">
        <v>3.9303900000000003E-2</v>
      </c>
      <c r="U948">
        <v>-1.4964900000000001</v>
      </c>
      <c r="V948">
        <v>8.9408059999999998E-2</v>
      </c>
      <c r="W948">
        <v>-5.0606799999999997E-3</v>
      </c>
      <c r="X948">
        <v>0.99598220000000004</v>
      </c>
      <c r="Y948">
        <v>0.29279129999999998</v>
      </c>
      <c r="Z948">
        <v>-8.2261029999999998E-4</v>
      </c>
      <c r="AA948">
        <v>0.95617600000000003</v>
      </c>
      <c r="AB948">
        <v>28</v>
      </c>
      <c r="AC948">
        <v>38.729599999999998</v>
      </c>
      <c r="AD948">
        <v>0.57084499999999905</v>
      </c>
      <c r="AE948">
        <v>-21.690100000000001</v>
      </c>
      <c r="AF948">
        <v>13.0467119963472</v>
      </c>
      <c r="AG948">
        <v>0.57084499999999905</v>
      </c>
      <c r="AH948">
        <v>42.421387222260996</v>
      </c>
      <c r="AI948">
        <v>89.263102919335694</v>
      </c>
      <c r="AJ948">
        <v>72.9047020658452</v>
      </c>
      <c r="AK948">
        <v>44.385996122545997</v>
      </c>
      <c r="AL948">
        <v>90.289956849743206</v>
      </c>
      <c r="AM948">
        <v>84.870379879189301</v>
      </c>
      <c r="AN948">
        <v>0.99999997719593203</v>
      </c>
    </row>
    <row r="949" spans="1:40" x14ac:dyDescent="0.25">
      <c r="A949" t="str">
        <f>"20190312160929084"</f>
        <v>20190312160929084</v>
      </c>
      <c r="B949" t="str">
        <f>"1552378169076329"</f>
        <v>1552378169076329</v>
      </c>
      <c r="C949" t="s">
        <v>40</v>
      </c>
      <c r="D949">
        <v>6.2335349999999998</v>
      </c>
      <c r="E949">
        <v>0.58074689999999995</v>
      </c>
      <c r="F949" t="s">
        <v>47</v>
      </c>
      <c r="G949">
        <v>-168.53639999999999</v>
      </c>
      <c r="H949">
        <v>1.6267370000000001</v>
      </c>
      <c r="I949">
        <v>342.64389999999997</v>
      </c>
      <c r="J949">
        <v>-206.84119999999999</v>
      </c>
      <c r="K949">
        <v>1.1066229999999999</v>
      </c>
      <c r="L949">
        <v>364.29230000000001</v>
      </c>
      <c r="M949">
        <v>0.97682820000000004</v>
      </c>
      <c r="N949">
        <v>0</v>
      </c>
      <c r="O949">
        <v>-0.21354909999999999</v>
      </c>
      <c r="P949">
        <v>0.95370440000000001</v>
      </c>
      <c r="Q949">
        <v>-1.791392E-2</v>
      </c>
      <c r="R949">
        <v>-0.3002126</v>
      </c>
      <c r="S949">
        <v>2.6741030000000001</v>
      </c>
      <c r="T949">
        <v>3.6138530000000002E-2</v>
      </c>
      <c r="U949">
        <v>-1.507172</v>
      </c>
      <c r="V949">
        <v>8.9566629999999994E-2</v>
      </c>
      <c r="W949">
        <v>-4.4811879999999997E-3</v>
      </c>
      <c r="X949">
        <v>0.99597069999999999</v>
      </c>
      <c r="Y949">
        <v>0.2936124</v>
      </c>
      <c r="Z949">
        <v>-7.8782630000000004E-4</v>
      </c>
      <c r="AA949">
        <v>0.9559242</v>
      </c>
      <c r="AB949">
        <v>28</v>
      </c>
      <c r="AC949">
        <v>38.3048</v>
      </c>
      <c r="AD949">
        <v>0.52011399999999997</v>
      </c>
      <c r="AE949">
        <v>-21.648399999999999</v>
      </c>
      <c r="AF949">
        <v>12.9663194108615</v>
      </c>
      <c r="AG949">
        <v>0.52011399999999997</v>
      </c>
      <c r="AH949">
        <v>42.038608002321297</v>
      </c>
      <c r="AI949">
        <v>89.322640945937493</v>
      </c>
      <c r="AJ949">
        <v>72.858230369393198</v>
      </c>
      <c r="AK949">
        <v>43.995914815017997</v>
      </c>
      <c r="AL949">
        <v>90.256754032081304</v>
      </c>
      <c r="AM949">
        <v>84.861271870824993</v>
      </c>
      <c r="AN949">
        <v>0.99999994875696696</v>
      </c>
    </row>
    <row r="950" spans="1:40" x14ac:dyDescent="0.25">
      <c r="A950" t="str">
        <f>"20190312160929097"</f>
        <v>20190312160929097</v>
      </c>
      <c r="B950" t="str">
        <f>"1552378169086090"</f>
        <v>1552378169086090</v>
      </c>
      <c r="C950" t="s">
        <v>40</v>
      </c>
      <c r="D950">
        <v>6.136482</v>
      </c>
      <c r="E950">
        <v>0.58096099999999995</v>
      </c>
      <c r="F950" t="s">
        <v>47</v>
      </c>
      <c r="G950">
        <v>-168.7593</v>
      </c>
      <c r="H950">
        <v>1.6139330000000001</v>
      </c>
      <c r="I950">
        <v>342.64389999999997</v>
      </c>
      <c r="J950">
        <v>-206.66839999999999</v>
      </c>
      <c r="K950">
        <v>1.1065940000000001</v>
      </c>
      <c r="L950">
        <v>364.25119999999998</v>
      </c>
      <c r="M950">
        <v>0.97617670000000001</v>
      </c>
      <c r="N950">
        <v>0</v>
      </c>
      <c r="O950">
        <v>-0.21650720000000001</v>
      </c>
      <c r="P950">
        <v>0.95289400000000002</v>
      </c>
      <c r="Q950">
        <v>-1.6928780000000001E-2</v>
      </c>
      <c r="R950">
        <v>-0.30283189999999999</v>
      </c>
      <c r="S950">
        <v>2.6687319999999999</v>
      </c>
      <c r="T950">
        <v>3.5552019999999997E-2</v>
      </c>
      <c r="U950">
        <v>-1.51709</v>
      </c>
      <c r="V950">
        <v>8.9290309999999998E-2</v>
      </c>
      <c r="W950">
        <v>-3.4989560000000001E-3</v>
      </c>
      <c r="X950">
        <v>0.99599950000000004</v>
      </c>
      <c r="Y950">
        <v>0.29422859999999901</v>
      </c>
      <c r="Z950">
        <v>-8.0665429999999996E-4</v>
      </c>
      <c r="AA950">
        <v>0.95573470000000005</v>
      </c>
      <c r="AB950">
        <v>28</v>
      </c>
      <c r="AC950">
        <v>37.909100000000002</v>
      </c>
      <c r="AD950">
        <v>0.50733899999999998</v>
      </c>
      <c r="AE950">
        <v>-21.607299999999999</v>
      </c>
      <c r="AF950">
        <v>12.884520315019399</v>
      </c>
      <c r="AG950">
        <v>0.50733899999999998</v>
      </c>
      <c r="AH950">
        <v>41.682727010114903</v>
      </c>
      <c r="AI950">
        <v>89.333762059153401</v>
      </c>
      <c r="AJ950">
        <v>72.823132366664595</v>
      </c>
      <c r="AK950">
        <v>43.631616834685701</v>
      </c>
      <c r="AL950">
        <v>90.200475819947201</v>
      </c>
      <c r="AM950">
        <v>84.877188102620394</v>
      </c>
      <c r="AN950">
        <v>1.0000000030766101</v>
      </c>
    </row>
    <row r="951" spans="1:40" x14ac:dyDescent="0.25">
      <c r="A951" t="str">
        <f>"20190312160929113"</f>
        <v>20190312160929113</v>
      </c>
      <c r="B951" t="str">
        <f>"1552378169106586"</f>
        <v>1552378169106586</v>
      </c>
      <c r="C951" t="s">
        <v>40</v>
      </c>
      <c r="D951">
        <v>6.0963289999999999</v>
      </c>
      <c r="E951">
        <v>0.581202</v>
      </c>
      <c r="F951" t="s">
        <v>47</v>
      </c>
      <c r="G951">
        <v>-168.94550000000001</v>
      </c>
      <c r="H951">
        <v>1.6508229999999999</v>
      </c>
      <c r="I951">
        <v>342.64389999999997</v>
      </c>
      <c r="J951">
        <v>-206.48570000000001</v>
      </c>
      <c r="K951">
        <v>1.106554</v>
      </c>
      <c r="L951">
        <v>364.2072</v>
      </c>
      <c r="M951">
        <v>0.97547070000000002</v>
      </c>
      <c r="N951">
        <v>0</v>
      </c>
      <c r="O951">
        <v>-0.21966550000000001</v>
      </c>
      <c r="P951">
        <v>0.95200379999999996</v>
      </c>
      <c r="Q951">
        <v>-1.621183E-2</v>
      </c>
      <c r="R951">
        <v>-0.30565639999999999</v>
      </c>
      <c r="S951">
        <v>2.6640470000000001</v>
      </c>
      <c r="T951">
        <v>3.8434740000000002E-2</v>
      </c>
      <c r="U951">
        <v>-1.5259400000000001</v>
      </c>
      <c r="V951">
        <v>8.9024130000000007E-2</v>
      </c>
      <c r="W951">
        <v>-2.785222E-3</v>
      </c>
      <c r="X951">
        <v>0.99602559999999996</v>
      </c>
      <c r="Y951">
        <v>0.29425050000000003</v>
      </c>
      <c r="Z951">
        <v>-9.1269409999999995E-4</v>
      </c>
      <c r="AA951">
        <v>0.95572789999999996</v>
      </c>
      <c r="AB951">
        <v>28</v>
      </c>
      <c r="AC951">
        <v>37.540199999999999</v>
      </c>
      <c r="AD951">
        <v>0.544268999999999</v>
      </c>
      <c r="AE951">
        <v>-21.563300000000002</v>
      </c>
      <c r="AF951">
        <v>12.787363933002799</v>
      </c>
      <c r="AG951">
        <v>0.544268999999999</v>
      </c>
      <c r="AH951">
        <v>41.353760766291998</v>
      </c>
      <c r="AI951">
        <v>89.279607657828095</v>
      </c>
      <c r="AJ951">
        <v>72.817403406275403</v>
      </c>
      <c r="AK951">
        <v>43.289102954613597</v>
      </c>
      <c r="AL951">
        <v>90.1595816680193</v>
      </c>
      <c r="AM951">
        <v>84.892511761122506</v>
      </c>
      <c r="AN951">
        <v>1.0000000245195999</v>
      </c>
    </row>
    <row r="952" spans="1:40" x14ac:dyDescent="0.25">
      <c r="A952" t="str">
        <f>"20190312160929126"</f>
        <v>20190312160929126</v>
      </c>
      <c r="B952" t="str">
        <f>"1552378169116346"</f>
        <v>1552378169116346</v>
      </c>
      <c r="C952" t="s">
        <v>40</v>
      </c>
      <c r="D952">
        <v>7.8554719999999998</v>
      </c>
      <c r="E952">
        <v>0.58120749999999999</v>
      </c>
      <c r="F952" t="s">
        <v>47</v>
      </c>
      <c r="G952">
        <v>-168.98249999999999</v>
      </c>
      <c r="H952">
        <v>1.6306560000000001</v>
      </c>
      <c r="I952">
        <v>342.55189999999999</v>
      </c>
      <c r="J952">
        <v>-206.32599999999999</v>
      </c>
      <c r="K952">
        <v>1.106522</v>
      </c>
      <c r="L952">
        <v>364.16829999999999</v>
      </c>
      <c r="M952">
        <v>0.97483889999999995</v>
      </c>
      <c r="N952">
        <v>0</v>
      </c>
      <c r="O952">
        <v>-0.22245239999999999</v>
      </c>
      <c r="P952">
        <v>0.9513026</v>
      </c>
      <c r="Q952">
        <v>-1.6063460000000002E-2</v>
      </c>
      <c r="R952">
        <v>-0.30784020000000001</v>
      </c>
      <c r="S952">
        <v>2.6589360000000002</v>
      </c>
      <c r="T952">
        <v>3.715885E-2</v>
      </c>
      <c r="U952">
        <v>-1.535339</v>
      </c>
      <c r="V952">
        <v>8.8463840000000002E-2</v>
      </c>
      <c r="W952">
        <v>-2.6363699999999999E-3</v>
      </c>
      <c r="X952">
        <v>0.99607590000000001</v>
      </c>
      <c r="Y952">
        <v>0.29484919999999998</v>
      </c>
      <c r="Z952">
        <v>-9.1342660000000005E-4</v>
      </c>
      <c r="AA952">
        <v>0.95554329999999998</v>
      </c>
      <c r="AB952">
        <v>28</v>
      </c>
      <c r="AC952">
        <v>37.343499999999999</v>
      </c>
      <c r="AD952">
        <v>0.52413399999999899</v>
      </c>
      <c r="AE952">
        <v>-21.616399999999999</v>
      </c>
      <c r="AF952">
        <v>12.764775484907799</v>
      </c>
      <c r="AG952">
        <v>0.52413399999999899</v>
      </c>
      <c r="AH952">
        <v>41.210641061653</v>
      </c>
      <c r="AI952">
        <v>89.303949909675893</v>
      </c>
      <c r="AJ952">
        <v>72.789912666178097</v>
      </c>
      <c r="AK952">
        <v>43.145464956846403</v>
      </c>
      <c r="AL952">
        <v>90.1510530492166</v>
      </c>
      <c r="AM952">
        <v>84.924743229731007</v>
      </c>
      <c r="AN952">
        <v>0.99999999999756595</v>
      </c>
    </row>
    <row r="953" spans="1:40" x14ac:dyDescent="0.25">
      <c r="A953" t="str">
        <f>"20190312160929141"</f>
        <v>20190312160929141</v>
      </c>
      <c r="B953" t="str">
        <f>"1552378169135866"</f>
        <v>1552378169135866</v>
      </c>
      <c r="C953" t="s">
        <v>40</v>
      </c>
      <c r="D953">
        <v>6.3228019999999896</v>
      </c>
      <c r="E953">
        <v>0.58122959999999901</v>
      </c>
      <c r="F953" t="s">
        <v>47</v>
      </c>
      <c r="G953">
        <v>-168.98249999999999</v>
      </c>
      <c r="H953">
        <v>1.6340809999999999</v>
      </c>
      <c r="I953">
        <v>342.48649999999998</v>
      </c>
      <c r="J953">
        <v>-206.13239999999999</v>
      </c>
      <c r="K953">
        <v>1.106476</v>
      </c>
      <c r="L953">
        <v>364.12049999999999</v>
      </c>
      <c r="M953">
        <v>0.97405039999999998</v>
      </c>
      <c r="N953">
        <v>0</v>
      </c>
      <c r="O953">
        <v>-0.22588</v>
      </c>
      <c r="P953">
        <v>0.95041640000000005</v>
      </c>
      <c r="Q953">
        <v>-1.6034820000000002E-2</v>
      </c>
      <c r="R953">
        <v>-0.31056689999999998</v>
      </c>
      <c r="S953">
        <v>2.655319</v>
      </c>
      <c r="T953">
        <v>3.7512780000000003E-2</v>
      </c>
      <c r="U953">
        <v>-1.541687</v>
      </c>
      <c r="V953">
        <v>8.7816519999999995E-2</v>
      </c>
      <c r="W953">
        <v>-2.607664E-3</v>
      </c>
      <c r="X953">
        <v>0.9961333</v>
      </c>
      <c r="Y953">
        <v>0.29376170000000001</v>
      </c>
      <c r="Z953">
        <v>-9.7236559999999998E-4</v>
      </c>
      <c r="AA953">
        <v>0.95587820000000001</v>
      </c>
      <c r="AB953">
        <v>28</v>
      </c>
      <c r="AC953">
        <v>37.149900000000002</v>
      </c>
      <c r="AD953">
        <v>0.52760499999999899</v>
      </c>
      <c r="AE953">
        <v>-21.634</v>
      </c>
      <c r="AF953">
        <v>12.680570955085299</v>
      </c>
      <c r="AG953">
        <v>0.52760499999999899</v>
      </c>
      <c r="AH953">
        <v>41.0705677821528</v>
      </c>
      <c r="AI953">
        <v>89.296754260215806</v>
      </c>
      <c r="AJ953">
        <v>72.841885166092396</v>
      </c>
      <c r="AK953">
        <v>42.986821058684797</v>
      </c>
      <c r="AL953">
        <v>90.149408304008105</v>
      </c>
      <c r="AM953">
        <v>84.961977588742599</v>
      </c>
      <c r="AN953">
        <v>1.0000000462326599</v>
      </c>
    </row>
    <row r="954" spans="1:40" x14ac:dyDescent="0.25">
      <c r="A954" t="str">
        <f>"20190312160929156"</f>
        <v>20190312160929156</v>
      </c>
      <c r="B954" t="str">
        <f>"1552378169146602"</f>
        <v>1552378169146602</v>
      </c>
      <c r="C954" t="s">
        <v>40</v>
      </c>
      <c r="D954">
        <v>6.1796239999999996</v>
      </c>
      <c r="E954">
        <v>0.5812522</v>
      </c>
      <c r="F954" t="s">
        <v>47</v>
      </c>
      <c r="G954">
        <v>-168.98249999999999</v>
      </c>
      <c r="H954">
        <v>1.633831</v>
      </c>
      <c r="I954">
        <v>342.40469999999999</v>
      </c>
      <c r="J954">
        <v>-205.96469999999999</v>
      </c>
      <c r="K954">
        <v>1.1064320000000001</v>
      </c>
      <c r="L954">
        <v>364.07819999999998</v>
      </c>
      <c r="M954">
        <v>0.97334580000000004</v>
      </c>
      <c r="N954">
        <v>0</v>
      </c>
      <c r="O954">
        <v>-0.22889670000000001</v>
      </c>
      <c r="P954">
        <v>0.94948440000000001</v>
      </c>
      <c r="Q954">
        <v>-1.66759E-2</v>
      </c>
      <c r="R954">
        <v>-0.31337090000000001</v>
      </c>
      <c r="S954">
        <v>2.650833</v>
      </c>
      <c r="T954">
        <v>3.7629959999999997E-2</v>
      </c>
      <c r="U954">
        <v>-1.5495300000000001</v>
      </c>
      <c r="V954">
        <v>8.7667060000000005E-2</v>
      </c>
      <c r="W954">
        <v>-3.2528380000000001E-3</v>
      </c>
      <c r="X954">
        <v>0.99614449999999999</v>
      </c>
      <c r="Y954">
        <v>0.29361320000000002</v>
      </c>
      <c r="Z954">
        <v>-1.0145989999999999E-3</v>
      </c>
      <c r="AA954">
        <v>0.95592379999999999</v>
      </c>
      <c r="AB954">
        <v>28</v>
      </c>
      <c r="AC954">
        <v>36.982199999999999</v>
      </c>
      <c r="AD954">
        <v>0.52739899999999995</v>
      </c>
      <c r="AE954">
        <v>-21.673499999999901</v>
      </c>
      <c r="AF954">
        <v>12.6300848478996</v>
      </c>
      <c r="AG954">
        <v>0.52739899999999995</v>
      </c>
      <c r="AH954">
        <v>40.955445336464003</v>
      </c>
      <c r="AI954">
        <v>89.294980556954002</v>
      </c>
      <c r="AJ954">
        <v>72.860971361066305</v>
      </c>
      <c r="AK954">
        <v>42.861937609940597</v>
      </c>
      <c r="AL954">
        <v>90.186374221308199</v>
      </c>
      <c r="AM954">
        <v>84.970564331156098</v>
      </c>
      <c r="AN954">
        <v>0.99999997962217302</v>
      </c>
    </row>
    <row r="955" spans="1:40" x14ac:dyDescent="0.25">
      <c r="A955" t="str">
        <f>"20190312160929177"</f>
        <v>20190312160929177</v>
      </c>
      <c r="B955" t="str">
        <f>"1552378169166122"</f>
        <v>1552378169166122</v>
      </c>
      <c r="C955" t="s">
        <v>40</v>
      </c>
      <c r="D955">
        <v>6.4403139999999999</v>
      </c>
      <c r="E955">
        <v>0.58113890000000001</v>
      </c>
      <c r="F955" t="s">
        <v>47</v>
      </c>
      <c r="G955">
        <v>-168.98249999999999</v>
      </c>
      <c r="H955">
        <v>1.605078</v>
      </c>
      <c r="I955">
        <v>342.31290000000001</v>
      </c>
      <c r="J955">
        <v>-205.70320000000001</v>
      </c>
      <c r="K955">
        <v>1.1063670000000001</v>
      </c>
      <c r="L955">
        <v>364.01130000000001</v>
      </c>
      <c r="M955">
        <v>0.97221109999999999</v>
      </c>
      <c r="N955">
        <v>0</v>
      </c>
      <c r="O955">
        <v>-0.2336693</v>
      </c>
      <c r="P955">
        <v>0.94772610000000002</v>
      </c>
      <c r="Q955">
        <v>-1.7578770000000001E-2</v>
      </c>
      <c r="R955">
        <v>-0.3186002</v>
      </c>
      <c r="S955">
        <v>2.6462400000000001</v>
      </c>
      <c r="T955">
        <v>3.5680770000000001E-2</v>
      </c>
      <c r="U955">
        <v>-1.557404</v>
      </c>
      <c r="V955">
        <v>8.8265960000000004E-2</v>
      </c>
      <c r="W955">
        <v>-4.17162E-3</v>
      </c>
      <c r="X955">
        <v>0.99608819999999998</v>
      </c>
      <c r="Y955">
        <v>0.2917613</v>
      </c>
      <c r="Z955">
        <v>-1.0306689999999999E-3</v>
      </c>
      <c r="AA955">
        <v>0.95649059999999997</v>
      </c>
      <c r="AB955">
        <v>28</v>
      </c>
      <c r="AC955">
        <v>36.720700000000001</v>
      </c>
      <c r="AD955">
        <v>0.49871099999999902</v>
      </c>
      <c r="AE955">
        <v>-21.6983999999999</v>
      </c>
      <c r="AF955">
        <v>12.514492362792501</v>
      </c>
      <c r="AG955">
        <v>0.49871099999999902</v>
      </c>
      <c r="AH955">
        <v>40.769112433517897</v>
      </c>
      <c r="AI955">
        <v>89.330011566447098</v>
      </c>
      <c r="AJ955">
        <v>72.935601038950196</v>
      </c>
      <c r="AK955">
        <v>42.649522393301602</v>
      </c>
      <c r="AL955">
        <v>90.239016914858695</v>
      </c>
      <c r="AM955">
        <v>84.936098910629099</v>
      </c>
      <c r="AN955">
        <v>0.99999999214369195</v>
      </c>
    </row>
    <row r="956" spans="1:40" x14ac:dyDescent="0.25">
      <c r="A956" t="str">
        <f>"20190312160929199"</f>
        <v>20190312160929199</v>
      </c>
      <c r="B956" t="str">
        <f>"1552378169186618"</f>
        <v>1552378169186618</v>
      </c>
      <c r="C956" t="s">
        <v>40</v>
      </c>
      <c r="D956">
        <v>6.0263470000000003</v>
      </c>
      <c r="E956">
        <v>0.5810419</v>
      </c>
      <c r="F956" t="s">
        <v>47</v>
      </c>
      <c r="G956">
        <v>-168.98249999999999</v>
      </c>
      <c r="H956">
        <v>1.5414600000000001</v>
      </c>
      <c r="I956">
        <v>342.1422</v>
      </c>
      <c r="J956">
        <v>-205.4349</v>
      </c>
      <c r="K956">
        <v>1.1062920000000001</v>
      </c>
      <c r="L956">
        <v>363.94110000000001</v>
      </c>
      <c r="M956">
        <v>0.97099469999999999</v>
      </c>
      <c r="N956">
        <v>0</v>
      </c>
      <c r="O956">
        <v>-0.23867340000000001</v>
      </c>
      <c r="P956">
        <v>0.94599540000000004</v>
      </c>
      <c r="Q956">
        <v>-1.7854200000000001E-2</v>
      </c>
      <c r="R956">
        <v>-0.32368819999999998</v>
      </c>
      <c r="S956">
        <v>2.6379239999999999</v>
      </c>
      <c r="T956">
        <v>3.1256440000000003E-2</v>
      </c>
      <c r="U956">
        <v>-1.5710139999999999</v>
      </c>
      <c r="V956">
        <v>8.848599E-2</v>
      </c>
      <c r="W956">
        <v>-4.4599540000000003E-3</v>
      </c>
      <c r="X956">
        <v>0.99606749999999999</v>
      </c>
      <c r="Y956">
        <v>0.29180460000000003</v>
      </c>
      <c r="Z956">
        <v>-9.5550650000000002E-4</v>
      </c>
      <c r="AA956">
        <v>0.95647749999999998</v>
      </c>
      <c r="AB956">
        <v>28</v>
      </c>
      <c r="AC956">
        <v>36.452399999999997</v>
      </c>
      <c r="AD956">
        <v>0.435168</v>
      </c>
      <c r="AE956">
        <v>-21.7989</v>
      </c>
      <c r="AF956">
        <v>12.4663631088484</v>
      </c>
      <c r="AG956">
        <v>0.435168</v>
      </c>
      <c r="AH956">
        <v>40.597790765768401</v>
      </c>
      <c r="AI956">
        <v>89.412922580287201</v>
      </c>
      <c r="AJ956">
        <v>72.929849249162899</v>
      </c>
      <c r="AK956">
        <v>42.4709335359018</v>
      </c>
      <c r="AL956">
        <v>90.255537372063401</v>
      </c>
      <c r="AM956">
        <v>84.923436514561999</v>
      </c>
      <c r="AN956">
        <v>1.0000000630860999</v>
      </c>
    </row>
    <row r="957" spans="1:40" x14ac:dyDescent="0.25">
      <c r="A957" t="str">
        <f>"20190312160929222"</f>
        <v>20190312160929222</v>
      </c>
      <c r="B957" t="str">
        <f>"1552378169215898"</f>
        <v>1552378169215898</v>
      </c>
      <c r="C957" t="s">
        <v>40</v>
      </c>
      <c r="D957">
        <v>5.9739829999999996</v>
      </c>
      <c r="E957">
        <v>0.58095090000000005</v>
      </c>
      <c r="F957" t="s">
        <v>47</v>
      </c>
      <c r="G957">
        <v>-168.98249999999999</v>
      </c>
      <c r="H957">
        <v>1.5052939999999999</v>
      </c>
      <c r="I957">
        <v>341.983</v>
      </c>
      <c r="J957">
        <v>-205.1583</v>
      </c>
      <c r="K957">
        <v>1.1062019999999999</v>
      </c>
      <c r="L957">
        <v>363.86709999999999</v>
      </c>
      <c r="M957">
        <v>0.96968310000000002</v>
      </c>
      <c r="N957">
        <v>0</v>
      </c>
      <c r="O957">
        <v>-0.24394750000000001</v>
      </c>
      <c r="P957">
        <v>0.94416639999999996</v>
      </c>
      <c r="Q957">
        <v>-1.716289E-2</v>
      </c>
      <c r="R957">
        <v>-0.3290228</v>
      </c>
      <c r="S957">
        <v>2.6297609999999998</v>
      </c>
      <c r="T957">
        <v>2.8785470000000001E-2</v>
      </c>
      <c r="U957">
        <v>-1.584106</v>
      </c>
      <c r="V957">
        <v>8.8696960000000005E-2</v>
      </c>
      <c r="W957">
        <v>-3.7823829999999998E-3</v>
      </c>
      <c r="X957">
        <v>0.99605149999999998</v>
      </c>
      <c r="Y957">
        <v>0.29141240000000002</v>
      </c>
      <c r="Z957">
        <v>-9.3324689999999997E-4</v>
      </c>
      <c r="AA957">
        <v>0.95659709999999998</v>
      </c>
      <c r="AB957">
        <v>28</v>
      </c>
      <c r="AC957">
        <v>36.175800000000002</v>
      </c>
      <c r="AD957">
        <v>0.399092</v>
      </c>
      <c r="AE957">
        <v>-21.884099999999901</v>
      </c>
      <c r="AF957">
        <v>12.3958079250243</v>
      </c>
      <c r="AG957">
        <v>0.399092</v>
      </c>
      <c r="AH957">
        <v>40.418161487822701</v>
      </c>
      <c r="AI957">
        <v>89.459138596249204</v>
      </c>
      <c r="AJ957">
        <v>72.949796319693704</v>
      </c>
      <c r="AK957">
        <v>42.278163472344403</v>
      </c>
      <c r="AL957">
        <v>90.216715093962307</v>
      </c>
      <c r="AM957">
        <v>84.911315034522005</v>
      </c>
      <c r="AN957">
        <v>1.00000002389332</v>
      </c>
    </row>
    <row r="958" spans="1:40" x14ac:dyDescent="0.25">
      <c r="A958" t="str">
        <f>"20190312160929244"</f>
        <v>20190312160929244</v>
      </c>
      <c r="B958" t="str">
        <f>"1552378169236393"</f>
        <v>1552378169236393</v>
      </c>
      <c r="C958" t="s">
        <v>40</v>
      </c>
      <c r="D958">
        <v>5.8864299999999998</v>
      </c>
      <c r="E958">
        <v>0.58114860000000002</v>
      </c>
      <c r="F958" t="s">
        <v>47</v>
      </c>
      <c r="G958">
        <v>-168.98249999999999</v>
      </c>
      <c r="H958">
        <v>1.4744930000000001</v>
      </c>
      <c r="I958">
        <v>341.8066</v>
      </c>
      <c r="J958">
        <v>-204.8931</v>
      </c>
      <c r="K958">
        <v>1.1061209999999999</v>
      </c>
      <c r="L958">
        <v>363.79450000000003</v>
      </c>
      <c r="M958">
        <v>0.96836420000000001</v>
      </c>
      <c r="N958">
        <v>0</v>
      </c>
      <c r="O958">
        <v>-0.24913060000000001</v>
      </c>
      <c r="P958">
        <v>0.94267820000000002</v>
      </c>
      <c r="Q958">
        <v>-1.6950219999999998E-2</v>
      </c>
      <c r="R958">
        <v>-0.33327289999999998</v>
      </c>
      <c r="S958">
        <v>2.620911</v>
      </c>
      <c r="T958">
        <v>2.6682850000000001E-2</v>
      </c>
      <c r="U958">
        <v>-1.5982670000000001</v>
      </c>
      <c r="V958">
        <v>8.7857240000000003E-2</v>
      </c>
      <c r="W958">
        <v>-3.5721260000000001E-3</v>
      </c>
      <c r="X958">
        <v>0.99612670000000003</v>
      </c>
      <c r="Y958">
        <v>0.29149899999999901</v>
      </c>
      <c r="Z958">
        <v>-9.1151869999999996E-4</v>
      </c>
      <c r="AA958">
        <v>0.9565707</v>
      </c>
      <c r="AB958">
        <v>28</v>
      </c>
      <c r="AC958">
        <v>35.910600000000002</v>
      </c>
      <c r="AD958">
        <v>0.36837199999999998</v>
      </c>
      <c r="AE958">
        <v>-21.9879</v>
      </c>
      <c r="AF958">
        <v>12.3461848834948</v>
      </c>
      <c r="AG958">
        <v>0.36837199999999998</v>
      </c>
      <c r="AH958">
        <v>40.253438274079997</v>
      </c>
      <c r="AI958">
        <v>89.498729364939805</v>
      </c>
      <c r="AJ958">
        <v>72.948630930282505</v>
      </c>
      <c r="AK958">
        <v>42.105857929663301</v>
      </c>
      <c r="AL958">
        <v>90.204668173105205</v>
      </c>
      <c r="AM958">
        <v>84.959620295053199</v>
      </c>
      <c r="AN958">
        <v>1.00000002857873</v>
      </c>
    </row>
    <row r="959" spans="1:40" x14ac:dyDescent="0.25">
      <c r="A959" t="str">
        <f>"20190312160929265"</f>
        <v>20190312160929265</v>
      </c>
      <c r="B959" t="str">
        <f>"1552378169255914"</f>
        <v>1552378169255914</v>
      </c>
      <c r="C959" t="s">
        <v>40</v>
      </c>
      <c r="D959">
        <v>5.9285569999999996</v>
      </c>
      <c r="E959">
        <v>0.58119919999999903</v>
      </c>
      <c r="F959" t="s">
        <v>47</v>
      </c>
      <c r="G959">
        <v>-168.98249999999999</v>
      </c>
      <c r="H959">
        <v>1.48655</v>
      </c>
      <c r="I959">
        <v>341.64299999999997</v>
      </c>
      <c r="J959">
        <v>-204.62569999999999</v>
      </c>
      <c r="K959">
        <v>1.106025</v>
      </c>
      <c r="L959">
        <v>363.71949999999998</v>
      </c>
      <c r="M959">
        <v>0.96696689999999996</v>
      </c>
      <c r="N959">
        <v>0</v>
      </c>
      <c r="O959">
        <v>-0.25449939999999999</v>
      </c>
      <c r="P959">
        <v>0.94107339999999995</v>
      </c>
      <c r="Q959">
        <v>-1.7727130000000001E-2</v>
      </c>
      <c r="R959">
        <v>-0.33773760000000003</v>
      </c>
      <c r="S959">
        <v>2.613083</v>
      </c>
      <c r="T959">
        <v>2.76829E-2</v>
      </c>
      <c r="U959">
        <v>-1.611877</v>
      </c>
      <c r="V959">
        <v>8.7047470000000002E-2</v>
      </c>
      <c r="W959">
        <v>-4.352557E-3</v>
      </c>
      <c r="X959">
        <v>0.99619469999999999</v>
      </c>
      <c r="Y959">
        <v>0.29108220000000001</v>
      </c>
      <c r="Z959">
        <v>-9.9777510000000004E-4</v>
      </c>
      <c r="AA959">
        <v>0.95669749999999998</v>
      </c>
      <c r="AB959">
        <v>28</v>
      </c>
      <c r="AC959">
        <v>35.6432</v>
      </c>
      <c r="AD959">
        <v>0.380525</v>
      </c>
      <c r="AE959">
        <v>-22.0764999999999</v>
      </c>
      <c r="AF959">
        <v>12.2763194127894</v>
      </c>
      <c r="AG959">
        <v>0.380525</v>
      </c>
      <c r="AH959">
        <v>40.0850592789063</v>
      </c>
      <c r="AI959">
        <v>89.479951601703306</v>
      </c>
      <c r="AJ959">
        <v>72.9724398204594</v>
      </c>
      <c r="AK959">
        <v>41.9245130561333</v>
      </c>
      <c r="AL959">
        <v>90.249383922753793</v>
      </c>
      <c r="AM959">
        <v>85.006180032826606</v>
      </c>
      <c r="AN959">
        <v>1.00000004354696</v>
      </c>
    </row>
    <row r="960" spans="1:40" x14ac:dyDescent="0.25">
      <c r="A960" t="str">
        <f>"20190312160929290"</f>
        <v>20190312160929290</v>
      </c>
      <c r="B960" t="str">
        <f>"1552378169276410"</f>
        <v>1552378169276410</v>
      </c>
      <c r="C960" t="s">
        <v>40</v>
      </c>
      <c r="D960">
        <v>6.0155310000000002</v>
      </c>
      <c r="E960">
        <v>0.58108629999999994</v>
      </c>
      <c r="F960" t="s">
        <v>47</v>
      </c>
      <c r="G960">
        <v>-168.98249999999999</v>
      </c>
      <c r="H960">
        <v>1.4594279999999999</v>
      </c>
      <c r="I960">
        <v>341.49799999999999</v>
      </c>
      <c r="J960">
        <v>-204.35910000000001</v>
      </c>
      <c r="K960">
        <v>1.1059349999999999</v>
      </c>
      <c r="L960">
        <v>363.6429</v>
      </c>
      <c r="M960">
        <v>0.96550959999999997</v>
      </c>
      <c r="N960">
        <v>0</v>
      </c>
      <c r="O960">
        <v>-0.25997389999999998</v>
      </c>
      <c r="P960">
        <v>0.93917050000000002</v>
      </c>
      <c r="Q960">
        <v>-1.905929E-2</v>
      </c>
      <c r="R960">
        <v>-0.34292270000000002</v>
      </c>
      <c r="S960">
        <v>2.6053769999999998</v>
      </c>
      <c r="T960">
        <v>2.5832770000000001E-2</v>
      </c>
      <c r="U960">
        <v>-1.624298</v>
      </c>
      <c r="V960">
        <v>8.6889620000000001E-2</v>
      </c>
      <c r="W960">
        <v>-5.6938240000000001E-3</v>
      </c>
      <c r="X960">
        <v>0.99620169999999997</v>
      </c>
      <c r="Y960">
        <v>0.29021669999999999</v>
      </c>
      <c r="Z960">
        <v>-9.8273929999999994E-4</v>
      </c>
      <c r="AA960">
        <v>0.95696040000000004</v>
      </c>
      <c r="AB960">
        <v>28</v>
      </c>
      <c r="AC960">
        <v>35.376600000000003</v>
      </c>
      <c r="AD960">
        <v>0.353493</v>
      </c>
      <c r="AE960">
        <v>-22.1448999999999</v>
      </c>
      <c r="AF960">
        <v>12.184494546946199</v>
      </c>
      <c r="AG960">
        <v>0.353493</v>
      </c>
      <c r="AH960">
        <v>39.914767047956602</v>
      </c>
      <c r="AI960">
        <v>89.514697469720502</v>
      </c>
      <c r="AJ960">
        <v>73.024517981416693</v>
      </c>
      <c r="AK960">
        <v>41.734583898228301</v>
      </c>
      <c r="AL960">
        <v>90.326233838627502</v>
      </c>
      <c r="AM960">
        <v>85.015224899827103</v>
      </c>
      <c r="AN960">
        <v>1.00000002638918</v>
      </c>
    </row>
    <row r="961" spans="1:40" x14ac:dyDescent="0.25">
      <c r="A961" t="str">
        <f>"20190312160929311"</f>
        <v>20190312160929311</v>
      </c>
      <c r="B961" t="str">
        <f>"1552378169305693"</f>
        <v>1552378169305693</v>
      </c>
      <c r="C961" t="s">
        <v>40</v>
      </c>
      <c r="D961">
        <v>6.237158</v>
      </c>
      <c r="E961">
        <v>0.59867939999999997</v>
      </c>
      <c r="F961" t="s">
        <v>47</v>
      </c>
      <c r="G961">
        <v>-168.98249999999999</v>
      </c>
      <c r="H961">
        <v>1.375888</v>
      </c>
      <c r="I961">
        <v>341.33120000000002</v>
      </c>
      <c r="J961">
        <v>-204.08250000000001</v>
      </c>
      <c r="K961">
        <v>1.1058429999999999</v>
      </c>
      <c r="L961">
        <v>363.5616</v>
      </c>
      <c r="M961">
        <v>0.96392440000000001</v>
      </c>
      <c r="N961">
        <v>0</v>
      </c>
      <c r="O961">
        <v>-0.26578930000000001</v>
      </c>
      <c r="P961">
        <v>0.93726719999999997</v>
      </c>
      <c r="Q961">
        <v>-1.9472440000000001E-2</v>
      </c>
      <c r="R961">
        <v>-0.34806720000000002</v>
      </c>
      <c r="S961">
        <v>2.5967250000000002</v>
      </c>
      <c r="T961">
        <v>1.9815559999999999E-2</v>
      </c>
      <c r="U961">
        <v>-1.637726</v>
      </c>
      <c r="V961">
        <v>8.6343589999999998E-2</v>
      </c>
      <c r="W961">
        <v>-6.1115079999999999E-3</v>
      </c>
      <c r="X961">
        <v>0.99624669999999904</v>
      </c>
      <c r="Y961">
        <v>0.28942699999999999</v>
      </c>
      <c r="Z961">
        <v>-7.9556530000000002E-4</v>
      </c>
      <c r="AA961">
        <v>0.95719980000000005</v>
      </c>
      <c r="AB961">
        <v>28</v>
      </c>
      <c r="AC961">
        <v>35.1</v>
      </c>
      <c r="AD961">
        <v>0.27004499999999898</v>
      </c>
      <c r="AE961">
        <v>-22.2303999999999</v>
      </c>
      <c r="AF961">
        <v>12.0999545789798</v>
      </c>
      <c r="AG961">
        <v>0.27004499999999898</v>
      </c>
      <c r="AH961">
        <v>39.744759956304101</v>
      </c>
      <c r="AI961">
        <v>89.627586546720906</v>
      </c>
      <c r="AJ961">
        <v>73.0675746245997</v>
      </c>
      <c r="AK961">
        <v>41.546693840781501</v>
      </c>
      <c r="AL961">
        <v>90.350165785360005</v>
      </c>
      <c r="AM961">
        <v>85.046616407067802</v>
      </c>
      <c r="AN961">
        <v>1.0000000266625</v>
      </c>
    </row>
    <row r="962" spans="1:40" x14ac:dyDescent="0.25">
      <c r="A962" t="str">
        <f>"20190312160929334"</f>
        <v>20190312160929334</v>
      </c>
      <c r="B962" t="str">
        <f>"1552378169326189"</f>
        <v>1552378169326189</v>
      </c>
      <c r="C962" t="s">
        <v>40</v>
      </c>
      <c r="D962">
        <v>5.9224350000000001</v>
      </c>
      <c r="E962">
        <v>0.60194099999999995</v>
      </c>
      <c r="F962" t="s">
        <v>46</v>
      </c>
      <c r="G962">
        <v>-191.09809999999999</v>
      </c>
      <c r="H962" s="1">
        <v>-3.1268529999999998E-6</v>
      </c>
      <c r="I962">
        <v>354.45170000000002</v>
      </c>
      <c r="J962">
        <v>-203.8074</v>
      </c>
      <c r="K962">
        <v>1.105737</v>
      </c>
      <c r="L962">
        <v>363.47879999999998</v>
      </c>
      <c r="M962">
        <v>0.96226679999999998</v>
      </c>
      <c r="N962">
        <v>0</v>
      </c>
      <c r="O962">
        <v>-0.27172940000000001</v>
      </c>
      <c r="P962">
        <v>0.93525530000000001</v>
      </c>
      <c r="Q962">
        <v>-1.9417899999999998E-2</v>
      </c>
      <c r="R962">
        <v>-0.35344140000000002</v>
      </c>
      <c r="S962">
        <v>2.5356450000000001</v>
      </c>
      <c r="T962">
        <v>-0.21595449999999999</v>
      </c>
      <c r="U962">
        <v>-1.7790220000000001</v>
      </c>
      <c r="V962">
        <v>8.5916519999999996E-2</v>
      </c>
      <c r="W962">
        <v>-6.0635169999999896E-3</v>
      </c>
      <c r="X962">
        <v>0.9962839</v>
      </c>
      <c r="Y962">
        <v>0.33011659999999998</v>
      </c>
      <c r="Z962">
        <v>7.5431819999999998E-3</v>
      </c>
      <c r="AA962">
        <v>0.94391000000000003</v>
      </c>
      <c r="AB962">
        <v>28</v>
      </c>
      <c r="AC962">
        <v>12.709300000000001</v>
      </c>
      <c r="AD962">
        <v>-1.1057401268529901</v>
      </c>
      <c r="AE962">
        <v>-9.0270999999999599</v>
      </c>
      <c r="AF962">
        <v>5.20732735260178</v>
      </c>
      <c r="AG962">
        <v>-1.1057401268529901</v>
      </c>
      <c r="AH962">
        <v>14.6106670517499</v>
      </c>
      <c r="AI962">
        <v>94.0776015082659</v>
      </c>
      <c r="AJ962">
        <v>70.383634727426099</v>
      </c>
      <c r="AK962">
        <v>15.550257588939701</v>
      </c>
      <c r="AL962">
        <v>90.347416057814499</v>
      </c>
      <c r="AM962">
        <v>85.071178818000604</v>
      </c>
      <c r="AN962">
        <v>1.0000000120232599</v>
      </c>
    </row>
    <row r="963" spans="1:40" x14ac:dyDescent="0.25">
      <c r="A963" t="str">
        <f>"20190312160929356"</f>
        <v>20190312160929356</v>
      </c>
      <c r="B963" t="str">
        <f>"1552378169345706"</f>
        <v>1552378169345706</v>
      </c>
      <c r="C963" t="s">
        <v>40</v>
      </c>
      <c r="D963">
        <v>5.930955</v>
      </c>
      <c r="E963">
        <v>0.63183409999999995</v>
      </c>
      <c r="F963" t="s">
        <v>46</v>
      </c>
      <c r="G963">
        <v>-191.20959999999999</v>
      </c>
      <c r="H963" s="1">
        <v>-3.1136020000000002E-6</v>
      </c>
      <c r="I963">
        <v>354.37619999999998</v>
      </c>
      <c r="J963">
        <v>-203.54750000000001</v>
      </c>
      <c r="K963">
        <v>1.1056299999999999</v>
      </c>
      <c r="L963">
        <v>363.39870000000002</v>
      </c>
      <c r="M963">
        <v>0.96061739999999995</v>
      </c>
      <c r="N963">
        <v>0</v>
      </c>
      <c r="O963">
        <v>-0.27750340000000001</v>
      </c>
      <c r="P963">
        <v>0.93335840000000003</v>
      </c>
      <c r="Q963">
        <v>-1.9257819999999998E-2</v>
      </c>
      <c r="R963">
        <v>-0.35842869999999999</v>
      </c>
      <c r="S963">
        <v>2.5160680000000002</v>
      </c>
      <c r="T963">
        <v>-0.22084139999999999</v>
      </c>
      <c r="U963">
        <v>-1.817993</v>
      </c>
      <c r="V963">
        <v>8.5250980000000004E-2</v>
      </c>
      <c r="W963">
        <v>-5.9076579999999997E-3</v>
      </c>
      <c r="X963">
        <v>0.99634199999999995</v>
      </c>
      <c r="Y963">
        <v>0.33754699999999999</v>
      </c>
      <c r="Z963">
        <v>7.8501390000000008E-3</v>
      </c>
      <c r="AA963">
        <v>0.941276</v>
      </c>
      <c r="AB963">
        <v>28</v>
      </c>
      <c r="AC963">
        <v>12.337899999999999</v>
      </c>
      <c r="AD963">
        <v>-1.1056331136019999</v>
      </c>
      <c r="AE963">
        <v>-9.0225000000000293</v>
      </c>
      <c r="AF963">
        <v>5.2166066489961098</v>
      </c>
      <c r="AG963">
        <v>-1.1056331136019999</v>
      </c>
      <c r="AH963">
        <v>14.282524424676099</v>
      </c>
      <c r="AI963">
        <v>94.158845837570496</v>
      </c>
      <c r="AJ963">
        <v>69.935581145163198</v>
      </c>
      <c r="AK963">
        <v>15.2455210948565</v>
      </c>
      <c r="AL963">
        <v>90.338485837251298</v>
      </c>
      <c r="AM963">
        <v>85.109457126432901</v>
      </c>
      <c r="AN963">
        <v>1.0000000054889999</v>
      </c>
    </row>
    <row r="964" spans="1:40" x14ac:dyDescent="0.25">
      <c r="A964" t="str">
        <f>"20190312160929377"</f>
        <v>20190312160929377</v>
      </c>
      <c r="B964" t="str">
        <f>"1552378169366201"</f>
        <v>1552378169366201</v>
      </c>
      <c r="C964" t="s">
        <v>40</v>
      </c>
      <c r="D964">
        <v>5.7426620000000002</v>
      </c>
      <c r="E964">
        <v>0.63270319999999902</v>
      </c>
      <c r="F964" t="s">
        <v>42</v>
      </c>
      <c r="G964">
        <v>-203.01070000000001</v>
      </c>
      <c r="H964">
        <v>1.179673</v>
      </c>
      <c r="I964">
        <v>362.94220000000001</v>
      </c>
      <c r="J964">
        <v>-203.28980000000001</v>
      </c>
      <c r="K964">
        <v>1.105507</v>
      </c>
      <c r="L964">
        <v>363.31740000000002</v>
      </c>
      <c r="M964">
        <v>0.95889349999999995</v>
      </c>
      <c r="N964">
        <v>0</v>
      </c>
      <c r="O964">
        <v>-0.28340199999999999</v>
      </c>
      <c r="P964">
        <v>0.93119620000000003</v>
      </c>
      <c r="Q964">
        <v>-1.9826860000000002E-2</v>
      </c>
      <c r="R964">
        <v>-0.36397889999999999</v>
      </c>
      <c r="S964">
        <v>2.4287109999999998</v>
      </c>
      <c r="T964">
        <v>0.33475959999999899</v>
      </c>
      <c r="U964">
        <v>-2.0634459999999999</v>
      </c>
      <c r="V964">
        <v>8.5054379999999999E-2</v>
      </c>
      <c r="W964">
        <v>-6.4880529999999997E-3</v>
      </c>
      <c r="X964">
        <v>0.9963552</v>
      </c>
      <c r="Y964">
        <v>0.40426109999999998</v>
      </c>
      <c r="Z964">
        <v>-8.4792389999999995E-3</v>
      </c>
      <c r="AA964">
        <v>0.91460430000000004</v>
      </c>
      <c r="AB964">
        <v>28</v>
      </c>
      <c r="AC964">
        <v>0.27909999999999902</v>
      </c>
      <c r="AD964">
        <v>7.4165999999999899E-2</v>
      </c>
      <c r="AE964">
        <v>-0.37520000000000597</v>
      </c>
      <c r="AF964">
        <v>0.27382050040183198</v>
      </c>
      <c r="AG964">
        <v>7.4165999999999899E-2</v>
      </c>
      <c r="AH964">
        <v>0.36482131324300998</v>
      </c>
      <c r="AI964">
        <v>80.765007603368005</v>
      </c>
      <c r="AJ964">
        <v>53.109551413587397</v>
      </c>
      <c r="AK964">
        <v>0.46213942981817102</v>
      </c>
      <c r="AL964">
        <v>90.371740657238007</v>
      </c>
      <c r="AM964">
        <v>85.120745181796096</v>
      </c>
      <c r="AN964">
        <v>1.0000000134779701</v>
      </c>
    </row>
    <row r="965" spans="1:40" x14ac:dyDescent="0.25">
      <c r="A965" t="str">
        <f>"20190312160929401"</f>
        <v>20190312160929401</v>
      </c>
      <c r="B965" t="str">
        <f>"1552378169396458"</f>
        <v>1552378169396458</v>
      </c>
      <c r="C965" t="s">
        <v>40</v>
      </c>
      <c r="D965">
        <v>5.758826</v>
      </c>
      <c r="E965">
        <v>0.63389259999999903</v>
      </c>
      <c r="F965" t="s">
        <v>47</v>
      </c>
      <c r="G965">
        <v>-168.40199999999999</v>
      </c>
      <c r="H965">
        <v>5.848452</v>
      </c>
      <c r="I965">
        <v>333.19940000000003</v>
      </c>
      <c r="J965">
        <v>-203.0206</v>
      </c>
      <c r="K965">
        <v>1.105359</v>
      </c>
      <c r="L965">
        <v>363.23050000000001</v>
      </c>
      <c r="M965">
        <v>0.95699190000000001</v>
      </c>
      <c r="N965">
        <v>0</v>
      </c>
      <c r="O965">
        <v>-0.28975869999999998</v>
      </c>
      <c r="P965">
        <v>0.92876709999999996</v>
      </c>
      <c r="Q965">
        <v>-2.0626619999999998E-2</v>
      </c>
      <c r="R965">
        <v>-0.37008980000000002</v>
      </c>
      <c r="S965">
        <v>2.4140630000000001</v>
      </c>
      <c r="T965">
        <v>0.3281887</v>
      </c>
      <c r="U965">
        <v>-2.084015</v>
      </c>
      <c r="V965">
        <v>8.4983100000000006E-2</v>
      </c>
      <c r="W965">
        <v>-7.3026660000000002E-3</v>
      </c>
      <c r="X965">
        <v>0.99635569999999896</v>
      </c>
      <c r="Y965">
        <v>0.40545829999999999</v>
      </c>
      <c r="Z965">
        <v>-8.9342390000000001E-3</v>
      </c>
      <c r="AA965">
        <v>0.91406989999999999</v>
      </c>
      <c r="AB965">
        <v>28</v>
      </c>
      <c r="AC965">
        <v>34.618599999999901</v>
      </c>
      <c r="AD965">
        <v>4.743093</v>
      </c>
      <c r="AE965">
        <v>-30.031099999999899</v>
      </c>
      <c r="AF965">
        <v>18.512122494214999</v>
      </c>
      <c r="AG965">
        <v>4.743093</v>
      </c>
      <c r="AH965">
        <v>41.392446321256401</v>
      </c>
      <c r="AI965">
        <v>84.0283732042802</v>
      </c>
      <c r="AJ965">
        <v>65.904168036676396</v>
      </c>
      <c r="AK965">
        <v>45.590900659074101</v>
      </c>
      <c r="AL965">
        <v>90.418415631302096</v>
      </c>
      <c r="AM965">
        <v>85.124816970009903</v>
      </c>
      <c r="AN965">
        <v>1.0000000685693999</v>
      </c>
    </row>
    <row r="966" spans="1:40" x14ac:dyDescent="0.25">
      <c r="A966" t="str">
        <f>"20190312160929423"</f>
        <v>20190312160929423</v>
      </c>
      <c r="B966" t="str">
        <f>"1552378169415978"</f>
        <v>1552378169415978</v>
      </c>
      <c r="C966" t="s">
        <v>40</v>
      </c>
      <c r="D966">
        <v>5.7794720000000002</v>
      </c>
      <c r="E966">
        <v>0.6319224</v>
      </c>
      <c r="F966" t="s">
        <v>47</v>
      </c>
      <c r="G966">
        <v>-168.40190000000001</v>
      </c>
      <c r="H966">
        <v>5.5571630000000001</v>
      </c>
      <c r="I966">
        <v>332.77969999999999</v>
      </c>
      <c r="J966">
        <v>-202.75200000000001</v>
      </c>
      <c r="K966">
        <v>1.105199</v>
      </c>
      <c r="L966">
        <v>363.14150000000001</v>
      </c>
      <c r="M966">
        <v>0.95497980000000005</v>
      </c>
      <c r="N966">
        <v>0</v>
      </c>
      <c r="O966">
        <v>-0.29632150000000002</v>
      </c>
      <c r="P966">
        <v>0.92607550000000005</v>
      </c>
      <c r="Q966">
        <v>-2.178627E-2</v>
      </c>
      <c r="R966">
        <v>-0.37670900000000002</v>
      </c>
      <c r="S966">
        <v>2.39682</v>
      </c>
      <c r="T966">
        <v>0.30821989999999999</v>
      </c>
      <c r="U966">
        <v>-2.1082459999999998</v>
      </c>
      <c r="V966">
        <v>8.5245360000000006E-2</v>
      </c>
      <c r="W966">
        <v>-8.4825200000000003E-3</v>
      </c>
      <c r="X966">
        <v>0.99632390000000004</v>
      </c>
      <c r="Y966">
        <v>0.40775060000000002</v>
      </c>
      <c r="Z966">
        <v>-8.9382360000000004E-3</v>
      </c>
      <c r="AA966">
        <v>0.91304960000000002</v>
      </c>
      <c r="AB966">
        <v>28</v>
      </c>
      <c r="AC966">
        <v>34.350099999999998</v>
      </c>
      <c r="AD966">
        <v>4.4519640000000003</v>
      </c>
      <c r="AE966">
        <v>-30.361799999999999</v>
      </c>
      <c r="AF966">
        <v>18.642381336835399</v>
      </c>
      <c r="AG966">
        <v>4.4519640000000003</v>
      </c>
      <c r="AH966">
        <v>41.414293045847998</v>
      </c>
      <c r="AI966">
        <v>84.4014847248054</v>
      </c>
      <c r="AJ966">
        <v>65.765410178574498</v>
      </c>
      <c r="AK966">
        <v>45.634439120609898</v>
      </c>
      <c r="AL966">
        <v>90.486018414882494</v>
      </c>
      <c r="AM966">
        <v>85.109689553405005</v>
      </c>
      <c r="AN966">
        <v>1.00000001912914</v>
      </c>
    </row>
    <row r="967" spans="1:40" x14ac:dyDescent="0.25">
      <c r="A967" t="str">
        <f>"20190312160929445"</f>
        <v>20190312160929445</v>
      </c>
      <c r="B967" t="str">
        <f>"1552378169436474"</f>
        <v>1552378169436474</v>
      </c>
      <c r="C967" t="s">
        <v>40</v>
      </c>
      <c r="D967">
        <v>5.800243</v>
      </c>
      <c r="E967">
        <v>0.63146469999999999</v>
      </c>
      <c r="F967" t="s">
        <v>47</v>
      </c>
      <c r="G967">
        <v>-168.40170000000001</v>
      </c>
      <c r="H967">
        <v>5.114655</v>
      </c>
      <c r="I967">
        <v>332.78</v>
      </c>
      <c r="J967">
        <v>-202.49889999999999</v>
      </c>
      <c r="K967">
        <v>1.1050409999999999</v>
      </c>
      <c r="L967">
        <v>363.05540000000002</v>
      </c>
      <c r="M967">
        <v>0.95296539999999996</v>
      </c>
      <c r="N967">
        <v>0</v>
      </c>
      <c r="O967">
        <v>-0.30273650000000002</v>
      </c>
      <c r="P967">
        <v>0.92349610000000004</v>
      </c>
      <c r="Q967">
        <v>-2.1882410000000001E-2</v>
      </c>
      <c r="R967">
        <v>-0.38298330000000003</v>
      </c>
      <c r="S967">
        <v>2.3875730000000002</v>
      </c>
      <c r="T967">
        <v>0.2786843</v>
      </c>
      <c r="U967">
        <v>-2.1103209999999999</v>
      </c>
      <c r="V967">
        <v>8.5301600000000005E-2</v>
      </c>
      <c r="W967">
        <v>-8.5949470000000004E-3</v>
      </c>
      <c r="X967">
        <v>0.99631809999999998</v>
      </c>
      <c r="Y967">
        <v>0.40393309999999999</v>
      </c>
      <c r="Z967">
        <v>-8.8781810000000006E-3</v>
      </c>
      <c r="AA967">
        <v>0.91474549999999999</v>
      </c>
      <c r="AB967">
        <v>28</v>
      </c>
      <c r="AC967">
        <v>34.097199999999901</v>
      </c>
      <c r="AD967">
        <v>4.009614</v>
      </c>
      <c r="AE967">
        <v>-30.275400000000001</v>
      </c>
      <c r="AF967">
        <v>18.3886793487364</v>
      </c>
      <c r="AG967">
        <v>4.009614</v>
      </c>
      <c r="AH967">
        <v>41.343566384395402</v>
      </c>
      <c r="AI967">
        <v>84.936073908249199</v>
      </c>
      <c r="AJ967">
        <v>66.021588097849204</v>
      </c>
      <c r="AK967">
        <v>45.425884845543202</v>
      </c>
      <c r="AL967">
        <v>90.492460253483202</v>
      </c>
      <c r="AM967">
        <v>85.106450519839797</v>
      </c>
      <c r="AN967">
        <v>0.99999999623205105</v>
      </c>
    </row>
    <row r="968" spans="1:40" x14ac:dyDescent="0.25">
      <c r="A968" t="str">
        <f>"20190312160929467"</f>
        <v>20190312160929467</v>
      </c>
      <c r="B968" t="str">
        <f>"1552378169455994"</f>
        <v>1552378169455994</v>
      </c>
      <c r="C968" t="s">
        <v>40</v>
      </c>
      <c r="D968">
        <v>5.7937209999999997</v>
      </c>
      <c r="E968">
        <v>0.63110119999999903</v>
      </c>
      <c r="F968" t="s">
        <v>42</v>
      </c>
      <c r="G968">
        <v>-201.8715</v>
      </c>
      <c r="H968">
        <v>1.1802360000000001</v>
      </c>
      <c r="I968">
        <v>362.49470000000002</v>
      </c>
      <c r="J968">
        <v>-202.2388</v>
      </c>
      <c r="K968">
        <v>1.1048750000000001</v>
      </c>
      <c r="L968">
        <v>362.96460000000002</v>
      </c>
      <c r="M968">
        <v>0.95076609999999995</v>
      </c>
      <c r="N968">
        <v>0</v>
      </c>
      <c r="O968">
        <v>-0.3095735</v>
      </c>
      <c r="P968">
        <v>0.92087569999999996</v>
      </c>
      <c r="Q968">
        <v>-2.2349649999999999E-2</v>
      </c>
      <c r="R968">
        <v>-0.38921559999999999</v>
      </c>
      <c r="S968">
        <v>2.375</v>
      </c>
      <c r="T968">
        <v>0.28466819999999998</v>
      </c>
      <c r="U968">
        <v>-2.1225890000000001</v>
      </c>
      <c r="V968">
        <v>8.4872740000000002E-2</v>
      </c>
      <c r="W968">
        <v>-9.0711409999999996E-3</v>
      </c>
      <c r="X968">
        <v>0.99635050000000003</v>
      </c>
      <c r="Y968">
        <v>0.40240599999999999</v>
      </c>
      <c r="Z968">
        <v>-9.7965559999999997E-3</v>
      </c>
      <c r="AA968">
        <v>0.91540889999999997</v>
      </c>
      <c r="AB968">
        <v>27</v>
      </c>
      <c r="AC968">
        <v>0.36730000000000002</v>
      </c>
      <c r="AD968">
        <v>7.5360999999999997E-2</v>
      </c>
      <c r="AE968">
        <v>-0.46989999999999499</v>
      </c>
      <c r="AF968">
        <v>0.327858770733161</v>
      </c>
      <c r="AG968">
        <v>7.5360999999999997E-2</v>
      </c>
      <c r="AH968">
        <v>0.48696171437140001</v>
      </c>
      <c r="AI968">
        <v>82.684764872547404</v>
      </c>
      <c r="AJ968">
        <v>56.048633718279198</v>
      </c>
      <c r="AK968">
        <v>0.59186346831950398</v>
      </c>
      <c r="AL968">
        <v>90.5197452262816</v>
      </c>
      <c r="AM968">
        <v>85.131092194168701</v>
      </c>
      <c r="AN968">
        <v>0.99999999322219901</v>
      </c>
    </row>
    <row r="969" spans="1:40" x14ac:dyDescent="0.25">
      <c r="A969" t="str">
        <f>"20190312160929489"</f>
        <v>20190312160929489</v>
      </c>
      <c r="B969" t="str">
        <f>"1552378169485831"</f>
        <v>1552378169485831</v>
      </c>
      <c r="C969" t="s">
        <v>40</v>
      </c>
      <c r="D969">
        <v>6.0061090000000004</v>
      </c>
      <c r="E969">
        <v>0.62869750000000002</v>
      </c>
      <c r="F969" t="s">
        <v>42</v>
      </c>
      <c r="G969">
        <v>-201.61940000000001</v>
      </c>
      <c r="H969">
        <v>1.1798519999999999</v>
      </c>
      <c r="I969">
        <v>362.404</v>
      </c>
      <c r="J969">
        <v>-201.9744</v>
      </c>
      <c r="K969">
        <v>1.104714</v>
      </c>
      <c r="L969">
        <v>362.86989999999997</v>
      </c>
      <c r="M969">
        <v>0.94840340000000001</v>
      </c>
      <c r="N969">
        <v>0</v>
      </c>
      <c r="O969">
        <v>-0.31673659999999998</v>
      </c>
      <c r="P969">
        <v>0.91805919999999996</v>
      </c>
      <c r="Q969">
        <v>-2.2737259999999999E-2</v>
      </c>
      <c r="R969">
        <v>-0.3957907</v>
      </c>
      <c r="S969">
        <v>2.3618009999999998</v>
      </c>
      <c r="T969">
        <v>0.2857403</v>
      </c>
      <c r="U969">
        <v>-2.1362610000000002</v>
      </c>
      <c r="V969">
        <v>8.4476430000000005E-2</v>
      </c>
      <c r="W969">
        <v>-9.4646639999999994E-3</v>
      </c>
      <c r="X969">
        <v>0.9963805</v>
      </c>
      <c r="Y969">
        <v>0.40098660000000003</v>
      </c>
      <c r="Z969">
        <v>-1.058982E-2</v>
      </c>
      <c r="AA969">
        <v>0.91602269999999997</v>
      </c>
      <c r="AB969">
        <v>27</v>
      </c>
      <c r="AC969">
        <v>0.35499999999998899</v>
      </c>
      <c r="AD969">
        <v>7.5138000000000094E-2</v>
      </c>
      <c r="AE969">
        <v>-0.465899999999976</v>
      </c>
      <c r="AF969">
        <v>0.324120467291793</v>
      </c>
      <c r="AG969">
        <v>7.5138000000000094E-2</v>
      </c>
      <c r="AH969">
        <v>0.47646092603342699</v>
      </c>
      <c r="AI969">
        <v>82.571096051581193</v>
      </c>
      <c r="AJ969">
        <v>55.773852888787999</v>
      </c>
      <c r="AK969">
        <v>0.58113235187698997</v>
      </c>
      <c r="AL969">
        <v>90.542293412478301</v>
      </c>
      <c r="AM969">
        <v>85.153864059441105</v>
      </c>
      <c r="AN969">
        <v>0.999999973935213</v>
      </c>
    </row>
    <row r="970" spans="1:40" x14ac:dyDescent="0.25">
      <c r="A970" t="str">
        <f>"20190312160929512"</f>
        <v>20190312160929512</v>
      </c>
      <c r="B970" t="str">
        <f>"1552378169506382"</f>
        <v>1552378169506382</v>
      </c>
      <c r="C970" t="s">
        <v>40</v>
      </c>
      <c r="D970">
        <v>6.0730979999999999</v>
      </c>
      <c r="E970">
        <v>0.62701090000000004</v>
      </c>
      <c r="F970" t="s">
        <v>47</v>
      </c>
      <c r="G970">
        <v>-168.40170000000001</v>
      </c>
      <c r="H970">
        <v>4.9493470000000004</v>
      </c>
      <c r="I970">
        <v>332.4196</v>
      </c>
      <c r="J970">
        <v>-201.71119999999999</v>
      </c>
      <c r="K970">
        <v>1.104565</v>
      </c>
      <c r="L970">
        <v>362.7731</v>
      </c>
      <c r="M970">
        <v>0.94591740000000002</v>
      </c>
      <c r="N970">
        <v>0</v>
      </c>
      <c r="O970">
        <v>-0.32408500000000001</v>
      </c>
      <c r="P970">
        <v>0.914941</v>
      </c>
      <c r="Q970">
        <v>-2.322981E-2</v>
      </c>
      <c r="R970">
        <v>-0.40291870000000002</v>
      </c>
      <c r="S970">
        <v>2.3540040000000002</v>
      </c>
      <c r="T970">
        <v>0.26957300000000001</v>
      </c>
      <c r="U970">
        <v>-2.1350709999999999</v>
      </c>
      <c r="V970">
        <v>8.4489339999999996E-2</v>
      </c>
      <c r="W970">
        <v>-9.9679060000000003E-3</v>
      </c>
      <c r="X970">
        <v>0.99637450000000005</v>
      </c>
      <c r="Y970">
        <v>0.39520480000000002</v>
      </c>
      <c r="Z970">
        <v>-1.094293E-2</v>
      </c>
      <c r="AA970">
        <v>0.91852780000000001</v>
      </c>
      <c r="AB970">
        <v>27</v>
      </c>
      <c r="AC970">
        <v>33.3094999999999</v>
      </c>
      <c r="AD970">
        <v>3.8447819999999999</v>
      </c>
      <c r="AE970">
        <v>-30.3535</v>
      </c>
      <c r="AF970">
        <v>17.789183604529899</v>
      </c>
      <c r="AG970">
        <v>3.8447819999999999</v>
      </c>
      <c r="AH970">
        <v>41.050672269251898</v>
      </c>
      <c r="AI970">
        <v>85.088223355771206</v>
      </c>
      <c r="AJ970">
        <v>66.570650378650001</v>
      </c>
      <c r="AK970">
        <v>44.904288166061903</v>
      </c>
      <c r="AL970">
        <v>90.571128416169799</v>
      </c>
      <c r="AM970">
        <v>85.153097934958893</v>
      </c>
      <c r="AN970">
        <v>0.999999975986954</v>
      </c>
    </row>
    <row r="971" spans="1:40" x14ac:dyDescent="0.25">
      <c r="A971" t="str">
        <f>"20190312160929535"</f>
        <v>20190312160929535</v>
      </c>
      <c r="B971" t="str">
        <f>"1552378169526133"</f>
        <v>1552378169526133</v>
      </c>
      <c r="C971" t="s">
        <v>40</v>
      </c>
      <c r="D971">
        <v>6.0752040000000003</v>
      </c>
      <c r="E971">
        <v>0.62582369999999898</v>
      </c>
      <c r="F971" t="s">
        <v>47</v>
      </c>
      <c r="G971">
        <v>-168.4016</v>
      </c>
      <c r="H971">
        <v>4.675433</v>
      </c>
      <c r="I971">
        <v>332.33499999999998</v>
      </c>
      <c r="J971">
        <v>-201.44489999999999</v>
      </c>
      <c r="K971">
        <v>1.104406</v>
      </c>
      <c r="L971">
        <v>362.67259999999999</v>
      </c>
      <c r="M971">
        <v>0.94325460000000005</v>
      </c>
      <c r="N971">
        <v>0</v>
      </c>
      <c r="O971">
        <v>-0.3317541</v>
      </c>
      <c r="P971">
        <v>0.91173090000000001</v>
      </c>
      <c r="Q971">
        <v>-2.3687779999999999E-2</v>
      </c>
      <c r="R971">
        <v>-0.4101052</v>
      </c>
      <c r="S971">
        <v>2.3425750000000001</v>
      </c>
      <c r="T971">
        <v>0.25113010000000002</v>
      </c>
      <c r="U971">
        <v>-2.140625</v>
      </c>
      <c r="V971">
        <v>8.42334E-2</v>
      </c>
      <c r="W971">
        <v>-1.043258E-2</v>
      </c>
      <c r="X971">
        <v>0.99639140000000004</v>
      </c>
      <c r="Y971">
        <v>0.39122449999999998</v>
      </c>
      <c r="Z971">
        <v>-1.102917E-2</v>
      </c>
      <c r="AA971">
        <v>0.92022919999999997</v>
      </c>
      <c r="AB971">
        <v>27</v>
      </c>
      <c r="AC971">
        <v>33.043299999999903</v>
      </c>
      <c r="AD971">
        <v>3.5710269999999902</v>
      </c>
      <c r="AE971">
        <v>-30.337599999999998</v>
      </c>
      <c r="AF971">
        <v>17.544498348469801</v>
      </c>
      <c r="AG971">
        <v>3.5710269999999902</v>
      </c>
      <c r="AH971">
        <v>40.977508133598903</v>
      </c>
      <c r="AI971">
        <v>85.419698422676106</v>
      </c>
      <c r="AJ971">
        <v>66.821837582617704</v>
      </c>
      <c r="AK971">
        <v>44.7182046707306</v>
      </c>
      <c r="AL971">
        <v>90.597753668890803</v>
      </c>
      <c r="AM971">
        <v>85.167792393062001</v>
      </c>
      <c r="AN971">
        <v>0.99999996319748696</v>
      </c>
    </row>
    <row r="972" spans="1:40" x14ac:dyDescent="0.25">
      <c r="A972" t="str">
        <f>"20190312160929558"</f>
        <v>20190312160929558</v>
      </c>
      <c r="B972" t="str">
        <f>"1552378169545654"</f>
        <v>1552378169545654</v>
      </c>
      <c r="C972" t="s">
        <v>40</v>
      </c>
      <c r="D972">
        <v>5.9567860000000001</v>
      </c>
      <c r="E972">
        <v>0.62527469999999996</v>
      </c>
      <c r="F972" t="s">
        <v>47</v>
      </c>
      <c r="G972">
        <v>-168.4015</v>
      </c>
      <c r="H972">
        <v>4.507409</v>
      </c>
      <c r="I972">
        <v>332.17649999999998</v>
      </c>
      <c r="J972">
        <v>-201.19239999999999</v>
      </c>
      <c r="K972">
        <v>1.1042430000000001</v>
      </c>
      <c r="L972">
        <v>362.57470000000001</v>
      </c>
      <c r="M972">
        <v>0.94057990000000002</v>
      </c>
      <c r="N972">
        <v>0</v>
      </c>
      <c r="O972">
        <v>-0.33926220000000001</v>
      </c>
      <c r="P972">
        <v>0.90855160000000001</v>
      </c>
      <c r="Q972">
        <v>-2.4325670000000001E-2</v>
      </c>
      <c r="R972">
        <v>-0.41706379999999998</v>
      </c>
      <c r="S972">
        <v>2.3296199999999998</v>
      </c>
      <c r="T972">
        <v>0.2399184</v>
      </c>
      <c r="U972">
        <v>-2.1500240000000002</v>
      </c>
      <c r="V972">
        <v>8.3902350000000001E-2</v>
      </c>
      <c r="W972">
        <v>-1.107524E-2</v>
      </c>
      <c r="X972">
        <v>0.99641250000000003</v>
      </c>
      <c r="Y972">
        <v>0.38848139999999998</v>
      </c>
      <c r="Z972">
        <v>-1.126754E-2</v>
      </c>
      <c r="AA972">
        <v>0.92138770000000003</v>
      </c>
      <c r="AB972">
        <v>27</v>
      </c>
      <c r="AC972">
        <v>32.790899999999901</v>
      </c>
      <c r="AD972">
        <v>3.4031660000000001</v>
      </c>
      <c r="AE972">
        <v>-30.398199999999999</v>
      </c>
      <c r="AF972">
        <v>17.368450506828601</v>
      </c>
      <c r="AG972">
        <v>3.4031660000000001</v>
      </c>
      <c r="AH972">
        <v>40.9226986055683</v>
      </c>
      <c r="AI972">
        <v>85.622463210329499</v>
      </c>
      <c r="AJ972">
        <v>67.002615300979301</v>
      </c>
      <c r="AK972">
        <v>44.586005349144003</v>
      </c>
      <c r="AL972">
        <v>90.634577439550796</v>
      </c>
      <c r="AM972">
        <v>85.186795746385698</v>
      </c>
      <c r="AN972">
        <v>1.00000006771641</v>
      </c>
    </row>
    <row r="973" spans="1:40" x14ac:dyDescent="0.25">
      <c r="A973" t="str">
        <f>"20190312160929578"</f>
        <v>20190312160929578</v>
      </c>
      <c r="B973" t="str">
        <f>"1552378169575909"</f>
        <v>1552378169575909</v>
      </c>
      <c r="C973" t="s">
        <v>40</v>
      </c>
      <c r="D973">
        <v>5.9910199999999998</v>
      </c>
      <c r="E973">
        <v>0.6114522</v>
      </c>
      <c r="F973" t="s">
        <v>47</v>
      </c>
      <c r="G973">
        <v>-168.4015</v>
      </c>
      <c r="H973">
        <v>4.4390219999999996</v>
      </c>
      <c r="I973">
        <v>331.92829999999998</v>
      </c>
      <c r="J973">
        <v>-200.94890000000001</v>
      </c>
      <c r="K973">
        <v>1.104068</v>
      </c>
      <c r="L973">
        <v>362.47789999999998</v>
      </c>
      <c r="M973">
        <v>0.9378531</v>
      </c>
      <c r="N973">
        <v>0</v>
      </c>
      <c r="O973">
        <v>-0.34672789999999998</v>
      </c>
      <c r="P973">
        <v>0.90502340000000003</v>
      </c>
      <c r="Q973">
        <v>-2.5184640000000001E-2</v>
      </c>
      <c r="R973">
        <v>-0.4246162</v>
      </c>
      <c r="S973">
        <v>2.3150629999999999</v>
      </c>
      <c r="T973">
        <v>0.2354387</v>
      </c>
      <c r="U973">
        <v>-2.1636660000000001</v>
      </c>
      <c r="V973">
        <v>8.4271299999999993E-2</v>
      </c>
      <c r="W973">
        <v>-1.194981E-2</v>
      </c>
      <c r="X973">
        <v>0.99637120000000001</v>
      </c>
      <c r="Y973">
        <v>0.38696950000000002</v>
      </c>
      <c r="Z973">
        <v>-1.171672E-2</v>
      </c>
      <c r="AA973">
        <v>0.92201809999999995</v>
      </c>
      <c r="AB973">
        <v>27</v>
      </c>
      <c r="AC973">
        <v>32.547400000000003</v>
      </c>
      <c r="AD973">
        <v>3.3349540000000002</v>
      </c>
      <c r="AE973">
        <v>-30.549600000000002</v>
      </c>
      <c r="AF973">
        <v>17.271379068385301</v>
      </c>
      <c r="AG973">
        <v>3.3349540000000002</v>
      </c>
      <c r="AH973">
        <v>40.893175382632897</v>
      </c>
      <c r="AI973">
        <v>85.703612699111304</v>
      </c>
      <c r="AJ973">
        <v>67.103061056512701</v>
      </c>
      <c r="AK973">
        <v>44.515999887464602</v>
      </c>
      <c r="AL973">
        <v>90.6846899688164</v>
      </c>
      <c r="AM973">
        <v>85.165530944924399</v>
      </c>
      <c r="AN973">
        <v>1.0000000090760801</v>
      </c>
    </row>
    <row r="974" spans="1:40" x14ac:dyDescent="0.25">
      <c r="A974" t="str">
        <f>"20190312160929602"</f>
        <v>20190312160929602</v>
      </c>
      <c r="B974" t="str">
        <f>"1552378169596406"</f>
        <v>1552378169596406</v>
      </c>
      <c r="C974" t="s">
        <v>40</v>
      </c>
      <c r="D974">
        <v>5.6587730000000001</v>
      </c>
      <c r="E974">
        <v>0.61503149999999995</v>
      </c>
      <c r="F974" t="s">
        <v>47</v>
      </c>
      <c r="G974">
        <v>-168.40049999999999</v>
      </c>
      <c r="H974">
        <v>1.266519</v>
      </c>
      <c r="I974">
        <v>333.54039999999998</v>
      </c>
      <c r="J974">
        <v>-200.67769999999999</v>
      </c>
      <c r="K974">
        <v>1.1038619999999999</v>
      </c>
      <c r="L974">
        <v>362.36720000000003</v>
      </c>
      <c r="M974">
        <v>0.93463339999999995</v>
      </c>
      <c r="N974">
        <v>0</v>
      </c>
      <c r="O974">
        <v>-0.35531449999999998</v>
      </c>
      <c r="P974">
        <v>0.90047940000000004</v>
      </c>
      <c r="Q974">
        <v>-2.632779E-2</v>
      </c>
      <c r="R974">
        <v>-0.43410179999999998</v>
      </c>
      <c r="S974">
        <v>2.3393709999999999</v>
      </c>
      <c r="T974">
        <v>1.1676310000000001E-2</v>
      </c>
      <c r="U974">
        <v>-2.079834</v>
      </c>
      <c r="V974">
        <v>8.5590269999999996E-2</v>
      </c>
      <c r="W974">
        <v>-1.312601E-2</v>
      </c>
      <c r="X974">
        <v>0.99624400000000002</v>
      </c>
      <c r="Y974">
        <v>0.3554967</v>
      </c>
      <c r="Z974">
        <v>-6.8483899999999904E-4</v>
      </c>
      <c r="AA974">
        <v>0.93467730000000004</v>
      </c>
      <c r="AB974">
        <v>27</v>
      </c>
      <c r="AC974">
        <v>32.277199999999901</v>
      </c>
      <c r="AD974">
        <v>0.162656999999999</v>
      </c>
      <c r="AE974">
        <v>-28.826799999999999</v>
      </c>
      <c r="AF974">
        <v>15.475354897238001</v>
      </c>
      <c r="AG974">
        <v>0.162656999999999</v>
      </c>
      <c r="AH974">
        <v>40.413642689152702</v>
      </c>
      <c r="AI974">
        <v>89.784645701917299</v>
      </c>
      <c r="AJ974">
        <v>69.046956218840194</v>
      </c>
      <c r="AK974">
        <v>43.275577198942401</v>
      </c>
      <c r="AL974">
        <v>90.752086536987306</v>
      </c>
      <c r="AM974">
        <v>85.089607613671006</v>
      </c>
      <c r="AN974">
        <v>1.00000004699659</v>
      </c>
    </row>
    <row r="975" spans="1:40" x14ac:dyDescent="0.25">
      <c r="A975" t="str">
        <f>"20190312160929624"</f>
        <v>20190312160929624</v>
      </c>
      <c r="B975" t="str">
        <f>"1552378169615925"</f>
        <v>1552378169615925</v>
      </c>
      <c r="C975" t="s">
        <v>40</v>
      </c>
      <c r="D975">
        <v>6.0260590000000001</v>
      </c>
      <c r="E975">
        <v>0.64636349999999998</v>
      </c>
      <c r="F975" t="s">
        <v>47</v>
      </c>
      <c r="G975">
        <v>-168.40090000000001</v>
      </c>
      <c r="H975">
        <v>2.5596239999999999</v>
      </c>
      <c r="I975">
        <v>332.54680000000002</v>
      </c>
      <c r="J975">
        <v>-200.42750000000001</v>
      </c>
      <c r="K975">
        <v>1.1036539999999999</v>
      </c>
      <c r="L975">
        <v>362.262</v>
      </c>
      <c r="M975">
        <v>0.93147539999999995</v>
      </c>
      <c r="N975">
        <v>0</v>
      </c>
      <c r="O975">
        <v>-0.36351139999999998</v>
      </c>
      <c r="P975">
        <v>0.89580040000000005</v>
      </c>
      <c r="Q975">
        <v>-2.7106410000000001E-2</v>
      </c>
      <c r="R975">
        <v>-0.44362980000000002</v>
      </c>
      <c r="S975">
        <v>2.3070529999999998</v>
      </c>
      <c r="T975">
        <v>0.1040541</v>
      </c>
      <c r="U975">
        <v>-2.1314700000000002</v>
      </c>
      <c r="V975">
        <v>8.739624E-2</v>
      </c>
      <c r="W975">
        <v>-1.394571E-2</v>
      </c>
      <c r="X975">
        <v>0.99607599999999996</v>
      </c>
      <c r="Y975">
        <v>0.36513289999999998</v>
      </c>
      <c r="Z975">
        <v>-6.2061379999999999E-3</v>
      </c>
      <c r="AA975">
        <v>0.9309347</v>
      </c>
      <c r="AB975">
        <v>27</v>
      </c>
      <c r="AC975">
        <v>32.026600000000002</v>
      </c>
      <c r="AD975">
        <v>1.45597</v>
      </c>
      <c r="AE975">
        <v>-29.7151999999999</v>
      </c>
      <c r="AF975">
        <v>16.020858950372201</v>
      </c>
      <c r="AG975">
        <v>1.45597</v>
      </c>
      <c r="AH975">
        <v>40.593049311995202</v>
      </c>
      <c r="AI975">
        <v>88.089145302232197</v>
      </c>
      <c r="AJ975">
        <v>68.462337413540595</v>
      </c>
      <c r="AK975">
        <v>43.664441168927098</v>
      </c>
      <c r="AL975">
        <v>90.799056233837803</v>
      </c>
      <c r="AM975">
        <v>84.985678827117297</v>
      </c>
      <c r="AN975">
        <v>0.99999999168477005</v>
      </c>
    </row>
    <row r="976" spans="1:40" x14ac:dyDescent="0.25">
      <c r="A976" t="str">
        <f>"20190312160929646"</f>
        <v>20190312160929646</v>
      </c>
      <c r="B976" t="str">
        <f>"1552378169636422"</f>
        <v>1552378169636422</v>
      </c>
      <c r="C976" t="s">
        <v>40</v>
      </c>
      <c r="D976">
        <v>5.0370710000000001</v>
      </c>
      <c r="E976">
        <v>0.64858930000000004</v>
      </c>
      <c r="F976" t="s">
        <v>42</v>
      </c>
      <c r="G976">
        <v>-199.90549999999999</v>
      </c>
      <c r="H976">
        <v>1.1890229999999999</v>
      </c>
      <c r="I976">
        <v>361.69069999999999</v>
      </c>
      <c r="J976">
        <v>-200.18530000000001</v>
      </c>
      <c r="K976">
        <v>1.1034679999999999</v>
      </c>
      <c r="L976">
        <v>362.15730000000002</v>
      </c>
      <c r="M976">
        <v>0.92823049999999996</v>
      </c>
      <c r="N976">
        <v>0</v>
      </c>
      <c r="O976">
        <v>-0.37171749999999998</v>
      </c>
      <c r="P976">
        <v>0.89155200000000001</v>
      </c>
      <c r="Q976">
        <v>-2.692903E-2</v>
      </c>
      <c r="R976">
        <v>-0.4521173</v>
      </c>
      <c r="S976">
        <v>2.179001</v>
      </c>
      <c r="T976">
        <v>0.35623779999999999</v>
      </c>
      <c r="U976">
        <v>-2.3842469999999998</v>
      </c>
      <c r="V976">
        <v>8.8060150000000004E-2</v>
      </c>
      <c r="W976">
        <v>-1.378856E-2</v>
      </c>
      <c r="X976">
        <v>0.99601969999999995</v>
      </c>
      <c r="Y976">
        <v>0.43403520000000001</v>
      </c>
      <c r="Z976">
        <v>-1.7565669999999999E-2</v>
      </c>
      <c r="AA976">
        <v>0.90072459999999999</v>
      </c>
      <c r="AB976">
        <v>27</v>
      </c>
      <c r="AC976">
        <v>0.27980000000002198</v>
      </c>
      <c r="AD976">
        <v>8.5554999999999798E-2</v>
      </c>
      <c r="AE976">
        <v>-0.46660000000002799</v>
      </c>
      <c r="AF976">
        <v>0.32119837286109998</v>
      </c>
      <c r="AG976">
        <v>8.5554999999999798E-2</v>
      </c>
      <c r="AH976">
        <v>0.42275469325187298</v>
      </c>
      <c r="AI976">
        <v>80.846000815247294</v>
      </c>
      <c r="AJ976">
        <v>52.773344902089498</v>
      </c>
      <c r="AK976">
        <v>0.53778209659684995</v>
      </c>
      <c r="AL976">
        <v>90.7900513464933</v>
      </c>
      <c r="AM976">
        <v>84.947499587527503</v>
      </c>
      <c r="AN976">
        <v>0.99999997859649203</v>
      </c>
    </row>
    <row r="977" spans="1:40" x14ac:dyDescent="0.25">
      <c r="A977" t="str">
        <f>"20190312160929668"</f>
        <v>20190312160929668</v>
      </c>
      <c r="B977" t="str">
        <f>"1552378169655941"</f>
        <v>1552378169655941</v>
      </c>
      <c r="C977" t="s">
        <v>40</v>
      </c>
      <c r="D977">
        <v>5.4813900000000002</v>
      </c>
      <c r="E977">
        <v>0.64961359999999901</v>
      </c>
      <c r="F977" t="s">
        <v>42</v>
      </c>
      <c r="G977">
        <v>-199.68360000000001</v>
      </c>
      <c r="H977">
        <v>1.190663</v>
      </c>
      <c r="I977">
        <v>361.59199999999998</v>
      </c>
      <c r="J977">
        <v>-199.93389999999999</v>
      </c>
      <c r="K977">
        <v>1.1032850000000001</v>
      </c>
      <c r="L977">
        <v>362.0455</v>
      </c>
      <c r="M977">
        <v>0.92467540000000004</v>
      </c>
      <c r="N977">
        <v>0</v>
      </c>
      <c r="O977">
        <v>-0.38047360000000002</v>
      </c>
      <c r="P977">
        <v>0.88708199999999904</v>
      </c>
      <c r="Q977">
        <v>-2.669119E-2</v>
      </c>
      <c r="R977">
        <v>-0.46084009999999997</v>
      </c>
      <c r="S977">
        <v>2.148666</v>
      </c>
      <c r="T977">
        <v>0.37342059999999999</v>
      </c>
      <c r="U977">
        <v>-2.4205930000000002</v>
      </c>
      <c r="V977">
        <v>8.8411139999999999E-2</v>
      </c>
      <c r="W977">
        <v>-1.356135E-2</v>
      </c>
      <c r="X977">
        <v>0.99599179999999998</v>
      </c>
      <c r="Y977">
        <v>0.43855149999999998</v>
      </c>
      <c r="Z977">
        <v>-1.918781E-2</v>
      </c>
      <c r="AA977">
        <v>0.898501199999999</v>
      </c>
      <c r="AB977">
        <v>27</v>
      </c>
      <c r="AC977">
        <v>0.25029999999998098</v>
      </c>
      <c r="AD977">
        <v>8.73779999999999E-2</v>
      </c>
      <c r="AE977">
        <v>-0.453500000000019</v>
      </c>
      <c r="AF977">
        <v>0.31517425278059802</v>
      </c>
      <c r="AG977">
        <v>8.73779999999999E-2</v>
      </c>
      <c r="AH977">
        <v>0.39285567952214201</v>
      </c>
      <c r="AI977">
        <v>80.157882602308803</v>
      </c>
      <c r="AJ977">
        <v>51.261157735979999</v>
      </c>
      <c r="AK977">
        <v>0.51118031009870901</v>
      </c>
      <c r="AL977">
        <v>90.777031897079397</v>
      </c>
      <c r="AM977">
        <v>84.927324845126407</v>
      </c>
      <c r="AN977">
        <v>1.00000005277857</v>
      </c>
    </row>
    <row r="978" spans="1:40" x14ac:dyDescent="0.25">
      <c r="A978" t="str">
        <f>"20190312160929680"</f>
        <v>20190312160929680</v>
      </c>
      <c r="B978" t="str">
        <f>"1552378169676181"</f>
        <v>1552378169676181</v>
      </c>
      <c r="C978" t="s">
        <v>40</v>
      </c>
      <c r="D978">
        <v>5.8638599999999999</v>
      </c>
      <c r="E978">
        <v>0.64948109999999903</v>
      </c>
      <c r="F978" t="s">
        <v>42</v>
      </c>
      <c r="G978">
        <v>-199.46</v>
      </c>
      <c r="H978">
        <v>1.1883220000000001</v>
      </c>
      <c r="I978">
        <v>361.49849999999998</v>
      </c>
      <c r="J978">
        <v>-199.8014</v>
      </c>
      <c r="K978">
        <v>1.103197</v>
      </c>
      <c r="L978">
        <v>361.98540000000003</v>
      </c>
      <c r="M978">
        <v>0.92272500000000002</v>
      </c>
      <c r="N978">
        <v>0</v>
      </c>
      <c r="O978">
        <v>-0.3851793</v>
      </c>
      <c r="P978">
        <v>0.884403099999999</v>
      </c>
      <c r="Q978">
        <v>-2.7100820000000001E-2</v>
      </c>
      <c r="R978">
        <v>-0.46593699999999999</v>
      </c>
      <c r="S978">
        <v>2.1213839999999999</v>
      </c>
      <c r="T978">
        <v>0.38058320000000001</v>
      </c>
      <c r="U978">
        <v>-2.4483950000000001</v>
      </c>
      <c r="V978">
        <v>8.9063580000000003E-2</v>
      </c>
      <c r="W978">
        <v>-1.398464E-2</v>
      </c>
      <c r="X978">
        <v>0.99592780000000003</v>
      </c>
      <c r="Y978">
        <v>0.44471300000000002</v>
      </c>
      <c r="Z978">
        <v>-1.9748109999999999E-2</v>
      </c>
      <c r="AA978">
        <v>0.89545540000000001</v>
      </c>
      <c r="AB978">
        <v>27</v>
      </c>
      <c r="AC978">
        <v>0.34139999999999299</v>
      </c>
      <c r="AD978">
        <v>8.5124999999999895E-2</v>
      </c>
      <c r="AE978">
        <v>-0.48690000000004802</v>
      </c>
      <c r="AF978">
        <v>0.31142726685342198</v>
      </c>
      <c r="AG978">
        <v>8.5124999999999895E-2</v>
      </c>
      <c r="AH978">
        <v>0.49252379341906399</v>
      </c>
      <c r="AI978">
        <v>81.688943983131693</v>
      </c>
      <c r="AJ978">
        <v>57.694460776970402</v>
      </c>
      <c r="AK978">
        <v>0.58890822311180002</v>
      </c>
      <c r="AL978">
        <v>90.801286939676601</v>
      </c>
      <c r="AM978">
        <v>84.8897612974271</v>
      </c>
      <c r="AN978">
        <v>1.0000000371255899</v>
      </c>
    </row>
    <row r="979" spans="1:40" x14ac:dyDescent="0.25">
      <c r="A979" t="str">
        <f>"20190312160929692"</f>
        <v>20190312160929692</v>
      </c>
      <c r="B979" t="str">
        <f>"1552378169685941"</f>
        <v>1552378169685941</v>
      </c>
      <c r="C979" t="s">
        <v>40</v>
      </c>
      <c r="D979">
        <v>5.732755</v>
      </c>
      <c r="E979">
        <v>0.64950620000000003</v>
      </c>
      <c r="F979" t="s">
        <v>42</v>
      </c>
      <c r="G979">
        <v>-199.38550000000001</v>
      </c>
      <c r="H979">
        <v>1.1790639999999999</v>
      </c>
      <c r="I979">
        <v>361.50020000000001</v>
      </c>
      <c r="J979">
        <v>-199.6602</v>
      </c>
      <c r="K979">
        <v>1.1031029999999999</v>
      </c>
      <c r="L979">
        <v>361.9203</v>
      </c>
      <c r="M979">
        <v>0.92057820000000001</v>
      </c>
      <c r="N979">
        <v>0</v>
      </c>
      <c r="O979">
        <v>-0.39028180000000001</v>
      </c>
      <c r="P979">
        <v>0.88148570000000004</v>
      </c>
      <c r="Q979">
        <v>-2.7806640000000001E-2</v>
      </c>
      <c r="R979">
        <v>-0.47139160000000002</v>
      </c>
      <c r="S979">
        <v>2.1081089999999998</v>
      </c>
      <c r="T979">
        <v>0.384521</v>
      </c>
      <c r="U979">
        <v>-2.4595340000000001</v>
      </c>
      <c r="V979">
        <v>8.9695750000000005E-2</v>
      </c>
      <c r="W979">
        <v>-1.4703829999999999E-2</v>
      </c>
      <c r="X979">
        <v>0.99586070000000004</v>
      </c>
      <c r="Y979">
        <v>0.44456479999999998</v>
      </c>
      <c r="Z979">
        <v>-2.0624360000000001E-2</v>
      </c>
      <c r="AA979">
        <v>0.89550919999999901</v>
      </c>
      <c r="AB979">
        <v>27</v>
      </c>
      <c r="AC979">
        <v>0.274699999999995</v>
      </c>
      <c r="AD979">
        <v>7.5960999999999695E-2</v>
      </c>
      <c r="AE979">
        <v>-0.42009999999998998</v>
      </c>
      <c r="AF979">
        <v>0.27329560031830102</v>
      </c>
      <c r="AG979">
        <v>7.5960999999999695E-2</v>
      </c>
      <c r="AH979">
        <v>0.40755139715213601</v>
      </c>
      <c r="AI979">
        <v>81.200423109454704</v>
      </c>
      <c r="AJ979">
        <v>56.155006128904603</v>
      </c>
      <c r="AK979">
        <v>0.49654677523371199</v>
      </c>
      <c r="AL979">
        <v>90.842497734950499</v>
      </c>
      <c r="AM979">
        <v>84.853338214260702</v>
      </c>
      <c r="AN979">
        <v>1.0000000319946101</v>
      </c>
    </row>
    <row r="980" spans="1:40" x14ac:dyDescent="0.25">
      <c r="A980" t="str">
        <f>"20190312160929704"</f>
        <v>20190312160929704</v>
      </c>
      <c r="B980" t="str">
        <f>"1552378169695701"</f>
        <v>1552378169695701</v>
      </c>
      <c r="C980" t="s">
        <v>40</v>
      </c>
      <c r="D980">
        <v>5.87643</v>
      </c>
      <c r="E980">
        <v>0.64935369999999903</v>
      </c>
      <c r="F980" t="s">
        <v>42</v>
      </c>
      <c r="G980">
        <v>-199.23179999999999</v>
      </c>
      <c r="H980">
        <v>1.1816040000000001</v>
      </c>
      <c r="I980">
        <v>361.41390000000001</v>
      </c>
      <c r="J980">
        <v>-199.53280000000001</v>
      </c>
      <c r="K980">
        <v>1.1030219999999999</v>
      </c>
      <c r="L980">
        <v>361.86099999999999</v>
      </c>
      <c r="M980">
        <v>0.91859959999999996</v>
      </c>
      <c r="N980">
        <v>0</v>
      </c>
      <c r="O980">
        <v>-0.39491530000000002</v>
      </c>
      <c r="P980">
        <v>0.87875759999999903</v>
      </c>
      <c r="Q980">
        <v>-2.8598800000000001E-2</v>
      </c>
      <c r="R980">
        <v>-0.47641119999999998</v>
      </c>
      <c r="S980">
        <v>2.092819</v>
      </c>
      <c r="T980">
        <v>0.38340099999999999</v>
      </c>
      <c r="U980">
        <v>-2.4732059999999998</v>
      </c>
      <c r="V980">
        <v>9.0350719999999995E-2</v>
      </c>
      <c r="W980">
        <v>-1.5510299999999901E-2</v>
      </c>
      <c r="X980">
        <v>0.99578920000000004</v>
      </c>
      <c r="Y980">
        <v>0.4457412</v>
      </c>
      <c r="Z980">
        <v>-2.108722E-2</v>
      </c>
      <c r="AA980">
        <v>0.89491350000000003</v>
      </c>
      <c r="AB980">
        <v>27</v>
      </c>
      <c r="AC980">
        <v>0.30100000000001598</v>
      </c>
      <c r="AD980">
        <v>7.8582000000000096E-2</v>
      </c>
      <c r="AE980">
        <v>-0.44709999999997702</v>
      </c>
      <c r="AF980">
        <v>0.285792913676574</v>
      </c>
      <c r="AG980">
        <v>7.8582000000000096E-2</v>
      </c>
      <c r="AH980">
        <v>0.44368286015160502</v>
      </c>
      <c r="AI980">
        <v>81.531060055233198</v>
      </c>
      <c r="AJ980">
        <v>57.212883195865601</v>
      </c>
      <c r="AK980">
        <v>0.53357961039010304</v>
      </c>
      <c r="AL980">
        <v>90.888710385119097</v>
      </c>
      <c r="AM980">
        <v>84.815590457722607</v>
      </c>
      <c r="AN980">
        <v>0.99999997642362304</v>
      </c>
    </row>
    <row r="981" spans="1:40" x14ac:dyDescent="0.25">
      <c r="A981" t="str">
        <f>"20190312160929715"</f>
        <v>20190312160929715</v>
      </c>
      <c r="B981" t="str">
        <f>"1552378169706437"</f>
        <v>1552378169706437</v>
      </c>
      <c r="C981" t="s">
        <v>40</v>
      </c>
      <c r="D981">
        <v>5.3705879999999997</v>
      </c>
      <c r="E981">
        <v>0.64919199999999999</v>
      </c>
      <c r="F981" t="s">
        <v>42</v>
      </c>
      <c r="G981">
        <v>-199.03380000000001</v>
      </c>
      <c r="H981">
        <v>1.1946270000000001</v>
      </c>
      <c r="I981">
        <v>361.2647</v>
      </c>
      <c r="J981">
        <v>-199.41159999999999</v>
      </c>
      <c r="K981">
        <v>1.1029409999999999</v>
      </c>
      <c r="L981">
        <v>361.8032</v>
      </c>
      <c r="M981">
        <v>0.91663760000000005</v>
      </c>
      <c r="N981">
        <v>0</v>
      </c>
      <c r="O981">
        <v>-0.39944760000000001</v>
      </c>
      <c r="P981">
        <v>0.87567220000000001</v>
      </c>
      <c r="Q981">
        <v>-2.9738339999999999E-2</v>
      </c>
      <c r="R981">
        <v>-0.48198960000000002</v>
      </c>
      <c r="S981">
        <v>2.0796199999999998</v>
      </c>
      <c r="T981">
        <v>0.38161030000000001</v>
      </c>
      <c r="U981">
        <v>-2.4840390000000001</v>
      </c>
      <c r="V981">
        <v>9.1756130000000005E-2</v>
      </c>
      <c r="W981">
        <v>-1.667838E-2</v>
      </c>
      <c r="X981">
        <v>0.99564180000000002</v>
      </c>
      <c r="Y981">
        <v>0.44606390000000001</v>
      </c>
      <c r="Z981">
        <v>-2.1556059999999998E-2</v>
      </c>
      <c r="AA981">
        <v>0.89474149999999997</v>
      </c>
      <c r="AB981">
        <v>27</v>
      </c>
      <c r="AC981">
        <v>0.37779999999997899</v>
      </c>
      <c r="AD981">
        <v>9.1686000000000101E-2</v>
      </c>
      <c r="AE981">
        <v>-0.53849999999999898</v>
      </c>
      <c r="AF981">
        <v>0.33620384838920098</v>
      </c>
      <c r="AG981">
        <v>9.1686000000000101E-2</v>
      </c>
      <c r="AH981">
        <v>0.55076942076833801</v>
      </c>
      <c r="AI981">
        <v>81.913076628325697</v>
      </c>
      <c r="AJ981">
        <v>58.599033073483596</v>
      </c>
      <c r="AK981">
        <v>0.65175632342248901</v>
      </c>
      <c r="AL981">
        <v>90.955645115701799</v>
      </c>
      <c r="AM981">
        <v>84.734621387412503</v>
      </c>
      <c r="AN981">
        <v>0.99999997482962</v>
      </c>
    </row>
    <row r="982" spans="1:40" x14ac:dyDescent="0.25">
      <c r="A982" t="str">
        <f>"20190312160929726"</f>
        <v>20190312160929726</v>
      </c>
      <c r="B982" t="str">
        <f>"1552378169716198"</f>
        <v>1552378169716198</v>
      </c>
      <c r="C982" t="s">
        <v>40</v>
      </c>
      <c r="D982">
        <v>5.1809310000000002</v>
      </c>
      <c r="E982">
        <v>0.64913580000000004</v>
      </c>
      <c r="F982" t="s">
        <v>42</v>
      </c>
      <c r="G982">
        <v>-198.99459999999999</v>
      </c>
      <c r="H982">
        <v>1.17971</v>
      </c>
      <c r="I982">
        <v>361.2987</v>
      </c>
      <c r="J982">
        <v>-199.28620000000001</v>
      </c>
      <c r="K982">
        <v>1.102854</v>
      </c>
      <c r="L982">
        <v>361.74310000000003</v>
      </c>
      <c r="M982">
        <v>0.91457120000000003</v>
      </c>
      <c r="N982">
        <v>0</v>
      </c>
      <c r="O982">
        <v>-0.40415570000000001</v>
      </c>
      <c r="P982">
        <v>0.87256529999999999</v>
      </c>
      <c r="Q982">
        <v>-3.0308459999999999E-2</v>
      </c>
      <c r="R982">
        <v>-0.4875563</v>
      </c>
      <c r="S982">
        <v>2.0645899999999999</v>
      </c>
      <c r="T982">
        <v>0.37989689999999998</v>
      </c>
      <c r="U982">
        <v>-2.4967350000000001</v>
      </c>
      <c r="V982">
        <v>9.2970919999999999E-2</v>
      </c>
      <c r="W982">
        <v>-1.7274080000000001E-2</v>
      </c>
      <c r="X982">
        <v>0.99551900000000004</v>
      </c>
      <c r="Y982">
        <v>0.44692009999999999</v>
      </c>
      <c r="Z982">
        <v>-2.2011579999999999E-2</v>
      </c>
      <c r="AA982">
        <v>0.89430309999999902</v>
      </c>
      <c r="AB982">
        <v>27</v>
      </c>
      <c r="AC982">
        <v>0.29160000000001601</v>
      </c>
      <c r="AD982">
        <v>7.6855999999999994E-2</v>
      </c>
      <c r="AE982">
        <v>-0.44440000000002999</v>
      </c>
      <c r="AF982">
        <v>0.28270439536597097</v>
      </c>
      <c r="AG982">
        <v>7.6855999999999994E-2</v>
      </c>
      <c r="AH982">
        <v>0.43720348090045602</v>
      </c>
      <c r="AI982">
        <v>81.602778892595296</v>
      </c>
      <c r="AJ982">
        <v>57.112494226020999</v>
      </c>
      <c r="AK982">
        <v>0.52628462224039396</v>
      </c>
      <c r="AL982">
        <v>90.9897810749776</v>
      </c>
      <c r="AM982">
        <v>84.664656612997902</v>
      </c>
      <c r="AN982">
        <v>1.0000000325832401</v>
      </c>
    </row>
    <row r="983" spans="1:40" x14ac:dyDescent="0.25">
      <c r="A983" t="str">
        <f>"20190312160929748"</f>
        <v>20190312160929748</v>
      </c>
      <c r="B983" t="str">
        <f>"1552378169735719"</f>
        <v>1552378169735719</v>
      </c>
      <c r="C983" t="s">
        <v>40</v>
      </c>
      <c r="D983">
        <v>5.3533580000000001</v>
      </c>
      <c r="E983">
        <v>0.64838519999999999</v>
      </c>
      <c r="F983" t="s">
        <v>42</v>
      </c>
      <c r="G983">
        <v>-198.8141</v>
      </c>
      <c r="H983">
        <v>1.1903509999999999</v>
      </c>
      <c r="I983">
        <v>361.16489999999999</v>
      </c>
      <c r="J983">
        <v>-199.05609999999999</v>
      </c>
      <c r="K983">
        <v>1.102673</v>
      </c>
      <c r="L983">
        <v>361.63</v>
      </c>
      <c r="M983">
        <v>0.91060669999999999</v>
      </c>
      <c r="N983">
        <v>0</v>
      </c>
      <c r="O983">
        <v>-0.41300959999999998</v>
      </c>
      <c r="P983">
        <v>0.86642919999999901</v>
      </c>
      <c r="Q983">
        <v>-3.0854800000000002E-2</v>
      </c>
      <c r="R983">
        <v>-0.49834620000000002</v>
      </c>
      <c r="S983">
        <v>2.0490719999999998</v>
      </c>
      <c r="T983">
        <v>0.379774</v>
      </c>
      <c r="U983">
        <v>-2.5095830000000001</v>
      </c>
      <c r="V983">
        <v>9.5655580000000004E-2</v>
      </c>
      <c r="W983">
        <v>-1.7875229999999999E-2</v>
      </c>
      <c r="X983">
        <v>0.99525399999999997</v>
      </c>
      <c r="Y983">
        <v>0.44386720000000002</v>
      </c>
      <c r="Z983">
        <v>-2.333764E-2</v>
      </c>
      <c r="AA983">
        <v>0.89578860000000005</v>
      </c>
      <c r="AB983">
        <v>27</v>
      </c>
      <c r="AC983">
        <v>0.24199999999999</v>
      </c>
      <c r="AD983">
        <v>8.7677999999999895E-2</v>
      </c>
      <c r="AE983">
        <v>-0.46510000000000601</v>
      </c>
      <c r="AF983">
        <v>0.31480624595925899</v>
      </c>
      <c r="AG983">
        <v>8.7677999999999895E-2</v>
      </c>
      <c r="AH983">
        <v>0.40128033185397399</v>
      </c>
      <c r="AI983">
        <v>80.245732750146402</v>
      </c>
      <c r="AJ983">
        <v>51.885654457046698</v>
      </c>
      <c r="AK983">
        <v>0.517509718664102</v>
      </c>
      <c r="AL983">
        <v>91.024229766430395</v>
      </c>
      <c r="AM983">
        <v>84.510066637183598</v>
      </c>
      <c r="AN983">
        <v>1.0000000191743399</v>
      </c>
    </row>
    <row r="984" spans="1:40" x14ac:dyDescent="0.25">
      <c r="A984" t="str">
        <f>"20190312160929762"</f>
        <v>20190312160929762</v>
      </c>
      <c r="B984" t="str">
        <f>"1552378169756213"</f>
        <v>1552378169756213</v>
      </c>
      <c r="C984" t="s">
        <v>40</v>
      </c>
      <c r="D984">
        <v>5.8461650000000001</v>
      </c>
      <c r="E984">
        <v>0.64801940000000002</v>
      </c>
      <c r="F984" t="s">
        <v>42</v>
      </c>
      <c r="G984">
        <v>-198.5985</v>
      </c>
      <c r="H984">
        <v>1.1879200000000001</v>
      </c>
      <c r="I984">
        <v>361.05689999999998</v>
      </c>
      <c r="J984">
        <v>-198.89689999999999</v>
      </c>
      <c r="K984">
        <v>1.1025510000000001</v>
      </c>
      <c r="L984">
        <v>361.55009999999999</v>
      </c>
      <c r="M984">
        <v>0.90774880000000002</v>
      </c>
      <c r="N984">
        <v>0</v>
      </c>
      <c r="O984">
        <v>-0.41925230000000002</v>
      </c>
      <c r="P984">
        <v>0.86217900000000003</v>
      </c>
      <c r="Q984">
        <v>-3.1385000000000003E-2</v>
      </c>
      <c r="R984">
        <v>-0.50563059999999904</v>
      </c>
      <c r="S984">
        <v>2.0210270000000001</v>
      </c>
      <c r="T984">
        <v>0.3761951</v>
      </c>
      <c r="U984">
        <v>-2.52948</v>
      </c>
      <c r="V984">
        <v>9.7202079999999996E-2</v>
      </c>
      <c r="W984">
        <v>-1.8438300000000001E-2</v>
      </c>
      <c r="X984">
        <v>0.99509389999999998</v>
      </c>
      <c r="Y984">
        <v>0.44722319999999999</v>
      </c>
      <c r="Z984">
        <v>-2.3726400000000002E-2</v>
      </c>
      <c r="AA984">
        <v>0.894107599999999</v>
      </c>
      <c r="AB984">
        <v>27</v>
      </c>
      <c r="AC984">
        <v>0.29839999999998601</v>
      </c>
      <c r="AD984">
        <v>8.5369E-2</v>
      </c>
      <c r="AE984">
        <v>-0.49320000000000103</v>
      </c>
      <c r="AF984">
        <v>0.315708041284886</v>
      </c>
      <c r="AG984">
        <v>8.5369E-2</v>
      </c>
      <c r="AH984">
        <v>0.46744772096921799</v>
      </c>
      <c r="AI984">
        <v>81.393952473486706</v>
      </c>
      <c r="AJ984">
        <v>55.965425905366899</v>
      </c>
      <c r="AK984">
        <v>0.57049698100187696</v>
      </c>
      <c r="AL984">
        <v>91.056496595234805</v>
      </c>
      <c r="AM984">
        <v>84.420972384544498</v>
      </c>
      <c r="AN984">
        <v>1.00000004254021</v>
      </c>
    </row>
    <row r="985" spans="1:40" x14ac:dyDescent="0.25">
      <c r="A985" t="str">
        <f>"20190312160929781"</f>
        <v>20190312160929781</v>
      </c>
      <c r="B985" t="str">
        <f>"1552378169776710"</f>
        <v>1552378169776710</v>
      </c>
      <c r="C985" t="s">
        <v>40</v>
      </c>
      <c r="D985">
        <v>5.937557</v>
      </c>
      <c r="E985">
        <v>0.64710290000000004</v>
      </c>
      <c r="F985" t="s">
        <v>47</v>
      </c>
      <c r="G985">
        <v>-168.40219999999999</v>
      </c>
      <c r="H985">
        <v>6.8351039999999896</v>
      </c>
      <c r="I985">
        <v>322.78960000000001</v>
      </c>
      <c r="J985">
        <v>-198.68790000000001</v>
      </c>
      <c r="K985">
        <v>1.1023969999999901</v>
      </c>
      <c r="L985">
        <v>361.44279999999998</v>
      </c>
      <c r="M985">
        <v>0.90383950000000002</v>
      </c>
      <c r="N985">
        <v>0</v>
      </c>
      <c r="O985">
        <v>-0.42761379999999999</v>
      </c>
      <c r="P985">
        <v>0.85600659999999895</v>
      </c>
      <c r="Q985">
        <v>-3.1658869999999999E-2</v>
      </c>
      <c r="R985">
        <v>-0.51599439999999996</v>
      </c>
      <c r="S985">
        <v>2.0013890000000001</v>
      </c>
      <c r="T985">
        <v>0.37623259999999997</v>
      </c>
      <c r="U985">
        <v>-2.5438839999999998</v>
      </c>
      <c r="V985">
        <v>0.10001160000000001</v>
      </c>
      <c r="W985">
        <v>-1.8770789999999999E-2</v>
      </c>
      <c r="X985">
        <v>0.99480919999999895</v>
      </c>
      <c r="Y985">
        <v>0.4457411</v>
      </c>
      <c r="Z985">
        <v>-2.490121E-2</v>
      </c>
      <c r="AA985">
        <v>0.89481549999999999</v>
      </c>
      <c r="AB985">
        <v>27</v>
      </c>
      <c r="AC985">
        <v>30.285699999999999</v>
      </c>
      <c r="AD985">
        <v>5.7327070000000004</v>
      </c>
      <c r="AE985">
        <v>-38.653199999999899</v>
      </c>
      <c r="AF985">
        <v>21.6924805718402</v>
      </c>
      <c r="AG985">
        <v>5.7327070000000004</v>
      </c>
      <c r="AH985">
        <v>43.316528454981501</v>
      </c>
      <c r="AI985">
        <v>83.251279145504796</v>
      </c>
      <c r="AJ985">
        <v>63.398753260797498</v>
      </c>
      <c r="AK985">
        <v>48.782673976512797</v>
      </c>
      <c r="AL985">
        <v>91.075550207968107</v>
      </c>
      <c r="AM985">
        <v>84.259146703314698</v>
      </c>
      <c r="AN985">
        <v>1.0000000035482099</v>
      </c>
    </row>
    <row r="986" spans="1:40" x14ac:dyDescent="0.25">
      <c r="A986" t="str">
        <f>"20190312160929804"</f>
        <v>20190312160929804</v>
      </c>
      <c r="B986" t="str">
        <f>"1552378169796229"</f>
        <v>1552378169796229</v>
      </c>
      <c r="C986" t="s">
        <v>40</v>
      </c>
      <c r="D986">
        <v>5.8480699999999999</v>
      </c>
      <c r="E986">
        <v>0.64693990000000001</v>
      </c>
      <c r="F986" t="s">
        <v>42</v>
      </c>
      <c r="G986">
        <v>-198.28729999999999</v>
      </c>
      <c r="H986">
        <v>1.1785159999999999</v>
      </c>
      <c r="I986">
        <v>360.92309999999998</v>
      </c>
      <c r="J986">
        <v>-198.44640000000001</v>
      </c>
      <c r="K986">
        <v>1.1022110000000001</v>
      </c>
      <c r="L986">
        <v>361.31560000000002</v>
      </c>
      <c r="M986">
        <v>0.89909259999999902</v>
      </c>
      <c r="N986">
        <v>0</v>
      </c>
      <c r="O986">
        <v>-0.43750539999999999</v>
      </c>
      <c r="P986">
        <v>0.84877179999999997</v>
      </c>
      <c r="Q986">
        <v>-3.1747030000000002E-2</v>
      </c>
      <c r="R986">
        <v>-0.52780590000000005</v>
      </c>
      <c r="S986">
        <v>1.9743189999999999</v>
      </c>
      <c r="T986">
        <v>0.37516769999999999</v>
      </c>
      <c r="U986">
        <v>-2.5617369999999999</v>
      </c>
      <c r="V986">
        <v>0.10287019999999999</v>
      </c>
      <c r="W986">
        <v>-1.892303E-2</v>
      </c>
      <c r="X986">
        <v>0.99451480000000003</v>
      </c>
      <c r="Y986">
        <v>0.44491649999999999</v>
      </c>
      <c r="Z986">
        <v>-2.6172250000000001E-2</v>
      </c>
      <c r="AA986">
        <v>0.89518949999999997</v>
      </c>
      <c r="AB986">
        <v>27</v>
      </c>
      <c r="AC986">
        <v>0.159100000000023</v>
      </c>
      <c r="AD986">
        <v>7.6304999999999804E-2</v>
      </c>
      <c r="AE986">
        <v>-0.39250000000003998</v>
      </c>
      <c r="AF986">
        <v>0.274410548254373</v>
      </c>
      <c r="AG986">
        <v>7.6304999999999804E-2</v>
      </c>
      <c r="AH986">
        <v>0.30490396246464002</v>
      </c>
      <c r="AI986">
        <v>79.462447226283999</v>
      </c>
      <c r="AJ986">
        <v>48.013100830701802</v>
      </c>
      <c r="AK986">
        <v>0.41724097155589102</v>
      </c>
      <c r="AL986">
        <v>91.084274445629106</v>
      </c>
      <c r="AM986">
        <v>84.094465464504097</v>
      </c>
      <c r="AN986">
        <v>1.00000002326573</v>
      </c>
    </row>
    <row r="987" spans="1:40" x14ac:dyDescent="0.25">
      <c r="A987" t="str">
        <f>"20190312160929826"</f>
        <v>20190312160929826</v>
      </c>
      <c r="B987" t="str">
        <f>"1552378169815750"</f>
        <v>1552378169815750</v>
      </c>
      <c r="C987" t="s">
        <v>40</v>
      </c>
      <c r="D987">
        <v>5.6926690000000004</v>
      </c>
      <c r="E987">
        <v>0.64602269999999995</v>
      </c>
      <c r="F987" t="s">
        <v>47</v>
      </c>
      <c r="G987">
        <v>-169.22790000000001</v>
      </c>
      <c r="H987">
        <v>6.9557000000000002</v>
      </c>
      <c r="I987">
        <v>322.33569999999997</v>
      </c>
      <c r="J987">
        <v>-198.20869999999999</v>
      </c>
      <c r="K987">
        <v>1.102017</v>
      </c>
      <c r="L987">
        <v>361.18639999999999</v>
      </c>
      <c r="M987">
        <v>0.89414289999999996</v>
      </c>
      <c r="N987">
        <v>0</v>
      </c>
      <c r="O987">
        <v>-0.4475325</v>
      </c>
      <c r="P987">
        <v>0.84162309999999996</v>
      </c>
      <c r="Q987">
        <v>-3.2321740000000002E-2</v>
      </c>
      <c r="R987">
        <v>-0.53909739999999995</v>
      </c>
      <c r="S987">
        <v>1.9398040000000001</v>
      </c>
      <c r="T987">
        <v>0.38861129999999999</v>
      </c>
      <c r="U987">
        <v>-2.58786</v>
      </c>
      <c r="V987">
        <v>0.10502309999999999</v>
      </c>
      <c r="W987">
        <v>-1.9548579999999999E-2</v>
      </c>
      <c r="X987">
        <v>0.99427770000000004</v>
      </c>
      <c r="Y987">
        <v>0.44691009999999998</v>
      </c>
      <c r="Z987">
        <v>-2.831533E-2</v>
      </c>
      <c r="AA987">
        <v>0.8941306</v>
      </c>
      <c r="AB987">
        <v>27</v>
      </c>
      <c r="AC987">
        <v>28.980799999999899</v>
      </c>
      <c r="AD987">
        <v>5.8536830000000002</v>
      </c>
      <c r="AE987">
        <v>-38.850700000000003</v>
      </c>
      <c r="AF987">
        <v>21.457681879974</v>
      </c>
      <c r="AG987">
        <v>5.8536830000000002</v>
      </c>
      <c r="AH987">
        <v>42.682210146286401</v>
      </c>
      <c r="AI987">
        <v>83.014215971958706</v>
      </c>
      <c r="AJ987">
        <v>63.309893272092701</v>
      </c>
      <c r="AK987">
        <v>48.129707866331501</v>
      </c>
      <c r="AL987">
        <v>91.120122398875395</v>
      </c>
      <c r="AM987">
        <v>83.970346494085405</v>
      </c>
      <c r="AN987">
        <v>1.00000007161545</v>
      </c>
    </row>
    <row r="988" spans="1:40" x14ac:dyDescent="0.25">
      <c r="A988" t="str">
        <f>"20190312160929847"</f>
        <v>20190312160929847</v>
      </c>
      <c r="B988" t="str">
        <f>"1552378169836245"</f>
        <v>1552378169836245</v>
      </c>
      <c r="C988" t="s">
        <v>40</v>
      </c>
      <c r="D988">
        <v>5.7335560000000001</v>
      </c>
      <c r="E988">
        <v>0.64507099999999995</v>
      </c>
      <c r="F988" t="s">
        <v>42</v>
      </c>
      <c r="G988">
        <v>-197.76310000000001</v>
      </c>
      <c r="H988">
        <v>1.191484</v>
      </c>
      <c r="I988">
        <v>360.57799999999997</v>
      </c>
      <c r="J988">
        <v>-197.97909999999999</v>
      </c>
      <c r="K988">
        <v>1.1018300000000001</v>
      </c>
      <c r="L988">
        <v>361.05810000000002</v>
      </c>
      <c r="M988">
        <v>0.88909939999999998</v>
      </c>
      <c r="N988">
        <v>0</v>
      </c>
      <c r="O988">
        <v>-0.45746940000000003</v>
      </c>
      <c r="P988">
        <v>0.83421409999999996</v>
      </c>
      <c r="Q988">
        <v>-3.3268880000000001E-2</v>
      </c>
      <c r="R988">
        <v>-0.550436699999999</v>
      </c>
      <c r="S988">
        <v>1.9092560000000001</v>
      </c>
      <c r="T988">
        <v>0.38335930000000001</v>
      </c>
      <c r="U988">
        <v>-2.6071469999999999</v>
      </c>
      <c r="V988">
        <v>0.10738540000000001</v>
      </c>
      <c r="W988">
        <v>-2.054984E-2</v>
      </c>
      <c r="X988">
        <v>0.99400509999999997</v>
      </c>
      <c r="Y988">
        <v>0.44696239999999998</v>
      </c>
      <c r="Z988">
        <v>-2.9269070000000001E-2</v>
      </c>
      <c r="AA988">
        <v>0.89407380000000003</v>
      </c>
      <c r="AB988">
        <v>27</v>
      </c>
      <c r="AC988">
        <v>0.21599999999997899</v>
      </c>
      <c r="AD988">
        <v>8.9654000000000095E-2</v>
      </c>
      <c r="AE988">
        <v>-0.48009999999999298</v>
      </c>
      <c r="AF988">
        <v>0.31883331687500999</v>
      </c>
      <c r="AG988">
        <v>8.9654000000000095E-2</v>
      </c>
      <c r="AH988">
        <v>0.40011858410513101</v>
      </c>
      <c r="AI988">
        <v>80.060559763158693</v>
      </c>
      <c r="AJ988">
        <v>51.450513866445903</v>
      </c>
      <c r="AK988">
        <v>0.51941063236308105</v>
      </c>
      <c r="AL988">
        <v>91.177501952629896</v>
      </c>
      <c r="AM988">
        <v>83.834075922900197</v>
      </c>
      <c r="AN988">
        <v>1.0000000294415901</v>
      </c>
    </row>
    <row r="989" spans="1:40" x14ac:dyDescent="0.25">
      <c r="A989" t="str">
        <f>"20190312160929859"</f>
        <v>20190312160929859</v>
      </c>
      <c r="B989" t="str">
        <f>"1552378169855765"</f>
        <v>1552378169855765</v>
      </c>
      <c r="C989" t="s">
        <v>40</v>
      </c>
      <c r="D989">
        <v>5.8077769999999997</v>
      </c>
      <c r="E989">
        <v>0.64387589999999995</v>
      </c>
      <c r="F989" t="s">
        <v>42</v>
      </c>
      <c r="G989">
        <v>-197.55340000000001</v>
      </c>
      <c r="H989">
        <v>1.187497</v>
      </c>
      <c r="I989">
        <v>360.46269999999998</v>
      </c>
      <c r="J989">
        <v>-197.84809999999999</v>
      </c>
      <c r="K989">
        <v>1.1017300000000001</v>
      </c>
      <c r="L989">
        <v>360.98320000000001</v>
      </c>
      <c r="M989">
        <v>0.88610919999999904</v>
      </c>
      <c r="N989">
        <v>0</v>
      </c>
      <c r="O989">
        <v>-0.46323350000000002</v>
      </c>
      <c r="P989">
        <v>0.83009290000000002</v>
      </c>
      <c r="Q989">
        <v>-3.3754859999999998E-2</v>
      </c>
      <c r="R989">
        <v>-0.55660299999999996</v>
      </c>
      <c r="S989">
        <v>1.8783570000000001</v>
      </c>
      <c r="T989">
        <v>0.3778841</v>
      </c>
      <c r="U989">
        <v>-2.626312</v>
      </c>
      <c r="V989">
        <v>0.1082896</v>
      </c>
      <c r="W989">
        <v>-2.1055480000000001E-2</v>
      </c>
      <c r="X989">
        <v>0.99389640000000001</v>
      </c>
      <c r="Y989">
        <v>0.45119619999999999</v>
      </c>
      <c r="Z989">
        <v>-2.9372519999999999E-2</v>
      </c>
      <c r="AA989">
        <v>0.89194130000000005</v>
      </c>
      <c r="AB989">
        <v>27</v>
      </c>
      <c r="AC989">
        <v>0.29469999999997698</v>
      </c>
      <c r="AD989">
        <v>8.5767000000000093E-2</v>
      </c>
      <c r="AE989">
        <v>-0.52050000000002605</v>
      </c>
      <c r="AF989">
        <v>0.318199090129272</v>
      </c>
      <c r="AG989">
        <v>8.5767000000000093E-2</v>
      </c>
      <c r="AH989">
        <v>0.492186274219097</v>
      </c>
      <c r="AI989">
        <v>81.674524963300001</v>
      </c>
      <c r="AJ989">
        <v>57.117277277004902</v>
      </c>
      <c r="AK989">
        <v>0.59232927310557004</v>
      </c>
      <c r="AL989">
        <v>91.206479281352301</v>
      </c>
      <c r="AM989">
        <v>83.781888261522397</v>
      </c>
      <c r="AN989">
        <v>1.00000001231957</v>
      </c>
    </row>
    <row r="990" spans="1:40" x14ac:dyDescent="0.25">
      <c r="A990" t="str">
        <f>"20190312160929871"</f>
        <v>20190312160929871</v>
      </c>
      <c r="B990" t="str">
        <f>"1552378169866032"</f>
        <v>1552378169866032</v>
      </c>
      <c r="C990" t="s">
        <v>40</v>
      </c>
      <c r="D990">
        <v>5.6394820000000001</v>
      </c>
      <c r="E990">
        <v>0.64329360000000002</v>
      </c>
      <c r="F990" t="s">
        <v>42</v>
      </c>
      <c r="G990">
        <v>-197.4648</v>
      </c>
      <c r="H990">
        <v>1.178444</v>
      </c>
      <c r="I990">
        <v>360.44189999999998</v>
      </c>
      <c r="J990">
        <v>-197.72900000000001</v>
      </c>
      <c r="K990">
        <v>1.101642</v>
      </c>
      <c r="L990">
        <v>360.91399999999999</v>
      </c>
      <c r="M990">
        <v>0.88331199999999999</v>
      </c>
      <c r="N990">
        <v>0</v>
      </c>
      <c r="O990">
        <v>-0.46854479999999998</v>
      </c>
      <c r="P990">
        <v>0.82613300000000001</v>
      </c>
      <c r="Q990">
        <v>-3.438505E-2</v>
      </c>
      <c r="R990">
        <v>-0.56242569999999903</v>
      </c>
      <c r="S990">
        <v>1.8641970000000001</v>
      </c>
      <c r="T990">
        <v>0.37300800000000001</v>
      </c>
      <c r="U990">
        <v>-2.632355</v>
      </c>
      <c r="V990">
        <v>0.1093056</v>
      </c>
      <c r="W990">
        <v>-2.1707799999999999E-2</v>
      </c>
      <c r="X990">
        <v>0.99377110000000002</v>
      </c>
      <c r="Y990">
        <v>0.45003070000000001</v>
      </c>
      <c r="Z990">
        <v>-2.9783960000000002E-2</v>
      </c>
      <c r="AA990">
        <v>0.89251630000000004</v>
      </c>
      <c r="AB990">
        <v>27</v>
      </c>
      <c r="AC990">
        <v>0.26420000000001598</v>
      </c>
      <c r="AD990">
        <v>7.6801999999999995E-2</v>
      </c>
      <c r="AE990">
        <v>-0.47210000000001101</v>
      </c>
      <c r="AF990">
        <v>0.28746177169353498</v>
      </c>
      <c r="AG990">
        <v>7.6801999999999995E-2</v>
      </c>
      <c r="AH990">
        <v>0.44564107560719302</v>
      </c>
      <c r="AI990">
        <v>81.759471015078006</v>
      </c>
      <c r="AJ990">
        <v>57.175870432465601</v>
      </c>
      <c r="AK990">
        <v>0.53584399376826297</v>
      </c>
      <c r="AL990">
        <v>91.243863062293102</v>
      </c>
      <c r="AM990">
        <v>83.723226790933793</v>
      </c>
      <c r="AN990">
        <v>0.99999997098370397</v>
      </c>
    </row>
    <row r="991" spans="1:40" x14ac:dyDescent="0.25">
      <c r="A991" t="str">
        <f>"20190312160929883"</f>
        <v>20190312160929883</v>
      </c>
      <c r="B991" t="str">
        <f>"1552378169875790"</f>
        <v>1552378169875790</v>
      </c>
      <c r="C991" t="s">
        <v>40</v>
      </c>
      <c r="D991">
        <v>5.6390339999999997</v>
      </c>
      <c r="E991">
        <v>0.6427948</v>
      </c>
      <c r="F991" t="s">
        <v>42</v>
      </c>
      <c r="G991">
        <v>-197.33779999999999</v>
      </c>
      <c r="H991">
        <v>1.179719</v>
      </c>
      <c r="I991">
        <v>360.35469999999998</v>
      </c>
      <c r="J991">
        <v>-197.60489999999999</v>
      </c>
      <c r="K991">
        <v>1.1015549999999901</v>
      </c>
      <c r="L991">
        <v>360.84120000000001</v>
      </c>
      <c r="M991">
        <v>0.88033729999999999</v>
      </c>
      <c r="N991">
        <v>0</v>
      </c>
      <c r="O991">
        <v>-0.47410960000000002</v>
      </c>
      <c r="P991">
        <v>0.82175419999999999</v>
      </c>
      <c r="Q991">
        <v>-3.510899E-2</v>
      </c>
      <c r="R991">
        <v>-0.56875969999999998</v>
      </c>
      <c r="S991">
        <v>1.848465</v>
      </c>
      <c r="T991">
        <v>0.3686856</v>
      </c>
      <c r="U991">
        <v>-2.6414179999999998</v>
      </c>
      <c r="V991">
        <v>0.1106684</v>
      </c>
      <c r="W991">
        <v>-2.246242E-2</v>
      </c>
      <c r="X991">
        <v>0.99360349999999997</v>
      </c>
      <c r="Y991">
        <v>0.44943169999999999</v>
      </c>
      <c r="Z991">
        <v>-3.0205780000000002E-2</v>
      </c>
      <c r="AA991">
        <v>0.89280389999999998</v>
      </c>
      <c r="AB991">
        <v>27</v>
      </c>
      <c r="AC991">
        <v>0.267099999999999</v>
      </c>
      <c r="AD991">
        <v>7.8164000000000095E-2</v>
      </c>
      <c r="AE991">
        <v>-0.48650000000003402</v>
      </c>
      <c r="AF991">
        <v>0.295816106995686</v>
      </c>
      <c r="AG991">
        <v>7.8164000000000095E-2</v>
      </c>
      <c r="AH991">
        <v>0.45678489056527199</v>
      </c>
      <c r="AI991">
        <v>81.826530583236504</v>
      </c>
      <c r="AJ991">
        <v>57.072710763148898</v>
      </c>
      <c r="AK991">
        <v>0.54979015660778296</v>
      </c>
      <c r="AL991">
        <v>91.287110135702505</v>
      </c>
      <c r="AM991">
        <v>83.644542417192199</v>
      </c>
      <c r="AN991">
        <v>0.99999998514153299</v>
      </c>
    </row>
    <row r="992" spans="1:40" x14ac:dyDescent="0.25">
      <c r="A992" t="str">
        <f>"20190312160929895"</f>
        <v>20190312160929895</v>
      </c>
      <c r="B992" t="str">
        <f>"1552378169886527"</f>
        <v>1552378169886527</v>
      </c>
      <c r="C992" t="s">
        <v>40</v>
      </c>
      <c r="D992">
        <v>5.6690740000000002</v>
      </c>
      <c r="E992">
        <v>0.64232860000000003</v>
      </c>
      <c r="F992" t="s">
        <v>47</v>
      </c>
      <c r="G992">
        <v>-168.40219999999999</v>
      </c>
      <c r="H992">
        <v>6.9080880000000002</v>
      </c>
      <c r="I992">
        <v>318.52460000000002</v>
      </c>
      <c r="J992">
        <v>-197.4811</v>
      </c>
      <c r="K992">
        <v>1.101469</v>
      </c>
      <c r="L992">
        <v>360.76679999999999</v>
      </c>
      <c r="M992">
        <v>0.87725699999999995</v>
      </c>
      <c r="N992">
        <v>0</v>
      </c>
      <c r="O992">
        <v>-0.47978470000000001</v>
      </c>
      <c r="P992">
        <v>0.81753580000000003</v>
      </c>
      <c r="Q992">
        <v>-3.5285499999999997E-2</v>
      </c>
      <c r="R992">
        <v>-0.57479639999999999</v>
      </c>
      <c r="S992">
        <v>1.830444</v>
      </c>
      <c r="T992">
        <v>0.36395820000000001</v>
      </c>
      <c r="U992">
        <v>-2.6524350000000001</v>
      </c>
      <c r="V992">
        <v>0.1115646</v>
      </c>
      <c r="W992">
        <v>-2.2659220000000001E-2</v>
      </c>
      <c r="X992">
        <v>0.99349880000000002</v>
      </c>
      <c r="Y992">
        <v>0.44953070000000001</v>
      </c>
      <c r="Z992">
        <v>-3.0547120000000001E-2</v>
      </c>
      <c r="AA992">
        <v>0.892742499999999</v>
      </c>
      <c r="AB992">
        <v>27</v>
      </c>
      <c r="AC992">
        <v>29.078900000000001</v>
      </c>
      <c r="AD992">
        <v>5.8066190000000004</v>
      </c>
      <c r="AE992">
        <v>-42.242199999999897</v>
      </c>
      <c r="AF992">
        <v>22.8157732045016</v>
      </c>
      <c r="AG992">
        <v>5.8066190000000004</v>
      </c>
      <c r="AH992">
        <v>45.202518501608402</v>
      </c>
      <c r="AI992">
        <v>83.458029923953703</v>
      </c>
      <c r="AJ992">
        <v>63.217838817355897</v>
      </c>
      <c r="AK992">
        <v>50.966106482825097</v>
      </c>
      <c r="AL992">
        <v>91.298388818927194</v>
      </c>
      <c r="AM992">
        <v>83.592832175797199</v>
      </c>
      <c r="AN992">
        <v>0.99999998291280401</v>
      </c>
    </row>
    <row r="993" spans="1:40" x14ac:dyDescent="0.25">
      <c r="A993" t="str">
        <f>"20190312160929907"</f>
        <v>20190312160929907</v>
      </c>
      <c r="B993" t="str">
        <f>"1552378169896288"</f>
        <v>1552378169896288</v>
      </c>
      <c r="C993" t="s">
        <v>40</v>
      </c>
      <c r="D993">
        <v>5.6714219999999997</v>
      </c>
      <c r="E993">
        <v>0.64232860000000003</v>
      </c>
      <c r="F993" t="s">
        <v>42</v>
      </c>
      <c r="G993">
        <v>-197.09110000000001</v>
      </c>
      <c r="H993">
        <v>1.178993</v>
      </c>
      <c r="I993">
        <v>360.19400000000002</v>
      </c>
      <c r="J993">
        <v>-197.358</v>
      </c>
      <c r="K993">
        <v>1.1013869999999999</v>
      </c>
      <c r="L993">
        <v>360.69220000000001</v>
      </c>
      <c r="M993">
        <v>0.87412959999999995</v>
      </c>
      <c r="N993">
        <v>0</v>
      </c>
      <c r="O993">
        <v>-0.48545850000000002</v>
      </c>
      <c r="P993">
        <v>0.81322139999999998</v>
      </c>
      <c r="Q993">
        <v>-3.5246100000000002E-2</v>
      </c>
      <c r="R993">
        <v>-0.58088649999999997</v>
      </c>
      <c r="S993">
        <v>1.812881</v>
      </c>
      <c r="T993">
        <v>0.36043239999999999</v>
      </c>
      <c r="U993">
        <v>-2.6629330000000002</v>
      </c>
      <c r="V993">
        <v>0.112543</v>
      </c>
      <c r="W993">
        <v>-2.2642820000000001E-2</v>
      </c>
      <c r="X993">
        <v>0.99338879999999996</v>
      </c>
      <c r="Y993">
        <v>0.44942840000000001</v>
      </c>
      <c r="Z993">
        <v>-3.098573E-2</v>
      </c>
      <c r="AA993">
        <v>0.89277879999999998</v>
      </c>
      <c r="AB993">
        <v>27</v>
      </c>
      <c r="AC993">
        <v>0.26689999999999198</v>
      </c>
      <c r="AD993">
        <v>7.76059999999998E-2</v>
      </c>
      <c r="AE993">
        <v>-0.49819999999999698</v>
      </c>
      <c r="AF993">
        <v>0.300295532081017</v>
      </c>
      <c r="AG993">
        <v>7.76059999999998E-2</v>
      </c>
      <c r="AH993">
        <v>0.46642078604758902</v>
      </c>
      <c r="AI993">
        <v>82.036087664058797</v>
      </c>
      <c r="AJ993">
        <v>57.225364292760098</v>
      </c>
      <c r="AK993">
        <v>0.56013252671226998</v>
      </c>
      <c r="AL993">
        <v>91.2974489488562</v>
      </c>
      <c r="AM993">
        <v>83.536406328415296</v>
      </c>
      <c r="AN993">
        <v>0.99999996605599495</v>
      </c>
    </row>
    <row r="994" spans="1:40" x14ac:dyDescent="0.25">
      <c r="A994" t="str">
        <f>"20190312160929926"</f>
        <v>20190312160929926</v>
      </c>
      <c r="B994" t="str">
        <f>"1552378169915807"</f>
        <v>1552378169915807</v>
      </c>
      <c r="C994" t="s">
        <v>40</v>
      </c>
      <c r="D994">
        <v>5.861167</v>
      </c>
      <c r="E994">
        <v>0.62396689999999999</v>
      </c>
      <c r="F994" t="s">
        <v>42</v>
      </c>
      <c r="G994">
        <v>-196.94739999999999</v>
      </c>
      <c r="H994">
        <v>1.184018</v>
      </c>
      <c r="I994">
        <v>360.07870000000003</v>
      </c>
      <c r="J994">
        <v>-197.16030000000001</v>
      </c>
      <c r="K994">
        <v>1.101245</v>
      </c>
      <c r="L994">
        <v>360.56950000000001</v>
      </c>
      <c r="M994">
        <v>0.868905699999999</v>
      </c>
      <c r="N994">
        <v>0</v>
      </c>
      <c r="O994">
        <v>-0.49474639999999998</v>
      </c>
      <c r="P994">
        <v>0.80617759999999905</v>
      </c>
      <c r="Q994">
        <v>-3.4909210000000003E-2</v>
      </c>
      <c r="R994">
        <v>-0.59064300000000003</v>
      </c>
      <c r="S994">
        <v>1.7926789999999999</v>
      </c>
      <c r="T994">
        <v>0.36053819999999998</v>
      </c>
      <c r="U994">
        <v>-2.6766969999999999</v>
      </c>
      <c r="V994">
        <v>0.11391800000000001</v>
      </c>
      <c r="W994">
        <v>-2.233804E-2</v>
      </c>
      <c r="X994">
        <v>0.99323899999999998</v>
      </c>
      <c r="Y994">
        <v>0.44673570000000001</v>
      </c>
      <c r="Z994">
        <v>-3.2320469999999997E-2</v>
      </c>
      <c r="AA994">
        <v>0.89408199999999904</v>
      </c>
      <c r="AB994">
        <v>27</v>
      </c>
      <c r="AC994">
        <v>0.21290000000001799</v>
      </c>
      <c r="AD994">
        <v>8.2772999999999902E-2</v>
      </c>
      <c r="AE994">
        <v>-0.49079999999997798</v>
      </c>
      <c r="AF994">
        <v>0.31365581866445302</v>
      </c>
      <c r="AG994">
        <v>8.2772999999999902E-2</v>
      </c>
      <c r="AH994">
        <v>0.41785777319052603</v>
      </c>
      <c r="AI994">
        <v>80.997824418778706</v>
      </c>
      <c r="AJ994">
        <v>53.107074477376202</v>
      </c>
      <c r="AK994">
        <v>0.52899570955425801</v>
      </c>
      <c r="AL994">
        <v>91.279981872599294</v>
      </c>
      <c r="AM994">
        <v>83.457139402782502</v>
      </c>
      <c r="AN994">
        <v>1.00000000493802</v>
      </c>
    </row>
    <row r="995" spans="1:40" x14ac:dyDescent="0.25">
      <c r="A995" t="str">
        <f>"20190312160929939"</f>
        <v>20190312160929939</v>
      </c>
      <c r="B995" t="str">
        <f>"1552378169926544"</f>
        <v>1552378169926544</v>
      </c>
      <c r="C995" t="s">
        <v>40</v>
      </c>
      <c r="D995">
        <v>5.8456859999999997</v>
      </c>
      <c r="E995">
        <v>0.62384819999999996</v>
      </c>
      <c r="F995" t="s">
        <v>47</v>
      </c>
      <c r="G995">
        <v>-168.40180000000001</v>
      </c>
      <c r="H995">
        <v>5.4718929999999997</v>
      </c>
      <c r="I995">
        <v>320.39190000000002</v>
      </c>
      <c r="J995">
        <v>-197.03210000000001</v>
      </c>
      <c r="K995">
        <v>1.101151</v>
      </c>
      <c r="L995">
        <v>360.48809999999997</v>
      </c>
      <c r="M995">
        <v>0.86538400000000004</v>
      </c>
      <c r="N995">
        <v>0</v>
      </c>
      <c r="O995">
        <v>-0.50087990000000004</v>
      </c>
      <c r="P995">
        <v>0.80162140000000004</v>
      </c>
      <c r="Q995">
        <v>-3.4003209999999999E-2</v>
      </c>
      <c r="R995">
        <v>-0.59686399999999995</v>
      </c>
      <c r="S995">
        <v>1.8449709999999999</v>
      </c>
      <c r="T995">
        <v>0.28039409999999998</v>
      </c>
      <c r="U995">
        <v>-2.5775450000000002</v>
      </c>
      <c r="V995">
        <v>0.1145742</v>
      </c>
      <c r="W995">
        <v>-2.1445349999999998E-2</v>
      </c>
      <c r="X995">
        <v>0.99318320000000004</v>
      </c>
      <c r="Y995">
        <v>0.41236590000000001</v>
      </c>
      <c r="Z995">
        <v>-2.7724249999999999E-2</v>
      </c>
      <c r="AA995">
        <v>0.91059639999999997</v>
      </c>
      <c r="AB995">
        <v>27</v>
      </c>
      <c r="AC995">
        <v>28.630299999999998</v>
      </c>
      <c r="AD995">
        <v>4.3707419999999999</v>
      </c>
      <c r="AE995">
        <v>-40.096199999999897</v>
      </c>
      <c r="AF995">
        <v>20.201623580926501</v>
      </c>
      <c r="AG995">
        <v>4.3707419999999999</v>
      </c>
      <c r="AH995">
        <v>44.514416816239702</v>
      </c>
      <c r="AI995">
        <v>84.890735731259895</v>
      </c>
      <c r="AJ995">
        <v>65.590405675762696</v>
      </c>
      <c r="AK995">
        <v>49.078939326618801</v>
      </c>
      <c r="AL995">
        <v>91.228822235564607</v>
      </c>
      <c r="AM995">
        <v>83.419413811597906</v>
      </c>
      <c r="AN995">
        <v>1.0000000095522501</v>
      </c>
    </row>
    <row r="996" spans="1:40" x14ac:dyDescent="0.25">
      <c r="A996" t="str">
        <f>"20190312160929953"</f>
        <v>20190312160929953</v>
      </c>
      <c r="B996" t="str">
        <f>"1552378169946063"</f>
        <v>1552378169946063</v>
      </c>
      <c r="C996" t="s">
        <v>40</v>
      </c>
      <c r="D996">
        <v>5.9529189999999996</v>
      </c>
      <c r="E996">
        <v>0.62404090000000001</v>
      </c>
      <c r="F996" t="s">
        <v>47</v>
      </c>
      <c r="G996">
        <v>-168.40180000000001</v>
      </c>
      <c r="H996">
        <v>5.4506449999999997</v>
      </c>
      <c r="I996">
        <v>319.84859999999998</v>
      </c>
      <c r="J996">
        <v>-196.8895</v>
      </c>
      <c r="K996">
        <v>1.1010500000000001</v>
      </c>
      <c r="L996">
        <v>360.39600000000002</v>
      </c>
      <c r="M996">
        <v>0.86135110000000004</v>
      </c>
      <c r="N996">
        <v>0</v>
      </c>
      <c r="O996">
        <v>-0.50778310000000004</v>
      </c>
      <c r="P996">
        <v>0.79643949999999997</v>
      </c>
      <c r="Q996">
        <v>-3.3696820000000002E-2</v>
      </c>
      <c r="R996">
        <v>-0.6037785</v>
      </c>
      <c r="S996">
        <v>1.82518</v>
      </c>
      <c r="T996">
        <v>0.27728009999999997</v>
      </c>
      <c r="U996">
        <v>-2.5907589999999998</v>
      </c>
      <c r="V996">
        <v>0.11522250000000001</v>
      </c>
      <c r="W996">
        <v>-2.115152E-2</v>
      </c>
      <c r="X996">
        <v>0.99311450000000001</v>
      </c>
      <c r="Y996">
        <v>0.41193249999999998</v>
      </c>
      <c r="Z996">
        <v>-2.8120550000000001E-2</v>
      </c>
      <c r="AA996">
        <v>0.91078040000000005</v>
      </c>
      <c r="AB996">
        <v>27</v>
      </c>
      <c r="AC996">
        <v>28.487699999999901</v>
      </c>
      <c r="AD996">
        <v>4.3495949999999999</v>
      </c>
      <c r="AE996">
        <v>-40.547399999999897</v>
      </c>
      <c r="AF996">
        <v>20.305891926518001</v>
      </c>
      <c r="AG996">
        <v>4.3495949999999999</v>
      </c>
      <c r="AH996">
        <v>44.787345543906198</v>
      </c>
      <c r="AI996">
        <v>84.945322988284602</v>
      </c>
      <c r="AJ996">
        <v>65.611193200510201</v>
      </c>
      <c r="AK996">
        <v>49.367545457159501</v>
      </c>
      <c r="AL996">
        <v>91.211983195646596</v>
      </c>
      <c r="AM996">
        <v>83.382054227640495</v>
      </c>
      <c r="AN996">
        <v>1.0000000107074001</v>
      </c>
    </row>
    <row r="997" spans="1:40" x14ac:dyDescent="0.25">
      <c r="A997" t="str">
        <f>"20190312160929972"</f>
        <v>20190312160929972</v>
      </c>
      <c r="B997" t="str">
        <f>"1552378169966560"</f>
        <v>1552378169966560</v>
      </c>
      <c r="C997" t="s">
        <v>40</v>
      </c>
      <c r="D997">
        <v>5.9934279999999998</v>
      </c>
      <c r="E997">
        <v>0.62435659999999904</v>
      </c>
      <c r="F997" t="s">
        <v>47</v>
      </c>
      <c r="G997">
        <v>-168.40170000000001</v>
      </c>
      <c r="H997">
        <v>5.4376629999999997</v>
      </c>
      <c r="I997">
        <v>319.16609999999997</v>
      </c>
      <c r="J997">
        <v>-196.69649999999999</v>
      </c>
      <c r="K997">
        <v>1.1009089999999999</v>
      </c>
      <c r="L997">
        <v>360.26870000000002</v>
      </c>
      <c r="M997">
        <v>0.85569459999999997</v>
      </c>
      <c r="N997">
        <v>0</v>
      </c>
      <c r="O997">
        <v>-0.51725699999999997</v>
      </c>
      <c r="P997">
        <v>0.78842159999999994</v>
      </c>
      <c r="Q997">
        <v>-3.390381E-2</v>
      </c>
      <c r="R997">
        <v>-0.61420019999999997</v>
      </c>
      <c r="S997">
        <v>1.801636</v>
      </c>
      <c r="T997">
        <v>0.27425870000000002</v>
      </c>
      <c r="U997">
        <v>-2.6074830000000002</v>
      </c>
      <c r="V997">
        <v>0.11731569999999999</v>
      </c>
      <c r="W997">
        <v>-2.14057E-2</v>
      </c>
      <c r="X997">
        <v>0.99286399999999997</v>
      </c>
      <c r="Y997">
        <v>0.41020139999999999</v>
      </c>
      <c r="Z997">
        <v>-2.880943E-2</v>
      </c>
      <c r="AA997">
        <v>0.91153989999999996</v>
      </c>
      <c r="AB997">
        <v>26</v>
      </c>
      <c r="AC997">
        <v>28.294799999999899</v>
      </c>
      <c r="AD997">
        <v>4.336754</v>
      </c>
      <c r="AE997">
        <v>-41.102600000000002</v>
      </c>
      <c r="AF997">
        <v>20.384008482698601</v>
      </c>
      <c r="AG997">
        <v>4.336754</v>
      </c>
      <c r="AH997">
        <v>45.136666632304603</v>
      </c>
      <c r="AI997">
        <v>84.995650059327602</v>
      </c>
      <c r="AJ997">
        <v>65.695759212274098</v>
      </c>
      <c r="AK997">
        <v>49.715529885087697</v>
      </c>
      <c r="AL997">
        <v>91.226549886724399</v>
      </c>
      <c r="AM997">
        <v>83.261239962563195</v>
      </c>
      <c r="AN997">
        <v>1.0000000499774799</v>
      </c>
    </row>
    <row r="998" spans="1:40" x14ac:dyDescent="0.25">
      <c r="A998" t="str">
        <f>"20190312160929988"</f>
        <v>20190312160929988</v>
      </c>
      <c r="B998" t="str">
        <f>"1552378169976321"</f>
        <v>1552378169976321</v>
      </c>
      <c r="C998" t="s">
        <v>40</v>
      </c>
      <c r="D998">
        <v>5.5051759999999996</v>
      </c>
      <c r="E998">
        <v>0.68365419999999999</v>
      </c>
      <c r="F998" t="s">
        <v>47</v>
      </c>
      <c r="G998">
        <v>-168.40190000000001</v>
      </c>
      <c r="H998">
        <v>5.742839</v>
      </c>
      <c r="I998">
        <v>318.06119999999999</v>
      </c>
      <c r="J998">
        <v>-196.5438</v>
      </c>
      <c r="K998">
        <v>1.100797</v>
      </c>
      <c r="L998">
        <v>360.16579999999999</v>
      </c>
      <c r="M998">
        <v>0.85104979999999997</v>
      </c>
      <c r="N998">
        <v>0</v>
      </c>
      <c r="O998">
        <v>-0.52486279999999996</v>
      </c>
      <c r="P998">
        <v>0.78225369999999905</v>
      </c>
      <c r="Q998">
        <v>-3.4196120000000003E-2</v>
      </c>
      <c r="R998">
        <v>-0.62202089999999999</v>
      </c>
      <c r="S998">
        <v>1.7656559999999999</v>
      </c>
      <c r="T998">
        <v>0.28966809999999998</v>
      </c>
      <c r="U998">
        <v>-2.6338499999999998</v>
      </c>
      <c r="V998">
        <v>0.11834790000000001</v>
      </c>
      <c r="W998">
        <v>-2.172195E-2</v>
      </c>
      <c r="X998">
        <v>0.99273460000000002</v>
      </c>
      <c r="Y998">
        <v>0.4149157</v>
      </c>
      <c r="Z998">
        <v>-3.0978269999999999E-2</v>
      </c>
      <c r="AA998">
        <v>0.90933229999999998</v>
      </c>
      <c r="AB998">
        <v>26</v>
      </c>
      <c r="AC998">
        <v>28.1419</v>
      </c>
      <c r="AD998">
        <v>4.642042</v>
      </c>
      <c r="AE998">
        <v>-42.104599999999998</v>
      </c>
      <c r="AF998">
        <v>20.8894240077516</v>
      </c>
      <c r="AG998">
        <v>4.642042</v>
      </c>
      <c r="AH998">
        <v>45.6709519311297</v>
      </c>
      <c r="AI998">
        <v>84.719082857679695</v>
      </c>
      <c r="AJ998">
        <v>65.4211303887367</v>
      </c>
      <c r="AK998">
        <v>50.435626689880202</v>
      </c>
      <c r="AL998">
        <v>91.244673918713602</v>
      </c>
      <c r="AM998">
        <v>83.201623770664597</v>
      </c>
      <c r="AN998">
        <v>1.00000002729168</v>
      </c>
    </row>
    <row r="999" spans="1:40" x14ac:dyDescent="0.25">
      <c r="A999" t="str">
        <f>"20190312160930007"</f>
        <v>20190312160930007</v>
      </c>
      <c r="B999" t="str">
        <f>"1552378169995841"</f>
        <v>1552378169995841</v>
      </c>
      <c r="C999" t="s">
        <v>40</v>
      </c>
      <c r="D999">
        <v>5.1821289999999998</v>
      </c>
      <c r="E999">
        <v>0.69297719999999996</v>
      </c>
      <c r="F999" t="s">
        <v>42</v>
      </c>
      <c r="G999">
        <v>-196.2079</v>
      </c>
      <c r="H999">
        <v>1.248788</v>
      </c>
      <c r="I999">
        <v>359.46530000000001</v>
      </c>
      <c r="J999">
        <v>-196.3475</v>
      </c>
      <c r="K999">
        <v>1.1006560000000001</v>
      </c>
      <c r="L999">
        <v>360.03</v>
      </c>
      <c r="M999">
        <v>0.84482749999999995</v>
      </c>
      <c r="N999">
        <v>0</v>
      </c>
      <c r="O999">
        <v>-0.53481939999999994</v>
      </c>
      <c r="P999">
        <v>0.77337909999999999</v>
      </c>
      <c r="Q999">
        <v>-3.4877360000000003E-2</v>
      </c>
      <c r="R999">
        <v>-0.63298369999999904</v>
      </c>
      <c r="S999">
        <v>1.454224</v>
      </c>
      <c r="T999">
        <v>0.63996260000000005</v>
      </c>
      <c r="U999">
        <v>-3.0293580000000002</v>
      </c>
      <c r="V999">
        <v>0.1206747</v>
      </c>
      <c r="W999">
        <v>-2.2458619999999999E-2</v>
      </c>
      <c r="X999">
        <v>0.99243800000000004</v>
      </c>
      <c r="Y999">
        <v>0.52949889999999999</v>
      </c>
      <c r="Z999">
        <v>-5.5146969999999997E-2</v>
      </c>
      <c r="AA999">
        <v>0.84651620000000005</v>
      </c>
      <c r="AB999">
        <v>26</v>
      </c>
      <c r="AC999">
        <v>0.139600000000001</v>
      </c>
      <c r="AD999">
        <v>0.14813200000000001</v>
      </c>
      <c r="AE999">
        <v>-0.56469999999995901</v>
      </c>
      <c r="AF999">
        <v>0.37795095118258798</v>
      </c>
      <c r="AG999">
        <v>0.14813200000000001</v>
      </c>
      <c r="AH999">
        <v>0.39442201748677702</v>
      </c>
      <c r="AI999">
        <v>74.828080473661601</v>
      </c>
      <c r="AJ999">
        <v>46.221663111641497</v>
      </c>
      <c r="AK999">
        <v>0.56600241943136798</v>
      </c>
      <c r="AL999">
        <v>91.286892365554806</v>
      </c>
      <c r="AM999">
        <v>83.0671996107815</v>
      </c>
      <c r="AN999">
        <v>0.99999997833819698</v>
      </c>
    </row>
    <row r="1000" spans="1:40" x14ac:dyDescent="0.25">
      <c r="A1000" t="str">
        <f>"20190312160930027"</f>
        <v>20190312160930027</v>
      </c>
      <c r="B1000" t="str">
        <f>"1552378170016336"</f>
        <v>1552378170016336</v>
      </c>
      <c r="C1000" t="s">
        <v>40</v>
      </c>
      <c r="D1000">
        <v>5.6050309999999897</v>
      </c>
      <c r="E1000">
        <v>0.69453030000000004</v>
      </c>
      <c r="F1000" t="s">
        <v>53</v>
      </c>
      <c r="G1000">
        <v>-157.25</v>
      </c>
      <c r="H1000">
        <v>20.441020000000002</v>
      </c>
      <c r="I1000">
        <v>271.0598</v>
      </c>
      <c r="J1000">
        <v>-196.15459999999999</v>
      </c>
      <c r="K1000">
        <v>1.1005240000000001</v>
      </c>
      <c r="L1000">
        <v>359.89299999999997</v>
      </c>
      <c r="M1000">
        <v>0.83844289999999999</v>
      </c>
      <c r="N1000">
        <v>0</v>
      </c>
      <c r="O1000">
        <v>-0.54477330000000002</v>
      </c>
      <c r="P1000">
        <v>0.76481949999999999</v>
      </c>
      <c r="Q1000">
        <v>-3.5424700000000003E-2</v>
      </c>
      <c r="R1000">
        <v>-0.64327029999999996</v>
      </c>
      <c r="S1000">
        <v>1.3657840000000001</v>
      </c>
      <c r="T1000">
        <v>0.67561419999999905</v>
      </c>
      <c r="U1000">
        <v>-3.107971</v>
      </c>
      <c r="V1000">
        <v>0.1222039</v>
      </c>
      <c r="W1000">
        <v>-2.3040450000000001E-2</v>
      </c>
      <c r="X1000">
        <v>0.99223760000000005</v>
      </c>
      <c r="Y1000">
        <v>0.54750500000000002</v>
      </c>
      <c r="Z1000">
        <v>-5.7969560000000003E-2</v>
      </c>
      <c r="AA1000">
        <v>0.83479210000000004</v>
      </c>
      <c r="AB1000">
        <v>26</v>
      </c>
      <c r="AC1000">
        <v>38.904599999999903</v>
      </c>
      <c r="AD1000">
        <v>19.340495999999899</v>
      </c>
      <c r="AE1000">
        <v>-88.833200000000005</v>
      </c>
      <c r="AF1000">
        <v>51.255121224725798</v>
      </c>
      <c r="AG1000">
        <v>19.340495999999899</v>
      </c>
      <c r="AH1000">
        <v>77.923583663171797</v>
      </c>
      <c r="AI1000">
        <v>78.285073644262596</v>
      </c>
      <c r="AJ1000">
        <v>56.664627034962102</v>
      </c>
      <c r="AK1000">
        <v>95.2534887980419</v>
      </c>
      <c r="AL1000">
        <v>91.320237298505404</v>
      </c>
      <c r="AM1000">
        <v>82.978814083693806</v>
      </c>
      <c r="AN1000">
        <v>1.0000000551825801</v>
      </c>
    </row>
    <row r="1001" spans="1:40" x14ac:dyDescent="0.25">
      <c r="A1001" t="str">
        <f>"20190312160930039"</f>
        <v>20190312160930039</v>
      </c>
      <c r="B1001" t="str">
        <f>"1552378170035856"</f>
        <v>1552378170035856</v>
      </c>
      <c r="C1001" t="s">
        <v>40</v>
      </c>
      <c r="D1001">
        <v>4.6165250000000002</v>
      </c>
      <c r="E1001">
        <v>0.69296069999999999</v>
      </c>
      <c r="F1001" t="s">
        <v>53</v>
      </c>
      <c r="G1001">
        <v>-157.8382</v>
      </c>
      <c r="H1001">
        <v>20.742170000000002</v>
      </c>
      <c r="I1001">
        <v>268.64010000000002</v>
      </c>
      <c r="J1001">
        <v>-196.03030000000001</v>
      </c>
      <c r="K1001">
        <v>1.100441</v>
      </c>
      <c r="L1001">
        <v>359.80270000000002</v>
      </c>
      <c r="M1001">
        <v>0.83417859999999999</v>
      </c>
      <c r="N1001">
        <v>0</v>
      </c>
      <c r="O1001">
        <v>-0.55127999999999999</v>
      </c>
      <c r="P1001">
        <v>0.7591968</v>
      </c>
      <c r="Q1001">
        <v>-3.5782639999999998E-2</v>
      </c>
      <c r="R1001">
        <v>-0.64987689999999998</v>
      </c>
      <c r="S1001">
        <v>1.3165739999999999</v>
      </c>
      <c r="T1001">
        <v>0.67490039999999996</v>
      </c>
      <c r="U1001">
        <v>-3.1354980000000001</v>
      </c>
      <c r="V1001">
        <v>0.1230827</v>
      </c>
      <c r="W1001">
        <v>-2.341708E-2</v>
      </c>
      <c r="X1001">
        <v>0.99212009999999995</v>
      </c>
      <c r="Y1001">
        <v>0.55473490000000003</v>
      </c>
      <c r="Z1001">
        <v>-5.8560689999999999E-2</v>
      </c>
      <c r="AA1001">
        <v>0.82996380000000003</v>
      </c>
      <c r="AB1001">
        <v>26</v>
      </c>
      <c r="AC1001">
        <v>38.192100000000003</v>
      </c>
      <c r="AD1001">
        <v>19.641729000000002</v>
      </c>
      <c r="AE1001">
        <v>-91.162599999999998</v>
      </c>
      <c r="AF1001">
        <v>52.908444538241802</v>
      </c>
      <c r="AG1001">
        <v>19.641729000000002</v>
      </c>
      <c r="AH1001">
        <v>79.004879134590396</v>
      </c>
      <c r="AI1001">
        <v>78.328510142280507</v>
      </c>
      <c r="AJ1001">
        <v>56.190341991473801</v>
      </c>
      <c r="AK1001">
        <v>97.092079742051496</v>
      </c>
      <c r="AL1001">
        <v>91.341822502781</v>
      </c>
      <c r="AM1001">
        <v>82.928003271838506</v>
      </c>
      <c r="AN1001">
        <v>1.0000000017495101</v>
      </c>
    </row>
    <row r="1002" spans="1:40" x14ac:dyDescent="0.25">
      <c r="A1002" t="str">
        <f>"20190312160930054"</f>
        <v>20190312160930054</v>
      </c>
      <c r="B1002" t="str">
        <f>"1552378170046593"</f>
        <v>1552378170046593</v>
      </c>
      <c r="C1002" t="s">
        <v>40</v>
      </c>
      <c r="D1002">
        <v>5.9743019999999998</v>
      </c>
      <c r="E1002">
        <v>0.69173680000000004</v>
      </c>
      <c r="F1002" t="s">
        <v>42</v>
      </c>
      <c r="G1002">
        <v>-195.7962</v>
      </c>
      <c r="H1002">
        <v>1.2212209999999999</v>
      </c>
      <c r="I1002">
        <v>359.23630000000003</v>
      </c>
      <c r="J1002">
        <v>-195.88890000000001</v>
      </c>
      <c r="K1002">
        <v>1.1003499999999999</v>
      </c>
      <c r="L1002">
        <v>359.69810000000001</v>
      </c>
      <c r="M1002">
        <v>0.82918369999999997</v>
      </c>
      <c r="N1002">
        <v>0</v>
      </c>
      <c r="O1002">
        <v>-0.55876380000000003</v>
      </c>
      <c r="P1002">
        <v>0.75269589999999997</v>
      </c>
      <c r="Q1002">
        <v>-3.5826759999999999E-2</v>
      </c>
      <c r="R1002">
        <v>-0.65739300000000001</v>
      </c>
      <c r="S1002">
        <v>1.2974239999999999</v>
      </c>
      <c r="T1002">
        <v>0.66903769999999996</v>
      </c>
      <c r="U1002">
        <v>-3.1374209999999998</v>
      </c>
      <c r="V1002">
        <v>0.1240141</v>
      </c>
      <c r="W1002">
        <v>-2.3480270000000001E-2</v>
      </c>
      <c r="X1002">
        <v>0.99200259999999996</v>
      </c>
      <c r="Y1002">
        <v>0.55188740000000003</v>
      </c>
      <c r="Z1002">
        <v>-6.0202520000000002E-2</v>
      </c>
      <c r="AA1002">
        <v>0.8317428</v>
      </c>
      <c r="AB1002">
        <v>26</v>
      </c>
      <c r="AC1002">
        <v>9.2700000000007707E-2</v>
      </c>
      <c r="AD1002">
        <v>0.12087099999999899</v>
      </c>
      <c r="AE1002">
        <v>-0.461799999999982</v>
      </c>
      <c r="AF1002">
        <v>0.310698322274643</v>
      </c>
      <c r="AG1002">
        <v>0.12087099999999899</v>
      </c>
      <c r="AH1002">
        <v>0.31424784574700998</v>
      </c>
      <c r="AI1002">
        <v>74.702667692109799</v>
      </c>
      <c r="AJ1002">
        <v>45.325420872726497</v>
      </c>
      <c r="AK1002">
        <v>0.45814294129879801</v>
      </c>
      <c r="AL1002">
        <v>91.345444035678099</v>
      </c>
      <c r="AM1002">
        <v>82.874200280432902</v>
      </c>
      <c r="AN1002">
        <v>0.99999998924242095</v>
      </c>
    </row>
    <row r="1003" spans="1:40" x14ac:dyDescent="0.25">
      <c r="A1003" t="str">
        <f>"20190312160930072"</f>
        <v>20190312160930072</v>
      </c>
      <c r="B1003" t="str">
        <f>"1552378170066112"</f>
        <v>1552378170066112</v>
      </c>
      <c r="C1003" t="s">
        <v>40</v>
      </c>
      <c r="D1003">
        <v>5.8436879999999896</v>
      </c>
      <c r="E1003">
        <v>0.68957599999999997</v>
      </c>
      <c r="F1003" t="s">
        <v>42</v>
      </c>
      <c r="G1003">
        <v>-195.63069999999999</v>
      </c>
      <c r="H1003">
        <v>1.234556</v>
      </c>
      <c r="I1003">
        <v>359.06040000000002</v>
      </c>
      <c r="J1003">
        <v>-195.71780000000001</v>
      </c>
      <c r="K1003">
        <v>1.100236</v>
      </c>
      <c r="L1003">
        <v>359.5686</v>
      </c>
      <c r="M1003">
        <v>0.82292359999999898</v>
      </c>
      <c r="N1003">
        <v>0</v>
      </c>
      <c r="O1003">
        <v>-0.56794209999999901</v>
      </c>
      <c r="P1003">
        <v>0.74425609999999998</v>
      </c>
      <c r="Q1003">
        <v>-3.623407E-2</v>
      </c>
      <c r="R1003">
        <v>-0.66691069999999997</v>
      </c>
      <c r="S1003">
        <v>1.2720180000000001</v>
      </c>
      <c r="T1003">
        <v>0.66150629999999999</v>
      </c>
      <c r="U1003">
        <v>-3.1431580000000001</v>
      </c>
      <c r="V1003">
        <v>0.12560080000000001</v>
      </c>
      <c r="W1003">
        <v>-2.3923549999999998E-2</v>
      </c>
      <c r="X1003">
        <v>0.99179240000000002</v>
      </c>
      <c r="Y1003">
        <v>0.54907740000000005</v>
      </c>
      <c r="Z1003">
        <v>-6.2029050000000002E-2</v>
      </c>
      <c r="AA1003">
        <v>0.8334665</v>
      </c>
      <c r="AB1003">
        <v>26</v>
      </c>
      <c r="AC1003">
        <v>8.71000000000208E-2</v>
      </c>
      <c r="AD1003">
        <v>0.13431999999999999</v>
      </c>
      <c r="AE1003">
        <v>-0.50819999999998799</v>
      </c>
      <c r="AF1003">
        <v>0.34534925717610199</v>
      </c>
      <c r="AG1003">
        <v>0.13431999999999999</v>
      </c>
      <c r="AH1003">
        <v>0.33744731169314202</v>
      </c>
      <c r="AI1003">
        <v>74.454177341331203</v>
      </c>
      <c r="AJ1003">
        <v>44.336950512282101</v>
      </c>
      <c r="AK1003">
        <v>0.50117727402687995</v>
      </c>
      <c r="AL1003">
        <v>91.370849189193706</v>
      </c>
      <c r="AM1003">
        <v>82.782470974007296</v>
      </c>
      <c r="AN1003">
        <v>1.0000000309515</v>
      </c>
    </row>
    <row r="1004" spans="1:40" x14ac:dyDescent="0.25">
      <c r="A1004" t="str">
        <f>"20190312160930084"</f>
        <v>20190312160930084</v>
      </c>
      <c r="B1004" t="str">
        <f>"1552378170075871"</f>
        <v>1552378170075871</v>
      </c>
      <c r="C1004" t="s">
        <v>40</v>
      </c>
      <c r="D1004">
        <v>5.2183699999999904</v>
      </c>
      <c r="E1004">
        <v>0.68906440000000002</v>
      </c>
      <c r="F1004" t="s">
        <v>42</v>
      </c>
      <c r="G1004">
        <v>-195.4547</v>
      </c>
      <c r="H1004">
        <v>1.2377419999999999</v>
      </c>
      <c r="I1004">
        <v>358.90230000000003</v>
      </c>
      <c r="J1004">
        <v>-195.59909999999999</v>
      </c>
      <c r="K1004">
        <v>1.100158</v>
      </c>
      <c r="L1004">
        <v>359.47739999999999</v>
      </c>
      <c r="M1004">
        <v>0.81845749999999995</v>
      </c>
      <c r="N1004">
        <v>0</v>
      </c>
      <c r="O1004">
        <v>-0.57435859999999905</v>
      </c>
      <c r="P1004">
        <v>0.73828039999999995</v>
      </c>
      <c r="Q1004">
        <v>-3.6496889999999997E-2</v>
      </c>
      <c r="R1004">
        <v>-0.67350589999999999</v>
      </c>
      <c r="S1004">
        <v>1.2430730000000001</v>
      </c>
      <c r="T1004">
        <v>0.64915970000000001</v>
      </c>
      <c r="U1004">
        <v>-3.146423</v>
      </c>
      <c r="V1004">
        <v>0.12666659999999999</v>
      </c>
      <c r="W1004">
        <v>-2.4211489999999999E-2</v>
      </c>
      <c r="X1004">
        <v>0.99164980000000003</v>
      </c>
      <c r="Y1004">
        <v>0.54954530000000001</v>
      </c>
      <c r="Z1004">
        <v>-6.2451079999999999E-2</v>
      </c>
      <c r="AA1004">
        <v>0.83312649999999999</v>
      </c>
      <c r="AB1004">
        <v>26</v>
      </c>
      <c r="AC1004">
        <v>0.14439999999999001</v>
      </c>
      <c r="AD1004">
        <v>0.13758399999999901</v>
      </c>
      <c r="AE1004">
        <v>-0.57509999999996297</v>
      </c>
      <c r="AF1004">
        <v>0.36799163990573902</v>
      </c>
      <c r="AG1004">
        <v>0.13758399999999901</v>
      </c>
      <c r="AH1004">
        <v>0.42563672451567103</v>
      </c>
      <c r="AI1004">
        <v>76.259380728777998</v>
      </c>
      <c r="AJ1004">
        <v>49.154375219589603</v>
      </c>
      <c r="AK1004">
        <v>0.57923555256298298</v>
      </c>
      <c r="AL1004">
        <v>91.387351793579299</v>
      </c>
      <c r="AM1004">
        <v>82.720844420468794</v>
      </c>
      <c r="AN1004">
        <v>0.99999997482180902</v>
      </c>
    </row>
    <row r="1005" spans="1:40" x14ac:dyDescent="0.25">
      <c r="A1005" t="str">
        <f>"20190312160930106"</f>
        <v>20190312160930106</v>
      </c>
      <c r="B1005" t="str">
        <f>"1552378170096371"</f>
        <v>1552378170096371</v>
      </c>
      <c r="C1005" t="s">
        <v>40</v>
      </c>
      <c r="D1005">
        <v>5.2206460000000003</v>
      </c>
      <c r="E1005">
        <v>0.6867934</v>
      </c>
      <c r="F1005" t="s">
        <v>54</v>
      </c>
      <c r="G1005">
        <v>-155.25729999999999</v>
      </c>
      <c r="H1005">
        <v>22.399699999999999</v>
      </c>
      <c r="I1005">
        <v>254.97470000000001</v>
      </c>
      <c r="J1005">
        <v>-195.399</v>
      </c>
      <c r="K1005">
        <v>1.100028</v>
      </c>
      <c r="L1005">
        <v>359.31920000000002</v>
      </c>
      <c r="M1005">
        <v>0.81060840000000001</v>
      </c>
      <c r="N1005">
        <v>0</v>
      </c>
      <c r="O1005">
        <v>-0.58538290000000004</v>
      </c>
      <c r="P1005">
        <v>0.72840819999999995</v>
      </c>
      <c r="Q1005">
        <v>-3.7188220000000001E-2</v>
      </c>
      <c r="R1005">
        <v>-0.68413380000000001</v>
      </c>
      <c r="S1005">
        <v>1.217697</v>
      </c>
      <c r="T1005">
        <v>0.64291659999999995</v>
      </c>
      <c r="U1005">
        <v>-3.1543580000000002</v>
      </c>
      <c r="V1005">
        <v>0.1276119</v>
      </c>
      <c r="W1005">
        <v>-2.4921329999999998E-2</v>
      </c>
      <c r="X1005">
        <v>0.99151100000000003</v>
      </c>
      <c r="Y1005">
        <v>0.54494849999999995</v>
      </c>
      <c r="Z1005">
        <v>-6.4855159999999995E-2</v>
      </c>
      <c r="AA1005">
        <v>0.83595750000000002</v>
      </c>
      <c r="AB1005">
        <v>26</v>
      </c>
      <c r="AC1005">
        <v>40.1417</v>
      </c>
      <c r="AD1005">
        <v>21.299672000000001</v>
      </c>
      <c r="AE1005">
        <v>-104.3445</v>
      </c>
      <c r="AF1005">
        <v>58.951869046339503</v>
      </c>
      <c r="AG1005">
        <v>21.299672000000001</v>
      </c>
      <c r="AH1005">
        <v>90.352474836378605</v>
      </c>
      <c r="AI1005">
        <v>78.831625152675301</v>
      </c>
      <c r="AJ1005">
        <v>56.876939935034301</v>
      </c>
      <c r="AK1005">
        <v>109.966215722933</v>
      </c>
      <c r="AL1005">
        <v>91.428034921752001</v>
      </c>
      <c r="AM1005">
        <v>82.666094585017106</v>
      </c>
      <c r="AN1005">
        <v>0.99999996641578803</v>
      </c>
    </row>
    <row r="1006" spans="1:40" x14ac:dyDescent="0.25">
      <c r="A1006" t="str">
        <f>"20190312160930118"</f>
        <v>20190312160930118</v>
      </c>
      <c r="B1006" t="str">
        <f>"1552378170115887"</f>
        <v>1552378170115887</v>
      </c>
      <c r="C1006" t="s">
        <v>40</v>
      </c>
      <c r="D1006">
        <v>4.8384159999999996</v>
      </c>
      <c r="E1006">
        <v>0.68478130000000004</v>
      </c>
      <c r="F1006" t="s">
        <v>42</v>
      </c>
      <c r="G1006">
        <v>-195.11770000000001</v>
      </c>
      <c r="H1006">
        <v>1.2494540000000001</v>
      </c>
      <c r="I1006">
        <v>358.56810000000002</v>
      </c>
      <c r="J1006">
        <v>-195.28210000000001</v>
      </c>
      <c r="K1006">
        <v>1.099955</v>
      </c>
      <c r="L1006">
        <v>359.22449999999998</v>
      </c>
      <c r="M1006">
        <v>0.80585410000000002</v>
      </c>
      <c r="N1006">
        <v>0</v>
      </c>
      <c r="O1006">
        <v>-0.59190989999999999</v>
      </c>
      <c r="P1006">
        <v>0.72250530000000002</v>
      </c>
      <c r="Q1006">
        <v>-3.7489590000000003E-2</v>
      </c>
      <c r="R1006">
        <v>-0.69034839999999997</v>
      </c>
      <c r="S1006">
        <v>1.1839900000000001</v>
      </c>
      <c r="T1006">
        <v>0.62840209999999996</v>
      </c>
      <c r="U1006">
        <v>-3.1586910000000001</v>
      </c>
      <c r="V1006">
        <v>0.12809580000000001</v>
      </c>
      <c r="W1006">
        <v>-2.5230599999999999E-2</v>
      </c>
      <c r="X1006">
        <v>0.99144080000000001</v>
      </c>
      <c r="Y1006">
        <v>0.54642619999999997</v>
      </c>
      <c r="Z1006">
        <v>-6.4883629999999998E-2</v>
      </c>
      <c r="AA1006">
        <v>0.83499020000000002</v>
      </c>
      <c r="AB1006">
        <v>26</v>
      </c>
      <c r="AC1006">
        <v>0.16439999999999999</v>
      </c>
      <c r="AD1006">
        <v>0.14949899999999999</v>
      </c>
      <c r="AE1006">
        <v>-0.65639999999996201</v>
      </c>
      <c r="AF1006">
        <v>0.411613608850813</v>
      </c>
      <c r="AG1006">
        <v>0.14949899999999999</v>
      </c>
      <c r="AH1006">
        <v>0.49682461700476699</v>
      </c>
      <c r="AI1006">
        <v>76.953899980062602</v>
      </c>
      <c r="AJ1006">
        <v>50.358633759510703</v>
      </c>
      <c r="AK1006">
        <v>0.66227668995226097</v>
      </c>
      <c r="AL1006">
        <v>91.445760329961004</v>
      </c>
      <c r="AM1006">
        <v>82.638073619766601</v>
      </c>
      <c r="AN1006">
        <v>0.99999998852931904</v>
      </c>
    </row>
    <row r="1007" spans="1:40" x14ac:dyDescent="0.25">
      <c r="A1007" t="str">
        <f>"20190312160930130"</f>
        <v>20190312160930130</v>
      </c>
      <c r="B1007" t="str">
        <f>"1552378170126623"</f>
        <v>1552378170126623</v>
      </c>
      <c r="C1007" t="s">
        <v>40</v>
      </c>
      <c r="D1007">
        <v>5.9660609999999998</v>
      </c>
      <c r="E1007">
        <v>0.68478130000000004</v>
      </c>
      <c r="F1007" t="s">
        <v>42</v>
      </c>
      <c r="G1007">
        <v>-195.06630000000001</v>
      </c>
      <c r="H1007">
        <v>1.213706</v>
      </c>
      <c r="I1007">
        <v>358.64019999999999</v>
      </c>
      <c r="J1007">
        <v>-195.17449999999999</v>
      </c>
      <c r="K1007">
        <v>1.0998920000000001</v>
      </c>
      <c r="L1007">
        <v>359.13589999999999</v>
      </c>
      <c r="M1007">
        <v>0.80136949999999996</v>
      </c>
      <c r="N1007">
        <v>0</v>
      </c>
      <c r="O1007">
        <v>-0.59796660000000001</v>
      </c>
      <c r="P1007">
        <v>0.716948699999999</v>
      </c>
      <c r="Q1007">
        <v>-3.8123709999999998E-2</v>
      </c>
      <c r="R1007">
        <v>-0.6960828</v>
      </c>
      <c r="S1007">
        <v>1.167664</v>
      </c>
      <c r="T1007">
        <v>0.61454519999999901</v>
      </c>
      <c r="U1007">
        <v>-3.156952</v>
      </c>
      <c r="V1007">
        <v>0.12852269999999999</v>
      </c>
      <c r="W1007">
        <v>-2.587159E-2</v>
      </c>
      <c r="X1007">
        <v>0.9913691</v>
      </c>
      <c r="Y1007">
        <v>0.54385660000000002</v>
      </c>
      <c r="Z1007">
        <v>-6.5189479999999994E-2</v>
      </c>
      <c r="AA1007">
        <v>0.83664229999999995</v>
      </c>
      <c r="AB1007">
        <v>26</v>
      </c>
      <c r="AC1007">
        <v>0.10819999999998201</v>
      </c>
      <c r="AD1007">
        <v>0.113813999999999</v>
      </c>
      <c r="AE1007">
        <v>-0.49569999999999897</v>
      </c>
      <c r="AF1007">
        <v>0.31664569717371699</v>
      </c>
      <c r="AG1007">
        <v>0.113813999999999</v>
      </c>
      <c r="AH1007">
        <v>0.36480958885449999</v>
      </c>
      <c r="AI1007">
        <v>76.742403615635595</v>
      </c>
      <c r="AJ1007">
        <v>49.042827807433802</v>
      </c>
      <c r="AK1007">
        <v>0.49629039911610101</v>
      </c>
      <c r="AL1007">
        <v>91.482498244016099</v>
      </c>
      <c r="AM1007">
        <v>82.613280986276806</v>
      </c>
      <c r="AN1007">
        <v>1.00000005800961</v>
      </c>
    </row>
    <row r="1008" spans="1:40" x14ac:dyDescent="0.25">
      <c r="A1008" t="str">
        <f>"20190312160930151"</f>
        <v>20190312160930151</v>
      </c>
      <c r="B1008" t="str">
        <f>"1552378170146144"</f>
        <v>1552378170146144</v>
      </c>
      <c r="C1008" t="s">
        <v>40</v>
      </c>
      <c r="D1008">
        <v>5.0432959999999998</v>
      </c>
      <c r="E1008">
        <v>0.66376590000000002</v>
      </c>
      <c r="F1008" t="s">
        <v>42</v>
      </c>
      <c r="G1008">
        <v>-194.92349999999999</v>
      </c>
      <c r="H1008">
        <v>1.234483</v>
      </c>
      <c r="I1008">
        <v>358.44040000000001</v>
      </c>
      <c r="J1008">
        <v>-194.98349999999999</v>
      </c>
      <c r="K1008">
        <v>1.099774</v>
      </c>
      <c r="L1008">
        <v>358.9751</v>
      </c>
      <c r="M1008">
        <v>0.79314110000000004</v>
      </c>
      <c r="N1008">
        <v>0</v>
      </c>
      <c r="O1008">
        <v>-0.60883769999999904</v>
      </c>
      <c r="P1008">
        <v>0.70655919999999905</v>
      </c>
      <c r="Q1008">
        <v>-3.8001489999999999E-2</v>
      </c>
      <c r="R1008">
        <v>-0.70663299999999996</v>
      </c>
      <c r="S1008">
        <v>1.1427149999999999</v>
      </c>
      <c r="T1008">
        <v>0.61272059999999995</v>
      </c>
      <c r="U1008">
        <v>-3.1664430000000001</v>
      </c>
      <c r="V1008">
        <v>0.12969169999999999</v>
      </c>
      <c r="W1008">
        <v>-2.577132E-2</v>
      </c>
      <c r="X1008">
        <v>0.99121939999999997</v>
      </c>
      <c r="Y1008">
        <v>0.53919090000000003</v>
      </c>
      <c r="Z1008">
        <v>-6.7808450000000006E-2</v>
      </c>
      <c r="AA1008">
        <v>0.83944929999999995</v>
      </c>
      <c r="AB1008">
        <v>26</v>
      </c>
      <c r="AC1008">
        <v>6.0000000000002197E-2</v>
      </c>
      <c r="AD1008">
        <v>0.134708999999999</v>
      </c>
      <c r="AE1008">
        <v>-0.53469999999998596</v>
      </c>
      <c r="AF1008">
        <v>0.364746720186712</v>
      </c>
      <c r="AG1008">
        <v>0.134708999999999</v>
      </c>
      <c r="AH1008">
        <v>0.35116780575017498</v>
      </c>
      <c r="AI1008">
        <v>75.101277365057499</v>
      </c>
      <c r="AJ1008">
        <v>43.9133881474175</v>
      </c>
      <c r="AK1008">
        <v>0.52393273648757299</v>
      </c>
      <c r="AL1008">
        <v>91.476751368288603</v>
      </c>
      <c r="AM1008">
        <v>82.545732895444004</v>
      </c>
      <c r="AN1008">
        <v>0.99999999845989596</v>
      </c>
    </row>
    <row r="1009" spans="1:40" x14ac:dyDescent="0.25">
      <c r="A1009" t="str">
        <f>"20190312160930174"</f>
        <v>20190312160930174</v>
      </c>
      <c r="B1009" t="str">
        <f>"1552378170166639"</f>
        <v>1552378170166639</v>
      </c>
      <c r="C1009" t="s">
        <v>40</v>
      </c>
      <c r="D1009">
        <v>5.9395319999999998</v>
      </c>
      <c r="E1009">
        <v>0.66384290000000001</v>
      </c>
      <c r="F1009" t="s">
        <v>42</v>
      </c>
      <c r="G1009">
        <v>-194.72370000000001</v>
      </c>
      <c r="H1009">
        <v>1.206558</v>
      </c>
      <c r="I1009">
        <v>358.31819999999999</v>
      </c>
      <c r="J1009">
        <v>-194.77520000000001</v>
      </c>
      <c r="K1009">
        <v>1.099658</v>
      </c>
      <c r="L1009">
        <v>358.7944</v>
      </c>
      <c r="M1009">
        <v>0.78375299999999903</v>
      </c>
      <c r="N1009">
        <v>0</v>
      </c>
      <c r="O1009">
        <v>-0.62087519999999996</v>
      </c>
      <c r="P1009">
        <v>0.69510499999999997</v>
      </c>
      <c r="Q1009">
        <v>-3.8440599999999998E-2</v>
      </c>
      <c r="R1009">
        <v>-0.71788019999999997</v>
      </c>
      <c r="S1009">
        <v>1.211273</v>
      </c>
      <c r="T1009">
        <v>0.4975501</v>
      </c>
      <c r="U1009">
        <v>-3.061096</v>
      </c>
      <c r="V1009">
        <v>0.13046170000000001</v>
      </c>
      <c r="W1009">
        <v>-2.6221250000000002E-2</v>
      </c>
      <c r="X1009">
        <v>0.99110659999999895</v>
      </c>
      <c r="Y1009">
        <v>0.50062569999999995</v>
      </c>
      <c r="Z1009">
        <v>-6.1569909999999999E-2</v>
      </c>
      <c r="AA1009">
        <v>0.86347149999999995</v>
      </c>
      <c r="AB1009">
        <v>26</v>
      </c>
      <c r="AC1009">
        <v>5.1500000000004299E-2</v>
      </c>
      <c r="AD1009">
        <v>0.1069</v>
      </c>
      <c r="AE1009">
        <v>-0.47620000000000501</v>
      </c>
      <c r="AF1009">
        <v>0.32509652080955997</v>
      </c>
      <c r="AG1009">
        <v>0.1069</v>
      </c>
      <c r="AH1009">
        <v>0.32011972410137901</v>
      </c>
      <c r="AI1009">
        <v>76.813398252591497</v>
      </c>
      <c r="AJ1009">
        <v>44.558064766314203</v>
      </c>
      <c r="AK1009">
        <v>0.468606439991198</v>
      </c>
      <c r="AL1009">
        <v>91.502539095160301</v>
      </c>
      <c r="AM1009">
        <v>82.501134188084293</v>
      </c>
      <c r="AN1009">
        <v>1.0000000508410001</v>
      </c>
    </row>
    <row r="1010" spans="1:40" x14ac:dyDescent="0.25">
      <c r="A1010" t="str">
        <f>"20190312160930195"</f>
        <v>20190312160930195</v>
      </c>
      <c r="B1010" t="str">
        <f>"1552378170186159"</f>
        <v>1552378170186159</v>
      </c>
      <c r="C1010" t="s">
        <v>40</v>
      </c>
      <c r="D1010">
        <v>5.0261459999999998</v>
      </c>
      <c r="E1010">
        <v>0.66032230000000003</v>
      </c>
      <c r="F1010" t="s">
        <v>42</v>
      </c>
      <c r="G1010">
        <v>-194.541</v>
      </c>
      <c r="H1010">
        <v>1.1986810000000001</v>
      </c>
      <c r="I1010">
        <v>358.17329999999998</v>
      </c>
      <c r="J1010">
        <v>-194.58320000000001</v>
      </c>
      <c r="K1010">
        <v>1.0995520000000001</v>
      </c>
      <c r="L1010">
        <v>358.62240000000003</v>
      </c>
      <c r="M1010">
        <v>0.77469600000000005</v>
      </c>
      <c r="N1010">
        <v>0</v>
      </c>
      <c r="O1010">
        <v>-0.6321388</v>
      </c>
      <c r="P1010">
        <v>0.6843825</v>
      </c>
      <c r="Q1010">
        <v>-3.8438739999999999E-2</v>
      </c>
      <c r="R1010">
        <v>-0.72810929999999996</v>
      </c>
      <c r="S1010">
        <v>1.1620029999999999</v>
      </c>
      <c r="T1010">
        <v>0.4911025</v>
      </c>
      <c r="U1010">
        <v>-3.080139</v>
      </c>
      <c r="V1010">
        <v>0.1308279</v>
      </c>
      <c r="W1010">
        <v>-2.621824E-2</v>
      </c>
      <c r="X1010">
        <v>0.99105829999999995</v>
      </c>
      <c r="Y1010">
        <v>0.50202000000000002</v>
      </c>
      <c r="Z1010">
        <v>-6.2706339999999999E-2</v>
      </c>
      <c r="AA1010">
        <v>0.86257980000000001</v>
      </c>
      <c r="AB1010">
        <v>26</v>
      </c>
      <c r="AC1010">
        <v>4.2200000000008203E-2</v>
      </c>
      <c r="AD1010">
        <v>9.9128999999999801E-2</v>
      </c>
      <c r="AE1010">
        <v>-0.44910000000004402</v>
      </c>
      <c r="AF1010">
        <v>0.30647813580267602</v>
      </c>
      <c r="AG1010">
        <v>9.9128999999999801E-2</v>
      </c>
      <c r="AH1010">
        <v>0.30203798651714803</v>
      </c>
      <c r="AI1010">
        <v>77.026925272453994</v>
      </c>
      <c r="AJ1010">
        <v>44.581938275152602</v>
      </c>
      <c r="AK1010">
        <v>0.44156806006030003</v>
      </c>
      <c r="AL1010">
        <v>91.502366734965705</v>
      </c>
      <c r="AM1010">
        <v>82.479963479596293</v>
      </c>
      <c r="AN1010">
        <v>0.99999994476299703</v>
      </c>
    </row>
    <row r="1011" spans="1:40" x14ac:dyDescent="0.25">
      <c r="A1011" t="str">
        <f>"20190312160930217"</f>
        <v>20190312160930217</v>
      </c>
      <c r="B1011" t="str">
        <f>"1552378170205680"</f>
        <v>1552378170205680</v>
      </c>
      <c r="C1011" t="s">
        <v>40</v>
      </c>
      <c r="D1011">
        <v>5.0810810000000002</v>
      </c>
      <c r="E1011">
        <v>0.6582133</v>
      </c>
      <c r="F1011" t="s">
        <v>42</v>
      </c>
      <c r="G1011">
        <v>-194.36240000000001</v>
      </c>
      <c r="H1011">
        <v>1.190558</v>
      </c>
      <c r="I1011">
        <v>358.02350000000001</v>
      </c>
      <c r="J1011">
        <v>-194.4007</v>
      </c>
      <c r="K1011">
        <v>1.0994600000000001</v>
      </c>
      <c r="L1011">
        <v>358.45400000000001</v>
      </c>
      <c r="M1011">
        <v>0.76571820000000002</v>
      </c>
      <c r="N1011">
        <v>0</v>
      </c>
      <c r="O1011">
        <v>-0.64298369999999905</v>
      </c>
      <c r="P1011">
        <v>0.67389089999999996</v>
      </c>
      <c r="Q1011">
        <v>-3.8237239999999999E-2</v>
      </c>
      <c r="R1011">
        <v>-0.73784119999999997</v>
      </c>
      <c r="S1011">
        <v>1.13588</v>
      </c>
      <c r="T1011">
        <v>0.467526</v>
      </c>
      <c r="U1011">
        <v>-3.0773320000000002</v>
      </c>
      <c r="V1011">
        <v>0.1310674</v>
      </c>
      <c r="W1011">
        <v>-2.6011070000000001E-2</v>
      </c>
      <c r="X1011">
        <v>0.99103220000000003</v>
      </c>
      <c r="Y1011">
        <v>0.49606899999999998</v>
      </c>
      <c r="Z1011">
        <v>-6.2220280000000003E-2</v>
      </c>
      <c r="AA1011">
        <v>0.86605089999999996</v>
      </c>
      <c r="AB1011">
        <v>26</v>
      </c>
      <c r="AC1011">
        <v>3.8299999999992403E-2</v>
      </c>
      <c r="AD1011">
        <v>9.1097999999999901E-2</v>
      </c>
      <c r="AE1011">
        <v>-0.430499999999995</v>
      </c>
      <c r="AF1011">
        <v>0.29207705573932102</v>
      </c>
      <c r="AG1011">
        <v>9.1097999999999901E-2</v>
      </c>
      <c r="AH1011">
        <v>0.29314579358734899</v>
      </c>
      <c r="AI1011">
        <v>77.584850834710593</v>
      </c>
      <c r="AJ1011">
        <v>45.104633816153701</v>
      </c>
      <c r="AK1011">
        <v>0.423724330657689</v>
      </c>
      <c r="AL1011">
        <v>91.490492590585603</v>
      </c>
      <c r="AM1011">
        <v>82.466158783718598</v>
      </c>
      <c r="AN1011">
        <v>1.0000000302710701</v>
      </c>
    </row>
    <row r="1012" spans="1:40" x14ac:dyDescent="0.25">
      <c r="A1012" t="str">
        <f>"20190312160930231"</f>
        <v>20190312160930231</v>
      </c>
      <c r="B1012" t="str">
        <f>"1552378170226176"</f>
        <v>1552378170226176</v>
      </c>
      <c r="C1012" t="s">
        <v>40</v>
      </c>
      <c r="D1012">
        <v>6.0023669999999996</v>
      </c>
      <c r="E1012">
        <v>0.65578840000000005</v>
      </c>
      <c r="F1012" t="s">
        <v>42</v>
      </c>
      <c r="G1012">
        <v>-194.1902</v>
      </c>
      <c r="H1012">
        <v>1.1865559999999999</v>
      </c>
      <c r="I1012">
        <v>357.8664</v>
      </c>
      <c r="J1012">
        <v>-194.28790000000001</v>
      </c>
      <c r="K1012">
        <v>1.099407</v>
      </c>
      <c r="L1012">
        <v>358.34750000000003</v>
      </c>
      <c r="M1012">
        <v>0.75998060000000001</v>
      </c>
      <c r="N1012">
        <v>0</v>
      </c>
      <c r="O1012">
        <v>-0.64975439999999995</v>
      </c>
      <c r="P1012">
        <v>0.66734729999999998</v>
      </c>
      <c r="Q1012">
        <v>-3.8185570000000002E-2</v>
      </c>
      <c r="R1012">
        <v>-0.74376739999999997</v>
      </c>
      <c r="S1012">
        <v>1.103912</v>
      </c>
      <c r="T1012">
        <v>0.45663019999999999</v>
      </c>
      <c r="U1012">
        <v>-3.0812680000000001</v>
      </c>
      <c r="V1012">
        <v>0.13102559999999999</v>
      </c>
      <c r="W1012">
        <v>-2.5950299999999999E-2</v>
      </c>
      <c r="X1012">
        <v>0.99103929999999996</v>
      </c>
      <c r="Y1012">
        <v>0.49667689999999998</v>
      </c>
      <c r="Z1012">
        <v>-6.2029220000000003E-2</v>
      </c>
      <c r="AA1012">
        <v>0.86571609999999999</v>
      </c>
      <c r="AB1012">
        <v>26</v>
      </c>
      <c r="AC1012">
        <v>9.7700000000003201E-2</v>
      </c>
      <c r="AD1012">
        <v>8.7148999999999893E-2</v>
      </c>
      <c r="AE1012">
        <v>-0.48110000000002601</v>
      </c>
      <c r="AF1012">
        <v>0.29295118367620598</v>
      </c>
      <c r="AG1012">
        <v>8.7148999999999893E-2</v>
      </c>
      <c r="AH1012">
        <v>0.37507495622921999</v>
      </c>
      <c r="AI1012">
        <v>79.623179254705803</v>
      </c>
      <c r="AJ1012">
        <v>52.008489581752698</v>
      </c>
      <c r="AK1012">
        <v>0.48383526846297797</v>
      </c>
      <c r="AL1012">
        <v>91.487009580549994</v>
      </c>
      <c r="AM1012">
        <v>82.4685872270652</v>
      </c>
      <c r="AN1012">
        <v>1.00000001003497</v>
      </c>
    </row>
    <row r="1013" spans="1:40" x14ac:dyDescent="0.25">
      <c r="A1013" t="str">
        <f>"20190312160930242"</f>
        <v>20190312160930242</v>
      </c>
      <c r="B1013" t="str">
        <f>"1552378170235935"</f>
        <v>1552378170235935</v>
      </c>
      <c r="C1013" t="s">
        <v>40</v>
      </c>
      <c r="D1013">
        <v>4.3696489999999999</v>
      </c>
      <c r="E1013">
        <v>0.65501160000000003</v>
      </c>
      <c r="F1013" t="s">
        <v>42</v>
      </c>
      <c r="G1013">
        <v>-194.04920000000001</v>
      </c>
      <c r="H1013">
        <v>1.195821</v>
      </c>
      <c r="I1013">
        <v>357.67360000000002</v>
      </c>
      <c r="J1013">
        <v>-194.17699999999999</v>
      </c>
      <c r="K1013">
        <v>1.099353</v>
      </c>
      <c r="L1013">
        <v>358.24110000000002</v>
      </c>
      <c r="M1013">
        <v>0.75420520000000002</v>
      </c>
      <c r="N1013">
        <v>0</v>
      </c>
      <c r="O1013">
        <v>-0.65644859999999905</v>
      </c>
      <c r="P1013">
        <v>0.66066199999999997</v>
      </c>
      <c r="Q1013">
        <v>-3.7812699999999998E-2</v>
      </c>
      <c r="R1013">
        <v>-0.74973040000000002</v>
      </c>
      <c r="S1013">
        <v>1.090652</v>
      </c>
      <c r="T1013">
        <v>0.4401911</v>
      </c>
      <c r="U1013">
        <v>-3.0775450000000002</v>
      </c>
      <c r="V1013">
        <v>0.13115569999999999</v>
      </c>
      <c r="W1013">
        <v>-2.5573019999999998E-2</v>
      </c>
      <c r="X1013">
        <v>0.99103189999999997</v>
      </c>
      <c r="Y1013">
        <v>0.49200630000000001</v>
      </c>
      <c r="Z1013">
        <v>-6.1358969999999999E-2</v>
      </c>
      <c r="AA1013">
        <v>0.8684267</v>
      </c>
      <c r="AB1013">
        <v>26</v>
      </c>
      <c r="AC1013">
        <v>0.12780000000000699</v>
      </c>
      <c r="AD1013">
        <v>9.6467999999999998E-2</v>
      </c>
      <c r="AE1013">
        <v>-0.56749999999999501</v>
      </c>
      <c r="AF1013">
        <v>0.33494883572134199</v>
      </c>
      <c r="AG1013">
        <v>9.6467999999999998E-2</v>
      </c>
      <c r="AH1013">
        <v>0.45642828926914503</v>
      </c>
      <c r="AI1013">
        <v>80.329947947774002</v>
      </c>
      <c r="AJ1013">
        <v>53.727003459052703</v>
      </c>
      <c r="AK1013">
        <v>0.574302690939405</v>
      </c>
      <c r="AL1013">
        <v>91.465385849575</v>
      </c>
      <c r="AM1013">
        <v>82.461139344438706</v>
      </c>
      <c r="AN1013">
        <v>1.00000001190601</v>
      </c>
    </row>
    <row r="1014" spans="1:40" x14ac:dyDescent="0.25">
      <c r="A1014" t="str">
        <f>"20190312160930254"</f>
        <v>20190312160930254</v>
      </c>
      <c r="B1014" t="str">
        <f>"1552378170245696"</f>
        <v>1552378170245696</v>
      </c>
      <c r="C1014" t="s">
        <v>40</v>
      </c>
      <c r="D1014">
        <v>5.2359549999999997</v>
      </c>
      <c r="E1014">
        <v>0.65366009999999997</v>
      </c>
      <c r="F1014" t="s">
        <v>42</v>
      </c>
      <c r="G1014">
        <v>-193.9846</v>
      </c>
      <c r="H1014">
        <v>1.177926</v>
      </c>
      <c r="I1014">
        <v>357.68520000000001</v>
      </c>
      <c r="J1014">
        <v>-194.0745</v>
      </c>
      <c r="K1014">
        <v>1.0993109999999999</v>
      </c>
      <c r="L1014">
        <v>358.14019999999999</v>
      </c>
      <c r="M1014">
        <v>0.74869809999999903</v>
      </c>
      <c r="N1014">
        <v>0</v>
      </c>
      <c r="O1014">
        <v>-0.66272229999999999</v>
      </c>
      <c r="P1014">
        <v>0.65442929999999999</v>
      </c>
      <c r="Q1014">
        <v>-3.8143040000000003E-2</v>
      </c>
      <c r="R1014">
        <v>-0.75516099999999997</v>
      </c>
      <c r="S1014">
        <v>1.067383</v>
      </c>
      <c r="T1014">
        <v>0.43560989999999999</v>
      </c>
      <c r="U1014">
        <v>-3.0828250000000001</v>
      </c>
      <c r="V1014">
        <v>0.1310675</v>
      </c>
      <c r="W1014">
        <v>-2.5893289999999999E-2</v>
      </c>
      <c r="X1014">
        <v>0.99103520000000001</v>
      </c>
      <c r="Y1014">
        <v>0.4910718</v>
      </c>
      <c r="Z1014">
        <v>-6.185711E-2</v>
      </c>
      <c r="AA1014">
        <v>0.86892009999999897</v>
      </c>
      <c r="AB1014">
        <v>26</v>
      </c>
      <c r="AC1014">
        <v>8.9899999999999994E-2</v>
      </c>
      <c r="AD1014">
        <v>7.8614999999999796E-2</v>
      </c>
      <c r="AE1014">
        <v>-0.45499999999998397</v>
      </c>
      <c r="AF1014">
        <v>0.27326286998277399</v>
      </c>
      <c r="AG1014">
        <v>7.8614999999999796E-2</v>
      </c>
      <c r="AH1014">
        <v>0.35858999658987101</v>
      </c>
      <c r="AI1014">
        <v>80.108595531376096</v>
      </c>
      <c r="AJ1014">
        <v>52.690851342384697</v>
      </c>
      <c r="AK1014">
        <v>0.45764582374424301</v>
      </c>
      <c r="AL1014">
        <v>91.483742124722795</v>
      </c>
      <c r="AM1014">
        <v>82.466175645705903</v>
      </c>
      <c r="AN1014">
        <v>0.99999995983115597</v>
      </c>
    </row>
    <row r="1015" spans="1:40" x14ac:dyDescent="0.25">
      <c r="A1015" t="str">
        <f>"20190312160930267"</f>
        <v>20190312160930267</v>
      </c>
      <c r="B1015" t="str">
        <f>"1552378170256432"</f>
        <v>1552378170256432</v>
      </c>
      <c r="C1015" t="s">
        <v>40</v>
      </c>
      <c r="D1015">
        <v>4.0693070000000002</v>
      </c>
      <c r="E1015">
        <v>0.65316019999999997</v>
      </c>
      <c r="F1015" t="s">
        <v>42</v>
      </c>
      <c r="G1015">
        <v>-193.86670000000001</v>
      </c>
      <c r="H1015">
        <v>1.1840120000000001</v>
      </c>
      <c r="I1015">
        <v>357.53</v>
      </c>
      <c r="J1015">
        <v>-193.9709</v>
      </c>
      <c r="K1015">
        <v>1.0992630000000001</v>
      </c>
      <c r="L1015">
        <v>358.03710000000001</v>
      </c>
      <c r="M1015">
        <v>0.74302860000000004</v>
      </c>
      <c r="N1015">
        <v>0</v>
      </c>
      <c r="O1015">
        <v>-0.669072</v>
      </c>
      <c r="P1015">
        <v>0.64805599999999997</v>
      </c>
      <c r="Q1015">
        <v>-3.799313E-2</v>
      </c>
      <c r="R1015">
        <v>-0.7606446</v>
      </c>
      <c r="S1015">
        <v>1.0500179999999999</v>
      </c>
      <c r="T1015">
        <v>0.4281355</v>
      </c>
      <c r="U1015">
        <v>-3.084381</v>
      </c>
      <c r="V1015">
        <v>0.13097129999999901</v>
      </c>
      <c r="W1015">
        <v>-2.5732890000000001E-2</v>
      </c>
      <c r="X1015">
        <v>0.99105220000000005</v>
      </c>
      <c r="Y1015">
        <v>0.48819420000000002</v>
      </c>
      <c r="Z1015">
        <v>-6.2077590000000002E-2</v>
      </c>
      <c r="AA1015">
        <v>0.87052450000000003</v>
      </c>
      <c r="AB1015">
        <v>26</v>
      </c>
      <c r="AC1015">
        <v>0.10419999999999099</v>
      </c>
      <c r="AD1015">
        <v>8.4749000000000102E-2</v>
      </c>
      <c r="AE1015">
        <v>-0.50710000000003597</v>
      </c>
      <c r="AF1015">
        <v>0.29909555747918698</v>
      </c>
      <c r="AG1015">
        <v>8.4749000000000102E-2</v>
      </c>
      <c r="AH1015">
        <v>0.40588495190259799</v>
      </c>
      <c r="AI1015">
        <v>80.458256627485397</v>
      </c>
      <c r="AJ1015">
        <v>53.613595667102999</v>
      </c>
      <c r="AK1015">
        <v>0.51125643241504604</v>
      </c>
      <c r="AL1015">
        <v>91.4745486656862</v>
      </c>
      <c r="AM1015">
        <v>82.471769477648607</v>
      </c>
      <c r="AN1015">
        <v>1.0000000630881301</v>
      </c>
    </row>
    <row r="1016" spans="1:40" x14ac:dyDescent="0.25">
      <c r="A1016" t="str">
        <f>"20190312160930285"</f>
        <v>20190312160930285</v>
      </c>
      <c r="B1016" t="str">
        <f>"1552378170275951"</f>
        <v>1552378170275951</v>
      </c>
      <c r="C1016" t="s">
        <v>40</v>
      </c>
      <c r="D1016">
        <v>5.28939</v>
      </c>
      <c r="E1016">
        <v>0.691384</v>
      </c>
      <c r="F1016" t="s">
        <v>42</v>
      </c>
      <c r="G1016">
        <v>-193.73570000000001</v>
      </c>
      <c r="H1016">
        <v>1.197452</v>
      </c>
      <c r="I1016">
        <v>357.32940000000002</v>
      </c>
      <c r="J1016">
        <v>-193.8168</v>
      </c>
      <c r="K1016">
        <v>1.099194</v>
      </c>
      <c r="L1016">
        <v>357.88010000000003</v>
      </c>
      <c r="M1016">
        <v>0.73432839999999999</v>
      </c>
      <c r="N1016">
        <v>0</v>
      </c>
      <c r="O1016">
        <v>-0.67860869999999995</v>
      </c>
      <c r="P1016">
        <v>0.63819559999999997</v>
      </c>
      <c r="Q1016">
        <v>-3.8641729999999999E-2</v>
      </c>
      <c r="R1016">
        <v>-0.76890389999999997</v>
      </c>
      <c r="S1016">
        <v>1.02742</v>
      </c>
      <c r="T1016">
        <v>0.42870760000000002</v>
      </c>
      <c r="U1016">
        <v>-3.0899960000000002</v>
      </c>
      <c r="V1016">
        <v>0.13090950000000001</v>
      </c>
      <c r="W1016">
        <v>-2.636846E-2</v>
      </c>
      <c r="X1016">
        <v>0.99104360000000002</v>
      </c>
      <c r="Y1016">
        <v>0.48318440000000001</v>
      </c>
      <c r="Z1016">
        <v>-6.4028740000000001E-2</v>
      </c>
      <c r="AA1016">
        <v>0.87317420000000001</v>
      </c>
      <c r="AB1016">
        <v>26</v>
      </c>
      <c r="AC1016">
        <v>8.1099999999992095E-2</v>
      </c>
      <c r="AD1016">
        <v>9.8257999999999901E-2</v>
      </c>
      <c r="AE1016">
        <v>-0.55070000000000596</v>
      </c>
      <c r="AF1016">
        <v>0.33884533735788402</v>
      </c>
      <c r="AG1016">
        <v>9.8257999999999901E-2</v>
      </c>
      <c r="AH1016">
        <v>0.42022455404902698</v>
      </c>
      <c r="AI1016">
        <v>79.683950613879105</v>
      </c>
      <c r="AJ1016">
        <v>51.119257153924998</v>
      </c>
      <c r="AK1016">
        <v>0.54868886724525601</v>
      </c>
      <c r="AL1016">
        <v>91.510976593146694</v>
      </c>
      <c r="AM1016">
        <v>82.475216477840505</v>
      </c>
      <c r="AN1016">
        <v>1.0000000049869899</v>
      </c>
    </row>
    <row r="1017" spans="1:40" x14ac:dyDescent="0.25">
      <c r="A1017" t="str">
        <f>"20190312160930307"</f>
        <v>20190312160930307</v>
      </c>
      <c r="B1017" t="str">
        <f>"1552378170296448"</f>
        <v>1552378170296448</v>
      </c>
      <c r="C1017" t="s">
        <v>40</v>
      </c>
      <c r="D1017">
        <v>5.9090619999999996</v>
      </c>
      <c r="E1017">
        <v>0.70721420000000002</v>
      </c>
      <c r="F1017" t="s">
        <v>55</v>
      </c>
      <c r="G1017">
        <v>-159.72630000000001</v>
      </c>
      <c r="H1017">
        <v>30.440169999999998</v>
      </c>
      <c r="I1017">
        <v>209.3322</v>
      </c>
      <c r="J1017">
        <v>-193.6473</v>
      </c>
      <c r="K1017">
        <v>1.0991249999999999</v>
      </c>
      <c r="L1017">
        <v>357.70209999999997</v>
      </c>
      <c r="M1017">
        <v>0.72438169999999902</v>
      </c>
      <c r="N1017">
        <v>0</v>
      </c>
      <c r="O1017">
        <v>-0.68921549999999998</v>
      </c>
      <c r="P1017">
        <v>0.62676750000000003</v>
      </c>
      <c r="Q1017">
        <v>-3.9079940000000001E-2</v>
      </c>
      <c r="R1017">
        <v>-0.77822619999999998</v>
      </c>
      <c r="S1017">
        <v>0.75845340000000006</v>
      </c>
      <c r="T1017">
        <v>0.65278639999999999</v>
      </c>
      <c r="U1017">
        <v>-3.304932</v>
      </c>
      <c r="V1017">
        <v>0.13110649999999999</v>
      </c>
      <c r="W1017">
        <v>-2.6798499999999999E-2</v>
      </c>
      <c r="X1017">
        <v>0.99100600000000005</v>
      </c>
      <c r="Y1017">
        <v>0.55179659999999997</v>
      </c>
      <c r="Z1017">
        <v>-8.9497339999999995E-2</v>
      </c>
      <c r="AA1017">
        <v>0.82916270000000003</v>
      </c>
      <c r="AB1017">
        <v>26</v>
      </c>
      <c r="AC1017">
        <v>33.9209999999999</v>
      </c>
      <c r="AD1017">
        <v>29.341045000000001</v>
      </c>
      <c r="AE1017">
        <v>-148.36989999999901</v>
      </c>
      <c r="AF1017">
        <v>81.094346577456406</v>
      </c>
      <c r="AG1017">
        <v>29.341045000000001</v>
      </c>
      <c r="AH1017">
        <v>122.301329097343</v>
      </c>
      <c r="AI1017">
        <v>78.6930062833016</v>
      </c>
      <c r="AJ1017">
        <v>56.452834491900802</v>
      </c>
      <c r="AK1017">
        <v>149.64893941319201</v>
      </c>
      <c r="AL1017">
        <v>91.535624814770003</v>
      </c>
      <c r="AM1017">
        <v>82.463740170604197</v>
      </c>
      <c r="AN1017">
        <v>0.99999998299024895</v>
      </c>
    </row>
    <row r="1018" spans="1:40" x14ac:dyDescent="0.25">
      <c r="A1018" t="str">
        <f>"20190312160930319"</f>
        <v>20190312160930319</v>
      </c>
      <c r="B1018" t="str">
        <f>"1552378170315967"</f>
        <v>1552378170315967</v>
      </c>
      <c r="C1018" t="s">
        <v>40</v>
      </c>
      <c r="D1018">
        <v>5.4845379999999997</v>
      </c>
      <c r="E1018">
        <v>0.71069819999999995</v>
      </c>
      <c r="F1018" t="s">
        <v>55</v>
      </c>
      <c r="G1018">
        <v>-166.83369999999999</v>
      </c>
      <c r="H1018">
        <v>32.890419999999999</v>
      </c>
      <c r="I1018">
        <v>209.3338</v>
      </c>
      <c r="J1018">
        <v>-193.54</v>
      </c>
      <c r="K1018">
        <v>1.099086</v>
      </c>
      <c r="L1018">
        <v>357.58659999999998</v>
      </c>
      <c r="M1018">
        <v>0.71787699999999999</v>
      </c>
      <c r="N1018">
        <v>0</v>
      </c>
      <c r="O1018">
        <v>-0.69598749999999998</v>
      </c>
      <c r="P1018">
        <v>0.61929639999999997</v>
      </c>
      <c r="Q1018">
        <v>-3.905492E-2</v>
      </c>
      <c r="R1018">
        <v>-0.78418540000000003</v>
      </c>
      <c r="S1018">
        <v>0.61392209999999903</v>
      </c>
      <c r="T1018">
        <v>0.72789250000000005</v>
      </c>
      <c r="U1018">
        <v>-3.3970340000000001</v>
      </c>
      <c r="V1018">
        <v>0.13127649999999999</v>
      </c>
      <c r="W1018">
        <v>-2.6768630000000002E-2</v>
      </c>
      <c r="X1018">
        <v>0.99098430000000004</v>
      </c>
      <c r="Y1018">
        <v>0.58204419999999901</v>
      </c>
      <c r="Z1018">
        <v>-9.6564499999999998E-2</v>
      </c>
      <c r="AA1018">
        <v>0.80740310000000004</v>
      </c>
      <c r="AB1018">
        <v>26</v>
      </c>
      <c r="AC1018">
        <v>26.706299999999999</v>
      </c>
      <c r="AD1018">
        <v>31.791333999999999</v>
      </c>
      <c r="AE1018">
        <v>-148.25279999999901</v>
      </c>
      <c r="AF1018">
        <v>84.105203894991405</v>
      </c>
      <c r="AG1018">
        <v>31.791333999999999</v>
      </c>
      <c r="AH1018">
        <v>117.15163626481301</v>
      </c>
      <c r="AI1018">
        <v>77.568383014815197</v>
      </c>
      <c r="AJ1018">
        <v>54.324773991056396</v>
      </c>
      <c r="AK1018">
        <v>147.67829941884</v>
      </c>
      <c r="AL1018">
        <v>91.533912778791006</v>
      </c>
      <c r="AM1018">
        <v>82.453917438228402</v>
      </c>
      <c r="AN1018">
        <v>0.99999998092540798</v>
      </c>
    </row>
    <row r="1019" spans="1:40" x14ac:dyDescent="0.25">
      <c r="A1019" t="str">
        <f>"20190312160930334"</f>
        <v>20190312160930334</v>
      </c>
      <c r="B1019" t="str">
        <f>"1552378170326704"</f>
        <v>1552378170326704</v>
      </c>
      <c r="C1019" t="s">
        <v>40</v>
      </c>
      <c r="D1019">
        <v>6.1313430000000002</v>
      </c>
      <c r="E1019">
        <v>0.71104909999999999</v>
      </c>
      <c r="F1019" t="s">
        <v>42</v>
      </c>
      <c r="G1019">
        <v>-193.4393</v>
      </c>
      <c r="H1019">
        <v>1.235268</v>
      </c>
      <c r="I1019">
        <v>356.97070000000002</v>
      </c>
      <c r="J1019">
        <v>-193.43109999999999</v>
      </c>
      <c r="K1019">
        <v>1.0990519999999999</v>
      </c>
      <c r="L1019">
        <v>357.46690000000001</v>
      </c>
      <c r="M1019">
        <v>0.71110090000000004</v>
      </c>
      <c r="N1019">
        <v>0</v>
      </c>
      <c r="O1019">
        <v>-0.70290920000000001</v>
      </c>
      <c r="P1019">
        <v>0.61160619999999999</v>
      </c>
      <c r="Q1019">
        <v>-3.9181050000000002E-2</v>
      </c>
      <c r="R1019">
        <v>-0.79019200000000001</v>
      </c>
      <c r="S1019">
        <v>0.55992129999999996</v>
      </c>
      <c r="T1019">
        <v>0.75635419999999998</v>
      </c>
      <c r="U1019">
        <v>-3.4210509999999998</v>
      </c>
      <c r="V1019">
        <v>0.1313481</v>
      </c>
      <c r="W1019">
        <v>-2.688693E-2</v>
      </c>
      <c r="X1019">
        <v>0.99097159999999995</v>
      </c>
      <c r="Y1019">
        <v>0.58747419999999995</v>
      </c>
      <c r="Z1019">
        <v>-0.1011784</v>
      </c>
      <c r="AA1019">
        <v>0.80289290000000002</v>
      </c>
      <c r="AB1019">
        <v>26</v>
      </c>
      <c r="AC1019">
        <v>-8.2000000000164094E-3</v>
      </c>
      <c r="AD1019">
        <v>0.136215999999999</v>
      </c>
      <c r="AE1019">
        <v>-0.49619999999998698</v>
      </c>
      <c r="AF1019">
        <v>0.333529664841893</v>
      </c>
      <c r="AG1019">
        <v>0.136215999999999</v>
      </c>
      <c r="AH1019">
        <v>0.31896534235236002</v>
      </c>
      <c r="AI1019">
        <v>73.555498245144605</v>
      </c>
      <c r="AJ1019">
        <v>43.721314865534403</v>
      </c>
      <c r="AK1019">
        <v>0.48118159317195802</v>
      </c>
      <c r="AL1019">
        <v>91.540693325154194</v>
      </c>
      <c r="AM1019">
        <v>82.449753524927502</v>
      </c>
      <c r="AN1019">
        <v>0.99999997119249695</v>
      </c>
    </row>
    <row r="1020" spans="1:40" x14ac:dyDescent="0.25">
      <c r="A1020" t="str">
        <f>"20190312160930354"</f>
        <v>20190312160930354</v>
      </c>
      <c r="B1020" t="str">
        <f>"1552378170346225"</f>
        <v>1552378170346225</v>
      </c>
      <c r="C1020" t="s">
        <v>40</v>
      </c>
      <c r="D1020">
        <v>5.7910690000000002</v>
      </c>
      <c r="E1020">
        <v>0.71129409999999904</v>
      </c>
      <c r="F1020" t="s">
        <v>55</v>
      </c>
      <c r="G1020">
        <v>-168.42689999999999</v>
      </c>
      <c r="H1020">
        <v>37.111469999999997</v>
      </c>
      <c r="I1020">
        <v>193.9802</v>
      </c>
      <c r="J1020">
        <v>-193.27690000000001</v>
      </c>
      <c r="K1020">
        <v>1.099008</v>
      </c>
      <c r="L1020">
        <v>357.29360000000003</v>
      </c>
      <c r="M1020">
        <v>0.70122130000000005</v>
      </c>
      <c r="N1020">
        <v>0</v>
      </c>
      <c r="O1020">
        <v>-0.71276439999999996</v>
      </c>
      <c r="P1020">
        <v>0.60042890000000004</v>
      </c>
      <c r="Q1020">
        <v>-3.8977190000000002E-2</v>
      </c>
      <c r="R1020">
        <v>-0.79872790000000005</v>
      </c>
      <c r="S1020">
        <v>0.52432250000000002</v>
      </c>
      <c r="T1020">
        <v>0.75516049999999901</v>
      </c>
      <c r="U1020">
        <v>-3.428223</v>
      </c>
      <c r="V1020">
        <v>0.13146949999999999</v>
      </c>
      <c r="W1020">
        <v>-2.6672540000000002E-2</v>
      </c>
      <c r="X1020">
        <v>0.99096130000000004</v>
      </c>
      <c r="Y1020">
        <v>0.58469959999999999</v>
      </c>
      <c r="Z1020">
        <v>-0.10403709999999999</v>
      </c>
      <c r="AA1020">
        <v>0.80455120000000002</v>
      </c>
      <c r="AB1020">
        <v>26</v>
      </c>
      <c r="AC1020">
        <v>24.85</v>
      </c>
      <c r="AD1020">
        <v>36.012461999999999</v>
      </c>
      <c r="AE1020">
        <v>-163.3134</v>
      </c>
      <c r="AF1020">
        <v>92.426454012001003</v>
      </c>
      <c r="AG1020">
        <v>36.012461999999999</v>
      </c>
      <c r="AH1020">
        <v>127.773985469282</v>
      </c>
      <c r="AI1020">
        <v>77.1363680673022</v>
      </c>
      <c r="AJ1020">
        <v>54.119567416339102</v>
      </c>
      <c r="AK1020">
        <v>161.75827083410101</v>
      </c>
      <c r="AL1020">
        <v>91.528405268316305</v>
      </c>
      <c r="AM1020">
        <v>82.442778098657698</v>
      </c>
      <c r="AN1020">
        <v>0.99999997595899504</v>
      </c>
    </row>
    <row r="1021" spans="1:40" x14ac:dyDescent="0.25">
      <c r="A1021" t="str">
        <f>"20190312160930376"</f>
        <v>20190312160930376</v>
      </c>
      <c r="B1021" t="str">
        <f>"1552378170365745"</f>
        <v>1552378170365745</v>
      </c>
      <c r="C1021" t="s">
        <v>40</v>
      </c>
      <c r="D1021">
        <v>5.1626110000000001</v>
      </c>
      <c r="E1021">
        <v>0.71019140000000003</v>
      </c>
      <c r="F1021" t="s">
        <v>55</v>
      </c>
      <c r="G1021">
        <v>-169.4134</v>
      </c>
      <c r="H1021">
        <v>39.04448</v>
      </c>
      <c r="I1021">
        <v>184.4769</v>
      </c>
      <c r="J1021">
        <v>-193.102</v>
      </c>
      <c r="K1021">
        <v>1.0989640000000001</v>
      </c>
      <c r="L1021">
        <v>357.09070000000003</v>
      </c>
      <c r="M1021">
        <v>0.6895597</v>
      </c>
      <c r="N1021">
        <v>0</v>
      </c>
      <c r="O1021">
        <v>-0.72405180000000002</v>
      </c>
      <c r="P1021">
        <v>0.58778759999999997</v>
      </c>
      <c r="Q1021">
        <v>-3.8602070000000002E-2</v>
      </c>
      <c r="R1021">
        <v>-0.80809399999999998</v>
      </c>
      <c r="S1021">
        <v>0.474472</v>
      </c>
      <c r="T1021">
        <v>0.75445869999999904</v>
      </c>
      <c r="U1021">
        <v>-3.4360659999999998</v>
      </c>
      <c r="V1021">
        <v>0.13099749999999999</v>
      </c>
      <c r="W1021">
        <v>-2.6267599999999999E-2</v>
      </c>
      <c r="X1021">
        <v>0.99103459999999999</v>
      </c>
      <c r="Y1021">
        <v>0.58334710000000001</v>
      </c>
      <c r="Z1021">
        <v>-0.1072515</v>
      </c>
      <c r="AA1021">
        <v>0.80511080000000002</v>
      </c>
      <c r="AB1021">
        <v>26</v>
      </c>
      <c r="AC1021">
        <v>23.688600000000001</v>
      </c>
      <c r="AD1021">
        <v>37.945515999999998</v>
      </c>
      <c r="AE1021">
        <v>-172.6138</v>
      </c>
      <c r="AF1021">
        <v>97.274916263526904</v>
      </c>
      <c r="AG1021">
        <v>37.945515999999998</v>
      </c>
      <c r="AH1021">
        <v>134.93403549308499</v>
      </c>
      <c r="AI1021">
        <v>77.149706482669501</v>
      </c>
      <c r="AJ1021">
        <v>54.211895306209399</v>
      </c>
      <c r="AK1021">
        <v>170.614962570789</v>
      </c>
      <c r="AL1021">
        <v>91.505195813579803</v>
      </c>
      <c r="AM1021">
        <v>82.470148592176201</v>
      </c>
      <c r="AN1021">
        <v>0.99999995510658302</v>
      </c>
    </row>
    <row r="1022" spans="1:40" x14ac:dyDescent="0.25">
      <c r="A1022" t="str">
        <f>"20190312160930397"</f>
        <v>20190312160930397</v>
      </c>
      <c r="B1022" t="str">
        <f>"1552378170386240"</f>
        <v>1552378170386240</v>
      </c>
      <c r="C1022" t="s">
        <v>40</v>
      </c>
      <c r="D1022">
        <v>5.9524629999999998</v>
      </c>
      <c r="E1022">
        <v>0.70738109999999998</v>
      </c>
      <c r="F1022" t="s">
        <v>42</v>
      </c>
      <c r="G1022">
        <v>-193.01859999999999</v>
      </c>
      <c r="H1022">
        <v>1.244415</v>
      </c>
      <c r="I1022">
        <v>356.41899999999998</v>
      </c>
      <c r="J1022">
        <v>-192.94110000000001</v>
      </c>
      <c r="K1022">
        <v>1.0989329999999999</v>
      </c>
      <c r="L1022">
        <v>356.89780000000002</v>
      </c>
      <c r="M1022">
        <v>0.67838999999999905</v>
      </c>
      <c r="N1022">
        <v>0</v>
      </c>
      <c r="O1022">
        <v>-0.73452700000000004</v>
      </c>
      <c r="P1022">
        <v>0.57571830000000002</v>
      </c>
      <c r="Q1022">
        <v>-3.8258729999999998E-2</v>
      </c>
      <c r="R1022">
        <v>-0.816752699999999</v>
      </c>
      <c r="S1022">
        <v>0.4269714</v>
      </c>
      <c r="T1022">
        <v>0.7444482</v>
      </c>
      <c r="U1022">
        <v>-3.4375</v>
      </c>
      <c r="V1022">
        <v>0.13056119999999999</v>
      </c>
      <c r="W1022">
        <v>-2.589617E-2</v>
      </c>
      <c r="X1022">
        <v>0.99110200000000004</v>
      </c>
      <c r="Y1022">
        <v>0.58200499999999999</v>
      </c>
      <c r="Z1022">
        <v>-0.1090951</v>
      </c>
      <c r="AA1022">
        <v>0.80583400000000005</v>
      </c>
      <c r="AB1022">
        <v>26</v>
      </c>
      <c r="AC1022">
        <v>-7.7499999999986302E-2</v>
      </c>
      <c r="AD1022">
        <v>0.145482</v>
      </c>
      <c r="AE1022">
        <v>-0.47879999999997802</v>
      </c>
      <c r="AF1022">
        <v>0.35027519850012301</v>
      </c>
      <c r="AG1022">
        <v>0.145482</v>
      </c>
      <c r="AH1022">
        <v>0.27446247112984401</v>
      </c>
      <c r="AI1022">
        <v>71.895981111838907</v>
      </c>
      <c r="AJ1022">
        <v>38.080914210571002</v>
      </c>
      <c r="AK1022">
        <v>0.46817451347441102</v>
      </c>
      <c r="AL1022">
        <v>91.483907122679994</v>
      </c>
      <c r="AM1022">
        <v>82.495445711482105</v>
      </c>
      <c r="AN1022">
        <v>1.0000000064850501</v>
      </c>
    </row>
    <row r="1023" spans="1:40" x14ac:dyDescent="0.25">
      <c r="A1023" t="str">
        <f>"20190312160930419"</f>
        <v>20190312160930419</v>
      </c>
      <c r="B1023" t="str">
        <f>"1552378170416496"</f>
        <v>1552378170416496</v>
      </c>
      <c r="C1023" t="s">
        <v>40</v>
      </c>
      <c r="D1023">
        <v>5.0736059999999998</v>
      </c>
      <c r="E1023">
        <v>0.70334269999999999</v>
      </c>
      <c r="F1023" t="s">
        <v>42</v>
      </c>
      <c r="G1023">
        <v>-192.86670000000001</v>
      </c>
      <c r="H1023">
        <v>1.2377020000000001</v>
      </c>
      <c r="I1023">
        <v>356.24829999999997</v>
      </c>
      <c r="J1023">
        <v>-192.7824</v>
      </c>
      <c r="K1023">
        <v>1.0989059999999999</v>
      </c>
      <c r="L1023">
        <v>356.70150000000001</v>
      </c>
      <c r="M1023">
        <v>0.66693279999999999</v>
      </c>
      <c r="N1023">
        <v>0</v>
      </c>
      <c r="O1023">
        <v>-0.74494479999999996</v>
      </c>
      <c r="P1023">
        <v>0.56319140000000001</v>
      </c>
      <c r="Q1023">
        <v>-3.8198040000000003E-2</v>
      </c>
      <c r="R1023">
        <v>-0.82544329999999999</v>
      </c>
      <c r="S1023">
        <v>0.39390560000000002</v>
      </c>
      <c r="T1023">
        <v>0.73270089999999999</v>
      </c>
      <c r="U1023">
        <v>-3.4297789999999999</v>
      </c>
      <c r="V1023">
        <v>0.1303339</v>
      </c>
      <c r="W1023">
        <v>-2.581352E-2</v>
      </c>
      <c r="X1023">
        <v>0.99113399999999996</v>
      </c>
      <c r="Y1023">
        <v>0.57697830000000006</v>
      </c>
      <c r="Z1023">
        <v>-0.111169</v>
      </c>
      <c r="AA1023">
        <v>0.8091585</v>
      </c>
      <c r="AB1023">
        <v>26</v>
      </c>
      <c r="AC1023">
        <v>-8.4300000000013101E-2</v>
      </c>
      <c r="AD1023">
        <v>0.138796</v>
      </c>
      <c r="AE1023">
        <v>-0.45320000000003802</v>
      </c>
      <c r="AF1023">
        <v>0.334752218342379</v>
      </c>
      <c r="AG1023">
        <v>0.138796</v>
      </c>
      <c r="AH1023">
        <v>0.258030546346389</v>
      </c>
      <c r="AI1023">
        <v>71.8203715177916</v>
      </c>
      <c r="AJ1023">
        <v>37.625415301805099</v>
      </c>
      <c r="AK1023">
        <v>0.444863057748068</v>
      </c>
      <c r="AL1023">
        <v>91.479170149272406</v>
      </c>
      <c r="AM1023">
        <v>82.508601335044304</v>
      </c>
      <c r="AN1023">
        <v>0.99999993462999803</v>
      </c>
    </row>
    <row r="1024" spans="1:40" x14ac:dyDescent="0.25">
      <c r="A1024" t="str">
        <f>"20190312160930441"</f>
        <v>20190312160930441</v>
      </c>
      <c r="B1024" t="str">
        <f>"1552378170436016"</f>
        <v>1552378170436016</v>
      </c>
      <c r="C1024" t="s">
        <v>40</v>
      </c>
      <c r="D1024">
        <v>4.800935</v>
      </c>
      <c r="E1024">
        <v>0.70097790000000004</v>
      </c>
      <c r="F1024" t="s">
        <v>42</v>
      </c>
      <c r="G1024">
        <v>-192.71510000000001</v>
      </c>
      <c r="H1024">
        <v>1.2293289999999999</v>
      </c>
      <c r="I1024">
        <v>356.07749999999999</v>
      </c>
      <c r="J1024">
        <v>-192.62039999999999</v>
      </c>
      <c r="K1024">
        <v>1.098875</v>
      </c>
      <c r="L1024">
        <v>356.49430000000001</v>
      </c>
      <c r="M1024">
        <v>0.65475680000000003</v>
      </c>
      <c r="N1024">
        <v>0</v>
      </c>
      <c r="O1024">
        <v>-0.75566829999999996</v>
      </c>
      <c r="P1024">
        <v>0.55003630000000003</v>
      </c>
      <c r="Q1024">
        <v>-3.8525619999999997E-2</v>
      </c>
      <c r="R1024">
        <v>-0.83425179999999999</v>
      </c>
      <c r="S1024">
        <v>0.36833189999999999</v>
      </c>
      <c r="T1024">
        <v>0.71408579999999999</v>
      </c>
      <c r="U1024">
        <v>-3.4161990000000002</v>
      </c>
      <c r="V1024">
        <v>0.12994240000000001</v>
      </c>
      <c r="W1024">
        <v>-2.611457E-2</v>
      </c>
      <c r="X1024">
        <v>0.99117759999999999</v>
      </c>
      <c r="Y1024">
        <v>0.56948169999999898</v>
      </c>
      <c r="Z1024">
        <v>-0.112567</v>
      </c>
      <c r="AA1024">
        <v>0.81425990000000004</v>
      </c>
      <c r="AB1024">
        <v>26</v>
      </c>
      <c r="AC1024">
        <v>-9.4700000000017298E-2</v>
      </c>
      <c r="AD1024">
        <v>0.13045399999999999</v>
      </c>
      <c r="AE1024">
        <v>-0.41680000000002299</v>
      </c>
      <c r="AF1024">
        <v>0.315151556260717</v>
      </c>
      <c r="AG1024">
        <v>0.13045399999999999</v>
      </c>
      <c r="AH1024">
        <v>0.23143120682656099</v>
      </c>
      <c r="AI1024">
        <v>71.549133547367902</v>
      </c>
      <c r="AJ1024">
        <v>36.291659190119297</v>
      </c>
      <c r="AK1024">
        <v>0.41218824949621102</v>
      </c>
      <c r="AL1024">
        <v>91.496424739432996</v>
      </c>
      <c r="AM1024">
        <v>82.531174562958796</v>
      </c>
      <c r="AN1024">
        <v>1.0000000164128999</v>
      </c>
    </row>
    <row r="1025" spans="1:40" x14ac:dyDescent="0.25">
      <c r="A1025" t="str">
        <f>"20190312160930465"</f>
        <v>20190312160930465</v>
      </c>
      <c r="B1025" t="str">
        <f>"1552378170456517"</f>
        <v>1552378170456517</v>
      </c>
      <c r="C1025" t="s">
        <v>40</v>
      </c>
      <c r="D1025">
        <v>5.0371519999999999</v>
      </c>
      <c r="E1025">
        <v>0.69892119999999902</v>
      </c>
      <c r="F1025" t="s">
        <v>42</v>
      </c>
      <c r="G1025">
        <v>-192.56379999999999</v>
      </c>
      <c r="H1025">
        <v>1.2193400000000001</v>
      </c>
      <c r="I1025">
        <v>355.9067</v>
      </c>
      <c r="J1025">
        <v>-192.45869999999999</v>
      </c>
      <c r="K1025">
        <v>1.098846</v>
      </c>
      <c r="L1025">
        <v>356.2801</v>
      </c>
      <c r="M1025">
        <v>0.64208350000000003</v>
      </c>
      <c r="N1025">
        <v>0</v>
      </c>
      <c r="O1025">
        <v>-0.76646539999999996</v>
      </c>
      <c r="P1025">
        <v>0.53637559999999995</v>
      </c>
      <c r="Q1025">
        <v>-3.8304770000000002E-2</v>
      </c>
      <c r="R1025">
        <v>-0.84310959999999902</v>
      </c>
      <c r="S1025">
        <v>0.32962039999999998</v>
      </c>
      <c r="T1025">
        <v>0.69922150000000005</v>
      </c>
      <c r="U1025">
        <v>-3.4110109999999998</v>
      </c>
      <c r="V1025">
        <v>0.12959389999999901</v>
      </c>
      <c r="W1025">
        <v>-2.586857E-2</v>
      </c>
      <c r="X1025">
        <v>0.99122969999999999</v>
      </c>
      <c r="Y1025">
        <v>0.56492249999999999</v>
      </c>
      <c r="Z1025">
        <v>-0.11391320000000001</v>
      </c>
      <c r="AA1025">
        <v>0.81724319999999995</v>
      </c>
      <c r="AB1025">
        <v>25</v>
      </c>
      <c r="AC1025">
        <v>-0.105099999999993</v>
      </c>
      <c r="AD1025">
        <v>0.120493999999999</v>
      </c>
      <c r="AE1025">
        <v>-0.37340000000000301</v>
      </c>
      <c r="AF1025">
        <v>0.292161196632228</v>
      </c>
      <c r="AG1025">
        <v>0.120493999999999</v>
      </c>
      <c r="AH1025">
        <v>0.19949485538046099</v>
      </c>
      <c r="AI1025">
        <v>71.191386186200702</v>
      </c>
      <c r="AJ1025">
        <v>34.326223053720298</v>
      </c>
      <c r="AK1025">
        <v>0.37373140913876501</v>
      </c>
      <c r="AL1025">
        <v>91.4823251795479</v>
      </c>
      <c r="AM1025">
        <v>82.551367513689897</v>
      </c>
      <c r="AN1025">
        <v>1.0000000399965701</v>
      </c>
    </row>
    <row r="1026" spans="1:40" x14ac:dyDescent="0.25">
      <c r="A1026" t="str">
        <f>"20190312160930477"</f>
        <v>20190312160930477</v>
      </c>
      <c r="B1026" t="str">
        <f>"1552378170466272"</f>
        <v>1552378170466272</v>
      </c>
      <c r="C1026" t="s">
        <v>40</v>
      </c>
      <c r="D1026">
        <v>5.9340729999999997</v>
      </c>
      <c r="E1026">
        <v>0.6977544</v>
      </c>
      <c r="F1026" t="s">
        <v>56</v>
      </c>
      <c r="G1026">
        <v>-169.49860000000001</v>
      </c>
      <c r="H1026">
        <v>55.956420000000001</v>
      </c>
      <c r="I1026">
        <v>83.584429999999998</v>
      </c>
      <c r="J1026">
        <v>-192.36959999999999</v>
      </c>
      <c r="K1026">
        <v>1.098835</v>
      </c>
      <c r="L1026">
        <v>356.15809999999999</v>
      </c>
      <c r="M1026">
        <v>0.6348376</v>
      </c>
      <c r="N1026">
        <v>0</v>
      </c>
      <c r="O1026">
        <v>-0.77247710000000003</v>
      </c>
      <c r="P1026">
        <v>0.52860240000000003</v>
      </c>
      <c r="Q1026">
        <v>-3.8160569999999998E-2</v>
      </c>
      <c r="R1026">
        <v>-0.84801159999999998</v>
      </c>
      <c r="S1026">
        <v>0.28684999999999999</v>
      </c>
      <c r="T1026">
        <v>0.68535669999999904</v>
      </c>
      <c r="U1026">
        <v>-3.4068909999999999</v>
      </c>
      <c r="V1026">
        <v>0.12938039999999901</v>
      </c>
      <c r="W1026">
        <v>-2.570975E-2</v>
      </c>
      <c r="X1026">
        <v>0.99126170000000002</v>
      </c>
      <c r="Y1026">
        <v>0.567272</v>
      </c>
      <c r="Z1026">
        <v>-0.1133984</v>
      </c>
      <c r="AA1026">
        <v>0.81568569999999996</v>
      </c>
      <c r="AB1026">
        <v>25</v>
      </c>
      <c r="AC1026">
        <v>22.870999999999899</v>
      </c>
      <c r="AD1026">
        <v>54.857584999999901</v>
      </c>
      <c r="AE1026">
        <v>-272.57366999999999</v>
      </c>
      <c r="AF1026">
        <v>149.384448679478</v>
      </c>
      <c r="AG1026">
        <v>54.857584999999901</v>
      </c>
      <c r="AH1026">
        <v>216.40159006005601</v>
      </c>
      <c r="AI1026">
        <v>78.215991050554607</v>
      </c>
      <c r="AJ1026">
        <v>55.382245455158298</v>
      </c>
      <c r="AK1026">
        <v>268.61629943066401</v>
      </c>
      <c r="AL1026">
        <v>91.473222468316706</v>
      </c>
      <c r="AM1026">
        <v>82.563738711783998</v>
      </c>
      <c r="AN1026">
        <v>1.00000001851805</v>
      </c>
    </row>
    <row r="1027" spans="1:40" x14ac:dyDescent="0.25">
      <c r="A1027" t="str">
        <f>"20190312160930497"</f>
        <v>20190312160930497</v>
      </c>
      <c r="B1027" t="str">
        <f>"1552378170485791"</f>
        <v>1552378170485791</v>
      </c>
      <c r="C1027" t="s">
        <v>40</v>
      </c>
      <c r="D1027">
        <v>5.4073409999999997</v>
      </c>
      <c r="E1027">
        <v>0.69639399999999996</v>
      </c>
      <c r="F1027" t="s">
        <v>42</v>
      </c>
      <c r="G1027">
        <v>-192.3202</v>
      </c>
      <c r="H1027">
        <v>1.2268239999999999</v>
      </c>
      <c r="I1027">
        <v>355.51609999999999</v>
      </c>
      <c r="J1027">
        <v>-192.23560000000001</v>
      </c>
      <c r="K1027">
        <v>1.09881299999999</v>
      </c>
      <c r="L1027">
        <v>355.97070000000002</v>
      </c>
      <c r="M1027">
        <v>0.62363930000000001</v>
      </c>
      <c r="N1027">
        <v>0</v>
      </c>
      <c r="O1027">
        <v>-0.78154559999999995</v>
      </c>
      <c r="P1027">
        <v>0.51662159999999901</v>
      </c>
      <c r="Q1027">
        <v>-3.7543100000000003E-2</v>
      </c>
      <c r="R1027">
        <v>-0.85539069999999995</v>
      </c>
      <c r="S1027">
        <v>0.26329039999999998</v>
      </c>
      <c r="T1027">
        <v>0.67849910000000002</v>
      </c>
      <c r="U1027">
        <v>-3.4041440000000001</v>
      </c>
      <c r="V1027">
        <v>0.1290724</v>
      </c>
      <c r="W1027">
        <v>-2.5070140000000001E-2</v>
      </c>
      <c r="X1027">
        <v>0.99131820000000004</v>
      </c>
      <c r="Y1027">
        <v>0.56104089999999995</v>
      </c>
      <c r="Z1027">
        <v>-0.1153872</v>
      </c>
      <c r="AA1027">
        <v>0.81970659999999895</v>
      </c>
      <c r="AB1027">
        <v>25</v>
      </c>
      <c r="AC1027">
        <v>-8.4599999999994596E-2</v>
      </c>
      <c r="AD1027">
        <v>0.12801100000000001</v>
      </c>
      <c r="AE1027">
        <v>-0.45460000000002698</v>
      </c>
      <c r="AF1027">
        <v>0.324779931017871</v>
      </c>
      <c r="AG1027">
        <v>0.12801100000000001</v>
      </c>
      <c r="AH1027">
        <v>0.28103214273794602</v>
      </c>
      <c r="AI1027">
        <v>73.403102732222095</v>
      </c>
      <c r="AJ1027">
        <v>40.869642981642698</v>
      </c>
      <c r="AK1027">
        <v>0.448160557127526</v>
      </c>
      <c r="AL1027">
        <v>91.436563745056304</v>
      </c>
      <c r="AM1027">
        <v>82.581661994239596</v>
      </c>
      <c r="AN1027">
        <v>0.99999998500630904</v>
      </c>
    </row>
    <row r="1028" spans="1:40" x14ac:dyDescent="0.25">
      <c r="A1028" t="str">
        <f>"20190312160930512"</f>
        <v>20190312160930512</v>
      </c>
      <c r="B1028" t="str">
        <f>"1552378170506288"</f>
        <v>1552378170506288</v>
      </c>
      <c r="C1028" t="s">
        <v>40</v>
      </c>
      <c r="D1028">
        <v>5.1808489999999896</v>
      </c>
      <c r="E1028">
        <v>0.66270609999999996</v>
      </c>
      <c r="F1028" t="s">
        <v>42</v>
      </c>
      <c r="G1028">
        <v>-192.19319999999999</v>
      </c>
      <c r="H1028">
        <v>1.226345</v>
      </c>
      <c r="I1028">
        <v>355.32690000000002</v>
      </c>
      <c r="J1028">
        <v>-192.1413</v>
      </c>
      <c r="K1028">
        <v>1.0988020000000001</v>
      </c>
      <c r="L1028">
        <v>355.83519999999999</v>
      </c>
      <c r="M1028">
        <v>0.6155098</v>
      </c>
      <c r="N1028">
        <v>0</v>
      </c>
      <c r="O1028">
        <v>-0.78796369999999905</v>
      </c>
      <c r="P1028">
        <v>0.50775749999999997</v>
      </c>
      <c r="Q1028">
        <v>-3.731433E-2</v>
      </c>
      <c r="R1028">
        <v>-0.86069169999999995</v>
      </c>
      <c r="S1028">
        <v>0.22451779999999999</v>
      </c>
      <c r="T1028">
        <v>0.67356850000000001</v>
      </c>
      <c r="U1028">
        <v>-3.4010929999999999</v>
      </c>
      <c r="V1028">
        <v>0.12905619999999901</v>
      </c>
      <c r="W1028">
        <v>-2.4831929999999999E-2</v>
      </c>
      <c r="X1028">
        <v>0.99132629999999999</v>
      </c>
      <c r="Y1028">
        <v>0.5617413</v>
      </c>
      <c r="Z1028">
        <v>-0.1164289</v>
      </c>
      <c r="AA1028">
        <v>0.81907940000000001</v>
      </c>
      <c r="AB1028">
        <v>25</v>
      </c>
      <c r="AC1028">
        <v>-5.1899999999989101E-2</v>
      </c>
      <c r="AD1028">
        <v>0.12754299999999899</v>
      </c>
      <c r="AE1028">
        <v>-0.508299999999962</v>
      </c>
      <c r="AF1028">
        <v>0.33305210052191397</v>
      </c>
      <c r="AG1028">
        <v>0.12754299999999899</v>
      </c>
      <c r="AH1028">
        <v>0.34700278725425798</v>
      </c>
      <c r="AI1028">
        <v>75.148282927466795</v>
      </c>
      <c r="AJ1028">
        <v>46.175204221485103</v>
      </c>
      <c r="AK1028">
        <v>0.49759607401313299</v>
      </c>
      <c r="AL1028">
        <v>91.422911073467901</v>
      </c>
      <c r="AM1028">
        <v>82.582642640007293</v>
      </c>
      <c r="AN1028">
        <v>0.99999998028882697</v>
      </c>
    </row>
    <row r="1029" spans="1:40" x14ac:dyDescent="0.25">
      <c r="A1029" t="str">
        <f>"20190312160930531"</f>
        <v>20190312160930531</v>
      </c>
      <c r="B1029" t="str">
        <f>"1552378170525808"</f>
        <v>1552378170525808</v>
      </c>
      <c r="C1029" t="s">
        <v>40</v>
      </c>
      <c r="D1029">
        <v>5.3434609999999996</v>
      </c>
      <c r="E1029">
        <v>0.66138430000000004</v>
      </c>
      <c r="F1029" t="s">
        <v>42</v>
      </c>
      <c r="G1029">
        <v>-192.05369999999999</v>
      </c>
      <c r="H1029">
        <v>1.2012640000000001</v>
      </c>
      <c r="I1029">
        <v>355.14850000000001</v>
      </c>
      <c r="J1029">
        <v>-192.01079999999999</v>
      </c>
      <c r="K1029">
        <v>1.0987899999999999</v>
      </c>
      <c r="L1029">
        <v>355.64249999999998</v>
      </c>
      <c r="M1029">
        <v>0.60390059999999901</v>
      </c>
      <c r="N1029">
        <v>0</v>
      </c>
      <c r="O1029">
        <v>-0.79689519999999903</v>
      </c>
      <c r="P1029">
        <v>0.49544129999999997</v>
      </c>
      <c r="Q1029">
        <v>-3.7688810000000003E-2</v>
      </c>
      <c r="R1029">
        <v>-0.86782309999999996</v>
      </c>
      <c r="S1029">
        <v>0.41696169999999999</v>
      </c>
      <c r="T1029">
        <v>0.48639110000000002</v>
      </c>
      <c r="U1029">
        <v>-3.2606809999999999</v>
      </c>
      <c r="V1029">
        <v>0.12864020000000001</v>
      </c>
      <c r="W1029">
        <v>-2.518252E-2</v>
      </c>
      <c r="X1029">
        <v>0.99137160000000002</v>
      </c>
      <c r="Y1029">
        <v>0.4981952</v>
      </c>
      <c r="Z1029">
        <v>-9.3214580000000005E-2</v>
      </c>
      <c r="AA1029">
        <v>0.86203980000000002</v>
      </c>
      <c r="AB1029">
        <v>25</v>
      </c>
      <c r="AC1029">
        <v>-4.2900000000002998E-2</v>
      </c>
      <c r="AD1029">
        <v>0.102473999999999</v>
      </c>
      <c r="AE1029">
        <v>-0.49399999999997102</v>
      </c>
      <c r="AF1029">
        <v>0.318936121841016</v>
      </c>
      <c r="AG1029">
        <v>0.102473999999999</v>
      </c>
      <c r="AH1029">
        <v>0.35274214252159403</v>
      </c>
      <c r="AI1029">
        <v>77.839535410501597</v>
      </c>
      <c r="AJ1029">
        <v>47.881303969517703</v>
      </c>
      <c r="AK1029">
        <v>0.48646499319243097</v>
      </c>
      <c r="AL1029">
        <v>91.443004577589704</v>
      </c>
      <c r="AM1029">
        <v>82.6066209071505</v>
      </c>
      <c r="AN1029">
        <v>1.0000000548280701</v>
      </c>
    </row>
    <row r="1030" spans="1:40" x14ac:dyDescent="0.25">
      <c r="A1030" t="str">
        <f>"20190312160930556"</f>
        <v>20190312160930556</v>
      </c>
      <c r="B1030" t="str">
        <f>"1552378170546305"</f>
        <v>1552378170546305</v>
      </c>
      <c r="C1030" t="s">
        <v>40</v>
      </c>
      <c r="D1030">
        <v>5.2304849999999998</v>
      </c>
      <c r="E1030">
        <v>0.65905749999999996</v>
      </c>
      <c r="F1030" t="s">
        <v>42</v>
      </c>
      <c r="G1030">
        <v>-191.93109999999999</v>
      </c>
      <c r="H1030">
        <v>1.199022</v>
      </c>
      <c r="I1030">
        <v>354.95699999999999</v>
      </c>
      <c r="J1030">
        <v>-191.86160000000001</v>
      </c>
      <c r="K1030">
        <v>1.098789</v>
      </c>
      <c r="L1030">
        <v>355.4144</v>
      </c>
      <c r="M1030">
        <v>0.59008430000000001</v>
      </c>
      <c r="N1030">
        <v>0</v>
      </c>
      <c r="O1030">
        <v>-0.80717930000000004</v>
      </c>
      <c r="P1030">
        <v>0.48078300000000002</v>
      </c>
      <c r="Q1030">
        <v>-3.7278800000000001E-2</v>
      </c>
      <c r="R1030">
        <v>-0.87604709999999997</v>
      </c>
      <c r="S1030">
        <v>0.37966919999999998</v>
      </c>
      <c r="T1030">
        <v>0.47669729999999999</v>
      </c>
      <c r="U1030">
        <v>-3.2608640000000002</v>
      </c>
      <c r="V1030">
        <v>0.1282508</v>
      </c>
      <c r="W1030">
        <v>-2.4746890000000001E-2</v>
      </c>
      <c r="X1030">
        <v>0.99143300000000001</v>
      </c>
      <c r="Y1030">
        <v>0.4930097</v>
      </c>
      <c r="Z1030">
        <v>-9.3781909999999996E-2</v>
      </c>
      <c r="AA1030">
        <v>0.86495460000000002</v>
      </c>
      <c r="AB1030">
        <v>25</v>
      </c>
      <c r="AC1030">
        <v>-6.9499999999976497E-2</v>
      </c>
      <c r="AD1030">
        <v>0.100233</v>
      </c>
      <c r="AE1030">
        <v>-0.45740000000000602</v>
      </c>
      <c r="AF1030">
        <v>0.31142868802157198</v>
      </c>
      <c r="AG1030">
        <v>0.100233</v>
      </c>
      <c r="AH1030">
        <v>0.31352023655476102</v>
      </c>
      <c r="AI1030">
        <v>77.220474997580695</v>
      </c>
      <c r="AJ1030">
        <v>45.191754000156003</v>
      </c>
      <c r="AK1030">
        <v>0.45313289523184203</v>
      </c>
      <c r="AL1030">
        <v>91.418037065074898</v>
      </c>
      <c r="AM1030">
        <v>82.629206002338805</v>
      </c>
      <c r="AN1030">
        <v>1.0000000348771501</v>
      </c>
    </row>
    <row r="1031" spans="1:40" x14ac:dyDescent="0.25">
      <c r="A1031" t="str">
        <f>"20190312160930590"</f>
        <v>20190312160930590</v>
      </c>
      <c r="B1031" t="str">
        <f>"1552378170586320"</f>
        <v>1552378170586320</v>
      </c>
      <c r="C1031" t="s">
        <v>40</v>
      </c>
      <c r="D1031">
        <v>5.7673740000000002</v>
      </c>
      <c r="E1031">
        <v>0.65570289999999998</v>
      </c>
      <c r="F1031" t="s">
        <v>42</v>
      </c>
      <c r="G1031">
        <v>-191.79490000000001</v>
      </c>
      <c r="H1031">
        <v>1.1901619999999999</v>
      </c>
      <c r="I1031">
        <v>354.77609999999999</v>
      </c>
      <c r="J1031">
        <v>-191.655</v>
      </c>
      <c r="K1031">
        <v>1.098787</v>
      </c>
      <c r="L1031">
        <v>355.08339999999998</v>
      </c>
      <c r="M1031">
        <v>0.56991550000000002</v>
      </c>
      <c r="N1031">
        <v>0</v>
      </c>
      <c r="O1031">
        <v>-0.82154349999999998</v>
      </c>
      <c r="P1031">
        <v>0.4602929</v>
      </c>
      <c r="Q1031">
        <v>-3.6285749999999999E-2</v>
      </c>
      <c r="R1031">
        <v>-0.88702549999999902</v>
      </c>
      <c r="S1031">
        <v>0.34117130000000001</v>
      </c>
      <c r="T1031">
        <v>0.46615459999999898</v>
      </c>
      <c r="U1031">
        <v>-3.2570800000000002</v>
      </c>
      <c r="V1031">
        <v>0.1267944</v>
      </c>
      <c r="W1031">
        <v>-2.3690320000000001E-2</v>
      </c>
      <c r="X1031">
        <v>0.99164609999999997</v>
      </c>
      <c r="Y1031">
        <v>0.4814677</v>
      </c>
      <c r="Z1031">
        <v>-9.5297129999999994E-2</v>
      </c>
      <c r="AA1031">
        <v>0.87126769999999998</v>
      </c>
      <c r="AB1031">
        <v>25</v>
      </c>
      <c r="AC1031">
        <v>-0.13990000000001099</v>
      </c>
      <c r="AD1031">
        <v>9.1374999999999901E-2</v>
      </c>
      <c r="AE1031">
        <v>-0.30729999999999702</v>
      </c>
      <c r="AF1031">
        <v>0.27031037809066399</v>
      </c>
      <c r="AG1031">
        <v>9.1374999999999901E-2</v>
      </c>
      <c r="AH1031">
        <v>0.160963370506498</v>
      </c>
      <c r="AI1031">
        <v>73.804447136506994</v>
      </c>
      <c r="AJ1031">
        <v>30.772787702973901</v>
      </c>
      <c r="AK1031">
        <v>0.32760692571026301</v>
      </c>
      <c r="AL1031">
        <v>91.357482322107998</v>
      </c>
      <c r="AM1031">
        <v>82.7135521269973</v>
      </c>
      <c r="AN1031">
        <v>1.0000000193891301</v>
      </c>
    </row>
    <row r="1032" spans="1:40" x14ac:dyDescent="0.25">
      <c r="A1032" t="str">
        <f>"20190312160930610"</f>
        <v>20190312160930610</v>
      </c>
      <c r="B1032" t="str">
        <f>"1552378170605840"</f>
        <v>1552378170605840</v>
      </c>
      <c r="C1032" t="s">
        <v>40</v>
      </c>
      <c r="D1032">
        <v>5.8174440000000001</v>
      </c>
      <c r="E1032">
        <v>0.63995059999999904</v>
      </c>
      <c r="F1032" t="s">
        <v>42</v>
      </c>
      <c r="G1032">
        <v>-191.59190000000001</v>
      </c>
      <c r="H1032">
        <v>1.197317</v>
      </c>
      <c r="I1032">
        <v>354.3664</v>
      </c>
      <c r="J1032">
        <v>-191.53149999999999</v>
      </c>
      <c r="K1032">
        <v>1.098805</v>
      </c>
      <c r="L1032">
        <v>354.87599999999998</v>
      </c>
      <c r="M1032">
        <v>0.557222</v>
      </c>
      <c r="N1032">
        <v>0</v>
      </c>
      <c r="O1032">
        <v>-0.83020499999999997</v>
      </c>
      <c r="P1032">
        <v>0.44727489999999998</v>
      </c>
      <c r="Q1032">
        <v>-3.6388990000000003E-2</v>
      </c>
      <c r="R1032">
        <v>-0.89365629999999996</v>
      </c>
      <c r="S1032">
        <v>0.28770449999999997</v>
      </c>
      <c r="T1032">
        <v>0.44655590000000001</v>
      </c>
      <c r="U1032">
        <v>-3.2510680000000001</v>
      </c>
      <c r="V1032">
        <v>0.12604870000000001</v>
      </c>
      <c r="W1032">
        <v>-2.3759840000000001E-2</v>
      </c>
      <c r="X1032">
        <v>0.9917395</v>
      </c>
      <c r="Y1032">
        <v>0.48203620000000003</v>
      </c>
      <c r="Z1032">
        <v>-9.3247209999999997E-2</v>
      </c>
      <c r="AA1032">
        <v>0.87117509999999998</v>
      </c>
      <c r="AB1032">
        <v>25</v>
      </c>
      <c r="AC1032">
        <v>-6.0400000000015497E-2</v>
      </c>
      <c r="AD1032">
        <v>9.8511999999999905E-2</v>
      </c>
      <c r="AE1032">
        <v>-0.50959999999997696</v>
      </c>
      <c r="AF1032">
        <v>0.32227233101960301</v>
      </c>
      <c r="AG1032">
        <v>9.8511999999999905E-2</v>
      </c>
      <c r="AH1032">
        <v>0.37562500806201998</v>
      </c>
      <c r="AI1032">
        <v>78.7427924607818</v>
      </c>
      <c r="AJ1032">
        <v>49.371629999810402</v>
      </c>
      <c r="AK1032">
        <v>0.50463671702166202</v>
      </c>
      <c r="AL1032">
        <v>91.361466644868202</v>
      </c>
      <c r="AM1032">
        <v>82.756623442714599</v>
      </c>
      <c r="AN1032">
        <v>1.00000002031438</v>
      </c>
    </row>
    <row r="1033" spans="1:40" x14ac:dyDescent="0.25">
      <c r="A1033" t="str">
        <f>"20190312160930633"</f>
        <v>20190312160930633</v>
      </c>
      <c r="B1033" t="str">
        <f>"1552378170626336"</f>
        <v>1552378170626336</v>
      </c>
      <c r="C1033" t="s">
        <v>40</v>
      </c>
      <c r="D1033">
        <v>5.3479239999999999</v>
      </c>
      <c r="E1033">
        <v>0.63765890000000003</v>
      </c>
      <c r="F1033" t="s">
        <v>42</v>
      </c>
      <c r="G1033">
        <v>-191.4539</v>
      </c>
      <c r="H1033">
        <v>1.1785779999999999</v>
      </c>
      <c r="I1033">
        <v>354.1694</v>
      </c>
      <c r="J1033">
        <v>-191.3974</v>
      </c>
      <c r="K1033">
        <v>1.0988199999999999</v>
      </c>
      <c r="L1033">
        <v>354.6422</v>
      </c>
      <c r="M1033">
        <v>0.54286409999999996</v>
      </c>
      <c r="N1033">
        <v>0</v>
      </c>
      <c r="O1033">
        <v>-0.83966359999999995</v>
      </c>
      <c r="P1033">
        <v>0.43293500000000001</v>
      </c>
      <c r="Q1033">
        <v>-3.5913100000000003E-2</v>
      </c>
      <c r="R1033">
        <v>-0.90070939999999999</v>
      </c>
      <c r="S1033">
        <v>0.35066219999999998</v>
      </c>
      <c r="T1033">
        <v>0.36090889999999998</v>
      </c>
      <c r="U1033">
        <v>-3.1961360000000001</v>
      </c>
      <c r="V1033">
        <v>0.1248713</v>
      </c>
      <c r="W1033">
        <v>-2.3236050000000001E-2</v>
      </c>
      <c r="X1033">
        <v>0.99190080000000003</v>
      </c>
      <c r="Y1033">
        <v>0.44831910000000003</v>
      </c>
      <c r="Z1033">
        <v>-7.9392119999999997E-2</v>
      </c>
      <c r="AA1033">
        <v>0.89034089999999999</v>
      </c>
      <c r="AB1033">
        <v>25</v>
      </c>
      <c r="AC1033">
        <v>-5.6499999999999703E-2</v>
      </c>
      <c r="AD1033">
        <v>7.9757999999999996E-2</v>
      </c>
      <c r="AE1033">
        <v>-0.47280000000000599</v>
      </c>
      <c r="AF1033">
        <v>0.29584676676784599</v>
      </c>
      <c r="AG1033">
        <v>7.9757999999999996E-2</v>
      </c>
      <c r="AH1033">
        <v>0.35637085498068</v>
      </c>
      <c r="AI1033">
        <v>80.229452788734605</v>
      </c>
      <c r="AJ1033">
        <v>50.301714850512496</v>
      </c>
      <c r="AK1033">
        <v>0.46998599367497002</v>
      </c>
      <c r="AL1033">
        <v>91.331447458621994</v>
      </c>
      <c r="AM1033">
        <v>82.824728783335303</v>
      </c>
      <c r="AN1033">
        <v>0.99999997631196602</v>
      </c>
    </row>
    <row r="1034" spans="1:40" x14ac:dyDescent="0.25">
      <c r="A1034" t="str">
        <f>"20190312160930656"</f>
        <v>20190312160930656</v>
      </c>
      <c r="B1034" t="str">
        <f>"1552378170645859"</f>
        <v>1552378170645859</v>
      </c>
      <c r="C1034" t="s">
        <v>40</v>
      </c>
      <c r="D1034">
        <v>6.0057199999999904</v>
      </c>
      <c r="E1034">
        <v>0.63543590000000005</v>
      </c>
      <c r="F1034" t="s">
        <v>42</v>
      </c>
      <c r="G1034">
        <v>-191.32740000000001</v>
      </c>
      <c r="H1034">
        <v>1.177915</v>
      </c>
      <c r="I1034">
        <v>353.93459999999999</v>
      </c>
      <c r="J1034">
        <v>-191.27029999999999</v>
      </c>
      <c r="K1034">
        <v>1.0988439999999999</v>
      </c>
      <c r="L1034">
        <v>354.41160000000002</v>
      </c>
      <c r="M1034">
        <v>0.52866089999999999</v>
      </c>
      <c r="N1034">
        <v>0</v>
      </c>
      <c r="O1034">
        <v>-0.84867789999999999</v>
      </c>
      <c r="P1034">
        <v>0.41815740000000001</v>
      </c>
      <c r="Q1034">
        <v>-3.6768450000000001E-2</v>
      </c>
      <c r="R1034">
        <v>-0.9076301</v>
      </c>
      <c r="S1034">
        <v>0.31661990000000001</v>
      </c>
      <c r="T1034">
        <v>0.35681800000000002</v>
      </c>
      <c r="U1034">
        <v>-3.19278</v>
      </c>
      <c r="V1034">
        <v>0.1243541</v>
      </c>
      <c r="W1034">
        <v>-2.4064990000000001E-2</v>
      </c>
      <c r="X1034">
        <v>0.99194599999999999</v>
      </c>
      <c r="Y1034">
        <v>0.44257659999999999</v>
      </c>
      <c r="Z1034">
        <v>-8.0231670000000005E-2</v>
      </c>
      <c r="AA1034">
        <v>0.89313430000000005</v>
      </c>
      <c r="AB1034">
        <v>25</v>
      </c>
      <c r="AC1034">
        <v>-5.71000000000196E-2</v>
      </c>
      <c r="AD1034">
        <v>7.9070999999999794E-2</v>
      </c>
      <c r="AE1034">
        <v>-0.47700000000003201</v>
      </c>
      <c r="AF1034">
        <v>0.29273987147642699</v>
      </c>
      <c r="AG1034">
        <v>7.9070999999999794E-2</v>
      </c>
      <c r="AH1034">
        <v>0.36479954611485599</v>
      </c>
      <c r="AI1034">
        <v>80.404802835510793</v>
      </c>
      <c r="AJ1034">
        <v>51.254080994232197</v>
      </c>
      <c r="AK1034">
        <v>0.47437070339412801</v>
      </c>
      <c r="AL1034">
        <v>91.378955526823503</v>
      </c>
      <c r="AM1034">
        <v>82.854462181141798</v>
      </c>
      <c r="AN1034">
        <v>0.99999996642325395</v>
      </c>
    </row>
    <row r="1035" spans="1:40" x14ac:dyDescent="0.25">
      <c r="A1035" t="str">
        <f>"20190312160930677"</f>
        <v>20190312160930677</v>
      </c>
      <c r="B1035" t="str">
        <f>"1552378170666355"</f>
        <v>1552378170666355</v>
      </c>
      <c r="C1035" t="s">
        <v>40</v>
      </c>
      <c r="D1035">
        <v>5.9377659999999999</v>
      </c>
      <c r="E1035">
        <v>0.63439880000000004</v>
      </c>
      <c r="F1035" t="s">
        <v>56</v>
      </c>
      <c r="G1035">
        <v>-169.4111</v>
      </c>
      <c r="H1035">
        <v>27.905110000000001</v>
      </c>
      <c r="I1035">
        <v>106.3104</v>
      </c>
      <c r="J1035">
        <v>-191.15639999999999</v>
      </c>
      <c r="K1035">
        <v>1.098865</v>
      </c>
      <c r="L1035">
        <v>354.19690000000003</v>
      </c>
      <c r="M1035">
        <v>0.51540620000000004</v>
      </c>
      <c r="N1035">
        <v>0</v>
      </c>
      <c r="O1035">
        <v>-0.85679229999999995</v>
      </c>
      <c r="P1035">
        <v>0.40366920000000001</v>
      </c>
      <c r="Q1035">
        <v>-3.802026E-2</v>
      </c>
      <c r="R1035">
        <v>-0.91411509999999996</v>
      </c>
      <c r="S1035">
        <v>0.28103640000000002</v>
      </c>
      <c r="T1035">
        <v>0.344639799999999</v>
      </c>
      <c r="U1035">
        <v>-3.1897579999999999</v>
      </c>
      <c r="V1035">
        <v>0.1246536</v>
      </c>
      <c r="W1035">
        <v>-2.5316539999999998E-2</v>
      </c>
      <c r="X1035">
        <v>0.99187729999999996</v>
      </c>
      <c r="Y1035">
        <v>0.4384324</v>
      </c>
      <c r="Z1035">
        <v>-7.9004720000000001E-2</v>
      </c>
      <c r="AA1035">
        <v>0.89528509999999994</v>
      </c>
      <c r="AB1035">
        <v>25</v>
      </c>
      <c r="AC1035">
        <v>21.745299999999901</v>
      </c>
      <c r="AD1035">
        <v>26.806245000000001</v>
      </c>
      <c r="AE1035">
        <v>-247.88650000000001</v>
      </c>
      <c r="AF1035">
        <v>107.893330417923</v>
      </c>
      <c r="AG1035">
        <v>26.806245000000001</v>
      </c>
      <c r="AH1035">
        <v>221.059018878541</v>
      </c>
      <c r="AI1035">
        <v>83.780698658732305</v>
      </c>
      <c r="AJ1035">
        <v>63.984164037600401</v>
      </c>
      <c r="AK1035">
        <v>247.44016518587799</v>
      </c>
      <c r="AL1035">
        <v>91.450685867569902</v>
      </c>
      <c r="AM1035">
        <v>82.836940127862505</v>
      </c>
      <c r="AN1035">
        <v>1.0000000127229101</v>
      </c>
    </row>
    <row r="1036" spans="1:40" x14ac:dyDescent="0.25">
      <c r="A1036" t="str">
        <f>"20190312160930699"</f>
        <v>20190312160930699</v>
      </c>
      <c r="B1036" t="str">
        <f>"1552378170696608"</f>
        <v>1552378170696608</v>
      </c>
      <c r="C1036" t="s">
        <v>40</v>
      </c>
      <c r="D1036">
        <v>5.9936069999999999</v>
      </c>
      <c r="E1036">
        <v>0.62182469999999901</v>
      </c>
      <c r="F1036" t="s">
        <v>57</v>
      </c>
      <c r="G1036">
        <v>-168.6996</v>
      </c>
      <c r="H1036">
        <v>32.833240000000004</v>
      </c>
      <c r="I1036">
        <v>52.638829999999999</v>
      </c>
      <c r="J1036">
        <v>-191.03980000000001</v>
      </c>
      <c r="K1036">
        <v>1.098889</v>
      </c>
      <c r="L1036">
        <v>353.96820000000002</v>
      </c>
      <c r="M1036">
        <v>0.50126289999999996</v>
      </c>
      <c r="N1036">
        <v>0</v>
      </c>
      <c r="O1036">
        <v>-0.86514259999999998</v>
      </c>
      <c r="P1036">
        <v>0.38823249999999998</v>
      </c>
      <c r="Q1036">
        <v>-3.8919080000000002E-2</v>
      </c>
      <c r="R1036">
        <v>-0.92073950000000004</v>
      </c>
      <c r="S1036">
        <v>0.23762510000000001</v>
      </c>
      <c r="T1036">
        <v>0.33579530000000002</v>
      </c>
      <c r="U1036">
        <v>-3.1909179999999999</v>
      </c>
      <c r="V1036">
        <v>0.12500719999999901</v>
      </c>
      <c r="W1036">
        <v>-2.621652E-2</v>
      </c>
      <c r="X1036">
        <v>0.99180939999999995</v>
      </c>
      <c r="Y1036">
        <v>0.43580140000000001</v>
      </c>
      <c r="Z1036">
        <v>-7.8344440000000001E-2</v>
      </c>
      <c r="AA1036">
        <v>0.89662659999999905</v>
      </c>
      <c r="AB1036">
        <v>25</v>
      </c>
      <c r="AC1036">
        <v>22.340199999999999</v>
      </c>
      <c r="AD1036">
        <v>31.734351</v>
      </c>
      <c r="AE1036">
        <v>-301.32936999999998</v>
      </c>
      <c r="AF1036">
        <v>130.29789857907701</v>
      </c>
      <c r="AG1036">
        <v>31.734351</v>
      </c>
      <c r="AH1036">
        <v>268.96028577712201</v>
      </c>
      <c r="AI1036">
        <v>83.938774723770806</v>
      </c>
      <c r="AJ1036">
        <v>64.152116767494505</v>
      </c>
      <c r="AK1036">
        <v>300.53992535572701</v>
      </c>
      <c r="AL1036">
        <v>91.502268075418201</v>
      </c>
      <c r="AM1036">
        <v>82.816346277116494</v>
      </c>
      <c r="AN1036">
        <v>0.999999995950555</v>
      </c>
    </row>
    <row r="1037" spans="1:40" x14ac:dyDescent="0.25">
      <c r="A1037" t="str">
        <f>"20190312160930722"</f>
        <v>20190312160930722</v>
      </c>
      <c r="B1037" t="str">
        <f>"1552378170716128"</f>
        <v>1552378170716128</v>
      </c>
      <c r="C1037" t="s">
        <v>40</v>
      </c>
      <c r="D1037">
        <v>5.834918</v>
      </c>
      <c r="E1037">
        <v>0.62044259999999996</v>
      </c>
      <c r="F1037" t="s">
        <v>56</v>
      </c>
      <c r="G1037">
        <v>-169.42740000000001</v>
      </c>
      <c r="H1037">
        <v>22.00113</v>
      </c>
      <c r="I1037">
        <v>106.3085</v>
      </c>
      <c r="J1037">
        <v>-190.92339999999999</v>
      </c>
      <c r="K1037">
        <v>1.0989249999999999</v>
      </c>
      <c r="L1037">
        <v>353.73050000000001</v>
      </c>
      <c r="M1037">
        <v>0.4865293</v>
      </c>
      <c r="N1037">
        <v>0</v>
      </c>
      <c r="O1037">
        <v>-0.87351350000000005</v>
      </c>
      <c r="P1037">
        <v>0.37341859999999999</v>
      </c>
      <c r="Q1037">
        <v>-3.8271489999999998E-2</v>
      </c>
      <c r="R1037">
        <v>-0.92687339999999996</v>
      </c>
      <c r="S1037">
        <v>0.2751923</v>
      </c>
      <c r="T1037">
        <v>0.2661502</v>
      </c>
      <c r="U1037">
        <v>-3.153473</v>
      </c>
      <c r="V1037">
        <v>0.1241361</v>
      </c>
      <c r="W1037">
        <v>-2.5533219999999999E-2</v>
      </c>
      <c r="X1037">
        <v>0.99193659999999995</v>
      </c>
      <c r="Y1037">
        <v>0.40892679999999998</v>
      </c>
      <c r="Z1037">
        <v>-6.4498239999999998E-2</v>
      </c>
      <c r="AA1037">
        <v>0.91028509999999996</v>
      </c>
      <c r="AB1037">
        <v>25</v>
      </c>
      <c r="AC1037">
        <v>21.495999999999899</v>
      </c>
      <c r="AD1037">
        <v>20.902204999999999</v>
      </c>
      <c r="AE1037">
        <v>-247.422</v>
      </c>
      <c r="AF1037">
        <v>100.899677247348</v>
      </c>
      <c r="AG1037">
        <v>20.902204999999999</v>
      </c>
      <c r="AH1037">
        <v>225.02082620709399</v>
      </c>
      <c r="AI1037">
        <v>85.155240986880798</v>
      </c>
      <c r="AJ1037">
        <v>65.848464038950297</v>
      </c>
      <c r="AK1037">
        <v>247.49145292192301</v>
      </c>
      <c r="AL1037">
        <v>91.4631047976508</v>
      </c>
      <c r="AM1037">
        <v>82.866792678843197</v>
      </c>
      <c r="AN1037">
        <v>0.999999967533168</v>
      </c>
    </row>
    <row r="1038" spans="1:40" x14ac:dyDescent="0.25">
      <c r="A1038" t="str">
        <f>"20190312160930749"</f>
        <v>20190312160930749</v>
      </c>
      <c r="B1038" t="str">
        <f>"1552378170736624"</f>
        <v>1552378170736624</v>
      </c>
      <c r="C1038" t="s">
        <v>40</v>
      </c>
      <c r="D1038">
        <v>5.91798</v>
      </c>
      <c r="E1038">
        <v>0.620529199999999</v>
      </c>
      <c r="F1038" t="s">
        <v>57</v>
      </c>
      <c r="G1038">
        <v>-168.53489999999999</v>
      </c>
      <c r="H1038">
        <v>24.580729999999999</v>
      </c>
      <c r="I1038">
        <v>52.638840000000002</v>
      </c>
      <c r="J1038">
        <v>-190.80189999999999</v>
      </c>
      <c r="K1038">
        <v>1.098967</v>
      </c>
      <c r="L1038">
        <v>353.46980000000002</v>
      </c>
      <c r="M1038">
        <v>0.47036250000000002</v>
      </c>
      <c r="N1038">
        <v>0</v>
      </c>
      <c r="O1038">
        <v>-0.882324</v>
      </c>
      <c r="P1038">
        <v>0.35761349999999997</v>
      </c>
      <c r="Q1038">
        <v>-3.7217220000000002E-2</v>
      </c>
      <c r="R1038">
        <v>-0.93312799999999996</v>
      </c>
      <c r="S1038">
        <v>0.23440549999999999</v>
      </c>
      <c r="T1038">
        <v>0.2458525</v>
      </c>
      <c r="U1038">
        <v>-3.1524049999999999</v>
      </c>
      <c r="V1038">
        <v>0.12277970000000001</v>
      </c>
      <c r="W1038">
        <v>-2.4429889999999999E-2</v>
      </c>
      <c r="X1038">
        <v>0.99213320000000005</v>
      </c>
      <c r="Y1038">
        <v>0.40378370000000002</v>
      </c>
      <c r="Z1038">
        <v>-6.0746590000000003E-2</v>
      </c>
      <c r="AA1038">
        <v>0.91283550000000002</v>
      </c>
      <c r="AB1038">
        <v>25</v>
      </c>
      <c r="AC1038">
        <v>22.266999999999999</v>
      </c>
      <c r="AD1038">
        <v>23.481763000000001</v>
      </c>
      <c r="AE1038">
        <v>-300.83096</v>
      </c>
      <c r="AF1038">
        <v>121.13492150888899</v>
      </c>
      <c r="AG1038">
        <v>23.481763000000001</v>
      </c>
      <c r="AH1038">
        <v>274.27827742249002</v>
      </c>
      <c r="AI1038">
        <v>85.522015957323205</v>
      </c>
      <c r="AJ1038">
        <v>66.171363519042899</v>
      </c>
      <c r="AK1038">
        <v>300.75510946349902</v>
      </c>
      <c r="AL1038">
        <v>91.399868886809998</v>
      </c>
      <c r="AM1038">
        <v>82.945329397171193</v>
      </c>
      <c r="AN1038">
        <v>0.99999998039987104</v>
      </c>
    </row>
    <row r="1039" spans="1:40" x14ac:dyDescent="0.25">
      <c r="A1039" t="str">
        <f>"20190312160930771"</f>
        <v>20190312160930771</v>
      </c>
      <c r="B1039" t="str">
        <f>"1552378170765904"</f>
        <v>1552378170765904</v>
      </c>
      <c r="C1039" t="s">
        <v>40</v>
      </c>
      <c r="D1039">
        <v>6.0730719999999998</v>
      </c>
      <c r="E1039">
        <v>0.61831689999999995</v>
      </c>
      <c r="F1039" t="s">
        <v>45</v>
      </c>
      <c r="G1039">
        <v>0</v>
      </c>
      <c r="H1039">
        <v>0</v>
      </c>
      <c r="I1039">
        <v>0</v>
      </c>
      <c r="J1039">
        <v>-190.696</v>
      </c>
      <c r="K1039">
        <v>1.0990059999999999</v>
      </c>
      <c r="L1039">
        <v>353.2319</v>
      </c>
      <c r="M1039">
        <v>0.45558009999999899</v>
      </c>
      <c r="N1039">
        <v>0</v>
      </c>
      <c r="O1039">
        <v>-0.89004680000000003</v>
      </c>
      <c r="P1039">
        <v>0.34415659999999998</v>
      </c>
      <c r="Q1039">
        <v>-3.7987649999999998E-2</v>
      </c>
      <c r="R1039">
        <v>-0.93814339999999996</v>
      </c>
      <c r="S1039">
        <v>0.1801758</v>
      </c>
      <c r="T1039">
        <v>0.23947309999999999</v>
      </c>
      <c r="U1039">
        <v>-3.1555179999999998</v>
      </c>
      <c r="V1039">
        <v>0.1204684</v>
      </c>
      <c r="W1039">
        <v>-2.5127440000000001E-2</v>
      </c>
      <c r="X1039">
        <v>0.99239909999999998</v>
      </c>
      <c r="Y1039">
        <v>0.40421040000000003</v>
      </c>
      <c r="Z1039">
        <v>-5.9996859999999999E-2</v>
      </c>
      <c r="AA1039">
        <v>0.91269619999999996</v>
      </c>
      <c r="AB1039">
        <v>25</v>
      </c>
      <c r="AC1039">
        <v>0.1801758</v>
      </c>
      <c r="AD1039">
        <v>0.23947309999999999</v>
      </c>
      <c r="AE1039">
        <v>-3.1555179999999998</v>
      </c>
      <c r="AF1039">
        <v>1.2701034213011899</v>
      </c>
      <c r="AG1039">
        <v>0.23947309999999999</v>
      </c>
      <c r="AH1039">
        <v>2.8745225442345799</v>
      </c>
      <c r="AI1039">
        <v>85.642379635901307</v>
      </c>
      <c r="AJ1039">
        <v>66.161834271687795</v>
      </c>
      <c r="AK1039">
        <v>3.1517280853108902</v>
      </c>
      <c r="AL1039">
        <v>91.439847808174207</v>
      </c>
      <c r="AM1039">
        <v>83.078667898956098</v>
      </c>
      <c r="AN1039">
        <v>0.99999999866016098</v>
      </c>
    </row>
    <row r="1040" spans="1:40" x14ac:dyDescent="0.25">
      <c r="A1040" t="str">
        <f>"20190312160930794"</f>
        <v>20190312160930794</v>
      </c>
      <c r="B1040" t="str">
        <f>"1552378170786401"</f>
        <v>1552378170786401</v>
      </c>
      <c r="C1040" t="s">
        <v>40</v>
      </c>
      <c r="D1040">
        <v>6.131227</v>
      </c>
      <c r="E1040">
        <v>0.61706470000000002</v>
      </c>
      <c r="F1040" t="s">
        <v>45</v>
      </c>
      <c r="G1040">
        <v>0</v>
      </c>
      <c r="H1040">
        <v>0</v>
      </c>
      <c r="I1040">
        <v>0</v>
      </c>
      <c r="J1040">
        <v>-190.5967</v>
      </c>
      <c r="K1040">
        <v>1.0990420000000001</v>
      </c>
      <c r="L1040">
        <v>352.99860000000001</v>
      </c>
      <c r="M1040">
        <v>0.44107089999999999</v>
      </c>
      <c r="N1040">
        <v>0</v>
      </c>
      <c r="O1040">
        <v>-0.89732559999999995</v>
      </c>
      <c r="P1040">
        <v>0.33105859999999998</v>
      </c>
      <c r="Q1040">
        <v>-4.0120799999999998E-2</v>
      </c>
      <c r="R1040">
        <v>-0.94275699999999996</v>
      </c>
      <c r="S1040">
        <v>0.151535</v>
      </c>
      <c r="T1040">
        <v>0.22836210000000001</v>
      </c>
      <c r="U1040">
        <v>-3.1514890000000002</v>
      </c>
      <c r="V1040">
        <v>0.1180852</v>
      </c>
      <c r="W1040">
        <v>-2.7188339999999998E-2</v>
      </c>
      <c r="X1040">
        <v>0.99263120000000005</v>
      </c>
      <c r="Y1040">
        <v>0.39755740000000001</v>
      </c>
      <c r="Z1040">
        <v>-5.8193300000000003E-2</v>
      </c>
      <c r="AA1040">
        <v>0.91573009999999999</v>
      </c>
      <c r="AB1040">
        <v>25</v>
      </c>
      <c r="AC1040">
        <v>0.151535</v>
      </c>
      <c r="AD1040">
        <v>0.22836210000000001</v>
      </c>
      <c r="AE1040">
        <v>-3.1514890000000002</v>
      </c>
      <c r="AF1040">
        <v>1.2476828533525699</v>
      </c>
      <c r="AG1040">
        <v>0.22836210000000001</v>
      </c>
      <c r="AH1040">
        <v>2.8800431680908201</v>
      </c>
      <c r="AI1040">
        <v>85.838652688950503</v>
      </c>
      <c r="AJ1040">
        <v>66.576932623707094</v>
      </c>
      <c r="AK1040">
        <v>3.1469843344594302</v>
      </c>
      <c r="AL1040">
        <v>91.557969102295104</v>
      </c>
      <c r="AM1040">
        <v>83.215873505990501</v>
      </c>
      <c r="AN1040">
        <v>1.0000000097522099</v>
      </c>
    </row>
    <row r="1041" spans="1:40" x14ac:dyDescent="0.25">
      <c r="A1041" t="str">
        <f>"20190312160930820"</f>
        <v>20190312160930820</v>
      </c>
      <c r="B1041" t="str">
        <f>"1552378170816656"</f>
        <v>1552378170816656</v>
      </c>
      <c r="C1041" t="s">
        <v>40</v>
      </c>
      <c r="D1041">
        <v>6.0818760000000003</v>
      </c>
      <c r="E1041">
        <v>0.61582950000000003</v>
      </c>
      <c r="F1041" t="s">
        <v>58</v>
      </c>
      <c r="G1041">
        <v>-174.43010000000001</v>
      </c>
      <c r="H1041">
        <v>30.79035</v>
      </c>
      <c r="I1041">
        <v>-80.958849999999998</v>
      </c>
      <c r="J1041">
        <v>-190.48990000000001</v>
      </c>
      <c r="K1041">
        <v>1.0990869999999999</v>
      </c>
      <c r="L1041">
        <v>352.73559999999998</v>
      </c>
      <c r="M1041">
        <v>0.42469479999999998</v>
      </c>
      <c r="N1041">
        <v>0</v>
      </c>
      <c r="O1041">
        <v>-0.90519130000000003</v>
      </c>
      <c r="P1041">
        <v>0.31682090000000002</v>
      </c>
      <c r="Q1041">
        <v>-4.0753200000000003E-2</v>
      </c>
      <c r="R1041">
        <v>-0.94760940000000005</v>
      </c>
      <c r="S1041">
        <v>0.1173553</v>
      </c>
      <c r="T1041">
        <v>0.21553249999999999</v>
      </c>
      <c r="U1041">
        <v>-3.1501459999999999</v>
      </c>
      <c r="V1041">
        <v>0.1149781</v>
      </c>
      <c r="W1041">
        <v>-2.7726460000000001E-2</v>
      </c>
      <c r="X1041">
        <v>0.992981</v>
      </c>
      <c r="Y1041">
        <v>0.3907757</v>
      </c>
      <c r="Z1041">
        <v>-5.5866140000000002E-2</v>
      </c>
      <c r="AA1041">
        <v>0.91878899999999997</v>
      </c>
      <c r="AB1041">
        <v>25</v>
      </c>
      <c r="AC1041">
        <v>16.0597999999999</v>
      </c>
      <c r="AD1041">
        <v>29.691262999999999</v>
      </c>
      <c r="AE1041">
        <v>-433.69445000000002</v>
      </c>
      <c r="AF1041">
        <v>168.88244469716301</v>
      </c>
      <c r="AG1041">
        <v>29.691262999999999</v>
      </c>
      <c r="AH1041">
        <v>397.58857208892903</v>
      </c>
      <c r="AI1041">
        <v>86.0679835129026</v>
      </c>
      <c r="AJ1041">
        <v>66.985823801264502</v>
      </c>
      <c r="AK1041">
        <v>432.98905746119999</v>
      </c>
      <c r="AL1041">
        <v>91.588812762360206</v>
      </c>
      <c r="AM1041">
        <v>83.395087487919298</v>
      </c>
      <c r="AN1041">
        <v>0.99999999321236999</v>
      </c>
    </row>
    <row r="1042" spans="1:40" x14ac:dyDescent="0.25">
      <c r="A1042" t="str">
        <f>"20190312160930842"</f>
        <v>20190312160930842</v>
      </c>
      <c r="B1042" t="str">
        <f>"1552378170836176"</f>
        <v>1552378170836176</v>
      </c>
      <c r="C1042" t="s">
        <v>40</v>
      </c>
      <c r="D1042">
        <v>6.0808900000000001</v>
      </c>
      <c r="E1042">
        <v>0.61452659999999903</v>
      </c>
      <c r="F1042" t="s">
        <v>58</v>
      </c>
      <c r="G1042">
        <v>-179.5301</v>
      </c>
      <c r="H1042">
        <v>28.761050000000001</v>
      </c>
      <c r="I1042">
        <v>-81.824700000000007</v>
      </c>
      <c r="J1042">
        <v>-190.3946</v>
      </c>
      <c r="K1042">
        <v>1.099146</v>
      </c>
      <c r="L1042">
        <v>352.48840000000001</v>
      </c>
      <c r="M1042">
        <v>0.40931279999999998</v>
      </c>
      <c r="N1042">
        <v>0</v>
      </c>
      <c r="O1042">
        <v>-0.91225020000000001</v>
      </c>
      <c r="P1042">
        <v>0.30436940000000001</v>
      </c>
      <c r="Q1042">
        <v>-3.9723910000000001E-2</v>
      </c>
      <c r="R1042">
        <v>-0.95172579999999996</v>
      </c>
      <c r="S1042">
        <v>7.939148E-2</v>
      </c>
      <c r="T1042">
        <v>0.200379</v>
      </c>
      <c r="U1042">
        <v>-3.147888</v>
      </c>
      <c r="V1042">
        <v>0.11124100000000001</v>
      </c>
      <c r="W1042">
        <v>-2.658466E-2</v>
      </c>
      <c r="X1042">
        <v>0.99343780000000004</v>
      </c>
      <c r="Y1042">
        <v>0.38623800000000003</v>
      </c>
      <c r="Z1042">
        <v>-5.272363E-2</v>
      </c>
      <c r="AA1042">
        <v>0.92089109999999996</v>
      </c>
      <c r="AB1042">
        <v>25</v>
      </c>
      <c r="AC1042">
        <v>10.8644999999999</v>
      </c>
      <c r="AD1042">
        <v>27.6619039999999</v>
      </c>
      <c r="AE1042">
        <v>-434.31310000000002</v>
      </c>
      <c r="AF1042">
        <v>167.202968016044</v>
      </c>
      <c r="AG1042">
        <v>27.6619039999999</v>
      </c>
      <c r="AH1042">
        <v>399.08391091928002</v>
      </c>
      <c r="AI1042">
        <v>86.342095097249597</v>
      </c>
      <c r="AJ1042">
        <v>67.267926947693098</v>
      </c>
      <c r="AK1042">
        <v>433.57811453174997</v>
      </c>
      <c r="AL1042">
        <v>91.523368317711203</v>
      </c>
      <c r="AM1042">
        <v>83.610873636777399</v>
      </c>
      <c r="AN1042">
        <v>0.99999998334857698</v>
      </c>
    </row>
    <row r="1043" spans="1:40" x14ac:dyDescent="0.25">
      <c r="A1043" t="str">
        <f>"20190312160930871"</f>
        <v>20190312160930871</v>
      </c>
      <c r="B1043" t="str">
        <f>"1552378170866434"</f>
        <v>1552378170866434</v>
      </c>
      <c r="C1043" t="s">
        <v>40</v>
      </c>
      <c r="D1043">
        <v>6.0617979999999996</v>
      </c>
      <c r="E1043">
        <v>0.60045959999999998</v>
      </c>
      <c r="F1043" t="s">
        <v>58</v>
      </c>
      <c r="G1043">
        <v>-183.77170000000001</v>
      </c>
      <c r="H1043">
        <v>28.077000000000002</v>
      </c>
      <c r="I1043">
        <v>-81.824479999999994</v>
      </c>
      <c r="J1043">
        <v>-190.28270000000001</v>
      </c>
      <c r="K1043">
        <v>1.0992379999999999</v>
      </c>
      <c r="L1043">
        <v>352.18049999999999</v>
      </c>
      <c r="M1043">
        <v>0.39020959999999899</v>
      </c>
      <c r="N1043">
        <v>0</v>
      </c>
      <c r="O1043">
        <v>-0.92058379999999995</v>
      </c>
      <c r="P1043">
        <v>0.28779959999999999</v>
      </c>
      <c r="Q1043">
        <v>-3.8854949999999999E-2</v>
      </c>
      <c r="R1043">
        <v>-0.95690249999999999</v>
      </c>
      <c r="S1043">
        <v>4.795837E-2</v>
      </c>
      <c r="T1043">
        <v>0.19535659999999999</v>
      </c>
      <c r="U1043">
        <v>-3.1450200000000001</v>
      </c>
      <c r="V1043">
        <v>0.1078264</v>
      </c>
      <c r="W1043">
        <v>-2.5613049999999998E-2</v>
      </c>
      <c r="X1043">
        <v>0.99383969999999999</v>
      </c>
      <c r="Y1043">
        <v>0.37617109999999998</v>
      </c>
      <c r="Z1043">
        <v>-5.2354999999999999E-2</v>
      </c>
      <c r="AA1043">
        <v>0.9250699</v>
      </c>
      <c r="AB1043">
        <v>25</v>
      </c>
      <c r="AC1043">
        <v>6.5109999999999904</v>
      </c>
      <c r="AD1043">
        <v>26.977761999999998</v>
      </c>
      <c r="AE1043">
        <v>-434.00497999999999</v>
      </c>
      <c r="AF1043">
        <v>162.75167777502199</v>
      </c>
      <c r="AG1043">
        <v>26.977761999999998</v>
      </c>
      <c r="AH1043">
        <v>400.58382283527402</v>
      </c>
      <c r="AI1043">
        <v>86.429764924687902</v>
      </c>
      <c r="AJ1043">
        <v>67.888771559047996</v>
      </c>
      <c r="AK1043">
        <v>433.22431531302101</v>
      </c>
      <c r="AL1043">
        <v>91.467680234530704</v>
      </c>
      <c r="AM1043">
        <v>83.807928198975105</v>
      </c>
      <c r="AN1043">
        <v>0.99999995508167505</v>
      </c>
    </row>
    <row r="1044" spans="1:40" x14ac:dyDescent="0.25">
      <c r="A1044" t="str">
        <f>"20190312160930892"</f>
        <v>20190312160930892</v>
      </c>
      <c r="B1044" t="str">
        <f>"1552378170885952"</f>
        <v>1552378170885952</v>
      </c>
      <c r="C1044" t="s">
        <v>40</v>
      </c>
      <c r="D1044">
        <v>6.0684570000000004</v>
      </c>
      <c r="E1044">
        <v>0.59702379999999999</v>
      </c>
      <c r="F1044" t="s">
        <v>58</v>
      </c>
      <c r="G1044">
        <v>-176.4034</v>
      </c>
      <c r="H1044">
        <v>19.382960000000001</v>
      </c>
      <c r="I1044">
        <v>-80.955060000000003</v>
      </c>
      <c r="J1044">
        <v>-190.2038</v>
      </c>
      <c r="K1044">
        <v>1.0993109999999999</v>
      </c>
      <c r="L1044">
        <v>351.95060000000001</v>
      </c>
      <c r="M1044">
        <v>0.37598999999999999</v>
      </c>
      <c r="N1044">
        <v>0</v>
      </c>
      <c r="O1044">
        <v>-0.92648269999999999</v>
      </c>
      <c r="P1044">
        <v>0.27420290000000003</v>
      </c>
      <c r="Q1044">
        <v>-3.9580650000000002E-2</v>
      </c>
      <c r="R1044">
        <v>-0.96085730000000003</v>
      </c>
      <c r="S1044">
        <v>9.9670410000000001E-2</v>
      </c>
      <c r="T1044">
        <v>0.13129950000000001</v>
      </c>
      <c r="U1044">
        <v>-3.1104430000000001</v>
      </c>
      <c r="V1044">
        <v>0.10659200000000001</v>
      </c>
      <c r="W1044">
        <v>-2.6301769999999999E-2</v>
      </c>
      <c r="X1044">
        <v>0.99395489999999997</v>
      </c>
      <c r="Y1044">
        <v>0.34618149999999998</v>
      </c>
      <c r="Z1044">
        <v>-3.6229579999999997E-2</v>
      </c>
      <c r="AA1044">
        <v>0.93746779999999996</v>
      </c>
      <c r="AB1044">
        <v>25</v>
      </c>
      <c r="AC1044">
        <v>13.8003999999999</v>
      </c>
      <c r="AD1044">
        <v>18.283649</v>
      </c>
      <c r="AE1044">
        <v>-432.90565999999899</v>
      </c>
      <c r="AF1044">
        <v>149.73514614395199</v>
      </c>
      <c r="AG1044">
        <v>18.283649</v>
      </c>
      <c r="AH1044">
        <v>405.59875088062</v>
      </c>
      <c r="AI1044">
        <v>87.5784903519464</v>
      </c>
      <c r="AJ1044">
        <v>69.7373349422096</v>
      </c>
      <c r="AK1044">
        <v>432.74155396428603</v>
      </c>
      <c r="AL1044">
        <v>91.507154233903094</v>
      </c>
      <c r="AM1044">
        <v>83.878978024674893</v>
      </c>
      <c r="AN1044">
        <v>0.99999999040157095</v>
      </c>
    </row>
    <row r="1045" spans="1:40" x14ac:dyDescent="0.25">
      <c r="A1045" t="str">
        <f>"20190312160930915"</f>
        <v>20190312160930915</v>
      </c>
      <c r="B1045" t="str">
        <f>"1552378170906448"</f>
        <v>1552378170906448</v>
      </c>
      <c r="C1045" t="s">
        <v>40</v>
      </c>
      <c r="D1045">
        <v>6.1644800000000002</v>
      </c>
      <c r="E1045">
        <v>0.60203309999999999</v>
      </c>
      <c r="F1045" t="s">
        <v>58</v>
      </c>
      <c r="G1045">
        <v>-178.7979</v>
      </c>
      <c r="H1045">
        <v>16.633569999999999</v>
      </c>
      <c r="I1045">
        <v>-81.820679999999996</v>
      </c>
      <c r="J1045">
        <v>-190.12469999999999</v>
      </c>
      <c r="K1045">
        <v>1.0994079999999999</v>
      </c>
      <c r="L1045">
        <v>351.70819999999998</v>
      </c>
      <c r="M1045">
        <v>0.3610525</v>
      </c>
      <c r="N1045">
        <v>0</v>
      </c>
      <c r="O1045">
        <v>-0.93240579999999995</v>
      </c>
      <c r="P1045">
        <v>0.25905339999999999</v>
      </c>
      <c r="Q1045">
        <v>-4.047278E-2</v>
      </c>
      <c r="R1045">
        <v>-0.96501490000000001</v>
      </c>
      <c r="S1045">
        <v>8.1603999999999996E-2</v>
      </c>
      <c r="T1045">
        <v>0.11114010000000001</v>
      </c>
      <c r="U1045">
        <v>-3.103424</v>
      </c>
      <c r="V1045">
        <v>0.1062241</v>
      </c>
      <c r="W1045">
        <v>-2.7182640000000001E-2</v>
      </c>
      <c r="X1045">
        <v>0.99397060000000004</v>
      </c>
      <c r="Y1045">
        <v>0.33646930000000003</v>
      </c>
      <c r="Z1045">
        <v>-3.112494E-2</v>
      </c>
      <c r="AA1045">
        <v>0.94117989999999996</v>
      </c>
      <c r="AB1045">
        <v>25</v>
      </c>
      <c r="AC1045">
        <v>11.326799999999899</v>
      </c>
      <c r="AD1045">
        <v>15.534162</v>
      </c>
      <c r="AE1045">
        <v>-433.52888000000002</v>
      </c>
      <c r="AF1045">
        <v>145.797463562247</v>
      </c>
      <c r="AG1045">
        <v>15.534162</v>
      </c>
      <c r="AH1045">
        <v>407.84432408083302</v>
      </c>
      <c r="AI1045">
        <v>87.945931130637604</v>
      </c>
      <c r="AJ1045">
        <v>70.328887304088497</v>
      </c>
      <c r="AK1045">
        <v>433.39958843448198</v>
      </c>
      <c r="AL1045">
        <v>91.557642403787398</v>
      </c>
      <c r="AM1045">
        <v>83.900040668280496</v>
      </c>
      <c r="AN1045">
        <v>1.00000000450126</v>
      </c>
    </row>
    <row r="1046" spans="1:40" x14ac:dyDescent="0.25">
      <c r="A1046" t="str">
        <f>"20190312160930937"</f>
        <v>20190312160930937</v>
      </c>
      <c r="B1046" t="str">
        <f>"1552378170925968"</f>
        <v>1552378170925968</v>
      </c>
      <c r="C1046" t="s">
        <v>40</v>
      </c>
      <c r="D1046">
        <v>6.1798820000000001</v>
      </c>
      <c r="E1046">
        <v>0.6017479</v>
      </c>
      <c r="F1046" t="s">
        <v>41</v>
      </c>
      <c r="G1046">
        <v>-190.17310000000001</v>
      </c>
      <c r="H1046" s="1">
        <v>-3.198362E-6</v>
      </c>
      <c r="I1046">
        <v>336.93720000000002</v>
      </c>
      <c r="J1046">
        <v>-190.04939999999999</v>
      </c>
      <c r="K1046">
        <v>1.0995189999999999</v>
      </c>
      <c r="L1046">
        <v>351.46480000000003</v>
      </c>
      <c r="M1046">
        <v>0.34612680000000001</v>
      </c>
      <c r="N1046">
        <v>0</v>
      </c>
      <c r="O1046">
        <v>-0.93804940000000003</v>
      </c>
      <c r="P1046">
        <v>0.24403530000000001</v>
      </c>
      <c r="Q1046">
        <v>-4.0921630000000001E-2</v>
      </c>
      <c r="R1046">
        <v>-0.96890299999999996</v>
      </c>
      <c r="S1046">
        <v>-1.0162350000000001E-2</v>
      </c>
      <c r="T1046">
        <v>-0.23086870000000001</v>
      </c>
      <c r="U1046">
        <v>-3.101807</v>
      </c>
      <c r="V1046">
        <v>0.1057869</v>
      </c>
      <c r="W1046">
        <v>-2.761804E-2</v>
      </c>
      <c r="X1046">
        <v>0.99400520000000003</v>
      </c>
      <c r="Y1046">
        <v>0.34920509999999999</v>
      </c>
      <c r="Z1046">
        <v>6.5009399999999995E-2</v>
      </c>
      <c r="AA1046">
        <v>0.93478850000000002</v>
      </c>
      <c r="AB1046">
        <v>25</v>
      </c>
      <c r="AC1046">
        <v>-0.12370000000001299</v>
      </c>
      <c r="AD1046">
        <v>-1.099522198362</v>
      </c>
      <c r="AE1046">
        <v>-14.5276</v>
      </c>
      <c r="AF1046">
        <v>5.1157938815738602</v>
      </c>
      <c r="AG1046">
        <v>-1.099522198362</v>
      </c>
      <c r="AH1046">
        <v>13.5091759429523</v>
      </c>
      <c r="AI1046">
        <v>94.352721335032598</v>
      </c>
      <c r="AJ1046">
        <v>69.258809246134106</v>
      </c>
      <c r="AK1046">
        <v>14.487171247730901</v>
      </c>
      <c r="AL1046">
        <v>91.582598393454205</v>
      </c>
      <c r="AM1046">
        <v>83.925168798623204</v>
      </c>
      <c r="AN1046">
        <v>0.99999998098604503</v>
      </c>
    </row>
    <row r="1047" spans="1:40" x14ac:dyDescent="0.25">
      <c r="A1047" t="str">
        <f>"20190312160930958"</f>
        <v>20190312160930958</v>
      </c>
      <c r="B1047" t="str">
        <f>"1552378170956224"</f>
        <v>1552378170956224</v>
      </c>
      <c r="C1047" t="s">
        <v>40</v>
      </c>
      <c r="D1047">
        <v>6.1895160000000002</v>
      </c>
      <c r="E1047">
        <v>0.60045760000000004</v>
      </c>
      <c r="F1047" t="s">
        <v>41</v>
      </c>
      <c r="G1047">
        <v>-190.29900000000001</v>
      </c>
      <c r="H1047" s="1">
        <v>-3.5888249999999999E-6</v>
      </c>
      <c r="I1047">
        <v>337.76929999999999</v>
      </c>
      <c r="J1047">
        <v>-189.98269999999999</v>
      </c>
      <c r="K1047">
        <v>1.0996349999999999</v>
      </c>
      <c r="L1047">
        <v>351.23680000000002</v>
      </c>
      <c r="M1047">
        <v>0.33224959999999998</v>
      </c>
      <c r="N1047">
        <v>0</v>
      </c>
      <c r="O1047">
        <v>-0.94305439999999996</v>
      </c>
      <c r="P1047">
        <v>0.2299303</v>
      </c>
      <c r="Q1047">
        <v>-4.1197869999999998E-2</v>
      </c>
      <c r="R1047">
        <v>-0.9723349</v>
      </c>
      <c r="S1047">
        <v>-5.6488040000000003E-2</v>
      </c>
      <c r="T1047">
        <v>-0.24888060000000001</v>
      </c>
      <c r="U1047">
        <v>-3.100006</v>
      </c>
      <c r="V1047">
        <v>0.1055618</v>
      </c>
      <c r="W1047">
        <v>-2.7887289999999999E-2</v>
      </c>
      <c r="X1047">
        <v>0.99402170000000001</v>
      </c>
      <c r="Y1047">
        <v>0.34933829999999999</v>
      </c>
      <c r="Z1047">
        <v>7.0678210000000005E-2</v>
      </c>
      <c r="AA1047">
        <v>0.93432720000000002</v>
      </c>
      <c r="AB1047">
        <v>25</v>
      </c>
      <c r="AC1047">
        <v>-0.31630000000001202</v>
      </c>
      <c r="AD1047">
        <v>-1.099638588825</v>
      </c>
      <c r="AE1047">
        <v>-13.467499999999999</v>
      </c>
      <c r="AF1047">
        <v>4.7418804872780296</v>
      </c>
      <c r="AG1047">
        <v>-1.099638588825</v>
      </c>
      <c r="AH1047">
        <v>12.5137412504826</v>
      </c>
      <c r="AI1047">
        <v>94.697593543320806</v>
      </c>
      <c r="AJ1047">
        <v>69.246604622679399</v>
      </c>
      <c r="AK1047">
        <v>13.427149945751401</v>
      </c>
      <c r="AL1047">
        <v>91.598031088842703</v>
      </c>
      <c r="AM1047">
        <v>83.938098729322505</v>
      </c>
      <c r="AN1047">
        <v>1.0000000673168301</v>
      </c>
    </row>
    <row r="1048" spans="1:40" x14ac:dyDescent="0.25">
      <c r="A1048" t="str">
        <f>"20190312160930997"</f>
        <v>20190312160930997</v>
      </c>
      <c r="B1048" t="str">
        <f>"1552378170986480"</f>
        <v>1552378170986480</v>
      </c>
      <c r="C1048" t="s">
        <v>40</v>
      </c>
      <c r="D1048">
        <v>5.9339309999999896</v>
      </c>
      <c r="E1048">
        <v>0.57542199999999999</v>
      </c>
      <c r="F1048" t="s">
        <v>41</v>
      </c>
      <c r="G1048">
        <v>-190.39160000000001</v>
      </c>
      <c r="H1048" s="1">
        <v>-3.4598470000000001E-6</v>
      </c>
      <c r="I1048">
        <v>337.41120000000001</v>
      </c>
      <c r="J1048">
        <v>-189.8732</v>
      </c>
      <c r="K1048">
        <v>1.099858</v>
      </c>
      <c r="L1048">
        <v>350.83319999999998</v>
      </c>
      <c r="M1048">
        <v>0.30795980000000001</v>
      </c>
      <c r="N1048">
        <v>0</v>
      </c>
      <c r="O1048">
        <v>-0.95126429999999995</v>
      </c>
      <c r="P1048">
        <v>0.20675560000000001</v>
      </c>
      <c r="Q1048">
        <v>-4.2023100000000001E-2</v>
      </c>
      <c r="R1048">
        <v>-0.97749010000000003</v>
      </c>
      <c r="S1048">
        <v>-9.1583250000000005E-2</v>
      </c>
      <c r="T1048">
        <v>-0.24628939999999999</v>
      </c>
      <c r="U1048">
        <v>-3.0965579999999999</v>
      </c>
      <c r="V1048">
        <v>0.1036831</v>
      </c>
      <c r="W1048">
        <v>-2.8664829999999999E-2</v>
      </c>
      <c r="X1048">
        <v>0.9941972</v>
      </c>
      <c r="Y1048">
        <v>0.33588299999999999</v>
      </c>
      <c r="Z1048">
        <v>7.1182410000000002E-2</v>
      </c>
      <c r="AA1048">
        <v>0.93921010000000005</v>
      </c>
      <c r="AB1048">
        <v>24</v>
      </c>
      <c r="AC1048">
        <v>-0.51840000000001396</v>
      </c>
      <c r="AD1048">
        <v>-1.099861459847</v>
      </c>
      <c r="AE1048">
        <v>-13.421999999999899</v>
      </c>
      <c r="AF1048">
        <v>4.5963482772570297</v>
      </c>
      <c r="AG1048">
        <v>-1.099861459847</v>
      </c>
      <c r="AH1048">
        <v>12.525858519364</v>
      </c>
      <c r="AI1048">
        <v>94.712388377453294</v>
      </c>
      <c r="AJ1048">
        <v>69.849450478946196</v>
      </c>
      <c r="AK1048">
        <v>13.387802073672299</v>
      </c>
      <c r="AL1048">
        <v>91.642598835568194</v>
      </c>
      <c r="AM1048">
        <v>84.046244807402303</v>
      </c>
      <c r="AN1048">
        <v>0.99999996509618805</v>
      </c>
    </row>
    <row r="1049" spans="1:40" x14ac:dyDescent="0.25">
      <c r="A1049" t="str">
        <f>"20190312160931019"</f>
        <v>20190312160931019</v>
      </c>
      <c r="B1049" t="str">
        <f>"1552378171015760"</f>
        <v>1552378171015760</v>
      </c>
      <c r="C1049" t="s">
        <v>40</v>
      </c>
      <c r="D1049">
        <v>6.2390129999999999</v>
      </c>
      <c r="E1049">
        <v>0.58276830000000002</v>
      </c>
      <c r="F1049" t="s">
        <v>58</v>
      </c>
      <c r="G1049">
        <v>-185.07050000000001</v>
      </c>
      <c r="H1049">
        <v>3.5225080000000002</v>
      </c>
      <c r="I1049">
        <v>-81.816329999999994</v>
      </c>
      <c r="J1049">
        <v>-189.80869999999999</v>
      </c>
      <c r="K1049">
        <v>1.1000110000000001</v>
      </c>
      <c r="L1049">
        <v>350.57560000000001</v>
      </c>
      <c r="M1049">
        <v>0.29264839999999998</v>
      </c>
      <c r="N1049">
        <v>0</v>
      </c>
      <c r="O1049">
        <v>-0.95608669999999996</v>
      </c>
      <c r="P1049">
        <v>0.19281980000000001</v>
      </c>
      <c r="Q1049">
        <v>-4.283066E-2</v>
      </c>
      <c r="R1049">
        <v>-0.98029920000000004</v>
      </c>
      <c r="S1049">
        <v>3.3996579999999998E-2</v>
      </c>
      <c r="T1049">
        <v>1.7149210000000002E-2</v>
      </c>
      <c r="U1049">
        <v>-3.062592</v>
      </c>
      <c r="V1049">
        <v>0.10185569999999999</v>
      </c>
      <c r="W1049">
        <v>-2.9430169999999999E-2</v>
      </c>
      <c r="X1049">
        <v>0.99436380000000002</v>
      </c>
      <c r="Y1049">
        <v>0.28205390000000002</v>
      </c>
      <c r="Z1049">
        <v>-5.1180469999999997E-3</v>
      </c>
      <c r="AA1049">
        <v>0.95938489999999998</v>
      </c>
      <c r="AB1049">
        <v>24</v>
      </c>
      <c r="AC1049">
        <v>4.7381999999999698</v>
      </c>
      <c r="AD1049">
        <v>2.4224969999999999</v>
      </c>
      <c r="AE1049">
        <v>-432.39193</v>
      </c>
      <c r="AF1049">
        <v>122.020414286179</v>
      </c>
      <c r="AG1049">
        <v>2.4224969999999999</v>
      </c>
      <c r="AH1049">
        <v>414.83070490850201</v>
      </c>
      <c r="AI1049">
        <v>89.679010140028197</v>
      </c>
      <c r="AJ1049">
        <v>73.609012594846106</v>
      </c>
      <c r="AK1049">
        <v>432.41110500213802</v>
      </c>
      <c r="AL1049">
        <v>91.686467970665504</v>
      </c>
      <c r="AM1049">
        <v>84.151418067295495</v>
      </c>
      <c r="AN1049">
        <v>1.0000000426395701</v>
      </c>
    </row>
    <row r="1050" spans="1:40" x14ac:dyDescent="0.25">
      <c r="A1050" t="str">
        <f>"20190312160931038"</f>
        <v>20190312160931038</v>
      </c>
      <c r="B1050" t="str">
        <f>"1552378171026496"</f>
        <v>1552378171026496</v>
      </c>
      <c r="C1050" t="s">
        <v>40</v>
      </c>
      <c r="D1050">
        <v>6.2355150000000004</v>
      </c>
      <c r="E1050">
        <v>0.5830687</v>
      </c>
      <c r="F1050" t="s">
        <v>59</v>
      </c>
      <c r="G1050">
        <v>-191.10470000000001</v>
      </c>
      <c r="H1050" s="1">
        <v>2.4349569999999999E-6</v>
      </c>
      <c r="I1050">
        <v>292.15260000000001</v>
      </c>
      <c r="J1050">
        <v>-189.75989999999999</v>
      </c>
      <c r="K1050">
        <v>1.1001289999999999</v>
      </c>
      <c r="L1050">
        <v>350.36829999999998</v>
      </c>
      <c r="M1050">
        <v>0.28045819999999999</v>
      </c>
      <c r="N1050">
        <v>0</v>
      </c>
      <c r="O1050">
        <v>-0.95973379999999997</v>
      </c>
      <c r="P1050">
        <v>0.182639</v>
      </c>
      <c r="Q1050">
        <v>-4.3454069999999997E-2</v>
      </c>
      <c r="R1050">
        <v>-0.98221950000000002</v>
      </c>
      <c r="S1050">
        <v>-6.8130490000000002E-2</v>
      </c>
      <c r="T1050">
        <v>-5.7824489999999999E-2</v>
      </c>
      <c r="U1050">
        <v>-3.0711360000000001</v>
      </c>
      <c r="V1050">
        <v>9.950552E-2</v>
      </c>
      <c r="W1050">
        <v>-2.9998779999999999E-2</v>
      </c>
      <c r="X1050">
        <v>0.99458469999999999</v>
      </c>
      <c r="Y1050">
        <v>0.30170859999999999</v>
      </c>
      <c r="Z1050">
        <v>1.724958E-2</v>
      </c>
      <c r="AA1050">
        <v>0.95324410000000004</v>
      </c>
      <c r="AB1050">
        <v>24</v>
      </c>
      <c r="AC1050">
        <v>-1.34480000000002</v>
      </c>
      <c r="AD1050">
        <v>-1.1001265650429899</v>
      </c>
      <c r="AE1050">
        <v>-58.215699999999899</v>
      </c>
      <c r="AF1050">
        <v>17.613673653750102</v>
      </c>
      <c r="AG1050">
        <v>-1.1001265650429899</v>
      </c>
      <c r="AH1050">
        <v>55.481667714116803</v>
      </c>
      <c r="AI1050">
        <v>91.082711125150993</v>
      </c>
      <c r="AJ1050">
        <v>72.387003923370798</v>
      </c>
      <c r="AK1050">
        <v>58.220848760384797</v>
      </c>
      <c r="AL1050">
        <v>91.719061387875598</v>
      </c>
      <c r="AM1050">
        <v>84.286723266858701</v>
      </c>
      <c r="AN1050">
        <v>1.0000000003930201</v>
      </c>
    </row>
    <row r="1051" spans="1:40" x14ac:dyDescent="0.25">
      <c r="A1051" t="str">
        <f>"20190312160931062"</f>
        <v>20190312160931062</v>
      </c>
      <c r="B1051" t="str">
        <f>"1552378171055777"</f>
        <v>1552378171055777</v>
      </c>
      <c r="C1051" t="s">
        <v>40</v>
      </c>
      <c r="D1051">
        <v>4.7079409999999999</v>
      </c>
      <c r="E1051">
        <v>0.58335939999999997</v>
      </c>
      <c r="F1051" t="s">
        <v>41</v>
      </c>
      <c r="G1051">
        <v>-191.41329999999999</v>
      </c>
      <c r="H1051" s="1">
        <v>-9.1435480000000003E-7</v>
      </c>
      <c r="I1051">
        <v>300.84390000000002</v>
      </c>
      <c r="J1051">
        <v>-189.70419999999999</v>
      </c>
      <c r="K1051">
        <v>1.1003000000000001</v>
      </c>
      <c r="L1051">
        <v>350.11709999999999</v>
      </c>
      <c r="M1051">
        <v>0.26584609999999997</v>
      </c>
      <c r="N1051">
        <v>0</v>
      </c>
      <c r="O1051">
        <v>-0.96388450000000003</v>
      </c>
      <c r="P1051">
        <v>0.16969909999999999</v>
      </c>
      <c r="Q1051">
        <v>-4.4584510000000001E-2</v>
      </c>
      <c r="R1051">
        <v>-0.98448740000000001</v>
      </c>
      <c r="S1051">
        <v>-0.1025085</v>
      </c>
      <c r="T1051">
        <v>-6.8205000000000002E-2</v>
      </c>
      <c r="U1051">
        <v>-3.0703740000000002</v>
      </c>
      <c r="V1051">
        <v>9.7454970000000002E-2</v>
      </c>
      <c r="W1051">
        <v>-3.1084899999999999E-2</v>
      </c>
      <c r="X1051">
        <v>0.99475440000000004</v>
      </c>
      <c r="Y1051">
        <v>0.29788959999999998</v>
      </c>
      <c r="Z1051">
        <v>2.0497830000000002E-2</v>
      </c>
      <c r="AA1051">
        <v>0.95438020000000001</v>
      </c>
      <c r="AB1051">
        <v>24</v>
      </c>
      <c r="AC1051">
        <v>-1.7091000000000001</v>
      </c>
      <c r="AD1051">
        <v>-1.1003009143547999</v>
      </c>
      <c r="AE1051">
        <v>-49.273199999999903</v>
      </c>
      <c r="AF1051">
        <v>14.740983454917799</v>
      </c>
      <c r="AG1051">
        <v>-1.1003009143547999</v>
      </c>
      <c r="AH1051">
        <v>47.021836962882801</v>
      </c>
      <c r="AI1051">
        <v>91.279105394798194</v>
      </c>
      <c r="AJ1051">
        <v>72.594194047787397</v>
      </c>
      <c r="AK1051">
        <v>49.290571174254197</v>
      </c>
      <c r="AL1051">
        <v>91.781320476103204</v>
      </c>
      <c r="AM1051">
        <v>84.404652516441004</v>
      </c>
      <c r="AN1051">
        <v>1.00000002925253</v>
      </c>
    </row>
    <row r="1052" spans="1:40" x14ac:dyDescent="0.25">
      <c r="A1052" t="str">
        <f>"20190312160931082"</f>
        <v>20190312160931082</v>
      </c>
      <c r="B1052" t="str">
        <f>"1552378171076273"</f>
        <v>1552378171076273</v>
      </c>
      <c r="C1052" t="s">
        <v>40</v>
      </c>
      <c r="D1052">
        <v>6.2560599999999997</v>
      </c>
      <c r="E1052">
        <v>0.58226619999999996</v>
      </c>
      <c r="F1052" t="s">
        <v>41</v>
      </c>
      <c r="G1052">
        <v>-191.327</v>
      </c>
      <c r="H1052" s="1">
        <v>-3.3541920000000002E-6</v>
      </c>
      <c r="I1052">
        <v>315.94040000000001</v>
      </c>
      <c r="J1052">
        <v>-189.65809999999999</v>
      </c>
      <c r="K1052">
        <v>1.100452</v>
      </c>
      <c r="L1052">
        <v>349.89440000000002</v>
      </c>
      <c r="M1052">
        <v>0.25306580000000001</v>
      </c>
      <c r="N1052">
        <v>0</v>
      </c>
      <c r="O1052">
        <v>-0.96731929999999999</v>
      </c>
      <c r="P1052">
        <v>0.15830549999999999</v>
      </c>
      <c r="Q1052">
        <v>-4.4602219999999998E-2</v>
      </c>
      <c r="R1052">
        <v>-0.98638250000000005</v>
      </c>
      <c r="S1052">
        <v>-0.14567569999999999</v>
      </c>
      <c r="T1052">
        <v>-9.8771570000000003E-2</v>
      </c>
      <c r="U1052">
        <v>-3.0679630000000002</v>
      </c>
      <c r="V1052">
        <v>9.5801380000000005E-2</v>
      </c>
      <c r="W1052">
        <v>-3.1069699999999999E-2</v>
      </c>
      <c r="X1052">
        <v>0.99491549999999995</v>
      </c>
      <c r="Y1052">
        <v>0.29867300000000002</v>
      </c>
      <c r="Z1052">
        <v>2.9852159999999999E-2</v>
      </c>
      <c r="AA1052">
        <v>0.95388850000000003</v>
      </c>
      <c r="AB1052">
        <v>24</v>
      </c>
      <c r="AC1052">
        <v>-1.6689000000000001</v>
      </c>
      <c r="AD1052">
        <v>-1.1004553541919999</v>
      </c>
      <c r="AE1052">
        <v>-33.954000000000001</v>
      </c>
      <c r="AF1052">
        <v>10.1975510431635</v>
      </c>
      <c r="AG1052">
        <v>-1.1004553541919999</v>
      </c>
      <c r="AH1052">
        <v>32.3921455546175</v>
      </c>
      <c r="AI1052">
        <v>91.856021703299007</v>
      </c>
      <c r="AJ1052">
        <v>72.525187540214603</v>
      </c>
      <c r="AK1052">
        <v>33.977229770774798</v>
      </c>
      <c r="AL1052">
        <v>91.780449137778007</v>
      </c>
      <c r="AM1052">
        <v>84.499890818383506</v>
      </c>
      <c r="AN1052">
        <v>1.0000000414041199</v>
      </c>
    </row>
    <row r="1053" spans="1:40" x14ac:dyDescent="0.25">
      <c r="A1053" t="str">
        <f>"20190312160931104"</f>
        <v>20190312160931104</v>
      </c>
      <c r="B1053" t="str">
        <f>"1552378171095792"</f>
        <v>1552378171095792</v>
      </c>
      <c r="C1053" t="s">
        <v>40</v>
      </c>
      <c r="D1053">
        <v>6.1918220000000002</v>
      </c>
      <c r="E1053">
        <v>0.58073319999999995</v>
      </c>
      <c r="F1053" t="s">
        <v>41</v>
      </c>
      <c r="G1053">
        <v>-191.7799</v>
      </c>
      <c r="H1053" s="1">
        <v>-1.672673E-6</v>
      </c>
      <c r="I1053">
        <v>312.12819999999999</v>
      </c>
      <c r="J1053">
        <v>-189.61019999999999</v>
      </c>
      <c r="K1053">
        <v>1.1006400000000001</v>
      </c>
      <c r="L1053">
        <v>349.64760000000001</v>
      </c>
      <c r="M1053">
        <v>0.23909569999999999</v>
      </c>
      <c r="N1053">
        <v>0</v>
      </c>
      <c r="O1053">
        <v>-0.97086749999999999</v>
      </c>
      <c r="P1053">
        <v>0.1458825</v>
      </c>
      <c r="Q1053">
        <v>-4.4759479999999997E-2</v>
      </c>
      <c r="R1053">
        <v>-0.98828890000000003</v>
      </c>
      <c r="S1053">
        <v>-0.17221069999999999</v>
      </c>
      <c r="T1053">
        <v>-8.9311719999999997E-2</v>
      </c>
      <c r="U1053">
        <v>-3.0650629999999999</v>
      </c>
      <c r="V1053">
        <v>9.3985830000000006E-2</v>
      </c>
      <c r="W1053">
        <v>-3.1194570000000001E-2</v>
      </c>
      <c r="X1053">
        <v>0.99508470000000004</v>
      </c>
      <c r="Y1053">
        <v>0.29319450000000002</v>
      </c>
      <c r="Z1053">
        <v>2.7194590000000001E-2</v>
      </c>
      <c r="AA1053">
        <v>0.95566589999999996</v>
      </c>
      <c r="AB1053">
        <v>24</v>
      </c>
      <c r="AC1053">
        <v>-2.1697000000000002</v>
      </c>
      <c r="AD1053">
        <v>-1.1006416726729999</v>
      </c>
      <c r="AE1053">
        <v>-37.519399999999997</v>
      </c>
      <c r="AF1053">
        <v>11.069106945752001</v>
      </c>
      <c r="AG1053">
        <v>-1.1006416726729999</v>
      </c>
      <c r="AH1053">
        <v>35.881306207781201</v>
      </c>
      <c r="AI1053">
        <v>91.678942162616806</v>
      </c>
      <c r="AJ1053">
        <v>72.855408090385197</v>
      </c>
      <c r="AK1053">
        <v>37.566004257103003</v>
      </c>
      <c r="AL1053">
        <v>91.787607207286698</v>
      </c>
      <c r="AM1053">
        <v>84.604415365782899</v>
      </c>
      <c r="AN1053">
        <v>0.99999999880618096</v>
      </c>
    </row>
    <row r="1054" spans="1:40" x14ac:dyDescent="0.25">
      <c r="A1054" t="str">
        <f>"20190312160931127"</f>
        <v>20190312160931127</v>
      </c>
      <c r="B1054" t="str">
        <f>"1552378171116288"</f>
        <v>1552378171116288</v>
      </c>
      <c r="C1054" t="s">
        <v>40</v>
      </c>
      <c r="D1054">
        <v>6.2324640000000002</v>
      </c>
      <c r="E1054">
        <v>0.57999940000000005</v>
      </c>
      <c r="F1054" t="s">
        <v>41</v>
      </c>
      <c r="G1054">
        <v>-192.19579999999999</v>
      </c>
      <c r="H1054" s="1">
        <v>-6.7910539999999999E-7</v>
      </c>
      <c r="I1054">
        <v>309.79230000000001</v>
      </c>
      <c r="J1054">
        <v>-189.56700000000001</v>
      </c>
      <c r="K1054">
        <v>1.1008260000000001</v>
      </c>
      <c r="L1054">
        <v>349.40629999999999</v>
      </c>
      <c r="M1054">
        <v>0.22565730000000001</v>
      </c>
      <c r="N1054">
        <v>0</v>
      </c>
      <c r="O1054">
        <v>-0.97407949999999999</v>
      </c>
      <c r="P1054">
        <v>0.13361600000000001</v>
      </c>
      <c r="Q1054">
        <v>-4.4500680000000001E-2</v>
      </c>
      <c r="R1054">
        <v>-0.99003370000000002</v>
      </c>
      <c r="S1054">
        <v>-0.1985779</v>
      </c>
      <c r="T1054">
        <v>-8.4533330000000004E-2</v>
      </c>
      <c r="U1054">
        <v>-3.061035</v>
      </c>
      <c r="V1054">
        <v>9.2597159999999998E-2</v>
      </c>
      <c r="W1054">
        <v>-3.0915729999999999E-2</v>
      </c>
      <c r="X1054">
        <v>0.99522359999999999</v>
      </c>
      <c r="Y1054">
        <v>0.28825420000000002</v>
      </c>
      <c r="Z1054">
        <v>2.5921449999999999E-2</v>
      </c>
      <c r="AA1054">
        <v>0.95720300000000003</v>
      </c>
      <c r="AB1054">
        <v>24</v>
      </c>
      <c r="AC1054">
        <v>-2.62879999999998</v>
      </c>
      <c r="AD1054">
        <v>-1.10082667910539</v>
      </c>
      <c r="AE1054">
        <v>-39.613999999999898</v>
      </c>
      <c r="AF1054">
        <v>11.492438434721301</v>
      </c>
      <c r="AG1054">
        <v>-1.10082667910539</v>
      </c>
      <c r="AH1054">
        <v>37.969495620933799</v>
      </c>
      <c r="AI1054">
        <v>91.589501958532594</v>
      </c>
      <c r="AJ1054">
        <v>73.160218782855097</v>
      </c>
      <c r="AK1054">
        <v>39.685898733194897</v>
      </c>
      <c r="AL1054">
        <v>91.771623113450801</v>
      </c>
      <c r="AM1054">
        <v>84.684414364950399</v>
      </c>
      <c r="AN1054">
        <v>1.0000000151992201</v>
      </c>
    </row>
    <row r="1055" spans="1:40" x14ac:dyDescent="0.25">
      <c r="A1055" t="str">
        <f>"20190312160931151"</f>
        <v>20190312160931151</v>
      </c>
      <c r="B1055" t="str">
        <f>"1552378171146544"</f>
        <v>1552378171146544</v>
      </c>
      <c r="C1055" t="s">
        <v>40</v>
      </c>
      <c r="D1055">
        <v>6.1777509999999998</v>
      </c>
      <c r="E1055">
        <v>0.57904230000000001</v>
      </c>
      <c r="F1055" t="s">
        <v>41</v>
      </c>
      <c r="G1055">
        <v>-192.10489999999999</v>
      </c>
      <c r="H1055" s="1">
        <v>-3.5058349999999999E-6</v>
      </c>
      <c r="I1055">
        <v>315.82330000000002</v>
      </c>
      <c r="J1055">
        <v>-189.524</v>
      </c>
      <c r="K1055">
        <v>1.101016</v>
      </c>
      <c r="L1055">
        <v>349.14670000000001</v>
      </c>
      <c r="M1055">
        <v>0.21140059999999999</v>
      </c>
      <c r="N1055">
        <v>0</v>
      </c>
      <c r="O1055">
        <v>-0.97727370000000002</v>
      </c>
      <c r="P1055">
        <v>0.1208253</v>
      </c>
      <c r="Q1055">
        <v>-4.5139659999999998E-2</v>
      </c>
      <c r="R1055">
        <v>-0.99164719999999995</v>
      </c>
      <c r="S1055">
        <v>-0.2310181</v>
      </c>
      <c r="T1055">
        <v>-0.100202</v>
      </c>
      <c r="U1055">
        <v>-3.056854</v>
      </c>
      <c r="V1055">
        <v>9.0895680000000006E-2</v>
      </c>
      <c r="W1055">
        <v>-3.1532490000000003E-2</v>
      </c>
      <c r="X1055">
        <v>0.9953611</v>
      </c>
      <c r="Y1055">
        <v>0.28444150000000001</v>
      </c>
      <c r="Z1055">
        <v>3.0927360000000001E-2</v>
      </c>
      <c r="AA1055">
        <v>0.9581944</v>
      </c>
      <c r="AB1055">
        <v>24</v>
      </c>
      <c r="AC1055">
        <v>-2.5808999999999802</v>
      </c>
      <c r="AD1055">
        <v>-1.1010195058350001</v>
      </c>
      <c r="AE1055">
        <v>-33.3233999999999</v>
      </c>
      <c r="AF1055">
        <v>9.5576373402533896</v>
      </c>
      <c r="AG1055">
        <v>-1.1010195058350001</v>
      </c>
      <c r="AH1055">
        <v>31.989702306743698</v>
      </c>
      <c r="AI1055">
        <v>91.888788514342593</v>
      </c>
      <c r="AJ1055">
        <v>73.365310855962605</v>
      </c>
      <c r="AK1055">
        <v>33.405115314186801</v>
      </c>
      <c r="AL1055">
        <v>91.806978086783303</v>
      </c>
      <c r="AM1055">
        <v>84.782261292807405</v>
      </c>
      <c r="AN1055">
        <v>1.00000002098073</v>
      </c>
    </row>
    <row r="1056" spans="1:40" x14ac:dyDescent="0.25">
      <c r="A1056" t="str">
        <f>"20190312160931171"</f>
        <v>20190312160931171</v>
      </c>
      <c r="B1056" t="str">
        <f>"1552378171166065"</f>
        <v>1552378171166065</v>
      </c>
      <c r="C1056" t="s">
        <v>40</v>
      </c>
      <c r="D1056">
        <v>6.0031850000000002</v>
      </c>
      <c r="E1056">
        <v>0.57953459999999901</v>
      </c>
      <c r="F1056" t="s">
        <v>41</v>
      </c>
      <c r="G1056">
        <v>-191.8477</v>
      </c>
      <c r="H1056" s="1">
        <v>-1.613084E-6</v>
      </c>
      <c r="I1056">
        <v>322.20330000000001</v>
      </c>
      <c r="J1056">
        <v>-189.48820000000001</v>
      </c>
      <c r="K1056">
        <v>1.101175</v>
      </c>
      <c r="L1056">
        <v>348.9117</v>
      </c>
      <c r="M1056">
        <v>0.19867219999999999</v>
      </c>
      <c r="N1056">
        <v>0</v>
      </c>
      <c r="O1056">
        <v>-0.97994150000000002</v>
      </c>
      <c r="P1056">
        <v>0.10839029999999999</v>
      </c>
      <c r="Q1056">
        <v>-4.5879469999999999E-2</v>
      </c>
      <c r="R1056">
        <v>-0.99304930000000002</v>
      </c>
      <c r="S1056">
        <v>-0.26318360000000002</v>
      </c>
      <c r="T1056">
        <v>-0.12470340000000001</v>
      </c>
      <c r="U1056">
        <v>-3.051666</v>
      </c>
      <c r="V1056">
        <v>9.0410560000000001E-2</v>
      </c>
      <c r="W1056">
        <v>-3.2277840000000002E-2</v>
      </c>
      <c r="X1056">
        <v>0.99538139999999997</v>
      </c>
      <c r="Y1056">
        <v>0.28210299999999999</v>
      </c>
      <c r="Z1056">
        <v>3.8704580000000002E-2</v>
      </c>
      <c r="AA1056">
        <v>0.95860310000000004</v>
      </c>
      <c r="AB1056">
        <v>24</v>
      </c>
      <c r="AC1056">
        <v>-2.3594999999999899</v>
      </c>
      <c r="AD1056">
        <v>-1.1011766130839999</v>
      </c>
      <c r="AE1056">
        <v>-26.708399999999902</v>
      </c>
      <c r="AF1056">
        <v>7.6064882364570003</v>
      </c>
      <c r="AG1056">
        <v>-1.1011766130839999</v>
      </c>
      <c r="AH1056">
        <v>25.663751669737501</v>
      </c>
      <c r="AI1056">
        <v>92.355758076749595</v>
      </c>
      <c r="AJ1056">
        <v>73.490684992730294</v>
      </c>
      <c r="AK1056">
        <v>26.789912336372399</v>
      </c>
      <c r="AL1056">
        <v>91.849705232024306</v>
      </c>
      <c r="AM1056">
        <v>84.810061705457699</v>
      </c>
      <c r="AN1056">
        <v>1.00000002989026</v>
      </c>
    </row>
    <row r="1057" spans="1:40" x14ac:dyDescent="0.25">
      <c r="A1057" t="str">
        <f>"20190312160931196"</f>
        <v>20190312160931196</v>
      </c>
      <c r="B1057" t="str">
        <f>"1552378171186560"</f>
        <v>1552378171186560</v>
      </c>
      <c r="C1057" t="s">
        <v>40</v>
      </c>
      <c r="D1057">
        <v>6.2113719999999999</v>
      </c>
      <c r="E1057">
        <v>0.5809685</v>
      </c>
      <c r="F1057" t="s">
        <v>41</v>
      </c>
      <c r="G1057">
        <v>-192.40020000000001</v>
      </c>
      <c r="H1057" s="1">
        <v>-7.2952579999999995E-7</v>
      </c>
      <c r="I1057">
        <v>319.80099999999999</v>
      </c>
      <c r="J1057">
        <v>-189.45169999999999</v>
      </c>
      <c r="K1057">
        <v>1.1013569999999999</v>
      </c>
      <c r="L1057">
        <v>348.64980000000003</v>
      </c>
      <c r="M1057">
        <v>0.18471940000000001</v>
      </c>
      <c r="N1057">
        <v>0</v>
      </c>
      <c r="O1057">
        <v>-0.98266790000000004</v>
      </c>
      <c r="P1057">
        <v>9.5077469999999997E-2</v>
      </c>
      <c r="Q1057">
        <v>-4.6135179999999998E-2</v>
      </c>
      <c r="R1057">
        <v>-0.99440059999999997</v>
      </c>
      <c r="S1057">
        <v>-0.30499270000000001</v>
      </c>
      <c r="T1057">
        <v>-0.115333</v>
      </c>
      <c r="U1057">
        <v>-3.04895</v>
      </c>
      <c r="V1057">
        <v>8.9598709999999998E-2</v>
      </c>
      <c r="W1057">
        <v>-3.2533329999999999E-2</v>
      </c>
      <c r="X1057">
        <v>0.99544639999999995</v>
      </c>
      <c r="Y1057">
        <v>0.2815782</v>
      </c>
      <c r="Z1057">
        <v>3.5966819999999997E-2</v>
      </c>
      <c r="AA1057">
        <v>0.95886400000000005</v>
      </c>
      <c r="AB1057">
        <v>24</v>
      </c>
      <c r="AC1057">
        <v>-2.9485000000000201</v>
      </c>
      <c r="AD1057">
        <v>-1.1013577295257999</v>
      </c>
      <c r="AE1057">
        <v>-28.848800000000001</v>
      </c>
      <c r="AF1057">
        <v>8.2154770521261806</v>
      </c>
      <c r="AG1057">
        <v>-1.1013577295257999</v>
      </c>
      <c r="AH1057">
        <v>27.767464983293099</v>
      </c>
      <c r="AI1057">
        <v>92.178128225836801</v>
      </c>
      <c r="AJ1057">
        <v>73.518252078786901</v>
      </c>
      <c r="AK1057">
        <v>28.978253288298902</v>
      </c>
      <c r="AL1057">
        <v>91.864351588588306</v>
      </c>
      <c r="AM1057">
        <v>84.856748190325504</v>
      </c>
      <c r="AN1057">
        <v>0.99999994083375399</v>
      </c>
    </row>
    <row r="1058" spans="1:40" x14ac:dyDescent="0.25">
      <c r="A1058" t="str">
        <f>"20190312160931218"</f>
        <v>20190312160931218</v>
      </c>
      <c r="B1058" t="str">
        <f>"1552378171206081"</f>
        <v>1552378171206081</v>
      </c>
      <c r="C1058" t="s">
        <v>40</v>
      </c>
      <c r="D1058">
        <v>6.275887</v>
      </c>
      <c r="E1058">
        <v>0.58151379999999997</v>
      </c>
      <c r="F1058" t="s">
        <v>41</v>
      </c>
      <c r="G1058">
        <v>-192.6061</v>
      </c>
      <c r="H1058" s="1">
        <v>-1.629408E-6</v>
      </c>
      <c r="I1058">
        <v>321.77089999999998</v>
      </c>
      <c r="J1058">
        <v>-189.42099999999999</v>
      </c>
      <c r="K1058">
        <v>1.101545</v>
      </c>
      <c r="L1058">
        <v>348.4076</v>
      </c>
      <c r="M1058">
        <v>0.1720556</v>
      </c>
      <c r="N1058">
        <v>0</v>
      </c>
      <c r="O1058">
        <v>-0.98496499999999998</v>
      </c>
      <c r="P1058">
        <v>8.3425890000000003E-2</v>
      </c>
      <c r="Q1058">
        <v>-4.6279460000000001E-2</v>
      </c>
      <c r="R1058">
        <v>-0.99543859999999995</v>
      </c>
      <c r="S1058">
        <v>-0.35739140000000003</v>
      </c>
      <c r="T1058">
        <v>-0.1247814</v>
      </c>
      <c r="U1058">
        <v>-3.0453190000000001</v>
      </c>
      <c r="V1058">
        <v>8.845298E-2</v>
      </c>
      <c r="W1058">
        <v>-3.2669770000000001E-2</v>
      </c>
      <c r="X1058">
        <v>0.9955444</v>
      </c>
      <c r="Y1058">
        <v>0.28562939999999998</v>
      </c>
      <c r="Z1058">
        <v>3.9034909999999999E-2</v>
      </c>
      <c r="AA1058">
        <v>0.95754490000000003</v>
      </c>
      <c r="AB1058">
        <v>24</v>
      </c>
      <c r="AC1058">
        <v>-3.1850999999999998</v>
      </c>
      <c r="AD1058">
        <v>-1.1015466294079901</v>
      </c>
      <c r="AE1058">
        <v>-26.636700000000001</v>
      </c>
      <c r="AF1058">
        <v>7.7081386074796603</v>
      </c>
      <c r="AG1058">
        <v>-1.1015466294079901</v>
      </c>
      <c r="AH1058">
        <v>25.648051818676102</v>
      </c>
      <c r="AI1058">
        <v>92.355315846680099</v>
      </c>
      <c r="AJ1058">
        <v>73.272634893705202</v>
      </c>
      <c r="AK1058">
        <v>26.803943140186899</v>
      </c>
      <c r="AL1058">
        <v>91.872173169612495</v>
      </c>
      <c r="AM1058">
        <v>84.922667941708099</v>
      </c>
      <c r="AN1058">
        <v>0.99999994795704505</v>
      </c>
    </row>
    <row r="1059" spans="1:40" x14ac:dyDescent="0.25">
      <c r="A1059" t="str">
        <f>"20190312160931241"</f>
        <v>20190312160931241</v>
      </c>
      <c r="B1059" t="str">
        <f>"1552378171236336"</f>
        <v>1552378171236336</v>
      </c>
      <c r="C1059" t="s">
        <v>40</v>
      </c>
      <c r="D1059">
        <v>6.2072320000000003</v>
      </c>
      <c r="E1059">
        <v>0.58210589999999995</v>
      </c>
      <c r="F1059" t="s">
        <v>41</v>
      </c>
      <c r="G1059">
        <v>-192.8903</v>
      </c>
      <c r="H1059" s="1">
        <v>-1.7410520000000001E-6</v>
      </c>
      <c r="I1059">
        <v>321.85489999999999</v>
      </c>
      <c r="J1059">
        <v>-189.3921</v>
      </c>
      <c r="K1059">
        <v>1.1017680000000001</v>
      </c>
      <c r="L1059">
        <v>348.15559999999999</v>
      </c>
      <c r="M1059">
        <v>0.15915090000000001</v>
      </c>
      <c r="N1059">
        <v>0</v>
      </c>
      <c r="O1059">
        <v>-0.98713340000000005</v>
      </c>
      <c r="P1059">
        <v>7.1883379999999997E-2</v>
      </c>
      <c r="Q1059">
        <v>-4.6380200000000003E-2</v>
      </c>
      <c r="R1059">
        <v>-0.99633450000000001</v>
      </c>
      <c r="S1059">
        <v>-0.39735409999999999</v>
      </c>
      <c r="T1059">
        <v>-0.12616369999999999</v>
      </c>
      <c r="U1059">
        <v>-3.0411679999999999</v>
      </c>
      <c r="V1059">
        <v>8.6976600000000001E-2</v>
      </c>
      <c r="W1059">
        <v>-3.2756559999999997E-2</v>
      </c>
      <c r="X1059">
        <v>0.99567169999999905</v>
      </c>
      <c r="Y1059">
        <v>0.2856281</v>
      </c>
      <c r="Z1059">
        <v>3.9622780000000003E-2</v>
      </c>
      <c r="AA1059">
        <v>0.95752110000000001</v>
      </c>
      <c r="AB1059">
        <v>24</v>
      </c>
      <c r="AC1059">
        <v>-3.49819999999999</v>
      </c>
      <c r="AD1059">
        <v>-1.101769741052</v>
      </c>
      <c r="AE1059">
        <v>-26.300699999999999</v>
      </c>
      <c r="AF1059">
        <v>7.62673046241287</v>
      </c>
      <c r="AG1059">
        <v>-1.101769741052</v>
      </c>
      <c r="AH1059">
        <v>25.364851237132999</v>
      </c>
      <c r="AI1059">
        <v>92.381969065390194</v>
      </c>
      <c r="AJ1059">
        <v>73.264962386207799</v>
      </c>
      <c r="AK1059">
        <v>26.509556623800499</v>
      </c>
      <c r="AL1059">
        <v>91.877148383787997</v>
      </c>
      <c r="AM1059">
        <v>85.007617480266006</v>
      </c>
      <c r="AN1059">
        <v>1.0000000276757399</v>
      </c>
    </row>
    <row r="1060" spans="1:40" x14ac:dyDescent="0.25">
      <c r="A1060" t="str">
        <f>"20190312160931261"</f>
        <v>20190312160931261</v>
      </c>
      <c r="B1060" t="str">
        <f>"1552378171255858"</f>
        <v>1552378171255858</v>
      </c>
      <c r="C1060" t="s">
        <v>40</v>
      </c>
      <c r="D1060">
        <v>6.2356540000000003</v>
      </c>
      <c r="E1060">
        <v>0.5823081</v>
      </c>
      <c r="F1060" t="s">
        <v>41</v>
      </c>
      <c r="G1060">
        <v>-192.904</v>
      </c>
      <c r="H1060" s="1">
        <v>-2.5720800000000002E-6</v>
      </c>
      <c r="I1060">
        <v>323.78359999999998</v>
      </c>
      <c r="J1060">
        <v>-189.36930000000001</v>
      </c>
      <c r="K1060">
        <v>1.101985</v>
      </c>
      <c r="L1060">
        <v>347.93459999999999</v>
      </c>
      <c r="M1060">
        <v>0.148082399999999</v>
      </c>
      <c r="N1060">
        <v>0</v>
      </c>
      <c r="O1060">
        <v>-0.98885520000000005</v>
      </c>
      <c r="P1060">
        <v>6.2187880000000001E-2</v>
      </c>
      <c r="Q1060">
        <v>-4.7114610000000001E-2</v>
      </c>
      <c r="R1060">
        <v>-0.9969519</v>
      </c>
      <c r="S1060">
        <v>-0.4375</v>
      </c>
      <c r="T1060">
        <v>-0.13725660000000001</v>
      </c>
      <c r="U1060">
        <v>-3.0362239999999998</v>
      </c>
      <c r="V1060">
        <v>8.5504919999999998E-2</v>
      </c>
      <c r="W1060">
        <v>-3.3475530000000003E-2</v>
      </c>
      <c r="X1060">
        <v>0.99577519999999997</v>
      </c>
      <c r="Y1060">
        <v>0.28749570000000002</v>
      </c>
      <c r="Z1060">
        <v>4.3234450000000001E-2</v>
      </c>
      <c r="AA1060">
        <v>0.95680560000000003</v>
      </c>
      <c r="AB1060">
        <v>24</v>
      </c>
      <c r="AC1060">
        <v>-3.5347000000000102</v>
      </c>
      <c r="AD1060">
        <v>-1.1019875720799901</v>
      </c>
      <c r="AE1060">
        <v>-24.151</v>
      </c>
      <c r="AF1060">
        <v>7.0580957831729698</v>
      </c>
      <c r="AG1060">
        <v>-1.1019875720799901</v>
      </c>
      <c r="AH1060">
        <v>23.313662123857998</v>
      </c>
      <c r="AI1060">
        <v>92.590300745243098</v>
      </c>
      <c r="AJ1060">
        <v>73.156571678593707</v>
      </c>
      <c r="AK1060">
        <v>24.383558688568701</v>
      </c>
      <c r="AL1060">
        <v>91.918365036620202</v>
      </c>
      <c r="AM1060">
        <v>85.092182128383598</v>
      </c>
      <c r="AN1060">
        <v>0.999999975694013</v>
      </c>
    </row>
    <row r="1061" spans="1:40" x14ac:dyDescent="0.25">
      <c r="A1061" t="str">
        <f>"20190312160931285"</f>
        <v>20190312160931285</v>
      </c>
      <c r="B1061" t="str">
        <f>"1552378171276353"</f>
        <v>1552378171276353</v>
      </c>
      <c r="C1061" t="s">
        <v>40</v>
      </c>
      <c r="D1061">
        <v>6.2793919999999996</v>
      </c>
      <c r="E1061">
        <v>0.58222499999999999</v>
      </c>
      <c r="F1061" t="s">
        <v>41</v>
      </c>
      <c r="G1061">
        <v>-192.83760000000001</v>
      </c>
      <c r="H1061" s="1">
        <v>-3.2917779999999998E-6</v>
      </c>
      <c r="I1061">
        <v>325.50240000000002</v>
      </c>
      <c r="J1061">
        <v>-189.34620000000001</v>
      </c>
      <c r="K1061">
        <v>1.1022419999999999</v>
      </c>
      <c r="L1061">
        <v>347.68599999999998</v>
      </c>
      <c r="M1061">
        <v>0.1359282</v>
      </c>
      <c r="N1061">
        <v>0</v>
      </c>
      <c r="O1061">
        <v>-0.99060020000000004</v>
      </c>
      <c r="P1061">
        <v>5.1641819999999998E-2</v>
      </c>
      <c r="Q1061">
        <v>-4.6923949999999999E-2</v>
      </c>
      <c r="R1061">
        <v>-0.99756310000000004</v>
      </c>
      <c r="S1061">
        <v>-0.46868900000000002</v>
      </c>
      <c r="T1061">
        <v>-0.14891840000000001</v>
      </c>
      <c r="U1061">
        <v>-3.0314030000000001</v>
      </c>
      <c r="V1061">
        <v>8.3832409999999996E-2</v>
      </c>
      <c r="W1061">
        <v>-3.3265799999999998E-2</v>
      </c>
      <c r="X1061">
        <v>0.99592449999999999</v>
      </c>
      <c r="Y1061">
        <v>0.2855509</v>
      </c>
      <c r="Z1061">
        <v>4.7079889999999999E-2</v>
      </c>
      <c r="AA1061">
        <v>0.95720640000000001</v>
      </c>
      <c r="AB1061">
        <v>24</v>
      </c>
      <c r="AC1061">
        <v>-3.4913999999999898</v>
      </c>
      <c r="AD1061">
        <v>-1.1022452917779999</v>
      </c>
      <c r="AE1061">
        <v>-22.183599999999899</v>
      </c>
      <c r="AF1061">
        <v>6.4591572794368597</v>
      </c>
      <c r="AG1061">
        <v>-1.1022452917779999</v>
      </c>
      <c r="AH1061">
        <v>21.451343399969399</v>
      </c>
      <c r="AI1061">
        <v>92.816764228489703</v>
      </c>
      <c r="AJ1061">
        <v>73.242565459765402</v>
      </c>
      <c r="AK1061">
        <v>22.429796947524</v>
      </c>
      <c r="AL1061">
        <v>91.906341557998104</v>
      </c>
      <c r="AM1061">
        <v>85.188443711778405</v>
      </c>
      <c r="AN1061">
        <v>1.0000000480581399</v>
      </c>
    </row>
    <row r="1062" spans="1:40" x14ac:dyDescent="0.25">
      <c r="A1062" t="str">
        <f>"20190312160931307"</f>
        <v>20190312160931307</v>
      </c>
      <c r="B1062" t="str">
        <f>"1552378171295873"</f>
        <v>1552378171295873</v>
      </c>
      <c r="C1062" t="s">
        <v>40</v>
      </c>
      <c r="D1062">
        <v>6.3087099999999996</v>
      </c>
      <c r="E1062">
        <v>0.58173330000000001</v>
      </c>
      <c r="F1062" t="s">
        <v>41</v>
      </c>
      <c r="G1062">
        <v>-192.84569999999999</v>
      </c>
      <c r="H1062" s="1">
        <v>-3.7277720000000002E-6</v>
      </c>
      <c r="I1062">
        <v>326.51369999999997</v>
      </c>
      <c r="J1062">
        <v>-189.32579999999999</v>
      </c>
      <c r="K1062">
        <v>1.1025069999999999</v>
      </c>
      <c r="L1062">
        <v>347.43439999999998</v>
      </c>
      <c r="M1062">
        <v>0.1239898</v>
      </c>
      <c r="N1062">
        <v>0</v>
      </c>
      <c r="O1062">
        <v>-0.99216629999999995</v>
      </c>
      <c r="P1062">
        <v>4.099759E-2</v>
      </c>
      <c r="Q1062">
        <v>-4.6559400000000001E-2</v>
      </c>
      <c r="R1062">
        <v>-0.99807389999999996</v>
      </c>
      <c r="S1062">
        <v>-0.50012209999999901</v>
      </c>
      <c r="T1062">
        <v>-0.15752769999999999</v>
      </c>
      <c r="U1062">
        <v>-3.0258479999999999</v>
      </c>
      <c r="V1062">
        <v>8.249339E-2</v>
      </c>
      <c r="W1062">
        <v>-3.2891429999999999E-2</v>
      </c>
      <c r="X1062">
        <v>0.99604870000000001</v>
      </c>
      <c r="Y1062">
        <v>0.28394789999999998</v>
      </c>
      <c r="Z1062">
        <v>4.9978109999999999E-2</v>
      </c>
      <c r="AA1062">
        <v>0.95753630000000001</v>
      </c>
      <c r="AB1062">
        <v>24</v>
      </c>
      <c r="AC1062">
        <v>-3.5198999999999998</v>
      </c>
      <c r="AD1062">
        <v>-1.1025107277720001</v>
      </c>
      <c r="AE1062">
        <v>-20.9207</v>
      </c>
      <c r="AF1062">
        <v>6.0705920474940802</v>
      </c>
      <c r="AG1062">
        <v>-1.1025107277720001</v>
      </c>
      <c r="AH1062">
        <v>20.2680055800368</v>
      </c>
      <c r="AI1062">
        <v>92.982952747856999</v>
      </c>
      <c r="AJ1062">
        <v>73.326200353799805</v>
      </c>
      <c r="AK1062">
        <v>21.186308501113501</v>
      </c>
      <c r="AL1062">
        <v>91.884880066481003</v>
      </c>
      <c r="AM1062">
        <v>85.265532167437001</v>
      </c>
      <c r="AN1062">
        <v>1.0000000091664101</v>
      </c>
    </row>
    <row r="1063" spans="1:40" x14ac:dyDescent="0.25">
      <c r="A1063" t="str">
        <f>"20190312160931329"</f>
        <v>20190312160931329</v>
      </c>
      <c r="B1063" t="str">
        <f>"1552378171326129"</f>
        <v>1552378171326129</v>
      </c>
      <c r="C1063" t="s">
        <v>40</v>
      </c>
      <c r="D1063">
        <v>6.0865939999999998</v>
      </c>
      <c r="E1063">
        <v>0.58238480000000004</v>
      </c>
      <c r="F1063" t="s">
        <v>41</v>
      </c>
      <c r="G1063">
        <v>-192.9016</v>
      </c>
      <c r="H1063" s="1">
        <v>-3.9248990000000001E-6</v>
      </c>
      <c r="I1063">
        <v>327.00779999999997</v>
      </c>
      <c r="J1063">
        <v>-189.3091</v>
      </c>
      <c r="K1063">
        <v>1.102743</v>
      </c>
      <c r="L1063">
        <v>347.19909999999999</v>
      </c>
      <c r="M1063">
        <v>0.1130837</v>
      </c>
      <c r="N1063">
        <v>0</v>
      </c>
      <c r="O1063">
        <v>-0.99346959999999995</v>
      </c>
      <c r="P1063">
        <v>3.160582E-2</v>
      </c>
      <c r="Q1063">
        <v>-4.6567169999999998E-2</v>
      </c>
      <c r="R1063">
        <v>-0.99841530000000001</v>
      </c>
      <c r="S1063">
        <v>-0.52864069999999996</v>
      </c>
      <c r="T1063">
        <v>-0.16299549999999999</v>
      </c>
      <c r="U1063">
        <v>-3.0198670000000001</v>
      </c>
      <c r="V1063">
        <v>8.0940680000000001E-2</v>
      </c>
      <c r="W1063">
        <v>-3.2888979999999998E-2</v>
      </c>
      <c r="X1063">
        <v>0.99617610000000001</v>
      </c>
      <c r="Y1063">
        <v>0.28249170000000001</v>
      </c>
      <c r="Z1063">
        <v>5.1884449999999999E-2</v>
      </c>
      <c r="AA1063">
        <v>0.95786559999999998</v>
      </c>
      <c r="AB1063">
        <v>24</v>
      </c>
      <c r="AC1063">
        <v>-3.5924999999999998</v>
      </c>
      <c r="AD1063">
        <v>-1.1027469248989901</v>
      </c>
      <c r="AE1063">
        <v>-20.191299999999998</v>
      </c>
      <c r="AF1063">
        <v>5.8361464125726004</v>
      </c>
      <c r="AG1063">
        <v>-1.1027469248989901</v>
      </c>
      <c r="AH1063">
        <v>19.5987870209253</v>
      </c>
      <c r="AI1063">
        <v>93.086739758202299</v>
      </c>
      <c r="AJ1063">
        <v>73.417468437132399</v>
      </c>
      <c r="AK1063">
        <v>20.478991879996201</v>
      </c>
      <c r="AL1063">
        <v>91.884739726543899</v>
      </c>
      <c r="AM1063">
        <v>85.354843187223096</v>
      </c>
      <c r="AN1063">
        <v>0.99999995044775503</v>
      </c>
    </row>
    <row r="1064" spans="1:40" x14ac:dyDescent="0.25">
      <c r="A1064" t="str">
        <f>"20190312160931353"</f>
        <v>20190312160931353</v>
      </c>
      <c r="B1064" t="str">
        <f>"1552378171346625"</f>
        <v>1552378171346625</v>
      </c>
      <c r="C1064" t="s">
        <v>40</v>
      </c>
      <c r="D1064">
        <v>6.1215960000000003</v>
      </c>
      <c r="E1064">
        <v>0.58233369999999995</v>
      </c>
      <c r="F1064" t="s">
        <v>41</v>
      </c>
      <c r="G1064">
        <v>-193.45529999999999</v>
      </c>
      <c r="H1064" s="1">
        <v>-3.2189569999999999E-6</v>
      </c>
      <c r="I1064">
        <v>324.9495</v>
      </c>
      <c r="J1064">
        <v>-189.29320000000001</v>
      </c>
      <c r="K1064">
        <v>1.1029739999999999</v>
      </c>
      <c r="L1064">
        <v>346.93729999999999</v>
      </c>
      <c r="M1064">
        <v>0.1012735</v>
      </c>
      <c r="N1064">
        <v>0</v>
      </c>
      <c r="O1064">
        <v>-0.99474379999999996</v>
      </c>
      <c r="P1064">
        <v>2.0478639999999999E-2</v>
      </c>
      <c r="Q1064">
        <v>-4.6906539999999997E-2</v>
      </c>
      <c r="R1064">
        <v>-0.99868939999999995</v>
      </c>
      <c r="S1064">
        <v>-0.56195069999999903</v>
      </c>
      <c r="T1064">
        <v>-0.14945939999999999</v>
      </c>
      <c r="U1064">
        <v>-3.0155639999999999</v>
      </c>
      <c r="V1064">
        <v>8.0216620000000002E-2</v>
      </c>
      <c r="W1064">
        <v>-3.3238610000000002E-2</v>
      </c>
      <c r="X1064">
        <v>0.99622310000000003</v>
      </c>
      <c r="Y1064">
        <v>0.28161310000000001</v>
      </c>
      <c r="Z1064">
        <v>4.7707350000000003E-2</v>
      </c>
      <c r="AA1064">
        <v>0.95834129999999995</v>
      </c>
      <c r="AB1064">
        <v>24</v>
      </c>
      <c r="AC1064">
        <v>-4.1620999999999801</v>
      </c>
      <c r="AD1064">
        <v>-1.102977218957</v>
      </c>
      <c r="AE1064">
        <v>-21.9878</v>
      </c>
      <c r="AF1064">
        <v>6.3523004091974897</v>
      </c>
      <c r="AG1064">
        <v>-1.102977218957</v>
      </c>
      <c r="AH1064">
        <v>21.4011781167568</v>
      </c>
      <c r="AI1064">
        <v>92.828548549874796</v>
      </c>
      <c r="AJ1064">
        <v>73.468051519438106</v>
      </c>
      <c r="AK1064">
        <v>22.351257325246401</v>
      </c>
      <c r="AL1064">
        <v>91.904782937997496</v>
      </c>
      <c r="AM1064">
        <v>85.396433572599705</v>
      </c>
      <c r="AN1064">
        <v>0.99999998814628299</v>
      </c>
    </row>
    <row r="1065" spans="1:40" x14ac:dyDescent="0.25">
      <c r="A1065" t="str">
        <f>"20190312160931372"</f>
        <v>20190312160931372</v>
      </c>
      <c r="B1065" t="str">
        <f>"1552378171366145"</f>
        <v>1552378171366145</v>
      </c>
      <c r="C1065" t="s">
        <v>40</v>
      </c>
      <c r="D1065">
        <v>6.2390889999999999</v>
      </c>
      <c r="E1065">
        <v>0.5821248</v>
      </c>
      <c r="F1065" t="s">
        <v>41</v>
      </c>
      <c r="G1065">
        <v>-193.90979999999999</v>
      </c>
      <c r="H1065" s="1">
        <v>-2.7563420000000001E-6</v>
      </c>
      <c r="I1065">
        <v>323.58929999999998</v>
      </c>
      <c r="J1065">
        <v>-189.28210000000001</v>
      </c>
      <c r="K1065">
        <v>1.1031690000000001</v>
      </c>
      <c r="L1065">
        <v>346.72239999999999</v>
      </c>
      <c r="M1065">
        <v>9.18514E-2</v>
      </c>
      <c r="N1065">
        <v>0</v>
      </c>
      <c r="O1065">
        <v>-0.99565870000000001</v>
      </c>
      <c r="P1065">
        <v>1.194458E-2</v>
      </c>
      <c r="Q1065">
        <v>-4.7665659999999999E-2</v>
      </c>
      <c r="R1065">
        <v>-0.99879180000000001</v>
      </c>
      <c r="S1065">
        <v>-0.59506230000000004</v>
      </c>
      <c r="T1065">
        <v>-0.1421703</v>
      </c>
      <c r="U1065">
        <v>-3.0094910000000001</v>
      </c>
      <c r="V1065">
        <v>7.9296130000000006E-2</v>
      </c>
      <c r="W1065">
        <v>-3.400094E-2</v>
      </c>
      <c r="X1065">
        <v>0.99627109999999997</v>
      </c>
      <c r="Y1065">
        <v>0.2830664</v>
      </c>
      <c r="Z1065">
        <v>4.54834E-2</v>
      </c>
      <c r="AA1065">
        <v>0.95802120000000002</v>
      </c>
      <c r="AB1065">
        <v>24</v>
      </c>
      <c r="AC1065">
        <v>-4.6276999999999697</v>
      </c>
      <c r="AD1065">
        <v>-1.103171756342</v>
      </c>
      <c r="AE1065">
        <v>-23.133099999999999</v>
      </c>
      <c r="AF1065">
        <v>6.71849096720209</v>
      </c>
      <c r="AG1065">
        <v>-1.103171756342</v>
      </c>
      <c r="AH1065">
        <v>22.560846311919502</v>
      </c>
      <c r="AI1065">
        <v>92.683133856082307</v>
      </c>
      <c r="AJ1065">
        <v>73.416769604612597</v>
      </c>
      <c r="AK1065">
        <v>23.565799267379401</v>
      </c>
      <c r="AL1065">
        <v>91.948485869856398</v>
      </c>
      <c r="AM1065">
        <v>85.449254899779703</v>
      </c>
      <c r="AN1065">
        <v>1.00000002242453</v>
      </c>
    </row>
    <row r="1066" spans="1:40" x14ac:dyDescent="0.25">
      <c r="A1066" t="str">
        <f>"20190312160931398"</f>
        <v>20190312160931398</v>
      </c>
      <c r="B1066" t="str">
        <f>"1552378171386641"</f>
        <v>1552378171386641</v>
      </c>
      <c r="C1066" t="s">
        <v>40</v>
      </c>
      <c r="D1066">
        <v>6.2204090000000001</v>
      </c>
      <c r="E1066">
        <v>0.58162369999999997</v>
      </c>
      <c r="F1066" t="s">
        <v>41</v>
      </c>
      <c r="G1066">
        <v>-194.15090000000001</v>
      </c>
      <c r="H1066" s="1">
        <v>-2.6090669999999999E-6</v>
      </c>
      <c r="I1066">
        <v>323.09640000000002</v>
      </c>
      <c r="J1066">
        <v>-189.27099999999999</v>
      </c>
      <c r="K1066">
        <v>1.1034250000000001</v>
      </c>
      <c r="L1066">
        <v>346.45920000000001</v>
      </c>
      <c r="M1066">
        <v>8.0676170000000005E-2</v>
      </c>
      <c r="N1066">
        <v>0</v>
      </c>
      <c r="O1066">
        <v>-0.99662759999999995</v>
      </c>
      <c r="P1066">
        <v>2.0436650000000001E-3</v>
      </c>
      <c r="Q1066">
        <v>-4.7652069999999998E-2</v>
      </c>
      <c r="R1066">
        <v>-0.99886200000000003</v>
      </c>
      <c r="S1066">
        <v>-0.61912539999999905</v>
      </c>
      <c r="T1066">
        <v>-0.1402832</v>
      </c>
      <c r="U1066">
        <v>-3.0043639999999998</v>
      </c>
      <c r="V1066">
        <v>7.8015780000000007E-2</v>
      </c>
      <c r="W1066">
        <v>-3.3988599999999897E-2</v>
      </c>
      <c r="X1066">
        <v>0.99637260000000005</v>
      </c>
      <c r="Y1066">
        <v>0.27999400000000002</v>
      </c>
      <c r="Z1066">
        <v>4.5008800000000002E-2</v>
      </c>
      <c r="AA1066">
        <v>0.95894599999999997</v>
      </c>
      <c r="AB1066">
        <v>24</v>
      </c>
      <c r="AC1066">
        <v>-4.8799000000000197</v>
      </c>
      <c r="AD1066">
        <v>-1.1034276090670001</v>
      </c>
      <c r="AE1066">
        <v>-23.3628</v>
      </c>
      <c r="AF1066">
        <v>6.7346280273613903</v>
      </c>
      <c r="AG1066">
        <v>-1.1034276090670001</v>
      </c>
      <c r="AH1066">
        <v>22.844065166145999</v>
      </c>
      <c r="AI1066">
        <v>92.652683330620803</v>
      </c>
      <c r="AJ1066">
        <v>73.5740270921291</v>
      </c>
      <c r="AK1066">
        <v>23.841645926204301</v>
      </c>
      <c r="AL1066">
        <v>91.947778431021405</v>
      </c>
      <c r="AM1066">
        <v>85.5228862609749</v>
      </c>
      <c r="AN1066">
        <v>1.00000002244486</v>
      </c>
    </row>
    <row r="1067" spans="1:40" x14ac:dyDescent="0.25">
      <c r="A1067" t="str">
        <f>"20190312160931420"</f>
        <v>20190312160931420</v>
      </c>
      <c r="B1067" t="str">
        <f>"1552378171415920"</f>
        <v>1552378171415920</v>
      </c>
      <c r="C1067" t="s">
        <v>40</v>
      </c>
      <c r="D1067">
        <v>6.2119679999999997</v>
      </c>
      <c r="E1067">
        <v>0.58095180000000002</v>
      </c>
      <c r="F1067" t="s">
        <v>41</v>
      </c>
      <c r="G1067">
        <v>-194.5059</v>
      </c>
      <c r="H1067" s="1">
        <v>-2.284106E-6</v>
      </c>
      <c r="I1067">
        <v>322.11880000000002</v>
      </c>
      <c r="J1067">
        <v>-189.2628</v>
      </c>
      <c r="K1067">
        <v>1.103694</v>
      </c>
      <c r="L1067">
        <v>346.21260000000001</v>
      </c>
      <c r="M1067">
        <v>7.0580799999999999E-2</v>
      </c>
      <c r="N1067">
        <v>0</v>
      </c>
      <c r="O1067">
        <v>-0.99739460000000002</v>
      </c>
      <c r="P1067">
        <v>-5.9832210000000004E-3</v>
      </c>
      <c r="Q1067">
        <v>-4.6802980000000001E-2</v>
      </c>
      <c r="R1067">
        <v>-0.9988863</v>
      </c>
      <c r="S1067">
        <v>-0.64482119999999998</v>
      </c>
      <c r="T1067">
        <v>-0.13591909999999999</v>
      </c>
      <c r="U1067">
        <v>-2.99823</v>
      </c>
      <c r="V1067">
        <v>7.597197E-2</v>
      </c>
      <c r="W1067">
        <v>-3.3125109999999999E-2</v>
      </c>
      <c r="X1067">
        <v>0.99655959999999999</v>
      </c>
      <c r="Y1067">
        <v>0.27854279999999998</v>
      </c>
      <c r="Z1067">
        <v>4.3721629999999997E-2</v>
      </c>
      <c r="AA1067">
        <v>0.95942810000000001</v>
      </c>
      <c r="AB1067">
        <v>24</v>
      </c>
      <c r="AC1067">
        <v>-5.2430999999999903</v>
      </c>
      <c r="AD1067">
        <v>-1.1036962841059901</v>
      </c>
      <c r="AE1067">
        <v>-24.093799999999899</v>
      </c>
      <c r="AF1067">
        <v>6.9169117189850802</v>
      </c>
      <c r="AG1067">
        <v>-1.1036962841059901</v>
      </c>
      <c r="AH1067">
        <v>23.616279122448699</v>
      </c>
      <c r="AI1067">
        <v>92.568019160046006</v>
      </c>
      <c r="AJ1067">
        <v>73.675354593113198</v>
      </c>
      <c r="AK1067">
        <v>24.633116993291502</v>
      </c>
      <c r="AL1067">
        <v>91.898276214425707</v>
      </c>
      <c r="AM1067">
        <v>85.640531633798503</v>
      </c>
      <c r="AN1067">
        <v>1.0000000247451699</v>
      </c>
    </row>
    <row r="1068" spans="1:40" x14ac:dyDescent="0.25">
      <c r="A1068" t="str">
        <f>"20190312160931442"</f>
        <v>20190312160931442</v>
      </c>
      <c r="B1068" t="str">
        <f>"1552378171436417"</f>
        <v>1552378171436417</v>
      </c>
      <c r="C1068" t="s">
        <v>40</v>
      </c>
      <c r="D1068">
        <v>6.2641450000000001</v>
      </c>
      <c r="E1068">
        <v>0.58038319999999999</v>
      </c>
      <c r="F1068" t="s">
        <v>41</v>
      </c>
      <c r="G1068">
        <v>-195.0752</v>
      </c>
      <c r="H1068" s="1">
        <v>-1.5196039999999999E-6</v>
      </c>
      <c r="I1068">
        <v>319.98360000000002</v>
      </c>
      <c r="J1068">
        <v>-189.2568</v>
      </c>
      <c r="K1068">
        <v>1.103977</v>
      </c>
      <c r="L1068">
        <v>345.97089999999997</v>
      </c>
      <c r="M1068">
        <v>6.105373E-2</v>
      </c>
      <c r="N1068">
        <v>0</v>
      </c>
      <c r="O1068">
        <v>-0.99802409999999997</v>
      </c>
      <c r="P1068">
        <v>-1.3476119999999999E-2</v>
      </c>
      <c r="Q1068">
        <v>-4.7114320000000001E-2</v>
      </c>
      <c r="R1068">
        <v>-0.99879859999999998</v>
      </c>
      <c r="S1068">
        <v>-0.66336059999999997</v>
      </c>
      <c r="T1068">
        <v>-0.12596399999999999</v>
      </c>
      <c r="U1068">
        <v>-2.9935</v>
      </c>
      <c r="V1068">
        <v>7.3949299999999996E-2</v>
      </c>
      <c r="W1068">
        <v>-3.342121E-2</v>
      </c>
      <c r="X1068">
        <v>0.99670179999999997</v>
      </c>
      <c r="Y1068">
        <v>0.27538259999999998</v>
      </c>
      <c r="Z1068">
        <v>4.0619349999999999E-2</v>
      </c>
      <c r="AA1068">
        <v>0.9604762</v>
      </c>
      <c r="AB1068">
        <v>24</v>
      </c>
      <c r="AC1068">
        <v>-5.8183999999999898</v>
      </c>
      <c r="AD1068">
        <v>-1.103978519604</v>
      </c>
      <c r="AE1068">
        <v>-25.987299999999902</v>
      </c>
      <c r="AF1068">
        <v>7.3816541171937304</v>
      </c>
      <c r="AG1068">
        <v>-1.103978519604</v>
      </c>
      <c r="AH1068">
        <v>25.5396447566429</v>
      </c>
      <c r="AI1068">
        <v>92.377919371714398</v>
      </c>
      <c r="AJ1068">
        <v>73.8792634585934</v>
      </c>
      <c r="AK1068">
        <v>26.607913115709501</v>
      </c>
      <c r="AL1068">
        <v>91.915250984466198</v>
      </c>
      <c r="AM1068">
        <v>85.756771128294403</v>
      </c>
      <c r="AN1068">
        <v>0.99999997718579603</v>
      </c>
    </row>
    <row r="1069" spans="1:40" x14ac:dyDescent="0.25">
      <c r="A1069" t="str">
        <f>"20190312160931463"</f>
        <v>20190312160931463</v>
      </c>
      <c r="B1069" t="str">
        <f>"1552378171455936"</f>
        <v>1552378171455936</v>
      </c>
      <c r="C1069" t="s">
        <v>40</v>
      </c>
      <c r="D1069">
        <v>6.1951369999999999</v>
      </c>
      <c r="E1069">
        <v>0.57997390000000004</v>
      </c>
      <c r="F1069" t="s">
        <v>41</v>
      </c>
      <c r="G1069">
        <v>-195.32490000000001</v>
      </c>
      <c r="H1069" s="1">
        <v>-5.5811739999999997E-6</v>
      </c>
      <c r="I1069">
        <v>319.36020000000002</v>
      </c>
      <c r="J1069">
        <v>-189.25290000000001</v>
      </c>
      <c r="K1069">
        <v>1.1042540000000001</v>
      </c>
      <c r="L1069">
        <v>345.74459999999999</v>
      </c>
      <c r="M1069">
        <v>5.2500440000000002E-2</v>
      </c>
      <c r="N1069">
        <v>0</v>
      </c>
      <c r="O1069">
        <v>-0.9985117</v>
      </c>
      <c r="P1069">
        <v>-1.9732070000000001E-2</v>
      </c>
      <c r="Q1069">
        <v>-4.7709950000000001E-2</v>
      </c>
      <c r="R1069">
        <v>-0.99866650000000001</v>
      </c>
      <c r="S1069">
        <v>-0.68148799999999998</v>
      </c>
      <c r="T1069">
        <v>-0.1239845</v>
      </c>
      <c r="U1069">
        <v>-2.988556</v>
      </c>
      <c r="V1069">
        <v>7.1666049999999995E-2</v>
      </c>
      <c r="W1069">
        <v>-3.3996209999999999E-2</v>
      </c>
      <c r="X1069">
        <v>0.99684919999999999</v>
      </c>
      <c r="Y1069">
        <v>0.27303129999999998</v>
      </c>
      <c r="Z1069">
        <v>4.0063929999999998E-2</v>
      </c>
      <c r="AA1069">
        <v>0.96117059999999999</v>
      </c>
      <c r="AB1069">
        <v>24</v>
      </c>
      <c r="AC1069">
        <v>-6.0720000000000001</v>
      </c>
      <c r="AD1069">
        <v>-1.1042595811739999</v>
      </c>
      <c r="AE1069">
        <v>-26.3843999999999</v>
      </c>
      <c r="AF1069">
        <v>7.4365968385066399</v>
      </c>
      <c r="AG1069">
        <v>-1.1042595811739999</v>
      </c>
      <c r="AH1069">
        <v>25.985959063282799</v>
      </c>
      <c r="AI1069">
        <v>92.339486465757005</v>
      </c>
      <c r="AJ1069">
        <v>74.030069835886493</v>
      </c>
      <c r="AK1069">
        <v>27.051662244670101</v>
      </c>
      <c r="AL1069">
        <v>91.948214657568201</v>
      </c>
      <c r="AM1069">
        <v>85.887933935181806</v>
      </c>
      <c r="AN1069">
        <v>1.0000000462787999</v>
      </c>
    </row>
    <row r="1070" spans="1:40" x14ac:dyDescent="0.25">
      <c r="A1070" t="str">
        <f>"20190312160931486"</f>
        <v>20190312160931486</v>
      </c>
      <c r="B1070" t="str">
        <f>"1552378171476433"</f>
        <v>1552378171476433</v>
      </c>
      <c r="C1070" t="s">
        <v>40</v>
      </c>
      <c r="D1070">
        <v>6.1563210000000002</v>
      </c>
      <c r="E1070">
        <v>0.57957990000000004</v>
      </c>
      <c r="F1070" t="s">
        <v>41</v>
      </c>
      <c r="G1070">
        <v>-195.69220000000001</v>
      </c>
      <c r="H1070" s="1">
        <v>-5.1862859999999998E-6</v>
      </c>
      <c r="I1070">
        <v>318.16219999999998</v>
      </c>
      <c r="J1070">
        <v>-189.25040000000001</v>
      </c>
      <c r="K1070">
        <v>1.1045739999999999</v>
      </c>
      <c r="L1070">
        <v>345.50009999999997</v>
      </c>
      <c r="M1070">
        <v>4.3687900000000002E-2</v>
      </c>
      <c r="N1070">
        <v>0</v>
      </c>
      <c r="O1070">
        <v>-0.99893679999999996</v>
      </c>
      <c r="P1070">
        <v>-2.6722840000000001E-2</v>
      </c>
      <c r="Q1070">
        <v>-4.7338190000000002E-2</v>
      </c>
      <c r="R1070">
        <v>-0.99852160000000001</v>
      </c>
      <c r="S1070">
        <v>-0.69676210000000005</v>
      </c>
      <c r="T1070">
        <v>-0.1194865</v>
      </c>
      <c r="U1070">
        <v>-2.9845579999999998</v>
      </c>
      <c r="V1070">
        <v>6.9880250000000005E-2</v>
      </c>
      <c r="W1070">
        <v>-3.3613589999999999E-2</v>
      </c>
      <c r="X1070">
        <v>0.99698889999999996</v>
      </c>
      <c r="Y1070">
        <v>0.2695031</v>
      </c>
      <c r="Z1070">
        <v>3.8686020000000002E-2</v>
      </c>
      <c r="AA1070">
        <v>0.96222220000000003</v>
      </c>
      <c r="AB1070">
        <v>24</v>
      </c>
      <c r="AC1070">
        <v>-6.4417999999999997</v>
      </c>
      <c r="AD1070">
        <v>-1.1045791862859999</v>
      </c>
      <c r="AE1070">
        <v>-27.337899999999902</v>
      </c>
      <c r="AF1070">
        <v>7.6183300732824302</v>
      </c>
      <c r="AG1070">
        <v>-1.1045791862859999</v>
      </c>
      <c r="AH1070">
        <v>26.988591474093301</v>
      </c>
      <c r="AI1070">
        <v>92.255625179384694</v>
      </c>
      <c r="AJ1070">
        <v>74.236706907854995</v>
      </c>
      <c r="AK1070">
        <v>28.064980278627601</v>
      </c>
      <c r="AL1070">
        <v>91.926279709638905</v>
      </c>
      <c r="AM1070">
        <v>85.990621385743395</v>
      </c>
      <c r="AN1070">
        <v>0.99999999474797996</v>
      </c>
    </row>
    <row r="1071" spans="1:40" x14ac:dyDescent="0.25">
      <c r="A1071" t="str">
        <f>"20190312160931507"</f>
        <v>20190312160931507</v>
      </c>
      <c r="B1071" t="str">
        <f>"1552378171496929"</f>
        <v>1552378171496929</v>
      </c>
      <c r="C1071" t="s">
        <v>40</v>
      </c>
      <c r="D1071">
        <v>6.1713690000000003</v>
      </c>
      <c r="E1071">
        <v>0.57918890000000001</v>
      </c>
      <c r="F1071" t="s">
        <v>41</v>
      </c>
      <c r="G1071">
        <v>-196.2946</v>
      </c>
      <c r="H1071" s="1">
        <v>-4.5079910000000003E-6</v>
      </c>
      <c r="I1071">
        <v>316.11759999999998</v>
      </c>
      <c r="J1071">
        <v>-189.24959999999999</v>
      </c>
      <c r="K1071">
        <v>1.1048639999999901</v>
      </c>
      <c r="L1071">
        <v>345.27319999999997</v>
      </c>
      <c r="M1071">
        <v>3.5884119999999999E-2</v>
      </c>
      <c r="N1071">
        <v>0</v>
      </c>
      <c r="O1071">
        <v>-0.99924860000000004</v>
      </c>
      <c r="P1071">
        <v>-3.275082E-2</v>
      </c>
      <c r="Q1071">
        <v>-4.7413669999999998E-2</v>
      </c>
      <c r="R1071">
        <v>-0.99833830000000001</v>
      </c>
      <c r="S1071">
        <v>-0.71443179999999995</v>
      </c>
      <c r="T1071">
        <v>-0.1120276</v>
      </c>
      <c r="U1071">
        <v>-2.9800110000000002</v>
      </c>
      <c r="V1071">
        <v>6.8134199999999895E-2</v>
      </c>
      <c r="W1071">
        <v>-3.3680809999999999E-2</v>
      </c>
      <c r="X1071">
        <v>0.99710750000000004</v>
      </c>
      <c r="Y1071">
        <v>0.26772960000000001</v>
      </c>
      <c r="Z1071">
        <v>3.6330380000000002E-2</v>
      </c>
      <c r="AA1071">
        <v>0.96280889999999997</v>
      </c>
      <c r="AB1071">
        <v>24</v>
      </c>
      <c r="AC1071">
        <v>-7.0450000000000097</v>
      </c>
      <c r="AD1071">
        <v>-1.1048685079909999</v>
      </c>
      <c r="AE1071">
        <v>-29.1556</v>
      </c>
      <c r="AF1071">
        <v>8.0758393333545495</v>
      </c>
      <c r="AG1071">
        <v>-1.1048685079909999</v>
      </c>
      <c r="AH1071">
        <v>28.8448495693236</v>
      </c>
      <c r="AI1071">
        <v>92.112423433230305</v>
      </c>
      <c r="AJ1071">
        <v>74.359077067013104</v>
      </c>
      <c r="AK1071">
        <v>29.974410119884201</v>
      </c>
      <c r="AL1071">
        <v>91.9301332722372</v>
      </c>
      <c r="AM1071">
        <v>86.090949938628199</v>
      </c>
      <c r="AN1071">
        <v>1.0000000163640701</v>
      </c>
    </row>
    <row r="1072" spans="1:40" x14ac:dyDescent="0.25">
      <c r="A1072" t="str">
        <f>"20190312160931532"</f>
        <v>20190312160931532</v>
      </c>
      <c r="B1072" t="str">
        <f>"1552378171526209"</f>
        <v>1552378171526209</v>
      </c>
      <c r="C1072" t="s">
        <v>40</v>
      </c>
      <c r="D1072">
        <v>6.20688</v>
      </c>
      <c r="E1072">
        <v>0.57837190000000005</v>
      </c>
      <c r="F1072" t="s">
        <v>41</v>
      </c>
      <c r="G1072">
        <v>-196.8169</v>
      </c>
      <c r="H1072" s="1">
        <v>-3.9364790000000004E-6</v>
      </c>
      <c r="I1072">
        <v>314.38810000000001</v>
      </c>
      <c r="J1072">
        <v>-189.25040000000001</v>
      </c>
      <c r="K1072">
        <v>1.105143</v>
      </c>
      <c r="L1072">
        <v>345.0172</v>
      </c>
      <c r="M1072">
        <v>2.7461760000000002E-2</v>
      </c>
      <c r="N1072">
        <v>0</v>
      </c>
      <c r="O1072">
        <v>-0.99951670000000004</v>
      </c>
      <c r="P1072">
        <v>-3.9333109999999998E-2</v>
      </c>
      <c r="Q1072">
        <v>-4.6948209999999997E-2</v>
      </c>
      <c r="R1072">
        <v>-0.99812299999999998</v>
      </c>
      <c r="S1072">
        <v>-0.72915649999999999</v>
      </c>
      <c r="T1072">
        <v>-0.1064614</v>
      </c>
      <c r="U1072">
        <v>-2.9759829999999998</v>
      </c>
      <c r="V1072">
        <v>6.6334660000000004E-2</v>
      </c>
      <c r="W1072">
        <v>-3.3214390000000003E-2</v>
      </c>
      <c r="X1072">
        <v>0.99724449999999998</v>
      </c>
      <c r="Y1072">
        <v>0.26441799999999999</v>
      </c>
      <c r="Z1072">
        <v>3.4583349999999999E-2</v>
      </c>
      <c r="AA1072">
        <v>0.96378790000000003</v>
      </c>
      <c r="AB1072">
        <v>24</v>
      </c>
      <c r="AC1072">
        <v>-7.5664999999999898</v>
      </c>
      <c r="AD1072">
        <v>-1.1051469364790001</v>
      </c>
      <c r="AE1072">
        <v>-30.629099999999902</v>
      </c>
      <c r="AF1072">
        <v>8.3945638393433395</v>
      </c>
      <c r="AG1072">
        <v>-1.1051469364790001</v>
      </c>
      <c r="AH1072">
        <v>30.372467399860302</v>
      </c>
      <c r="AI1072">
        <v>92.008629332366397</v>
      </c>
      <c r="AJ1072">
        <v>74.549877822908797</v>
      </c>
      <c r="AK1072">
        <v>31.530569734141999</v>
      </c>
      <c r="AL1072">
        <v>91.9033943730077</v>
      </c>
      <c r="AM1072">
        <v>86.194408371822703</v>
      </c>
      <c r="AN1072">
        <v>1.00000003780031</v>
      </c>
    </row>
    <row r="1073" spans="1:40" x14ac:dyDescent="0.25">
      <c r="A1073" t="str">
        <f>"20190312160931553"</f>
        <v>20190312160931553</v>
      </c>
      <c r="B1073" t="str">
        <f>"1552378171546706"</f>
        <v>1552378171546706</v>
      </c>
      <c r="C1073" t="s">
        <v>40</v>
      </c>
      <c r="D1073">
        <v>6.1328620000000003</v>
      </c>
      <c r="E1073">
        <v>0.57785369999999903</v>
      </c>
      <c r="F1073" t="s">
        <v>41</v>
      </c>
      <c r="G1073">
        <v>-197.58199999999999</v>
      </c>
      <c r="H1073" s="1">
        <v>-2.9963940000000001E-6</v>
      </c>
      <c r="I1073">
        <v>311.66269999999997</v>
      </c>
      <c r="J1073">
        <v>-189.2527</v>
      </c>
      <c r="K1073">
        <v>1.105372</v>
      </c>
      <c r="L1073">
        <v>344.7792</v>
      </c>
      <c r="M1073">
        <v>1.9978900000000001E-2</v>
      </c>
      <c r="N1073">
        <v>0</v>
      </c>
      <c r="O1073">
        <v>-0.99969490000000005</v>
      </c>
      <c r="P1073">
        <v>-4.484962E-2</v>
      </c>
      <c r="Q1073">
        <v>-4.6382939999999998E-2</v>
      </c>
      <c r="R1073">
        <v>-0.99791649999999998</v>
      </c>
      <c r="S1073">
        <v>-0.74232480000000001</v>
      </c>
      <c r="T1073">
        <v>-9.8465919999999998E-2</v>
      </c>
      <c r="U1073">
        <v>-2.9718019999999998</v>
      </c>
      <c r="V1073">
        <v>6.440746E-2</v>
      </c>
      <c r="W1073">
        <v>-3.264715E-2</v>
      </c>
      <c r="X1073">
        <v>0.99738950000000004</v>
      </c>
      <c r="Y1073">
        <v>0.2615558</v>
      </c>
      <c r="Z1073">
        <v>3.2037250000000003E-2</v>
      </c>
      <c r="AA1073">
        <v>0.96465650000000003</v>
      </c>
      <c r="AB1073">
        <v>24</v>
      </c>
      <c r="AC1073">
        <v>-8.3292999999999893</v>
      </c>
      <c r="AD1073">
        <v>-1.1053749963940001</v>
      </c>
      <c r="AE1073">
        <v>-33.116500000000002</v>
      </c>
      <c r="AF1073">
        <v>8.9799287326010901</v>
      </c>
      <c r="AG1073">
        <v>-1.1053749963940001</v>
      </c>
      <c r="AH1073">
        <v>32.908977779018599</v>
      </c>
      <c r="AI1073">
        <v>91.855970298122301</v>
      </c>
      <c r="AJ1073">
        <v>74.737179362196997</v>
      </c>
      <c r="AK1073">
        <v>34.1300716727227</v>
      </c>
      <c r="AL1073">
        <v>91.870876376087196</v>
      </c>
      <c r="AM1073">
        <v>86.305195852687604</v>
      </c>
      <c r="AN1073">
        <v>0.99999998600851203</v>
      </c>
    </row>
    <row r="1074" spans="1:40" x14ac:dyDescent="0.25">
      <c r="A1074" t="str">
        <f>"20190312160931576"</f>
        <v>20190312160931576</v>
      </c>
      <c r="B1074" t="str">
        <f>"1552378171566225"</f>
        <v>1552378171566225</v>
      </c>
      <c r="C1074" t="s">
        <v>40</v>
      </c>
      <c r="D1074">
        <v>6.2114719999999997</v>
      </c>
      <c r="E1074">
        <v>0.57730789999999998</v>
      </c>
      <c r="F1074" t="s">
        <v>41</v>
      </c>
      <c r="G1074">
        <v>-198.20670000000001</v>
      </c>
      <c r="H1074" s="1">
        <v>-5.7370759999999999E-6</v>
      </c>
      <c r="I1074">
        <v>309.5677</v>
      </c>
      <c r="J1074">
        <v>-189.25649999999999</v>
      </c>
      <c r="K1074">
        <v>1.105615</v>
      </c>
      <c r="L1074">
        <v>344.53019999999998</v>
      </c>
      <c r="M1074">
        <v>1.254215E-2</v>
      </c>
      <c r="N1074">
        <v>0</v>
      </c>
      <c r="O1074">
        <v>-0.9998167</v>
      </c>
      <c r="P1074">
        <v>-5.0510949999999999E-2</v>
      </c>
      <c r="Q1074">
        <v>-4.6276169999999998E-2</v>
      </c>
      <c r="R1074">
        <v>-0.99765090000000001</v>
      </c>
      <c r="S1074">
        <v>-0.75474549999999996</v>
      </c>
      <c r="T1074">
        <v>-9.3173740000000005E-2</v>
      </c>
      <c r="U1074">
        <v>-2.9680179999999998</v>
      </c>
      <c r="V1074">
        <v>6.2667920000000002E-2</v>
      </c>
      <c r="W1074">
        <v>-3.2542160000000001E-2</v>
      </c>
      <c r="X1074">
        <v>0.99750380000000005</v>
      </c>
      <c r="Y1074">
        <v>0.2584728</v>
      </c>
      <c r="Z1074">
        <v>3.035767E-2</v>
      </c>
      <c r="AA1074">
        <v>0.96554139999999999</v>
      </c>
      <c r="AB1074">
        <v>24</v>
      </c>
      <c r="AC1074">
        <v>-8.9502000000000201</v>
      </c>
      <c r="AD1074">
        <v>-1.1056207370760001</v>
      </c>
      <c r="AE1074">
        <v>-34.962499999999899</v>
      </c>
      <c r="AF1074">
        <v>9.3792441286175006</v>
      </c>
      <c r="AG1074">
        <v>-1.1056207370760001</v>
      </c>
      <c r="AH1074">
        <v>34.814808757824501</v>
      </c>
      <c r="AI1074">
        <v>91.756362672562602</v>
      </c>
      <c r="AJ1074">
        <v>74.922264744057998</v>
      </c>
      <c r="AK1074">
        <v>36.073030458811701</v>
      </c>
      <c r="AL1074">
        <v>91.864857582755604</v>
      </c>
      <c r="AM1074">
        <v>86.405131988417594</v>
      </c>
      <c r="AN1074">
        <v>1.00000004569451</v>
      </c>
    </row>
    <row r="1075" spans="1:40" x14ac:dyDescent="0.25">
      <c r="A1075" t="str">
        <f>"20190312160931600"</f>
        <v>20190312160931600</v>
      </c>
      <c r="B1075" t="str">
        <f>"1552378171586720"</f>
        <v>1552378171586720</v>
      </c>
      <c r="C1075" t="s">
        <v>40</v>
      </c>
      <c r="D1075">
        <v>6.168139</v>
      </c>
      <c r="E1075">
        <v>0.57675220000000005</v>
      </c>
      <c r="F1075" t="s">
        <v>41</v>
      </c>
      <c r="G1075">
        <v>-198.7704</v>
      </c>
      <c r="H1075" s="1">
        <v>-5.2253919999999998E-6</v>
      </c>
      <c r="I1075">
        <v>307.77030000000002</v>
      </c>
      <c r="J1075">
        <v>-189.26159999999999</v>
      </c>
      <c r="K1075">
        <v>1.105874</v>
      </c>
      <c r="L1075">
        <v>344.28870000000001</v>
      </c>
      <c r="M1075">
        <v>5.7356319999999896E-3</v>
      </c>
      <c r="N1075">
        <v>0</v>
      </c>
      <c r="O1075">
        <v>-0.99987979999999999</v>
      </c>
      <c r="P1075">
        <v>-5.57384E-2</v>
      </c>
      <c r="Q1075">
        <v>-4.5882289999999999E-2</v>
      </c>
      <c r="R1075">
        <v>-0.99739069999999996</v>
      </c>
      <c r="S1075">
        <v>-0.76713560000000003</v>
      </c>
      <c r="T1075">
        <v>-8.9150190000000004E-2</v>
      </c>
      <c r="U1075">
        <v>-2.9640810000000002</v>
      </c>
      <c r="V1075">
        <v>6.1129759999999998E-2</v>
      </c>
      <c r="W1075">
        <v>-3.2149959999999998E-2</v>
      </c>
      <c r="X1075">
        <v>0.9976119</v>
      </c>
      <c r="Y1075">
        <v>0.25599830000000001</v>
      </c>
      <c r="Z1075">
        <v>2.908291E-2</v>
      </c>
      <c r="AA1075">
        <v>0.96623959999999998</v>
      </c>
      <c r="AB1075">
        <v>24</v>
      </c>
      <c r="AC1075">
        <v>-9.5088000000000008</v>
      </c>
      <c r="AD1075">
        <v>-1.105879225392</v>
      </c>
      <c r="AE1075">
        <v>-36.5183999999999</v>
      </c>
      <c r="AF1075">
        <v>9.7097824407137701</v>
      </c>
      <c r="AG1075">
        <v>-1.105879225392</v>
      </c>
      <c r="AH1075">
        <v>36.431966053968701</v>
      </c>
      <c r="AI1075">
        <v>91.680049255865896</v>
      </c>
      <c r="AJ1075">
        <v>75.076524256125793</v>
      </c>
      <c r="AK1075">
        <v>37.719901835300099</v>
      </c>
      <c r="AL1075">
        <v>91.842374525523496</v>
      </c>
      <c r="AM1075">
        <v>86.493522735058207</v>
      </c>
      <c r="AN1075">
        <v>0.99999998525363398</v>
      </c>
    </row>
    <row r="1076" spans="1:40" x14ac:dyDescent="0.25">
      <c r="A1076" t="str">
        <f>"20190312160931622"</f>
        <v>20190312160931622</v>
      </c>
      <c r="B1076" t="str">
        <f>"1552378171616001"</f>
        <v>1552378171616001</v>
      </c>
      <c r="C1076" t="s">
        <v>40</v>
      </c>
      <c r="D1076">
        <v>6.2418380000000004</v>
      </c>
      <c r="E1076">
        <v>0.57567009999999996</v>
      </c>
      <c r="F1076" t="s">
        <v>41</v>
      </c>
      <c r="G1076">
        <v>-199.334</v>
      </c>
      <c r="H1076" s="1">
        <v>-4.7164079999999997E-6</v>
      </c>
      <c r="I1076">
        <v>305.98090000000002</v>
      </c>
      <c r="J1076">
        <v>-189.2679</v>
      </c>
      <c r="K1076">
        <v>1.1061840000000001</v>
      </c>
      <c r="L1076">
        <v>344.04450000000003</v>
      </c>
      <c r="M1076">
        <v>-7.2512659999999997E-4</v>
      </c>
      <c r="N1076">
        <v>0</v>
      </c>
      <c r="O1076">
        <v>-0.99989700000000004</v>
      </c>
      <c r="P1076">
        <v>-6.0766319999999999E-2</v>
      </c>
      <c r="Q1076">
        <v>-4.5034829999999998E-2</v>
      </c>
      <c r="R1076">
        <v>-0.99713580000000002</v>
      </c>
      <c r="S1076">
        <v>-0.77838130000000005</v>
      </c>
      <c r="T1076">
        <v>-8.5461140000000005E-2</v>
      </c>
      <c r="U1076">
        <v>-2.960388</v>
      </c>
      <c r="V1076">
        <v>5.9745390000000002E-2</v>
      </c>
      <c r="W1076">
        <v>-3.1302179999999999E-2</v>
      </c>
      <c r="X1076">
        <v>0.99772269999999996</v>
      </c>
      <c r="Y1076">
        <v>0.25348860000000001</v>
      </c>
      <c r="Z1076">
        <v>2.7910999999999998E-2</v>
      </c>
      <c r="AA1076">
        <v>0.96693560000000001</v>
      </c>
      <c r="AB1076">
        <v>24</v>
      </c>
      <c r="AC1076">
        <v>-10.0661</v>
      </c>
      <c r="AD1076">
        <v>-1.106188716408</v>
      </c>
      <c r="AE1076">
        <v>-38.063600000000001</v>
      </c>
      <c r="AF1076">
        <v>10.030575749384001</v>
      </c>
      <c r="AG1076">
        <v>-1.106188716408</v>
      </c>
      <c r="AH1076">
        <v>38.040861610295202</v>
      </c>
      <c r="AI1076">
        <v>91.610613373010693</v>
      </c>
      <c r="AJ1076">
        <v>75.228518210082697</v>
      </c>
      <c r="AK1076">
        <v>39.356616411908099</v>
      </c>
      <c r="AL1076">
        <v>91.793775884439299</v>
      </c>
      <c r="AM1076">
        <v>86.5731201094939</v>
      </c>
      <c r="AN1076">
        <v>0.99999996209714603</v>
      </c>
    </row>
    <row r="1077" spans="1:40" x14ac:dyDescent="0.25">
      <c r="A1077" t="str">
        <f>"20190312160931653"</f>
        <v>20190312160931653</v>
      </c>
      <c r="B1077" t="str">
        <f>"1552378171646257"</f>
        <v>1552378171646257</v>
      </c>
      <c r="C1077" t="s">
        <v>40</v>
      </c>
      <c r="D1077">
        <v>6.1319049999999997</v>
      </c>
      <c r="E1077">
        <v>0.54736499999999999</v>
      </c>
      <c r="F1077" t="s">
        <v>41</v>
      </c>
      <c r="G1077">
        <v>-199.95779999999999</v>
      </c>
      <c r="H1077">
        <v>3.2291779999999999E-2</v>
      </c>
      <c r="I1077">
        <v>303.76190000000003</v>
      </c>
      <c r="J1077">
        <v>-189.27789999999999</v>
      </c>
      <c r="K1077">
        <v>1.1066419999999999</v>
      </c>
      <c r="L1077">
        <v>343.72300000000001</v>
      </c>
      <c r="M1077">
        <v>-8.4707759999999993E-3</v>
      </c>
      <c r="N1077">
        <v>0</v>
      </c>
      <c r="O1077">
        <v>-0.99986240000000004</v>
      </c>
      <c r="P1077">
        <v>-6.609392E-2</v>
      </c>
      <c r="Q1077">
        <v>-4.3648989999999999E-2</v>
      </c>
      <c r="R1077">
        <v>-0.99685840000000003</v>
      </c>
      <c r="S1077">
        <v>-0.78477479999999999</v>
      </c>
      <c r="T1077">
        <v>-7.8837870000000004E-2</v>
      </c>
      <c r="U1077">
        <v>-2.9572750000000001</v>
      </c>
      <c r="V1077">
        <v>5.7393880000000001E-2</v>
      </c>
      <c r="W1077">
        <v>-2.9904239999999999E-2</v>
      </c>
      <c r="X1077">
        <v>0.9979036</v>
      </c>
      <c r="Y1077">
        <v>0.2482105</v>
      </c>
      <c r="Z1077">
        <v>2.578515E-2</v>
      </c>
      <c r="AA1077">
        <v>0.96836290000000003</v>
      </c>
      <c r="AB1077">
        <v>24</v>
      </c>
      <c r="AC1077">
        <v>-10.6799</v>
      </c>
      <c r="AD1077">
        <v>-1.0743502199999999</v>
      </c>
      <c r="AE1077">
        <v>-39.961099999999902</v>
      </c>
      <c r="AF1077">
        <v>10.3340093362812</v>
      </c>
      <c r="AG1077">
        <v>-1.0743502199999999</v>
      </c>
      <c r="AH1077">
        <v>40.023142122266201</v>
      </c>
      <c r="AI1077">
        <v>91.488829608707903</v>
      </c>
      <c r="AJ1077">
        <v>75.522382491841498</v>
      </c>
      <c r="AK1077">
        <v>41.349702328997203</v>
      </c>
      <c r="AL1077">
        <v>91.7136422863165</v>
      </c>
      <c r="AM1077">
        <v>86.708290930458602</v>
      </c>
      <c r="AN1077">
        <v>0.99999995796219499</v>
      </c>
    </row>
    <row r="1078" spans="1:40" x14ac:dyDescent="0.25">
      <c r="A1078" t="str">
        <f>"20190312160931678"</f>
        <v>20190312160931678</v>
      </c>
      <c r="B1078" t="str">
        <f>"1552378171666753"</f>
        <v>1552378171666753</v>
      </c>
      <c r="C1078" t="s">
        <v>40</v>
      </c>
      <c r="D1078">
        <v>6.1203969999999996</v>
      </c>
      <c r="E1078">
        <v>0.54740690000000003</v>
      </c>
      <c r="F1078" t="s">
        <v>60</v>
      </c>
      <c r="G1078">
        <v>-223.72749999999999</v>
      </c>
      <c r="H1078">
        <v>0.80545809999999995</v>
      </c>
      <c r="I1078">
        <v>165.72099999999901</v>
      </c>
      <c r="J1078">
        <v>-189.28729999999999</v>
      </c>
      <c r="K1078">
        <v>1.107013</v>
      </c>
      <c r="L1078">
        <v>343.45429999999999</v>
      </c>
      <c r="M1078">
        <v>-1.4374710000000001E-2</v>
      </c>
      <c r="N1078">
        <v>0</v>
      </c>
      <c r="O1078">
        <v>-0.99979569999999995</v>
      </c>
      <c r="P1078">
        <v>-7.0150260000000006E-2</v>
      </c>
      <c r="Q1078">
        <v>-4.263695E-2</v>
      </c>
      <c r="R1078">
        <v>-0.99662479999999998</v>
      </c>
      <c r="S1078">
        <v>-0.57501219999999997</v>
      </c>
      <c r="T1078">
        <v>-5.027175E-3</v>
      </c>
      <c r="U1078">
        <v>-2.9710999999999999</v>
      </c>
      <c r="V1078">
        <v>5.5596180000000002E-2</v>
      </c>
      <c r="W1078">
        <v>-2.888454E-2</v>
      </c>
      <c r="X1078">
        <v>0.99803540000000002</v>
      </c>
      <c r="Y1078">
        <v>0.17587520000000001</v>
      </c>
      <c r="Z1078">
        <v>1.663143E-3</v>
      </c>
      <c r="AA1078">
        <v>0.98441109999999998</v>
      </c>
      <c r="AB1078">
        <v>23</v>
      </c>
      <c r="AC1078">
        <v>-34.440199999999997</v>
      </c>
      <c r="AD1078">
        <v>-0.30155490000000001</v>
      </c>
      <c r="AE1078">
        <v>-177.73330000000001</v>
      </c>
      <c r="AF1078">
        <v>31.881429782683199</v>
      </c>
      <c r="AG1078">
        <v>-0.30155490000000001</v>
      </c>
      <c r="AH1078">
        <v>178.20955605686001</v>
      </c>
      <c r="AI1078">
        <v>90.095437003942905</v>
      </c>
      <c r="AJ1078">
        <v>79.857166322546306</v>
      </c>
      <c r="AK1078">
        <v>181.039118342774</v>
      </c>
      <c r="AL1078">
        <v>91.655192521944699</v>
      </c>
      <c r="AM1078">
        <v>86.811598389976098</v>
      </c>
      <c r="AN1078">
        <v>0.99999995576738099</v>
      </c>
    </row>
    <row r="1079" spans="1:40" x14ac:dyDescent="0.25">
      <c r="A1079" t="str">
        <f>"20190312160931698"</f>
        <v>20190312160931698</v>
      </c>
      <c r="B1079" t="str">
        <f>"1552378171686274"</f>
        <v>1552378171686274</v>
      </c>
      <c r="C1079" t="s">
        <v>40</v>
      </c>
      <c r="D1079">
        <v>6.1071299999999997</v>
      </c>
      <c r="E1079">
        <v>0.54069429999999996</v>
      </c>
      <c r="F1079" t="s">
        <v>60</v>
      </c>
      <c r="G1079">
        <v>-218.67400000000001</v>
      </c>
      <c r="H1079">
        <v>0.72824940000000005</v>
      </c>
      <c r="I1079">
        <v>194.98159999999999</v>
      </c>
      <c r="J1079">
        <v>-189.2954</v>
      </c>
      <c r="K1079">
        <v>1.1072770000000001</v>
      </c>
      <c r="L1079">
        <v>343.24180000000001</v>
      </c>
      <c r="M1079">
        <v>-1.86576E-2</v>
      </c>
      <c r="N1079">
        <v>0</v>
      </c>
      <c r="O1079">
        <v>-0.9997258</v>
      </c>
      <c r="P1079">
        <v>-7.2192980000000004E-2</v>
      </c>
      <c r="Q1079">
        <v>-4.082657E-2</v>
      </c>
      <c r="R1079">
        <v>-0.99655510000000003</v>
      </c>
      <c r="S1079">
        <v>-0.5875397</v>
      </c>
      <c r="T1079">
        <v>-7.5727700000000004E-3</v>
      </c>
      <c r="U1079">
        <v>-2.9684750000000002</v>
      </c>
      <c r="V1079">
        <v>5.3396180000000001E-2</v>
      </c>
      <c r="W1079">
        <v>-2.7064830000000002E-2</v>
      </c>
      <c r="X1079">
        <v>0.99820660000000005</v>
      </c>
      <c r="Y1079">
        <v>0.17582110000000001</v>
      </c>
      <c r="Z1079">
        <v>2.50621E-3</v>
      </c>
      <c r="AA1079">
        <v>0.98441889999999999</v>
      </c>
      <c r="AB1079">
        <v>23</v>
      </c>
      <c r="AC1079">
        <v>-29.378599999999999</v>
      </c>
      <c r="AD1079">
        <v>-0.37902759999999902</v>
      </c>
      <c r="AE1079">
        <v>-148.2602</v>
      </c>
      <c r="AF1079">
        <v>26.606861302546299</v>
      </c>
      <c r="AG1079">
        <v>-0.37902759999999902</v>
      </c>
      <c r="AH1079">
        <v>148.78164084487801</v>
      </c>
      <c r="AI1079">
        <v>90.143683671223698</v>
      </c>
      <c r="AJ1079">
        <v>79.8608820203671</v>
      </c>
      <c r="AK1079">
        <v>151.142467171833</v>
      </c>
      <c r="AL1079">
        <v>91.550889853769107</v>
      </c>
      <c r="AM1079">
        <v>86.938045974774795</v>
      </c>
      <c r="AN1079">
        <v>1.0000000366725399</v>
      </c>
    </row>
    <row r="1080" spans="1:40" x14ac:dyDescent="0.25">
      <c r="A1080" t="str">
        <f>"20190312160931735"</f>
        <v>20190312160931735</v>
      </c>
      <c r="B1080" t="str">
        <f>"1552378171726289"</f>
        <v>1552378171726289</v>
      </c>
      <c r="C1080" t="s">
        <v>40</v>
      </c>
      <c r="D1080">
        <v>6.2367160000000004</v>
      </c>
      <c r="E1080">
        <v>0.5325164</v>
      </c>
      <c r="F1080" t="s">
        <v>61</v>
      </c>
      <c r="G1080">
        <v>-213.6027</v>
      </c>
      <c r="H1080">
        <v>3.0634E-3</v>
      </c>
      <c r="I1080">
        <v>209.6163</v>
      </c>
      <c r="J1080">
        <v>-189.31110000000001</v>
      </c>
      <c r="K1080">
        <v>1.1077060000000001</v>
      </c>
      <c r="L1080">
        <v>342.8664</v>
      </c>
      <c r="M1080">
        <v>-2.5316379999999999E-2</v>
      </c>
      <c r="N1080">
        <v>0</v>
      </c>
      <c r="O1080">
        <v>-0.99958020000000003</v>
      </c>
      <c r="P1080">
        <v>-7.6820990000000006E-2</v>
      </c>
      <c r="Q1080">
        <v>-3.9842210000000003E-2</v>
      </c>
      <c r="R1080">
        <v>-0.99624880000000005</v>
      </c>
      <c r="S1080">
        <v>-0.54029850000000001</v>
      </c>
      <c r="T1080">
        <v>-2.4544360000000001E-2</v>
      </c>
      <c r="U1080">
        <v>-2.970215</v>
      </c>
      <c r="V1080">
        <v>5.1416749999999997E-2</v>
      </c>
      <c r="W1080">
        <v>-2.6083479999999999E-2</v>
      </c>
      <c r="X1080">
        <v>0.99833660000000002</v>
      </c>
      <c r="Y1080">
        <v>0.1539952</v>
      </c>
      <c r="Z1080">
        <v>8.1431490000000006E-3</v>
      </c>
      <c r="AA1080">
        <v>0.98803810000000003</v>
      </c>
      <c r="AB1080">
        <v>23</v>
      </c>
      <c r="AC1080">
        <v>-24.291599999999899</v>
      </c>
      <c r="AD1080">
        <v>-1.10464259999999</v>
      </c>
      <c r="AE1080">
        <v>-133.2501</v>
      </c>
      <c r="AF1080">
        <v>20.9086769859044</v>
      </c>
      <c r="AG1080">
        <v>-1.10464259999999</v>
      </c>
      <c r="AH1080">
        <v>133.81351942231501</v>
      </c>
      <c r="AI1080">
        <v>90.4673011775932</v>
      </c>
      <c r="AJ1080">
        <v>81.119209365521698</v>
      </c>
      <c r="AK1080">
        <v>135.44168851856901</v>
      </c>
      <c r="AL1080">
        <v>91.494642833456496</v>
      </c>
      <c r="AM1080">
        <v>87.051733666200406</v>
      </c>
      <c r="AN1080">
        <v>0.99999999850451604</v>
      </c>
    </row>
    <row r="1081" spans="1:40" x14ac:dyDescent="0.25">
      <c r="A1081" t="str">
        <f>"20190312160931802"</f>
        <v>20190312160931802</v>
      </c>
      <c r="B1081" t="str">
        <f>"1552378171796562"</f>
        <v>1552378171796562</v>
      </c>
      <c r="C1081" t="s">
        <v>40</v>
      </c>
      <c r="D1081">
        <v>6.1561219999999999</v>
      </c>
      <c r="E1081">
        <v>0.52529879999999995</v>
      </c>
      <c r="F1081" t="s">
        <v>43</v>
      </c>
      <c r="G1081">
        <v>-208.73910000000001</v>
      </c>
      <c r="H1081">
        <v>-0.05</v>
      </c>
      <c r="I1081">
        <v>224.84059999999999</v>
      </c>
      <c r="J1081">
        <v>-189.34389999999999</v>
      </c>
      <c r="K1081">
        <v>1.108447</v>
      </c>
      <c r="L1081">
        <v>342.16019999999997</v>
      </c>
      <c r="M1081">
        <v>-3.529682E-2</v>
      </c>
      <c r="N1081">
        <v>0</v>
      </c>
      <c r="O1081">
        <v>-0.99927929999999998</v>
      </c>
      <c r="P1081">
        <v>-8.2155699999999998E-2</v>
      </c>
      <c r="Q1081">
        <v>-3.7008119999999999E-2</v>
      </c>
      <c r="R1081">
        <v>-0.99593240000000005</v>
      </c>
      <c r="S1081">
        <v>-0.48928830000000001</v>
      </c>
      <c r="T1081">
        <v>-2.915645E-2</v>
      </c>
      <c r="U1081">
        <v>-2.9724430000000002</v>
      </c>
      <c r="V1081">
        <v>4.6849139999999997E-2</v>
      </c>
      <c r="W1081">
        <v>-2.325058E-2</v>
      </c>
      <c r="X1081">
        <v>0.99863139999999995</v>
      </c>
      <c r="Y1081">
        <v>0.12748199999999901</v>
      </c>
      <c r="Z1081">
        <v>9.6940489999999997E-3</v>
      </c>
      <c r="AA1081">
        <v>0.99179349999999999</v>
      </c>
      <c r="AB1081">
        <v>23</v>
      </c>
      <c r="AC1081">
        <v>-19.395199999999999</v>
      </c>
      <c r="AD1081">
        <v>-1.158447</v>
      </c>
      <c r="AE1081">
        <v>-117.319599999999</v>
      </c>
      <c r="AF1081">
        <v>15.240252912925101</v>
      </c>
      <c r="AG1081">
        <v>-1.158447</v>
      </c>
      <c r="AH1081">
        <v>117.919944884213</v>
      </c>
      <c r="AI1081">
        <v>90.5582138585076</v>
      </c>
      <c r="AJ1081">
        <v>82.635779691736403</v>
      </c>
      <c r="AK1081">
        <v>118.906352688986</v>
      </c>
      <c r="AL1081">
        <v>91.332280090132002</v>
      </c>
      <c r="AM1081">
        <v>87.314032620045595</v>
      </c>
      <c r="AN1081">
        <v>1.0000000522275101</v>
      </c>
    </row>
    <row r="1082" spans="1:40" x14ac:dyDescent="0.25">
      <c r="A1082" t="str">
        <f>"20190312160931823"</f>
        <v>20190312160931823</v>
      </c>
      <c r="B1082" t="str">
        <f>"1552378171816081"</f>
        <v>1552378171816081</v>
      </c>
      <c r="C1082" t="s">
        <v>40</v>
      </c>
      <c r="D1082">
        <v>6.6058429999999904</v>
      </c>
      <c r="E1082">
        <v>0.52353919999999998</v>
      </c>
      <c r="F1082" t="s">
        <v>51</v>
      </c>
      <c r="G1082">
        <v>-203.29509999999999</v>
      </c>
      <c r="H1082">
        <v>0.4024064</v>
      </c>
      <c r="I1082">
        <v>249.4932</v>
      </c>
      <c r="J1082">
        <v>-189.35499999999999</v>
      </c>
      <c r="K1082">
        <v>1.108646</v>
      </c>
      <c r="L1082">
        <v>341.93540000000002</v>
      </c>
      <c r="M1082">
        <v>-3.7851879999999997E-2</v>
      </c>
      <c r="N1082">
        <v>0</v>
      </c>
      <c r="O1082">
        <v>-0.99918609999999997</v>
      </c>
      <c r="P1082">
        <v>-8.3242700000000003E-2</v>
      </c>
      <c r="Q1082">
        <v>-3.7263360000000002E-2</v>
      </c>
      <c r="R1082">
        <v>-0.9958323</v>
      </c>
      <c r="S1082">
        <v>-0.44781490000000002</v>
      </c>
      <c r="T1082">
        <v>-2.2662999999999999E-2</v>
      </c>
      <c r="U1082">
        <v>-2.9744869999999999</v>
      </c>
      <c r="V1082">
        <v>4.539692E-2</v>
      </c>
      <c r="W1082">
        <v>-2.3506840000000001E-2</v>
      </c>
      <c r="X1082">
        <v>0.99869240000000004</v>
      </c>
      <c r="Y1082">
        <v>0.1113296</v>
      </c>
      <c r="Z1082">
        <v>7.544533E-3</v>
      </c>
      <c r="AA1082">
        <v>0.9937549</v>
      </c>
      <c r="AB1082">
        <v>23</v>
      </c>
      <c r="AC1082">
        <v>-13.940099999999999</v>
      </c>
      <c r="AD1082">
        <v>-0.70623959999999997</v>
      </c>
      <c r="AE1082">
        <v>-92.4422</v>
      </c>
      <c r="AF1082">
        <v>10.4300616277191</v>
      </c>
      <c r="AG1082">
        <v>-0.70623959999999997</v>
      </c>
      <c r="AH1082">
        <v>92.898348101209706</v>
      </c>
      <c r="AI1082">
        <v>90.432850892679994</v>
      </c>
      <c r="AJ1082">
        <v>83.594005173532494</v>
      </c>
      <c r="AK1082">
        <v>93.484694147567097</v>
      </c>
      <c r="AL1082">
        <v>91.346966816171403</v>
      </c>
      <c r="AM1082">
        <v>87.397334118422805</v>
      </c>
      <c r="AN1082">
        <v>0.99999998084501496</v>
      </c>
    </row>
    <row r="1083" spans="1:40" x14ac:dyDescent="0.25">
      <c r="A1083" t="str">
        <f>"20190312160931848"</f>
        <v>20190312160931848</v>
      </c>
      <c r="B1083" t="str">
        <f>"1552378171836578"</f>
        <v>1552378171836578</v>
      </c>
      <c r="C1083" t="s">
        <v>40</v>
      </c>
      <c r="D1083">
        <v>6.1766230000000002</v>
      </c>
      <c r="E1083">
        <v>0.52203250000000001</v>
      </c>
      <c r="F1083" t="s">
        <v>51</v>
      </c>
      <c r="G1083">
        <v>-202.9359</v>
      </c>
      <c r="H1083">
        <v>0.44488030000000001</v>
      </c>
      <c r="I1083">
        <v>249.4837</v>
      </c>
      <c r="J1083">
        <v>-189.3674</v>
      </c>
      <c r="K1083">
        <v>1.10887</v>
      </c>
      <c r="L1083">
        <v>341.68950000000001</v>
      </c>
      <c r="M1083">
        <v>-4.0264660000000001E-2</v>
      </c>
      <c r="N1083">
        <v>0</v>
      </c>
      <c r="O1083">
        <v>-0.99909230000000004</v>
      </c>
      <c r="P1083">
        <v>-8.4274840000000004E-2</v>
      </c>
      <c r="Q1083">
        <v>-3.7766719999999997E-2</v>
      </c>
      <c r="R1083">
        <v>-0.99572689999999997</v>
      </c>
      <c r="S1083">
        <v>-0.43705749999999999</v>
      </c>
      <c r="T1083">
        <v>-2.1361109999999999E-2</v>
      </c>
      <c r="U1083">
        <v>-2.97525</v>
      </c>
      <c r="V1083">
        <v>4.4032740000000001E-2</v>
      </c>
      <c r="W1083">
        <v>-2.401122E-2</v>
      </c>
      <c r="X1083">
        <v>0.99874149999999995</v>
      </c>
      <c r="Y1083">
        <v>0.10537539999999999</v>
      </c>
      <c r="Z1083">
        <v>7.112541E-3</v>
      </c>
      <c r="AA1083">
        <v>0.99440709999999999</v>
      </c>
      <c r="AB1083">
        <v>23</v>
      </c>
      <c r="AC1083">
        <v>-13.5685</v>
      </c>
      <c r="AD1083">
        <v>-0.66398970000000002</v>
      </c>
      <c r="AE1083">
        <v>-92.205799999999996</v>
      </c>
      <c r="AF1083">
        <v>9.8440007069686501</v>
      </c>
      <c r="AG1083">
        <v>-0.66398970000000002</v>
      </c>
      <c r="AH1083">
        <v>92.672691222699399</v>
      </c>
      <c r="AI1083">
        <v>90.408214487279494</v>
      </c>
      <c r="AJ1083">
        <v>83.936589285201805</v>
      </c>
      <c r="AK1083">
        <v>93.196421233319299</v>
      </c>
      <c r="AL1083">
        <v>91.375873792740705</v>
      </c>
      <c r="AM1083">
        <v>87.4755655738375</v>
      </c>
      <c r="AN1083">
        <v>1.00000000235002</v>
      </c>
    </row>
    <row r="1084" spans="1:40" x14ac:dyDescent="0.25">
      <c r="A1084" t="str">
        <f>"20190312160931869"</f>
        <v>20190312160931869</v>
      </c>
      <c r="B1084" t="str">
        <f>"1552378171857073"</f>
        <v>1552378171857073</v>
      </c>
      <c r="C1084" t="s">
        <v>40</v>
      </c>
      <c r="D1084">
        <v>6.177289</v>
      </c>
      <c r="E1084">
        <v>0.52061049999999998</v>
      </c>
      <c r="F1084" t="s">
        <v>43</v>
      </c>
      <c r="G1084">
        <v>-211.68629999999999</v>
      </c>
      <c r="H1084">
        <v>-0.05</v>
      </c>
      <c r="I1084">
        <v>186.58179999999999</v>
      </c>
      <c r="J1084">
        <v>-189.37909999999999</v>
      </c>
      <c r="K1084">
        <v>1.109076</v>
      </c>
      <c r="L1084">
        <v>341.46</v>
      </c>
      <c r="M1084">
        <v>-4.2185279999999999E-2</v>
      </c>
      <c r="N1084">
        <v>0</v>
      </c>
      <c r="O1084">
        <v>-0.99901340000000005</v>
      </c>
      <c r="P1084">
        <v>-8.4185270000000006E-2</v>
      </c>
      <c r="Q1084">
        <v>-3.8028039999999999E-2</v>
      </c>
      <c r="R1084">
        <v>-0.99572459999999996</v>
      </c>
      <c r="S1084">
        <v>-0.42819210000000002</v>
      </c>
      <c r="T1084">
        <v>-2.223313E-2</v>
      </c>
      <c r="U1084">
        <v>-2.9757690000000001</v>
      </c>
      <c r="V1084">
        <v>4.2035700000000002E-2</v>
      </c>
      <c r="W1084">
        <v>-2.4269200000000001E-2</v>
      </c>
      <c r="X1084">
        <v>0.99882130000000002</v>
      </c>
      <c r="Y1084">
        <v>0.1005361</v>
      </c>
      <c r="Z1084">
        <v>7.4041599999999999E-3</v>
      </c>
      <c r="AA1084">
        <v>0.99490590000000001</v>
      </c>
      <c r="AB1084">
        <v>23</v>
      </c>
      <c r="AC1084">
        <v>-22.307199999999899</v>
      </c>
      <c r="AD1084">
        <v>-1.159076</v>
      </c>
      <c r="AE1084">
        <v>-154.87819999999999</v>
      </c>
      <c r="AF1084">
        <v>15.7522645005452</v>
      </c>
      <c r="AG1084">
        <v>-1.159076</v>
      </c>
      <c r="AH1084">
        <v>155.67288613295199</v>
      </c>
      <c r="AI1084">
        <v>90.424425576284506</v>
      </c>
      <c r="AJ1084">
        <v>84.2220080709439</v>
      </c>
      <c r="AK1084">
        <v>156.47212138598999</v>
      </c>
      <c r="AL1084">
        <v>91.390659281449203</v>
      </c>
      <c r="AM1084">
        <v>87.590111694516395</v>
      </c>
      <c r="AN1084">
        <v>0.99999999173841003</v>
      </c>
    </row>
    <row r="1085" spans="1:40" x14ac:dyDescent="0.25">
      <c r="A1085" t="str">
        <f>"20190312160931888"</f>
        <v>20190312160931888</v>
      </c>
      <c r="B1085" t="str">
        <f>"1552378171876593"</f>
        <v>1552378171876593</v>
      </c>
      <c r="C1085" t="s">
        <v>40</v>
      </c>
      <c r="D1085">
        <v>6.0709710000000001</v>
      </c>
      <c r="E1085">
        <v>0.51926830000000002</v>
      </c>
      <c r="F1085" t="s">
        <v>59</v>
      </c>
      <c r="G1085">
        <v>-207.93610000000001</v>
      </c>
      <c r="H1085">
        <v>8.0000749999999995E-2</v>
      </c>
      <c r="I1085">
        <v>208.8082</v>
      </c>
      <c r="J1085">
        <v>-189.38939999999999</v>
      </c>
      <c r="K1085">
        <v>1.1092409999999999</v>
      </c>
      <c r="L1085">
        <v>341.26130000000001</v>
      </c>
      <c r="M1085">
        <v>-4.3644469999999998E-2</v>
      </c>
      <c r="N1085">
        <v>0</v>
      </c>
      <c r="O1085">
        <v>-0.99895100000000003</v>
      </c>
      <c r="P1085">
        <v>-8.3361539999999998E-2</v>
      </c>
      <c r="Q1085">
        <v>-3.8434009999999998E-2</v>
      </c>
      <c r="R1085">
        <v>-0.99577800000000005</v>
      </c>
      <c r="S1085">
        <v>-0.41642760000000001</v>
      </c>
      <c r="T1085">
        <v>-2.3092990000000001E-2</v>
      </c>
      <c r="U1085">
        <v>-2.9767760000000001</v>
      </c>
      <c r="V1085">
        <v>3.9760909999999997E-2</v>
      </c>
      <c r="W1085">
        <v>-2.467213E-2</v>
      </c>
      <c r="X1085">
        <v>0.99890460000000003</v>
      </c>
      <c r="Y1085">
        <v>9.5179200000000005E-2</v>
      </c>
      <c r="Z1085">
        <v>7.6913499999999996E-3</v>
      </c>
      <c r="AA1085">
        <v>0.9954305</v>
      </c>
      <c r="AB1085">
        <v>23</v>
      </c>
      <c r="AC1085">
        <v>-18.546700000000001</v>
      </c>
      <c r="AD1085">
        <v>-1.02924025</v>
      </c>
      <c r="AE1085">
        <v>-132.45310000000001</v>
      </c>
      <c r="AF1085">
        <v>12.7468684907351</v>
      </c>
      <c r="AG1085">
        <v>-1.02924025</v>
      </c>
      <c r="AH1085">
        <v>133.12851926385099</v>
      </c>
      <c r="AI1085">
        <v>90.440938507346601</v>
      </c>
      <c r="AJ1085">
        <v>84.530682881054304</v>
      </c>
      <c r="AK1085">
        <v>133.741334796681</v>
      </c>
      <c r="AL1085">
        <v>91.413752342806902</v>
      </c>
      <c r="AM1085">
        <v>87.720572797355103</v>
      </c>
      <c r="AN1085">
        <v>1.00000002193196</v>
      </c>
    </row>
    <row r="1086" spans="1:40" x14ac:dyDescent="0.25">
      <c r="A1086" t="str">
        <f>"20190312160931912"</f>
        <v>20190312160931912</v>
      </c>
      <c r="B1086" t="str">
        <f>"1552378171906849"</f>
        <v>1552378171906849</v>
      </c>
      <c r="C1086" t="s">
        <v>40</v>
      </c>
      <c r="D1086">
        <v>6.2311699999999997</v>
      </c>
      <c r="E1086">
        <v>0.5176712</v>
      </c>
      <c r="F1086" t="s">
        <v>59</v>
      </c>
      <c r="G1086">
        <v>-207.21969999999999</v>
      </c>
      <c r="H1086">
        <v>4.3813999999999999E-2</v>
      </c>
      <c r="I1086">
        <v>209.6163</v>
      </c>
      <c r="J1086">
        <v>-189.40199999999999</v>
      </c>
      <c r="K1086">
        <v>1.109413</v>
      </c>
      <c r="L1086">
        <v>341.0181</v>
      </c>
      <c r="M1086">
        <v>-4.5172539999999997E-2</v>
      </c>
      <c r="N1086">
        <v>0</v>
      </c>
      <c r="O1086">
        <v>-0.99888339999999998</v>
      </c>
      <c r="P1086">
        <v>-8.3321030000000004E-2</v>
      </c>
      <c r="Q1086">
        <v>-3.896409E-2</v>
      </c>
      <c r="R1086">
        <v>-0.99576100000000001</v>
      </c>
      <c r="S1086">
        <v>-0.40335080000000001</v>
      </c>
      <c r="T1086">
        <v>-2.4101729999999998E-2</v>
      </c>
      <c r="U1086">
        <v>-2.978027</v>
      </c>
      <c r="V1086">
        <v>3.8203260000000003E-2</v>
      </c>
      <c r="W1086">
        <v>-2.5204020000000001E-2</v>
      </c>
      <c r="X1086">
        <v>0.99895210000000001</v>
      </c>
      <c r="Y1086">
        <v>8.9307339999999999E-2</v>
      </c>
      <c r="Z1086">
        <v>8.0277279999999996E-3</v>
      </c>
      <c r="AA1086">
        <v>0.99597170000000002</v>
      </c>
      <c r="AB1086">
        <v>23</v>
      </c>
      <c r="AC1086">
        <v>-17.817699999999899</v>
      </c>
      <c r="AD1086">
        <v>-1.065599</v>
      </c>
      <c r="AE1086">
        <v>-131.40180000000001</v>
      </c>
      <c r="AF1086">
        <v>11.862420990517901</v>
      </c>
      <c r="AG1086">
        <v>-1.065599</v>
      </c>
      <c r="AH1086">
        <v>132.06405893457901</v>
      </c>
      <c r="AI1086">
        <v>90.460444708109094</v>
      </c>
      <c r="AJ1086">
        <v>84.867282116677202</v>
      </c>
      <c r="AK1086">
        <v>132.600030902188</v>
      </c>
      <c r="AL1086">
        <v>91.444236885581603</v>
      </c>
      <c r="AM1086">
        <v>87.809885602179904</v>
      </c>
      <c r="AN1086">
        <v>1.00000001489659</v>
      </c>
    </row>
    <row r="1087" spans="1:40" x14ac:dyDescent="0.25">
      <c r="A1087" t="str">
        <f>"20190312160931935"</f>
        <v>20190312160931935</v>
      </c>
      <c r="B1087" t="str">
        <f>"1552378171926369"</f>
        <v>1552378171926369</v>
      </c>
      <c r="C1087" t="s">
        <v>40</v>
      </c>
      <c r="D1087">
        <v>6.1387499999999999</v>
      </c>
      <c r="E1087">
        <v>0.51652200000000004</v>
      </c>
      <c r="F1087" t="s">
        <v>59</v>
      </c>
      <c r="G1087">
        <v>-206.63570000000001</v>
      </c>
      <c r="H1087">
        <v>8.9337229999999993E-3</v>
      </c>
      <c r="I1087">
        <v>209.6163</v>
      </c>
      <c r="J1087">
        <v>-189.41419999999999</v>
      </c>
      <c r="K1087">
        <v>1.109553</v>
      </c>
      <c r="L1087">
        <v>340.78230000000002</v>
      </c>
      <c r="M1087">
        <v>-4.6403720000000002E-2</v>
      </c>
      <c r="N1087">
        <v>0</v>
      </c>
      <c r="O1087">
        <v>-0.99882709999999997</v>
      </c>
      <c r="P1087">
        <v>-8.2481059999999995E-2</v>
      </c>
      <c r="Q1087">
        <v>-3.9268110000000002E-2</v>
      </c>
      <c r="R1087">
        <v>-0.99581889999999995</v>
      </c>
      <c r="S1087">
        <v>-0.39071660000000002</v>
      </c>
      <c r="T1087">
        <v>-2.494967E-2</v>
      </c>
      <c r="U1087">
        <v>-2.979095</v>
      </c>
      <c r="V1087">
        <v>3.6139119999999997E-2</v>
      </c>
      <c r="W1087">
        <v>-2.5510129999999999E-2</v>
      </c>
      <c r="X1087">
        <v>0.9990211</v>
      </c>
      <c r="Y1087">
        <v>8.3880419999999997E-2</v>
      </c>
      <c r="Z1087">
        <v>8.3107619999999993E-3</v>
      </c>
      <c r="AA1087">
        <v>0.99644120000000003</v>
      </c>
      <c r="AB1087">
        <v>23</v>
      </c>
      <c r="AC1087">
        <v>-17.221499999999999</v>
      </c>
      <c r="AD1087">
        <v>-1.1006192770000001</v>
      </c>
      <c r="AE1087">
        <v>-131.166</v>
      </c>
      <c r="AF1087">
        <v>11.115003493677101</v>
      </c>
      <c r="AG1087">
        <v>-1.1006192770000001</v>
      </c>
      <c r="AH1087">
        <v>131.81477095346699</v>
      </c>
      <c r="AI1087">
        <v>90.476702157081107</v>
      </c>
      <c r="AJ1087">
        <v>85.1800560758562</v>
      </c>
      <c r="AK1087">
        <v>132.287144148523</v>
      </c>
      <c r="AL1087">
        <v>91.461781388050994</v>
      </c>
      <c r="AM1087">
        <v>87.928255411171307</v>
      </c>
      <c r="AN1087">
        <v>0.99999998048609995</v>
      </c>
    </row>
    <row r="1088" spans="1:40" x14ac:dyDescent="0.25">
      <c r="A1088" t="str">
        <f>"20190312160931958"</f>
        <v>20190312160931958</v>
      </c>
      <c r="B1088" t="str">
        <f>"1552378171945889"</f>
        <v>1552378171945889</v>
      </c>
      <c r="C1088" t="s">
        <v>40</v>
      </c>
      <c r="D1088">
        <v>6.0831280000000003</v>
      </c>
      <c r="E1088">
        <v>0.51542569999999999</v>
      </c>
      <c r="F1088" t="s">
        <v>59</v>
      </c>
      <c r="G1088">
        <v>-206.08969999999999</v>
      </c>
      <c r="H1088">
        <v>1.267543E-2</v>
      </c>
      <c r="I1088">
        <v>209.6163</v>
      </c>
      <c r="J1088">
        <v>-189.42670000000001</v>
      </c>
      <c r="K1088">
        <v>1.109685</v>
      </c>
      <c r="L1088">
        <v>340.54250000000002</v>
      </c>
      <c r="M1088">
        <v>-4.7416079999999999E-2</v>
      </c>
      <c r="N1088">
        <v>0</v>
      </c>
      <c r="O1088">
        <v>-0.99877969999999905</v>
      </c>
      <c r="P1088">
        <v>-8.120078E-2</v>
      </c>
      <c r="Q1088">
        <v>-3.9448179999999999E-2</v>
      </c>
      <c r="R1088">
        <v>-0.99591669999999999</v>
      </c>
      <c r="S1088">
        <v>-0.37887569999999998</v>
      </c>
      <c r="T1088">
        <v>-2.4921660000000002E-2</v>
      </c>
      <c r="U1088">
        <v>-2.9801639999999998</v>
      </c>
      <c r="V1088">
        <v>3.3851359999999997E-2</v>
      </c>
      <c r="W1088">
        <v>-2.5692840000000002E-2</v>
      </c>
      <c r="X1088">
        <v>0.9990966</v>
      </c>
      <c r="Y1088">
        <v>7.8929230000000003E-2</v>
      </c>
      <c r="Z1088">
        <v>8.3016740000000002E-3</v>
      </c>
      <c r="AA1088">
        <v>0.99684569999999995</v>
      </c>
      <c r="AB1088">
        <v>23</v>
      </c>
      <c r="AC1088">
        <v>-16.662999999999901</v>
      </c>
      <c r="AD1088">
        <v>-1.09700957</v>
      </c>
      <c r="AE1088">
        <v>-130.92619999999999</v>
      </c>
      <c r="AF1088">
        <v>10.4349338066818</v>
      </c>
      <c r="AG1088">
        <v>-1.09700957</v>
      </c>
      <c r="AH1088">
        <v>131.55998997147199</v>
      </c>
      <c r="AI1088">
        <v>90.476252625361795</v>
      </c>
      <c r="AJ1088">
        <v>85.464969296494601</v>
      </c>
      <c r="AK1088">
        <v>131.97773386007401</v>
      </c>
      <c r="AL1088">
        <v>91.472253264990002</v>
      </c>
      <c r="AM1088">
        <v>88.059448525679699</v>
      </c>
      <c r="AN1088">
        <v>1.00000002636633</v>
      </c>
    </row>
    <row r="1089" spans="1:40" x14ac:dyDescent="0.25">
      <c r="A1089" t="str">
        <f>"20190312160931979"</f>
        <v>20190312160931979</v>
      </c>
      <c r="B1089" t="str">
        <f>"1552378171966385"</f>
        <v>1552378171966385</v>
      </c>
      <c r="C1089" t="s">
        <v>40</v>
      </c>
      <c r="D1089">
        <v>6.1328969999999998</v>
      </c>
      <c r="E1089">
        <v>0.51447140000000002</v>
      </c>
      <c r="F1089" t="s">
        <v>59</v>
      </c>
      <c r="G1089">
        <v>-205.51220000000001</v>
      </c>
      <c r="H1089">
        <v>3.1355630000000002E-2</v>
      </c>
      <c r="I1089">
        <v>209.6163</v>
      </c>
      <c r="J1089">
        <v>-189.43790000000001</v>
      </c>
      <c r="K1089">
        <v>1.109799</v>
      </c>
      <c r="L1089">
        <v>340.32810000000001</v>
      </c>
      <c r="M1089">
        <v>-4.8125460000000002E-2</v>
      </c>
      <c r="N1089">
        <v>0</v>
      </c>
      <c r="O1089">
        <v>-0.99874609999999997</v>
      </c>
      <c r="P1089">
        <v>-7.9908350000000003E-2</v>
      </c>
      <c r="Q1089">
        <v>-4.0287860000000002E-2</v>
      </c>
      <c r="R1089">
        <v>-0.99598770000000003</v>
      </c>
      <c r="S1089">
        <v>-0.36630249999999998</v>
      </c>
      <c r="T1089">
        <v>-2.4555919999999998E-2</v>
      </c>
      <c r="U1089">
        <v>-2.9814759999999998</v>
      </c>
      <c r="V1089">
        <v>3.1853989999999999E-2</v>
      </c>
      <c r="W1089">
        <v>-2.6534820000000001E-2</v>
      </c>
      <c r="X1089">
        <v>0.99914029999999998</v>
      </c>
      <c r="Y1089">
        <v>7.4026320000000007E-2</v>
      </c>
      <c r="Z1089">
        <v>8.1795329999999992E-3</v>
      </c>
      <c r="AA1089">
        <v>0.99722270000000002</v>
      </c>
      <c r="AB1089">
        <v>23</v>
      </c>
      <c r="AC1089">
        <v>-16.074299999999901</v>
      </c>
      <c r="AD1089">
        <v>-1.07844337</v>
      </c>
      <c r="AE1089">
        <v>-130.71180000000001</v>
      </c>
      <c r="AF1089">
        <v>9.7638526863321999</v>
      </c>
      <c r="AG1089">
        <v>-1.07844337</v>
      </c>
      <c r="AH1089">
        <v>131.32516557840401</v>
      </c>
      <c r="AI1089">
        <v>90.469207868520598</v>
      </c>
      <c r="AJ1089">
        <v>85.747957627773701</v>
      </c>
      <c r="AK1089">
        <v>131.692045976885</v>
      </c>
      <c r="AL1089">
        <v>91.520511577448701</v>
      </c>
      <c r="AM1089">
        <v>88.173948937356698</v>
      </c>
      <c r="AN1089">
        <v>1.00000005621771</v>
      </c>
    </row>
    <row r="1090" spans="1:40" x14ac:dyDescent="0.25">
      <c r="A1090" t="str">
        <f>"20190312160932024"</f>
        <v>20190312160932024</v>
      </c>
      <c r="B1090" t="str">
        <f>"1552378172016161"</f>
        <v>1552378172016161</v>
      </c>
      <c r="C1090" t="s">
        <v>40</v>
      </c>
      <c r="D1090">
        <v>6.1313370000000003</v>
      </c>
      <c r="E1090">
        <v>0.51251080000000004</v>
      </c>
      <c r="F1090" t="s">
        <v>59</v>
      </c>
      <c r="G1090">
        <v>-203.0181</v>
      </c>
      <c r="H1090">
        <v>7.9999249999999994E-2</v>
      </c>
      <c r="I1090">
        <v>226.18119999999999</v>
      </c>
      <c r="J1090">
        <v>-189.46180000000001</v>
      </c>
      <c r="K1090">
        <v>1.110047</v>
      </c>
      <c r="L1090">
        <v>339.86720000000003</v>
      </c>
      <c r="M1090">
        <v>-4.909028E-2</v>
      </c>
      <c r="N1090">
        <v>0</v>
      </c>
      <c r="O1090">
        <v>-0.99869940000000001</v>
      </c>
      <c r="P1090">
        <v>-7.790511E-2</v>
      </c>
      <c r="Q1090">
        <v>-4.1645849999999998E-2</v>
      </c>
      <c r="R1090">
        <v>-0.99609049999999999</v>
      </c>
      <c r="S1090">
        <v>-0.35482789999999997</v>
      </c>
      <c r="T1090">
        <v>-2.6907090000000002E-2</v>
      </c>
      <c r="U1090">
        <v>-2.9824830000000002</v>
      </c>
      <c r="V1090">
        <v>2.8898989999999999E-2</v>
      </c>
      <c r="W1090">
        <v>-2.7896799999999999E-2</v>
      </c>
      <c r="X1090">
        <v>0.999193</v>
      </c>
      <c r="Y1090">
        <v>6.9239179999999997E-2</v>
      </c>
      <c r="Z1090">
        <v>8.9626140000000007E-3</v>
      </c>
      <c r="AA1090">
        <v>0.9975598</v>
      </c>
      <c r="AB1090">
        <v>23</v>
      </c>
      <c r="AC1090">
        <v>-13.556299999999901</v>
      </c>
      <c r="AD1090">
        <v>-1.03004775</v>
      </c>
      <c r="AE1090">
        <v>-113.68600000000001</v>
      </c>
      <c r="AF1090">
        <v>7.9579016991890699</v>
      </c>
      <c r="AG1090">
        <v>-1.03004775</v>
      </c>
      <c r="AH1090">
        <v>114.205209719647</v>
      </c>
      <c r="AI1090">
        <v>90.515502255218806</v>
      </c>
      <c r="AJ1090">
        <v>86.014031430731706</v>
      </c>
      <c r="AK1090">
        <v>114.48676397265299</v>
      </c>
      <c r="AL1090">
        <v>91.598576263941595</v>
      </c>
      <c r="AM1090">
        <v>88.343334370208495</v>
      </c>
      <c r="AN1090">
        <v>1.0000000171611201</v>
      </c>
    </row>
    <row r="1091" spans="1:40" x14ac:dyDescent="0.25">
      <c r="A1091" t="str">
        <f>"20190312160932066"</f>
        <v>20190312160932066</v>
      </c>
      <c r="B1091" t="str">
        <f>"1552378172056177"</f>
        <v>1552378172056177</v>
      </c>
      <c r="C1091" t="s">
        <v>40</v>
      </c>
      <c r="D1091">
        <v>6.0038960000000001</v>
      </c>
      <c r="E1091">
        <v>0.5475179</v>
      </c>
      <c r="F1091" t="s">
        <v>41</v>
      </c>
      <c r="G1091">
        <v>-200.13910000000001</v>
      </c>
      <c r="H1091">
        <v>7.9985260000000002E-2</v>
      </c>
      <c r="I1091">
        <v>244.23920000000001</v>
      </c>
      <c r="J1091">
        <v>-189.4837</v>
      </c>
      <c r="K1091">
        <v>1.1102399999999999</v>
      </c>
      <c r="L1091">
        <v>339.43189999999998</v>
      </c>
      <c r="M1091">
        <v>-4.9376000000000003E-2</v>
      </c>
      <c r="N1091">
        <v>0</v>
      </c>
      <c r="O1091">
        <v>-0.99868570000000001</v>
      </c>
      <c r="P1091">
        <v>-7.6392740000000001E-2</v>
      </c>
      <c r="Q1091">
        <v>-4.1806299999999998E-2</v>
      </c>
      <c r="R1091">
        <v>-0.996201</v>
      </c>
      <c r="S1091">
        <v>-0.3332214</v>
      </c>
      <c r="T1091">
        <v>-3.2146330000000001E-2</v>
      </c>
      <c r="U1091">
        <v>-2.984375</v>
      </c>
      <c r="V1091">
        <v>2.711038E-2</v>
      </c>
      <c r="W1091">
        <v>-2.8061590000000001E-2</v>
      </c>
      <c r="X1091">
        <v>0.99923850000000003</v>
      </c>
      <c r="Y1091">
        <v>6.1748360000000002E-2</v>
      </c>
      <c r="Z1091">
        <v>1.0707690000000001E-2</v>
      </c>
      <c r="AA1091">
        <v>0.99803430000000004</v>
      </c>
      <c r="AB1091">
        <v>23</v>
      </c>
      <c r="AC1091">
        <v>-10.6554</v>
      </c>
      <c r="AD1091">
        <v>-1.0302547399999999</v>
      </c>
      <c r="AE1091">
        <v>-95.192699999999903</v>
      </c>
      <c r="AF1091">
        <v>5.9410347407041799</v>
      </c>
      <c r="AG1091">
        <v>-1.0302547399999999</v>
      </c>
      <c r="AH1091">
        <v>95.591680115556002</v>
      </c>
      <c r="AI1091">
        <v>90.616301554917996</v>
      </c>
      <c r="AJ1091">
        <v>86.443634494699097</v>
      </c>
      <c r="AK1091">
        <v>95.781661219329095</v>
      </c>
      <c r="AL1091">
        <v>91.608021756387998</v>
      </c>
      <c r="AM1091">
        <v>88.445887146967294</v>
      </c>
      <c r="AN1091">
        <v>1.0000000027096601</v>
      </c>
    </row>
    <row r="1092" spans="1:40" x14ac:dyDescent="0.25">
      <c r="A1092" t="str">
        <f>"20190312160932089"</f>
        <v>20190312160932089</v>
      </c>
      <c r="B1092" t="str">
        <f>"1552378172086433"</f>
        <v>1552378172086433</v>
      </c>
      <c r="C1092" t="s">
        <v>40</v>
      </c>
      <c r="D1092">
        <v>6.0070800000000002</v>
      </c>
      <c r="E1092">
        <v>0.55146870000000003</v>
      </c>
      <c r="F1092" t="s">
        <v>62</v>
      </c>
      <c r="G1092">
        <v>-234.50790000000001</v>
      </c>
      <c r="H1092">
        <v>2.8462860000000001</v>
      </c>
      <c r="I1092">
        <v>119.3841</v>
      </c>
      <c r="J1092">
        <v>-189.495</v>
      </c>
      <c r="K1092">
        <v>1.110303</v>
      </c>
      <c r="L1092">
        <v>339.20409999999998</v>
      </c>
      <c r="M1092">
        <v>-4.9326839999999997E-2</v>
      </c>
      <c r="N1092">
        <v>0</v>
      </c>
      <c r="O1092">
        <v>-0.99868820000000003</v>
      </c>
      <c r="P1092">
        <v>-7.5435000000000002E-2</v>
      </c>
      <c r="Q1092">
        <v>-4.1767569999999997E-2</v>
      </c>
      <c r="R1092">
        <v>-0.99627569999999999</v>
      </c>
      <c r="S1092">
        <v>-0.60685730000000004</v>
      </c>
      <c r="T1092">
        <v>2.3399349999999999E-2</v>
      </c>
      <c r="U1092">
        <v>-2.9659119999999999</v>
      </c>
      <c r="V1092">
        <v>2.6204060000000001E-2</v>
      </c>
      <c r="W1092">
        <v>-2.8026280000000001E-2</v>
      </c>
      <c r="X1092">
        <v>0.99926360000000003</v>
      </c>
      <c r="Y1092">
        <v>0.15187729999999999</v>
      </c>
      <c r="Z1092">
        <v>-7.7487769999999897E-3</v>
      </c>
      <c r="AA1092">
        <v>0.98836900000000005</v>
      </c>
      <c r="AB1092">
        <v>23</v>
      </c>
      <c r="AC1092">
        <v>-45.012900000000002</v>
      </c>
      <c r="AD1092">
        <v>1.7359830000000001</v>
      </c>
      <c r="AE1092">
        <v>-219.82</v>
      </c>
      <c r="AF1092">
        <v>34.112003784406902</v>
      </c>
      <c r="AG1092">
        <v>1.7359830000000001</v>
      </c>
      <c r="AH1092">
        <v>221.759640222001</v>
      </c>
      <c r="AI1092">
        <v>89.556699053894306</v>
      </c>
      <c r="AJ1092">
        <v>81.255065376085099</v>
      </c>
      <c r="AK1092">
        <v>224.37464310958799</v>
      </c>
      <c r="AL1092">
        <v>91.605997957243304</v>
      </c>
      <c r="AM1092">
        <v>88.497855784350904</v>
      </c>
      <c r="AN1092">
        <v>0.99999993370803797</v>
      </c>
    </row>
    <row r="1093" spans="1:40" x14ac:dyDescent="0.25">
      <c r="A1093" t="str">
        <f>"20190312160932114"</f>
        <v>20190312160932114</v>
      </c>
      <c r="B1093" t="str">
        <f>"1552378172105954"</f>
        <v>1552378172105954</v>
      </c>
      <c r="C1093" t="s">
        <v>40</v>
      </c>
      <c r="D1093">
        <v>5.9929189999999997</v>
      </c>
      <c r="E1093">
        <v>0.55200000000000005</v>
      </c>
      <c r="F1093" t="s">
        <v>62</v>
      </c>
      <c r="G1093">
        <v>-236.55529999999999</v>
      </c>
      <c r="H1093">
        <v>3.4760909999999998</v>
      </c>
      <c r="I1093">
        <v>119.5971</v>
      </c>
      <c r="J1093">
        <v>-189.50800000000001</v>
      </c>
      <c r="K1093">
        <v>1.1103559999999999</v>
      </c>
      <c r="L1093">
        <v>338.9391</v>
      </c>
      <c r="M1093">
        <v>-4.9150300000000001E-2</v>
      </c>
      <c r="N1093">
        <v>0</v>
      </c>
      <c r="O1093">
        <v>-0.9986969</v>
      </c>
      <c r="P1093">
        <v>-7.4868660000000004E-2</v>
      </c>
      <c r="Q1093">
        <v>-4.254165E-2</v>
      </c>
      <c r="R1093">
        <v>-0.99628550000000005</v>
      </c>
      <c r="S1093">
        <v>-0.63525390000000004</v>
      </c>
      <c r="T1093">
        <v>3.1935209999999999E-2</v>
      </c>
      <c r="U1093">
        <v>-2.9644170000000001</v>
      </c>
      <c r="V1093">
        <v>2.581862E-2</v>
      </c>
      <c r="W1093">
        <v>-2.8805649999999999E-2</v>
      </c>
      <c r="X1093">
        <v>0.99925149999999996</v>
      </c>
      <c r="Y1093">
        <v>0.1612073</v>
      </c>
      <c r="Z1093">
        <v>-1.05624E-2</v>
      </c>
      <c r="AA1093">
        <v>0.98686399999999996</v>
      </c>
      <c r="AB1093">
        <v>23</v>
      </c>
      <c r="AC1093">
        <v>-47.0473</v>
      </c>
      <c r="AD1093">
        <v>2.3657349999999999</v>
      </c>
      <c r="AE1093">
        <v>-219.34200000000001</v>
      </c>
      <c r="AF1093">
        <v>36.204658502096201</v>
      </c>
      <c r="AG1093">
        <v>2.3657349999999999</v>
      </c>
      <c r="AH1093">
        <v>221.36484040346201</v>
      </c>
      <c r="AI1093">
        <v>89.395728954239303</v>
      </c>
      <c r="AJ1093">
        <v>80.711400065763499</v>
      </c>
      <c r="AK1093">
        <v>224.31844900986999</v>
      </c>
      <c r="AL1093">
        <v>91.650670563432996</v>
      </c>
      <c r="AM1093">
        <v>88.519923265098697</v>
      </c>
      <c r="AN1093">
        <v>0.99999996343143704</v>
      </c>
    </row>
    <row r="1094" spans="1:40" x14ac:dyDescent="0.25">
      <c r="A1094" t="str">
        <f>"20190312160932136"</f>
        <v>20190312160932136</v>
      </c>
      <c r="B1094" t="str">
        <f>"1552378172126450"</f>
        <v>1552378172126450</v>
      </c>
      <c r="C1094" t="s">
        <v>40</v>
      </c>
      <c r="D1094">
        <v>5.972836</v>
      </c>
      <c r="E1094">
        <v>0.55207649999999997</v>
      </c>
      <c r="F1094" t="s">
        <v>62</v>
      </c>
      <c r="G1094">
        <v>-236.7029</v>
      </c>
      <c r="H1094">
        <v>3.2565469999999999</v>
      </c>
      <c r="I1094">
        <v>119.5971</v>
      </c>
      <c r="J1094">
        <v>-189.51830000000001</v>
      </c>
      <c r="K1094">
        <v>1.110395</v>
      </c>
      <c r="L1094">
        <v>338.72579999999999</v>
      </c>
      <c r="M1094">
        <v>-4.8905009999999999E-2</v>
      </c>
      <c r="N1094">
        <v>0</v>
      </c>
      <c r="O1094">
        <v>-0.99870910000000002</v>
      </c>
      <c r="P1094">
        <v>-7.4623980000000006E-2</v>
      </c>
      <c r="Q1094">
        <v>-4.3946329999999999E-2</v>
      </c>
      <c r="R1094">
        <v>-0.99624310000000005</v>
      </c>
      <c r="S1094">
        <v>-0.63784790000000002</v>
      </c>
      <c r="T1094">
        <v>2.9006239999999999E-2</v>
      </c>
      <c r="U1094">
        <v>-2.9644469999999998</v>
      </c>
      <c r="V1094">
        <v>2.5825620000000001E-2</v>
      </c>
      <c r="W1094">
        <v>-3.0214209999999998E-2</v>
      </c>
      <c r="X1094">
        <v>0.99920980000000004</v>
      </c>
      <c r="Y1094">
        <v>0.162275</v>
      </c>
      <c r="Z1094">
        <v>-9.5921089999999997E-3</v>
      </c>
      <c r="AA1094">
        <v>0.98669890000000005</v>
      </c>
      <c r="AB1094">
        <v>23</v>
      </c>
      <c r="AC1094">
        <v>-47.184599999999897</v>
      </c>
      <c r="AD1094">
        <v>2.1461519999999998</v>
      </c>
      <c r="AE1094">
        <v>-219.12870000000001</v>
      </c>
      <c r="AF1094">
        <v>36.407291244594497</v>
      </c>
      <c r="AG1094">
        <v>2.1461519999999998</v>
      </c>
      <c r="AH1094">
        <v>221.153955684344</v>
      </c>
      <c r="AI1094">
        <v>89.451383932517203</v>
      </c>
      <c r="AJ1094">
        <v>80.651577706949197</v>
      </c>
      <c r="AK1094">
        <v>224.14095774536301</v>
      </c>
      <c r="AL1094">
        <v>91.731410142035799</v>
      </c>
      <c r="AM1094">
        <v>88.519460404816002</v>
      </c>
      <c r="AN1094">
        <v>1.0000000427751701</v>
      </c>
    </row>
    <row r="1095" spans="1:40" x14ac:dyDescent="0.25">
      <c r="A1095" t="str">
        <f>"20190312160932157"</f>
        <v>20190312160932157</v>
      </c>
      <c r="B1095" t="str">
        <f>"1552378172145970"</f>
        <v>1552378172145970</v>
      </c>
      <c r="C1095" t="s">
        <v>40</v>
      </c>
      <c r="D1095">
        <v>5.8503319999999999</v>
      </c>
      <c r="E1095">
        <v>0.55210789999999998</v>
      </c>
      <c r="F1095" t="s">
        <v>62</v>
      </c>
      <c r="G1095">
        <v>-236.67769999999999</v>
      </c>
      <c r="H1095">
        <v>2.7529949999999999</v>
      </c>
      <c r="I1095">
        <v>119.5971</v>
      </c>
      <c r="J1095">
        <v>-189.52860000000001</v>
      </c>
      <c r="K1095">
        <v>1.1104560000000001</v>
      </c>
      <c r="L1095">
        <v>338.51029999999997</v>
      </c>
      <c r="M1095">
        <v>-4.8564070000000001E-2</v>
      </c>
      <c r="N1095">
        <v>0</v>
      </c>
      <c r="O1095">
        <v>-0.99872570000000005</v>
      </c>
      <c r="P1095">
        <v>-7.4485930000000006E-2</v>
      </c>
      <c r="Q1095">
        <v>-4.374898E-2</v>
      </c>
      <c r="R1095">
        <v>-0.99626199999999998</v>
      </c>
      <c r="S1095">
        <v>-0.63800049999999997</v>
      </c>
      <c r="T1095">
        <v>2.2222160000000001E-2</v>
      </c>
      <c r="U1095">
        <v>-2.9645079999999999</v>
      </c>
      <c r="V1095">
        <v>2.6031619999999998E-2</v>
      </c>
      <c r="W1095">
        <v>-3.001854E-2</v>
      </c>
      <c r="X1095">
        <v>0.9992103</v>
      </c>
      <c r="Y1095">
        <v>0.1626602</v>
      </c>
      <c r="Z1095">
        <v>-7.3485769999999898E-3</v>
      </c>
      <c r="AA1095">
        <v>0.98665480000000005</v>
      </c>
      <c r="AB1095">
        <v>23</v>
      </c>
      <c r="AC1095">
        <v>-47.149099999999898</v>
      </c>
      <c r="AD1095">
        <v>1.642539</v>
      </c>
      <c r="AE1095">
        <v>-218.91319999999999</v>
      </c>
      <c r="AF1095">
        <v>36.459177129342997</v>
      </c>
      <c r="AG1095">
        <v>1.642539</v>
      </c>
      <c r="AH1095">
        <v>220.932930399241</v>
      </c>
      <c r="AI1095">
        <v>89.579722989559102</v>
      </c>
      <c r="AJ1095">
        <v>80.629291093646302</v>
      </c>
      <c r="AK1095">
        <v>223.927062379944</v>
      </c>
      <c r="AL1095">
        <v>91.720194079089694</v>
      </c>
      <c r="AM1095">
        <v>88.507656835170394</v>
      </c>
      <c r="AN1095">
        <v>0.99999999080482205</v>
      </c>
    </row>
    <row r="1096" spans="1:40" x14ac:dyDescent="0.25">
      <c r="A1096" t="str">
        <f>"20190312160932178"</f>
        <v>20190312160932178</v>
      </c>
      <c r="B1096" t="str">
        <f>"1552378172166466"</f>
        <v>1552378172166466</v>
      </c>
      <c r="C1096" t="s">
        <v>40</v>
      </c>
      <c r="D1096">
        <v>5.8726609999999999</v>
      </c>
      <c r="E1096">
        <v>0.55201080000000002</v>
      </c>
      <c r="F1096" t="s">
        <v>62</v>
      </c>
      <c r="G1096">
        <v>-236.62280000000001</v>
      </c>
      <c r="H1096">
        <v>2.5587469999999999</v>
      </c>
      <c r="I1096">
        <v>119.5971</v>
      </c>
      <c r="J1096">
        <v>-189.5385</v>
      </c>
      <c r="K1096">
        <v>1.110519</v>
      </c>
      <c r="L1096">
        <v>338.2971</v>
      </c>
      <c r="M1096">
        <v>-4.8146050000000003E-2</v>
      </c>
      <c r="N1096">
        <v>0</v>
      </c>
      <c r="O1096">
        <v>-0.99874609999999997</v>
      </c>
      <c r="P1096">
        <v>-7.4403639999999993E-2</v>
      </c>
      <c r="Q1096">
        <v>-4.3568290000000003E-2</v>
      </c>
      <c r="R1096">
        <v>-0.99627619999999895</v>
      </c>
      <c r="S1096">
        <v>-0.63774109999999995</v>
      </c>
      <c r="T1096">
        <v>1.9612549999999999E-2</v>
      </c>
      <c r="U1096">
        <v>-2.9644780000000002</v>
      </c>
      <c r="V1096">
        <v>2.6370919999999999E-2</v>
      </c>
      <c r="W1096">
        <v>-2.9838509999999999E-2</v>
      </c>
      <c r="X1096">
        <v>0.99920679999999995</v>
      </c>
      <c r="Y1096">
        <v>0.162994</v>
      </c>
      <c r="Z1096">
        <v>-6.4857949999999999E-3</v>
      </c>
      <c r="AA1096">
        <v>0.98660579999999998</v>
      </c>
      <c r="AB1096">
        <v>23</v>
      </c>
      <c r="AC1096">
        <v>-47.084299999999999</v>
      </c>
      <c r="AD1096">
        <v>1.4482280000000001</v>
      </c>
      <c r="AE1096">
        <v>-218.7</v>
      </c>
      <c r="AF1096">
        <v>36.497624780380299</v>
      </c>
      <c r="AG1096">
        <v>1.4482280000000001</v>
      </c>
      <c r="AH1096">
        <v>220.70421433873</v>
      </c>
      <c r="AI1096">
        <v>89.629076521798595</v>
      </c>
      <c r="AJ1096">
        <v>80.610036959461098</v>
      </c>
      <c r="AK1096">
        <v>223.706334746751</v>
      </c>
      <c r="AL1096">
        <v>91.709874488790305</v>
      </c>
      <c r="AM1096">
        <v>88.488209088590096</v>
      </c>
      <c r="AN1096">
        <v>0.99999999563345299</v>
      </c>
    </row>
    <row r="1097" spans="1:40" x14ac:dyDescent="0.25">
      <c r="A1097" t="str">
        <f>"20190312160932226"</f>
        <v>20190312160932226</v>
      </c>
      <c r="B1097" t="str">
        <f>"1552378172216242"</f>
        <v>1552378172216242</v>
      </c>
      <c r="C1097" t="s">
        <v>40</v>
      </c>
      <c r="D1097">
        <v>5.9175990000000001</v>
      </c>
      <c r="E1097">
        <v>0.55159559999999996</v>
      </c>
      <c r="F1097" t="s">
        <v>62</v>
      </c>
      <c r="G1097">
        <v>-236.49619999999999</v>
      </c>
      <c r="H1097">
        <v>2.7708900000000001</v>
      </c>
      <c r="I1097">
        <v>119.5971</v>
      </c>
      <c r="J1097">
        <v>-189.56030000000001</v>
      </c>
      <c r="K1097">
        <v>1.110625</v>
      </c>
      <c r="L1097">
        <v>337.8152</v>
      </c>
      <c r="M1097">
        <v>-4.6952019999999997E-2</v>
      </c>
      <c r="N1097">
        <v>0</v>
      </c>
      <c r="O1097">
        <v>-0.9988032</v>
      </c>
      <c r="P1097">
        <v>-7.3974880000000007E-2</v>
      </c>
      <c r="Q1097">
        <v>-4.325942E-2</v>
      </c>
      <c r="R1097">
        <v>-0.99632140000000002</v>
      </c>
      <c r="S1097">
        <v>-0.63655090000000003</v>
      </c>
      <c r="T1097">
        <v>2.250779E-2</v>
      </c>
      <c r="U1097">
        <v>-2.964661</v>
      </c>
      <c r="V1097">
        <v>2.7141680000000001E-2</v>
      </c>
      <c r="W1097">
        <v>-2.9531780000000001E-2</v>
      </c>
      <c r="X1097">
        <v>0.99919530000000001</v>
      </c>
      <c r="Y1097">
        <v>0.16378090000000001</v>
      </c>
      <c r="Z1097">
        <v>-7.4431979999999998E-3</v>
      </c>
      <c r="AA1097">
        <v>0.98646869999999998</v>
      </c>
      <c r="AB1097">
        <v>23</v>
      </c>
      <c r="AC1097">
        <v>-46.935899999999897</v>
      </c>
      <c r="AD1097">
        <v>1.6602650000000001</v>
      </c>
      <c r="AE1097">
        <v>-218.21809999999999</v>
      </c>
      <c r="AF1097">
        <v>36.635357746633098</v>
      </c>
      <c r="AG1097">
        <v>1.6602650000000001</v>
      </c>
      <c r="AH1097">
        <v>220.169153009545</v>
      </c>
      <c r="AI1097">
        <v>89.573808317442897</v>
      </c>
      <c r="AJ1097">
        <v>80.552744239723197</v>
      </c>
      <c r="AK1097">
        <v>223.20251309972801</v>
      </c>
      <c r="AL1097">
        <v>91.6922923608102</v>
      </c>
      <c r="AM1097">
        <v>88.4440265078088</v>
      </c>
      <c r="AN1097">
        <v>1.0000000221826399</v>
      </c>
    </row>
    <row r="1098" spans="1:40" x14ac:dyDescent="0.25">
      <c r="A1098" t="str">
        <f>"20190312160932248"</f>
        <v>20190312160932248</v>
      </c>
      <c r="B1098" t="str">
        <f>"1552378172236738"</f>
        <v>1552378172236738</v>
      </c>
      <c r="C1098" t="s">
        <v>40</v>
      </c>
      <c r="D1098">
        <v>5.849539</v>
      </c>
      <c r="E1098">
        <v>0.55140979999999995</v>
      </c>
      <c r="F1098" t="s">
        <v>62</v>
      </c>
      <c r="G1098">
        <v>-236.1336</v>
      </c>
      <c r="H1098">
        <v>2.2266140000000001</v>
      </c>
      <c r="I1098">
        <v>119.3841</v>
      </c>
      <c r="J1098">
        <v>-189.56989999999999</v>
      </c>
      <c r="K1098">
        <v>1.1106419999999999</v>
      </c>
      <c r="L1098">
        <v>337.59570000000002</v>
      </c>
      <c r="M1098">
        <v>-4.631499E-2</v>
      </c>
      <c r="N1098">
        <v>0</v>
      </c>
      <c r="O1098">
        <v>-0.99883290000000002</v>
      </c>
      <c r="P1098">
        <v>-7.3523110000000003E-2</v>
      </c>
      <c r="Q1098">
        <v>-4.4223539999999999E-2</v>
      </c>
      <c r="R1098">
        <v>-0.99631270000000005</v>
      </c>
      <c r="S1098">
        <v>-0.63215639999999995</v>
      </c>
      <c r="T1098">
        <v>1.5147809999999999E-2</v>
      </c>
      <c r="U1098">
        <v>-2.9648439999999998</v>
      </c>
      <c r="V1098">
        <v>2.733002E-2</v>
      </c>
      <c r="W1098">
        <v>-3.049899E-2</v>
      </c>
      <c r="X1098">
        <v>0.99916110000000002</v>
      </c>
      <c r="Y1098">
        <v>0.1630026</v>
      </c>
      <c r="Z1098">
        <v>-5.0103869999999998E-3</v>
      </c>
      <c r="AA1098">
        <v>0.98661290000000001</v>
      </c>
      <c r="AB1098">
        <v>23</v>
      </c>
      <c r="AC1098">
        <v>-46.563699999999997</v>
      </c>
      <c r="AD1098">
        <v>1.115972</v>
      </c>
      <c r="AE1098">
        <v>-218.2116</v>
      </c>
      <c r="AF1098">
        <v>36.405394704238397</v>
      </c>
      <c r="AG1098">
        <v>1.115972</v>
      </c>
      <c r="AH1098">
        <v>220.12868299049299</v>
      </c>
      <c r="AI1098">
        <v>89.713426397542705</v>
      </c>
      <c r="AJ1098">
        <v>80.609290846773106</v>
      </c>
      <c r="AK1098">
        <v>223.121570522003</v>
      </c>
      <c r="AL1098">
        <v>91.747734412218605</v>
      </c>
      <c r="AM1098">
        <v>88.433181146652103</v>
      </c>
      <c r="AN1098">
        <v>1.0000000110687099</v>
      </c>
    </row>
    <row r="1099" spans="1:40" x14ac:dyDescent="0.25">
      <c r="A1099" t="str">
        <f>"20190312160932268"</f>
        <v>20190312160932268</v>
      </c>
      <c r="B1099" t="str">
        <f>"1552378172256258"</f>
        <v>1552378172256258</v>
      </c>
      <c r="C1099" t="s">
        <v>40</v>
      </c>
      <c r="D1099">
        <v>6.2412260000000002</v>
      </c>
      <c r="E1099">
        <v>0.55186749999999996</v>
      </c>
      <c r="F1099" t="s">
        <v>62</v>
      </c>
      <c r="G1099">
        <v>-235.89750000000001</v>
      </c>
      <c r="H1099">
        <v>1.661187</v>
      </c>
      <c r="I1099">
        <v>119.3841</v>
      </c>
      <c r="J1099">
        <v>-189.5789</v>
      </c>
      <c r="K1099">
        <v>1.110638</v>
      </c>
      <c r="L1099">
        <v>337.38600000000002</v>
      </c>
      <c r="M1099">
        <v>-4.56791E-2</v>
      </c>
      <c r="N1099">
        <v>0</v>
      </c>
      <c r="O1099">
        <v>-0.99886240000000004</v>
      </c>
      <c r="P1099">
        <v>-7.4239509999999995E-2</v>
      </c>
      <c r="Q1099">
        <v>-4.4649920000000003E-2</v>
      </c>
      <c r="R1099">
        <v>-0.99624069999999998</v>
      </c>
      <c r="S1099">
        <v>-0.62948609999999905</v>
      </c>
      <c r="T1099">
        <v>7.480741E-3</v>
      </c>
      <c r="U1099">
        <v>-2.9649960000000002</v>
      </c>
      <c r="V1099">
        <v>2.8685169999999999E-2</v>
      </c>
      <c r="W1099">
        <v>-3.0928420000000002E-2</v>
      </c>
      <c r="X1099">
        <v>0.9991099</v>
      </c>
      <c r="Y1099">
        <v>0.16277230000000001</v>
      </c>
      <c r="Z1099">
        <v>-2.4746640000000001E-3</v>
      </c>
      <c r="AA1099">
        <v>0.98666050000000005</v>
      </c>
      <c r="AB1099">
        <v>23</v>
      </c>
      <c r="AC1099">
        <v>-46.318600000000004</v>
      </c>
      <c r="AD1099">
        <v>0.55054899999999996</v>
      </c>
      <c r="AE1099">
        <v>-218.00190000000001</v>
      </c>
      <c r="AF1099">
        <v>36.310956956474499</v>
      </c>
      <c r="AG1099">
        <v>0.55054899999999996</v>
      </c>
      <c r="AH1099">
        <v>219.88894767955199</v>
      </c>
      <c r="AI1099">
        <v>89.858462264394305</v>
      </c>
      <c r="AJ1099">
        <v>80.623187719681695</v>
      </c>
      <c r="AK1099">
        <v>222.86753467231901</v>
      </c>
      <c r="AL1099">
        <v>91.772350573088502</v>
      </c>
      <c r="AM1099">
        <v>88.3554483787007</v>
      </c>
      <c r="AN1099">
        <v>0.99999999920981697</v>
      </c>
    </row>
    <row r="1100" spans="1:40" x14ac:dyDescent="0.25">
      <c r="A1100" t="str">
        <f>"20190312160932292"</f>
        <v>20190312160932292</v>
      </c>
      <c r="B1100" t="str">
        <f>"1552378172286515"</f>
        <v>1552378172286515</v>
      </c>
      <c r="C1100" t="s">
        <v>40</v>
      </c>
      <c r="D1100">
        <v>5.8673830000000002</v>
      </c>
      <c r="E1100">
        <v>0.5516605</v>
      </c>
      <c r="F1100" t="s">
        <v>62</v>
      </c>
      <c r="G1100">
        <v>-236.26300000000001</v>
      </c>
      <c r="H1100">
        <v>1.183684</v>
      </c>
      <c r="I1100">
        <v>119.5971</v>
      </c>
      <c r="J1100">
        <v>-189.58860000000001</v>
      </c>
      <c r="K1100">
        <v>1.1106210000000001</v>
      </c>
      <c r="L1100">
        <v>337.1542</v>
      </c>
      <c r="M1100">
        <v>-4.4967750000000001E-2</v>
      </c>
      <c r="N1100">
        <v>0</v>
      </c>
      <c r="O1100">
        <v>-0.99889459999999997</v>
      </c>
      <c r="P1100">
        <v>-7.4143290000000001E-2</v>
      </c>
      <c r="Q1100">
        <v>-4.4459209999999999E-2</v>
      </c>
      <c r="R1100">
        <v>-0.99625620000000004</v>
      </c>
      <c r="S1100">
        <v>-0.63534550000000001</v>
      </c>
      <c r="T1100">
        <v>9.9420549999999991E-4</v>
      </c>
      <c r="U1100">
        <v>-2.9639890000000002</v>
      </c>
      <c r="V1100">
        <v>2.9298350000000001E-2</v>
      </c>
      <c r="W1100">
        <v>-3.0741959999999999E-2</v>
      </c>
      <c r="X1100">
        <v>0.99909789999999998</v>
      </c>
      <c r="Y1100">
        <v>0.16540859999999999</v>
      </c>
      <c r="Z1100">
        <v>-3.2887429999999999E-4</v>
      </c>
      <c r="AA1100">
        <v>0.98622509999999997</v>
      </c>
      <c r="AB1100">
        <v>23</v>
      </c>
      <c r="AC1100">
        <v>-46.674399999999899</v>
      </c>
      <c r="AD1100">
        <v>7.30630000000001E-2</v>
      </c>
      <c r="AE1100">
        <v>-217.55709999999999</v>
      </c>
      <c r="AF1100">
        <v>36.843202698029302</v>
      </c>
      <c r="AG1100">
        <v>7.30630000000001E-2</v>
      </c>
      <c r="AH1100">
        <v>219.43600232031099</v>
      </c>
      <c r="AI1100">
        <v>89.9811862446075</v>
      </c>
      <c r="AJ1100">
        <v>80.468962563511099</v>
      </c>
      <c r="AK1100">
        <v>222.50749658735</v>
      </c>
      <c r="AL1100">
        <v>91.761662051816103</v>
      </c>
      <c r="AM1100">
        <v>88.320293875267296</v>
      </c>
      <c r="AN1100">
        <v>1.00000003760088</v>
      </c>
    </row>
    <row r="1101" spans="1:40" x14ac:dyDescent="0.25">
      <c r="A1101" t="str">
        <f>"20190312160932312"</f>
        <v>20190312160932312</v>
      </c>
      <c r="B1101" t="str">
        <f>"1552378172306033"</f>
        <v>1552378172306033</v>
      </c>
      <c r="C1101" t="s">
        <v>40</v>
      </c>
      <c r="D1101">
        <v>5.8733639999999996</v>
      </c>
      <c r="E1101">
        <v>0.55149809999999999</v>
      </c>
      <c r="F1101" t="s">
        <v>62</v>
      </c>
      <c r="G1101">
        <v>-236.1105</v>
      </c>
      <c r="H1101">
        <v>1.0288569999999999</v>
      </c>
      <c r="I1101">
        <v>119.3841</v>
      </c>
      <c r="J1101">
        <v>-189.59739999999999</v>
      </c>
      <c r="K1101">
        <v>1.110608</v>
      </c>
      <c r="L1101">
        <v>336.94369999999998</v>
      </c>
      <c r="M1101">
        <v>-4.4330719999999997E-2</v>
      </c>
      <c r="N1101">
        <v>0</v>
      </c>
      <c r="O1101">
        <v>-0.99892320000000001</v>
      </c>
      <c r="P1101">
        <v>-7.3173429999999998E-2</v>
      </c>
      <c r="Q1101">
        <v>-4.3710029999999997E-2</v>
      </c>
      <c r="R1101">
        <v>-0.99636119999999995</v>
      </c>
      <c r="S1101">
        <v>-0.63322449999999997</v>
      </c>
      <c r="T1101">
        <v>-1.1128189999999999E-3</v>
      </c>
      <c r="U1101">
        <v>-2.9641419999999998</v>
      </c>
      <c r="V1101">
        <v>2.895967E-2</v>
      </c>
      <c r="W1101">
        <v>-2.9997030000000001E-2</v>
      </c>
      <c r="X1101">
        <v>0.99913039999999997</v>
      </c>
      <c r="Y1101">
        <v>0.16535229999999901</v>
      </c>
      <c r="Z1101">
        <v>3.6813679999999997E-4</v>
      </c>
      <c r="AA1101">
        <v>0.98623450000000001</v>
      </c>
      <c r="AB1101">
        <v>23</v>
      </c>
      <c r="AC1101">
        <v>-46.513100000000001</v>
      </c>
      <c r="AD1101">
        <v>-8.1751000000000101E-2</v>
      </c>
      <c r="AE1101">
        <v>-217.55959999999999</v>
      </c>
      <c r="AF1101">
        <v>36.821883212370203</v>
      </c>
      <c r="AG1101">
        <v>-8.1751000000000101E-2</v>
      </c>
      <c r="AH1101">
        <v>219.40780198984501</v>
      </c>
      <c r="AI1101">
        <v>90.021053884589804</v>
      </c>
      <c r="AJ1101">
        <v>80.473174764652498</v>
      </c>
      <c r="AK1101">
        <v>222.476159038551</v>
      </c>
      <c r="AL1101">
        <v>91.718961040973696</v>
      </c>
      <c r="AM1101">
        <v>88.339753811487896</v>
      </c>
      <c r="AN1101">
        <v>1.0000000202497401</v>
      </c>
    </row>
    <row r="1102" spans="1:40" x14ac:dyDescent="0.25">
      <c r="A1102" t="str">
        <f>"20190312160932334"</f>
        <v>20190312160932334</v>
      </c>
      <c r="B1102" t="str">
        <f>"1552378172326530"</f>
        <v>1552378172326530</v>
      </c>
      <c r="C1102" t="s">
        <v>40</v>
      </c>
      <c r="D1102">
        <v>5.8110499999999998</v>
      </c>
      <c r="E1102">
        <v>0.55134550000000004</v>
      </c>
      <c r="F1102" t="s">
        <v>62</v>
      </c>
      <c r="G1102">
        <v>-235.76169999999999</v>
      </c>
      <c r="H1102">
        <v>1.10859</v>
      </c>
      <c r="I1102">
        <v>119.3841</v>
      </c>
      <c r="J1102">
        <v>-189.60640000000001</v>
      </c>
      <c r="K1102">
        <v>1.110595</v>
      </c>
      <c r="L1102">
        <v>336.7242</v>
      </c>
      <c r="M1102">
        <v>-4.3684649999999998E-2</v>
      </c>
      <c r="N1102">
        <v>0</v>
      </c>
      <c r="O1102">
        <v>-0.9989517</v>
      </c>
      <c r="P1102">
        <v>-7.1869329999999995E-2</v>
      </c>
      <c r="Q1102">
        <v>-4.3673040000000003E-2</v>
      </c>
      <c r="R1102">
        <v>-0.9964577</v>
      </c>
      <c r="S1102">
        <v>-0.62908940000000002</v>
      </c>
      <c r="T1102" s="1">
        <v>-2.741814E-5</v>
      </c>
      <c r="U1102">
        <v>-2.9647220000000001</v>
      </c>
      <c r="V1102">
        <v>2.8297240000000001E-2</v>
      </c>
      <c r="W1102">
        <v>-2.996499E-2</v>
      </c>
      <c r="X1102">
        <v>0.99915030000000005</v>
      </c>
      <c r="Y1102">
        <v>0.1646348</v>
      </c>
      <c r="Z1102" s="1">
        <v>9.0708290000000006E-6</v>
      </c>
      <c r="AA1102">
        <v>0.98635459999999997</v>
      </c>
      <c r="AB1102">
        <v>23</v>
      </c>
      <c r="AC1102">
        <v>-46.155299999999897</v>
      </c>
      <c r="AD1102">
        <v>-2.0050000000000302E-3</v>
      </c>
      <c r="AE1102">
        <v>-217.34010000000001</v>
      </c>
      <c r="AF1102">
        <v>36.615915735539701</v>
      </c>
      <c r="AG1102">
        <v>-2.0050000000000302E-3</v>
      </c>
      <c r="AH1102">
        <v>219.149048578605</v>
      </c>
      <c r="AI1102">
        <v>90.000517033288901</v>
      </c>
      <c r="AJ1102">
        <v>80.514511826831097</v>
      </c>
      <c r="AK1102">
        <v>222.186927567937</v>
      </c>
      <c r="AL1102">
        <v>91.717124530853496</v>
      </c>
      <c r="AM1102">
        <v>88.3777424182625</v>
      </c>
      <c r="AN1102">
        <v>0.99999997820370301</v>
      </c>
    </row>
    <row r="1103" spans="1:40" x14ac:dyDescent="0.25">
      <c r="A1103" t="str">
        <f>"20190312160932356"</f>
        <v>20190312160932356</v>
      </c>
      <c r="B1103" t="str">
        <f>"1552378172346050"</f>
        <v>1552378172346050</v>
      </c>
      <c r="C1103" t="s">
        <v>40</v>
      </c>
      <c r="D1103">
        <v>5.9077710000000003</v>
      </c>
      <c r="E1103">
        <v>0.5510853</v>
      </c>
      <c r="F1103" t="s">
        <v>62</v>
      </c>
      <c r="G1103">
        <v>-235.3236</v>
      </c>
      <c r="H1103">
        <v>1.0285550000000001</v>
      </c>
      <c r="I1103">
        <v>119.3841</v>
      </c>
      <c r="J1103">
        <v>-189.61539999999999</v>
      </c>
      <c r="K1103">
        <v>1.1105750000000001</v>
      </c>
      <c r="L1103">
        <v>336.49959999999999</v>
      </c>
      <c r="M1103">
        <v>-4.3043289999999998E-2</v>
      </c>
      <c r="N1103">
        <v>0</v>
      </c>
      <c r="O1103">
        <v>-0.99897959999999997</v>
      </c>
      <c r="P1103">
        <v>-7.1376170000000003E-2</v>
      </c>
      <c r="Q1103">
        <v>-4.4290999999999997E-2</v>
      </c>
      <c r="R1103">
        <v>-0.99646599999999996</v>
      </c>
      <c r="S1103">
        <v>-0.62382510000000002</v>
      </c>
      <c r="T1103">
        <v>-1.1193749999999999E-3</v>
      </c>
      <c r="U1103">
        <v>-2.965668</v>
      </c>
      <c r="V1103">
        <v>2.8444879999999999E-2</v>
      </c>
      <c r="W1103">
        <v>-3.0587650000000001E-2</v>
      </c>
      <c r="X1103">
        <v>0.99912730000000005</v>
      </c>
      <c r="Y1103">
        <v>0.16352800000000001</v>
      </c>
      <c r="Z1103">
        <v>3.7032800000000001E-4</v>
      </c>
      <c r="AA1103">
        <v>0.98653860000000004</v>
      </c>
      <c r="AB1103">
        <v>22</v>
      </c>
      <c r="AC1103">
        <v>-45.708199999999998</v>
      </c>
      <c r="AD1103">
        <v>-8.2020000000000204E-2</v>
      </c>
      <c r="AE1103">
        <v>-217.1155</v>
      </c>
      <c r="AF1103">
        <v>36.319585616923703</v>
      </c>
      <c r="AG1103">
        <v>-8.2020000000000204E-2</v>
      </c>
      <c r="AH1103">
        <v>218.881826869082</v>
      </c>
      <c r="AI1103">
        <v>90.0211804247554</v>
      </c>
      <c r="AJ1103">
        <v>80.578616317059399</v>
      </c>
      <c r="AK1103">
        <v>221.87467895235801</v>
      </c>
      <c r="AL1103">
        <v>91.752816578897296</v>
      </c>
      <c r="AM1103">
        <v>88.369245377354801</v>
      </c>
      <c r="AN1103">
        <v>1.0000000385680099</v>
      </c>
    </row>
    <row r="1104" spans="1:40" x14ac:dyDescent="0.25">
      <c r="A1104" t="str">
        <f>"20190312160932381"</f>
        <v>20190312160932381</v>
      </c>
      <c r="B1104" t="str">
        <f>"1552378172376305"</f>
        <v>1552378172376305</v>
      </c>
      <c r="C1104" t="s">
        <v>40</v>
      </c>
      <c r="D1104">
        <v>5.9443760000000001</v>
      </c>
      <c r="E1104">
        <v>0.50803569999999998</v>
      </c>
      <c r="F1104" t="s">
        <v>60</v>
      </c>
      <c r="G1104">
        <v>-219.21850000000001</v>
      </c>
      <c r="H1104">
        <v>0.82367269999999904</v>
      </c>
      <c r="I1104">
        <v>194.98159999999999</v>
      </c>
      <c r="J1104">
        <v>-189.6251</v>
      </c>
      <c r="K1104">
        <v>1.11056</v>
      </c>
      <c r="L1104">
        <v>336.25720000000001</v>
      </c>
      <c r="M1104">
        <v>-4.2368999999999997E-2</v>
      </c>
      <c r="N1104">
        <v>0</v>
      </c>
      <c r="O1104">
        <v>-0.99900840000000002</v>
      </c>
      <c r="P1104">
        <v>-7.1361149999999998E-2</v>
      </c>
      <c r="Q1104">
        <v>-4.5327149999999997E-2</v>
      </c>
      <c r="R1104">
        <v>-0.99642019999999998</v>
      </c>
      <c r="S1104">
        <v>-0.62042240000000004</v>
      </c>
      <c r="T1104">
        <v>-6.0129169999999996E-3</v>
      </c>
      <c r="U1104">
        <v>-2.9659420000000001</v>
      </c>
      <c r="V1104">
        <v>2.9105789999999999E-2</v>
      </c>
      <c r="W1104">
        <v>-3.1628370000000003E-2</v>
      </c>
      <c r="X1104">
        <v>0.99907579999999996</v>
      </c>
      <c r="Y1104">
        <v>0.16309100000000001</v>
      </c>
      <c r="Z1104">
        <v>1.9894880000000002E-3</v>
      </c>
      <c r="AA1104">
        <v>0.98660899999999996</v>
      </c>
      <c r="AB1104">
        <v>22</v>
      </c>
      <c r="AC1104">
        <v>-29.593399999999999</v>
      </c>
      <c r="AD1104">
        <v>-0.28688730000000001</v>
      </c>
      <c r="AE1104">
        <v>-141.2756</v>
      </c>
      <c r="AF1104">
        <v>23.580462018684901</v>
      </c>
      <c r="AG1104">
        <v>-0.28688730000000001</v>
      </c>
      <c r="AH1104">
        <v>142.40211263262501</v>
      </c>
      <c r="AI1104">
        <v>90.113878801050404</v>
      </c>
      <c r="AJ1104">
        <v>80.597671783090505</v>
      </c>
      <c r="AK1104">
        <v>144.34154694879899</v>
      </c>
      <c r="AL1104">
        <v>91.8124744263515</v>
      </c>
      <c r="AM1104">
        <v>88.331290395508205</v>
      </c>
      <c r="AN1104">
        <v>0.99999997747300995</v>
      </c>
    </row>
    <row r="1105" spans="1:40" x14ac:dyDescent="0.25">
      <c r="A1105" t="str">
        <f>"20190312160932403"</f>
        <v>20190312160932403</v>
      </c>
      <c r="B1105" t="str">
        <f>"1552378172396802"</f>
        <v>1552378172396802</v>
      </c>
      <c r="C1105" t="s">
        <v>40</v>
      </c>
      <c r="D1105">
        <v>5.937297</v>
      </c>
      <c r="E1105">
        <v>0.50437889999999996</v>
      </c>
      <c r="F1105" t="s">
        <v>59</v>
      </c>
      <c r="G1105">
        <v>-194.96530000000001</v>
      </c>
      <c r="H1105" s="1">
        <v>3.7094469999999998E-6</v>
      </c>
      <c r="I1105">
        <v>278.90449999999998</v>
      </c>
      <c r="J1105">
        <v>-189.6337</v>
      </c>
      <c r="K1105">
        <v>1.1105480000000001</v>
      </c>
      <c r="L1105">
        <v>336.03609999999998</v>
      </c>
      <c r="M1105">
        <v>-4.1763620000000001E-2</v>
      </c>
      <c r="N1105">
        <v>0</v>
      </c>
      <c r="O1105">
        <v>-0.99903399999999998</v>
      </c>
      <c r="P1105">
        <v>-7.1040619999999999E-2</v>
      </c>
      <c r="Q1105">
        <v>-4.4503809999999998E-2</v>
      </c>
      <c r="R1105">
        <v>-0.99648060000000005</v>
      </c>
      <c r="S1105">
        <v>-0.27824399999999999</v>
      </c>
      <c r="T1105">
        <v>-5.7863949999999997E-2</v>
      </c>
      <c r="U1105">
        <v>-2.9882810000000002</v>
      </c>
      <c r="V1105">
        <v>2.9386519999999999E-2</v>
      </c>
      <c r="W1105">
        <v>-3.0808490000000001E-2</v>
      </c>
      <c r="X1105">
        <v>0.99909320000000001</v>
      </c>
      <c r="Y1105">
        <v>5.1024930000000003E-2</v>
      </c>
      <c r="Z1105">
        <v>1.928038E-2</v>
      </c>
      <c r="AA1105">
        <v>0.99851129999999999</v>
      </c>
      <c r="AB1105">
        <v>22</v>
      </c>
      <c r="AC1105">
        <v>-5.3315999999999999</v>
      </c>
      <c r="AD1105">
        <v>-1.1105442905530001</v>
      </c>
      <c r="AE1105">
        <v>-57.131599999999899</v>
      </c>
      <c r="AF1105">
        <v>2.9396008773529299</v>
      </c>
      <c r="AG1105">
        <v>-1.1105442905530001</v>
      </c>
      <c r="AH1105">
        <v>57.282974711627702</v>
      </c>
      <c r="AI1105">
        <v>91.1091942227864</v>
      </c>
      <c r="AJ1105">
        <v>87.062318956420199</v>
      </c>
      <c r="AK1105">
        <v>57.369101036641602</v>
      </c>
      <c r="AL1105">
        <v>91.765475854309301</v>
      </c>
      <c r="AM1105">
        <v>88.315233981591305</v>
      </c>
      <c r="AN1105">
        <v>0.99999997645001404</v>
      </c>
    </row>
    <row r="1106" spans="1:40" x14ac:dyDescent="0.25">
      <c r="A1106" t="str">
        <f>"20190312160932426"</f>
        <v>20190312160932426</v>
      </c>
      <c r="B1106" t="str">
        <f>"1552378172416322"</f>
        <v>1552378172416322</v>
      </c>
      <c r="C1106" t="s">
        <v>40</v>
      </c>
      <c r="D1106">
        <v>5.8808089999999904</v>
      </c>
      <c r="E1106">
        <v>0.50312060000000003</v>
      </c>
      <c r="F1106" t="s">
        <v>41</v>
      </c>
      <c r="G1106">
        <v>-195.60339999999999</v>
      </c>
      <c r="H1106" s="1">
        <v>-3.4039179999999998E-6</v>
      </c>
      <c r="I1106">
        <v>264.0686</v>
      </c>
      <c r="J1106">
        <v>-189.64240000000001</v>
      </c>
      <c r="K1106">
        <v>1.1105339999999999</v>
      </c>
      <c r="L1106">
        <v>335.8107</v>
      </c>
      <c r="M1106">
        <v>-4.115075E-2</v>
      </c>
      <c r="N1106">
        <v>0</v>
      </c>
      <c r="O1106">
        <v>-0.99905960000000005</v>
      </c>
      <c r="P1106">
        <v>-7.0679290000000006E-2</v>
      </c>
      <c r="Q1106">
        <v>-4.3657969999999997E-2</v>
      </c>
      <c r="R1106">
        <v>-0.99654370000000003</v>
      </c>
      <c r="S1106">
        <v>-0.2480927</v>
      </c>
      <c r="T1106">
        <v>-4.615259E-2</v>
      </c>
      <c r="U1106">
        <v>-2.9908450000000002</v>
      </c>
      <c r="V1106">
        <v>2.963402E-2</v>
      </c>
      <c r="W1106">
        <v>-2.996588E-2</v>
      </c>
      <c r="X1106">
        <v>0.99911150000000004</v>
      </c>
      <c r="Y1106">
        <v>4.1573239999999997E-2</v>
      </c>
      <c r="Z1106">
        <v>1.537679E-2</v>
      </c>
      <c r="AA1106">
        <v>0.99901709999999999</v>
      </c>
      <c r="AB1106">
        <v>22</v>
      </c>
      <c r="AC1106">
        <v>-5.9609999999999799</v>
      </c>
      <c r="AD1106">
        <v>-1.1105374039179901</v>
      </c>
      <c r="AE1106">
        <v>-71.742099999999994</v>
      </c>
      <c r="AF1106">
        <v>3.0027186142963398</v>
      </c>
      <c r="AG1106">
        <v>-1.1105374039179901</v>
      </c>
      <c r="AH1106">
        <v>71.909529325950501</v>
      </c>
      <c r="AI1106">
        <v>90.884008858747706</v>
      </c>
      <c r="AJ1106">
        <v>87.608895286701198</v>
      </c>
      <c r="AK1106">
        <v>71.980761459447393</v>
      </c>
      <c r="AL1106">
        <v>91.717175579531997</v>
      </c>
      <c r="AM1106">
        <v>88.301083877860194</v>
      </c>
      <c r="AN1106">
        <v>0.99999995926889096</v>
      </c>
    </row>
    <row r="1107" spans="1:40" x14ac:dyDescent="0.25">
      <c r="A1107" t="str">
        <f>"20190312160932470"</f>
        <v>20190312160932470</v>
      </c>
      <c r="B1107" t="str">
        <f>"1552378172466098"</f>
        <v>1552378172466098</v>
      </c>
      <c r="C1107" t="s">
        <v>40</v>
      </c>
      <c r="D1107">
        <v>5.8758239999999997</v>
      </c>
      <c r="E1107">
        <v>0.50223949999999995</v>
      </c>
      <c r="F1107" t="s">
        <v>41</v>
      </c>
      <c r="G1107">
        <v>-195.75200000000001</v>
      </c>
      <c r="H1107" s="1">
        <v>-5.0040779999999999E-6</v>
      </c>
      <c r="I1107">
        <v>258.69330000000002</v>
      </c>
      <c r="J1107">
        <v>-189.65899999999999</v>
      </c>
      <c r="K1107">
        <v>1.110517</v>
      </c>
      <c r="L1107">
        <v>335.36880000000002</v>
      </c>
      <c r="M1107">
        <v>-3.9948379999999999E-2</v>
      </c>
      <c r="N1107">
        <v>0</v>
      </c>
      <c r="O1107">
        <v>-0.99910840000000001</v>
      </c>
      <c r="P1107">
        <v>-7.2871530000000004E-2</v>
      </c>
      <c r="Q1107">
        <v>-4.5022010000000001E-2</v>
      </c>
      <c r="R1107">
        <v>-0.99632480000000001</v>
      </c>
      <c r="S1107">
        <v>-0.2370148</v>
      </c>
      <c r="T1107">
        <v>-4.3081880000000003E-2</v>
      </c>
      <c r="U1107">
        <v>-2.9916689999999999</v>
      </c>
      <c r="V1107">
        <v>3.3035290000000002E-2</v>
      </c>
      <c r="W1107">
        <v>-3.133582E-2</v>
      </c>
      <c r="X1107">
        <v>0.99896280000000004</v>
      </c>
      <c r="Y1107">
        <v>3.9078960000000003E-2</v>
      </c>
      <c r="Z1107">
        <v>1.4353909999999999E-2</v>
      </c>
      <c r="AA1107">
        <v>0.9991331</v>
      </c>
      <c r="AB1107">
        <v>22</v>
      </c>
      <c r="AC1107">
        <v>-6.0929999999999804</v>
      </c>
      <c r="AD1107">
        <v>-1.1105220040779999</v>
      </c>
      <c r="AE1107">
        <v>-76.6755</v>
      </c>
      <c r="AF1107">
        <v>3.0241572000635499</v>
      </c>
      <c r="AG1107">
        <v>-1.1105220040779999</v>
      </c>
      <c r="AH1107">
        <v>76.841692298192598</v>
      </c>
      <c r="AI1107">
        <v>90.827344950600207</v>
      </c>
      <c r="AJ1107">
        <v>87.7462486351439</v>
      </c>
      <c r="AK1107">
        <v>76.909196206580901</v>
      </c>
      <c r="AL1107">
        <v>91.795704246517801</v>
      </c>
      <c r="AM1107">
        <v>88.105942319975696</v>
      </c>
      <c r="AN1107">
        <v>0.99999996989214701</v>
      </c>
    </row>
    <row r="1108" spans="1:40" x14ac:dyDescent="0.25">
      <c r="A1108" t="str">
        <f>"20190312160932492"</f>
        <v>20190312160932492</v>
      </c>
      <c r="B1108" t="str">
        <f>"1552378172486594"</f>
        <v>1552378172486594</v>
      </c>
      <c r="C1108" t="s">
        <v>40</v>
      </c>
      <c r="D1108">
        <v>5.8722320000000003</v>
      </c>
      <c r="E1108">
        <v>0.50234020000000001</v>
      </c>
      <c r="F1108" t="s">
        <v>41</v>
      </c>
      <c r="G1108">
        <v>-195.2578</v>
      </c>
      <c r="H1108" s="1">
        <v>-3.5198190000000001E-6</v>
      </c>
      <c r="I1108">
        <v>264.58929999999998</v>
      </c>
      <c r="J1108">
        <v>-189.66679999999999</v>
      </c>
      <c r="K1108">
        <v>1.1105069999999999</v>
      </c>
      <c r="L1108">
        <v>335.15699999999998</v>
      </c>
      <c r="M1108">
        <v>-3.9369870000000001E-2</v>
      </c>
      <c r="N1108">
        <v>0</v>
      </c>
      <c r="O1108">
        <v>-0.99913149999999995</v>
      </c>
      <c r="P1108">
        <v>-7.2918869999999997E-2</v>
      </c>
      <c r="Q1108">
        <v>-4.5887980000000002E-2</v>
      </c>
      <c r="R1108">
        <v>-0.996282</v>
      </c>
      <c r="S1108">
        <v>-0.23664859999999999</v>
      </c>
      <c r="T1108">
        <v>-4.6938899999999999E-2</v>
      </c>
      <c r="U1108">
        <v>-2.9916689999999999</v>
      </c>
      <c r="V1108">
        <v>3.3662909999999997E-2</v>
      </c>
      <c r="W1108">
        <v>-3.2204999999999998E-2</v>
      </c>
      <c r="X1108">
        <v>0.99891419999999997</v>
      </c>
      <c r="Y1108">
        <v>3.9534470000000002E-2</v>
      </c>
      <c r="Z1108">
        <v>1.5639150000000001E-2</v>
      </c>
      <c r="AA1108">
        <v>0.99909579999999998</v>
      </c>
      <c r="AB1108">
        <v>22</v>
      </c>
      <c r="AC1108">
        <v>-5.5910000000000002</v>
      </c>
      <c r="AD1108">
        <v>-1.110510519819</v>
      </c>
      <c r="AE1108">
        <v>-70.567700000000002</v>
      </c>
      <c r="AF1108">
        <v>2.8074736505967901</v>
      </c>
      <c r="AG1108">
        <v>-1.110510519819</v>
      </c>
      <c r="AH1108">
        <v>70.715713239480195</v>
      </c>
      <c r="AI1108">
        <v>90.898983568629902</v>
      </c>
      <c r="AJ1108">
        <v>87.726503034636394</v>
      </c>
      <c r="AK1108">
        <v>70.780133094547196</v>
      </c>
      <c r="AL1108">
        <v>91.845529754213501</v>
      </c>
      <c r="AM1108">
        <v>88.069891251317003</v>
      </c>
      <c r="AN1108">
        <v>0.99999996624815302</v>
      </c>
    </row>
    <row r="1109" spans="1:40" x14ac:dyDescent="0.25">
      <c r="A1109" t="str">
        <f>"20190312160932514"</f>
        <v>20190312160932514</v>
      </c>
      <c r="B1109" t="str">
        <f>"1552378172506114"</f>
        <v>1552378172506114</v>
      </c>
      <c r="C1109" t="s">
        <v>40</v>
      </c>
      <c r="D1109">
        <v>5.8191449999999998</v>
      </c>
      <c r="E1109">
        <v>0.50246469999999999</v>
      </c>
      <c r="F1109" t="s">
        <v>41</v>
      </c>
      <c r="G1109">
        <v>-194.95490000000001</v>
      </c>
      <c r="H1109" s="1">
        <v>-4.8294790000000001E-6</v>
      </c>
      <c r="I1109">
        <v>268.59570000000002</v>
      </c>
      <c r="J1109">
        <v>-189.67500000000001</v>
      </c>
      <c r="K1109">
        <v>1.1104989999999999</v>
      </c>
      <c r="L1109">
        <v>334.928</v>
      </c>
      <c r="M1109">
        <v>-3.8742390000000002E-2</v>
      </c>
      <c r="N1109">
        <v>0</v>
      </c>
      <c r="O1109">
        <v>-0.99915609999999999</v>
      </c>
      <c r="P1109">
        <v>-7.2590580000000002E-2</v>
      </c>
      <c r="Q1109">
        <v>-4.5902560000000002E-2</v>
      </c>
      <c r="R1109">
        <v>-0.9963052</v>
      </c>
      <c r="S1109">
        <v>-0.23767089999999999</v>
      </c>
      <c r="T1109">
        <v>-4.9910549999999998E-2</v>
      </c>
      <c r="U1109">
        <v>-2.9915159999999998</v>
      </c>
      <c r="V1109">
        <v>3.3960820000000003E-2</v>
      </c>
      <c r="W1109">
        <v>-3.2222580000000001E-2</v>
      </c>
      <c r="X1109">
        <v>0.9989036</v>
      </c>
      <c r="Y1109">
        <v>4.0504030000000003E-2</v>
      </c>
      <c r="Z1109">
        <v>1.66299E-2</v>
      </c>
      <c r="AA1109">
        <v>0.99904099999999996</v>
      </c>
      <c r="AB1109">
        <v>22</v>
      </c>
      <c r="AC1109">
        <v>-5.2798999999999898</v>
      </c>
      <c r="AD1109">
        <v>-1.1105038294789999</v>
      </c>
      <c r="AE1109">
        <v>-66.332300000000004</v>
      </c>
      <c r="AF1109">
        <v>2.7050708650145499</v>
      </c>
      <c r="AG1109">
        <v>-1.1105038294789999</v>
      </c>
      <c r="AH1109">
        <v>66.4685531016613</v>
      </c>
      <c r="AI1109">
        <v>90.956371838832098</v>
      </c>
      <c r="AJ1109">
        <v>87.669519572259404</v>
      </c>
      <c r="AK1109">
        <v>66.532842856505098</v>
      </c>
      <c r="AL1109">
        <v>91.846537443295801</v>
      </c>
      <c r="AM1109">
        <v>88.0528026205792</v>
      </c>
      <c r="AN1109">
        <v>1.0000000170249399</v>
      </c>
    </row>
    <row r="1110" spans="1:40" x14ac:dyDescent="0.25">
      <c r="A1110" t="str">
        <f>"20190312160932536"</f>
        <v>20190312160932536</v>
      </c>
      <c r="B1110" t="str">
        <f>"1552378172526609"</f>
        <v>1552378172526609</v>
      </c>
      <c r="C1110" t="s">
        <v>40</v>
      </c>
      <c r="D1110">
        <v>5.8274710000000001</v>
      </c>
      <c r="E1110">
        <v>0.50226990000000005</v>
      </c>
      <c r="F1110" t="s">
        <v>41</v>
      </c>
      <c r="G1110">
        <v>-195.06030000000001</v>
      </c>
      <c r="H1110" s="1">
        <v>-4.3512419999999998E-6</v>
      </c>
      <c r="I1110">
        <v>267.1354</v>
      </c>
      <c r="J1110">
        <v>-189.68260000000001</v>
      </c>
      <c r="K1110">
        <v>1.1104940000000001</v>
      </c>
      <c r="L1110">
        <v>334.71440000000001</v>
      </c>
      <c r="M1110">
        <v>-3.815582E-2</v>
      </c>
      <c r="N1110">
        <v>0</v>
      </c>
      <c r="O1110">
        <v>-0.99917840000000002</v>
      </c>
      <c r="P1110">
        <v>-7.2476319999999997E-2</v>
      </c>
      <c r="Q1110">
        <v>-4.6167619999999999E-2</v>
      </c>
      <c r="R1110">
        <v>-0.9963012</v>
      </c>
      <c r="S1110">
        <v>-0.2376404</v>
      </c>
      <c r="T1110">
        <v>-4.9004199999999998E-2</v>
      </c>
      <c r="U1110">
        <v>-2.9915470000000002</v>
      </c>
      <c r="V1110">
        <v>3.443301E-2</v>
      </c>
      <c r="W1110">
        <v>-3.249022E-2</v>
      </c>
      <c r="X1110">
        <v>0.99887879999999996</v>
      </c>
      <c r="Y1110">
        <v>4.1080060000000002E-2</v>
      </c>
      <c r="Z1110">
        <v>1.6328189999999999E-2</v>
      </c>
      <c r="AA1110">
        <v>0.99902239999999998</v>
      </c>
      <c r="AB1110">
        <v>22</v>
      </c>
      <c r="AC1110">
        <v>-5.3776999999999999</v>
      </c>
      <c r="AD1110">
        <v>-1.1104983512419999</v>
      </c>
      <c r="AE1110">
        <v>-67.578999999999994</v>
      </c>
      <c r="AF1110">
        <v>2.7942606033762201</v>
      </c>
      <c r="AG1110">
        <v>-1.1104983512419999</v>
      </c>
      <c r="AH1110">
        <v>67.716819071496701</v>
      </c>
      <c r="AI1110">
        <v>90.938719231911506</v>
      </c>
      <c r="AJ1110">
        <v>87.637092722919903</v>
      </c>
      <c r="AK1110">
        <v>67.783542870445402</v>
      </c>
      <c r="AL1110">
        <v>91.861880054188802</v>
      </c>
      <c r="AM1110">
        <v>88.025701159727603</v>
      </c>
      <c r="AN1110">
        <v>1.0000000518313701</v>
      </c>
    </row>
    <row r="1111" spans="1:40" x14ac:dyDescent="0.25">
      <c r="A1111" t="str">
        <f>"20190312160932560"</f>
        <v>20190312160932560</v>
      </c>
      <c r="B1111" t="str">
        <f>"1552378172555890"</f>
        <v>1552378172555890</v>
      </c>
      <c r="C1111" t="s">
        <v>40</v>
      </c>
      <c r="D1111">
        <v>5.8297639999999999</v>
      </c>
      <c r="E1111">
        <v>0.50188509999999997</v>
      </c>
      <c r="F1111" t="s">
        <v>41</v>
      </c>
      <c r="G1111">
        <v>-194.87430000000001</v>
      </c>
      <c r="H1111" s="1">
        <v>-4.8970979999999996E-6</v>
      </c>
      <c r="I1111">
        <v>268.83640000000003</v>
      </c>
      <c r="J1111">
        <v>-189.6909</v>
      </c>
      <c r="K1111">
        <v>1.110495</v>
      </c>
      <c r="L1111">
        <v>334.47680000000003</v>
      </c>
      <c r="M1111">
        <v>-3.7503679999999998E-2</v>
      </c>
      <c r="N1111">
        <v>0</v>
      </c>
      <c r="O1111">
        <v>-0.99920319999999996</v>
      </c>
      <c r="P1111">
        <v>-7.302488E-2</v>
      </c>
      <c r="Q1111">
        <v>-4.687699E-2</v>
      </c>
      <c r="R1111">
        <v>-0.99622829999999996</v>
      </c>
      <c r="S1111">
        <v>-0.23576349999999999</v>
      </c>
      <c r="T1111">
        <v>-5.0429700000000001E-2</v>
      </c>
      <c r="U1111">
        <v>-2.991638</v>
      </c>
      <c r="V1111">
        <v>3.5635970000000003E-2</v>
      </c>
      <c r="W1111">
        <v>-3.320261E-2</v>
      </c>
      <c r="X1111">
        <v>0.99881319999999996</v>
      </c>
      <c r="Y1111">
        <v>4.1106289999999997E-2</v>
      </c>
      <c r="Z1111">
        <v>1.680355E-2</v>
      </c>
      <c r="AA1111">
        <v>0.9990135</v>
      </c>
      <c r="AB1111">
        <v>22</v>
      </c>
      <c r="AC1111">
        <v>-5.1833999999999998</v>
      </c>
      <c r="AD1111">
        <v>-1.110499897098</v>
      </c>
      <c r="AE1111">
        <v>-65.6404</v>
      </c>
      <c r="AF1111">
        <v>2.71699384178764</v>
      </c>
      <c r="AG1111">
        <v>-1.110499897098</v>
      </c>
      <c r="AH1111">
        <v>65.769919599120499</v>
      </c>
      <c r="AI1111">
        <v>90.966501179866896</v>
      </c>
      <c r="AJ1111">
        <v>87.6344228990163</v>
      </c>
      <c r="AK1111">
        <v>65.835382505401597</v>
      </c>
      <c r="AL1111">
        <v>91.902718991025395</v>
      </c>
      <c r="AM1111">
        <v>87.956649971620806</v>
      </c>
      <c r="AN1111">
        <v>1.0000000720814399</v>
      </c>
    </row>
    <row r="1112" spans="1:40" x14ac:dyDescent="0.25">
      <c r="A1112" t="str">
        <f>"20190312160932583"</f>
        <v>20190312160932583</v>
      </c>
      <c r="B1112" t="str">
        <f>"1552378172576386"</f>
        <v>1552378172576386</v>
      </c>
      <c r="C1112" t="s">
        <v>40</v>
      </c>
      <c r="D1112">
        <v>5.8734070000000003</v>
      </c>
      <c r="E1112">
        <v>0.50167669999999998</v>
      </c>
      <c r="F1112" t="s">
        <v>41</v>
      </c>
      <c r="G1112">
        <v>-194.9111</v>
      </c>
      <c r="H1112" s="1">
        <v>-4.5766060000000001E-6</v>
      </c>
      <c r="I1112">
        <v>267.87540000000001</v>
      </c>
      <c r="J1112">
        <v>-189.6986</v>
      </c>
      <c r="K1112">
        <v>1.1104940000000001</v>
      </c>
      <c r="L1112">
        <v>334.25400000000002</v>
      </c>
      <c r="M1112">
        <v>-3.6894120000000002E-2</v>
      </c>
      <c r="N1112">
        <v>0</v>
      </c>
      <c r="O1112">
        <v>-0.99922610000000001</v>
      </c>
      <c r="P1112">
        <v>-7.3578859999999996E-2</v>
      </c>
      <c r="Q1112">
        <v>-4.6801530000000001E-2</v>
      </c>
      <c r="R1112">
        <v>-0.99619080000000004</v>
      </c>
      <c r="S1112">
        <v>-0.23449710000000001</v>
      </c>
      <c r="T1112">
        <v>-4.9884560000000001E-2</v>
      </c>
      <c r="U1112">
        <v>-2.9917910000000001</v>
      </c>
      <c r="V1112">
        <v>3.6799680000000001E-2</v>
      </c>
      <c r="W1112">
        <v>-3.3129579999999999E-2</v>
      </c>
      <c r="X1112">
        <v>0.99877329999999998</v>
      </c>
      <c r="Y1112">
        <v>4.1291790000000002E-2</v>
      </c>
      <c r="Z1112">
        <v>1.662189E-2</v>
      </c>
      <c r="AA1112">
        <v>0.99900880000000003</v>
      </c>
      <c r="AB1112">
        <v>22</v>
      </c>
      <c r="AC1112">
        <v>-5.2125000000000004</v>
      </c>
      <c r="AD1112">
        <v>-1.110498576606</v>
      </c>
      <c r="AE1112">
        <v>-66.378600000000006</v>
      </c>
      <c r="AF1112">
        <v>2.7589752512791201</v>
      </c>
      <c r="AG1112">
        <v>-1.110498576606</v>
      </c>
      <c r="AH1112">
        <v>66.507227910482996</v>
      </c>
      <c r="AI1112">
        <v>90.955780434656702</v>
      </c>
      <c r="AJ1112">
        <v>87.624513047986696</v>
      </c>
      <c r="AK1112">
        <v>66.573692370656005</v>
      </c>
      <c r="AL1112">
        <v>91.898532618358999</v>
      </c>
      <c r="AM1112">
        <v>87.8898985233442</v>
      </c>
      <c r="AN1112">
        <v>0.99999994515598201</v>
      </c>
    </row>
    <row r="1113" spans="1:40" x14ac:dyDescent="0.25">
      <c r="A1113" t="str">
        <f>"20190312160932603"</f>
        <v>20190312160932603</v>
      </c>
      <c r="B1113" t="str">
        <f>"1552378172596882"</f>
        <v>1552378172596882</v>
      </c>
      <c r="C1113" t="s">
        <v>40</v>
      </c>
      <c r="D1113">
        <v>5.8198499999999997</v>
      </c>
      <c r="E1113">
        <v>0.50159540000000002</v>
      </c>
      <c r="F1113" t="s">
        <v>41</v>
      </c>
      <c r="G1113">
        <v>-195.2234</v>
      </c>
      <c r="H1113" s="1">
        <v>-3.188015E-6</v>
      </c>
      <c r="I1113">
        <v>263.7808</v>
      </c>
      <c r="J1113">
        <v>-189.7055</v>
      </c>
      <c r="K1113">
        <v>1.110503</v>
      </c>
      <c r="L1113">
        <v>334.048</v>
      </c>
      <c r="M1113">
        <v>-3.6334230000000002E-2</v>
      </c>
      <c r="N1113">
        <v>0</v>
      </c>
      <c r="O1113">
        <v>-0.99924659999999998</v>
      </c>
      <c r="P1113">
        <v>-7.3534409999999995E-2</v>
      </c>
      <c r="Q1113">
        <v>-4.6417079999999999E-2</v>
      </c>
      <c r="R1113">
        <v>-0.99621210000000004</v>
      </c>
      <c r="S1113">
        <v>-0.23455809999999999</v>
      </c>
      <c r="T1113">
        <v>-4.7146680000000003E-2</v>
      </c>
      <c r="U1113">
        <v>-2.9919739999999999</v>
      </c>
      <c r="V1113">
        <v>3.7313199999999998E-2</v>
      </c>
      <c r="W1113">
        <v>-3.2747449999999997E-2</v>
      </c>
      <c r="X1113">
        <v>0.99876690000000001</v>
      </c>
      <c r="Y1113">
        <v>4.1868250000000003E-2</v>
      </c>
      <c r="Z1113">
        <v>1.570916E-2</v>
      </c>
      <c r="AA1113">
        <v>0.99899970000000005</v>
      </c>
      <c r="AB1113">
        <v>22</v>
      </c>
      <c r="AC1113">
        <v>-5.5178999999999903</v>
      </c>
      <c r="AD1113">
        <v>-1.110506188015</v>
      </c>
      <c r="AE1113">
        <v>-70.267200000000003</v>
      </c>
      <c r="AF1113">
        <v>2.9601788423614499</v>
      </c>
      <c r="AG1113">
        <v>-1.110506188015</v>
      </c>
      <c r="AH1113">
        <v>70.4038239556359</v>
      </c>
      <c r="AI1113">
        <v>90.902875511581996</v>
      </c>
      <c r="AJ1113">
        <v>87.5923763050845</v>
      </c>
      <c r="AK1113">
        <v>70.474777831140102</v>
      </c>
      <c r="AL1113">
        <v>91.876626199558302</v>
      </c>
      <c r="AM1113">
        <v>87.860466656983405</v>
      </c>
      <c r="AN1113">
        <v>0.99999999545567597</v>
      </c>
    </row>
    <row r="1114" spans="1:40" x14ac:dyDescent="0.25">
      <c r="A1114" t="str">
        <f>"20190312160932626"</f>
        <v>20190312160932626</v>
      </c>
      <c r="B1114" t="str">
        <f>"1552378172616402"</f>
        <v>1552378172616402</v>
      </c>
      <c r="C1114" t="s">
        <v>40</v>
      </c>
      <c r="D1114">
        <v>5.868881</v>
      </c>
      <c r="E1114">
        <v>0.50173639999999997</v>
      </c>
      <c r="F1114" t="s">
        <v>41</v>
      </c>
      <c r="G1114">
        <v>-195.346</v>
      </c>
      <c r="H1114" s="1">
        <v>-2.401761E-6</v>
      </c>
      <c r="I1114">
        <v>261.87189999999998</v>
      </c>
      <c r="J1114">
        <v>-189.71270000000001</v>
      </c>
      <c r="K1114">
        <v>1.110492</v>
      </c>
      <c r="L1114">
        <v>333.83010000000002</v>
      </c>
      <c r="M1114">
        <v>-3.5752859999999997E-2</v>
      </c>
      <c r="N1114">
        <v>0</v>
      </c>
      <c r="O1114">
        <v>-0.99926749999999998</v>
      </c>
      <c r="P1114">
        <v>-7.2715070000000007E-2</v>
      </c>
      <c r="Q1114">
        <v>-4.5142979999999999E-2</v>
      </c>
      <c r="R1114">
        <v>-0.99633070000000001</v>
      </c>
      <c r="S1114">
        <v>-0.2338257</v>
      </c>
      <c r="T1114">
        <v>-4.6035649999999997E-2</v>
      </c>
      <c r="U1114">
        <v>-2.992035</v>
      </c>
      <c r="V1114">
        <v>3.7069339999999999E-2</v>
      </c>
      <c r="W1114">
        <v>-3.1475879999999998E-2</v>
      </c>
      <c r="X1114">
        <v>0.99881679999999995</v>
      </c>
      <c r="Y1114">
        <v>4.2205329999999999E-2</v>
      </c>
      <c r="Z1114">
        <v>1.533926E-2</v>
      </c>
      <c r="AA1114">
        <v>0.99899119999999997</v>
      </c>
      <c r="AB1114">
        <v>22</v>
      </c>
      <c r="AC1114">
        <v>-5.6332999999999602</v>
      </c>
      <c r="AD1114">
        <v>-1.1104944017609999</v>
      </c>
      <c r="AE1114">
        <v>-71.958200000000005</v>
      </c>
      <c r="AF1114">
        <v>3.0560233535477601</v>
      </c>
      <c r="AG1114">
        <v>-1.1104944017609999</v>
      </c>
      <c r="AH1114">
        <v>72.096545112914001</v>
      </c>
      <c r="AI1114">
        <v>90.881658635780397</v>
      </c>
      <c r="AJ1114">
        <v>87.572803453929296</v>
      </c>
      <c r="AK1114">
        <v>72.169829525725106</v>
      </c>
      <c r="AL1114">
        <v>91.803733119844907</v>
      </c>
      <c r="AM1114">
        <v>87.874542778937496</v>
      </c>
      <c r="AN1114">
        <v>0.99999993347602201</v>
      </c>
    </row>
    <row r="1115" spans="1:40" x14ac:dyDescent="0.25">
      <c r="A1115" t="str">
        <f>"20190312160932648"</f>
        <v>20190312160932648</v>
      </c>
      <c r="B1115" t="str">
        <f>"1552378172636897"</f>
        <v>1552378172636897</v>
      </c>
      <c r="C1115" t="s">
        <v>40</v>
      </c>
      <c r="D1115">
        <v>5.6648050000000003</v>
      </c>
      <c r="E1115">
        <v>0.50190610000000002</v>
      </c>
      <c r="F1115" t="s">
        <v>41</v>
      </c>
      <c r="G1115">
        <v>-195.8553</v>
      </c>
      <c r="H1115" s="1">
        <v>-3.647115E-6</v>
      </c>
      <c r="I1115">
        <v>254.65190000000001</v>
      </c>
      <c r="J1115">
        <v>-189.7199</v>
      </c>
      <c r="K1115">
        <v>1.110482</v>
      </c>
      <c r="L1115">
        <v>333.60939999999999</v>
      </c>
      <c r="M1115">
        <v>-3.51811E-2</v>
      </c>
      <c r="N1115">
        <v>0</v>
      </c>
      <c r="O1115">
        <v>-0.99928799999999995</v>
      </c>
      <c r="P1115">
        <v>-7.2103810000000004E-2</v>
      </c>
      <c r="Q1115">
        <v>-4.4705849999999998E-2</v>
      </c>
      <c r="R1115">
        <v>-0.99639529999999998</v>
      </c>
      <c r="S1115">
        <v>-0.23213200000000001</v>
      </c>
      <c r="T1115">
        <v>-4.1966679999999999E-2</v>
      </c>
      <c r="U1115">
        <v>-2.9922179999999998</v>
      </c>
      <c r="V1115">
        <v>3.7026160000000002E-2</v>
      </c>
      <c r="W1115">
        <v>-3.104198E-2</v>
      </c>
      <c r="X1115">
        <v>0.99883200000000005</v>
      </c>
      <c r="Y1115">
        <v>4.2211739999999998E-2</v>
      </c>
      <c r="Z1115">
        <v>1.398362E-2</v>
      </c>
      <c r="AA1115">
        <v>0.99901079999999998</v>
      </c>
      <c r="AB1115">
        <v>22</v>
      </c>
      <c r="AC1115">
        <v>-6.1353999999999997</v>
      </c>
      <c r="AD1115">
        <v>-1.110485647115</v>
      </c>
      <c r="AE1115">
        <v>-78.957499999999897</v>
      </c>
      <c r="AF1115">
        <v>3.3528721842288198</v>
      </c>
      <c r="AG1115">
        <v>-1.110485647115</v>
      </c>
      <c r="AH1115">
        <v>79.108928434079203</v>
      </c>
      <c r="AI1115">
        <v>90.803511122281094</v>
      </c>
      <c r="AJ1115">
        <v>87.573086557951996</v>
      </c>
      <c r="AK1115">
        <v>79.187735718635693</v>
      </c>
      <c r="AL1115">
        <v>91.778860290338599</v>
      </c>
      <c r="AM1115">
        <v>87.8770486158663</v>
      </c>
      <c r="AN1115">
        <v>0.99999995263533104</v>
      </c>
    </row>
    <row r="1116" spans="1:40" x14ac:dyDescent="0.25">
      <c r="A1116" t="str">
        <f>"20190312160932673"</f>
        <v>20190312160932673</v>
      </c>
      <c r="B1116" t="str">
        <f>"1552378172666180"</f>
        <v>1552378172666180</v>
      </c>
      <c r="C1116" t="s">
        <v>40</v>
      </c>
      <c r="D1116">
        <v>5.8266739999999997</v>
      </c>
      <c r="E1116">
        <v>0.50207290000000004</v>
      </c>
      <c r="F1116" t="s">
        <v>41</v>
      </c>
      <c r="G1116">
        <v>-195.95009999999999</v>
      </c>
      <c r="H1116" s="1">
        <v>-3.1261169999999999E-6</v>
      </c>
      <c r="I1116">
        <v>253.1858</v>
      </c>
      <c r="J1116">
        <v>-189.7278</v>
      </c>
      <c r="K1116">
        <v>1.1104769999999999</v>
      </c>
      <c r="L1116">
        <v>333.36329999999998</v>
      </c>
      <c r="M1116">
        <v>-3.4566550000000001E-2</v>
      </c>
      <c r="N1116">
        <v>0</v>
      </c>
      <c r="O1116">
        <v>-0.99930940000000001</v>
      </c>
      <c r="P1116">
        <v>-7.1548470000000003E-2</v>
      </c>
      <c r="Q1116">
        <v>-4.4067000000000002E-2</v>
      </c>
      <c r="R1116">
        <v>-0.99646349999999995</v>
      </c>
      <c r="S1116">
        <v>-0.23179630000000001</v>
      </c>
      <c r="T1116">
        <v>-4.1316390000000001E-2</v>
      </c>
      <c r="U1116">
        <v>-2.9922179999999998</v>
      </c>
      <c r="V1116">
        <v>3.7081000000000003E-2</v>
      </c>
      <c r="W1116">
        <v>-3.0407150000000001E-2</v>
      </c>
      <c r="X1116">
        <v>0.99884949999999995</v>
      </c>
      <c r="Y1116">
        <v>4.271498E-2</v>
      </c>
      <c r="Z1116">
        <v>1.3767339999999999E-2</v>
      </c>
      <c r="AA1116">
        <v>0.9989924</v>
      </c>
      <c r="AB1116">
        <v>22</v>
      </c>
      <c r="AC1116">
        <v>-6.22229999999999</v>
      </c>
      <c r="AD1116">
        <v>-1.1104801261170001</v>
      </c>
      <c r="AE1116">
        <v>-80.177499999999895</v>
      </c>
      <c r="AF1116">
        <v>3.4462065495766998</v>
      </c>
      <c r="AG1116">
        <v>-1.1104801261170001</v>
      </c>
      <c r="AH1116">
        <v>80.329362981312897</v>
      </c>
      <c r="AI1116">
        <v>90.791283659328698</v>
      </c>
      <c r="AJ1116">
        <v>87.543462565360002</v>
      </c>
      <c r="AK1116">
        <v>80.410920046200005</v>
      </c>
      <c r="AL1116">
        <v>91.742470016103894</v>
      </c>
      <c r="AM1116">
        <v>87.873944379555198</v>
      </c>
      <c r="AN1116">
        <v>0.99999995949118503</v>
      </c>
    </row>
    <row r="1117" spans="1:40" x14ac:dyDescent="0.25">
      <c r="A1117" t="str">
        <f>"20190312160932716"</f>
        <v>20190312160932716</v>
      </c>
      <c r="B1117" t="str">
        <f>"1552378172706194"</f>
        <v>1552378172706194</v>
      </c>
      <c r="C1117" t="s">
        <v>40</v>
      </c>
      <c r="D1117">
        <v>5.8733380000000004</v>
      </c>
      <c r="E1117">
        <v>0.50218249999999998</v>
      </c>
      <c r="F1117" t="s">
        <v>41</v>
      </c>
      <c r="G1117">
        <v>-196.04640000000001</v>
      </c>
      <c r="H1117" s="1">
        <v>-2.5338760000000002E-6</v>
      </c>
      <c r="I1117">
        <v>251.74549999999999</v>
      </c>
      <c r="J1117">
        <v>-189.74100000000001</v>
      </c>
      <c r="K1117">
        <v>1.11043</v>
      </c>
      <c r="L1117">
        <v>332.9452</v>
      </c>
      <c r="M1117">
        <v>-3.3622659999999999E-2</v>
      </c>
      <c r="N1117">
        <v>0</v>
      </c>
      <c r="O1117">
        <v>-0.99934160000000005</v>
      </c>
      <c r="P1117">
        <v>-6.9327979999999997E-2</v>
      </c>
      <c r="Q1117">
        <v>-4.2776799999999997E-2</v>
      </c>
      <c r="R1117">
        <v>-0.99667660000000002</v>
      </c>
      <c r="S1117">
        <v>-0.23164370000000001</v>
      </c>
      <c r="T1117">
        <v>-4.0711280000000002E-2</v>
      </c>
      <c r="U1117">
        <v>-2.9921880000000001</v>
      </c>
      <c r="V1117">
        <v>3.5793320000000003E-2</v>
      </c>
      <c r="W1117">
        <v>-2.9125660000000001E-2</v>
      </c>
      <c r="X1117">
        <v>0.99893469999999995</v>
      </c>
      <c r="Y1117">
        <v>4.360899E-2</v>
      </c>
      <c r="Z1117">
        <v>1.3566299999999899E-2</v>
      </c>
      <c r="AA1117">
        <v>0.99895659999999997</v>
      </c>
      <c r="AB1117">
        <v>22</v>
      </c>
      <c r="AC1117">
        <v>-6.3054000000000103</v>
      </c>
      <c r="AD1117">
        <v>-1.1104325338759999</v>
      </c>
      <c r="AE1117">
        <v>-81.199700000000007</v>
      </c>
      <c r="AF1117">
        <v>3.5707667865063701</v>
      </c>
      <c r="AG1117">
        <v>-1.1104325338759999</v>
      </c>
      <c r="AH1117">
        <v>81.350682483097401</v>
      </c>
      <c r="AI1117">
        <v>90.781283636392899</v>
      </c>
      <c r="AJ1117">
        <v>87.486700521886505</v>
      </c>
      <c r="AK1117">
        <v>81.436582543238202</v>
      </c>
      <c r="AL1117">
        <v>91.669013421510499</v>
      </c>
      <c r="AM1117">
        <v>87.947884709121595</v>
      </c>
      <c r="AN1117">
        <v>1.00000000034557</v>
      </c>
    </row>
    <row r="1118" spans="1:40" x14ac:dyDescent="0.25">
      <c r="A1118" t="str">
        <f>"20190312160932738"</f>
        <v>20190312160932738</v>
      </c>
      <c r="B1118" t="str">
        <f>"1552378172726690"</f>
        <v>1552378172726690</v>
      </c>
      <c r="C1118" t="s">
        <v>40</v>
      </c>
      <c r="D1118">
        <v>5.8749209999999996</v>
      </c>
      <c r="E1118">
        <v>0.50231910000000002</v>
      </c>
      <c r="F1118" t="s">
        <v>41</v>
      </c>
      <c r="G1118">
        <v>-196.03219999999999</v>
      </c>
      <c r="H1118" s="1">
        <v>-5.7339390000000003E-6</v>
      </c>
      <c r="I1118">
        <v>249.43129999999999</v>
      </c>
      <c r="J1118">
        <v>-189.74770000000001</v>
      </c>
      <c r="K1118">
        <v>1.1104000000000001</v>
      </c>
      <c r="L1118">
        <v>332.73200000000003</v>
      </c>
      <c r="M1118">
        <v>-3.321458E-2</v>
      </c>
      <c r="N1118">
        <v>0</v>
      </c>
      <c r="O1118">
        <v>-0.9993554</v>
      </c>
      <c r="P1118">
        <v>-6.8759780000000006E-2</v>
      </c>
      <c r="Q1118">
        <v>-4.310841E-2</v>
      </c>
      <c r="R1118">
        <v>-0.99670210000000004</v>
      </c>
      <c r="S1118">
        <v>-0.2254333</v>
      </c>
      <c r="T1118">
        <v>-3.979063E-2</v>
      </c>
      <c r="U1118">
        <v>-2.9925839999999999</v>
      </c>
      <c r="V1118">
        <v>3.5629920000000002E-2</v>
      </c>
      <c r="W1118">
        <v>-2.9463130000000001E-2</v>
      </c>
      <c r="X1118">
        <v>0.9989306</v>
      </c>
      <c r="Y1118">
        <v>4.1945950000000003E-2</v>
      </c>
      <c r="Z1118">
        <v>1.32596E-2</v>
      </c>
      <c r="AA1118">
        <v>0.99903189999999997</v>
      </c>
      <c r="AB1118">
        <v>22</v>
      </c>
      <c r="AC1118">
        <v>-6.28449999999998</v>
      </c>
      <c r="AD1118">
        <v>-1.1104057339390001</v>
      </c>
      <c r="AE1118">
        <v>-83.300699999999907</v>
      </c>
      <c r="AF1118">
        <v>3.5133565578505701</v>
      </c>
      <c r="AG1118">
        <v>-1.1104057339390001</v>
      </c>
      <c r="AH1118">
        <v>83.448741980069002</v>
      </c>
      <c r="AI1118">
        <v>90.761683205810897</v>
      </c>
      <c r="AJ1118">
        <v>87.5891585168673</v>
      </c>
      <c r="AK1118">
        <v>83.530049762062802</v>
      </c>
      <c r="AL1118">
        <v>91.688357406057506</v>
      </c>
      <c r="AM1118">
        <v>87.957236483766806</v>
      </c>
      <c r="AN1118">
        <v>0.99999995542247999</v>
      </c>
    </row>
    <row r="1119" spans="1:40" x14ac:dyDescent="0.25">
      <c r="A1119" t="str">
        <f>"20190312160932760"</f>
        <v>20190312160932760</v>
      </c>
      <c r="B1119" t="str">
        <f>"1552378172755970"</f>
        <v>1552378172755970</v>
      </c>
      <c r="C1119" t="s">
        <v>40</v>
      </c>
      <c r="D1119">
        <v>5.6035539999999999</v>
      </c>
      <c r="E1119">
        <v>0.50231419999999904</v>
      </c>
      <c r="F1119" t="s">
        <v>41</v>
      </c>
      <c r="G1119">
        <v>-195.7183</v>
      </c>
      <c r="H1119" s="1">
        <v>-3.1115370000000002E-6</v>
      </c>
      <c r="I1119">
        <v>253.2955</v>
      </c>
      <c r="J1119">
        <v>-189.75450000000001</v>
      </c>
      <c r="K1119">
        <v>1.110347</v>
      </c>
      <c r="L1119">
        <v>332.5145</v>
      </c>
      <c r="M1119">
        <v>-3.287143E-2</v>
      </c>
      <c r="N1119">
        <v>0</v>
      </c>
      <c r="O1119">
        <v>-0.9993668</v>
      </c>
      <c r="P1119">
        <v>-6.8794649999999999E-2</v>
      </c>
      <c r="Q1119">
        <v>-4.3410980000000002E-2</v>
      </c>
      <c r="R1119">
        <v>-0.99668630000000003</v>
      </c>
      <c r="S1119">
        <v>-0.22492980000000001</v>
      </c>
      <c r="T1119">
        <v>-4.1831849999999997E-2</v>
      </c>
      <c r="U1119">
        <v>-2.9925839999999999</v>
      </c>
      <c r="V1119">
        <v>3.6004729999999999E-2</v>
      </c>
      <c r="W1119">
        <v>-2.977281E-2</v>
      </c>
      <c r="X1119">
        <v>0.99890800000000002</v>
      </c>
      <c r="Y1119">
        <v>4.2121180000000001E-2</v>
      </c>
      <c r="Z1119">
        <v>1.393995E-2</v>
      </c>
      <c r="AA1119">
        <v>0.99901530000000005</v>
      </c>
      <c r="AB1119">
        <v>22</v>
      </c>
      <c r="AC1119">
        <v>-5.9637999999999902</v>
      </c>
      <c r="AD1119">
        <v>-1.110350111537</v>
      </c>
      <c r="AE1119">
        <v>-79.218999999999994</v>
      </c>
      <c r="AF1119">
        <v>3.35563765204552</v>
      </c>
      <c r="AG1119">
        <v>-1.110350111537</v>
      </c>
      <c r="AH1119">
        <v>79.356735914327899</v>
      </c>
      <c r="AI1119">
        <v>90.8009078728102</v>
      </c>
      <c r="AJ1119">
        <v>87.578662953101698</v>
      </c>
      <c r="AK1119">
        <v>79.435412231563305</v>
      </c>
      <c r="AL1119">
        <v>91.7061085153004</v>
      </c>
      <c r="AM1119">
        <v>87.935719403624105</v>
      </c>
      <c r="AN1119">
        <v>0.99999997663083395</v>
      </c>
    </row>
    <row r="1120" spans="1:40" x14ac:dyDescent="0.25">
      <c r="A1120" t="str">
        <f>"20190312160932785"</f>
        <v>20190312160932785</v>
      </c>
      <c r="B1120" t="str">
        <f>"1552378172776466"</f>
        <v>1552378172776466</v>
      </c>
      <c r="C1120" t="s">
        <v>40</v>
      </c>
      <c r="D1120">
        <v>5.7775540000000003</v>
      </c>
      <c r="E1120">
        <v>0.5021909</v>
      </c>
      <c r="F1120" t="s">
        <v>41</v>
      </c>
      <c r="G1120">
        <v>-195.46340000000001</v>
      </c>
      <c r="H1120" s="1">
        <v>-4.2450549999999996E-6</v>
      </c>
      <c r="I1120">
        <v>256.61329999999998</v>
      </c>
      <c r="J1120">
        <v>-189.76179999999999</v>
      </c>
      <c r="K1120">
        <v>1.1102730000000001</v>
      </c>
      <c r="L1120">
        <v>332.28</v>
      </c>
      <c r="M1120">
        <v>-3.2615390000000001E-2</v>
      </c>
      <c r="N1120">
        <v>0</v>
      </c>
      <c r="O1120">
        <v>-0.99937500000000001</v>
      </c>
      <c r="P1120">
        <v>-6.9269780000000003E-2</v>
      </c>
      <c r="Q1120">
        <v>-4.3427300000000002E-2</v>
      </c>
      <c r="R1120">
        <v>-0.9966526</v>
      </c>
      <c r="S1120">
        <v>-0.22508239999999999</v>
      </c>
      <c r="T1120">
        <v>-4.377735E-2</v>
      </c>
      <c r="U1120">
        <v>-2.9925229999999998</v>
      </c>
      <c r="V1120">
        <v>3.6731270000000003E-2</v>
      </c>
      <c r="W1120">
        <v>-2.9798620000000001E-2</v>
      </c>
      <c r="X1120">
        <v>0.99888080000000001</v>
      </c>
      <c r="Y1120">
        <v>4.2428639999999997E-2</v>
      </c>
      <c r="Z1120">
        <v>1.4588490000000001E-2</v>
      </c>
      <c r="AA1120">
        <v>0.99899300000000002</v>
      </c>
      <c r="AB1120">
        <v>22</v>
      </c>
      <c r="AC1120">
        <v>-5.7016000000000098</v>
      </c>
      <c r="AD1120">
        <v>-1.110277245055</v>
      </c>
      <c r="AE1120">
        <v>-75.666699999999906</v>
      </c>
      <c r="AF1120">
        <v>3.2297463116942202</v>
      </c>
      <c r="AG1120">
        <v>-1.110277245055</v>
      </c>
      <c r="AH1120">
        <v>75.796186121710605</v>
      </c>
      <c r="AI1120">
        <v>90.838458940693698</v>
      </c>
      <c r="AJ1120">
        <v>87.560049318393496</v>
      </c>
      <c r="AK1120">
        <v>75.873090140021205</v>
      </c>
      <c r="AL1120">
        <v>91.707587938852896</v>
      </c>
      <c r="AM1120">
        <v>87.894044095408105</v>
      </c>
      <c r="AN1120">
        <v>0.99999999827917796</v>
      </c>
    </row>
    <row r="1121" spans="1:40" x14ac:dyDescent="0.25">
      <c r="A1121" t="str">
        <f>"20190312160932805"</f>
        <v>20190312160932805</v>
      </c>
      <c r="B1121" t="str">
        <f>"1552378172795986"</f>
        <v>1552378172795986</v>
      </c>
      <c r="C1121" t="s">
        <v>40</v>
      </c>
      <c r="D1121">
        <v>5.8152089999999896</v>
      </c>
      <c r="E1121">
        <v>0.50223430000000002</v>
      </c>
      <c r="F1121" t="s">
        <v>41</v>
      </c>
      <c r="G1121">
        <v>-195.38669999999999</v>
      </c>
      <c r="H1121" s="1">
        <v>-4.5878439999999999E-6</v>
      </c>
      <c r="I1121">
        <v>257.66059999999999</v>
      </c>
      <c r="J1121">
        <v>-189.76830000000001</v>
      </c>
      <c r="K1121">
        <v>1.110204</v>
      </c>
      <c r="L1121">
        <v>332.07479999999998</v>
      </c>
      <c r="M1121">
        <v>-3.2499979999999998E-2</v>
      </c>
      <c r="N1121">
        <v>0</v>
      </c>
      <c r="O1121">
        <v>-0.99937869999999995</v>
      </c>
      <c r="P1121">
        <v>-7.0039000000000004E-2</v>
      </c>
      <c r="Q1121">
        <v>-4.3083999999999997E-2</v>
      </c>
      <c r="R1121">
        <v>-0.99661379999999999</v>
      </c>
      <c r="S1121">
        <v>-0.22557070000000001</v>
      </c>
      <c r="T1121">
        <v>-4.4524550000000003E-2</v>
      </c>
      <c r="U1121">
        <v>-2.9924010000000001</v>
      </c>
      <c r="V1121">
        <v>3.7611440000000003E-2</v>
      </c>
      <c r="W1121">
        <v>-2.9464089999999998E-2</v>
      </c>
      <c r="X1121">
        <v>0.99885800000000002</v>
      </c>
      <c r="Y1121">
        <v>4.2708870000000003E-2</v>
      </c>
      <c r="Z1121">
        <v>1.4837940000000001E-2</v>
      </c>
      <c r="AA1121">
        <v>0.99897740000000002</v>
      </c>
      <c r="AB1121">
        <v>22</v>
      </c>
      <c r="AC1121">
        <v>-5.6183999999999799</v>
      </c>
      <c r="AD1121">
        <v>-1.110208587844</v>
      </c>
      <c r="AE1121">
        <v>-74.414199999999994</v>
      </c>
      <c r="AF1121">
        <v>3.1960391713833398</v>
      </c>
      <c r="AG1121">
        <v>-1.110208587844</v>
      </c>
      <c r="AH1121">
        <v>74.5409994952076</v>
      </c>
      <c r="AI1121">
        <v>90.852513216832705</v>
      </c>
      <c r="AJ1121">
        <v>87.544875082421299</v>
      </c>
      <c r="AK1121">
        <v>74.617744774537897</v>
      </c>
      <c r="AL1121">
        <v>91.688412310323599</v>
      </c>
      <c r="AM1121">
        <v>87.843578210280597</v>
      </c>
      <c r="AN1121">
        <v>1.0000000285912001</v>
      </c>
    </row>
    <row r="1122" spans="1:40" x14ac:dyDescent="0.25">
      <c r="A1122" t="str">
        <f>"20190312160932851"</f>
        <v>20190312160932851</v>
      </c>
      <c r="B1122" t="str">
        <f>"1552378172846738"</f>
        <v>1552378172846738</v>
      </c>
      <c r="C1122" t="s">
        <v>40</v>
      </c>
      <c r="D1122">
        <v>5.7724349999999998</v>
      </c>
      <c r="E1122">
        <v>0.50226389999999999</v>
      </c>
      <c r="F1122" t="s">
        <v>41</v>
      </c>
      <c r="G1122">
        <v>-195.4342</v>
      </c>
      <c r="H1122" s="1">
        <v>-4.6181160000000003E-6</v>
      </c>
      <c r="I1122">
        <v>257.72469999999998</v>
      </c>
      <c r="J1122">
        <v>-189.7824</v>
      </c>
      <c r="K1122">
        <v>1.11008</v>
      </c>
      <c r="L1122">
        <v>331.63799999999998</v>
      </c>
      <c r="M1122">
        <v>-3.2522179999999998E-2</v>
      </c>
      <c r="N1122">
        <v>0</v>
      </c>
      <c r="O1122">
        <v>-0.9993784</v>
      </c>
      <c r="P1122">
        <v>-7.3776300000000003E-2</v>
      </c>
      <c r="Q1122">
        <v>-4.4105539999999999E-2</v>
      </c>
      <c r="R1122">
        <v>-0.9962995</v>
      </c>
      <c r="S1122">
        <v>-0.22802729999999999</v>
      </c>
      <c r="T1122">
        <v>-4.4680360000000002E-2</v>
      </c>
      <c r="U1122">
        <v>-2.9922179999999998</v>
      </c>
      <c r="V1122">
        <v>4.1325460000000001E-2</v>
      </c>
      <c r="W1122">
        <v>-3.0505419999999998E-2</v>
      </c>
      <c r="X1122">
        <v>0.99867989999999995</v>
      </c>
      <c r="Y1122">
        <v>4.3506679999999999E-2</v>
      </c>
      <c r="Z1122">
        <v>1.489003E-2</v>
      </c>
      <c r="AA1122">
        <v>0.9989422</v>
      </c>
      <c r="AB1122">
        <v>22</v>
      </c>
      <c r="AC1122">
        <v>-5.6517999999999997</v>
      </c>
      <c r="AD1122">
        <v>-1.110084618116</v>
      </c>
      <c r="AE1122">
        <v>-73.913300000000007</v>
      </c>
      <c r="AF1122">
        <v>3.2440380658815902</v>
      </c>
      <c r="AG1122">
        <v>-1.110084618116</v>
      </c>
      <c r="AH1122">
        <v>74.041415641634202</v>
      </c>
      <c r="AI1122">
        <v>90.858133943821301</v>
      </c>
      <c r="AJ1122">
        <v>87.491256887527896</v>
      </c>
      <c r="AK1122">
        <v>74.120761605973101</v>
      </c>
      <c r="AL1122">
        <v>91.748103087539903</v>
      </c>
      <c r="AM1122">
        <v>87.630447578447004</v>
      </c>
      <c r="AN1122">
        <v>0.99999995847879797</v>
      </c>
    </row>
    <row r="1123" spans="1:40" x14ac:dyDescent="0.25">
      <c r="A1123" t="str">
        <f>"20190312160932873"</f>
        <v>20190312160932873</v>
      </c>
      <c r="B1123" t="str">
        <f>"1552378172866259"</f>
        <v>1552378172866259</v>
      </c>
      <c r="C1123" t="s">
        <v>40</v>
      </c>
      <c r="D1123">
        <v>5.8211370000000002</v>
      </c>
      <c r="E1123">
        <v>0.50237730000000003</v>
      </c>
      <c r="F1123" t="s">
        <v>41</v>
      </c>
      <c r="G1123">
        <v>-195.13220000000001</v>
      </c>
      <c r="H1123" s="1">
        <v>-3.572418E-6</v>
      </c>
      <c r="I1123">
        <v>264.80939999999998</v>
      </c>
      <c r="J1123">
        <v>-189.78970000000001</v>
      </c>
      <c r="K1123">
        <v>1.110026</v>
      </c>
      <c r="L1123">
        <v>331.41649999999998</v>
      </c>
      <c r="M1123">
        <v>-3.2683490000000003E-2</v>
      </c>
      <c r="N1123">
        <v>0</v>
      </c>
      <c r="O1123">
        <v>-0.99937299999999996</v>
      </c>
      <c r="P1123">
        <v>-7.5252459999999993E-2</v>
      </c>
      <c r="Q1123">
        <v>-4.3689890000000002E-2</v>
      </c>
      <c r="R1123">
        <v>-0.99620710000000001</v>
      </c>
      <c r="S1123">
        <v>-0.23945620000000001</v>
      </c>
      <c r="T1123">
        <v>-4.9686670000000002E-2</v>
      </c>
      <c r="U1123">
        <v>-2.9912109999999998</v>
      </c>
      <c r="V1123">
        <v>4.2638799999999998E-2</v>
      </c>
      <c r="W1123">
        <v>-3.009883E-2</v>
      </c>
      <c r="X1123">
        <v>0.99863710000000006</v>
      </c>
      <c r="Y1123">
        <v>4.7162099999999998E-2</v>
      </c>
      <c r="Z1123">
        <v>1.6559569999999999E-2</v>
      </c>
      <c r="AA1123">
        <v>0.99875000000000003</v>
      </c>
      <c r="AB1123">
        <v>22</v>
      </c>
      <c r="AC1123">
        <v>-5.3425000000000002</v>
      </c>
      <c r="AD1123">
        <v>-1.110029572418</v>
      </c>
      <c r="AE1123">
        <v>-66.607100000000003</v>
      </c>
      <c r="AF1123">
        <v>3.1616184626047499</v>
      </c>
      <c r="AG1123">
        <v>-1.110029572418</v>
      </c>
      <c r="AH1123">
        <v>66.727722378006106</v>
      </c>
      <c r="AI1123">
        <v>90.951971564013803</v>
      </c>
      <c r="AJ1123">
        <v>87.287304066719599</v>
      </c>
      <c r="AK1123">
        <v>66.811802330957903</v>
      </c>
      <c r="AL1123">
        <v>91.724796365553104</v>
      </c>
      <c r="AM1123">
        <v>87.555127548864704</v>
      </c>
      <c r="AN1123">
        <v>1.0000000321646001</v>
      </c>
    </row>
    <row r="1124" spans="1:40" x14ac:dyDescent="0.25">
      <c r="A1124" t="str">
        <f>"20190312160932894"</f>
        <v>20190312160932894</v>
      </c>
      <c r="B1124" t="str">
        <f>"1552378172886272"</f>
        <v>1552378172886272</v>
      </c>
      <c r="C1124" t="s">
        <v>40</v>
      </c>
      <c r="D1124">
        <v>5.7456170000000002</v>
      </c>
      <c r="E1124">
        <v>0.5343329</v>
      </c>
      <c r="F1124" t="s">
        <v>41</v>
      </c>
      <c r="G1124">
        <v>-195.39500000000001</v>
      </c>
      <c r="H1124" s="1">
        <v>-2.8757580000000002E-6</v>
      </c>
      <c r="I1124">
        <v>262.94639999999998</v>
      </c>
      <c r="J1124">
        <v>-189.79640000000001</v>
      </c>
      <c r="K1124">
        <v>1.109977</v>
      </c>
      <c r="L1124">
        <v>331.21879999999999</v>
      </c>
      <c r="M1124">
        <v>-3.2909040000000001E-2</v>
      </c>
      <c r="N1124">
        <v>0</v>
      </c>
      <c r="O1124">
        <v>-0.99936559999999997</v>
      </c>
      <c r="P1124">
        <v>-7.5810069999999993E-2</v>
      </c>
      <c r="Q1124">
        <v>-4.2486490000000002E-2</v>
      </c>
      <c r="R1124">
        <v>-0.99621700000000002</v>
      </c>
      <c r="S1124">
        <v>-0.24484249999999999</v>
      </c>
      <c r="T1124">
        <v>-4.8486710000000002E-2</v>
      </c>
      <c r="U1124">
        <v>-2.9908139999999999</v>
      </c>
      <c r="V1124">
        <v>4.2967520000000002E-2</v>
      </c>
      <c r="W1124">
        <v>-2.890233E-2</v>
      </c>
      <c r="X1124">
        <v>0.9986583</v>
      </c>
      <c r="Y1124">
        <v>4.8734680000000002E-2</v>
      </c>
      <c r="Z1124">
        <v>1.6159929999999999E-2</v>
      </c>
      <c r="AA1124">
        <v>0.99868100000000004</v>
      </c>
      <c r="AB1124">
        <v>22</v>
      </c>
      <c r="AC1124">
        <v>-5.5986000000000002</v>
      </c>
      <c r="AD1124">
        <v>-1.1099798757579999</v>
      </c>
      <c r="AE1124">
        <v>-68.272400000000005</v>
      </c>
      <c r="AF1124">
        <v>3.3477005475290902</v>
      </c>
      <c r="AG1124">
        <v>-1.1099798757579999</v>
      </c>
      <c r="AH1124">
        <v>68.401715506571705</v>
      </c>
      <c r="AI1124">
        <v>90.928566920794097</v>
      </c>
      <c r="AJ1124">
        <v>87.198079255660502</v>
      </c>
      <c r="AK1124">
        <v>68.492582361321993</v>
      </c>
      <c r="AL1124">
        <v>91.656212205615105</v>
      </c>
      <c r="AM1124">
        <v>87.536354396656094</v>
      </c>
      <c r="AN1124">
        <v>0.99999997630663395</v>
      </c>
    </row>
    <row r="1125" spans="1:40" x14ac:dyDescent="0.25">
      <c r="A1125" t="str">
        <f>"20190312160932915"</f>
        <v>20190312160932915</v>
      </c>
      <c r="B1125" t="str">
        <f>"1552378172906767"</f>
        <v>1552378172906767</v>
      </c>
      <c r="C1125" t="s">
        <v>40</v>
      </c>
      <c r="D1125">
        <v>5.7296950000000004</v>
      </c>
      <c r="E1125">
        <v>0.53789819999999999</v>
      </c>
      <c r="F1125" t="s">
        <v>62</v>
      </c>
      <c r="G1125">
        <v>-226.18440000000001</v>
      </c>
      <c r="H1125">
        <v>0.82957979999999998</v>
      </c>
      <c r="I1125">
        <v>115.1705</v>
      </c>
      <c r="J1125">
        <v>-189.80350000000001</v>
      </c>
      <c r="K1125">
        <v>1.1099220000000001</v>
      </c>
      <c r="L1125">
        <v>331.01089999999999</v>
      </c>
      <c r="M1125">
        <v>-3.3239909999999998E-2</v>
      </c>
      <c r="N1125">
        <v>0</v>
      </c>
      <c r="O1125">
        <v>-0.99935469999999904</v>
      </c>
      <c r="P1125">
        <v>-7.6799790000000007E-2</v>
      </c>
      <c r="Q1125">
        <v>-4.2153259999999998E-2</v>
      </c>
      <c r="R1125">
        <v>-0.99615520000000002</v>
      </c>
      <c r="S1125">
        <v>-0.50074770000000002</v>
      </c>
      <c r="T1125">
        <v>-3.8585659999999999E-3</v>
      </c>
      <c r="U1125">
        <v>-2.9731139999999998</v>
      </c>
      <c r="V1125">
        <v>4.3624219999999998E-2</v>
      </c>
      <c r="W1125">
        <v>-2.8578059999999999E-2</v>
      </c>
      <c r="X1125">
        <v>0.99863919999999995</v>
      </c>
      <c r="Y1125">
        <v>0.1332129</v>
      </c>
      <c r="Z1125">
        <v>1.2819330000000001E-3</v>
      </c>
      <c r="AA1125">
        <v>0.99108660000000004</v>
      </c>
      <c r="AB1125">
        <v>22</v>
      </c>
      <c r="AC1125">
        <v>-36.380899999999997</v>
      </c>
      <c r="AD1125">
        <v>-0.28034219999999899</v>
      </c>
      <c r="AE1125">
        <v>-215.84039999999999</v>
      </c>
      <c r="AF1125">
        <v>29.1855641144539</v>
      </c>
      <c r="AG1125">
        <v>-0.28034219999999899</v>
      </c>
      <c r="AH1125">
        <v>216.93015885574701</v>
      </c>
      <c r="AI1125">
        <v>90.073383016736202</v>
      </c>
      <c r="AJ1125">
        <v>82.337495056877202</v>
      </c>
      <c r="AK1125">
        <v>218.88483173944999</v>
      </c>
      <c r="AL1125">
        <v>91.637625161404003</v>
      </c>
      <c r="AM1125">
        <v>87.498700613751097</v>
      </c>
      <c r="AN1125">
        <v>1.0000000149303001</v>
      </c>
    </row>
    <row r="1126" spans="1:40" x14ac:dyDescent="0.25">
      <c r="A1126" t="str">
        <f>"20190312160932938"</f>
        <v>20190312160932938</v>
      </c>
      <c r="B1126" t="str">
        <f>"1552378172926288"</f>
        <v>1552378172926288</v>
      </c>
      <c r="C1126" t="s">
        <v>40</v>
      </c>
      <c r="D1126">
        <v>5.8122490000000004</v>
      </c>
      <c r="E1126">
        <v>0.54395070000000001</v>
      </c>
      <c r="F1126" t="s">
        <v>62</v>
      </c>
      <c r="G1126">
        <v>-227.7107</v>
      </c>
      <c r="H1126">
        <v>3.9413840000000002</v>
      </c>
      <c r="I1126">
        <v>119.3841</v>
      </c>
      <c r="J1126">
        <v>-189.81120000000001</v>
      </c>
      <c r="K1126">
        <v>1.109858</v>
      </c>
      <c r="L1126">
        <v>330.79379999999998</v>
      </c>
      <c r="M1126">
        <v>-3.3688469999999998E-2</v>
      </c>
      <c r="N1126">
        <v>0</v>
      </c>
      <c r="O1126">
        <v>-0.99933950000000005</v>
      </c>
      <c r="P1126">
        <v>-7.8151070000000003E-2</v>
      </c>
      <c r="Q1126">
        <v>-4.1543440000000001E-2</v>
      </c>
      <c r="R1126">
        <v>-0.99607590000000001</v>
      </c>
      <c r="S1126">
        <v>-0.53239440000000005</v>
      </c>
      <c r="T1126">
        <v>3.9767030000000002E-2</v>
      </c>
      <c r="U1126">
        <v>-2.972229</v>
      </c>
      <c r="V1126">
        <v>4.4524769999999998E-2</v>
      </c>
      <c r="W1126">
        <v>-2.797883E-2</v>
      </c>
      <c r="X1126">
        <v>0.99861639999999996</v>
      </c>
      <c r="Y1126">
        <v>0.14303750000000001</v>
      </c>
      <c r="Z1126">
        <v>-1.31932E-2</v>
      </c>
      <c r="AA1126">
        <v>0.98962930000000005</v>
      </c>
      <c r="AB1126">
        <v>22</v>
      </c>
      <c r="AC1126">
        <v>-37.899499999999897</v>
      </c>
      <c r="AD1126">
        <v>2.8315260000000002</v>
      </c>
      <c r="AE1126">
        <v>-211.40969999999999</v>
      </c>
      <c r="AF1126">
        <v>30.749908663275299</v>
      </c>
      <c r="AG1126">
        <v>2.8315260000000002</v>
      </c>
      <c r="AH1126">
        <v>212.529634573571</v>
      </c>
      <c r="AI1126">
        <v>89.244560435539498</v>
      </c>
      <c r="AJ1126">
        <v>81.767274639343697</v>
      </c>
      <c r="AK1126">
        <v>214.76130935125201</v>
      </c>
      <c r="AL1126">
        <v>91.603278111958502</v>
      </c>
      <c r="AM1126">
        <v>87.447074830585507</v>
      </c>
      <c r="AN1126">
        <v>0.99999999221033997</v>
      </c>
    </row>
    <row r="1127" spans="1:40" x14ac:dyDescent="0.25">
      <c r="A1127" t="str">
        <f>"20190312160932985"</f>
        <v>20190312160932985</v>
      </c>
      <c r="B1127" t="str">
        <f>"1552378172976063"</f>
        <v>1552378172976063</v>
      </c>
      <c r="C1127" t="s">
        <v>40</v>
      </c>
      <c r="D1127">
        <v>5.7123030000000004</v>
      </c>
      <c r="E1127">
        <v>0.54775640000000003</v>
      </c>
      <c r="F1127" t="s">
        <v>62</v>
      </c>
      <c r="G1127">
        <v>-231.42330000000001</v>
      </c>
      <c r="H1127">
        <v>2.5628120000000001</v>
      </c>
      <c r="I1127">
        <v>119.5971</v>
      </c>
      <c r="J1127">
        <v>-189.8279</v>
      </c>
      <c r="K1127">
        <v>1.1097189999999999</v>
      </c>
      <c r="L1127">
        <v>330.34140000000002</v>
      </c>
      <c r="M1127">
        <v>-3.4953360000000003E-2</v>
      </c>
      <c r="N1127">
        <v>0</v>
      </c>
      <c r="O1127">
        <v>-0.99929619999999997</v>
      </c>
      <c r="P1127">
        <v>-8.0082200000000006E-2</v>
      </c>
      <c r="Q1127">
        <v>-3.9081949999999997E-2</v>
      </c>
      <c r="R1127">
        <v>-0.99602190000000002</v>
      </c>
      <c r="S1127">
        <v>-0.58454899999999999</v>
      </c>
      <c r="T1127">
        <v>2.0410540000000001E-2</v>
      </c>
      <c r="U1127">
        <v>-2.9667970000000001</v>
      </c>
      <c r="V1127">
        <v>4.5185639999999999E-2</v>
      </c>
      <c r="W1127">
        <v>-2.553741E-2</v>
      </c>
      <c r="X1127">
        <v>0.99865219999999999</v>
      </c>
      <c r="Y1127">
        <v>0.15889400000000001</v>
      </c>
      <c r="Z1127">
        <v>-6.7644710000000002E-3</v>
      </c>
      <c r="AA1127">
        <v>0.9872725</v>
      </c>
      <c r="AB1127">
        <v>22</v>
      </c>
      <c r="AC1127">
        <v>-41.595399999999998</v>
      </c>
      <c r="AD1127">
        <v>1.453093</v>
      </c>
      <c r="AE1127">
        <v>-210.74430000000001</v>
      </c>
      <c r="AF1127">
        <v>34.201508952609203</v>
      </c>
      <c r="AG1127">
        <v>1.453093</v>
      </c>
      <c r="AH1127">
        <v>212.05982976585099</v>
      </c>
      <c r="AI1127">
        <v>89.612408012891706</v>
      </c>
      <c r="AJ1127">
        <v>80.838097834284</v>
      </c>
      <c r="AK1127">
        <v>214.805088613431</v>
      </c>
      <c r="AL1127">
        <v>91.463344811451705</v>
      </c>
      <c r="AM1127">
        <v>87.409326402703996</v>
      </c>
      <c r="AN1127">
        <v>1.00000005896827</v>
      </c>
    </row>
    <row r="1128" spans="1:40" x14ac:dyDescent="0.25">
      <c r="A1128" t="str">
        <f>"20190312160933007"</f>
        <v>20190312160933007</v>
      </c>
      <c r="B1128" t="str">
        <f>"1552378172996090"</f>
        <v>1552378172996090</v>
      </c>
      <c r="C1128" t="s">
        <v>40</v>
      </c>
      <c r="D1128">
        <v>6.5253620000000003</v>
      </c>
      <c r="E1128">
        <v>0.54736169999999995</v>
      </c>
      <c r="F1128" t="s">
        <v>62</v>
      </c>
      <c r="G1128">
        <v>-233.98769999999999</v>
      </c>
      <c r="H1128">
        <v>1.933732</v>
      </c>
      <c r="I1128">
        <v>119.4838</v>
      </c>
      <c r="J1128">
        <v>-189.8365</v>
      </c>
      <c r="K1128">
        <v>1.1096649999999999</v>
      </c>
      <c r="L1128">
        <v>330.12189999999998</v>
      </c>
      <c r="M1128">
        <v>-3.5744829999999998E-2</v>
      </c>
      <c r="N1128">
        <v>0</v>
      </c>
      <c r="O1128">
        <v>-0.9992683</v>
      </c>
      <c r="P1128">
        <v>-8.1372310000000003E-2</v>
      </c>
      <c r="Q1128">
        <v>-3.822818E-2</v>
      </c>
      <c r="R1128">
        <v>-0.99595049999999996</v>
      </c>
      <c r="S1128">
        <v>-0.62045289999999997</v>
      </c>
      <c r="T1128">
        <v>1.157761E-2</v>
      </c>
      <c r="U1128">
        <v>-2.9625849999999998</v>
      </c>
      <c r="V1128">
        <v>4.5684219999999998E-2</v>
      </c>
      <c r="W1128">
        <v>-2.4692260000000001E-2</v>
      </c>
      <c r="X1128">
        <v>0.9986507</v>
      </c>
      <c r="Y1128">
        <v>0.16986089999999901</v>
      </c>
      <c r="Z1128">
        <v>-3.8341830000000001E-3</v>
      </c>
      <c r="AA1128">
        <v>0.98546060000000002</v>
      </c>
      <c r="AB1128">
        <v>22</v>
      </c>
      <c r="AC1128">
        <v>-44.151199999999903</v>
      </c>
      <c r="AD1128">
        <v>0.82406699999999999</v>
      </c>
      <c r="AE1128">
        <v>-210.63810000000001</v>
      </c>
      <c r="AF1128">
        <v>36.592523147700199</v>
      </c>
      <c r="AG1128">
        <v>0.82406699999999999</v>
      </c>
      <c r="AH1128">
        <v>212.07868054041299</v>
      </c>
      <c r="AI1128">
        <v>89.780610554177599</v>
      </c>
      <c r="AJ1128">
        <v>80.210448066819595</v>
      </c>
      <c r="AK1128">
        <v>215.21398322715501</v>
      </c>
      <c r="AL1128">
        <v>91.414906106132904</v>
      </c>
      <c r="AM1128">
        <v>87.380776478557394</v>
      </c>
      <c r="AN1128">
        <v>0.99999998813570201</v>
      </c>
    </row>
    <row r="1129" spans="1:40" x14ac:dyDescent="0.25">
      <c r="A1129" t="str">
        <f>"20190312160933029"</f>
        <v>20190312160933029</v>
      </c>
      <c r="B1129" t="str">
        <f>"1552378173026346"</f>
        <v>1552378173026346</v>
      </c>
      <c r="C1129" t="s">
        <v>40</v>
      </c>
      <c r="D1129">
        <v>5.7299490000000004</v>
      </c>
      <c r="E1129">
        <v>0.54735040000000001</v>
      </c>
      <c r="F1129" t="s">
        <v>62</v>
      </c>
      <c r="G1129">
        <v>-234.03100000000001</v>
      </c>
      <c r="H1129">
        <v>2.9906350000000002</v>
      </c>
      <c r="I1129">
        <v>119.3841</v>
      </c>
      <c r="J1129">
        <v>-189.8451</v>
      </c>
      <c r="K1129">
        <v>1.109613</v>
      </c>
      <c r="L1129">
        <v>329.90929999999997</v>
      </c>
      <c r="M1129">
        <v>-3.6596440000000001E-2</v>
      </c>
      <c r="N1129">
        <v>0</v>
      </c>
      <c r="O1129">
        <v>-0.99923740000000005</v>
      </c>
      <c r="P1129">
        <v>-8.2853650000000001E-2</v>
      </c>
      <c r="Q1129">
        <v>-3.8548319999999997E-2</v>
      </c>
      <c r="R1129">
        <v>-0.99581589999999998</v>
      </c>
      <c r="S1129">
        <v>-0.62126159999999997</v>
      </c>
      <c r="T1129">
        <v>2.644169E-2</v>
      </c>
      <c r="U1129">
        <v>-2.9624329999999999</v>
      </c>
      <c r="V1129">
        <v>4.6315630000000003E-2</v>
      </c>
      <c r="W1129">
        <v>-2.5019980000000001E-2</v>
      </c>
      <c r="X1129">
        <v>0.99861350000000004</v>
      </c>
      <c r="Y1129">
        <v>0.1692825</v>
      </c>
      <c r="Z1129">
        <v>-8.7567110000000004E-3</v>
      </c>
      <c r="AA1129">
        <v>0.98552859999999998</v>
      </c>
      <c r="AB1129">
        <v>22</v>
      </c>
      <c r="AC1129">
        <v>-44.185899999999897</v>
      </c>
      <c r="AD1129">
        <v>1.881022</v>
      </c>
      <c r="AE1129">
        <v>-210.52520000000001</v>
      </c>
      <c r="AF1129">
        <v>36.4483216917858</v>
      </c>
      <c r="AG1129">
        <v>1.881022</v>
      </c>
      <c r="AH1129">
        <v>211.98513571412599</v>
      </c>
      <c r="AI1129">
        <v>89.498958585276398</v>
      </c>
      <c r="AJ1129">
        <v>80.244063408593306</v>
      </c>
      <c r="AK1129">
        <v>215.103965936588</v>
      </c>
      <c r="AL1129">
        <v>91.433688822872199</v>
      </c>
      <c r="AM1129">
        <v>87.344528394951496</v>
      </c>
      <c r="AN1129">
        <v>1.0000000296818701</v>
      </c>
    </row>
    <row r="1130" spans="1:40" x14ac:dyDescent="0.25">
      <c r="A1130" t="str">
        <f>"20190312160933052"</f>
        <v>20190312160933052</v>
      </c>
      <c r="B1130" t="str">
        <f>"1552378173045866"</f>
        <v>1552378173045866</v>
      </c>
      <c r="C1130" t="s">
        <v>40</v>
      </c>
      <c r="D1130">
        <v>5.7564590000000004</v>
      </c>
      <c r="E1130">
        <v>0.54749209999999904</v>
      </c>
      <c r="F1130" t="s">
        <v>62</v>
      </c>
      <c r="G1130">
        <v>-234.3134</v>
      </c>
      <c r="H1130">
        <v>3.1025499999999999</v>
      </c>
      <c r="I1130">
        <v>119.3841</v>
      </c>
      <c r="J1130">
        <v>-189.8544</v>
      </c>
      <c r="K1130">
        <v>1.109572</v>
      </c>
      <c r="L1130">
        <v>329.6859</v>
      </c>
      <c r="M1130">
        <v>-3.757448E-2</v>
      </c>
      <c r="N1130">
        <v>0</v>
      </c>
      <c r="O1130">
        <v>-0.99920129999999996</v>
      </c>
      <c r="P1130">
        <v>-8.5434079999999996E-2</v>
      </c>
      <c r="Q1130">
        <v>-3.8437899999999997E-2</v>
      </c>
      <c r="R1130">
        <v>-0.99560230000000005</v>
      </c>
      <c r="S1130">
        <v>-0.62557980000000002</v>
      </c>
      <c r="T1130">
        <v>2.8036709999999999E-2</v>
      </c>
      <c r="U1130">
        <v>-2.9616699999999998</v>
      </c>
      <c r="V1130">
        <v>4.7923060000000003E-2</v>
      </c>
      <c r="W1130">
        <v>-2.4918679999999999E-2</v>
      </c>
      <c r="X1130">
        <v>0.99854019999999999</v>
      </c>
      <c r="Y1130">
        <v>0.1697438</v>
      </c>
      <c r="Z1130">
        <v>-9.2849720000000007E-3</v>
      </c>
      <c r="AA1130">
        <v>0.98544449999999995</v>
      </c>
      <c r="AB1130">
        <v>21</v>
      </c>
      <c r="AC1130">
        <v>-44.458999999999897</v>
      </c>
      <c r="AD1130">
        <v>1.9929779999999999</v>
      </c>
      <c r="AE1130">
        <v>-210.30179999999999</v>
      </c>
      <c r="AF1130">
        <v>36.521747418895103</v>
      </c>
      <c r="AG1130">
        <v>1.9929779999999999</v>
      </c>
      <c r="AH1130">
        <v>211.80573370743701</v>
      </c>
      <c r="AI1130">
        <v>89.468733022204603</v>
      </c>
      <c r="AJ1130">
        <v>80.216668925288801</v>
      </c>
      <c r="AK1130">
        <v>214.940640240937</v>
      </c>
      <c r="AL1130">
        <v>91.427882927597494</v>
      </c>
      <c r="AM1130">
        <v>87.2523050884882</v>
      </c>
      <c r="AN1130">
        <v>1.0000000456543701</v>
      </c>
    </row>
    <row r="1131" spans="1:40" x14ac:dyDescent="0.25">
      <c r="A1131" t="str">
        <f>"20190312160933096"</f>
        <v>20190312160933096</v>
      </c>
      <c r="B1131" t="str">
        <f>"1552378173085882"</f>
        <v>1552378173085882</v>
      </c>
      <c r="C1131" t="s">
        <v>40</v>
      </c>
      <c r="D1131">
        <v>5.7257790000000002</v>
      </c>
      <c r="E1131">
        <v>0.54653589999999996</v>
      </c>
      <c r="F1131" t="s">
        <v>62</v>
      </c>
      <c r="G1131">
        <v>-234.94489999999999</v>
      </c>
      <c r="H1131">
        <v>3.1517909999999998</v>
      </c>
      <c r="I1131">
        <v>119.3841</v>
      </c>
      <c r="J1131">
        <v>-189.8725</v>
      </c>
      <c r="K1131">
        <v>1.109497</v>
      </c>
      <c r="L1131">
        <v>329.27050000000003</v>
      </c>
      <c r="M1131">
        <v>-3.9618059999999997E-2</v>
      </c>
      <c r="N1131">
        <v>0</v>
      </c>
      <c r="O1131">
        <v>-0.99912239999999997</v>
      </c>
      <c r="P1131">
        <v>-8.92786E-2</v>
      </c>
      <c r="Q1131">
        <v>-3.7358820000000001E-2</v>
      </c>
      <c r="R1131">
        <v>-0.99530580000000002</v>
      </c>
      <c r="S1131">
        <v>-0.63462830000000003</v>
      </c>
      <c r="T1131">
        <v>2.8743390000000001E-2</v>
      </c>
      <c r="U1131">
        <v>-2.9599000000000002</v>
      </c>
      <c r="V1131">
        <v>4.9731869999999997E-2</v>
      </c>
      <c r="W1131">
        <v>-2.385483E-2</v>
      </c>
      <c r="X1131">
        <v>0.99847770000000002</v>
      </c>
      <c r="Y1131">
        <v>0.17072880000000001</v>
      </c>
      <c r="Z1131">
        <v>-9.5196039999999992E-3</v>
      </c>
      <c r="AA1131">
        <v>0.98527209999999998</v>
      </c>
      <c r="AB1131">
        <v>21</v>
      </c>
      <c r="AC1131">
        <v>-45.072399999999902</v>
      </c>
      <c r="AD1131">
        <v>2.0422940000000001</v>
      </c>
      <c r="AE1131">
        <v>-209.88640000000001</v>
      </c>
      <c r="AF1131">
        <v>36.7176231175225</v>
      </c>
      <c r="AG1131">
        <v>2.0422940000000001</v>
      </c>
      <c r="AH1131">
        <v>211.48829164314901</v>
      </c>
      <c r="AI1131">
        <v>89.454879080102302</v>
      </c>
      <c r="AJ1131">
        <v>80.150747267623998</v>
      </c>
      <c r="AK1131">
        <v>214.66171599593699</v>
      </c>
      <c r="AL1131">
        <v>91.366910721702894</v>
      </c>
      <c r="AM1131">
        <v>87.148585824258006</v>
      </c>
      <c r="AN1131">
        <v>1.00000001460265</v>
      </c>
    </row>
    <row r="1132" spans="1:40" x14ac:dyDescent="0.25">
      <c r="A1132" t="str">
        <f>"20190312160933118"</f>
        <v>20190312160933118</v>
      </c>
      <c r="B1132" t="str">
        <f>"1552378173106378"</f>
        <v>1552378173106378</v>
      </c>
      <c r="C1132" t="s">
        <v>40</v>
      </c>
      <c r="D1132">
        <v>5.7321479999999996</v>
      </c>
      <c r="E1132">
        <v>0.54631189999999996</v>
      </c>
      <c r="F1132" t="s">
        <v>62</v>
      </c>
      <c r="G1132">
        <v>-235.1824</v>
      </c>
      <c r="H1132">
        <v>3.9121709999999998</v>
      </c>
      <c r="I1132">
        <v>119.3841</v>
      </c>
      <c r="J1132">
        <v>-189.8817</v>
      </c>
      <c r="K1132">
        <v>1.1094569999999999</v>
      </c>
      <c r="L1132">
        <v>329.06900000000002</v>
      </c>
      <c r="M1132">
        <v>-4.0708710000000002E-2</v>
      </c>
      <c r="N1132">
        <v>0</v>
      </c>
      <c r="O1132">
        <v>-0.99907840000000003</v>
      </c>
      <c r="P1132">
        <v>-9.0807769999999996E-2</v>
      </c>
      <c r="Q1132">
        <v>-3.6825360000000001E-2</v>
      </c>
      <c r="R1132">
        <v>-0.99518759999999995</v>
      </c>
      <c r="S1132">
        <v>-0.63864140000000003</v>
      </c>
      <c r="T1132">
        <v>3.9503690000000001E-2</v>
      </c>
      <c r="U1132">
        <v>-2.9583439999999999</v>
      </c>
      <c r="V1132">
        <v>5.0173460000000003E-2</v>
      </c>
      <c r="W1132">
        <v>-2.3328370000000001E-2</v>
      </c>
      <c r="X1132">
        <v>0.99846800000000002</v>
      </c>
      <c r="Y1132">
        <v>0.17102829999999999</v>
      </c>
      <c r="Z1132">
        <v>-1.3086479999999999E-2</v>
      </c>
      <c r="AA1132">
        <v>0.98517920000000003</v>
      </c>
      <c r="AB1132">
        <v>21</v>
      </c>
      <c r="AC1132">
        <v>-45.300699999999999</v>
      </c>
      <c r="AD1132">
        <v>2.8027139999999999</v>
      </c>
      <c r="AE1132">
        <v>-209.6849</v>
      </c>
      <c r="AF1132">
        <v>36.720081413329297</v>
      </c>
      <c r="AG1132">
        <v>2.8027139999999999</v>
      </c>
      <c r="AH1132">
        <v>211.31928435308799</v>
      </c>
      <c r="AI1132">
        <v>89.251351537911802</v>
      </c>
      <c r="AJ1132">
        <v>80.142377564170502</v>
      </c>
      <c r="AK1132">
        <v>214.50421796381599</v>
      </c>
      <c r="AL1132">
        <v>91.336738450466399</v>
      </c>
      <c r="AM1132">
        <v>87.123281371075294</v>
      </c>
      <c r="AN1132">
        <v>0.99999996797961299</v>
      </c>
    </row>
    <row r="1133" spans="1:40" x14ac:dyDescent="0.25">
      <c r="A1133" t="str">
        <f>"20190312160933139"</f>
        <v>20190312160933139</v>
      </c>
      <c r="B1133" t="str">
        <f>"1552378173136633"</f>
        <v>1552378173136633</v>
      </c>
      <c r="C1133" t="s">
        <v>40</v>
      </c>
      <c r="D1133">
        <v>5.708475</v>
      </c>
      <c r="E1133">
        <v>0.54608420000000002</v>
      </c>
      <c r="F1133" t="s">
        <v>62</v>
      </c>
      <c r="G1133">
        <v>-235.33840000000001</v>
      </c>
      <c r="H1133">
        <v>4.2280220000000002</v>
      </c>
      <c r="I1133">
        <v>119.3841</v>
      </c>
      <c r="J1133">
        <v>-189.892</v>
      </c>
      <c r="K1133">
        <v>1.1093999999999999</v>
      </c>
      <c r="L1133">
        <v>328.85120000000001</v>
      </c>
      <c r="M1133">
        <v>-4.1962989999999999E-2</v>
      </c>
      <c r="N1133">
        <v>0</v>
      </c>
      <c r="O1133">
        <v>-0.99902659999999999</v>
      </c>
      <c r="P1133">
        <v>-9.2924690000000004E-2</v>
      </c>
      <c r="Q1133">
        <v>-3.7060339999999997E-2</v>
      </c>
      <c r="R1133">
        <v>-0.99498350000000002</v>
      </c>
      <c r="S1133">
        <v>-0.64117429999999997</v>
      </c>
      <c r="T1133">
        <v>4.3987989999999998E-2</v>
      </c>
      <c r="U1133">
        <v>-2.9576419999999999</v>
      </c>
      <c r="V1133">
        <v>5.1040750000000003E-2</v>
      </c>
      <c r="W1133">
        <v>-2.3572429999999998E-2</v>
      </c>
      <c r="X1133">
        <v>0.99841829999999998</v>
      </c>
      <c r="Y1133">
        <v>0.17064109999999999</v>
      </c>
      <c r="Z1133">
        <v>-1.457312E-2</v>
      </c>
      <c r="AA1133">
        <v>0.98522549999999998</v>
      </c>
      <c r="AB1133">
        <v>21</v>
      </c>
      <c r="AC1133">
        <v>-45.446399999999997</v>
      </c>
      <c r="AD1133">
        <v>3.1186219999999998</v>
      </c>
      <c r="AE1133">
        <v>-209.46709999999999</v>
      </c>
      <c r="AF1133">
        <v>36.607933193854201</v>
      </c>
      <c r="AG1133">
        <v>3.1186219999999998</v>
      </c>
      <c r="AH1133">
        <v>211.14510425616601</v>
      </c>
      <c r="AI1133">
        <v>89.166237332591294</v>
      </c>
      <c r="AJ1133">
        <v>80.163946930707397</v>
      </c>
      <c r="AK1133">
        <v>214.31780520351501</v>
      </c>
      <c r="AL1133">
        <v>91.350725916616696</v>
      </c>
      <c r="AM1133">
        <v>87.073495179645505</v>
      </c>
      <c r="AN1133">
        <v>0.99999995969577704</v>
      </c>
    </row>
    <row r="1134" spans="1:40" x14ac:dyDescent="0.25">
      <c r="A1134" t="str">
        <f>"20190312160933164"</f>
        <v>20190312160933164</v>
      </c>
      <c r="B1134" t="str">
        <f>"1552378173156155"</f>
        <v>1552378173156155</v>
      </c>
      <c r="C1134" t="s">
        <v>40</v>
      </c>
      <c r="D1134">
        <v>5.7039669999999996</v>
      </c>
      <c r="E1134">
        <v>0.54586939999999995</v>
      </c>
      <c r="F1134" t="s">
        <v>62</v>
      </c>
      <c r="G1134">
        <v>-235.6438</v>
      </c>
      <c r="H1134">
        <v>4.3507740000000004</v>
      </c>
      <c r="I1134">
        <v>119.3841</v>
      </c>
      <c r="J1134">
        <v>-189.90350000000001</v>
      </c>
      <c r="K1134">
        <v>1.109343</v>
      </c>
      <c r="L1134">
        <v>328.61869999999999</v>
      </c>
      <c r="M1134">
        <v>-4.3409570000000001E-2</v>
      </c>
      <c r="N1134">
        <v>0</v>
      </c>
      <c r="O1134">
        <v>-0.99896479999999999</v>
      </c>
      <c r="P1134">
        <v>-9.5067899999999997E-2</v>
      </c>
      <c r="Q1134">
        <v>-3.7422049999999998E-2</v>
      </c>
      <c r="R1134">
        <v>-0.99476739999999997</v>
      </c>
      <c r="S1134">
        <v>-0.64576719999999999</v>
      </c>
      <c r="T1134">
        <v>4.5750739999999998E-2</v>
      </c>
      <c r="U1134">
        <v>-2.9565429999999999</v>
      </c>
      <c r="V1134">
        <v>5.1742049999999998E-2</v>
      </c>
      <c r="W1134">
        <v>-2.3944070000000001E-2</v>
      </c>
      <c r="X1134">
        <v>0.99837339999999997</v>
      </c>
      <c r="Y1134">
        <v>0.1707496</v>
      </c>
      <c r="Z1134">
        <v>-1.515845E-2</v>
      </c>
      <c r="AA1134">
        <v>0.98519780000000001</v>
      </c>
      <c r="AB1134">
        <v>21</v>
      </c>
      <c r="AC1134">
        <v>-45.740299999999898</v>
      </c>
      <c r="AD1134">
        <v>3.2414309999999902</v>
      </c>
      <c r="AE1134">
        <v>-209.2346</v>
      </c>
      <c r="AF1134">
        <v>36.605166936293301</v>
      </c>
      <c r="AG1134">
        <v>3.2414309999999902</v>
      </c>
      <c r="AH1134">
        <v>210.97475702698</v>
      </c>
      <c r="AI1134">
        <v>89.132728216283695</v>
      </c>
      <c r="AJ1134">
        <v>80.156889610545505</v>
      </c>
      <c r="AK1134">
        <v>214.15133252902001</v>
      </c>
      <c r="AL1134">
        <v>91.372025275129602</v>
      </c>
      <c r="AM1134">
        <v>87.033223160193103</v>
      </c>
      <c r="AN1134">
        <v>1.0000000020269599</v>
      </c>
    </row>
    <row r="1135" spans="1:40" x14ac:dyDescent="0.25">
      <c r="A1135" t="str">
        <f>"20190312160933186"</f>
        <v>20190312160933186</v>
      </c>
      <c r="B1135" t="str">
        <f>"1552378173176650"</f>
        <v>1552378173176650</v>
      </c>
      <c r="C1135" t="s">
        <v>40</v>
      </c>
      <c r="D1135">
        <v>5.7779930000000004</v>
      </c>
      <c r="E1135">
        <v>0.54515579999999997</v>
      </c>
      <c r="F1135" t="s">
        <v>62</v>
      </c>
      <c r="G1135">
        <v>-235.96190000000001</v>
      </c>
      <c r="H1135">
        <v>4.3429849999999997</v>
      </c>
      <c r="I1135">
        <v>119.3841</v>
      </c>
      <c r="J1135">
        <v>-189.9145</v>
      </c>
      <c r="K1135">
        <v>1.1092869999999999</v>
      </c>
      <c r="L1135">
        <v>328.40379999999999</v>
      </c>
      <c r="M1135">
        <v>-4.4865450000000001E-2</v>
      </c>
      <c r="N1135">
        <v>0</v>
      </c>
      <c r="O1135">
        <v>-0.99890049999999997</v>
      </c>
      <c r="P1135">
        <v>-9.6834310000000007E-2</v>
      </c>
      <c r="Q1135">
        <v>-3.7813260000000001E-2</v>
      </c>
      <c r="R1135">
        <v>-0.99458219999999997</v>
      </c>
      <c r="S1135">
        <v>-0.65054319999999999</v>
      </c>
      <c r="T1135">
        <v>4.567301E-2</v>
      </c>
      <c r="U1135">
        <v>-2.955292</v>
      </c>
      <c r="V1135">
        <v>5.20563E-2</v>
      </c>
      <c r="W1135">
        <v>-2.434381E-2</v>
      </c>
      <c r="X1135">
        <v>0.9983474</v>
      </c>
      <c r="Y1135">
        <v>0.17091970000000001</v>
      </c>
      <c r="Z1135">
        <v>-1.5134679999999999E-2</v>
      </c>
      <c r="AA1135">
        <v>0.98516870000000001</v>
      </c>
      <c r="AB1135">
        <v>21</v>
      </c>
      <c r="AC1135">
        <v>-46.047400000000003</v>
      </c>
      <c r="AD1135">
        <v>3.2336979999999902</v>
      </c>
      <c r="AE1135">
        <v>-209.0197</v>
      </c>
      <c r="AF1135">
        <v>36.614035797877797</v>
      </c>
      <c r="AG1135">
        <v>3.2336979999999902</v>
      </c>
      <c r="AH1135">
        <v>210.82718982752201</v>
      </c>
      <c r="AI1135">
        <v>89.134215280034297</v>
      </c>
      <c r="AJ1135">
        <v>80.147795173911902</v>
      </c>
      <c r="AK1135">
        <v>214.00735592669099</v>
      </c>
      <c r="AL1135">
        <v>91.394935364074598</v>
      </c>
      <c r="AM1135">
        <v>87.015159638453497</v>
      </c>
      <c r="AN1135">
        <v>1.00000000527088</v>
      </c>
    </row>
    <row r="1136" spans="1:40" x14ac:dyDescent="0.25">
      <c r="A1136" t="str">
        <f>"20190312160933231"</f>
        <v>20190312160933231</v>
      </c>
      <c r="B1136" t="str">
        <f>"1552378173226426"</f>
        <v>1552378173226426</v>
      </c>
      <c r="C1136" t="s">
        <v>40</v>
      </c>
      <c r="D1136">
        <v>5.8247109999999997</v>
      </c>
      <c r="E1136">
        <v>0.54462080000000002</v>
      </c>
      <c r="F1136" t="s">
        <v>62</v>
      </c>
      <c r="G1136">
        <v>-235.91489999999999</v>
      </c>
      <c r="H1136">
        <v>3.8885130000000001</v>
      </c>
      <c r="I1136">
        <v>119.3841</v>
      </c>
      <c r="J1136">
        <v>-189.93700000000001</v>
      </c>
      <c r="K1136">
        <v>1.1092029999999999</v>
      </c>
      <c r="L1136">
        <v>327.98809999999997</v>
      </c>
      <c r="M1136">
        <v>-4.7915230000000003E-2</v>
      </c>
      <c r="N1136">
        <v>0</v>
      </c>
      <c r="O1136">
        <v>-0.99875890000000001</v>
      </c>
      <c r="P1136">
        <v>-9.938255E-2</v>
      </c>
      <c r="Q1136">
        <v>-3.7102599999999999E-2</v>
      </c>
      <c r="R1136">
        <v>-0.99435739999999995</v>
      </c>
      <c r="S1136">
        <v>-0.65022279999999999</v>
      </c>
      <c r="T1136">
        <v>3.9284939999999997E-2</v>
      </c>
      <c r="U1136">
        <v>-2.954529</v>
      </c>
      <c r="V1136">
        <v>5.1561599999999999E-2</v>
      </c>
      <c r="W1136">
        <v>-2.3643109999999998E-2</v>
      </c>
      <c r="X1136">
        <v>0.99838990000000005</v>
      </c>
      <c r="Y1136">
        <v>0.1678683</v>
      </c>
      <c r="Z1136">
        <v>-1.302235E-2</v>
      </c>
      <c r="AA1136">
        <v>0.98572340000000003</v>
      </c>
      <c r="AB1136">
        <v>21</v>
      </c>
      <c r="AC1136">
        <v>-45.977899999999899</v>
      </c>
      <c r="AD1136">
        <v>2.7793100000000002</v>
      </c>
      <c r="AE1136">
        <v>-208.60400000000001</v>
      </c>
      <c r="AF1136">
        <v>35.922766686079498</v>
      </c>
      <c r="AG1136">
        <v>2.7793100000000002</v>
      </c>
      <c r="AH1136">
        <v>210.53195893267201</v>
      </c>
      <c r="AI1136">
        <v>89.254435344616795</v>
      </c>
      <c r="AJ1136">
        <v>80.316955604008399</v>
      </c>
      <c r="AK1136">
        <v>213.59277951861401</v>
      </c>
      <c r="AL1136">
        <v>91.354776665184801</v>
      </c>
      <c r="AM1136">
        <v>87.043600157184002</v>
      </c>
      <c r="AN1136">
        <v>0.99999999383352101</v>
      </c>
    </row>
    <row r="1137" spans="1:40" x14ac:dyDescent="0.25">
      <c r="A1137" t="str">
        <f>"20190312160933255"</f>
        <v>20190312160933255</v>
      </c>
      <c r="B1137" t="str">
        <f>"1552378173245946"</f>
        <v>1552378173245946</v>
      </c>
      <c r="C1137" t="s">
        <v>40</v>
      </c>
      <c r="D1137">
        <v>5.7779420000000004</v>
      </c>
      <c r="E1137">
        <v>0.543466</v>
      </c>
      <c r="F1137" t="s">
        <v>41</v>
      </c>
      <c r="G1137">
        <v>-193.32900000000001</v>
      </c>
      <c r="H1137" s="1">
        <v>-2.3350640000000002E-6</v>
      </c>
      <c r="I1137">
        <v>312.6576</v>
      </c>
      <c r="J1137">
        <v>-189.9502</v>
      </c>
      <c r="K1137">
        <v>1.109165</v>
      </c>
      <c r="L1137">
        <v>327.75760000000002</v>
      </c>
      <c r="M1137">
        <v>-4.9722910000000002E-2</v>
      </c>
      <c r="N1137">
        <v>0</v>
      </c>
      <c r="O1137">
        <v>-0.99867030000000001</v>
      </c>
      <c r="P1137">
        <v>-0.1015643</v>
      </c>
      <c r="Q1137">
        <v>-3.7186219999999999E-2</v>
      </c>
      <c r="R1137">
        <v>-0.9941335</v>
      </c>
      <c r="S1137">
        <v>-0.65138240000000003</v>
      </c>
      <c r="T1137">
        <v>-0.21300649999999999</v>
      </c>
      <c r="U1137">
        <v>-2.944</v>
      </c>
      <c r="V1137">
        <v>5.1943160000000002E-2</v>
      </c>
      <c r="W1137">
        <v>-2.3732860000000001E-2</v>
      </c>
      <c r="X1137">
        <v>0.99836800000000003</v>
      </c>
      <c r="Y1137">
        <v>0.1666723</v>
      </c>
      <c r="Z1137">
        <v>7.0676100000000006E-2</v>
      </c>
      <c r="AA1137">
        <v>0.98347609999999996</v>
      </c>
      <c r="AB1137">
        <v>21</v>
      </c>
      <c r="AC1137">
        <v>-3.3788000000000098</v>
      </c>
      <c r="AD1137">
        <v>-1.1091673350639999</v>
      </c>
      <c r="AE1137">
        <v>-15.1</v>
      </c>
      <c r="AF1137">
        <v>2.6103216182132298</v>
      </c>
      <c r="AG1137">
        <v>-1.1091673350639999</v>
      </c>
      <c r="AH1137">
        <v>15.1713823159422</v>
      </c>
      <c r="AI1137">
        <v>94.121068122875599</v>
      </c>
      <c r="AJ1137">
        <v>80.237523437702194</v>
      </c>
      <c r="AK1137">
        <v>15.4342111072827</v>
      </c>
      <c r="AL1137">
        <v>91.359920393695205</v>
      </c>
      <c r="AM1137">
        <v>87.021696589648897</v>
      </c>
      <c r="AN1137">
        <v>1.0000000019692801</v>
      </c>
    </row>
    <row r="1138" spans="1:40" x14ac:dyDescent="0.25">
      <c r="A1138" t="str">
        <f>"20190312160933280"</f>
        <v>20190312160933280</v>
      </c>
      <c r="B1138" t="str">
        <f>"1552378173266441"</f>
        <v>1552378173266441</v>
      </c>
      <c r="C1138" t="s">
        <v>40</v>
      </c>
      <c r="D1138">
        <v>5.7907190000000002</v>
      </c>
      <c r="E1138">
        <v>0.54329910000000003</v>
      </c>
      <c r="F1138" t="s">
        <v>41</v>
      </c>
      <c r="G1138">
        <v>-193.065</v>
      </c>
      <c r="H1138" s="1">
        <v>-2.7228309999999998E-6</v>
      </c>
      <c r="I1138">
        <v>313.62650000000002</v>
      </c>
      <c r="J1138">
        <v>-189.96420000000001</v>
      </c>
      <c r="K1138">
        <v>1.109138</v>
      </c>
      <c r="L1138">
        <v>327.52210000000002</v>
      </c>
      <c r="M1138">
        <v>-5.1635439999999998E-2</v>
      </c>
      <c r="N1138">
        <v>0</v>
      </c>
      <c r="O1138">
        <v>-0.99857340000000006</v>
      </c>
      <c r="P1138">
        <v>-0.1044177</v>
      </c>
      <c r="Q1138">
        <v>-3.8302460000000003E-2</v>
      </c>
      <c r="R1138">
        <v>-0.99379629999999997</v>
      </c>
      <c r="S1138">
        <v>-0.64865109999999904</v>
      </c>
      <c r="T1138">
        <v>-0.2309802</v>
      </c>
      <c r="U1138">
        <v>-2.9427490000000001</v>
      </c>
      <c r="V1138">
        <v>5.2894589999999998E-2</v>
      </c>
      <c r="W1138">
        <v>-2.485656E-2</v>
      </c>
      <c r="X1138">
        <v>0.99829069999999998</v>
      </c>
      <c r="Y1138">
        <v>0.16390629999999901</v>
      </c>
      <c r="Z1138">
        <v>7.6651549999999999E-2</v>
      </c>
      <c r="AA1138">
        <v>0.98349339999999996</v>
      </c>
      <c r="AB1138">
        <v>21</v>
      </c>
      <c r="AC1138">
        <v>-3.1007999999999898</v>
      </c>
      <c r="AD1138">
        <v>-1.109140722831</v>
      </c>
      <c r="AE1138">
        <v>-13.8956</v>
      </c>
      <c r="AF1138">
        <v>2.36473949519059</v>
      </c>
      <c r="AG1138">
        <v>-1.109140722831</v>
      </c>
      <c r="AH1138">
        <v>13.9525086960419</v>
      </c>
      <c r="AI1138">
        <v>94.481469012124805</v>
      </c>
      <c r="AJ1138">
        <v>80.380641392137207</v>
      </c>
      <c r="AK1138">
        <v>14.1948823502092</v>
      </c>
      <c r="AL1138">
        <v>91.424322670536</v>
      </c>
      <c r="AM1138">
        <v>86.967010273943202</v>
      </c>
      <c r="AN1138">
        <v>1.0000000039663901</v>
      </c>
    </row>
    <row r="1139" spans="1:40" x14ac:dyDescent="0.25">
      <c r="A1139" t="str">
        <f>"20190312160933342"</f>
        <v>20190312160933342</v>
      </c>
      <c r="B1139" t="str">
        <f>"1552378173336714"</f>
        <v>1552378173336714</v>
      </c>
      <c r="C1139" t="s">
        <v>40</v>
      </c>
      <c r="D1139">
        <v>5.7587000000000002</v>
      </c>
      <c r="E1139">
        <v>0.54292969999999996</v>
      </c>
      <c r="F1139" t="s">
        <v>41</v>
      </c>
      <c r="G1139">
        <v>-192.9196</v>
      </c>
      <c r="H1139" s="1">
        <v>-2.985636E-6</v>
      </c>
      <c r="I1139">
        <v>314.26429999999999</v>
      </c>
      <c r="J1139">
        <v>-190.00139999999999</v>
      </c>
      <c r="K1139">
        <v>1.1091009999999999</v>
      </c>
      <c r="L1139">
        <v>326.93169999999998</v>
      </c>
      <c r="M1139">
        <v>-5.6619780000000001E-2</v>
      </c>
      <c r="N1139">
        <v>0</v>
      </c>
      <c r="O1139">
        <v>-0.99830319999999995</v>
      </c>
      <c r="P1139">
        <v>-0.1099067</v>
      </c>
      <c r="Q1139">
        <v>-3.7794559999999998E-2</v>
      </c>
      <c r="R1139">
        <v>-0.99322319999999997</v>
      </c>
      <c r="S1139">
        <v>-0.65547180000000005</v>
      </c>
      <c r="T1139">
        <v>-0.24598980000000001</v>
      </c>
      <c r="U1139">
        <v>-2.940369</v>
      </c>
      <c r="V1139">
        <v>5.3424659999999999E-2</v>
      </c>
      <c r="W1139">
        <v>-2.4356869999999999E-2</v>
      </c>
      <c r="X1139">
        <v>0.99827480000000002</v>
      </c>
      <c r="Y1139">
        <v>0.1612374</v>
      </c>
      <c r="Z1139">
        <v>8.1628809999999996E-2</v>
      </c>
      <c r="AA1139">
        <v>0.98353400000000002</v>
      </c>
      <c r="AB1139">
        <v>21</v>
      </c>
      <c r="AC1139">
        <v>-2.9182000000000099</v>
      </c>
      <c r="AD1139">
        <v>-1.1091039856360001</v>
      </c>
      <c r="AE1139">
        <v>-12.667399999999899</v>
      </c>
      <c r="AF1139">
        <v>2.18035380299641</v>
      </c>
      <c r="AG1139">
        <v>-1.1091039856360001</v>
      </c>
      <c r="AH1139">
        <v>12.7197230328429</v>
      </c>
      <c r="AI1139">
        <v>94.912051130473401</v>
      </c>
      <c r="AJ1139">
        <v>80.273165987495105</v>
      </c>
      <c r="AK1139">
        <v>12.952814689843599</v>
      </c>
      <c r="AL1139">
        <v>91.395683856897605</v>
      </c>
      <c r="AM1139">
        <v>86.936624824856807</v>
      </c>
      <c r="AN1139">
        <v>1.00000001386367</v>
      </c>
    </row>
    <row r="1140" spans="1:40" x14ac:dyDescent="0.25">
      <c r="A1140" t="str">
        <f>"20190312160933364"</f>
        <v>20190312160933364</v>
      </c>
      <c r="B1140" t="str">
        <f>"1552378173356234"</f>
        <v>1552378173356234</v>
      </c>
      <c r="C1140" t="s">
        <v>40</v>
      </c>
      <c r="D1140">
        <v>5.7494829999999997</v>
      </c>
      <c r="E1140">
        <v>0.54305990000000004</v>
      </c>
      <c r="F1140" t="s">
        <v>41</v>
      </c>
      <c r="G1140">
        <v>-192.9444</v>
      </c>
      <c r="H1140" s="1">
        <v>-2.8723189999999999E-6</v>
      </c>
      <c r="I1140">
        <v>314.01060000000001</v>
      </c>
      <c r="J1140">
        <v>-190.0147</v>
      </c>
      <c r="K1140">
        <v>1.109111</v>
      </c>
      <c r="L1140">
        <v>326.73329999999999</v>
      </c>
      <c r="M1140">
        <v>-5.8313690000000001E-2</v>
      </c>
      <c r="N1140">
        <v>0</v>
      </c>
      <c r="O1140">
        <v>-0.99820569999999997</v>
      </c>
      <c r="P1140">
        <v>-0.1113891</v>
      </c>
      <c r="Q1140">
        <v>-3.8612550000000002E-2</v>
      </c>
      <c r="R1140">
        <v>-0.99302670000000004</v>
      </c>
      <c r="S1140">
        <v>-0.66891480000000003</v>
      </c>
      <c r="T1140">
        <v>-0.25208950000000002</v>
      </c>
      <c r="U1140">
        <v>-2.9368590000000001</v>
      </c>
      <c r="V1140">
        <v>5.3220719999999999E-2</v>
      </c>
      <c r="W1140">
        <v>-2.5175719999999999E-2</v>
      </c>
      <c r="X1140">
        <v>0.99826539999999997</v>
      </c>
      <c r="Y1140">
        <v>0.1640586</v>
      </c>
      <c r="Z1140">
        <v>8.3662399999999998E-2</v>
      </c>
      <c r="AA1140">
        <v>0.9828964</v>
      </c>
      <c r="AB1140">
        <v>21</v>
      </c>
      <c r="AC1140">
        <v>-2.9296999999999902</v>
      </c>
      <c r="AD1140">
        <v>-1.1091138723189999</v>
      </c>
      <c r="AE1140">
        <v>-12.7226999999999</v>
      </c>
      <c r="AF1140">
        <v>2.1670975826850198</v>
      </c>
      <c r="AG1140">
        <v>-1.1091138723189999</v>
      </c>
      <c r="AH1140">
        <v>12.7796728357443</v>
      </c>
      <c r="AI1140">
        <v>94.890648467721704</v>
      </c>
      <c r="AJ1140">
        <v>80.375690363391797</v>
      </c>
      <c r="AK1140">
        <v>13.0094766729223</v>
      </c>
      <c r="AL1140">
        <v>91.442614870814893</v>
      </c>
      <c r="AM1140">
        <v>86.948267936857306</v>
      </c>
      <c r="AN1140">
        <v>1.0000000353759899</v>
      </c>
    </row>
    <row r="1141" spans="1:40" x14ac:dyDescent="0.25">
      <c r="A1141" t="str">
        <f>"20190312160933387"</f>
        <v>20190312160933387</v>
      </c>
      <c r="B1141" t="str">
        <f>"1552378173376730"</f>
        <v>1552378173376730</v>
      </c>
      <c r="C1141" t="s">
        <v>40</v>
      </c>
      <c r="D1141">
        <v>5.6318849999999996</v>
      </c>
      <c r="E1141">
        <v>0.56648509999999996</v>
      </c>
      <c r="F1141" t="s">
        <v>42</v>
      </c>
      <c r="G1141">
        <v>-190.18520000000001</v>
      </c>
      <c r="H1141">
        <v>1.044465</v>
      </c>
      <c r="I1141">
        <v>325.99149999999997</v>
      </c>
      <c r="J1141">
        <v>-190.03</v>
      </c>
      <c r="K1141">
        <v>1.1091200000000001</v>
      </c>
      <c r="L1141">
        <v>326.51119999999997</v>
      </c>
      <c r="M1141">
        <v>-6.0207530000000002E-2</v>
      </c>
      <c r="N1141">
        <v>0</v>
      </c>
      <c r="O1141">
        <v>-0.99809340000000002</v>
      </c>
      <c r="P1141">
        <v>-0.1133382</v>
      </c>
      <c r="Q1141">
        <v>-3.8503900000000001E-2</v>
      </c>
      <c r="R1141">
        <v>-0.99281050000000004</v>
      </c>
      <c r="S1141">
        <v>-0.6739349</v>
      </c>
      <c r="T1141">
        <v>-0.25602789999999997</v>
      </c>
      <c r="U1141">
        <v>-2.9355159999999998</v>
      </c>
      <c r="V1141">
        <v>5.328687E-2</v>
      </c>
      <c r="W1141">
        <v>-2.506773E-2</v>
      </c>
      <c r="X1141">
        <v>0.99826459999999995</v>
      </c>
      <c r="Y1141">
        <v>0.16385710000000001</v>
      </c>
      <c r="Z1141">
        <v>8.4968779999999994E-2</v>
      </c>
      <c r="AA1141">
        <v>0.98281790000000002</v>
      </c>
      <c r="AB1141">
        <v>21</v>
      </c>
      <c r="AC1141">
        <v>-0.155200000000007</v>
      </c>
      <c r="AD1141">
        <v>-6.4655000000000101E-2</v>
      </c>
      <c r="AE1141">
        <v>-0.51970000000000005</v>
      </c>
      <c r="AF1141">
        <v>0.121893530814777</v>
      </c>
      <c r="AG1141">
        <v>-6.4655000000000101E-2</v>
      </c>
      <c r="AH1141">
        <v>0.52070284059409899</v>
      </c>
      <c r="AI1141">
        <v>96.893614522753893</v>
      </c>
      <c r="AJ1141">
        <v>76.824639477443696</v>
      </c>
      <c r="AK1141">
        <v>0.53867406665093598</v>
      </c>
      <c r="AL1141">
        <v>91.436425530311993</v>
      </c>
      <c r="AM1141">
        <v>86.944479565370699</v>
      </c>
      <c r="AN1141">
        <v>1.0000000466074499</v>
      </c>
    </row>
    <row r="1142" spans="1:40" x14ac:dyDescent="0.25">
      <c r="A1142" t="str">
        <f>"20190312160933407"</f>
        <v>20190312160933407</v>
      </c>
      <c r="B1142" t="str">
        <f>"1552378173396250"</f>
        <v>1552378173396250</v>
      </c>
      <c r="C1142" t="s">
        <v>40</v>
      </c>
      <c r="D1142">
        <v>5.6271069999999996</v>
      </c>
      <c r="E1142">
        <v>0.56866649999999996</v>
      </c>
      <c r="F1142" t="s">
        <v>63</v>
      </c>
      <c r="G1142">
        <v>-233.13059999999999</v>
      </c>
      <c r="H1142">
        <v>0.85159470000000004</v>
      </c>
      <c r="I1142">
        <v>181.38939999999999</v>
      </c>
      <c r="J1142">
        <v>-190.04400000000001</v>
      </c>
      <c r="K1142">
        <v>1.109137</v>
      </c>
      <c r="L1142">
        <v>326.31200000000001</v>
      </c>
      <c r="M1142">
        <v>-6.1901619999999997E-2</v>
      </c>
      <c r="N1142">
        <v>0</v>
      </c>
      <c r="O1142">
        <v>-0.99798960000000003</v>
      </c>
      <c r="P1142">
        <v>-0.114593</v>
      </c>
      <c r="Q1142">
        <v>-3.9353939999999997E-2</v>
      </c>
      <c r="R1142">
        <v>-0.99263290000000004</v>
      </c>
      <c r="S1142">
        <v>-0.86795040000000001</v>
      </c>
      <c r="T1142">
        <v>-5.1851270000000003E-3</v>
      </c>
      <c r="U1142">
        <v>-2.9224239999999999</v>
      </c>
      <c r="V1142">
        <v>5.2855079999999999E-2</v>
      </c>
      <c r="W1142">
        <v>-2.591676E-2</v>
      </c>
      <c r="X1142">
        <v>0.99826579999999998</v>
      </c>
      <c r="Y1142">
        <v>0.22481370000000001</v>
      </c>
      <c r="Z1142">
        <v>1.709552E-3</v>
      </c>
      <c r="AA1142">
        <v>0.9744003</v>
      </c>
      <c r="AB1142">
        <v>21</v>
      </c>
      <c r="AC1142">
        <v>-43.086599999999898</v>
      </c>
      <c r="AD1142">
        <v>-0.2575423</v>
      </c>
      <c r="AE1142">
        <v>-144.92259999999999</v>
      </c>
      <c r="AF1142">
        <v>34.032083469784901</v>
      </c>
      <c r="AG1142">
        <v>-0.2575423</v>
      </c>
      <c r="AH1142">
        <v>147.311573644199</v>
      </c>
      <c r="AI1142">
        <v>90.097598531958198</v>
      </c>
      <c r="AJ1142">
        <v>76.991681958313293</v>
      </c>
      <c r="AK1142">
        <v>151.19176155750301</v>
      </c>
      <c r="AL1142">
        <v>91.485087289053098</v>
      </c>
      <c r="AM1142">
        <v>86.969196107295701</v>
      </c>
      <c r="AN1142">
        <v>0.99999997269017105</v>
      </c>
    </row>
    <row r="1143" spans="1:40" x14ac:dyDescent="0.25">
      <c r="A1143" t="str">
        <f>"20190312160933432"</f>
        <v>20190312160933432</v>
      </c>
      <c r="B1143" t="str">
        <f>"1552378173426507"</f>
        <v>1552378173426507</v>
      </c>
      <c r="C1143" t="s">
        <v>40</v>
      </c>
      <c r="D1143">
        <v>5.6393959999999996</v>
      </c>
      <c r="E1143">
        <v>0.56906330000000005</v>
      </c>
      <c r="F1143" t="s">
        <v>63</v>
      </c>
      <c r="G1143">
        <v>-234.1062</v>
      </c>
      <c r="H1143">
        <v>1.477789</v>
      </c>
      <c r="I1143">
        <v>181.529</v>
      </c>
      <c r="J1143">
        <v>-190.0598</v>
      </c>
      <c r="K1143">
        <v>1.1091489999999999</v>
      </c>
      <c r="L1143">
        <v>326.09289999999999</v>
      </c>
      <c r="M1143">
        <v>-6.3756350000000003E-2</v>
      </c>
      <c r="N1143">
        <v>0</v>
      </c>
      <c r="O1143">
        <v>-0.99787300000000001</v>
      </c>
      <c r="P1143">
        <v>-0.116681199999999</v>
      </c>
      <c r="Q1143">
        <v>-4.0241449999999998E-2</v>
      </c>
      <c r="R1143">
        <v>-0.99235399999999996</v>
      </c>
      <c r="S1143">
        <v>-0.88865659999999902</v>
      </c>
      <c r="T1143">
        <v>7.4359179999999997E-3</v>
      </c>
      <c r="U1143">
        <v>-2.920013</v>
      </c>
      <c r="V1143">
        <v>5.3100950000000001E-2</v>
      </c>
      <c r="W1143">
        <v>-2.680542E-2</v>
      </c>
      <c r="X1143">
        <v>0.99822929999999999</v>
      </c>
      <c r="Y1143">
        <v>0.22955539999999999</v>
      </c>
      <c r="Z1143">
        <v>-2.4493200000000001E-3</v>
      </c>
      <c r="AA1143">
        <v>0.9732925</v>
      </c>
      <c r="AB1143">
        <v>21</v>
      </c>
      <c r="AC1143">
        <v>-44.046399999999998</v>
      </c>
      <c r="AD1143">
        <v>0.36864000000000002</v>
      </c>
      <c r="AE1143">
        <v>-144.56389999999899</v>
      </c>
      <c r="AF1143">
        <v>34.7388466253594</v>
      </c>
      <c r="AG1143">
        <v>0.36864000000000002</v>
      </c>
      <c r="AH1143">
        <v>147.07735135919501</v>
      </c>
      <c r="AI1143">
        <v>89.860237677244996</v>
      </c>
      <c r="AJ1143">
        <v>76.710613535680494</v>
      </c>
      <c r="AK1143">
        <v>151.124685750363</v>
      </c>
      <c r="AL1143">
        <v>91.536021435735194</v>
      </c>
      <c r="AM1143">
        <v>86.955012829029798</v>
      </c>
      <c r="AN1143">
        <v>0.99999998840538395</v>
      </c>
    </row>
    <row r="1144" spans="1:40" x14ac:dyDescent="0.25">
      <c r="A1144" t="str">
        <f>"20190312160933476"</f>
        <v>20190312160933476</v>
      </c>
      <c r="B1144" t="str">
        <f>"1552378173466522"</f>
        <v>1552378173466522</v>
      </c>
      <c r="C1144" t="s">
        <v>40</v>
      </c>
      <c r="D1144">
        <v>5.6704410000000003</v>
      </c>
      <c r="E1144">
        <v>0.56916149999999999</v>
      </c>
      <c r="F1144" t="s">
        <v>64</v>
      </c>
      <c r="G1144">
        <v>-238.64340000000001</v>
      </c>
      <c r="H1144">
        <v>2.5802740000000002</v>
      </c>
      <c r="I1144">
        <v>168.22</v>
      </c>
      <c r="J1144">
        <v>-190.0909</v>
      </c>
      <c r="K1144">
        <v>1.1091530000000001</v>
      </c>
      <c r="L1144">
        <v>325.67680000000001</v>
      </c>
      <c r="M1144">
        <v>-6.7250180000000007E-2</v>
      </c>
      <c r="N1144">
        <v>0</v>
      </c>
      <c r="O1144">
        <v>-0.99764359999999996</v>
      </c>
      <c r="P1144">
        <v>-0.1201873</v>
      </c>
      <c r="Q1144">
        <v>-4.0825510000000002E-2</v>
      </c>
      <c r="R1144">
        <v>-0.9919114</v>
      </c>
      <c r="S1144">
        <v>-0.89817809999999898</v>
      </c>
      <c r="T1144">
        <v>2.719736E-2</v>
      </c>
      <c r="U1144">
        <v>-2.9186399999999999</v>
      </c>
      <c r="V1144">
        <v>5.313478E-2</v>
      </c>
      <c r="W1144">
        <v>-2.7390959999999999E-2</v>
      </c>
      <c r="X1144">
        <v>0.99821159999999998</v>
      </c>
      <c r="Y1144">
        <v>0.22916700000000001</v>
      </c>
      <c r="Z1144">
        <v>-8.9553589999999995E-3</v>
      </c>
      <c r="AA1144">
        <v>0.97334589999999999</v>
      </c>
      <c r="AB1144">
        <v>21</v>
      </c>
      <c r="AC1144">
        <v>-48.552500000000002</v>
      </c>
      <c r="AD1144">
        <v>1.4711209999999999</v>
      </c>
      <c r="AE1144">
        <v>-157.45679999999999</v>
      </c>
      <c r="AF1144">
        <v>37.849570761460598</v>
      </c>
      <c r="AG1144">
        <v>1.4711209999999999</v>
      </c>
      <c r="AH1144">
        <v>160.35295831120899</v>
      </c>
      <c r="AI1144">
        <v>89.488425046084103</v>
      </c>
      <c r="AJ1144">
        <v>76.719040694779494</v>
      </c>
      <c r="AK1144">
        <v>164.765971738644</v>
      </c>
      <c r="AL1144">
        <v>91.569582738820799</v>
      </c>
      <c r="AM1144">
        <v>86.953022631785899</v>
      </c>
      <c r="AN1144">
        <v>0.99999998395496403</v>
      </c>
    </row>
    <row r="1145" spans="1:40" x14ac:dyDescent="0.25">
      <c r="A1145" t="str">
        <f>"20190312160933496"</f>
        <v>20190312160933496</v>
      </c>
      <c r="B1145" t="str">
        <f>"1552378173486043"</f>
        <v>1552378173486043</v>
      </c>
      <c r="C1145" t="s">
        <v>40</v>
      </c>
      <c r="D1145">
        <v>5.6307609999999997</v>
      </c>
      <c r="E1145">
        <v>0.56963989999999998</v>
      </c>
      <c r="F1145" t="s">
        <v>64</v>
      </c>
      <c r="G1145">
        <v>-239.20140000000001</v>
      </c>
      <c r="H1145">
        <v>2.7488139999999999</v>
      </c>
      <c r="I1145">
        <v>168.22</v>
      </c>
      <c r="J1145">
        <v>-190.10570000000001</v>
      </c>
      <c r="K1145">
        <v>1.1091629999999999</v>
      </c>
      <c r="L1145">
        <v>325.48649999999998</v>
      </c>
      <c r="M1145">
        <v>-6.8838720000000006E-2</v>
      </c>
      <c r="N1145">
        <v>0</v>
      </c>
      <c r="O1145">
        <v>-0.99753530000000001</v>
      </c>
      <c r="P1145">
        <v>-0.1211585</v>
      </c>
      <c r="Q1145">
        <v>-4.1335040000000003E-2</v>
      </c>
      <c r="R1145">
        <v>-0.9917724</v>
      </c>
      <c r="S1145">
        <v>-0.90934749999999998</v>
      </c>
      <c r="T1145">
        <v>3.036082E-2</v>
      </c>
      <c r="U1145">
        <v>-2.915527</v>
      </c>
      <c r="V1145">
        <v>5.2523670000000001E-2</v>
      </c>
      <c r="W1145">
        <v>-2.7899730000000001E-2</v>
      </c>
      <c r="X1145">
        <v>0.9982299</v>
      </c>
      <c r="Y1145">
        <v>0.2313077</v>
      </c>
      <c r="Z1145">
        <v>-9.9973340000000001E-3</v>
      </c>
      <c r="AA1145">
        <v>0.97282930000000001</v>
      </c>
      <c r="AB1145">
        <v>21</v>
      </c>
      <c r="AC1145">
        <v>-49.095700000000001</v>
      </c>
      <c r="AD1145">
        <v>1.63965099999999</v>
      </c>
      <c r="AE1145">
        <v>-157.26649999999901</v>
      </c>
      <c r="AF1145">
        <v>38.148411539199898</v>
      </c>
      <c r="AG1145">
        <v>1.63965099999999</v>
      </c>
      <c r="AH1145">
        <v>160.25748770562799</v>
      </c>
      <c r="AI1145">
        <v>89.429740299286905</v>
      </c>
      <c r="AJ1145">
        <v>76.610254071571205</v>
      </c>
      <c r="AK1145">
        <v>164.74359509275499</v>
      </c>
      <c r="AL1145">
        <v>91.598744182132805</v>
      </c>
      <c r="AM1145">
        <v>86.988056528094603</v>
      </c>
      <c r="AN1145">
        <v>1.00000003204917</v>
      </c>
    </row>
    <row r="1146" spans="1:40" x14ac:dyDescent="0.25">
      <c r="A1146" t="str">
        <f>"20190312160933522"</f>
        <v>20190312160933522</v>
      </c>
      <c r="B1146" t="str">
        <f>"1552378173516299"</f>
        <v>1552378173516299</v>
      </c>
      <c r="C1146" t="s">
        <v>40</v>
      </c>
      <c r="D1146">
        <v>5.6990850000000002</v>
      </c>
      <c r="E1146">
        <v>0.56904730000000003</v>
      </c>
      <c r="F1146" t="s">
        <v>64</v>
      </c>
      <c r="G1146">
        <v>-239.4752</v>
      </c>
      <c r="H1146">
        <v>2.7228330000000001</v>
      </c>
      <c r="I1146">
        <v>168.40729999999999</v>
      </c>
      <c r="J1146">
        <v>-190.12289999999999</v>
      </c>
      <c r="K1146">
        <v>1.1091660000000001</v>
      </c>
      <c r="L1146">
        <v>325.26819999999998</v>
      </c>
      <c r="M1146">
        <v>-7.0658209999999999E-2</v>
      </c>
      <c r="N1146">
        <v>0</v>
      </c>
      <c r="O1146">
        <v>-0.99740810000000002</v>
      </c>
      <c r="P1146">
        <v>-0.12304229999999999</v>
      </c>
      <c r="Q1146">
        <v>-4.1776180000000003E-2</v>
      </c>
      <c r="R1146">
        <v>-0.99152189999999996</v>
      </c>
      <c r="S1146">
        <v>-0.91593930000000001</v>
      </c>
      <c r="T1146">
        <v>2.9938220000000001E-2</v>
      </c>
      <c r="U1146">
        <v>-2.9142459999999999</v>
      </c>
      <c r="V1146">
        <v>5.2599769999999997E-2</v>
      </c>
      <c r="W1146">
        <v>-2.8342719999999998E-2</v>
      </c>
      <c r="X1146">
        <v>0.99821340000000003</v>
      </c>
      <c r="Y1146">
        <v>0.231659</v>
      </c>
      <c r="Z1146">
        <v>-9.8567570000000007E-3</v>
      </c>
      <c r="AA1146">
        <v>0.97274709999999998</v>
      </c>
      <c r="AB1146">
        <v>21</v>
      </c>
      <c r="AC1146">
        <v>-49.3523</v>
      </c>
      <c r="AD1146">
        <v>1.613667</v>
      </c>
      <c r="AE1146">
        <v>-156.86089999999999</v>
      </c>
      <c r="AF1146">
        <v>38.140719558813799</v>
      </c>
      <c r="AG1146">
        <v>1.613667</v>
      </c>
      <c r="AH1146">
        <v>159.94083245188401</v>
      </c>
      <c r="AI1146">
        <v>89.437719372608996</v>
      </c>
      <c r="AJ1146">
        <v>76.587309303299094</v>
      </c>
      <c r="AK1146">
        <v>164.433537622508</v>
      </c>
      <c r="AL1146">
        <v>91.624135702308195</v>
      </c>
      <c r="AM1146">
        <v>86.983650898449696</v>
      </c>
      <c r="AN1146">
        <v>1.0000000187603</v>
      </c>
    </row>
    <row r="1147" spans="1:40" x14ac:dyDescent="0.25">
      <c r="A1147" t="str">
        <f>"20190312160933543"</f>
        <v>20190312160933543</v>
      </c>
      <c r="B1147" t="str">
        <f>"1552378173535818"</f>
        <v>1552378173535818</v>
      </c>
      <c r="C1147" t="s">
        <v>40</v>
      </c>
      <c r="D1147">
        <v>5.8056599999999996</v>
      </c>
      <c r="E1147">
        <v>0.56838409999999995</v>
      </c>
      <c r="F1147" t="s">
        <v>64</v>
      </c>
      <c r="G1147">
        <v>-239.5067</v>
      </c>
      <c r="H1147">
        <v>1.565798</v>
      </c>
      <c r="I1147">
        <v>168.40729999999999</v>
      </c>
      <c r="J1147">
        <v>-190.14080000000001</v>
      </c>
      <c r="K1147">
        <v>1.1091740000000001</v>
      </c>
      <c r="L1147">
        <v>325.0471</v>
      </c>
      <c r="M1147">
        <v>-7.2502109999999995E-2</v>
      </c>
      <c r="N1147">
        <v>0</v>
      </c>
      <c r="O1147">
        <v>-0.9972761</v>
      </c>
      <c r="P1147">
        <v>-0.12487330000000001</v>
      </c>
      <c r="Q1147">
        <v>-4.2164939999999998E-2</v>
      </c>
      <c r="R1147">
        <v>-0.99127690000000002</v>
      </c>
      <c r="S1147">
        <v>-0.91685490000000003</v>
      </c>
      <c r="T1147">
        <v>8.478045E-3</v>
      </c>
      <c r="U1147">
        <v>-2.9122620000000001</v>
      </c>
      <c r="V1147">
        <v>5.2598539999999999E-2</v>
      </c>
      <c r="W1147">
        <v>-2.8733399999999999E-2</v>
      </c>
      <c r="X1147">
        <v>0.99820229999999999</v>
      </c>
      <c r="Y1147">
        <v>0.2303415</v>
      </c>
      <c r="Z1147">
        <v>-2.79298E-3</v>
      </c>
      <c r="AA1147">
        <v>0.97310580000000002</v>
      </c>
      <c r="AB1147">
        <v>21</v>
      </c>
      <c r="AC1147">
        <v>-49.365899999999897</v>
      </c>
      <c r="AD1147">
        <v>0.45662399999999997</v>
      </c>
      <c r="AE1147">
        <v>-156.63980000000001</v>
      </c>
      <c r="AF1147">
        <v>37.877905041909102</v>
      </c>
      <c r="AG1147">
        <v>0.45662399999999997</v>
      </c>
      <c r="AH1147">
        <v>159.80571432325701</v>
      </c>
      <c r="AI1147">
        <v>89.840698881454998</v>
      </c>
      <c r="AJ1147">
        <v>76.665561713932505</v>
      </c>
      <c r="AK1147">
        <v>164.23401147815801</v>
      </c>
      <c r="AL1147">
        <v>91.646529130547805</v>
      </c>
      <c r="AM1147">
        <v>86.983687823855107</v>
      </c>
      <c r="AN1147">
        <v>1.00000002320549</v>
      </c>
    </row>
    <row r="1148" spans="1:40" x14ac:dyDescent="0.25">
      <c r="A1148" t="str">
        <f>"20190312160933565"</f>
        <v>20190312160933565</v>
      </c>
      <c r="B1148" t="str">
        <f>"1552378173556314"</f>
        <v>1552378173556314</v>
      </c>
      <c r="C1148" t="s">
        <v>40</v>
      </c>
      <c r="D1148">
        <v>5.7250040000000002</v>
      </c>
      <c r="E1148">
        <v>0.56558330000000001</v>
      </c>
      <c r="F1148" t="s">
        <v>64</v>
      </c>
      <c r="G1148">
        <v>-239.4727</v>
      </c>
      <c r="H1148">
        <v>1.35958</v>
      </c>
      <c r="I1148">
        <v>168.40729999999999</v>
      </c>
      <c r="J1148">
        <v>-190.15700000000001</v>
      </c>
      <c r="K1148">
        <v>1.109186</v>
      </c>
      <c r="L1148">
        <v>324.85160000000002</v>
      </c>
      <c r="M1148">
        <v>-7.4134800000000001E-2</v>
      </c>
      <c r="N1148">
        <v>0</v>
      </c>
      <c r="O1148">
        <v>-0.99715580000000004</v>
      </c>
      <c r="P1148">
        <v>-0.1266177</v>
      </c>
      <c r="Q1148">
        <v>-4.199642E-2</v>
      </c>
      <c r="R1148">
        <v>-0.99106260000000002</v>
      </c>
      <c r="S1148">
        <v>-0.91680910000000004</v>
      </c>
      <c r="T1148">
        <v>4.653931E-3</v>
      </c>
      <c r="U1148">
        <v>-2.9110719999999999</v>
      </c>
      <c r="V1148">
        <v>5.2721129999999998E-2</v>
      </c>
      <c r="W1148">
        <v>-2.856672E-2</v>
      </c>
      <c r="X1148">
        <v>0.99820059999999999</v>
      </c>
      <c r="Y1148">
        <v>0.22884879999999999</v>
      </c>
      <c r="Z1148">
        <v>-1.5337770000000001E-3</v>
      </c>
      <c r="AA1148">
        <v>0.97346069999999996</v>
      </c>
      <c r="AB1148">
        <v>21</v>
      </c>
      <c r="AC1148">
        <v>-49.3156999999999</v>
      </c>
      <c r="AD1148">
        <v>0.25039400000000001</v>
      </c>
      <c r="AE1148">
        <v>-156.4443</v>
      </c>
      <c r="AF1148">
        <v>37.580845856238099</v>
      </c>
      <c r="AG1148">
        <v>0.25039400000000001</v>
      </c>
      <c r="AH1148">
        <v>159.669696247714</v>
      </c>
      <c r="AI1148">
        <v>89.912538738408202</v>
      </c>
      <c r="AJ1148">
        <v>76.755568083238998</v>
      </c>
      <c r="AK1148">
        <v>164.03290697985801</v>
      </c>
      <c r="AL1148">
        <v>91.6369751757979</v>
      </c>
      <c r="AM1148">
        <v>86.976665674023593</v>
      </c>
      <c r="AN1148">
        <v>1.0000000064401899</v>
      </c>
    </row>
    <row r="1149" spans="1:40" x14ac:dyDescent="0.25">
      <c r="A1149" t="str">
        <f>"20190312160933586"</f>
        <v>20190312160933586</v>
      </c>
      <c r="B1149" t="str">
        <f>"1552378173575834"</f>
        <v>1552378173575834</v>
      </c>
      <c r="C1149" t="s">
        <v>40</v>
      </c>
      <c r="D1149">
        <v>5.8312109999999997</v>
      </c>
      <c r="E1149">
        <v>0.56162500000000004</v>
      </c>
      <c r="F1149" t="s">
        <v>41</v>
      </c>
      <c r="G1149">
        <v>-193.5421</v>
      </c>
      <c r="H1149" s="1">
        <v>-2.9856339999999999E-6</v>
      </c>
      <c r="I1149">
        <v>313.91390000000001</v>
      </c>
      <c r="J1149">
        <v>-190.17339999999999</v>
      </c>
      <c r="K1149">
        <v>1.109199</v>
      </c>
      <c r="L1149">
        <v>324.65629999999999</v>
      </c>
      <c r="M1149">
        <v>-7.5765949999999999E-2</v>
      </c>
      <c r="N1149">
        <v>0</v>
      </c>
      <c r="O1149">
        <v>-0.99703310000000001</v>
      </c>
      <c r="P1149">
        <v>-0.1278348</v>
      </c>
      <c r="Q1149">
        <v>-4.1785210000000003E-2</v>
      </c>
      <c r="R1149">
        <v>-0.99091510000000005</v>
      </c>
      <c r="S1149">
        <v>-0.89752199999999904</v>
      </c>
      <c r="T1149">
        <v>-0.29408570000000001</v>
      </c>
      <c r="U1149">
        <v>-2.8999630000000001</v>
      </c>
      <c r="V1149">
        <v>5.2314449999999998E-2</v>
      </c>
      <c r="W1149">
        <v>-2.8355749999999999E-2</v>
      </c>
      <c r="X1149">
        <v>0.998228</v>
      </c>
      <c r="Y1149">
        <v>0.22102959999999999</v>
      </c>
      <c r="Z1149">
        <v>9.6968799999999994E-2</v>
      </c>
      <c r="AA1149">
        <v>0.97043440000000003</v>
      </c>
      <c r="AB1149">
        <v>21</v>
      </c>
      <c r="AC1149">
        <v>-3.3687000000000098</v>
      </c>
      <c r="AD1149">
        <v>-1.1092019856340001</v>
      </c>
      <c r="AE1149">
        <v>-10.7423999999999</v>
      </c>
      <c r="AF1149">
        <v>2.5205650893650202</v>
      </c>
      <c r="AG1149">
        <v>-1.1092019856340001</v>
      </c>
      <c r="AH1149">
        <v>10.8613425068576</v>
      </c>
      <c r="AI1149">
        <v>95.681103866565905</v>
      </c>
      <c r="AJ1149">
        <v>76.934776598139095</v>
      </c>
      <c r="AK1149">
        <v>11.2050139877615</v>
      </c>
      <c r="AL1149">
        <v>91.624882604919705</v>
      </c>
      <c r="AM1149">
        <v>87.000026484969197</v>
      </c>
      <c r="AN1149">
        <v>0.99999999511043203</v>
      </c>
    </row>
    <row r="1150" spans="1:40" x14ac:dyDescent="0.25">
      <c r="A1150" t="str">
        <f>"20190312160933609"</f>
        <v>20190312160933609</v>
      </c>
      <c r="B1150" t="str">
        <f>"1552378173606091"</f>
        <v>1552378173606091</v>
      </c>
      <c r="C1150" t="s">
        <v>40</v>
      </c>
      <c r="D1150">
        <v>5.7826050000000002</v>
      </c>
      <c r="E1150">
        <v>0.55383800000000005</v>
      </c>
      <c r="F1150" t="s">
        <v>42</v>
      </c>
      <c r="G1150">
        <v>-190.41300000000001</v>
      </c>
      <c r="H1150">
        <v>0.84826819999999903</v>
      </c>
      <c r="I1150">
        <v>323.8614</v>
      </c>
      <c r="J1150">
        <v>-190.1917</v>
      </c>
      <c r="K1150">
        <v>1.1092010000000001</v>
      </c>
      <c r="L1150">
        <v>324.44400000000002</v>
      </c>
      <c r="M1150">
        <v>-7.7540150000000002E-2</v>
      </c>
      <c r="N1150">
        <v>0</v>
      </c>
      <c r="O1150">
        <v>-0.99689689999999997</v>
      </c>
      <c r="P1150">
        <v>-0.12884680000000001</v>
      </c>
      <c r="Q1150">
        <v>-4.1090479999999999E-2</v>
      </c>
      <c r="R1150">
        <v>-0.99081319999999995</v>
      </c>
      <c r="S1150">
        <v>-0.86584470000000002</v>
      </c>
      <c r="T1150">
        <v>-0.94389509999999999</v>
      </c>
      <c r="U1150">
        <v>-2.8760379999999999</v>
      </c>
      <c r="V1150">
        <v>5.1557569999999997E-2</v>
      </c>
      <c r="W1150">
        <v>-2.766008E-2</v>
      </c>
      <c r="X1150">
        <v>0.99828689999999998</v>
      </c>
      <c r="Y1150">
        <v>0.19974939999999999</v>
      </c>
      <c r="Z1150">
        <v>0.30134870000000002</v>
      </c>
      <c r="AA1150">
        <v>0.93235679999999999</v>
      </c>
      <c r="AB1150">
        <v>21</v>
      </c>
      <c r="AC1150">
        <v>-0.22129999999998501</v>
      </c>
      <c r="AD1150">
        <v>-0.26093280000000002</v>
      </c>
      <c r="AE1150">
        <v>-0.582600000000013</v>
      </c>
      <c r="AF1150">
        <v>0.14928489120003299</v>
      </c>
      <c r="AG1150">
        <v>-0.26093280000000002</v>
      </c>
      <c r="AH1150">
        <v>0.50881203073888603</v>
      </c>
      <c r="AI1150">
        <v>116.20109047435</v>
      </c>
      <c r="AJ1150">
        <v>73.648369342154396</v>
      </c>
      <c r="AK1150">
        <v>0.59098357632092802</v>
      </c>
      <c r="AL1150">
        <v>91.585008000257702</v>
      </c>
      <c r="AM1150">
        <v>87.043526349543001</v>
      </c>
      <c r="AN1150">
        <v>0.99999999888075997</v>
      </c>
    </row>
    <row r="1151" spans="1:40" x14ac:dyDescent="0.25">
      <c r="A1151" t="str">
        <f>"20190312160933633"</f>
        <v>20190312160933633</v>
      </c>
      <c r="B1151" t="str">
        <f>"1552378173626585"</f>
        <v>1552378173626585</v>
      </c>
      <c r="C1151" t="s">
        <v>40</v>
      </c>
      <c r="D1151">
        <v>5.6105839999999896</v>
      </c>
      <c r="E1151">
        <v>0.55088590000000004</v>
      </c>
      <c r="F1151" t="s">
        <v>42</v>
      </c>
      <c r="G1151">
        <v>-190.40729999999999</v>
      </c>
      <c r="H1151">
        <v>0.85314319999999899</v>
      </c>
      <c r="I1151">
        <v>323.67439999999999</v>
      </c>
      <c r="J1151">
        <v>-190.21109999999999</v>
      </c>
      <c r="K1151">
        <v>1.1092029999999999</v>
      </c>
      <c r="L1151">
        <v>324.22269999999997</v>
      </c>
      <c r="M1151">
        <v>-7.9389619999999994E-2</v>
      </c>
      <c r="N1151">
        <v>0</v>
      </c>
      <c r="O1151">
        <v>-0.99675150000000001</v>
      </c>
      <c r="P1151">
        <v>-0.13039809999999999</v>
      </c>
      <c r="Q1151">
        <v>-4.082997E-2</v>
      </c>
      <c r="R1151">
        <v>-0.99062110000000003</v>
      </c>
      <c r="S1151">
        <v>-0.80718990000000002</v>
      </c>
      <c r="T1151">
        <v>-0.95914239999999995</v>
      </c>
      <c r="U1151">
        <v>-2.8831180000000001</v>
      </c>
      <c r="V1151">
        <v>5.12687E-2</v>
      </c>
      <c r="W1151">
        <v>-2.7400480000000001E-2</v>
      </c>
      <c r="X1151">
        <v>0.998309</v>
      </c>
      <c r="Y1151">
        <v>0.1793206</v>
      </c>
      <c r="Z1151">
        <v>0.30641390000000002</v>
      </c>
      <c r="AA1151">
        <v>0.9348554</v>
      </c>
      <c r="AB1151">
        <v>21</v>
      </c>
      <c r="AC1151">
        <v>-0.19620000000000401</v>
      </c>
      <c r="AD1151">
        <v>-0.2560598</v>
      </c>
      <c r="AE1151">
        <v>-0.54829999999998302</v>
      </c>
      <c r="AF1151">
        <v>0.12741329463593901</v>
      </c>
      <c r="AG1151">
        <v>-0.2560598</v>
      </c>
      <c r="AH1151">
        <v>0.47107035139901599</v>
      </c>
      <c r="AI1151">
        <v>117.68669469674499</v>
      </c>
      <c r="AJ1151">
        <v>74.865000264330305</v>
      </c>
      <c r="AK1151">
        <v>0.55109712827524104</v>
      </c>
      <c r="AL1151">
        <v>91.570128275796094</v>
      </c>
      <c r="AM1151">
        <v>87.060126893200007</v>
      </c>
      <c r="AN1151">
        <v>1.0000000626924499</v>
      </c>
    </row>
    <row r="1152" spans="1:40" x14ac:dyDescent="0.25">
      <c r="A1152" t="str">
        <f>"20190312160933655"</f>
        <v>20190312160933655</v>
      </c>
      <c r="B1152" t="str">
        <f>"1552378173646106"</f>
        <v>1552378173646106</v>
      </c>
      <c r="C1152" t="s">
        <v>40</v>
      </c>
      <c r="D1152">
        <v>5.5243200000000003</v>
      </c>
      <c r="E1152">
        <v>0.55022950000000004</v>
      </c>
      <c r="F1152" t="s">
        <v>42</v>
      </c>
      <c r="G1152">
        <v>-190.41329999999999</v>
      </c>
      <c r="H1152">
        <v>0.86884150000000004</v>
      </c>
      <c r="I1152">
        <v>323.48329999999999</v>
      </c>
      <c r="J1152">
        <v>-190.23009999999999</v>
      </c>
      <c r="K1152">
        <v>1.109205</v>
      </c>
      <c r="L1152">
        <v>324.01139999999998</v>
      </c>
      <c r="M1152">
        <v>-8.1156259999999994E-2</v>
      </c>
      <c r="N1152">
        <v>0</v>
      </c>
      <c r="O1152">
        <v>-0.99660919999999997</v>
      </c>
      <c r="P1152">
        <v>-0.13256670000000001</v>
      </c>
      <c r="Q1152">
        <v>-4.1271269999999999E-2</v>
      </c>
      <c r="R1152">
        <v>-0.9903149</v>
      </c>
      <c r="S1152">
        <v>-0.78802490000000003</v>
      </c>
      <c r="T1152">
        <v>-0.93789520000000004</v>
      </c>
      <c r="U1152">
        <v>-2.886047</v>
      </c>
      <c r="V1152">
        <v>5.168532E-2</v>
      </c>
      <c r="W1152">
        <v>-2.7845169999999999E-2</v>
      </c>
      <c r="X1152">
        <v>0.99827520000000003</v>
      </c>
      <c r="Y1152">
        <v>0.17206529999999901</v>
      </c>
      <c r="Z1152">
        <v>0.3003593</v>
      </c>
      <c r="AA1152">
        <v>0.93817790000000001</v>
      </c>
      <c r="AB1152">
        <v>21</v>
      </c>
      <c r="AC1152">
        <v>-0.183199999999999</v>
      </c>
      <c r="AD1152">
        <v>-0.24036349999999901</v>
      </c>
      <c r="AE1152">
        <v>-0.52809999999999402</v>
      </c>
      <c r="AF1152">
        <v>0.117927394020114</v>
      </c>
      <c r="AG1152">
        <v>-0.24036349999999901</v>
      </c>
      <c r="AH1152">
        <v>0.45676729291089102</v>
      </c>
      <c r="AI1152">
        <v>116.99975690692401</v>
      </c>
      <c r="AJ1152">
        <v>75.523594870709204</v>
      </c>
      <c r="AK1152">
        <v>0.52945050974172203</v>
      </c>
      <c r="AL1152">
        <v>91.595616880285604</v>
      </c>
      <c r="AM1152">
        <v>87.036179132033993</v>
      </c>
      <c r="AN1152">
        <v>1.00000005036543</v>
      </c>
    </row>
    <row r="1153" spans="1:40" x14ac:dyDescent="0.25">
      <c r="A1153" t="str">
        <f>"20190312160933678"</f>
        <v>20190312160933678</v>
      </c>
      <c r="B1153" t="str">
        <f>"1552378173666601"</f>
        <v>1552378173666601</v>
      </c>
      <c r="C1153" t="s">
        <v>40</v>
      </c>
      <c r="D1153">
        <v>5.3199319999999997</v>
      </c>
      <c r="E1153">
        <v>0.54992750000000001</v>
      </c>
      <c r="F1153" t="s">
        <v>42</v>
      </c>
      <c r="G1153">
        <v>-190.4255</v>
      </c>
      <c r="H1153">
        <v>0.87319969999999902</v>
      </c>
      <c r="I1153">
        <v>323.29750000000001</v>
      </c>
      <c r="J1153">
        <v>-190.24870000000001</v>
      </c>
      <c r="K1153">
        <v>1.1092070000000001</v>
      </c>
      <c r="L1153">
        <v>323.80770000000001</v>
      </c>
      <c r="M1153">
        <v>-8.2858909999999994E-2</v>
      </c>
      <c r="N1153">
        <v>0</v>
      </c>
      <c r="O1153">
        <v>-0.99646889999999999</v>
      </c>
      <c r="P1153">
        <v>-0.13472970000000001</v>
      </c>
      <c r="Q1153">
        <v>-4.1482720000000001E-2</v>
      </c>
      <c r="R1153">
        <v>-0.99001399999999995</v>
      </c>
      <c r="S1153">
        <v>-0.78855900000000001</v>
      </c>
      <c r="T1153">
        <v>-0.95324640000000005</v>
      </c>
      <c r="U1153">
        <v>-2.8840940000000002</v>
      </c>
      <c r="V1153">
        <v>5.2160629999999999E-2</v>
      </c>
      <c r="W1153">
        <v>-2.8060080000000001E-2</v>
      </c>
      <c r="X1153">
        <v>0.99824440000000003</v>
      </c>
      <c r="Y1153">
        <v>0.17032050000000001</v>
      </c>
      <c r="Z1153">
        <v>0.30497269999999999</v>
      </c>
      <c r="AA1153">
        <v>0.93700720000000004</v>
      </c>
      <c r="AB1153">
        <v>21</v>
      </c>
      <c r="AC1153">
        <v>-0.176799999999985</v>
      </c>
      <c r="AD1153">
        <v>-0.2360073</v>
      </c>
      <c r="AE1153">
        <v>-0.51019999999999699</v>
      </c>
      <c r="AF1153">
        <v>0.11243421818642201</v>
      </c>
      <c r="AG1153">
        <v>-0.2360073</v>
      </c>
      <c r="AH1153">
        <v>0.439193454547326</v>
      </c>
      <c r="AI1153">
        <v>117.500468649829</v>
      </c>
      <c r="AJ1153">
        <v>75.640578509010794</v>
      </c>
      <c r="AK1153">
        <v>0.511108393190423</v>
      </c>
      <c r="AL1153">
        <v>91.607935224879895</v>
      </c>
      <c r="AM1153">
        <v>87.008880307252795</v>
      </c>
      <c r="AN1153">
        <v>0.99999999077148105</v>
      </c>
    </row>
    <row r="1154" spans="1:40" x14ac:dyDescent="0.25">
      <c r="A1154" t="str">
        <f>"20190312160933722"</f>
        <v>20190312160933722</v>
      </c>
      <c r="B1154" t="str">
        <f>"1552378173716379"</f>
        <v>1552378173716379</v>
      </c>
      <c r="C1154" t="s">
        <v>40</v>
      </c>
      <c r="D1154">
        <v>5.1411220000000002</v>
      </c>
      <c r="E1154">
        <v>0.54902519999999999</v>
      </c>
      <c r="F1154" t="s">
        <v>42</v>
      </c>
      <c r="G1154">
        <v>-190.44059999999999</v>
      </c>
      <c r="H1154">
        <v>0.87979130000000005</v>
      </c>
      <c r="I1154">
        <v>323.11099999999999</v>
      </c>
      <c r="J1154">
        <v>-190.28630000000001</v>
      </c>
      <c r="K1154">
        <v>1.1092120000000001</v>
      </c>
      <c r="L1154">
        <v>323.40730000000002</v>
      </c>
      <c r="M1154">
        <v>-8.6204719999999999E-2</v>
      </c>
      <c r="N1154">
        <v>0</v>
      </c>
      <c r="O1154">
        <v>-0.9961854</v>
      </c>
      <c r="P1154">
        <v>-0.13970339999999901</v>
      </c>
      <c r="Q1154">
        <v>-4.233054E-2</v>
      </c>
      <c r="R1154">
        <v>-0.98928870000000002</v>
      </c>
      <c r="S1154">
        <v>-0.79281619999999997</v>
      </c>
      <c r="T1154">
        <v>-0.94898640000000001</v>
      </c>
      <c r="U1154">
        <v>-2.882568</v>
      </c>
      <c r="V1154">
        <v>5.3825720000000001E-2</v>
      </c>
      <c r="W1154">
        <v>-2.8917269999999998E-2</v>
      </c>
      <c r="X1154">
        <v>0.99813160000000001</v>
      </c>
      <c r="Y1154">
        <v>0.1685326</v>
      </c>
      <c r="Z1154">
        <v>0.30374859999999998</v>
      </c>
      <c r="AA1154">
        <v>0.93772789999999995</v>
      </c>
      <c r="AB1154">
        <v>21</v>
      </c>
      <c r="AC1154">
        <v>-0.15429999999997701</v>
      </c>
      <c r="AD1154">
        <v>-0.22942070000000001</v>
      </c>
      <c r="AE1154">
        <v>-0.29630000000002998</v>
      </c>
      <c r="AF1154">
        <v>8.7101747627793297E-2</v>
      </c>
      <c r="AG1154">
        <v>-0.22942070000000001</v>
      </c>
      <c r="AH1154">
        <v>0.20963247434198701</v>
      </c>
      <c r="AI1154">
        <v>135.302904751976</v>
      </c>
      <c r="AJ1154">
        <v>67.437242520294902</v>
      </c>
      <c r="AK1154">
        <v>0.32274811591556901</v>
      </c>
      <c r="AL1154">
        <v>91.657068434106293</v>
      </c>
      <c r="AM1154">
        <v>86.913230366667904</v>
      </c>
      <c r="AN1154">
        <v>1.0000000537781599</v>
      </c>
    </row>
    <row r="1155" spans="1:40" x14ac:dyDescent="0.25">
      <c r="A1155" t="str">
        <f>"20190312160933743"</f>
        <v>20190312160933743</v>
      </c>
      <c r="B1155" t="str">
        <f>"1552378173735898"</f>
        <v>1552378173735898</v>
      </c>
      <c r="C1155" t="s">
        <v>40</v>
      </c>
      <c r="D1155">
        <v>4.9852150000000002</v>
      </c>
      <c r="E1155">
        <v>0.54862040000000001</v>
      </c>
      <c r="F1155" t="s">
        <v>42</v>
      </c>
      <c r="G1155">
        <v>-190.4727</v>
      </c>
      <c r="H1155">
        <v>0.89672790000000002</v>
      </c>
      <c r="I1155">
        <v>322.73719999999997</v>
      </c>
      <c r="J1155">
        <v>-190.30619999999999</v>
      </c>
      <c r="K1155">
        <v>1.109218</v>
      </c>
      <c r="L1155">
        <v>323.20209999999997</v>
      </c>
      <c r="M1155">
        <v>-8.7918200000000002E-2</v>
      </c>
      <c r="N1155">
        <v>0</v>
      </c>
      <c r="O1155">
        <v>-0.99603560000000002</v>
      </c>
      <c r="P1155">
        <v>-0.1420332</v>
      </c>
      <c r="Q1155">
        <v>-4.2493240000000002E-2</v>
      </c>
      <c r="R1155">
        <v>-0.98894959999999998</v>
      </c>
      <c r="S1155">
        <v>-0.80058289999999999</v>
      </c>
      <c r="T1155">
        <v>-0.91322329999999996</v>
      </c>
      <c r="U1155">
        <v>-2.880341</v>
      </c>
      <c r="V1155">
        <v>5.445991E-2</v>
      </c>
      <c r="W1155">
        <v>-2.908384E-2</v>
      </c>
      <c r="X1155">
        <v>0.99809230000000004</v>
      </c>
      <c r="Y1155">
        <v>0.17024900000000001</v>
      </c>
      <c r="Z1155">
        <v>0.29332029999999998</v>
      </c>
      <c r="AA1155">
        <v>0.94073300000000004</v>
      </c>
      <c r="AB1155">
        <v>21</v>
      </c>
      <c r="AC1155">
        <v>-0.166500000000013</v>
      </c>
      <c r="AD1155">
        <v>-0.21249009999999999</v>
      </c>
      <c r="AE1155">
        <v>-0.46489999999999998</v>
      </c>
      <c r="AF1155">
        <v>0.105452620000137</v>
      </c>
      <c r="AG1155">
        <v>-0.21249009999999999</v>
      </c>
      <c r="AH1155">
        <v>0.40310099831412599</v>
      </c>
      <c r="AI1155">
        <v>117.02053069699799</v>
      </c>
      <c r="AJ1155">
        <v>75.339762685793502</v>
      </c>
      <c r="AK1155">
        <v>0.46772076338852903</v>
      </c>
      <c r="AL1155">
        <v>91.666616304700696</v>
      </c>
      <c r="AM1155">
        <v>86.876810014935401</v>
      </c>
      <c r="AN1155">
        <v>0.99999999543282103</v>
      </c>
    </row>
    <row r="1156" spans="1:40" x14ac:dyDescent="0.25">
      <c r="A1156" t="str">
        <f>"20190312160933767"</f>
        <v>20190312160933767</v>
      </c>
      <c r="B1156" t="str">
        <f>"1552378173756394"</f>
        <v>1552378173756394</v>
      </c>
      <c r="C1156" t="s">
        <v>40</v>
      </c>
      <c r="D1156">
        <v>4.9191739999999999</v>
      </c>
      <c r="E1156">
        <v>0.54816200000000004</v>
      </c>
      <c r="F1156" t="s">
        <v>42</v>
      </c>
      <c r="G1156">
        <v>-190.4881</v>
      </c>
      <c r="H1156">
        <v>0.90564889999999998</v>
      </c>
      <c r="I1156">
        <v>322.55040000000002</v>
      </c>
      <c r="J1156">
        <v>-190.3262</v>
      </c>
      <c r="K1156">
        <v>1.1092200000000001</v>
      </c>
      <c r="L1156">
        <v>322.9982</v>
      </c>
      <c r="M1156">
        <v>-8.9609469999999997E-2</v>
      </c>
      <c r="N1156">
        <v>0</v>
      </c>
      <c r="O1156">
        <v>-0.99588469999999996</v>
      </c>
      <c r="P1156">
        <v>-0.144613299999999</v>
      </c>
      <c r="Q1156">
        <v>-4.2979629999999998E-2</v>
      </c>
      <c r="R1156">
        <v>-0.98855440000000006</v>
      </c>
      <c r="S1156">
        <v>-0.80329899999999999</v>
      </c>
      <c r="T1156">
        <v>-0.89942479999999903</v>
      </c>
      <c r="U1156">
        <v>-2.8795169999999999</v>
      </c>
      <c r="V1156">
        <v>5.5370349999999999E-2</v>
      </c>
      <c r="W1156">
        <v>-2.9574469999999999E-2</v>
      </c>
      <c r="X1156">
        <v>0.99802780000000002</v>
      </c>
      <c r="Y1156">
        <v>0.1698036</v>
      </c>
      <c r="Z1156">
        <v>0.28925689999999998</v>
      </c>
      <c r="AA1156">
        <v>0.94207070000000004</v>
      </c>
      <c r="AB1156">
        <v>21</v>
      </c>
      <c r="AC1156">
        <v>-0.16190000000000199</v>
      </c>
      <c r="AD1156">
        <v>-0.2035711</v>
      </c>
      <c r="AE1156">
        <v>-0.447799999999972</v>
      </c>
      <c r="AF1156">
        <v>0.10240155371999</v>
      </c>
      <c r="AG1156">
        <v>-0.2035711</v>
      </c>
      <c r="AH1156">
        <v>0.389345590615152</v>
      </c>
      <c r="AI1156">
        <v>116.823796569856</v>
      </c>
      <c r="AJ1156">
        <v>75.264394044650899</v>
      </c>
      <c r="AK1156">
        <v>0.45112887281899799</v>
      </c>
      <c r="AL1156">
        <v>91.694739411725095</v>
      </c>
      <c r="AM1156">
        <v>86.8244988903013</v>
      </c>
      <c r="AN1156">
        <v>1.0000000072538699</v>
      </c>
    </row>
    <row r="1157" spans="1:40" x14ac:dyDescent="0.25">
      <c r="A1157" t="str">
        <f>"20190312160933789"</f>
        <v>20190312160933789</v>
      </c>
      <c r="B1157" t="str">
        <f>"1552378173776890"</f>
        <v>1552378173776890</v>
      </c>
      <c r="C1157" t="s">
        <v>40</v>
      </c>
      <c r="D1157">
        <v>4.822425</v>
      </c>
      <c r="E1157">
        <v>0.5475217</v>
      </c>
      <c r="F1157" t="s">
        <v>42</v>
      </c>
      <c r="G1157">
        <v>-190.5487</v>
      </c>
      <c r="H1157">
        <v>0.86417809999999995</v>
      </c>
      <c r="I1157">
        <v>322.20409999999998</v>
      </c>
      <c r="J1157">
        <v>-190.3475</v>
      </c>
      <c r="K1157">
        <v>1.1092360000000001</v>
      </c>
      <c r="L1157">
        <v>322.78550000000001</v>
      </c>
      <c r="M1157">
        <v>-9.1354270000000001E-2</v>
      </c>
      <c r="N1157">
        <v>0</v>
      </c>
      <c r="O1157">
        <v>-0.99572620000000001</v>
      </c>
      <c r="P1157">
        <v>-0.1474781</v>
      </c>
      <c r="Q1157">
        <v>-4.3283250000000002E-2</v>
      </c>
      <c r="R1157">
        <v>-0.98811780000000005</v>
      </c>
      <c r="S1157">
        <v>-0.80613710000000005</v>
      </c>
      <c r="T1157">
        <v>-0.8881618</v>
      </c>
      <c r="U1157">
        <v>-2.8782040000000002</v>
      </c>
      <c r="V1157">
        <v>5.6515500000000003E-2</v>
      </c>
      <c r="W1157">
        <v>-2.9882410000000002E-2</v>
      </c>
      <c r="X1157">
        <v>0.99795440000000002</v>
      </c>
      <c r="Y1157">
        <v>0.16931869999999999</v>
      </c>
      <c r="Z1157">
        <v>0.28596539999999998</v>
      </c>
      <c r="AA1157">
        <v>0.94316219999999995</v>
      </c>
      <c r="AB1157">
        <v>20</v>
      </c>
      <c r="AC1157">
        <v>-0.20119999999999999</v>
      </c>
      <c r="AD1157">
        <v>-0.2450579</v>
      </c>
      <c r="AE1157">
        <v>-0.58140000000003</v>
      </c>
      <c r="AF1157">
        <v>0.12707823741645</v>
      </c>
      <c r="AG1157">
        <v>-0.2450579</v>
      </c>
      <c r="AH1157">
        <v>0.51555365769558503</v>
      </c>
      <c r="AI1157">
        <v>114.77408808214</v>
      </c>
      <c r="AJ1157">
        <v>76.153251735837699</v>
      </c>
      <c r="AK1157">
        <v>0.58480580258798598</v>
      </c>
      <c r="AL1157">
        <v>91.712390935573296</v>
      </c>
      <c r="AM1157">
        <v>86.758725021343693</v>
      </c>
      <c r="AN1157">
        <v>0.99999997232350801</v>
      </c>
    </row>
    <row r="1158" spans="1:40" x14ac:dyDescent="0.25">
      <c r="A1158" t="str">
        <f>"20190312160933811"</f>
        <v>20190312160933811</v>
      </c>
      <c r="B1158" t="str">
        <f>"1552378173806170"</f>
        <v>1552378173806170</v>
      </c>
      <c r="C1158" t="s">
        <v>40</v>
      </c>
      <c r="D1158">
        <v>4.6761879999999998</v>
      </c>
      <c r="E1158">
        <v>0.54753280000000004</v>
      </c>
      <c r="F1158" t="s">
        <v>42</v>
      </c>
      <c r="G1158">
        <v>-190.56379999999999</v>
      </c>
      <c r="H1158">
        <v>0.87533619999999901</v>
      </c>
      <c r="I1158">
        <v>322.0172</v>
      </c>
      <c r="J1158">
        <v>-190.36670000000001</v>
      </c>
      <c r="K1158">
        <v>1.109253</v>
      </c>
      <c r="L1158">
        <v>322.59719999999999</v>
      </c>
      <c r="M1158">
        <v>-9.288093E-2</v>
      </c>
      <c r="N1158">
        <v>0</v>
      </c>
      <c r="O1158">
        <v>-0.99558480000000005</v>
      </c>
      <c r="P1158">
        <v>-0.15001999999999999</v>
      </c>
      <c r="Q1158">
        <v>-4.3050900000000003E-2</v>
      </c>
      <c r="R1158">
        <v>-0.9877454</v>
      </c>
      <c r="S1158">
        <v>-0.80911250000000001</v>
      </c>
      <c r="T1158">
        <v>-0.87571299999999996</v>
      </c>
      <c r="U1158">
        <v>-2.8769529999999999</v>
      </c>
      <c r="V1158">
        <v>5.755325E-2</v>
      </c>
      <c r="W1158">
        <v>-2.9653249999999999E-2</v>
      </c>
      <c r="X1158">
        <v>0.99790199999999996</v>
      </c>
      <c r="Y1158">
        <v>0.169114299999999</v>
      </c>
      <c r="Z1158">
        <v>0.28230490000000003</v>
      </c>
      <c r="AA1158">
        <v>0.94430099999999995</v>
      </c>
      <c r="AB1158">
        <v>20</v>
      </c>
      <c r="AC1158">
        <v>-0.19709999999997699</v>
      </c>
      <c r="AD1158">
        <v>-0.23391680000000001</v>
      </c>
      <c r="AE1158">
        <v>-0.57999999999998397</v>
      </c>
      <c r="AF1158">
        <v>0.124253786708764</v>
      </c>
      <c r="AG1158">
        <v>-0.23391680000000001</v>
      </c>
      <c r="AH1158">
        <v>0.51997969556475998</v>
      </c>
      <c r="AI1158">
        <v>113.631250433215</v>
      </c>
      <c r="AJ1158">
        <v>76.560680808248705</v>
      </c>
      <c r="AK1158">
        <v>0.58355373071665595</v>
      </c>
      <c r="AL1158">
        <v>91.699255086677098</v>
      </c>
      <c r="AM1158">
        <v>86.699165490962201</v>
      </c>
      <c r="AN1158">
        <v>1.00000004671256</v>
      </c>
    </row>
    <row r="1159" spans="1:40" x14ac:dyDescent="0.25">
      <c r="A1159" t="str">
        <f>"20190312160933834"</f>
        <v>20190312160933834</v>
      </c>
      <c r="B1159" t="str">
        <f>"1552378173826666"</f>
        <v>1552378173826666</v>
      </c>
      <c r="C1159" t="s">
        <v>40</v>
      </c>
      <c r="D1159">
        <v>4.4477949999999904</v>
      </c>
      <c r="E1159">
        <v>0.55182089999999995</v>
      </c>
      <c r="F1159" t="s">
        <v>42</v>
      </c>
      <c r="G1159">
        <v>-190.58369999999999</v>
      </c>
      <c r="H1159">
        <v>0.88068060000000004</v>
      </c>
      <c r="I1159">
        <v>321.83330000000001</v>
      </c>
      <c r="J1159">
        <v>-190.38890000000001</v>
      </c>
      <c r="K1159">
        <v>1.1092770000000001</v>
      </c>
      <c r="L1159">
        <v>322.38060000000002</v>
      </c>
      <c r="M1159">
        <v>-9.4605239999999993E-2</v>
      </c>
      <c r="N1159">
        <v>0</v>
      </c>
      <c r="O1159">
        <v>-0.99542260000000005</v>
      </c>
      <c r="P1159">
        <v>-0.15213109999999999</v>
      </c>
      <c r="Q1159">
        <v>-4.2637849999999998E-2</v>
      </c>
      <c r="R1159">
        <v>-0.9874404</v>
      </c>
      <c r="S1159">
        <v>-0.81666559999999999</v>
      </c>
      <c r="T1159">
        <v>-0.86038789999999998</v>
      </c>
      <c r="U1159">
        <v>-2.8757320000000002</v>
      </c>
      <c r="V1159">
        <v>5.7958719999999998E-2</v>
      </c>
      <c r="W1159">
        <v>-2.924067E-2</v>
      </c>
      <c r="X1159">
        <v>0.99789070000000002</v>
      </c>
      <c r="Y1159">
        <v>0.1701799</v>
      </c>
      <c r="Z1159">
        <v>0.27767999999999998</v>
      </c>
      <c r="AA1159">
        <v>0.94548010000000005</v>
      </c>
      <c r="AB1159">
        <v>20</v>
      </c>
      <c r="AC1159">
        <v>-0.19479999999998601</v>
      </c>
      <c r="AD1159">
        <v>-0.22859640000000001</v>
      </c>
      <c r="AE1159">
        <v>-0.547300000000007</v>
      </c>
      <c r="AF1159">
        <v>0.123085313265197</v>
      </c>
      <c r="AG1159">
        <v>-0.22859640000000001</v>
      </c>
      <c r="AH1159">
        <v>0.48775179275831099</v>
      </c>
      <c r="AI1159">
        <v>114.438356521719</v>
      </c>
      <c r="AJ1159">
        <v>75.836975167020498</v>
      </c>
      <c r="AK1159">
        <v>0.552546938977584</v>
      </c>
      <c r="AL1159">
        <v>91.675605751187902</v>
      </c>
      <c r="AM1159">
        <v>86.675925097069296</v>
      </c>
      <c r="AN1159">
        <v>1.00000003957628</v>
      </c>
    </row>
    <row r="1160" spans="1:40" x14ac:dyDescent="0.25">
      <c r="A1160" t="str">
        <f>"20190312160933879"</f>
        <v>20190312160933879</v>
      </c>
      <c r="B1160" t="str">
        <f>"1552378173866682"</f>
        <v>1552378173866682</v>
      </c>
      <c r="C1160" t="s">
        <v>40</v>
      </c>
      <c r="D1160">
        <v>4.264939</v>
      </c>
      <c r="E1160">
        <v>0.55182089999999995</v>
      </c>
      <c r="F1160" t="s">
        <v>42</v>
      </c>
      <c r="G1160">
        <v>-190.59700000000001</v>
      </c>
      <c r="H1160">
        <v>0.80091259999999997</v>
      </c>
      <c r="I1160">
        <v>321.68509999999998</v>
      </c>
      <c r="J1160">
        <v>-190.4314</v>
      </c>
      <c r="K1160">
        <v>1.1093459999999999</v>
      </c>
      <c r="L1160">
        <v>321.9769</v>
      </c>
      <c r="M1160">
        <v>-9.7683140000000002E-2</v>
      </c>
      <c r="N1160">
        <v>0</v>
      </c>
      <c r="O1160">
        <v>-0.99512540000000005</v>
      </c>
      <c r="P1160">
        <v>-0.15446099999999999</v>
      </c>
      <c r="Q1160">
        <v>-4.2647740000000003E-2</v>
      </c>
      <c r="R1160">
        <v>-0.98707840000000002</v>
      </c>
      <c r="S1160">
        <v>-0.85243230000000003</v>
      </c>
      <c r="T1160">
        <v>-1.264249</v>
      </c>
      <c r="U1160">
        <v>-2.8522340000000002</v>
      </c>
      <c r="V1160">
        <v>5.7232600000000002E-2</v>
      </c>
      <c r="W1160">
        <v>-2.924529E-2</v>
      </c>
      <c r="X1160">
        <v>0.99793240000000005</v>
      </c>
      <c r="Y1160">
        <v>0.16834689999999999</v>
      </c>
      <c r="Z1160">
        <v>0.39256150000000001</v>
      </c>
      <c r="AA1160">
        <v>0.90418739999999997</v>
      </c>
      <c r="AB1160">
        <v>20</v>
      </c>
      <c r="AC1160">
        <v>-0.16560000000001099</v>
      </c>
      <c r="AD1160">
        <v>-0.30843340000000002</v>
      </c>
      <c r="AE1160">
        <v>-0.29180000000002299</v>
      </c>
      <c r="AF1160">
        <v>7.3872855678786306E-2</v>
      </c>
      <c r="AG1160">
        <v>-0.30843340000000002</v>
      </c>
      <c r="AH1160">
        <v>0.16616192342909999</v>
      </c>
      <c r="AI1160">
        <v>149.47764451622299</v>
      </c>
      <c r="AJ1160">
        <v>66.030856482256596</v>
      </c>
      <c r="AK1160">
        <v>0.35804768654378499</v>
      </c>
      <c r="AL1160">
        <v>91.675870693887802</v>
      </c>
      <c r="AM1160">
        <v>86.717615085642393</v>
      </c>
      <c r="AN1160">
        <v>0.99999996622985099</v>
      </c>
    </row>
    <row r="1161" spans="1:40" x14ac:dyDescent="0.25">
      <c r="A1161" t="str">
        <f>"20190312160933897"</f>
        <v>20190312160933897</v>
      </c>
      <c r="B1161" t="str">
        <f>"1552378173887179"</f>
        <v>1552378173887179</v>
      </c>
      <c r="C1161" t="s">
        <v>40</v>
      </c>
      <c r="D1161">
        <v>4.8715729999999997</v>
      </c>
      <c r="E1161">
        <v>0.56132280000000001</v>
      </c>
      <c r="F1161" t="s">
        <v>42</v>
      </c>
      <c r="G1161">
        <v>-190.63040000000001</v>
      </c>
      <c r="H1161">
        <v>0.81623440000000003</v>
      </c>
      <c r="I1161">
        <v>321.31630000000001</v>
      </c>
      <c r="J1161">
        <v>-190.4502</v>
      </c>
      <c r="K1161">
        <v>1.1093820000000001</v>
      </c>
      <c r="L1161">
        <v>321.80090000000001</v>
      </c>
      <c r="M1161">
        <v>-9.8950140000000006E-2</v>
      </c>
      <c r="N1161">
        <v>0</v>
      </c>
      <c r="O1161">
        <v>-0.9950002</v>
      </c>
      <c r="P1161">
        <v>-0.15485570000000001</v>
      </c>
      <c r="Q1161">
        <v>-4.290215E-2</v>
      </c>
      <c r="R1161">
        <v>-0.98700540000000003</v>
      </c>
      <c r="S1161">
        <v>-0.85807800000000001</v>
      </c>
      <c r="T1161">
        <v>-1.2646550000000001</v>
      </c>
      <c r="U1161">
        <v>-2.8503720000000001</v>
      </c>
      <c r="V1161">
        <v>5.6364640000000001E-2</v>
      </c>
      <c r="W1161">
        <v>-2.9495299999999999E-2</v>
      </c>
      <c r="X1161">
        <v>0.99797449999999999</v>
      </c>
      <c r="Y1161">
        <v>0.1688838</v>
      </c>
      <c r="Z1161">
        <v>0.3926965</v>
      </c>
      <c r="AA1161">
        <v>0.90402859999999996</v>
      </c>
      <c r="AB1161">
        <v>20</v>
      </c>
      <c r="AC1161">
        <v>-0.18020000000001299</v>
      </c>
      <c r="AD1161">
        <v>-0.29314759999999901</v>
      </c>
      <c r="AE1161">
        <v>-0.48459999999999998</v>
      </c>
      <c r="AF1161">
        <v>9.9403316347906195E-2</v>
      </c>
      <c r="AG1161">
        <v>-0.29314759999999901</v>
      </c>
      <c r="AH1161">
        <v>0.378403333366364</v>
      </c>
      <c r="AI1161">
        <v>126.84329775806501</v>
      </c>
      <c r="AJ1161">
        <v>75.281434995798904</v>
      </c>
      <c r="AK1161">
        <v>0.48888200763527501</v>
      </c>
      <c r="AL1161">
        <v>91.690201296828207</v>
      </c>
      <c r="AM1161">
        <v>86.767423734693097</v>
      </c>
      <c r="AN1161">
        <v>1.0000000240073299</v>
      </c>
    </row>
    <row r="1162" spans="1:40" x14ac:dyDescent="0.25">
      <c r="A1162" t="str">
        <f>"20190312160933922"</f>
        <v>20190312160933922</v>
      </c>
      <c r="B1162" t="str">
        <f>"1552378173916458"</f>
        <v>1552378173916458</v>
      </c>
      <c r="C1162" t="s">
        <v>40</v>
      </c>
      <c r="D1162">
        <v>4.3992449999999996</v>
      </c>
      <c r="E1162">
        <v>0.56307669999999999</v>
      </c>
      <c r="F1162" t="s">
        <v>65</v>
      </c>
      <c r="G1162">
        <v>-231.43170000000001</v>
      </c>
      <c r="H1162">
        <v>0.96575619999999995</v>
      </c>
      <c r="I1162">
        <v>197.0258</v>
      </c>
      <c r="J1162">
        <v>-190.47370000000001</v>
      </c>
      <c r="K1162">
        <v>1.1094349999999999</v>
      </c>
      <c r="L1162">
        <v>321.58300000000003</v>
      </c>
      <c r="M1162">
        <v>-0.1004495</v>
      </c>
      <c r="N1162">
        <v>0</v>
      </c>
      <c r="O1162">
        <v>-0.99485009999999996</v>
      </c>
      <c r="P1162">
        <v>-0.15573519999999999</v>
      </c>
      <c r="Q1162">
        <v>-4.2467659999999997E-2</v>
      </c>
      <c r="R1162">
        <v>-0.98688600000000004</v>
      </c>
      <c r="S1162">
        <v>-0.94932559999999999</v>
      </c>
      <c r="T1162">
        <v>-3.3271310000000001E-3</v>
      </c>
      <c r="U1162">
        <v>-2.8903810000000001</v>
      </c>
      <c r="V1162">
        <v>5.5752799999999998E-2</v>
      </c>
      <c r="W1162">
        <v>-2.905568E-2</v>
      </c>
      <c r="X1162">
        <v>0.99802170000000001</v>
      </c>
      <c r="Y1162">
        <v>0.21502189999999999</v>
      </c>
      <c r="Z1162">
        <v>1.1000459999999999E-3</v>
      </c>
      <c r="AA1162">
        <v>0.97660860000000005</v>
      </c>
      <c r="AB1162">
        <v>20</v>
      </c>
      <c r="AC1162">
        <v>-40.957999999999998</v>
      </c>
      <c r="AD1162">
        <v>-0.143678799999999</v>
      </c>
      <c r="AE1162">
        <v>-124.557199999999</v>
      </c>
      <c r="AF1162">
        <v>28.237914409762201</v>
      </c>
      <c r="AG1162">
        <v>-0.143678799999999</v>
      </c>
      <c r="AH1162">
        <v>128.041527398364</v>
      </c>
      <c r="AI1162">
        <v>90.062784406172895</v>
      </c>
      <c r="AJ1162">
        <v>77.563228793867495</v>
      </c>
      <c r="AK1162">
        <v>131.118393798569</v>
      </c>
      <c r="AL1162">
        <v>91.665002231633594</v>
      </c>
      <c r="AM1162">
        <v>86.802591153972301</v>
      </c>
      <c r="AN1162">
        <v>0.99999996045949502</v>
      </c>
    </row>
    <row r="1163" spans="1:40" x14ac:dyDescent="0.25">
      <c r="A1163" t="str">
        <f>"20190312160933942"</f>
        <v>20190312160933942</v>
      </c>
      <c r="B1163" t="str">
        <f>"1552378173935978"</f>
        <v>1552378173935978</v>
      </c>
      <c r="C1163" t="s">
        <v>40</v>
      </c>
      <c r="D1163">
        <v>4.4032150000000003</v>
      </c>
      <c r="E1163">
        <v>0.56282600000000005</v>
      </c>
      <c r="F1163" t="s">
        <v>66</v>
      </c>
      <c r="G1163">
        <v>-260.23180000000002</v>
      </c>
      <c r="H1163">
        <v>2.9445199999999998</v>
      </c>
      <c r="I1163">
        <v>112.9678</v>
      </c>
      <c r="J1163">
        <v>-190.49420000000001</v>
      </c>
      <c r="K1163">
        <v>1.109483</v>
      </c>
      <c r="L1163">
        <v>321.3956</v>
      </c>
      <c r="M1163">
        <v>-0.1016676</v>
      </c>
      <c r="N1163">
        <v>0</v>
      </c>
      <c r="O1163">
        <v>-0.99472640000000001</v>
      </c>
      <c r="P1163">
        <v>-0.15652489999999999</v>
      </c>
      <c r="Q1163">
        <v>-4.2749460000000003E-2</v>
      </c>
      <c r="R1163">
        <v>-0.98674870000000003</v>
      </c>
      <c r="S1163">
        <v>-0.96588130000000005</v>
      </c>
      <c r="T1163">
        <v>2.5408980000000001E-2</v>
      </c>
      <c r="U1163">
        <v>-2.8885190000000001</v>
      </c>
      <c r="V1163">
        <v>5.5333739999999999E-2</v>
      </c>
      <c r="W1163">
        <v>-2.9333379999999999E-2</v>
      </c>
      <c r="X1163">
        <v>0.9980369</v>
      </c>
      <c r="Y1163">
        <v>0.21904299999999999</v>
      </c>
      <c r="Z1163">
        <v>-8.3930129999999995E-3</v>
      </c>
      <c r="AA1163">
        <v>0.97567910000000002</v>
      </c>
      <c r="AB1163">
        <v>20</v>
      </c>
      <c r="AC1163">
        <v>-69.7376</v>
      </c>
      <c r="AD1163">
        <v>1.835037</v>
      </c>
      <c r="AE1163">
        <v>-208.42779999999999</v>
      </c>
      <c r="AF1163">
        <v>48.180530096766297</v>
      </c>
      <c r="AG1163">
        <v>1.835037</v>
      </c>
      <c r="AH1163">
        <v>214.423373653059</v>
      </c>
      <c r="AI1163">
        <v>89.521601912607807</v>
      </c>
      <c r="AJ1163">
        <v>77.336080288917302</v>
      </c>
      <c r="AK1163">
        <v>219.77741924491701</v>
      </c>
      <c r="AL1163">
        <v>91.680920052915695</v>
      </c>
      <c r="AM1163">
        <v>86.826623064430194</v>
      </c>
      <c r="AN1163">
        <v>0.99999996186311002</v>
      </c>
    </row>
    <row r="1164" spans="1:40" x14ac:dyDescent="0.25">
      <c r="A1164" t="str">
        <f>"20190312160933965"</f>
        <v>20190312160933965</v>
      </c>
      <c r="B1164" t="str">
        <f>"1552378173956474"</f>
        <v>1552378173956474</v>
      </c>
      <c r="C1164" t="s">
        <v>40</v>
      </c>
      <c r="D1164">
        <v>4.3747429999999996</v>
      </c>
      <c r="E1164">
        <v>0.56243809999999905</v>
      </c>
      <c r="F1164" t="s">
        <v>67</v>
      </c>
      <c r="G1164">
        <v>-234.87540000000001</v>
      </c>
      <c r="H1164">
        <v>2.905205</v>
      </c>
      <c r="I1164">
        <v>188.7473</v>
      </c>
      <c r="J1164">
        <v>-190.51560000000001</v>
      </c>
      <c r="K1164">
        <v>1.1095330000000001</v>
      </c>
      <c r="L1164">
        <v>321.20049999999998</v>
      </c>
      <c r="M1164">
        <v>-0.10286090000000001</v>
      </c>
      <c r="N1164">
        <v>0</v>
      </c>
      <c r="O1164">
        <v>-0.99460389999999999</v>
      </c>
      <c r="P1164">
        <v>-0.157753</v>
      </c>
      <c r="Q1164">
        <v>-4.3514570000000002E-2</v>
      </c>
      <c r="R1164">
        <v>-0.98651979999999995</v>
      </c>
      <c r="S1164">
        <v>-0.96647640000000001</v>
      </c>
      <c r="T1164">
        <v>3.9106849999999999E-2</v>
      </c>
      <c r="U1164">
        <v>-2.8886409999999998</v>
      </c>
      <c r="V1164">
        <v>5.5384540000000003E-2</v>
      </c>
      <c r="W1164">
        <v>-3.0095509999999999E-2</v>
      </c>
      <c r="X1164">
        <v>0.99801139999999999</v>
      </c>
      <c r="Y1164">
        <v>0.21802540000000001</v>
      </c>
      <c r="Z1164">
        <v>-1.291517E-2</v>
      </c>
      <c r="AA1164">
        <v>0.97585759999999999</v>
      </c>
      <c r="AB1164">
        <v>20</v>
      </c>
      <c r="AC1164">
        <v>-44.3598</v>
      </c>
      <c r="AD1164">
        <v>1.7956719999999999</v>
      </c>
      <c r="AE1164">
        <v>-132.45319999999899</v>
      </c>
      <c r="AF1164">
        <v>30.493921857450299</v>
      </c>
      <c r="AG1164">
        <v>1.7956719999999999</v>
      </c>
      <c r="AH1164">
        <v>136.291289150849</v>
      </c>
      <c r="AI1164">
        <v>89.263368022433696</v>
      </c>
      <c r="AJ1164">
        <v>77.388305488879894</v>
      </c>
      <c r="AK1164">
        <v>139.672542779818</v>
      </c>
      <c r="AL1164">
        <v>91.724606163285401</v>
      </c>
      <c r="AM1164">
        <v>86.823634668504596</v>
      </c>
      <c r="AN1164">
        <v>0.99999997076156499</v>
      </c>
    </row>
    <row r="1165" spans="1:40" x14ac:dyDescent="0.25">
      <c r="A1165" t="str">
        <f>"20190312160933989"</f>
        <v>20190312160933989</v>
      </c>
      <c r="B1165" t="str">
        <f>"1552378173976970"</f>
        <v>1552378173976970</v>
      </c>
      <c r="C1165" t="s">
        <v>40</v>
      </c>
      <c r="D1165">
        <v>4.4169119999999999</v>
      </c>
      <c r="E1165">
        <v>0.56126149999999997</v>
      </c>
      <c r="F1165" t="s">
        <v>67</v>
      </c>
      <c r="G1165">
        <v>-234.90110000000001</v>
      </c>
      <c r="H1165">
        <v>3.0886619999999998</v>
      </c>
      <c r="I1165">
        <v>188.6344</v>
      </c>
      <c r="J1165">
        <v>-190.54060000000001</v>
      </c>
      <c r="K1165">
        <v>1.109586</v>
      </c>
      <c r="L1165">
        <v>320.97480000000002</v>
      </c>
      <c r="M1165">
        <v>-0.1041383</v>
      </c>
      <c r="N1165">
        <v>0</v>
      </c>
      <c r="O1165">
        <v>-0.99447090000000005</v>
      </c>
      <c r="P1165">
        <v>-0.15916910000000001</v>
      </c>
      <c r="Q1165">
        <v>-4.3179910000000002E-2</v>
      </c>
      <c r="R1165">
        <v>-0.98630709999999999</v>
      </c>
      <c r="S1165">
        <v>-0.96702580000000005</v>
      </c>
      <c r="T1165">
        <v>4.3121220000000002E-2</v>
      </c>
      <c r="U1165">
        <v>-2.8882140000000001</v>
      </c>
      <c r="V1165">
        <v>5.5538560000000001E-2</v>
      </c>
      <c r="W1165">
        <v>-2.9757200000000001E-2</v>
      </c>
      <c r="X1165">
        <v>0.99801300000000004</v>
      </c>
      <c r="Y1165">
        <v>0.21697640000000001</v>
      </c>
      <c r="Z1165">
        <v>-1.424107E-2</v>
      </c>
      <c r="AA1165">
        <v>0.97607299999999997</v>
      </c>
      <c r="AB1165">
        <v>20</v>
      </c>
      <c r="AC1165">
        <v>-44.360500000000002</v>
      </c>
      <c r="AD1165">
        <v>1.9790760000000001</v>
      </c>
      <c r="AE1165">
        <v>-132.34039999999999</v>
      </c>
      <c r="AF1165">
        <v>30.330197846686399</v>
      </c>
      <c r="AG1165">
        <v>1.9790760000000001</v>
      </c>
      <c r="AH1165">
        <v>136.21337456015101</v>
      </c>
      <c r="AI1165">
        <v>89.187490663419496</v>
      </c>
      <c r="AJ1165">
        <v>77.446920201925707</v>
      </c>
      <c r="AK1165">
        <v>139.56332273307601</v>
      </c>
      <c r="AL1165">
        <v>91.705213716773997</v>
      </c>
      <c r="AM1165">
        <v>86.814824707857696</v>
      </c>
      <c r="AN1165">
        <v>0.99999998538385604</v>
      </c>
    </row>
    <row r="1166" spans="1:40" x14ac:dyDescent="0.25">
      <c r="A1166" t="str">
        <f>"20190312160934034"</f>
        <v>20190312160934034</v>
      </c>
      <c r="B1166" t="str">
        <f>"1552378174026747"</f>
        <v>1552378174026747</v>
      </c>
      <c r="C1166" t="s">
        <v>40</v>
      </c>
      <c r="D1166">
        <v>4.4248960000000004</v>
      </c>
      <c r="E1166">
        <v>0.56013649999999904</v>
      </c>
      <c r="F1166" t="s">
        <v>66</v>
      </c>
      <c r="G1166">
        <v>-259.46249999999998</v>
      </c>
      <c r="H1166">
        <v>4.0678710000000002</v>
      </c>
      <c r="I1166">
        <v>114.06699999999999</v>
      </c>
      <c r="J1166">
        <v>-190.58459999999999</v>
      </c>
      <c r="K1166">
        <v>1.109664</v>
      </c>
      <c r="L1166">
        <v>320.58109999999999</v>
      </c>
      <c r="M1166">
        <v>-0.106172699999999</v>
      </c>
      <c r="N1166">
        <v>0</v>
      </c>
      <c r="O1166">
        <v>-0.99425549999999996</v>
      </c>
      <c r="P1166">
        <v>-0.16168759999999999</v>
      </c>
      <c r="Q1166">
        <v>-4.3642300000000002E-2</v>
      </c>
      <c r="R1166">
        <v>-0.98587630000000004</v>
      </c>
      <c r="S1166">
        <v>-0.96206670000000005</v>
      </c>
      <c r="T1166">
        <v>4.12941E-2</v>
      </c>
      <c r="U1166">
        <v>-2.8881839999999999</v>
      </c>
      <c r="V1166">
        <v>5.6052900000000003E-2</v>
      </c>
      <c r="W1166">
        <v>-3.0216799999999999E-2</v>
      </c>
      <c r="X1166">
        <v>0.99797049999999998</v>
      </c>
      <c r="Y1166">
        <v>0.21347579999999999</v>
      </c>
      <c r="Z1166">
        <v>-1.3642430000000001E-2</v>
      </c>
      <c r="AA1166">
        <v>0.97685310000000003</v>
      </c>
      <c r="AB1166">
        <v>20</v>
      </c>
      <c r="AC1166">
        <v>-68.877899999999897</v>
      </c>
      <c r="AD1166">
        <v>2.9582069999999998</v>
      </c>
      <c r="AE1166">
        <v>-206.51410000000001</v>
      </c>
      <c r="AF1166">
        <v>46.551744339824403</v>
      </c>
      <c r="AG1166">
        <v>2.9582069999999998</v>
      </c>
      <c r="AH1166">
        <v>212.62096927456</v>
      </c>
      <c r="AI1166">
        <v>89.221334330252901</v>
      </c>
      <c r="AJ1166">
        <v>77.650393096677504</v>
      </c>
      <c r="AK1166">
        <v>217.677496459759</v>
      </c>
      <c r="AL1166">
        <v>91.731558592097997</v>
      </c>
      <c r="AM1166">
        <v>86.785251917968196</v>
      </c>
      <c r="AN1166">
        <v>1.0000000507354401</v>
      </c>
    </row>
    <row r="1167" spans="1:40" x14ac:dyDescent="0.25">
      <c r="A1167" t="str">
        <f>"20190312160934057"</f>
        <v>20190312160934057</v>
      </c>
      <c r="B1167" t="str">
        <f>"1552378174046266"</f>
        <v>1552378174046266</v>
      </c>
      <c r="C1167" t="s">
        <v>40</v>
      </c>
      <c r="D1167">
        <v>4.4278449999999996</v>
      </c>
      <c r="E1167">
        <v>0.55976599999999999</v>
      </c>
      <c r="F1167" t="s">
        <v>66</v>
      </c>
      <c r="G1167">
        <v>-260.23180000000002</v>
      </c>
      <c r="H1167">
        <v>4.4087639999999997</v>
      </c>
      <c r="I1167">
        <v>111.24120000000001</v>
      </c>
      <c r="J1167">
        <v>-190.60749999999999</v>
      </c>
      <c r="K1167">
        <v>1.1096999999999999</v>
      </c>
      <c r="L1167">
        <v>320.37799999999999</v>
      </c>
      <c r="M1167">
        <v>-0.1071298</v>
      </c>
      <c r="N1167">
        <v>0</v>
      </c>
      <c r="O1167">
        <v>-0.99415339999999996</v>
      </c>
      <c r="P1167">
        <v>-0.1626312</v>
      </c>
      <c r="Q1167">
        <v>-4.334826E-2</v>
      </c>
      <c r="R1167">
        <v>-0.98573469999999996</v>
      </c>
      <c r="S1167">
        <v>-0.96066280000000004</v>
      </c>
      <c r="T1167">
        <v>4.5505400000000001E-2</v>
      </c>
      <c r="U1167">
        <v>-2.8874819999999999</v>
      </c>
      <c r="V1167">
        <v>5.6048800000000003E-2</v>
      </c>
      <c r="W1167">
        <v>-2.9921159999999999E-2</v>
      </c>
      <c r="X1167">
        <v>0.99797959999999997</v>
      </c>
      <c r="Y1167">
        <v>0.21217250000000001</v>
      </c>
      <c r="Z1167">
        <v>-1.503785E-2</v>
      </c>
      <c r="AA1167">
        <v>0.97711650000000005</v>
      </c>
      <c r="AB1167">
        <v>20</v>
      </c>
      <c r="AC1167">
        <v>-69.624300000000005</v>
      </c>
      <c r="AD1167">
        <v>3.299064</v>
      </c>
      <c r="AE1167">
        <v>-209.13679999999999</v>
      </c>
      <c r="AF1167">
        <v>46.806231561917201</v>
      </c>
      <c r="AG1167">
        <v>3.299064</v>
      </c>
      <c r="AH1167">
        <v>215.34428392067699</v>
      </c>
      <c r="AI1167">
        <v>89.142322969825997</v>
      </c>
      <c r="AJ1167">
        <v>77.737193520064693</v>
      </c>
      <c r="AK1167">
        <v>220.39706838706601</v>
      </c>
      <c r="AL1167">
        <v>91.7146120707162</v>
      </c>
      <c r="AM1167">
        <v>86.7855158180122</v>
      </c>
      <c r="AN1167">
        <v>1.00000001290667</v>
      </c>
    </row>
    <row r="1168" spans="1:40" x14ac:dyDescent="0.25">
      <c r="A1168" t="str">
        <f>"20190312160934078"</f>
        <v>20190312160934078</v>
      </c>
      <c r="B1168" t="str">
        <f>"1552378174066762"</f>
        <v>1552378174066762</v>
      </c>
      <c r="C1168" t="s">
        <v>40</v>
      </c>
      <c r="D1168">
        <v>4.4252710000000004</v>
      </c>
      <c r="E1168">
        <v>0.55945829999999996</v>
      </c>
      <c r="F1168" t="s">
        <v>66</v>
      </c>
      <c r="G1168">
        <v>-260.23180000000002</v>
      </c>
      <c r="H1168">
        <v>4.6042579999999997</v>
      </c>
      <c r="I1168">
        <v>111.1113</v>
      </c>
      <c r="J1168">
        <v>-190.62970000000001</v>
      </c>
      <c r="K1168">
        <v>1.1097319999999999</v>
      </c>
      <c r="L1168">
        <v>320.18209999999999</v>
      </c>
      <c r="M1168">
        <v>-0.10799640000000001</v>
      </c>
      <c r="N1168">
        <v>0</v>
      </c>
      <c r="O1168">
        <v>-0.99405949999999998</v>
      </c>
      <c r="P1168">
        <v>-0.16271649999999999</v>
      </c>
      <c r="Q1168">
        <v>-4.3204510000000002E-2</v>
      </c>
      <c r="R1168">
        <v>-0.98572669999999996</v>
      </c>
      <c r="S1168">
        <v>-0.96054079999999997</v>
      </c>
      <c r="T1168">
        <v>4.82111E-2</v>
      </c>
      <c r="U1168">
        <v>-2.887054</v>
      </c>
      <c r="V1168">
        <v>5.526739E-2</v>
      </c>
      <c r="W1168">
        <v>-2.9774519999999999E-2</v>
      </c>
      <c r="X1168">
        <v>0.99802760000000001</v>
      </c>
      <c r="Y1168">
        <v>0.21132229999999999</v>
      </c>
      <c r="Z1168">
        <v>-1.5933320000000001E-2</v>
      </c>
      <c r="AA1168">
        <v>0.97728660000000001</v>
      </c>
      <c r="AB1168">
        <v>20</v>
      </c>
      <c r="AC1168">
        <v>-69.602099999999993</v>
      </c>
      <c r="AD1168">
        <v>3.494526</v>
      </c>
      <c r="AE1168">
        <v>-209.07079999999999</v>
      </c>
      <c r="AF1168">
        <v>46.602267839608501</v>
      </c>
      <c r="AG1168">
        <v>3.494526</v>
      </c>
      <c r="AH1168">
        <v>215.311091576959</v>
      </c>
      <c r="AI1168">
        <v>89.091203831892997</v>
      </c>
      <c r="AJ1168">
        <v>77.787197415117205</v>
      </c>
      <c r="AK1168">
        <v>220.324418156093</v>
      </c>
      <c r="AL1168">
        <v>91.706206412051301</v>
      </c>
      <c r="AM1168">
        <v>86.830390983087497</v>
      </c>
      <c r="AN1168">
        <v>1.0000000484002001</v>
      </c>
    </row>
    <row r="1169" spans="1:40" x14ac:dyDescent="0.25">
      <c r="A1169" t="str">
        <f>"20190312160934100"</f>
        <v>20190312160934100</v>
      </c>
      <c r="B1169" t="str">
        <f>"1552378174096043"</f>
        <v>1552378174096043</v>
      </c>
      <c r="C1169" t="s">
        <v>40</v>
      </c>
      <c r="D1169">
        <v>4.4899230000000001</v>
      </c>
      <c r="E1169">
        <v>0.55888479999999996</v>
      </c>
      <c r="F1169" t="s">
        <v>66</v>
      </c>
      <c r="G1169">
        <v>-260.23180000000002</v>
      </c>
      <c r="H1169">
        <v>4.850587</v>
      </c>
      <c r="I1169">
        <v>110.4113</v>
      </c>
      <c r="J1169">
        <v>-190.65209999999999</v>
      </c>
      <c r="K1169">
        <v>1.109775</v>
      </c>
      <c r="L1169">
        <v>319.98500000000001</v>
      </c>
      <c r="M1169">
        <v>-0.1088042</v>
      </c>
      <c r="N1169">
        <v>0</v>
      </c>
      <c r="O1169">
        <v>-0.99397139999999995</v>
      </c>
      <c r="P1169">
        <v>-0.1631977</v>
      </c>
      <c r="Q1169">
        <v>-4.3344090000000002E-2</v>
      </c>
      <c r="R1169">
        <v>-0.98564099999999999</v>
      </c>
      <c r="S1169">
        <v>-0.95809940000000005</v>
      </c>
      <c r="T1169">
        <v>5.1494239999999997E-2</v>
      </c>
      <c r="U1169">
        <v>-2.8875730000000002</v>
      </c>
      <c r="V1169">
        <v>5.4946929999999998E-2</v>
      </c>
      <c r="W1169">
        <v>-2.9911630000000002E-2</v>
      </c>
      <c r="X1169">
        <v>0.99804119999999996</v>
      </c>
      <c r="Y1169">
        <v>0.2097252</v>
      </c>
      <c r="Z1169">
        <v>-1.701807E-2</v>
      </c>
      <c r="AA1169">
        <v>0.97761229999999999</v>
      </c>
      <c r="AB1169">
        <v>20</v>
      </c>
      <c r="AC1169">
        <v>-69.579700000000003</v>
      </c>
      <c r="AD1169">
        <v>3.740812</v>
      </c>
      <c r="AE1169">
        <v>-209.5737</v>
      </c>
      <c r="AF1169">
        <v>46.348662851858698</v>
      </c>
      <c r="AG1169">
        <v>3.740812</v>
      </c>
      <c r="AH1169">
        <v>215.83858906538799</v>
      </c>
      <c r="AI1169">
        <v>89.029202348870896</v>
      </c>
      <c r="AJ1169">
        <v>77.880490185663604</v>
      </c>
      <c r="AK1169">
        <v>220.79059932957301</v>
      </c>
      <c r="AL1169">
        <v>91.714065727300394</v>
      </c>
      <c r="AM1169">
        <v>86.848775210625902</v>
      </c>
      <c r="AN1169">
        <v>1.0000000538115501</v>
      </c>
    </row>
    <row r="1170" spans="1:40" x14ac:dyDescent="0.25">
      <c r="A1170" t="str">
        <f>"20190312160934121"</f>
        <v>20190312160934121</v>
      </c>
      <c r="B1170" t="str">
        <f>"1552378174116539"</f>
        <v>1552378174116539</v>
      </c>
      <c r="C1170" t="s">
        <v>40</v>
      </c>
      <c r="D1170">
        <v>4.4972949999999896</v>
      </c>
      <c r="E1170">
        <v>0.55857190000000001</v>
      </c>
      <c r="F1170" t="s">
        <v>66</v>
      </c>
      <c r="G1170">
        <v>-260.23180000000002</v>
      </c>
      <c r="H1170">
        <v>5.0087609999999998</v>
      </c>
      <c r="I1170">
        <v>109.6108</v>
      </c>
      <c r="J1170">
        <v>-190.67339999999999</v>
      </c>
      <c r="K1170">
        <v>1.1098170000000001</v>
      </c>
      <c r="L1170">
        <v>319.79829999999998</v>
      </c>
      <c r="M1170">
        <v>-0.1095087</v>
      </c>
      <c r="N1170">
        <v>0</v>
      </c>
      <c r="O1170">
        <v>-0.99389400000000006</v>
      </c>
      <c r="P1170">
        <v>-0.1631515</v>
      </c>
      <c r="Q1170">
        <v>-4.3514700000000003E-2</v>
      </c>
      <c r="R1170">
        <v>-0.98564099999999999</v>
      </c>
      <c r="S1170">
        <v>-0.95515439999999996</v>
      </c>
      <c r="T1170">
        <v>5.3523300000000003E-2</v>
      </c>
      <c r="U1170">
        <v>-2.8879090000000001</v>
      </c>
      <c r="V1170">
        <v>5.419678E-2</v>
      </c>
      <c r="W1170">
        <v>-3.0078440000000001E-2</v>
      </c>
      <c r="X1170">
        <v>0.9980772</v>
      </c>
      <c r="Y1170">
        <v>0.208096</v>
      </c>
      <c r="Z1170">
        <v>-1.7690310000000001E-2</v>
      </c>
      <c r="AA1170">
        <v>0.97794840000000005</v>
      </c>
      <c r="AB1170">
        <v>20</v>
      </c>
      <c r="AC1170">
        <v>-69.558400000000006</v>
      </c>
      <c r="AD1170">
        <v>3.8989440000000002</v>
      </c>
      <c r="AE1170">
        <v>-210.1875</v>
      </c>
      <c r="AF1170">
        <v>46.1062276405193</v>
      </c>
      <c r="AG1170">
        <v>3.8989440000000002</v>
      </c>
      <c r="AH1170">
        <v>216.47397660857999</v>
      </c>
      <c r="AI1170">
        <v>88.990781218921896</v>
      </c>
      <c r="AJ1170">
        <v>77.976384384213603</v>
      </c>
      <c r="AK1170">
        <v>221.36388264639399</v>
      </c>
      <c r="AL1170">
        <v>91.723627544125804</v>
      </c>
      <c r="AM1170">
        <v>86.891823516257105</v>
      </c>
      <c r="AN1170">
        <v>1.0000000503375099</v>
      </c>
    </row>
    <row r="1171" spans="1:40" x14ac:dyDescent="0.25">
      <c r="A1171" t="str">
        <f>"20190312160934144"</f>
        <v>20190312160934144</v>
      </c>
      <c r="B1171" t="str">
        <f>"1552378174136059"</f>
        <v>1552378174136059</v>
      </c>
      <c r="C1171" t="s">
        <v>40</v>
      </c>
      <c r="D1171">
        <v>4.5425500000000003</v>
      </c>
      <c r="E1171">
        <v>0.55825630000000004</v>
      </c>
      <c r="F1171" t="s">
        <v>68</v>
      </c>
      <c r="G1171">
        <v>-256.79829999999998</v>
      </c>
      <c r="H1171">
        <v>4.7130960000000002</v>
      </c>
      <c r="I1171">
        <v>119.2859</v>
      </c>
      <c r="J1171">
        <v>-190.69710000000001</v>
      </c>
      <c r="K1171">
        <v>1.1098650000000001</v>
      </c>
      <c r="L1171">
        <v>319.59199999999998</v>
      </c>
      <c r="M1171">
        <v>-0.1102204</v>
      </c>
      <c r="N1171">
        <v>0</v>
      </c>
      <c r="O1171">
        <v>-0.99381540000000002</v>
      </c>
      <c r="P1171">
        <v>-0.16309979999999999</v>
      </c>
      <c r="Q1171">
        <v>-4.32547E-2</v>
      </c>
      <c r="R1171">
        <v>-0.98566089999999995</v>
      </c>
      <c r="S1171">
        <v>-0.95251459999999999</v>
      </c>
      <c r="T1171">
        <v>5.1904800000000001E-2</v>
      </c>
      <c r="U1171">
        <v>-2.8883359999999998</v>
      </c>
      <c r="V1171">
        <v>5.3432540000000001E-2</v>
      </c>
      <c r="W1171">
        <v>-2.9813739999999998E-2</v>
      </c>
      <c r="X1171">
        <v>0.99812630000000002</v>
      </c>
      <c r="Y1171">
        <v>0.20654919999999999</v>
      </c>
      <c r="Z1171">
        <v>-1.7156339999999999E-2</v>
      </c>
      <c r="AA1171">
        <v>0.97828579999999998</v>
      </c>
      <c r="AB1171">
        <v>20</v>
      </c>
      <c r="AC1171">
        <v>-66.101199999999906</v>
      </c>
      <c r="AD1171">
        <v>3.6032309999999899</v>
      </c>
      <c r="AE1171">
        <v>-200.30609999999999</v>
      </c>
      <c r="AF1171">
        <v>43.6058258499869</v>
      </c>
      <c r="AG1171">
        <v>3.6032309999999899</v>
      </c>
      <c r="AH1171">
        <v>206.31160681095599</v>
      </c>
      <c r="AI1171">
        <v>89.021054080481306</v>
      </c>
      <c r="AJ1171">
        <v>78.0656622341358</v>
      </c>
      <c r="AK1171">
        <v>210.90028550624899</v>
      </c>
      <c r="AL1171">
        <v>91.708454627899201</v>
      </c>
      <c r="AM1171">
        <v>86.935718882055497</v>
      </c>
      <c r="AN1171">
        <v>1.0000000030876599</v>
      </c>
    </row>
    <row r="1172" spans="1:40" x14ac:dyDescent="0.25">
      <c r="A1172" t="str">
        <f>"20190312160934167"</f>
        <v>20190312160934167</v>
      </c>
      <c r="B1172" t="str">
        <f>"1552378174156555"</f>
        <v>1552378174156555</v>
      </c>
      <c r="C1172" t="s">
        <v>40</v>
      </c>
      <c r="D1172">
        <v>4.6351000000000004</v>
      </c>
      <c r="E1172">
        <v>0.55792249999999999</v>
      </c>
      <c r="F1172" t="s">
        <v>68</v>
      </c>
      <c r="G1172">
        <v>-256.55270000000002</v>
      </c>
      <c r="H1172">
        <v>4.7328910000000004</v>
      </c>
      <c r="I1172">
        <v>119.2859</v>
      </c>
      <c r="J1172">
        <v>-190.71969999999999</v>
      </c>
      <c r="K1172">
        <v>1.10991</v>
      </c>
      <c r="L1172">
        <v>319.39490000000001</v>
      </c>
      <c r="M1172">
        <v>-0.1108275</v>
      </c>
      <c r="N1172">
        <v>0</v>
      </c>
      <c r="O1172">
        <v>-0.99374779999999996</v>
      </c>
      <c r="P1172">
        <v>-0.16333439999999999</v>
      </c>
      <c r="Q1172">
        <v>-4.3115649999999998E-2</v>
      </c>
      <c r="R1172">
        <v>-0.98562819999999995</v>
      </c>
      <c r="S1172">
        <v>-0.94975279999999995</v>
      </c>
      <c r="T1172">
        <v>5.2250739999999997E-2</v>
      </c>
      <c r="U1172">
        <v>-2.888763</v>
      </c>
      <c r="V1172">
        <v>5.3063039999999999E-2</v>
      </c>
      <c r="W1172">
        <v>-2.9671260000000001E-2</v>
      </c>
      <c r="X1172">
        <v>0.99815019999999999</v>
      </c>
      <c r="Y1172">
        <v>0.20506369999999999</v>
      </c>
      <c r="Z1172">
        <v>-1.7271720000000001E-2</v>
      </c>
      <c r="AA1172">
        <v>0.97859620000000003</v>
      </c>
      <c r="AB1172">
        <v>20</v>
      </c>
      <c r="AC1172">
        <v>-65.832999999999998</v>
      </c>
      <c r="AD1172">
        <v>3.6229809999999998</v>
      </c>
      <c r="AE1172">
        <v>-200.10900000000001</v>
      </c>
      <c r="AF1172">
        <v>43.234978857348203</v>
      </c>
      <c r="AG1172">
        <v>3.6229809999999998</v>
      </c>
      <c r="AH1172">
        <v>206.11184350532801</v>
      </c>
      <c r="AI1172">
        <v>89.014418819591995</v>
      </c>
      <c r="AJ1172">
        <v>78.153136461748502</v>
      </c>
      <c r="AK1172">
        <v>210.628776337153</v>
      </c>
      <c r="AL1172">
        <v>91.700287609467907</v>
      </c>
      <c r="AM1172">
        <v>86.956941949694993</v>
      </c>
      <c r="AN1172">
        <v>0.999999945822033</v>
      </c>
    </row>
    <row r="1173" spans="1:40" x14ac:dyDescent="0.25">
      <c r="A1173" t="str">
        <f>"20190312160934188"</f>
        <v>20190312160934188</v>
      </c>
      <c r="B1173" t="str">
        <f>"1552378174177051"</f>
        <v>1552378174177051</v>
      </c>
      <c r="C1173" t="s">
        <v>40</v>
      </c>
      <c r="D1173">
        <v>4.6359810000000001</v>
      </c>
      <c r="E1173">
        <v>0.5577126</v>
      </c>
      <c r="F1173" t="s">
        <v>68</v>
      </c>
      <c r="G1173">
        <v>-256.37909999999999</v>
      </c>
      <c r="H1173">
        <v>4.5583210000000003</v>
      </c>
      <c r="I1173">
        <v>119.2859</v>
      </c>
      <c r="J1173">
        <v>-190.74180000000001</v>
      </c>
      <c r="K1173">
        <v>1.1099479999999999</v>
      </c>
      <c r="L1173">
        <v>319.20280000000002</v>
      </c>
      <c r="M1173">
        <v>-0.11136450000000001</v>
      </c>
      <c r="N1173">
        <v>0</v>
      </c>
      <c r="O1173">
        <v>-0.99368789999999996</v>
      </c>
      <c r="P1173">
        <v>-0.16428970000000001</v>
      </c>
      <c r="Q1173">
        <v>-4.3295790000000001E-2</v>
      </c>
      <c r="R1173">
        <v>-0.98546180000000005</v>
      </c>
      <c r="S1173">
        <v>-0.94787600000000005</v>
      </c>
      <c r="T1173">
        <v>4.9782510000000002E-2</v>
      </c>
      <c r="U1173">
        <v>-2.8888240000000001</v>
      </c>
      <c r="V1173">
        <v>5.349404E-2</v>
      </c>
      <c r="W1173">
        <v>-2.9850459999999999E-2</v>
      </c>
      <c r="X1173">
        <v>0.99812190000000001</v>
      </c>
      <c r="Y1173">
        <v>0.2039589</v>
      </c>
      <c r="Z1173">
        <v>-1.6457800000000002E-2</v>
      </c>
      <c r="AA1173">
        <v>0.97884110000000002</v>
      </c>
      <c r="AB1173">
        <v>20</v>
      </c>
      <c r="AC1173">
        <v>-65.637299999999897</v>
      </c>
      <c r="AD1173">
        <v>3.4483730000000001</v>
      </c>
      <c r="AE1173">
        <v>-199.9169</v>
      </c>
      <c r="AF1173">
        <v>42.951725718605502</v>
      </c>
      <c r="AG1173">
        <v>3.4483730000000001</v>
      </c>
      <c r="AH1173">
        <v>205.928138776027</v>
      </c>
      <c r="AI1173">
        <v>89.060849477535001</v>
      </c>
      <c r="AJ1173">
        <v>78.218370768000995</v>
      </c>
      <c r="AK1173">
        <v>210.388070855531</v>
      </c>
      <c r="AL1173">
        <v>91.710559479964004</v>
      </c>
      <c r="AM1173">
        <v>86.932185178689394</v>
      </c>
      <c r="AN1173">
        <v>0.99999999476867096</v>
      </c>
    </row>
    <row r="1174" spans="1:40" x14ac:dyDescent="0.25">
      <c r="A1174" t="str">
        <f>"20190312160934212"</f>
        <v>20190312160934212</v>
      </c>
      <c r="B1174" t="str">
        <f>"1552378174206331"</f>
        <v>1552378174206331</v>
      </c>
      <c r="C1174" t="s">
        <v>40</v>
      </c>
      <c r="D1174">
        <v>4.7539389999999999</v>
      </c>
      <c r="E1174">
        <v>0.51656340000000001</v>
      </c>
      <c r="F1174" t="s">
        <v>68</v>
      </c>
      <c r="G1174">
        <v>-256.44240000000002</v>
      </c>
      <c r="H1174">
        <v>4.384836</v>
      </c>
      <c r="I1174">
        <v>119.2859</v>
      </c>
      <c r="J1174">
        <v>-190.7653</v>
      </c>
      <c r="K1174">
        <v>1.1099749999999999</v>
      </c>
      <c r="L1174">
        <v>318.99919999999997</v>
      </c>
      <c r="M1174">
        <v>-0.11187610000000001</v>
      </c>
      <c r="N1174">
        <v>0</v>
      </c>
      <c r="O1174">
        <v>-0.99363049999999997</v>
      </c>
      <c r="P1174">
        <v>-0.16459470000000001</v>
      </c>
      <c r="Q1174">
        <v>-4.292849E-2</v>
      </c>
      <c r="R1174">
        <v>-0.9854271</v>
      </c>
      <c r="S1174">
        <v>-0.9491425</v>
      </c>
      <c r="T1174">
        <v>4.7310949999999997E-2</v>
      </c>
      <c r="U1174">
        <v>-2.8880919999999999</v>
      </c>
      <c r="V1174">
        <v>5.328952E-2</v>
      </c>
      <c r="W1174">
        <v>-2.9482069999999999E-2</v>
      </c>
      <c r="X1174">
        <v>0.99814380000000003</v>
      </c>
      <c r="Y1174">
        <v>0.20391999999999999</v>
      </c>
      <c r="Z1174">
        <v>-1.5642349999999999E-2</v>
      </c>
      <c r="AA1174">
        <v>0.97886260000000003</v>
      </c>
      <c r="AB1174">
        <v>20</v>
      </c>
      <c r="AC1174">
        <v>-65.677099999999996</v>
      </c>
      <c r="AD1174">
        <v>3.274861</v>
      </c>
      <c r="AE1174">
        <v>-199.7133</v>
      </c>
      <c r="AF1174">
        <v>42.909122286081299</v>
      </c>
      <c r="AG1174">
        <v>3.274861</v>
      </c>
      <c r="AH1174">
        <v>205.757744109973</v>
      </c>
      <c r="AI1174">
        <v>89.107352319635197</v>
      </c>
      <c r="AJ1174">
        <v>78.220255603656796</v>
      </c>
      <c r="AK1174">
        <v>210.20981601998599</v>
      </c>
      <c r="AL1174">
        <v>91.689442975271007</v>
      </c>
      <c r="AM1174">
        <v>86.943958789096996</v>
      </c>
      <c r="AN1174">
        <v>1.00000000543587</v>
      </c>
    </row>
    <row r="1175" spans="1:40" x14ac:dyDescent="0.25">
      <c r="A1175" t="str">
        <f>"20190312160934233"</f>
        <v>20190312160934233</v>
      </c>
      <c r="B1175" t="str">
        <f>"1552378174226827"</f>
        <v>1552378174226827</v>
      </c>
      <c r="C1175" t="s">
        <v>40</v>
      </c>
      <c r="D1175">
        <v>4.8592500000000003</v>
      </c>
      <c r="E1175">
        <v>0.50927290000000003</v>
      </c>
      <c r="F1175" t="s">
        <v>60</v>
      </c>
      <c r="G1175">
        <v>-216.17740000000001</v>
      </c>
      <c r="H1175">
        <v>0.39843719999999999</v>
      </c>
      <c r="I1175">
        <v>199.57599999999999</v>
      </c>
      <c r="J1175">
        <v>-190.78800000000001</v>
      </c>
      <c r="K1175">
        <v>1.1099969999999999</v>
      </c>
      <c r="L1175">
        <v>318.80329999999998</v>
      </c>
      <c r="M1175">
        <v>-0.1123149</v>
      </c>
      <c r="N1175">
        <v>0</v>
      </c>
      <c r="O1175">
        <v>-0.99358100000000005</v>
      </c>
      <c r="P1175">
        <v>-0.1644987</v>
      </c>
      <c r="Q1175">
        <v>-4.2533710000000002E-2</v>
      </c>
      <c r="R1175">
        <v>-0.98545970000000005</v>
      </c>
      <c r="S1175">
        <v>-0.62542719999999996</v>
      </c>
      <c r="T1175">
        <v>-1.751196E-2</v>
      </c>
      <c r="U1175">
        <v>-2.9391780000000001</v>
      </c>
      <c r="V1175">
        <v>5.2751640000000002E-2</v>
      </c>
      <c r="W1175">
        <v>-2.9086250000000001E-2</v>
      </c>
      <c r="X1175">
        <v>0.99818399999999996</v>
      </c>
      <c r="Y1175">
        <v>9.6943970000000004E-2</v>
      </c>
      <c r="Z1175">
        <v>5.8224669999999996E-3</v>
      </c>
      <c r="AA1175">
        <v>0.99527279999999996</v>
      </c>
      <c r="AB1175">
        <v>20</v>
      </c>
      <c r="AC1175">
        <v>-25.389399999999998</v>
      </c>
      <c r="AD1175">
        <v>-0.71155979999999897</v>
      </c>
      <c r="AE1175">
        <v>-119.2273</v>
      </c>
      <c r="AF1175">
        <v>11.836097988683401</v>
      </c>
      <c r="AG1175">
        <v>-0.71155979999999897</v>
      </c>
      <c r="AH1175">
        <v>121.32050485844201</v>
      </c>
      <c r="AI1175">
        <v>90.334455119054098</v>
      </c>
      <c r="AJ1175">
        <v>84.427825037942398</v>
      </c>
      <c r="AK1175">
        <v>121.89858256786199</v>
      </c>
      <c r="AL1175">
        <v>91.666754402247193</v>
      </c>
      <c r="AM1175">
        <v>86.974869088747695</v>
      </c>
      <c r="AN1175">
        <v>1.00000002165887</v>
      </c>
    </row>
    <row r="1176" spans="1:40" x14ac:dyDescent="0.25">
      <c r="A1176" t="str">
        <f>"20190312160934258"</f>
        <v>20190312160934258</v>
      </c>
      <c r="B1176" t="str">
        <f>"1552378174246346"</f>
        <v>1552378174246346</v>
      </c>
      <c r="C1176" t="s">
        <v>40</v>
      </c>
      <c r="D1176">
        <v>4.8476169999999996</v>
      </c>
      <c r="E1176">
        <v>0.50658170000000002</v>
      </c>
      <c r="F1176" t="s">
        <v>62</v>
      </c>
      <c r="G1176">
        <v>-229.1789</v>
      </c>
      <c r="H1176">
        <v>0.90137529999999999</v>
      </c>
      <c r="I1176">
        <v>119.3841</v>
      </c>
      <c r="J1176">
        <v>-190.81229999999999</v>
      </c>
      <c r="K1176">
        <v>1.11002</v>
      </c>
      <c r="L1176">
        <v>318.59289999999999</v>
      </c>
      <c r="M1176">
        <v>-0.1127301</v>
      </c>
      <c r="N1176">
        <v>0</v>
      </c>
      <c r="O1176">
        <v>-0.99353389999999997</v>
      </c>
      <c r="P1176">
        <v>-0.1652264</v>
      </c>
      <c r="Q1176">
        <v>-4.3008230000000001E-2</v>
      </c>
      <c r="R1176">
        <v>-0.98531729999999995</v>
      </c>
      <c r="S1176">
        <v>-0.56779480000000004</v>
      </c>
      <c r="T1176">
        <v>-3.085375E-3</v>
      </c>
      <c r="U1176">
        <v>-2.9493710000000002</v>
      </c>
      <c r="V1176">
        <v>5.3075280000000002E-2</v>
      </c>
      <c r="W1176">
        <v>-2.9560889999999999E-2</v>
      </c>
      <c r="X1176">
        <v>0.99815290000000001</v>
      </c>
      <c r="Y1176">
        <v>7.7129680000000006E-2</v>
      </c>
      <c r="Z1176">
        <v>1.0251730000000001E-3</v>
      </c>
      <c r="AA1176">
        <v>0.99702049999999998</v>
      </c>
      <c r="AB1176">
        <v>20</v>
      </c>
      <c r="AC1176">
        <v>-38.366599999999998</v>
      </c>
      <c r="AD1176">
        <v>-0.20864469999999899</v>
      </c>
      <c r="AE1176">
        <v>-199.2088</v>
      </c>
      <c r="AF1176">
        <v>15.663101084047801</v>
      </c>
      <c r="AG1176">
        <v>-0.20864469999999899</v>
      </c>
      <c r="AH1176">
        <v>202.26399133891101</v>
      </c>
      <c r="AI1176">
        <v>90.058926814912098</v>
      </c>
      <c r="AJ1176">
        <v>85.571915147113998</v>
      </c>
      <c r="AK1176">
        <v>202.86965879728601</v>
      </c>
      <c r="AL1176">
        <v>91.693960970275796</v>
      </c>
      <c r="AM1176">
        <v>86.956249548059006</v>
      </c>
      <c r="AN1176">
        <v>1.0000000216715399</v>
      </c>
    </row>
    <row r="1177" spans="1:40" x14ac:dyDescent="0.25">
      <c r="A1177" t="str">
        <f>"20190312160934279"</f>
        <v>20190312160934279</v>
      </c>
      <c r="B1177" t="str">
        <f>"1552378174266842"</f>
        <v>1552378174266842</v>
      </c>
      <c r="C1177" t="s">
        <v>40</v>
      </c>
      <c r="D1177">
        <v>4.8701040000000004</v>
      </c>
      <c r="E1177">
        <v>0.50514809999999999</v>
      </c>
      <c r="F1177" t="s">
        <v>62</v>
      </c>
      <c r="G1177">
        <v>-227.8383</v>
      </c>
      <c r="H1177">
        <v>0.99501850000000003</v>
      </c>
      <c r="I1177">
        <v>119.3841</v>
      </c>
      <c r="J1177">
        <v>-190.83459999999999</v>
      </c>
      <c r="K1177">
        <v>1.1100490000000001</v>
      </c>
      <c r="L1177">
        <v>318.40019999999998</v>
      </c>
      <c r="M1177">
        <v>-0.1130615</v>
      </c>
      <c r="N1177">
        <v>0</v>
      </c>
      <c r="O1177">
        <v>-0.99349620000000005</v>
      </c>
      <c r="P1177">
        <v>-0.16565489999999999</v>
      </c>
      <c r="Q1177">
        <v>-4.3457460000000003E-2</v>
      </c>
      <c r="R1177">
        <v>-0.98522589999999999</v>
      </c>
      <c r="S1177">
        <v>-0.5487976</v>
      </c>
      <c r="T1177">
        <v>-1.704454E-3</v>
      </c>
      <c r="U1177">
        <v>-2.9526669999999999</v>
      </c>
      <c r="V1177">
        <v>5.3180579999999998E-2</v>
      </c>
      <c r="W1177">
        <v>-3.0009330000000001E-2</v>
      </c>
      <c r="X1177">
        <v>0.99813390000000002</v>
      </c>
      <c r="Y1177">
        <v>7.0395630000000001E-2</v>
      </c>
      <c r="Z1177">
        <v>5.6616119999999999E-4</v>
      </c>
      <c r="AA1177">
        <v>0.99751900000000004</v>
      </c>
      <c r="AB1177">
        <v>20</v>
      </c>
      <c r="AC1177">
        <v>-37.003700000000002</v>
      </c>
      <c r="AD1177">
        <v>-0.11503049999999999</v>
      </c>
      <c r="AE1177">
        <v>-199.01609999999999</v>
      </c>
      <c r="AF1177">
        <v>14.263272794508399</v>
      </c>
      <c r="AG1177">
        <v>-0.11503049999999999</v>
      </c>
      <c r="AH1177">
        <v>201.923783785046</v>
      </c>
      <c r="AI1177">
        <v>90.032558721238601</v>
      </c>
      <c r="AJ1177">
        <v>85.959514176219699</v>
      </c>
      <c r="AK1177">
        <v>202.42694642980899</v>
      </c>
      <c r="AL1177">
        <v>91.719666117270293</v>
      </c>
      <c r="AM1177">
        <v>86.950164268974305</v>
      </c>
      <c r="AN1177">
        <v>1.0000000081526901</v>
      </c>
    </row>
    <row r="1178" spans="1:40" x14ac:dyDescent="0.25">
      <c r="A1178" t="str">
        <f>"20190312160934305"</f>
        <v>20190312160934305</v>
      </c>
      <c r="B1178" t="str">
        <f>"1552378174296123"</f>
        <v>1552378174296123</v>
      </c>
      <c r="C1178" t="s">
        <v>40</v>
      </c>
      <c r="D1178">
        <v>4.9700989999999896</v>
      </c>
      <c r="E1178">
        <v>0.50384269999999998</v>
      </c>
      <c r="F1178" t="s">
        <v>62</v>
      </c>
      <c r="G1178">
        <v>-227.13570000000001</v>
      </c>
      <c r="H1178">
        <v>0.87093779999999998</v>
      </c>
      <c r="I1178">
        <v>119.3841</v>
      </c>
      <c r="J1178">
        <v>-190.8603</v>
      </c>
      <c r="K1178">
        <v>1.110088</v>
      </c>
      <c r="L1178">
        <v>318.1782</v>
      </c>
      <c r="M1178">
        <v>-0.1133825</v>
      </c>
      <c r="N1178">
        <v>0</v>
      </c>
      <c r="O1178">
        <v>-0.99345989999999995</v>
      </c>
      <c r="P1178">
        <v>-0.1655594</v>
      </c>
      <c r="Q1178">
        <v>-4.3477790000000002E-2</v>
      </c>
      <c r="R1178">
        <v>-0.98524120000000004</v>
      </c>
      <c r="S1178">
        <v>-0.53886409999999996</v>
      </c>
      <c r="T1178">
        <v>-3.5493370000000001E-3</v>
      </c>
      <c r="U1178">
        <v>-2.9542540000000002</v>
      </c>
      <c r="V1178">
        <v>5.276434E-2</v>
      </c>
      <c r="W1178">
        <v>-3.0027269999999998E-2</v>
      </c>
      <c r="X1178">
        <v>0.99815540000000003</v>
      </c>
      <c r="Y1178">
        <v>6.6732319999999998E-2</v>
      </c>
      <c r="Z1178">
        <v>1.178784E-3</v>
      </c>
      <c r="AA1178">
        <v>0.99777020000000005</v>
      </c>
      <c r="AB1178">
        <v>20</v>
      </c>
      <c r="AC1178">
        <v>-36.275399999999998</v>
      </c>
      <c r="AD1178">
        <v>-0.23915019999999901</v>
      </c>
      <c r="AE1178">
        <v>-198.79409999999999</v>
      </c>
      <c r="AF1178">
        <v>13.499591717858999</v>
      </c>
      <c r="AG1178">
        <v>-0.23915019999999901</v>
      </c>
      <c r="AH1178">
        <v>201.62501203477899</v>
      </c>
      <c r="AI1178">
        <v>90.067807465634601</v>
      </c>
      <c r="AJ1178">
        <v>86.169537978200594</v>
      </c>
      <c r="AK1178">
        <v>202.076573722418</v>
      </c>
      <c r="AL1178">
        <v>91.720694554098003</v>
      </c>
      <c r="AM1178">
        <v>86.974055600944794</v>
      </c>
      <c r="AN1178">
        <v>0.99999995753422299</v>
      </c>
    </row>
    <row r="1179" spans="1:40" x14ac:dyDescent="0.25">
      <c r="A1179" t="str">
        <f>"20190312160934346"</f>
        <v>20190312160934346</v>
      </c>
      <c r="B1179" t="str">
        <f>"1552378174336138"</f>
        <v>1552378174336138</v>
      </c>
      <c r="C1179" t="s">
        <v>40</v>
      </c>
      <c r="D1179">
        <v>5.115926</v>
      </c>
      <c r="E1179">
        <v>0.50308279999999905</v>
      </c>
      <c r="F1179" t="s">
        <v>51</v>
      </c>
      <c r="G1179">
        <v>-203.14089999999999</v>
      </c>
      <c r="H1179">
        <v>0.48909789999999997</v>
      </c>
      <c r="I1179">
        <v>249.47380000000001</v>
      </c>
      <c r="J1179">
        <v>-190.9024</v>
      </c>
      <c r="K1179">
        <v>1.11016</v>
      </c>
      <c r="L1179">
        <v>317.8143</v>
      </c>
      <c r="M1179">
        <v>-0.1137495</v>
      </c>
      <c r="N1179">
        <v>0</v>
      </c>
      <c r="O1179">
        <v>-0.99341800000000002</v>
      </c>
      <c r="P1179">
        <v>-0.16471759999999999</v>
      </c>
      <c r="Q1179">
        <v>-4.2046279999999998E-2</v>
      </c>
      <c r="R1179">
        <v>-0.98544419999999999</v>
      </c>
      <c r="S1179">
        <v>-0.52819819999999995</v>
      </c>
      <c r="T1179">
        <v>-2.6709199999999999E-2</v>
      </c>
      <c r="U1179">
        <v>-2.9550169999999998</v>
      </c>
      <c r="V1179">
        <v>5.1540929999999999E-2</v>
      </c>
      <c r="W1179">
        <v>-2.85908E-2</v>
      </c>
      <c r="X1179">
        <v>0.99826150000000002</v>
      </c>
      <c r="Y1179">
        <v>6.2823240000000002E-2</v>
      </c>
      <c r="Z1179">
        <v>8.8712919999999994E-3</v>
      </c>
      <c r="AA1179">
        <v>0.99798520000000002</v>
      </c>
      <c r="AB1179">
        <v>20</v>
      </c>
      <c r="AC1179">
        <v>-12.238499999999901</v>
      </c>
      <c r="AD1179">
        <v>-0.62106209999999995</v>
      </c>
      <c r="AE1179">
        <v>-68.340499999999906</v>
      </c>
      <c r="AF1179">
        <v>4.3842960778307596</v>
      </c>
      <c r="AG1179">
        <v>-0.62106209999999995</v>
      </c>
      <c r="AH1179">
        <v>69.283558126908403</v>
      </c>
      <c r="AI1179">
        <v>90.512563975064595</v>
      </c>
      <c r="AJ1179">
        <v>86.379124195782495</v>
      </c>
      <c r="AK1179">
        <v>69.424917694980607</v>
      </c>
      <c r="AL1179">
        <v>91.6383554950107</v>
      </c>
      <c r="AM1179">
        <v>87.044403779957705</v>
      </c>
      <c r="AN1179">
        <v>0.99999996184607598</v>
      </c>
    </row>
    <row r="1180" spans="1:40" x14ac:dyDescent="0.25">
      <c r="A1180" t="str">
        <f>"20190312160934367"</f>
        <v>20190312160934367</v>
      </c>
      <c r="B1180" t="str">
        <f>"1552378174356635"</f>
        <v>1552378174356635</v>
      </c>
      <c r="C1180" t="s">
        <v>40</v>
      </c>
      <c r="D1180">
        <v>5.0005870000000003</v>
      </c>
      <c r="E1180">
        <v>0.50275509999999901</v>
      </c>
      <c r="F1180" t="s">
        <v>51</v>
      </c>
      <c r="G1180">
        <v>-202.96279999999999</v>
      </c>
      <c r="H1180">
        <v>0.59197180000000005</v>
      </c>
      <c r="I1180">
        <v>249.1797</v>
      </c>
      <c r="J1180">
        <v>-190.92349999999999</v>
      </c>
      <c r="K1180">
        <v>1.1101829999999999</v>
      </c>
      <c r="L1180">
        <v>317.63130000000001</v>
      </c>
      <c r="M1180">
        <v>-0.1138702</v>
      </c>
      <c r="N1180">
        <v>0</v>
      </c>
      <c r="O1180">
        <v>-0.99340419999999996</v>
      </c>
      <c r="P1180">
        <v>-0.16472800000000001</v>
      </c>
      <c r="Q1180">
        <v>-4.2168570000000002E-2</v>
      </c>
      <c r="R1180">
        <v>-0.98543720000000001</v>
      </c>
      <c r="S1180">
        <v>-0.51951599999999998</v>
      </c>
      <c r="T1180">
        <v>-2.2321580000000001E-2</v>
      </c>
      <c r="U1180">
        <v>-2.956512</v>
      </c>
      <c r="V1180">
        <v>5.1432369999999998E-2</v>
      </c>
      <c r="W1180">
        <v>-2.871251E-2</v>
      </c>
      <c r="X1180">
        <v>0.99826369999999998</v>
      </c>
      <c r="Y1180">
        <v>5.9774769999999998E-2</v>
      </c>
      <c r="Z1180">
        <v>7.4127949999999998E-3</v>
      </c>
      <c r="AA1180">
        <v>0.99818439999999997</v>
      </c>
      <c r="AB1180">
        <v>20</v>
      </c>
      <c r="AC1180">
        <v>-12.0392999999999</v>
      </c>
      <c r="AD1180">
        <v>-0.51821119999999898</v>
      </c>
      <c r="AE1180">
        <v>-68.451599999999999</v>
      </c>
      <c r="AF1180">
        <v>4.1654406480512902</v>
      </c>
      <c r="AG1180">
        <v>-0.51821119999999898</v>
      </c>
      <c r="AH1180">
        <v>69.373470075710301</v>
      </c>
      <c r="AI1180">
        <v>90.427215005784106</v>
      </c>
      <c r="AJ1180">
        <v>86.563874122776397</v>
      </c>
      <c r="AK1180">
        <v>69.500343804802199</v>
      </c>
      <c r="AL1180">
        <v>91.645331674019801</v>
      </c>
      <c r="AM1180">
        <v>87.050624599735002</v>
      </c>
      <c r="AN1180">
        <v>1.000000055826</v>
      </c>
    </row>
    <row r="1181" spans="1:40" x14ac:dyDescent="0.25">
      <c r="A1181" t="str">
        <f>"20190312160934390"</f>
        <v>20190312160934390</v>
      </c>
      <c r="B1181" t="str">
        <f>"1552378174376154"</f>
        <v>1552378174376154</v>
      </c>
      <c r="C1181" t="s">
        <v>40</v>
      </c>
      <c r="D1181">
        <v>5.0964390000000002</v>
      </c>
      <c r="E1181">
        <v>0.50251619999999997</v>
      </c>
      <c r="F1181" t="s">
        <v>60</v>
      </c>
      <c r="G1181">
        <v>-211.5615</v>
      </c>
      <c r="H1181">
        <v>0.214034</v>
      </c>
      <c r="I1181">
        <v>199.57599999999999</v>
      </c>
      <c r="J1181">
        <v>-190.94649999999999</v>
      </c>
      <c r="K1181">
        <v>1.1101840000000001</v>
      </c>
      <c r="L1181">
        <v>317.43150000000003</v>
      </c>
      <c r="M1181">
        <v>-0.11396290000000001</v>
      </c>
      <c r="N1181">
        <v>0</v>
      </c>
      <c r="O1181">
        <v>-0.99339370000000005</v>
      </c>
      <c r="P1181">
        <v>-0.16374649999999999</v>
      </c>
      <c r="Q1181">
        <v>-4.1430929999999998E-2</v>
      </c>
      <c r="R1181">
        <v>-0.98563239999999996</v>
      </c>
      <c r="S1181">
        <v>-0.51692199999999999</v>
      </c>
      <c r="T1181">
        <v>-2.2445920000000001E-2</v>
      </c>
      <c r="U1181">
        <v>-2.9569399999999999</v>
      </c>
      <c r="V1181">
        <v>5.0343010000000001E-2</v>
      </c>
      <c r="W1181">
        <v>-2.7974289999999999E-2</v>
      </c>
      <c r="X1181">
        <v>0.99834009999999995</v>
      </c>
      <c r="Y1181">
        <v>5.8807409999999997E-2</v>
      </c>
      <c r="Z1181">
        <v>7.453678E-3</v>
      </c>
      <c r="AA1181">
        <v>0.9982415</v>
      </c>
      <c r="AB1181">
        <v>20</v>
      </c>
      <c r="AC1181">
        <v>-20.614999999999998</v>
      </c>
      <c r="AD1181">
        <v>-0.89615</v>
      </c>
      <c r="AE1181">
        <v>-117.85550000000001</v>
      </c>
      <c r="AF1181">
        <v>7.0479005274950897</v>
      </c>
      <c r="AG1181">
        <v>-0.89615</v>
      </c>
      <c r="AH1181">
        <v>119.430390474584</v>
      </c>
      <c r="AI1181">
        <v>90.429166157553396</v>
      </c>
      <c r="AJ1181">
        <v>86.622742589773395</v>
      </c>
      <c r="AK1181">
        <v>119.641523542538</v>
      </c>
      <c r="AL1181">
        <v>91.603017927022094</v>
      </c>
      <c r="AM1181">
        <v>87.113207392905295</v>
      </c>
      <c r="AN1181">
        <v>0.99999996741243602</v>
      </c>
    </row>
    <row r="1182" spans="1:40" x14ac:dyDescent="0.25">
      <c r="A1182" t="str">
        <f>"20190312160934411"</f>
        <v>20190312160934411</v>
      </c>
      <c r="B1182" t="str">
        <f>"1552378174406412"</f>
        <v>1552378174406412</v>
      </c>
      <c r="C1182" t="s">
        <v>40</v>
      </c>
      <c r="D1182">
        <v>5.0565670000000003</v>
      </c>
      <c r="E1182">
        <v>0.5023666</v>
      </c>
      <c r="F1182" t="s">
        <v>60</v>
      </c>
      <c r="G1182">
        <v>-211.34829999999999</v>
      </c>
      <c r="H1182">
        <v>0.26443030000000001</v>
      </c>
      <c r="I1182">
        <v>199.57599999999999</v>
      </c>
      <c r="J1182">
        <v>-190.96729999999999</v>
      </c>
      <c r="K1182">
        <v>1.110185</v>
      </c>
      <c r="L1182">
        <v>317.25110000000001</v>
      </c>
      <c r="M1182">
        <v>-0.1140191</v>
      </c>
      <c r="N1182">
        <v>0</v>
      </c>
      <c r="O1182">
        <v>-0.99338700000000002</v>
      </c>
      <c r="P1182">
        <v>-0.16266810000000001</v>
      </c>
      <c r="Q1182">
        <v>-4.2127440000000002E-2</v>
      </c>
      <c r="R1182">
        <v>-0.98578089999999996</v>
      </c>
      <c r="S1182">
        <v>-0.51202389999999998</v>
      </c>
      <c r="T1182">
        <v>-2.122593E-2</v>
      </c>
      <c r="U1182">
        <v>-2.9578250000000001</v>
      </c>
      <c r="V1182">
        <v>4.9198840000000001E-2</v>
      </c>
      <c r="W1182">
        <v>-2.867157E-2</v>
      </c>
      <c r="X1182">
        <v>0.99837739999999997</v>
      </c>
      <c r="Y1182">
        <v>5.7096180000000003E-2</v>
      </c>
      <c r="Z1182">
        <v>7.0477710000000004E-3</v>
      </c>
      <c r="AA1182">
        <v>0.9983438</v>
      </c>
      <c r="AB1182">
        <v>20</v>
      </c>
      <c r="AC1182">
        <v>-20.381</v>
      </c>
      <c r="AD1182">
        <v>-0.84575469999999897</v>
      </c>
      <c r="AE1182">
        <v>-117.6751</v>
      </c>
      <c r="AF1182">
        <v>6.8292901816569502</v>
      </c>
      <c r="AG1182">
        <v>-0.84575469999999897</v>
      </c>
      <c r="AH1182">
        <v>119.225603886969</v>
      </c>
      <c r="AI1182">
        <v>90.405769086572704</v>
      </c>
      <c r="AJ1182">
        <v>86.721657209617604</v>
      </c>
      <c r="AK1182">
        <v>119.42403077944699</v>
      </c>
      <c r="AL1182">
        <v>91.642985096088694</v>
      </c>
      <c r="AM1182">
        <v>87.1788149315243</v>
      </c>
      <c r="AN1182">
        <v>1.0000000088071801</v>
      </c>
    </row>
    <row r="1183" spans="1:40" x14ac:dyDescent="0.25">
      <c r="A1183" t="str">
        <f>"20190312160934434"</f>
        <v>20190312160934434</v>
      </c>
      <c r="B1183" t="str">
        <f>"1552378174426906"</f>
        <v>1552378174426906</v>
      </c>
      <c r="C1183" t="s">
        <v>40</v>
      </c>
      <c r="D1183">
        <v>5.0829279999999999</v>
      </c>
      <c r="E1183">
        <v>0.50242249999999999</v>
      </c>
      <c r="F1183" t="s">
        <v>59</v>
      </c>
      <c r="G1183">
        <v>-207.21250000000001</v>
      </c>
      <c r="H1183">
        <v>8.0000180000000004E-2</v>
      </c>
      <c r="I1183">
        <v>222.51820000000001</v>
      </c>
      <c r="J1183">
        <v>-190.99109999999999</v>
      </c>
      <c r="K1183">
        <v>1.110187</v>
      </c>
      <c r="L1183">
        <v>317.04430000000002</v>
      </c>
      <c r="M1183">
        <v>-0.1140647</v>
      </c>
      <c r="N1183">
        <v>0</v>
      </c>
      <c r="O1183">
        <v>-0.99338199999999999</v>
      </c>
      <c r="P1183">
        <v>-0.16265669999999999</v>
      </c>
      <c r="Q1183">
        <v>-4.3786779999999997E-2</v>
      </c>
      <c r="R1183">
        <v>-0.9857108</v>
      </c>
      <c r="S1183">
        <v>-0.50727840000000002</v>
      </c>
      <c r="T1183">
        <v>-3.2168870000000002E-2</v>
      </c>
      <c r="U1183">
        <v>-2.9581599999999999</v>
      </c>
      <c r="V1183">
        <v>4.9150109999999997E-2</v>
      </c>
      <c r="W1183">
        <v>-3.033361E-2</v>
      </c>
      <c r="X1183">
        <v>0.99833070000000002</v>
      </c>
      <c r="Y1183">
        <v>5.5470459999999999E-2</v>
      </c>
      <c r="Z1183">
        <v>1.068153E-2</v>
      </c>
      <c r="AA1183">
        <v>0.99840320000000005</v>
      </c>
      <c r="AB1183">
        <v>20</v>
      </c>
      <c r="AC1183">
        <v>-16.221399999999999</v>
      </c>
      <c r="AD1183">
        <v>-1.0301868199999999</v>
      </c>
      <c r="AE1183">
        <v>-94.5261</v>
      </c>
      <c r="AF1183">
        <v>5.3318241577131396</v>
      </c>
      <c r="AG1183">
        <v>-1.0301868199999999</v>
      </c>
      <c r="AH1183">
        <v>95.748456112063593</v>
      </c>
      <c r="AI1183">
        <v>90.615485499321906</v>
      </c>
      <c r="AJ1183">
        <v>86.812733552055505</v>
      </c>
      <c r="AK1183">
        <v>95.902327821469797</v>
      </c>
      <c r="AL1183">
        <v>91.738254427796605</v>
      </c>
      <c r="AM1183">
        <v>87.181473097980401</v>
      </c>
      <c r="AN1183">
        <v>1.00000002388556</v>
      </c>
    </row>
    <row r="1184" spans="1:40" x14ac:dyDescent="0.25">
      <c r="A1184" t="str">
        <f>"20190312160934458"</f>
        <v>20190312160934458</v>
      </c>
      <c r="B1184" t="str">
        <f>"1552378174446426"</f>
        <v>1552378174446426</v>
      </c>
      <c r="C1184" t="s">
        <v>40</v>
      </c>
      <c r="D1184">
        <v>5.1829879999999999</v>
      </c>
      <c r="E1184">
        <v>0.50232479999999902</v>
      </c>
      <c r="F1184" t="s">
        <v>51</v>
      </c>
      <c r="G1184">
        <v>-202.66249999999999</v>
      </c>
      <c r="H1184">
        <v>0.13471620000000001</v>
      </c>
      <c r="I1184">
        <v>249.05860000000001</v>
      </c>
      <c r="J1184">
        <v>-191.0145</v>
      </c>
      <c r="K1184">
        <v>1.1101780000000001</v>
      </c>
      <c r="L1184">
        <v>316.84109999999998</v>
      </c>
      <c r="M1184">
        <v>-0.114104</v>
      </c>
      <c r="N1184">
        <v>0</v>
      </c>
      <c r="O1184">
        <v>-0.99337750000000002</v>
      </c>
      <c r="P1184">
        <v>-0.1636637</v>
      </c>
      <c r="Q1184">
        <v>-4.5290770000000001E-2</v>
      </c>
      <c r="R1184">
        <v>-0.98547620000000002</v>
      </c>
      <c r="S1184">
        <v>-0.50778199999999996</v>
      </c>
      <c r="T1184">
        <v>-4.2439459999999998E-2</v>
      </c>
      <c r="U1184">
        <v>-2.9578250000000001</v>
      </c>
      <c r="V1184">
        <v>5.013774E-2</v>
      </c>
      <c r="W1184">
        <v>-3.1841540000000002E-2</v>
      </c>
      <c r="X1184">
        <v>0.99823459999999997</v>
      </c>
      <c r="Y1184">
        <v>5.5607690000000001E-2</v>
      </c>
      <c r="Z1184">
        <v>1.4092449999999999E-2</v>
      </c>
      <c r="AA1184">
        <v>0.99835320000000005</v>
      </c>
      <c r="AB1184">
        <v>20</v>
      </c>
      <c r="AC1184">
        <v>-11.6479999999999</v>
      </c>
      <c r="AD1184">
        <v>-0.97546180000000005</v>
      </c>
      <c r="AE1184">
        <v>-67.782499999999899</v>
      </c>
      <c r="AF1184">
        <v>3.8361831105414201</v>
      </c>
      <c r="AG1184">
        <v>-0.97546180000000005</v>
      </c>
      <c r="AH1184">
        <v>68.6551122060458</v>
      </c>
      <c r="AI1184">
        <v>90.812744386729406</v>
      </c>
      <c r="AJ1184">
        <v>86.801858213869195</v>
      </c>
      <c r="AK1184">
        <v>68.769122857613894</v>
      </c>
      <c r="AL1184">
        <v>91.824694287908102</v>
      </c>
      <c r="AM1184">
        <v>87.124654949692001</v>
      </c>
      <c r="AN1184">
        <v>0.999999996639519</v>
      </c>
    </row>
    <row r="1185" spans="1:40" x14ac:dyDescent="0.25">
      <c r="A1185" t="str">
        <f>"20190312160934502"</f>
        <v>20190312160934502</v>
      </c>
      <c r="B1185" t="str">
        <f>"1552378174496209"</f>
        <v>1552378174496209</v>
      </c>
      <c r="C1185" t="s">
        <v>40</v>
      </c>
      <c r="D1185">
        <v>5.2003789999999999</v>
      </c>
      <c r="E1185">
        <v>0.50219579999999997</v>
      </c>
      <c r="F1185" t="s">
        <v>41</v>
      </c>
      <c r="G1185">
        <v>-201.28970000000001</v>
      </c>
      <c r="H1185">
        <v>7.9986100000000004E-2</v>
      </c>
      <c r="I1185">
        <v>257.2851</v>
      </c>
      <c r="J1185">
        <v>-191.05760000000001</v>
      </c>
      <c r="K1185">
        <v>1.110166</v>
      </c>
      <c r="L1185">
        <v>316.46699999999998</v>
      </c>
      <c r="M1185">
        <v>-0.11418789999999999</v>
      </c>
      <c r="N1185">
        <v>0</v>
      </c>
      <c r="O1185">
        <v>-0.99336800000000003</v>
      </c>
      <c r="P1185">
        <v>-0.16540050000000001</v>
      </c>
      <c r="Q1185">
        <v>-4.4394410000000002E-2</v>
      </c>
      <c r="R1185">
        <v>-0.98522690000000002</v>
      </c>
      <c r="S1185">
        <v>-0.51019289999999995</v>
      </c>
      <c r="T1185">
        <v>-5.1151990000000001E-2</v>
      </c>
      <c r="U1185">
        <v>-2.9571230000000002</v>
      </c>
      <c r="V1185">
        <v>5.1806489999999997E-2</v>
      </c>
      <c r="W1185">
        <v>-3.0952199999999999E-2</v>
      </c>
      <c r="X1185">
        <v>0.99817730000000005</v>
      </c>
      <c r="Y1185">
        <v>5.6345770000000003E-2</v>
      </c>
      <c r="Z1185">
        <v>1.6986979999999999E-2</v>
      </c>
      <c r="AA1185">
        <v>0.99826680000000001</v>
      </c>
      <c r="AB1185">
        <v>20</v>
      </c>
      <c r="AC1185">
        <v>-10.232100000000001</v>
      </c>
      <c r="AD1185">
        <v>-1.0301799</v>
      </c>
      <c r="AE1185">
        <v>-59.181899999999899</v>
      </c>
      <c r="AF1185">
        <v>3.4056904054172201</v>
      </c>
      <c r="AG1185">
        <v>-1.0301799</v>
      </c>
      <c r="AH1185">
        <v>59.945582205615601</v>
      </c>
      <c r="AI1185">
        <v>90.982960687771694</v>
      </c>
      <c r="AJ1185">
        <v>86.748348393694599</v>
      </c>
      <c r="AK1185">
        <v>60.051085117041197</v>
      </c>
      <c r="AL1185">
        <v>91.773713830329896</v>
      </c>
      <c r="AM1185">
        <v>87.028952397146</v>
      </c>
      <c r="AN1185">
        <v>0.99999993666312303</v>
      </c>
    </row>
    <row r="1186" spans="1:40" x14ac:dyDescent="0.25">
      <c r="A1186" t="str">
        <f>"20190312160934522"</f>
        <v>20190312160934522</v>
      </c>
      <c r="B1186" t="str">
        <f>"1552378174516705"</f>
        <v>1552378174516705</v>
      </c>
      <c r="C1186" t="s">
        <v>40</v>
      </c>
      <c r="D1186">
        <v>5.1882539999999997</v>
      </c>
      <c r="E1186">
        <v>0.50220290000000001</v>
      </c>
      <c r="F1186" t="s">
        <v>41</v>
      </c>
      <c r="G1186">
        <v>-201.19200000000001</v>
      </c>
      <c r="H1186">
        <v>7.9985819999999999E-2</v>
      </c>
      <c r="I1186">
        <v>258.2133</v>
      </c>
      <c r="J1186">
        <v>-191.0787</v>
      </c>
      <c r="K1186">
        <v>1.1101669999999999</v>
      </c>
      <c r="L1186">
        <v>316.28370000000001</v>
      </c>
      <c r="M1186">
        <v>-0.1142382</v>
      </c>
      <c r="N1186">
        <v>0</v>
      </c>
      <c r="O1186">
        <v>-0.99336219999999997</v>
      </c>
      <c r="P1186">
        <v>-0.1656282</v>
      </c>
      <c r="Q1186">
        <v>-4.3119110000000002E-2</v>
      </c>
      <c r="R1186">
        <v>-0.98524560000000005</v>
      </c>
      <c r="S1186">
        <v>-0.51431269999999996</v>
      </c>
      <c r="T1186">
        <v>-5.2280310000000003E-2</v>
      </c>
      <c r="U1186">
        <v>-2.956299</v>
      </c>
      <c r="V1186">
        <v>5.1979299999999999E-2</v>
      </c>
      <c r="W1186">
        <v>-2.9679810000000001E-2</v>
      </c>
      <c r="X1186">
        <v>0.99820699999999996</v>
      </c>
      <c r="Y1186">
        <v>5.7691220000000001E-2</v>
      </c>
      <c r="Z1186">
        <v>1.7363460000000001E-2</v>
      </c>
      <c r="AA1186">
        <v>0.9981835</v>
      </c>
      <c r="AB1186">
        <v>20</v>
      </c>
      <c r="AC1186">
        <v>-10.113300000000001</v>
      </c>
      <c r="AD1186">
        <v>-1.03018117999999</v>
      </c>
      <c r="AE1186">
        <v>-58.070399999999999</v>
      </c>
      <c r="AF1186">
        <v>3.4115790506214099</v>
      </c>
      <c r="AG1186">
        <v>-1.03018117999999</v>
      </c>
      <c r="AH1186">
        <v>58.827627412706299</v>
      </c>
      <c r="AI1186">
        <v>91.001570661542004</v>
      </c>
      <c r="AJ1186">
        <v>86.680974583202996</v>
      </c>
      <c r="AK1186">
        <v>58.935472271718098</v>
      </c>
      <c r="AL1186">
        <v>91.700777651553395</v>
      </c>
      <c r="AM1186">
        <v>87.019148303443401</v>
      </c>
      <c r="AN1186">
        <v>0.99999997679956198</v>
      </c>
    </row>
    <row r="1187" spans="1:40" x14ac:dyDescent="0.25">
      <c r="A1187" t="str">
        <f>"20190312160934547"</f>
        <v>20190312160934547</v>
      </c>
      <c r="B1187" t="str">
        <f>"1552378174536225"</f>
        <v>1552378174536225</v>
      </c>
      <c r="C1187" t="s">
        <v>40</v>
      </c>
      <c r="D1187">
        <v>5.2132170000000002</v>
      </c>
      <c r="E1187">
        <v>0.50220699999999996</v>
      </c>
      <c r="F1187" t="s">
        <v>41</v>
      </c>
      <c r="G1187">
        <v>-201.88910000000001</v>
      </c>
      <c r="H1187">
        <v>7.9985539999999994E-2</v>
      </c>
      <c r="I1187">
        <v>254.2209</v>
      </c>
      <c r="J1187">
        <v>-191.10329999999999</v>
      </c>
      <c r="K1187">
        <v>1.110161</v>
      </c>
      <c r="L1187">
        <v>316.07010000000002</v>
      </c>
      <c r="M1187">
        <v>-0.1143062</v>
      </c>
      <c r="N1187">
        <v>0</v>
      </c>
      <c r="O1187">
        <v>-0.99335459999999998</v>
      </c>
      <c r="P1187">
        <v>-0.1650567</v>
      </c>
      <c r="Q1187">
        <v>-4.2247239999999998E-2</v>
      </c>
      <c r="R1187">
        <v>-0.985379</v>
      </c>
      <c r="S1187">
        <v>-0.51492309999999997</v>
      </c>
      <c r="T1187">
        <v>-4.9069639999999998E-2</v>
      </c>
      <c r="U1187">
        <v>-2.9561769999999998</v>
      </c>
      <c r="V1187">
        <v>5.1327209999999998E-2</v>
      </c>
      <c r="W1187">
        <v>-2.8810929999999998E-2</v>
      </c>
      <c r="X1187">
        <v>0.99826619999999999</v>
      </c>
      <c r="Y1187">
        <v>5.7832979999999999E-2</v>
      </c>
      <c r="Z1187">
        <v>1.6297539999999999E-2</v>
      </c>
      <c r="AA1187">
        <v>0.99819329999999995</v>
      </c>
      <c r="AB1187">
        <v>19</v>
      </c>
      <c r="AC1187">
        <v>-10.7858</v>
      </c>
      <c r="AD1187">
        <v>-1.0301754599999999</v>
      </c>
      <c r="AE1187">
        <v>-61.849200000000003</v>
      </c>
      <c r="AF1187">
        <v>3.64372534516809</v>
      </c>
      <c r="AG1187">
        <v>-1.0301754599999999</v>
      </c>
      <c r="AH1187">
        <v>62.659864521354997</v>
      </c>
      <c r="AI1187">
        <v>90.940312778689702</v>
      </c>
      <c r="AJ1187">
        <v>86.671948757306694</v>
      </c>
      <c r="AK1187">
        <v>62.774171581184397</v>
      </c>
      <c r="AL1187">
        <v>91.650973184866601</v>
      </c>
      <c r="AM1187">
        <v>87.056651715121404</v>
      </c>
      <c r="AN1187">
        <v>0.99999997911814398</v>
      </c>
    </row>
    <row r="1188" spans="1:40" x14ac:dyDescent="0.25">
      <c r="A1188" t="str">
        <f>"20190312160934568"</f>
        <v>20190312160934568</v>
      </c>
      <c r="B1188" t="str">
        <f>"1552378174556721"</f>
        <v>1552378174556721</v>
      </c>
      <c r="C1188" t="s">
        <v>40</v>
      </c>
      <c r="D1188">
        <v>5.311585</v>
      </c>
      <c r="E1188">
        <v>0.50239309999999904</v>
      </c>
      <c r="F1188" t="s">
        <v>41</v>
      </c>
      <c r="G1188">
        <v>-202.23179999999999</v>
      </c>
      <c r="H1188">
        <v>7.9986230000000005E-2</v>
      </c>
      <c r="I1188">
        <v>251.96700000000001</v>
      </c>
      <c r="J1188">
        <v>-191.12479999999999</v>
      </c>
      <c r="K1188">
        <v>1.1101559999999999</v>
      </c>
      <c r="L1188">
        <v>315.8843</v>
      </c>
      <c r="M1188">
        <v>-0.1143725</v>
      </c>
      <c r="N1188">
        <v>0</v>
      </c>
      <c r="O1188">
        <v>-0.99334690000000003</v>
      </c>
      <c r="P1188">
        <v>-0.16428190000000001</v>
      </c>
      <c r="Q1188">
        <v>-4.2195799999999999E-2</v>
      </c>
      <c r="R1188">
        <v>-0.98551109999999997</v>
      </c>
      <c r="S1188">
        <v>-0.51325989999999999</v>
      </c>
      <c r="T1188">
        <v>-4.7512890000000002E-2</v>
      </c>
      <c r="U1188">
        <v>-2.956512</v>
      </c>
      <c r="V1188">
        <v>5.0475300000000001E-2</v>
      </c>
      <c r="W1188">
        <v>-2.8762090000000001E-2</v>
      </c>
      <c r="X1188">
        <v>0.99831099999999995</v>
      </c>
      <c r="Y1188">
        <v>5.7203560000000001E-2</v>
      </c>
      <c r="Z1188">
        <v>1.5779720000000001E-2</v>
      </c>
      <c r="AA1188">
        <v>0.99823779999999995</v>
      </c>
      <c r="AB1188">
        <v>19</v>
      </c>
      <c r="AC1188">
        <v>-11.106999999999999</v>
      </c>
      <c r="AD1188">
        <v>-1.0301697700000001</v>
      </c>
      <c r="AE1188">
        <v>-63.917299999999898</v>
      </c>
      <c r="AF1188">
        <v>3.7221207930349398</v>
      </c>
      <c r="AG1188">
        <v>-1.0301697700000001</v>
      </c>
      <c r="AH1188">
        <v>64.751917408658599</v>
      </c>
      <c r="AI1188">
        <v>90.909967650348904</v>
      </c>
      <c r="AJ1188">
        <v>86.710099194167299</v>
      </c>
      <c r="AK1188">
        <v>64.866988839090595</v>
      </c>
      <c r="AL1188">
        <v>91.648173774439499</v>
      </c>
      <c r="AM1188">
        <v>87.105550214326499</v>
      </c>
      <c r="AN1188">
        <v>0.99999993322612601</v>
      </c>
    </row>
    <row r="1189" spans="1:40" x14ac:dyDescent="0.25">
      <c r="A1189" t="str">
        <f>"20190312160934590"</f>
        <v>20190312160934590</v>
      </c>
      <c r="B1189" t="str">
        <f>"1552378174586001"</f>
        <v>1552378174586001</v>
      </c>
      <c r="C1189" t="s">
        <v>40</v>
      </c>
      <c r="D1189">
        <v>5.245158</v>
      </c>
      <c r="E1189">
        <v>0.55304719999999996</v>
      </c>
      <c r="F1189" t="s">
        <v>41</v>
      </c>
      <c r="G1189">
        <v>-202.15350000000001</v>
      </c>
      <c r="H1189">
        <v>7.9986130000000003E-2</v>
      </c>
      <c r="I1189">
        <v>252.26169999999999</v>
      </c>
      <c r="J1189">
        <v>-191.1465</v>
      </c>
      <c r="K1189">
        <v>1.110155</v>
      </c>
      <c r="L1189">
        <v>315.69670000000002</v>
      </c>
      <c r="M1189">
        <v>-0.1144448</v>
      </c>
      <c r="N1189">
        <v>0</v>
      </c>
      <c r="O1189">
        <v>-0.99333870000000002</v>
      </c>
      <c r="P1189">
        <v>-0.1642255</v>
      </c>
      <c r="Q1189">
        <v>-4.2212840000000001E-2</v>
      </c>
      <c r="R1189">
        <v>-0.98551949999999999</v>
      </c>
      <c r="S1189">
        <v>-0.51252749999999903</v>
      </c>
      <c r="T1189">
        <v>-4.7873970000000002E-2</v>
      </c>
      <c r="U1189">
        <v>-2.9566650000000001</v>
      </c>
      <c r="V1189">
        <v>5.0345180000000003E-2</v>
      </c>
      <c r="W1189">
        <v>-2.8781939999999999E-2</v>
      </c>
      <c r="X1189">
        <v>0.99831709999999996</v>
      </c>
      <c r="Y1189">
        <v>5.6881809999999998E-2</v>
      </c>
      <c r="Z1189">
        <v>1.5899079999999999E-2</v>
      </c>
      <c r="AA1189">
        <v>0.99825430000000004</v>
      </c>
      <c r="AB1189">
        <v>19</v>
      </c>
      <c r="AC1189">
        <v>-11.007</v>
      </c>
      <c r="AD1189">
        <v>-1.03016887</v>
      </c>
      <c r="AE1189">
        <v>-63.435000000000002</v>
      </c>
      <c r="AF1189">
        <v>3.6732645715502001</v>
      </c>
      <c r="AG1189">
        <v>-1.03016887</v>
      </c>
      <c r="AH1189">
        <v>64.261487069739403</v>
      </c>
      <c r="AI1189">
        <v>90.916927196291397</v>
      </c>
      <c r="AJ1189">
        <v>86.728463768685501</v>
      </c>
      <c r="AK1189">
        <v>64.374628860503805</v>
      </c>
      <c r="AL1189">
        <v>91.649311399400005</v>
      </c>
      <c r="AM1189">
        <v>87.113016771734905</v>
      </c>
      <c r="AN1189">
        <v>1.0000000346858999</v>
      </c>
    </row>
    <row r="1190" spans="1:40" x14ac:dyDescent="0.25">
      <c r="A1190" t="str">
        <f>"20190312160934614"</f>
        <v>20190312160934614</v>
      </c>
      <c r="B1190" t="str">
        <f>"1552378174606810"</f>
        <v>1552378174606810</v>
      </c>
      <c r="C1190" t="s">
        <v>40</v>
      </c>
      <c r="D1190">
        <v>5.3458709999999998</v>
      </c>
      <c r="E1190">
        <v>0.55451729999999999</v>
      </c>
      <c r="F1190" t="s">
        <v>64</v>
      </c>
      <c r="G1190">
        <v>-237.57509999999999</v>
      </c>
      <c r="H1190">
        <v>2.0737960000000002</v>
      </c>
      <c r="I1190">
        <v>168.33109999999999</v>
      </c>
      <c r="J1190">
        <v>-191.16990000000001</v>
      </c>
      <c r="K1190">
        <v>1.1101540000000001</v>
      </c>
      <c r="L1190">
        <v>315.49439999999998</v>
      </c>
      <c r="M1190">
        <v>-0.1145258</v>
      </c>
      <c r="N1190">
        <v>0</v>
      </c>
      <c r="O1190">
        <v>-0.99332920000000002</v>
      </c>
      <c r="P1190">
        <v>-0.16490650000000001</v>
      </c>
      <c r="Q1190">
        <v>-4.1620530000000003E-2</v>
      </c>
      <c r="R1190">
        <v>-0.98543080000000005</v>
      </c>
      <c r="S1190">
        <v>-0.91145319999999996</v>
      </c>
      <c r="T1190">
        <v>1.8917799999999999E-2</v>
      </c>
      <c r="U1190">
        <v>-2.8929749999999999</v>
      </c>
      <c r="V1190">
        <v>5.0950410000000002E-2</v>
      </c>
      <c r="W1190">
        <v>-2.8192700000000001E-2</v>
      </c>
      <c r="X1190">
        <v>0.99830319999999995</v>
      </c>
      <c r="Y1190">
        <v>0.18927040000000001</v>
      </c>
      <c r="Z1190">
        <v>-6.2640509999999996E-3</v>
      </c>
      <c r="AA1190">
        <v>0.98190500000000003</v>
      </c>
      <c r="AB1190">
        <v>19</v>
      </c>
      <c r="AC1190">
        <v>-46.405199999999901</v>
      </c>
      <c r="AD1190">
        <v>0.963641999999999</v>
      </c>
      <c r="AE1190">
        <v>-147.16329999999999</v>
      </c>
      <c r="AF1190">
        <v>29.243150922817499</v>
      </c>
      <c r="AG1190">
        <v>0.963641999999999</v>
      </c>
      <c r="AH1190">
        <v>151.50399491388899</v>
      </c>
      <c r="AI1190">
        <v>89.642179207385894</v>
      </c>
      <c r="AJ1190">
        <v>79.075176178855401</v>
      </c>
      <c r="AK1190">
        <v>154.30343792886299</v>
      </c>
      <c r="AL1190">
        <v>91.615536741888405</v>
      </c>
      <c r="AM1190">
        <v>87.078329757266104</v>
      </c>
      <c r="AN1190">
        <v>1.00000002587134</v>
      </c>
    </row>
    <row r="1191" spans="1:40" x14ac:dyDescent="0.25">
      <c r="A1191" t="str">
        <f>"20190312160934635"</f>
        <v>20190312160934635</v>
      </c>
      <c r="B1191" t="str">
        <f>"1552378174626330"</f>
        <v>1552378174626330</v>
      </c>
      <c r="C1191" t="s">
        <v>40</v>
      </c>
      <c r="D1191">
        <v>5.126741</v>
      </c>
      <c r="E1191">
        <v>0.55655749999999904</v>
      </c>
      <c r="F1191" t="s">
        <v>65</v>
      </c>
      <c r="G1191">
        <v>-231.39099999999999</v>
      </c>
      <c r="H1191">
        <v>0.90806960000000003</v>
      </c>
      <c r="I1191">
        <v>189.84989999999999</v>
      </c>
      <c r="J1191">
        <v>-191.191</v>
      </c>
      <c r="K1191">
        <v>1.1101570000000001</v>
      </c>
      <c r="L1191">
        <v>315.31229999999999</v>
      </c>
      <c r="M1191">
        <v>-0.1145989</v>
      </c>
      <c r="N1191">
        <v>0</v>
      </c>
      <c r="O1191">
        <v>-0.9933208</v>
      </c>
      <c r="P1191">
        <v>-0.16544049999999999</v>
      </c>
      <c r="Q1191">
        <v>-4.080284E-2</v>
      </c>
      <c r="R1191">
        <v>-0.98537549999999996</v>
      </c>
      <c r="S1191">
        <v>-0.92494200000000004</v>
      </c>
      <c r="T1191">
        <v>-4.6472550000000003E-3</v>
      </c>
      <c r="U1191">
        <v>-2.8893740000000001</v>
      </c>
      <c r="V1191">
        <v>5.1413609999999998E-2</v>
      </c>
      <c r="W1191">
        <v>-2.7377289999999999E-2</v>
      </c>
      <c r="X1191">
        <v>0.99830209999999997</v>
      </c>
      <c r="Y1191">
        <v>0.1937159</v>
      </c>
      <c r="Z1191">
        <v>1.5388929999999999E-3</v>
      </c>
      <c r="AA1191">
        <v>0.9810565</v>
      </c>
      <c r="AB1191">
        <v>19</v>
      </c>
      <c r="AC1191">
        <v>-40.200000000000003</v>
      </c>
      <c r="AD1191">
        <v>-0.2020874</v>
      </c>
      <c r="AE1191">
        <v>-125.4624</v>
      </c>
      <c r="AF1191">
        <v>25.555894387865099</v>
      </c>
      <c r="AG1191">
        <v>-0.2020874</v>
      </c>
      <c r="AH1191">
        <v>129.24267250970101</v>
      </c>
      <c r="AI1191">
        <v>90.087887487105505</v>
      </c>
      <c r="AJ1191">
        <v>78.814864967690696</v>
      </c>
      <c r="AK1191">
        <v>131.745257883276</v>
      </c>
      <c r="AL1191">
        <v>91.568799219312993</v>
      </c>
      <c r="AM1191">
        <v>87.051811695759895</v>
      </c>
      <c r="AN1191">
        <v>0.999999979082692</v>
      </c>
    </row>
    <row r="1192" spans="1:40" x14ac:dyDescent="0.25">
      <c r="A1192" t="str">
        <f>"20190312160934659"</f>
        <v>20190312160934659</v>
      </c>
      <c r="B1192" t="str">
        <f>"1552378174646826"</f>
        <v>1552378174646826</v>
      </c>
      <c r="C1192" t="s">
        <v>40</v>
      </c>
      <c r="D1192">
        <v>5.2274729999999998</v>
      </c>
      <c r="E1192">
        <v>0.55871389999999999</v>
      </c>
      <c r="F1192" t="s">
        <v>64</v>
      </c>
      <c r="G1192">
        <v>-239.1832</v>
      </c>
      <c r="H1192">
        <v>1.6651320000000001</v>
      </c>
      <c r="I1192">
        <v>168.33109999999999</v>
      </c>
      <c r="J1192">
        <v>-191.21420000000001</v>
      </c>
      <c r="K1192">
        <v>1.1101510000000001</v>
      </c>
      <c r="L1192">
        <v>315.1112</v>
      </c>
      <c r="M1192">
        <v>-0.11467810000000001</v>
      </c>
      <c r="N1192">
        <v>0</v>
      </c>
      <c r="O1192">
        <v>-0.99331170000000002</v>
      </c>
      <c r="P1192">
        <v>-0.1662981</v>
      </c>
      <c r="Q1192">
        <v>-4.0262220000000001E-2</v>
      </c>
      <c r="R1192">
        <v>-0.9852533</v>
      </c>
      <c r="S1192">
        <v>-0.94258120000000001</v>
      </c>
      <c r="T1192">
        <v>1.0900139999999999E-2</v>
      </c>
      <c r="U1192">
        <v>-2.886749</v>
      </c>
      <c r="V1192">
        <v>5.2199990000000002E-2</v>
      </c>
      <c r="W1192">
        <v>-2.6839439999999999E-2</v>
      </c>
      <c r="X1192">
        <v>0.99827589999999999</v>
      </c>
      <c r="Y1192">
        <v>0.19931860000000001</v>
      </c>
      <c r="Z1192">
        <v>-3.6071570000000002E-3</v>
      </c>
      <c r="AA1192">
        <v>0.97992809999999997</v>
      </c>
      <c r="AB1192">
        <v>19</v>
      </c>
      <c r="AC1192">
        <v>-47.969000000000001</v>
      </c>
      <c r="AD1192">
        <v>0.55498099999999995</v>
      </c>
      <c r="AE1192">
        <v>-146.7801</v>
      </c>
      <c r="AF1192">
        <v>30.818094001736199</v>
      </c>
      <c r="AG1192">
        <v>0.55498099999999995</v>
      </c>
      <c r="AH1192">
        <v>151.31110931859601</v>
      </c>
      <c r="AI1192">
        <v>89.794078366649003</v>
      </c>
      <c r="AJ1192">
        <v>78.487819231567002</v>
      </c>
      <c r="AK1192">
        <v>154.418634643085</v>
      </c>
      <c r="AL1192">
        <v>91.537971347258903</v>
      </c>
      <c r="AM1192">
        <v>87.006721617517002</v>
      </c>
      <c r="AN1192">
        <v>0.99999998350816099</v>
      </c>
    </row>
    <row r="1193" spans="1:40" x14ac:dyDescent="0.25">
      <c r="A1193" t="str">
        <f>"20190312160934681"</f>
        <v>20190312160934681</v>
      </c>
      <c r="B1193" t="str">
        <f>"1552378174676106"</f>
        <v>1552378174676106</v>
      </c>
      <c r="C1193" t="s">
        <v>40</v>
      </c>
      <c r="D1193">
        <v>5.3163280000000004</v>
      </c>
      <c r="E1193">
        <v>0.55919399999999997</v>
      </c>
      <c r="F1193" t="s">
        <v>68</v>
      </c>
      <c r="G1193">
        <v>-256.56389999999999</v>
      </c>
      <c r="H1193">
        <v>3.1258469999999998</v>
      </c>
      <c r="I1193">
        <v>119.2859</v>
      </c>
      <c r="J1193">
        <v>-191.2372</v>
      </c>
      <c r="K1193">
        <v>1.1101479999999999</v>
      </c>
      <c r="L1193">
        <v>314.91309999999999</v>
      </c>
      <c r="M1193">
        <v>-0.1147541</v>
      </c>
      <c r="N1193">
        <v>0</v>
      </c>
      <c r="O1193">
        <v>-0.99330289999999999</v>
      </c>
      <c r="P1193">
        <v>-0.167458</v>
      </c>
      <c r="Q1193">
        <v>-4.1154330000000003E-2</v>
      </c>
      <c r="R1193">
        <v>-0.98502000000000001</v>
      </c>
      <c r="S1193">
        <v>-0.96234129999999996</v>
      </c>
      <c r="T1193">
        <v>2.9683589999999999E-2</v>
      </c>
      <c r="U1193">
        <v>-2.8837280000000001</v>
      </c>
      <c r="V1193">
        <v>5.3302420000000003E-2</v>
      </c>
      <c r="W1193">
        <v>-2.7735139999999998E-2</v>
      </c>
      <c r="X1193">
        <v>0.9981932</v>
      </c>
      <c r="Y1193">
        <v>0.2055835</v>
      </c>
      <c r="Z1193">
        <v>-9.8155889999999996E-3</v>
      </c>
      <c r="AA1193">
        <v>0.97859039999999997</v>
      </c>
      <c r="AB1193">
        <v>19</v>
      </c>
      <c r="AC1193">
        <v>-65.326699999999903</v>
      </c>
      <c r="AD1193">
        <v>2.0156990000000001</v>
      </c>
      <c r="AE1193">
        <v>-195.62719999999999</v>
      </c>
      <c r="AF1193">
        <v>42.439961643211703</v>
      </c>
      <c r="AG1193">
        <v>2.0156990000000001</v>
      </c>
      <c r="AH1193">
        <v>201.81254630882199</v>
      </c>
      <c r="AI1193">
        <v>89.439997999201594</v>
      </c>
      <c r="AJ1193">
        <v>78.124089983620905</v>
      </c>
      <c r="AK1193">
        <v>206.23655649371699</v>
      </c>
      <c r="AL1193">
        <v>91.589310230135098</v>
      </c>
      <c r="AM1193">
        <v>86.943371395573806</v>
      </c>
      <c r="AN1193">
        <v>1.0000000252474499</v>
      </c>
    </row>
    <row r="1194" spans="1:40" x14ac:dyDescent="0.25">
      <c r="A1194" t="str">
        <f>"20190312160934724"</f>
        <v>20190312160934724</v>
      </c>
      <c r="B1194" t="str">
        <f>"1552378174716627"</f>
        <v>1552378174716627</v>
      </c>
      <c r="C1194" t="s">
        <v>40</v>
      </c>
      <c r="D1194">
        <v>5.3772919999999997</v>
      </c>
      <c r="E1194">
        <v>0.55989259999999996</v>
      </c>
      <c r="F1194" t="s">
        <v>66</v>
      </c>
      <c r="G1194">
        <v>-260.23180000000002</v>
      </c>
      <c r="H1194">
        <v>2.6613440000000002</v>
      </c>
      <c r="I1194">
        <v>109.8524</v>
      </c>
      <c r="J1194">
        <v>-191.279</v>
      </c>
      <c r="K1194">
        <v>1.1101399999999999</v>
      </c>
      <c r="L1194">
        <v>314.55329999999998</v>
      </c>
      <c r="M1194">
        <v>-0.11488760000000001</v>
      </c>
      <c r="N1194">
        <v>0</v>
      </c>
      <c r="O1194">
        <v>-0.99328760000000005</v>
      </c>
      <c r="P1194">
        <v>-0.1691463</v>
      </c>
      <c r="Q1194">
        <v>-4.2654820000000003E-2</v>
      </c>
      <c r="R1194">
        <v>-0.98466779999999998</v>
      </c>
      <c r="S1194">
        <v>-0.96958920000000004</v>
      </c>
      <c r="T1194">
        <v>2.179909E-2</v>
      </c>
      <c r="U1194">
        <v>-2.8817439999999999</v>
      </c>
      <c r="V1194">
        <v>5.4885919999999998E-2</v>
      </c>
      <c r="W1194">
        <v>-2.924146E-2</v>
      </c>
      <c r="X1194">
        <v>0.99806430000000002</v>
      </c>
      <c r="Y1194">
        <v>0.20787340000000001</v>
      </c>
      <c r="Z1194">
        <v>-7.2085079999999998E-3</v>
      </c>
      <c r="AA1194">
        <v>0.97812909999999997</v>
      </c>
      <c r="AB1194">
        <v>19</v>
      </c>
      <c r="AC1194">
        <v>-68.952799999999996</v>
      </c>
      <c r="AD1194">
        <v>1.55120399999999</v>
      </c>
      <c r="AE1194">
        <v>-204.70089999999999</v>
      </c>
      <c r="AF1194">
        <v>44.974107835100099</v>
      </c>
      <c r="AG1194">
        <v>1.55120399999999</v>
      </c>
      <c r="AH1194">
        <v>211.256868805848</v>
      </c>
      <c r="AI1194">
        <v>89.588520389554603</v>
      </c>
      <c r="AJ1194">
        <v>77.981817681956699</v>
      </c>
      <c r="AK1194">
        <v>215.99662318440099</v>
      </c>
      <c r="AL1194">
        <v>91.675651206036207</v>
      </c>
      <c r="AM1194">
        <v>86.852339821627993</v>
      </c>
      <c r="AN1194">
        <v>0.99999993706583201</v>
      </c>
    </row>
    <row r="1195" spans="1:40" x14ac:dyDescent="0.25">
      <c r="A1195" t="str">
        <f>"20190312160934748"</f>
        <v>20190312160934748</v>
      </c>
      <c r="B1195" t="str">
        <f>"1552378174736148"</f>
        <v>1552378174736148</v>
      </c>
      <c r="C1195" t="s">
        <v>40</v>
      </c>
      <c r="D1195">
        <v>5.2676509999999999</v>
      </c>
      <c r="E1195">
        <v>0.56074230000000003</v>
      </c>
      <c r="F1195" t="s">
        <v>66</v>
      </c>
      <c r="G1195">
        <v>-260.23180000000002</v>
      </c>
      <c r="H1195">
        <v>2.285844</v>
      </c>
      <c r="I1195">
        <v>112.0407</v>
      </c>
      <c r="J1195">
        <v>-191.30289999999999</v>
      </c>
      <c r="K1195">
        <v>1.110139</v>
      </c>
      <c r="L1195">
        <v>314.34730000000002</v>
      </c>
      <c r="M1195">
        <v>-0.11496190000000001</v>
      </c>
      <c r="N1195">
        <v>0</v>
      </c>
      <c r="O1195">
        <v>-0.99327900000000002</v>
      </c>
      <c r="P1195">
        <v>-0.16913120000000001</v>
      </c>
      <c r="Q1195">
        <v>-4.2140799999999999E-2</v>
      </c>
      <c r="R1195">
        <v>-0.98469269999999998</v>
      </c>
      <c r="S1195">
        <v>-0.98027039999999999</v>
      </c>
      <c r="T1195">
        <v>1.6714449999999999E-2</v>
      </c>
      <c r="U1195">
        <v>-2.8790279999999999</v>
      </c>
      <c r="V1195">
        <v>5.4793500000000002E-2</v>
      </c>
      <c r="W1195">
        <v>-2.8729270000000001E-2</v>
      </c>
      <c r="X1195">
        <v>0.99808430000000004</v>
      </c>
      <c r="Y1195">
        <v>0.21133669999999999</v>
      </c>
      <c r="Z1195">
        <v>-5.5267609999999998E-3</v>
      </c>
      <c r="AA1195">
        <v>0.97739770000000004</v>
      </c>
      <c r="AB1195">
        <v>19</v>
      </c>
      <c r="AC1195">
        <v>-68.928899999999999</v>
      </c>
      <c r="AD1195">
        <v>1.175705</v>
      </c>
      <c r="AE1195">
        <v>-202.3066</v>
      </c>
      <c r="AF1195">
        <v>45.2107922449798</v>
      </c>
      <c r="AG1195">
        <v>1.175705</v>
      </c>
      <c r="AH1195">
        <v>208.88363622921301</v>
      </c>
      <c r="AI1195">
        <v>89.684811230916793</v>
      </c>
      <c r="AJ1195">
        <v>77.787277895589895</v>
      </c>
      <c r="AK1195">
        <v>213.72358667681999</v>
      </c>
      <c r="AL1195">
        <v>91.646292465401899</v>
      </c>
      <c r="AM1195">
        <v>86.857692239758507</v>
      </c>
      <c r="AN1195">
        <v>0.99999998425173597</v>
      </c>
    </row>
    <row r="1196" spans="1:40" x14ac:dyDescent="0.25">
      <c r="A1196" t="str">
        <f>"20190312160934771"</f>
        <v>20190312160934771</v>
      </c>
      <c r="B1196" t="str">
        <f>"1552378174766404"</f>
        <v>1552378174766404</v>
      </c>
      <c r="C1196" t="s">
        <v>40</v>
      </c>
      <c r="D1196">
        <v>5.2564760000000001</v>
      </c>
      <c r="E1196">
        <v>0.56309100000000001</v>
      </c>
      <c r="F1196" t="s">
        <v>66</v>
      </c>
      <c r="G1196">
        <v>-260.23180000000002</v>
      </c>
      <c r="H1196">
        <v>2.38409</v>
      </c>
      <c r="I1196">
        <v>113.31740000000001</v>
      </c>
      <c r="J1196">
        <v>-191.32499999999999</v>
      </c>
      <c r="K1196">
        <v>1.1101379999999901</v>
      </c>
      <c r="L1196">
        <v>314.1574</v>
      </c>
      <c r="M1196">
        <v>-0.11502999999999999</v>
      </c>
      <c r="N1196">
        <v>0</v>
      </c>
      <c r="O1196">
        <v>-0.99327109999999996</v>
      </c>
      <c r="P1196">
        <v>-0.16951649999999999</v>
      </c>
      <c r="Q1196">
        <v>-4.2372399999999998E-2</v>
      </c>
      <c r="R1196">
        <v>-0.9846163</v>
      </c>
      <c r="S1196">
        <v>-0.98677060000000005</v>
      </c>
      <c r="T1196">
        <v>1.8237710000000001E-2</v>
      </c>
      <c r="U1196">
        <v>-2.8778990000000002</v>
      </c>
      <c r="V1196">
        <v>5.5116619999999998E-2</v>
      </c>
      <c r="W1196">
        <v>-2.8963349999999999E-2</v>
      </c>
      <c r="X1196">
        <v>0.99805969999999999</v>
      </c>
      <c r="Y1196">
        <v>0.2133621</v>
      </c>
      <c r="Z1196">
        <v>-6.0290919999999998E-3</v>
      </c>
      <c r="AA1196">
        <v>0.97695460000000001</v>
      </c>
      <c r="AB1196">
        <v>19</v>
      </c>
      <c r="AC1196">
        <v>-68.906800000000004</v>
      </c>
      <c r="AD1196">
        <v>1.273952</v>
      </c>
      <c r="AE1196">
        <v>-200.84</v>
      </c>
      <c r="AF1196">
        <v>45.3429708669251</v>
      </c>
      <c r="AG1196">
        <v>1.273952</v>
      </c>
      <c r="AH1196">
        <v>207.42618433328099</v>
      </c>
      <c r="AI1196">
        <v>89.656227769716494</v>
      </c>
      <c r="AJ1196">
        <v>77.669218484075103</v>
      </c>
      <c r="AK1196">
        <v>212.32811850483</v>
      </c>
      <c r="AL1196">
        <v>91.6597099168726</v>
      </c>
      <c r="AM1196">
        <v>86.839121608726998</v>
      </c>
      <c r="AN1196">
        <v>0.999999941103766</v>
      </c>
    </row>
    <row r="1197" spans="1:40" x14ac:dyDescent="0.25">
      <c r="A1197" t="str">
        <f>"20190312160934794"</f>
        <v>20190312160934794</v>
      </c>
      <c r="B1197" t="str">
        <f>"1552378174786900"</f>
        <v>1552378174786900</v>
      </c>
      <c r="C1197" t="s">
        <v>40</v>
      </c>
      <c r="D1197">
        <v>5.4069430000000001</v>
      </c>
      <c r="E1197">
        <v>0.56251619999999902</v>
      </c>
      <c r="F1197" t="s">
        <v>66</v>
      </c>
      <c r="G1197">
        <v>-259.65769999999998</v>
      </c>
      <c r="H1197">
        <v>2.6939090000000001</v>
      </c>
      <c r="I1197">
        <v>118.9907</v>
      </c>
      <c r="J1197">
        <v>-191.3485</v>
      </c>
      <c r="K1197">
        <v>1.110134</v>
      </c>
      <c r="L1197">
        <v>313.95519999999999</v>
      </c>
      <c r="M1197">
        <v>-0.1151023</v>
      </c>
      <c r="N1197">
        <v>0</v>
      </c>
      <c r="O1197">
        <v>-0.99326300000000001</v>
      </c>
      <c r="P1197">
        <v>-0.17026350000000001</v>
      </c>
      <c r="Q1197">
        <v>-4.2810979999999998E-2</v>
      </c>
      <c r="R1197">
        <v>-0.98446840000000002</v>
      </c>
      <c r="S1197">
        <v>-1.00647</v>
      </c>
      <c r="T1197">
        <v>2.3327469999999999E-2</v>
      </c>
      <c r="U1197">
        <v>-2.874603</v>
      </c>
      <c r="V1197">
        <v>5.5803140000000001E-2</v>
      </c>
      <c r="W1197">
        <v>-2.940479E-2</v>
      </c>
      <c r="X1197">
        <v>0.99800869999999997</v>
      </c>
      <c r="Y1197">
        <v>0.21960299999999999</v>
      </c>
      <c r="Z1197">
        <v>-7.7060009999999996E-3</v>
      </c>
      <c r="AA1197">
        <v>0.97555890000000001</v>
      </c>
      <c r="AB1197">
        <v>19</v>
      </c>
      <c r="AC1197">
        <v>-68.309199999999905</v>
      </c>
      <c r="AD1197">
        <v>1.5837749999999999</v>
      </c>
      <c r="AE1197">
        <v>-194.96449999999999</v>
      </c>
      <c r="AF1197">
        <v>45.4095585710688</v>
      </c>
      <c r="AG1197">
        <v>1.5837749999999999</v>
      </c>
      <c r="AH1197">
        <v>201.51987200029501</v>
      </c>
      <c r="AI1197">
        <v>89.560726860801495</v>
      </c>
      <c r="AJ1197">
        <v>77.301327448825802</v>
      </c>
      <c r="AK1197">
        <v>206.57878681966699</v>
      </c>
      <c r="AL1197">
        <v>91.685013248298702</v>
      </c>
      <c r="AM1197">
        <v>86.799668565891693</v>
      </c>
      <c r="AN1197">
        <v>0.99999999869224598</v>
      </c>
    </row>
    <row r="1198" spans="1:40" x14ac:dyDescent="0.25">
      <c r="A1198" t="str">
        <f>"20190312160934816"</f>
        <v>20190312160934816</v>
      </c>
      <c r="B1198" t="str">
        <f>"1552378174806927"</f>
        <v>1552378174806927</v>
      </c>
      <c r="C1198" t="s">
        <v>40</v>
      </c>
      <c r="D1198">
        <v>5.4434589999999998</v>
      </c>
      <c r="E1198">
        <v>0.56209770000000003</v>
      </c>
      <c r="F1198" t="s">
        <v>66</v>
      </c>
      <c r="G1198">
        <v>-259.4708</v>
      </c>
      <c r="H1198">
        <v>2.465706</v>
      </c>
      <c r="I1198">
        <v>118.9906</v>
      </c>
      <c r="J1198">
        <v>-191.37010000000001</v>
      </c>
      <c r="K1198">
        <v>1.1101379999999901</v>
      </c>
      <c r="L1198">
        <v>313.76949999999999</v>
      </c>
      <c r="M1198">
        <v>-0.11516899999999999</v>
      </c>
      <c r="N1198">
        <v>0</v>
      </c>
      <c r="O1198">
        <v>-0.99325509999999995</v>
      </c>
      <c r="P1198">
        <v>-0.17105799999999999</v>
      </c>
      <c r="Q1198">
        <v>-4.2974279999999997E-2</v>
      </c>
      <c r="R1198">
        <v>-0.98432339999999996</v>
      </c>
      <c r="S1198">
        <v>-1.0043789999999999</v>
      </c>
      <c r="T1198">
        <v>1.9985909999999999E-2</v>
      </c>
      <c r="U1198">
        <v>-2.8745120000000002</v>
      </c>
      <c r="V1198">
        <v>5.6542099999999901E-2</v>
      </c>
      <c r="W1198">
        <v>-2.957073E-2</v>
      </c>
      <c r="X1198">
        <v>0.99796220000000002</v>
      </c>
      <c r="Y1198">
        <v>0.21891759999999999</v>
      </c>
      <c r="Z1198">
        <v>-6.6036150000000002E-3</v>
      </c>
      <c r="AA1198">
        <v>0.97572099999999995</v>
      </c>
      <c r="AB1198">
        <v>19</v>
      </c>
      <c r="AC1198">
        <v>-68.100699999999904</v>
      </c>
      <c r="AD1198">
        <v>1.3555680000000001</v>
      </c>
      <c r="AE1198">
        <v>-194.77889999999999</v>
      </c>
      <c r="AF1198">
        <v>45.211003756135803</v>
      </c>
      <c r="AG1198">
        <v>1.3555680000000001</v>
      </c>
      <c r="AH1198">
        <v>201.31769786525601</v>
      </c>
      <c r="AI1198">
        <v>89.623581180596702</v>
      </c>
      <c r="AJ1198">
        <v>77.3427738179915</v>
      </c>
      <c r="AK1198">
        <v>206.336346529172</v>
      </c>
      <c r="AL1198">
        <v>91.6945250527111</v>
      </c>
      <c r="AM1198">
        <v>86.757228005466501</v>
      </c>
      <c r="AN1198">
        <v>0.99999999488699098</v>
      </c>
    </row>
    <row r="1199" spans="1:40" x14ac:dyDescent="0.25">
      <c r="A1199" t="str">
        <f>"20190312160934836"</f>
        <v>20190312160934836</v>
      </c>
      <c r="B1199" t="str">
        <f>"1552378174826447"</f>
        <v>1552378174826447</v>
      </c>
      <c r="C1199" t="s">
        <v>40</v>
      </c>
      <c r="D1199">
        <v>5.5185950000000004</v>
      </c>
      <c r="E1199">
        <v>0.56216290000000002</v>
      </c>
      <c r="F1199" t="s">
        <v>66</v>
      </c>
      <c r="G1199">
        <v>-259.37240000000003</v>
      </c>
      <c r="H1199">
        <v>2.3576839999999999</v>
      </c>
      <c r="I1199">
        <v>118.9905</v>
      </c>
      <c r="J1199">
        <v>-191.39019999999999</v>
      </c>
      <c r="K1199">
        <v>1.110139</v>
      </c>
      <c r="L1199">
        <v>313.59719999999999</v>
      </c>
      <c r="M1199">
        <v>-0.11523129999999999</v>
      </c>
      <c r="N1199">
        <v>0</v>
      </c>
      <c r="O1199">
        <v>-0.99324769999999896</v>
      </c>
      <c r="P1199">
        <v>-0.17138149999999999</v>
      </c>
      <c r="Q1199">
        <v>-4.224555E-2</v>
      </c>
      <c r="R1199">
        <v>-0.98429860000000002</v>
      </c>
      <c r="S1199">
        <v>-1.0034479999999999</v>
      </c>
      <c r="T1199">
        <v>1.8409370000000001E-2</v>
      </c>
      <c r="U1199">
        <v>-2.8741759999999998</v>
      </c>
      <c r="V1199">
        <v>5.6803739999999998E-2</v>
      </c>
      <c r="W1199">
        <v>-2.884376E-2</v>
      </c>
      <c r="X1199">
        <v>0.99796859999999998</v>
      </c>
      <c r="Y1199">
        <v>0.21861120000000001</v>
      </c>
      <c r="Z1199">
        <v>-6.0838560000000003E-3</v>
      </c>
      <c r="AA1199">
        <v>0.97579309999999997</v>
      </c>
      <c r="AB1199">
        <v>19</v>
      </c>
      <c r="AC1199">
        <v>-67.982200000000006</v>
      </c>
      <c r="AD1199">
        <v>1.2475449999999999</v>
      </c>
      <c r="AE1199">
        <v>-194.60669999999999</v>
      </c>
      <c r="AF1199">
        <v>45.100805299248101</v>
      </c>
      <c r="AG1199">
        <v>1.2475449999999999</v>
      </c>
      <c r="AH1199">
        <v>201.13714723302201</v>
      </c>
      <c r="AI1199">
        <v>89.653240007240299</v>
      </c>
      <c r="AJ1199">
        <v>77.361663403491093</v>
      </c>
      <c r="AK1199">
        <v>206.13537058012599</v>
      </c>
      <c r="AL1199">
        <v>91.652854990953003</v>
      </c>
      <c r="AM1199">
        <v>86.742275661834</v>
      </c>
      <c r="AN1199">
        <v>0.99999997697744203</v>
      </c>
    </row>
    <row r="1200" spans="1:40" x14ac:dyDescent="0.25">
      <c r="A1200" t="str">
        <f>"20190312160934860"</f>
        <v>20190312160934860</v>
      </c>
      <c r="B1200" t="str">
        <f>"1552378174856703"</f>
        <v>1552378174856703</v>
      </c>
      <c r="C1200" t="s">
        <v>40</v>
      </c>
      <c r="D1200">
        <v>5.3344750000000003</v>
      </c>
      <c r="E1200">
        <v>0.56337869999999901</v>
      </c>
      <c r="F1200" t="s">
        <v>66</v>
      </c>
      <c r="G1200">
        <v>-259.42070000000001</v>
      </c>
      <c r="H1200">
        <v>2.3300740000000002</v>
      </c>
      <c r="I1200">
        <v>118.9905</v>
      </c>
      <c r="J1200">
        <v>-191.4136</v>
      </c>
      <c r="K1200">
        <v>1.110139</v>
      </c>
      <c r="L1200">
        <v>313.39609999999999</v>
      </c>
      <c r="M1200">
        <v>-0.11530559999999999</v>
      </c>
      <c r="N1200">
        <v>0</v>
      </c>
      <c r="O1200">
        <v>-0.99323919999999999</v>
      </c>
      <c r="P1200">
        <v>-0.171294899999999</v>
      </c>
      <c r="Q1200">
        <v>-4.2009230000000002E-2</v>
      </c>
      <c r="R1200">
        <v>-0.98432399999999998</v>
      </c>
      <c r="S1200">
        <v>-1.0045930000000001</v>
      </c>
      <c r="T1200">
        <v>1.8014430000000001E-2</v>
      </c>
      <c r="U1200">
        <v>-2.8737180000000002</v>
      </c>
      <c r="V1200">
        <v>5.664023E-2</v>
      </c>
      <c r="W1200">
        <v>-2.8609430000000002E-2</v>
      </c>
      <c r="X1200">
        <v>0.9979846</v>
      </c>
      <c r="Y1200">
        <v>0.21893319999999999</v>
      </c>
      <c r="Z1200">
        <v>-5.9535609999999996E-3</v>
      </c>
      <c r="AA1200">
        <v>0.97572170000000003</v>
      </c>
      <c r="AB1200">
        <v>19</v>
      </c>
      <c r="AC1200">
        <v>-68.007099999999994</v>
      </c>
      <c r="AD1200">
        <v>1.219935</v>
      </c>
      <c r="AE1200">
        <v>-194.40559999999999</v>
      </c>
      <c r="AF1200">
        <v>45.1337536197776</v>
      </c>
      <c r="AG1200">
        <v>1.219935</v>
      </c>
      <c r="AH1200">
        <v>200.94394969689199</v>
      </c>
      <c r="AI1200">
        <v>89.660615649339803</v>
      </c>
      <c r="AJ1200">
        <v>77.340959366377604</v>
      </c>
      <c r="AK1200">
        <v>205.95391444933</v>
      </c>
      <c r="AL1200">
        <v>91.639423390552807</v>
      </c>
      <c r="AM1200">
        <v>86.751684903175999</v>
      </c>
      <c r="AN1200">
        <v>0.99999993848826696</v>
      </c>
    </row>
    <row r="1201" spans="1:40" x14ac:dyDescent="0.25">
      <c r="A1201" t="str">
        <f>"20190312160934884"</f>
        <v>20190312160934884</v>
      </c>
      <c r="B1201" t="str">
        <f>"1552378174876223"</f>
        <v>1552378174876223</v>
      </c>
      <c r="C1201" t="s">
        <v>40</v>
      </c>
      <c r="D1201">
        <v>5.5217409999999996</v>
      </c>
      <c r="E1201">
        <v>0.56358569999999997</v>
      </c>
      <c r="F1201" t="s">
        <v>66</v>
      </c>
      <c r="G1201">
        <v>-260.0385</v>
      </c>
      <c r="H1201">
        <v>2.4523760000000001</v>
      </c>
      <c r="I1201">
        <v>118.9906</v>
      </c>
      <c r="J1201">
        <v>-191.43600000000001</v>
      </c>
      <c r="K1201">
        <v>1.110136</v>
      </c>
      <c r="L1201">
        <v>313.20370000000003</v>
      </c>
      <c r="M1201">
        <v>-0.1153797</v>
      </c>
      <c r="N1201">
        <v>0</v>
      </c>
      <c r="O1201">
        <v>-0.99323079999999997</v>
      </c>
      <c r="P1201">
        <v>-0.17172579999999901</v>
      </c>
      <c r="Q1201">
        <v>-4.2238390000000001E-2</v>
      </c>
      <c r="R1201">
        <v>-0.98423919999999998</v>
      </c>
      <c r="S1201">
        <v>-1.01387</v>
      </c>
      <c r="T1201">
        <v>1.983035E-2</v>
      </c>
      <c r="U1201">
        <v>-2.8721619999999999</v>
      </c>
      <c r="V1201">
        <v>5.7003459999999999E-2</v>
      </c>
      <c r="W1201">
        <v>-2.884128E-2</v>
      </c>
      <c r="X1201">
        <v>0.99795730000000005</v>
      </c>
      <c r="Y1201">
        <v>0.2218282</v>
      </c>
      <c r="Z1201">
        <v>-6.5513460000000004E-3</v>
      </c>
      <c r="AA1201">
        <v>0.97506369999999998</v>
      </c>
      <c r="AB1201">
        <v>19</v>
      </c>
      <c r="AC1201">
        <v>-68.602500000000006</v>
      </c>
      <c r="AD1201">
        <v>1.3422399999999901</v>
      </c>
      <c r="AE1201">
        <v>-194.2131</v>
      </c>
      <c r="AF1201">
        <v>45.732043294089898</v>
      </c>
      <c r="AG1201">
        <v>1.3422399999999901</v>
      </c>
      <c r="AH1201">
        <v>200.82332645158201</v>
      </c>
      <c r="AI1201">
        <v>89.626617449067695</v>
      </c>
      <c r="AJ1201">
        <v>77.171217492926203</v>
      </c>
      <c r="AK1201">
        <v>205.96900213174999</v>
      </c>
      <c r="AL1201">
        <v>91.652712811369099</v>
      </c>
      <c r="AM1201">
        <v>86.730809478112604</v>
      </c>
      <c r="AN1201">
        <v>0.99999999325364997</v>
      </c>
    </row>
    <row r="1202" spans="1:40" x14ac:dyDescent="0.25">
      <c r="A1202" t="str">
        <f>"20190312160934906"</f>
        <v>20190312160934906</v>
      </c>
      <c r="B1202" t="str">
        <f>"1552378174896251"</f>
        <v>1552378174896251</v>
      </c>
      <c r="C1202" t="s">
        <v>40</v>
      </c>
      <c r="D1202">
        <v>5.6210610000000001</v>
      </c>
      <c r="E1202">
        <v>0.56401559999999995</v>
      </c>
      <c r="F1202" t="s">
        <v>66</v>
      </c>
      <c r="G1202">
        <v>-260.21690000000001</v>
      </c>
      <c r="H1202">
        <v>2.451317</v>
      </c>
      <c r="I1202">
        <v>118.9906</v>
      </c>
      <c r="J1202">
        <v>-191.45859999999999</v>
      </c>
      <c r="K1202">
        <v>1.1101350000000001</v>
      </c>
      <c r="L1202">
        <v>313.00940000000003</v>
      </c>
      <c r="M1202">
        <v>-0.1154608</v>
      </c>
      <c r="N1202">
        <v>0</v>
      </c>
      <c r="O1202">
        <v>-0.99322149999999998</v>
      </c>
      <c r="P1202">
        <v>-0.17240820000000001</v>
      </c>
      <c r="Q1202">
        <v>-4.2716629999999998E-2</v>
      </c>
      <c r="R1202">
        <v>-0.9840991</v>
      </c>
      <c r="S1202">
        <v>-1.0169220000000001</v>
      </c>
      <c r="T1202">
        <v>1.982927E-2</v>
      </c>
      <c r="U1202">
        <v>-2.871429</v>
      </c>
      <c r="V1202">
        <v>5.7615760000000002E-2</v>
      </c>
      <c r="W1202">
        <v>-2.9322859999999999E-2</v>
      </c>
      <c r="X1202">
        <v>0.99790809999999996</v>
      </c>
      <c r="Y1202">
        <v>0.22274769999999999</v>
      </c>
      <c r="Z1202">
        <v>-6.5506469999999997E-3</v>
      </c>
      <c r="AA1202">
        <v>0.97485409999999995</v>
      </c>
      <c r="AB1202">
        <v>19</v>
      </c>
      <c r="AC1202">
        <v>-68.758300000000006</v>
      </c>
      <c r="AD1202">
        <v>1.3411820000000001</v>
      </c>
      <c r="AE1202">
        <v>-194.0188</v>
      </c>
      <c r="AF1202">
        <v>45.892835121815601</v>
      </c>
      <c r="AG1202">
        <v>1.3411820000000001</v>
      </c>
      <c r="AH1202">
        <v>200.65205941523001</v>
      </c>
      <c r="AI1202">
        <v>89.626673954984895</v>
      </c>
      <c r="AJ1202">
        <v>77.116991305892597</v>
      </c>
      <c r="AK1202">
        <v>205.837800299771</v>
      </c>
      <c r="AL1202">
        <v>91.680316992956406</v>
      </c>
      <c r="AM1202">
        <v>86.695608468043503</v>
      </c>
      <c r="AN1202">
        <v>0.99999999098228298</v>
      </c>
    </row>
    <row r="1203" spans="1:40" x14ac:dyDescent="0.25">
      <c r="A1203" t="str">
        <f>"20190312160934926"</f>
        <v>20190312160934926</v>
      </c>
      <c r="B1203" t="str">
        <f>"1552378174916746"</f>
        <v>1552378174916746</v>
      </c>
      <c r="C1203" t="s">
        <v>40</v>
      </c>
      <c r="D1203">
        <v>5.6450589999999998</v>
      </c>
      <c r="E1203">
        <v>0.56393000000000004</v>
      </c>
      <c r="F1203" t="s">
        <v>66</v>
      </c>
      <c r="G1203">
        <v>-260.5684</v>
      </c>
      <c r="H1203">
        <v>2.2694999999999999</v>
      </c>
      <c r="I1203">
        <v>118.9905</v>
      </c>
      <c r="J1203">
        <v>-191.47839999999999</v>
      </c>
      <c r="K1203">
        <v>1.1101319999999999</v>
      </c>
      <c r="L1203">
        <v>312.84050000000002</v>
      </c>
      <c r="M1203">
        <v>-0.11553919999999999</v>
      </c>
      <c r="N1203">
        <v>0</v>
      </c>
      <c r="O1203">
        <v>-0.9932124</v>
      </c>
      <c r="P1203">
        <v>-0.17255589999999901</v>
      </c>
      <c r="Q1203">
        <v>-4.2338290000000001E-2</v>
      </c>
      <c r="R1203">
        <v>-0.98408980000000001</v>
      </c>
      <c r="S1203">
        <v>-1.0223390000000001</v>
      </c>
      <c r="T1203">
        <v>1.715028E-2</v>
      </c>
      <c r="U1203">
        <v>-2.870117</v>
      </c>
      <c r="V1203">
        <v>5.7684470000000002E-2</v>
      </c>
      <c r="W1203">
        <v>-2.8946929999999999E-2</v>
      </c>
      <c r="X1203">
        <v>0.99791510000000005</v>
      </c>
      <c r="Y1203">
        <v>0.22444610000000001</v>
      </c>
      <c r="Z1203">
        <v>-5.6651660000000001E-3</v>
      </c>
      <c r="AA1203">
        <v>0.97446999999999995</v>
      </c>
      <c r="AB1203">
        <v>19</v>
      </c>
      <c r="AC1203">
        <v>-69.09</v>
      </c>
      <c r="AD1203">
        <v>1.159368</v>
      </c>
      <c r="AE1203">
        <v>-193.85</v>
      </c>
      <c r="AF1203">
        <v>46.226460251596102</v>
      </c>
      <c r="AG1203">
        <v>1.159368</v>
      </c>
      <c r="AH1203">
        <v>200.52849381637199</v>
      </c>
      <c r="AI1203">
        <v>89.677210045607595</v>
      </c>
      <c r="AJ1203">
        <v>77.018770376479395</v>
      </c>
      <c r="AK1203">
        <v>205.79092932832199</v>
      </c>
      <c r="AL1203">
        <v>91.658768652948893</v>
      </c>
      <c r="AM1203">
        <v>86.691699700227005</v>
      </c>
      <c r="AN1203">
        <v>0.99999998482180696</v>
      </c>
    </row>
    <row r="1204" spans="1:40" x14ac:dyDescent="0.25">
      <c r="A1204" t="str">
        <f>"20190312160934947"</f>
        <v>20190312160934947</v>
      </c>
      <c r="B1204" t="str">
        <f>"1552378174937242"</f>
        <v>1552378174937242</v>
      </c>
      <c r="C1204" t="s">
        <v>40</v>
      </c>
      <c r="D1204">
        <v>5.5521789999999998</v>
      </c>
      <c r="E1204">
        <v>0.56417419999999996</v>
      </c>
      <c r="F1204" t="s">
        <v>66</v>
      </c>
      <c r="G1204">
        <v>-260.50779999999997</v>
      </c>
      <c r="H1204">
        <v>2.243017</v>
      </c>
      <c r="I1204">
        <v>118.9905</v>
      </c>
      <c r="J1204">
        <v>-191.49979999999999</v>
      </c>
      <c r="K1204">
        <v>1.110125</v>
      </c>
      <c r="L1204">
        <v>312.65719999999999</v>
      </c>
      <c r="M1204">
        <v>-0.115634</v>
      </c>
      <c r="N1204">
        <v>0</v>
      </c>
      <c r="O1204">
        <v>-0.99320109999999995</v>
      </c>
      <c r="P1204">
        <v>-0.1727921</v>
      </c>
      <c r="Q1204">
        <v>-4.1798330000000002E-2</v>
      </c>
      <c r="R1204">
        <v>-0.98407100000000003</v>
      </c>
      <c r="S1204">
        <v>-1.0220180000000001</v>
      </c>
      <c r="T1204">
        <v>1.6772510000000001E-2</v>
      </c>
      <c r="U1204">
        <v>-2.8700559999999999</v>
      </c>
      <c r="V1204">
        <v>5.7825639999999998E-2</v>
      </c>
      <c r="W1204">
        <v>-2.8409730000000001E-2</v>
      </c>
      <c r="X1204">
        <v>0.99792239999999999</v>
      </c>
      <c r="Y1204">
        <v>0.2242633</v>
      </c>
      <c r="Z1204">
        <v>-5.5406190000000001E-3</v>
      </c>
      <c r="AA1204">
        <v>0.97451279999999996</v>
      </c>
      <c r="AB1204">
        <v>19</v>
      </c>
      <c r="AC1204">
        <v>-69.007999999999896</v>
      </c>
      <c r="AD1204">
        <v>1.132892</v>
      </c>
      <c r="AE1204">
        <v>-193.66669999999999</v>
      </c>
      <c r="AF1204">
        <v>46.147126819305697</v>
      </c>
      <c r="AG1204">
        <v>1.132892</v>
      </c>
      <c r="AH1204">
        <v>200.34163488289599</v>
      </c>
      <c r="AI1204">
        <v>89.684274625398302</v>
      </c>
      <c r="AJ1204">
        <v>77.028617002386397</v>
      </c>
      <c r="AK1204">
        <v>205.59088361479499</v>
      </c>
      <c r="AL1204">
        <v>91.627976642125603</v>
      </c>
      <c r="AM1204">
        <v>86.683645621047503</v>
      </c>
      <c r="AN1204">
        <v>1.00000001691092</v>
      </c>
    </row>
    <row r="1205" spans="1:40" x14ac:dyDescent="0.25">
      <c r="A1205" t="str">
        <f>"20190312160934971"</f>
        <v>20190312160934971</v>
      </c>
      <c r="B1205" t="str">
        <f>"1552378174966523"</f>
        <v>1552378174966523</v>
      </c>
      <c r="C1205" t="s">
        <v>40</v>
      </c>
      <c r="D1205">
        <v>5.4687010000000003</v>
      </c>
      <c r="E1205">
        <v>0.56480580000000002</v>
      </c>
      <c r="F1205" t="s">
        <v>66</v>
      </c>
      <c r="G1205">
        <v>-260.65120000000002</v>
      </c>
      <c r="H1205">
        <v>2.4022950000000001</v>
      </c>
      <c r="I1205">
        <v>118.9906</v>
      </c>
      <c r="J1205">
        <v>-191.52279999999999</v>
      </c>
      <c r="K1205">
        <v>1.110115</v>
      </c>
      <c r="L1205">
        <v>312.46080000000001</v>
      </c>
      <c r="M1205">
        <v>-0.1157511</v>
      </c>
      <c r="N1205">
        <v>0</v>
      </c>
      <c r="O1205">
        <v>-0.9931875</v>
      </c>
      <c r="P1205">
        <v>-0.17312539999999901</v>
      </c>
      <c r="Q1205">
        <v>-4.2155850000000002E-2</v>
      </c>
      <c r="R1205">
        <v>-0.98399709999999996</v>
      </c>
      <c r="S1205">
        <v>-1.024597</v>
      </c>
      <c r="T1205">
        <v>1.9145490000000001E-2</v>
      </c>
      <c r="U1205">
        <v>-2.869507</v>
      </c>
      <c r="V1205">
        <v>5.8046819999999999E-2</v>
      </c>
      <c r="W1205">
        <v>-2.8771129999999999E-2</v>
      </c>
      <c r="X1205">
        <v>0.99789919999999999</v>
      </c>
      <c r="Y1205">
        <v>0.22498270000000001</v>
      </c>
      <c r="Z1205">
        <v>-6.3240249999999996E-3</v>
      </c>
      <c r="AA1205">
        <v>0.97434219999999905</v>
      </c>
      <c r="AB1205">
        <v>19</v>
      </c>
      <c r="AC1205">
        <v>-69.128399999999999</v>
      </c>
      <c r="AD1205">
        <v>1.2921799999999899</v>
      </c>
      <c r="AE1205">
        <v>-193.47020000000001</v>
      </c>
      <c r="AF1205">
        <v>46.265414680577202</v>
      </c>
      <c r="AG1205">
        <v>1.2921799999999899</v>
      </c>
      <c r="AH1205">
        <v>200.16399805877501</v>
      </c>
      <c r="AI1205">
        <v>89.639627010258906</v>
      </c>
      <c r="AJ1205">
        <v>76.985349089078397</v>
      </c>
      <c r="AK1205">
        <v>205.44533200730399</v>
      </c>
      <c r="AL1205">
        <v>91.648691812362301</v>
      </c>
      <c r="AM1205">
        <v>86.670911995088304</v>
      </c>
      <c r="AN1205">
        <v>1.00000001229711</v>
      </c>
    </row>
    <row r="1206" spans="1:40" x14ac:dyDescent="0.25">
      <c r="A1206" t="str">
        <f>"20190312160934995"</f>
        <v>20190312160934995</v>
      </c>
      <c r="B1206" t="str">
        <f>"1552378174986042"</f>
        <v>1552378174986042</v>
      </c>
      <c r="C1206" t="s">
        <v>40</v>
      </c>
      <c r="D1206">
        <v>5.4271250000000002</v>
      </c>
      <c r="E1206">
        <v>0.56529300000000005</v>
      </c>
      <c r="F1206" t="s">
        <v>66</v>
      </c>
      <c r="G1206">
        <v>-261.03449999999998</v>
      </c>
      <c r="H1206">
        <v>2.1023160000000001</v>
      </c>
      <c r="I1206">
        <v>118.9905</v>
      </c>
      <c r="J1206">
        <v>-191.5463</v>
      </c>
      <c r="K1206">
        <v>1.1101000000000001</v>
      </c>
      <c r="L1206">
        <v>312.26100000000002</v>
      </c>
      <c r="M1206">
        <v>-0.1158955</v>
      </c>
      <c r="N1206">
        <v>0</v>
      </c>
      <c r="O1206">
        <v>-0.99317100000000003</v>
      </c>
      <c r="P1206">
        <v>-0.1737477</v>
      </c>
      <c r="Q1206">
        <v>-4.2480289999999997E-2</v>
      </c>
      <c r="R1206">
        <v>-0.98387409999999997</v>
      </c>
      <c r="S1206">
        <v>-1.0304869999999999</v>
      </c>
      <c r="T1206">
        <v>1.4708880000000001E-2</v>
      </c>
      <c r="U1206">
        <v>-2.868134</v>
      </c>
      <c r="V1206">
        <v>5.8533259999999997E-2</v>
      </c>
      <c r="W1206">
        <v>-2.910039E-2</v>
      </c>
      <c r="X1206">
        <v>0.9978612</v>
      </c>
      <c r="Y1206">
        <v>0.22676460000000001</v>
      </c>
      <c r="Z1206">
        <v>-4.8580000000000003E-3</v>
      </c>
      <c r="AA1206">
        <v>0.97393750000000001</v>
      </c>
      <c r="AB1206">
        <v>19</v>
      </c>
      <c r="AC1206">
        <v>-69.488199999999907</v>
      </c>
      <c r="AD1206">
        <v>0.99221599999999999</v>
      </c>
      <c r="AE1206">
        <v>-193.2705</v>
      </c>
      <c r="AF1206">
        <v>46.617582330756797</v>
      </c>
      <c r="AG1206">
        <v>0.99221599999999999</v>
      </c>
      <c r="AH1206">
        <v>200.017319777246</v>
      </c>
      <c r="AI1206">
        <v>89.7231965255652</v>
      </c>
      <c r="AJ1206">
        <v>76.880410833866506</v>
      </c>
      <c r="AK1206">
        <v>205.380407258893</v>
      </c>
      <c r="AL1206">
        <v>91.6675649857265</v>
      </c>
      <c r="AM1206">
        <v>86.6429497912046</v>
      </c>
      <c r="AN1206">
        <v>0.99999997484490899</v>
      </c>
    </row>
    <row r="1207" spans="1:40" x14ac:dyDescent="0.25">
      <c r="A1207" t="str">
        <f>"20190312160935014"</f>
        <v>20190312160935014</v>
      </c>
      <c r="B1207" t="str">
        <f>"1552378175006070"</f>
        <v>1552378175006070</v>
      </c>
      <c r="C1207" t="s">
        <v>40</v>
      </c>
      <c r="D1207">
        <v>5.5278790000000004</v>
      </c>
      <c r="E1207">
        <v>0.56566859999999997</v>
      </c>
      <c r="F1207" t="s">
        <v>66</v>
      </c>
      <c r="G1207">
        <v>-261.94499999999999</v>
      </c>
      <c r="H1207">
        <v>1.7710269999999999</v>
      </c>
      <c r="I1207">
        <v>117.52930000000001</v>
      </c>
      <c r="J1207">
        <v>-191.56549999999999</v>
      </c>
      <c r="K1207">
        <v>1.1100859999999999</v>
      </c>
      <c r="L1207">
        <v>312.09710000000001</v>
      </c>
      <c r="M1207">
        <v>-0.1160407</v>
      </c>
      <c r="N1207">
        <v>0</v>
      </c>
      <c r="O1207">
        <v>-0.99315399999999998</v>
      </c>
      <c r="P1207">
        <v>-0.17422879999999999</v>
      </c>
      <c r="Q1207">
        <v>-4.2456649999999999E-2</v>
      </c>
      <c r="R1207">
        <v>-0.98378989999999999</v>
      </c>
      <c r="S1207">
        <v>-1.036316</v>
      </c>
      <c r="T1207">
        <v>9.7292660000000003E-3</v>
      </c>
      <c r="U1207">
        <v>-2.8665769999999999</v>
      </c>
      <c r="V1207">
        <v>5.8873799999999997E-2</v>
      </c>
      <c r="W1207">
        <v>-2.908115E-2</v>
      </c>
      <c r="X1207">
        <v>0.9978418</v>
      </c>
      <c r="Y1207">
        <v>0.2285449</v>
      </c>
      <c r="Z1207">
        <v>-3.2131740000000001E-3</v>
      </c>
      <c r="AA1207">
        <v>0.97352810000000001</v>
      </c>
      <c r="AB1207">
        <v>19</v>
      </c>
      <c r="AC1207">
        <v>-70.379499999999993</v>
      </c>
      <c r="AD1207">
        <v>0.660941</v>
      </c>
      <c r="AE1207">
        <v>-194.56780000000001</v>
      </c>
      <c r="AF1207">
        <v>47.323667318299698</v>
      </c>
      <c r="AG1207">
        <v>0.660941</v>
      </c>
      <c r="AH1207">
        <v>201.41871724345401</v>
      </c>
      <c r="AI1207">
        <v>89.816972579499193</v>
      </c>
      <c r="AJ1207">
        <v>76.778072122041706</v>
      </c>
      <c r="AK1207">
        <v>206.90448517965299</v>
      </c>
      <c r="AL1207">
        <v>91.666462026674395</v>
      </c>
      <c r="AM1207">
        <v>86.623398409961794</v>
      </c>
      <c r="AN1207">
        <v>1.0000000477194999</v>
      </c>
    </row>
    <row r="1208" spans="1:40" x14ac:dyDescent="0.25">
      <c r="A1208" t="str">
        <f>"20190312160935038"</f>
        <v>20190312160935038</v>
      </c>
      <c r="B1208" t="str">
        <f>"1552378175026566"</f>
        <v>1552378175026566</v>
      </c>
      <c r="C1208" t="s">
        <v>40</v>
      </c>
      <c r="D1208">
        <v>5.5432379999999997</v>
      </c>
      <c r="E1208">
        <v>0.5660018</v>
      </c>
      <c r="F1208" t="s">
        <v>66</v>
      </c>
      <c r="G1208">
        <v>-262.21230000000003</v>
      </c>
      <c r="H1208">
        <v>1.677664</v>
      </c>
      <c r="I1208">
        <v>117.52930000000001</v>
      </c>
      <c r="J1208">
        <v>-191.5883</v>
      </c>
      <c r="K1208">
        <v>1.110066</v>
      </c>
      <c r="L1208">
        <v>311.90440000000001</v>
      </c>
      <c r="M1208">
        <v>-0.11625149999999999</v>
      </c>
      <c r="N1208">
        <v>0</v>
      </c>
      <c r="O1208">
        <v>-0.99312909999999999</v>
      </c>
      <c r="P1208">
        <v>-0.1745024</v>
      </c>
      <c r="Q1208">
        <v>-4.18626E-2</v>
      </c>
      <c r="R1208">
        <v>-0.98376660000000005</v>
      </c>
      <c r="S1208">
        <v>-1.0404659999999999</v>
      </c>
      <c r="T1208">
        <v>8.3590750000000005E-3</v>
      </c>
      <c r="U1208">
        <v>-2.8655400000000002</v>
      </c>
      <c r="V1208">
        <v>5.8934939999999998E-2</v>
      </c>
      <c r="W1208">
        <v>-2.8492610000000002E-2</v>
      </c>
      <c r="X1208">
        <v>0.99785509999999999</v>
      </c>
      <c r="Y1208">
        <v>0.2296976</v>
      </c>
      <c r="Z1208">
        <v>-2.760453E-3</v>
      </c>
      <c r="AA1208">
        <v>0.97325810000000001</v>
      </c>
      <c r="AB1208">
        <v>19</v>
      </c>
      <c r="AC1208">
        <v>-70.623999999999995</v>
      </c>
      <c r="AD1208">
        <v>0.56759799999999905</v>
      </c>
      <c r="AE1208">
        <v>-194.3751</v>
      </c>
      <c r="AF1208">
        <v>47.546278127975597</v>
      </c>
      <c r="AG1208">
        <v>0.56759799999999905</v>
      </c>
      <c r="AH1208">
        <v>201.26633097586901</v>
      </c>
      <c r="AI1208">
        <v>89.842746998230893</v>
      </c>
      <c r="AJ1208">
        <v>76.708376125753702</v>
      </c>
      <c r="AK1208">
        <v>206.806931014897</v>
      </c>
      <c r="AL1208">
        <v>91.632727302452594</v>
      </c>
      <c r="AM1208">
        <v>86.6199449080693</v>
      </c>
      <c r="AN1208">
        <v>0.99999997828671205</v>
      </c>
    </row>
    <row r="1209" spans="1:40" x14ac:dyDescent="0.25">
      <c r="A1209" t="str">
        <f>"20190312160935062"</f>
        <v>20190312160935062</v>
      </c>
      <c r="B1209" t="str">
        <f>"1552378175056821"</f>
        <v>1552378175056821</v>
      </c>
      <c r="C1209" t="s">
        <v>40</v>
      </c>
      <c r="D1209">
        <v>5.5269250000000003</v>
      </c>
      <c r="E1209">
        <v>0.56647619999999999</v>
      </c>
      <c r="F1209" t="s">
        <v>66</v>
      </c>
      <c r="G1209">
        <v>-262.40750000000003</v>
      </c>
      <c r="H1209">
        <v>1.705085</v>
      </c>
      <c r="I1209">
        <v>117.52930000000001</v>
      </c>
      <c r="J1209">
        <v>-191.6123</v>
      </c>
      <c r="K1209">
        <v>1.110028</v>
      </c>
      <c r="L1209">
        <v>311.70159999999998</v>
      </c>
      <c r="M1209">
        <v>-0.11652990000000001</v>
      </c>
      <c r="N1209">
        <v>0</v>
      </c>
      <c r="O1209">
        <v>-0.9930966</v>
      </c>
      <c r="P1209">
        <v>-0.17493599999999901</v>
      </c>
      <c r="Q1209">
        <v>-4.1341040000000003E-2</v>
      </c>
      <c r="R1209">
        <v>-0.98371180000000003</v>
      </c>
      <c r="S1209">
        <v>-1.0437620000000001</v>
      </c>
      <c r="T1209">
        <v>8.769631E-3</v>
      </c>
      <c r="U1209">
        <v>-2.8647770000000001</v>
      </c>
      <c r="V1209">
        <v>5.909006E-2</v>
      </c>
      <c r="W1209">
        <v>-2.7978119999999999E-2</v>
      </c>
      <c r="X1209">
        <v>0.99786050000000004</v>
      </c>
      <c r="Y1209">
        <v>0.23049649999999999</v>
      </c>
      <c r="Z1209">
        <v>-2.895782E-3</v>
      </c>
      <c r="AA1209">
        <v>0.97306879999999996</v>
      </c>
      <c r="AB1209">
        <v>19</v>
      </c>
      <c r="AC1209">
        <v>-70.795199999999994</v>
      </c>
      <c r="AD1209">
        <v>0.59505699999999995</v>
      </c>
      <c r="AE1209">
        <v>-194.17230000000001</v>
      </c>
      <c r="AF1209">
        <v>47.683488398852397</v>
      </c>
      <c r="AG1209">
        <v>0.59505699999999995</v>
      </c>
      <c r="AH1209">
        <v>201.09803377354501</v>
      </c>
      <c r="AI1209">
        <v>89.835034093983197</v>
      </c>
      <c r="AJ1209">
        <v>76.660629854697206</v>
      </c>
      <c r="AK1209">
        <v>206.67483723545701</v>
      </c>
      <c r="AL1209">
        <v>91.603237413273803</v>
      </c>
      <c r="AM1209">
        <v>86.611087421956896</v>
      </c>
      <c r="AN1209">
        <v>0.99999999392489303</v>
      </c>
    </row>
    <row r="1210" spans="1:40" x14ac:dyDescent="0.25">
      <c r="A1210" t="str">
        <f>"20190312160935086"</f>
        <v>20190312160935086</v>
      </c>
      <c r="B1210" t="str">
        <f>"1552378175076342"</f>
        <v>1552378175076342</v>
      </c>
      <c r="C1210" t="s">
        <v>40</v>
      </c>
      <c r="D1210">
        <v>5.8175220000000003</v>
      </c>
      <c r="E1210">
        <v>0.56667719999999999</v>
      </c>
      <c r="F1210" t="s">
        <v>66</v>
      </c>
      <c r="G1210">
        <v>-262.72640000000001</v>
      </c>
      <c r="H1210">
        <v>1.7715639999999999</v>
      </c>
      <c r="I1210">
        <v>117.52930000000001</v>
      </c>
      <c r="J1210">
        <v>-191.63480000000001</v>
      </c>
      <c r="K1210">
        <v>1.109988</v>
      </c>
      <c r="L1210">
        <v>311.51310000000001</v>
      </c>
      <c r="M1210">
        <v>-0.11685570000000001</v>
      </c>
      <c r="N1210">
        <v>0</v>
      </c>
      <c r="O1210">
        <v>-0.99305840000000001</v>
      </c>
      <c r="P1210">
        <v>-0.17529649999999999</v>
      </c>
      <c r="Q1210">
        <v>-4.1203629999999998E-2</v>
      </c>
      <c r="R1210">
        <v>-0.98365309999999995</v>
      </c>
      <c r="S1210">
        <v>-1.048767</v>
      </c>
      <c r="T1210">
        <v>9.7560879999999996E-3</v>
      </c>
      <c r="U1210">
        <v>-2.8635860000000002</v>
      </c>
      <c r="V1210">
        <v>5.9125209999999997E-2</v>
      </c>
      <c r="W1210">
        <v>-2.784822E-2</v>
      </c>
      <c r="X1210">
        <v>0.99786200000000003</v>
      </c>
      <c r="Y1210">
        <v>0.23180729999999999</v>
      </c>
      <c r="Z1210">
        <v>-3.221135E-3</v>
      </c>
      <c r="AA1210">
        <v>0.97275639999999997</v>
      </c>
      <c r="AB1210">
        <v>19</v>
      </c>
      <c r="AC1210">
        <v>-71.0916</v>
      </c>
      <c r="AD1210">
        <v>0.66157599999999905</v>
      </c>
      <c r="AE1210">
        <v>-193.9838</v>
      </c>
      <c r="AF1210">
        <v>47.933814812844602</v>
      </c>
      <c r="AG1210">
        <v>0.66157599999999905</v>
      </c>
      <c r="AH1210">
        <v>200.960703368455</v>
      </c>
      <c r="AI1210">
        <v>89.816526156095406</v>
      </c>
      <c r="AJ1210">
        <v>76.584292864381098</v>
      </c>
      <c r="AK1210">
        <v>206.599352815201</v>
      </c>
      <c r="AL1210">
        <v>91.5957918724866</v>
      </c>
      <c r="AM1210">
        <v>86.6090812993653</v>
      </c>
      <c r="AN1210">
        <v>0.99999994242935397</v>
      </c>
    </row>
    <row r="1211" spans="1:40" x14ac:dyDescent="0.25">
      <c r="A1211" t="str">
        <f>"20190312160935106"</f>
        <v>20190312160935106</v>
      </c>
      <c r="B1211" t="str">
        <f>"1552378175096368"</f>
        <v>1552378175096368</v>
      </c>
      <c r="C1211" t="s">
        <v>40</v>
      </c>
      <c r="D1211">
        <v>5.7260900000000001</v>
      </c>
      <c r="E1211">
        <v>0.56720680000000001</v>
      </c>
      <c r="F1211" t="s">
        <v>66</v>
      </c>
      <c r="G1211">
        <v>-262.86279999999999</v>
      </c>
      <c r="H1211">
        <v>1.641456</v>
      </c>
      <c r="I1211">
        <v>117.52930000000001</v>
      </c>
      <c r="J1211">
        <v>-191.6557</v>
      </c>
      <c r="K1211">
        <v>1.109952</v>
      </c>
      <c r="L1211">
        <v>311.33920000000001</v>
      </c>
      <c r="M1211">
        <v>-0.11722340000000001</v>
      </c>
      <c r="N1211">
        <v>0</v>
      </c>
      <c r="O1211">
        <v>-0.99301490000000003</v>
      </c>
      <c r="P1211">
        <v>-0.176376</v>
      </c>
      <c r="Q1211">
        <v>-4.2282159999999999E-2</v>
      </c>
      <c r="R1211">
        <v>-0.98341449999999997</v>
      </c>
      <c r="S1211">
        <v>-1.0512079999999999</v>
      </c>
      <c r="T1211">
        <v>7.8436140000000005E-3</v>
      </c>
      <c r="U1211">
        <v>-2.8628849999999999</v>
      </c>
      <c r="V1211">
        <v>5.9852330000000002E-2</v>
      </c>
      <c r="W1211">
        <v>-2.893573E-2</v>
      </c>
      <c r="X1211">
        <v>0.9977878</v>
      </c>
      <c r="Y1211">
        <v>0.23225589999999999</v>
      </c>
      <c r="Z1211">
        <v>-2.5896199999999999E-3</v>
      </c>
      <c r="AA1211">
        <v>0.9726513</v>
      </c>
      <c r="AB1211">
        <v>19</v>
      </c>
      <c r="AC1211">
        <v>-71.207099999999997</v>
      </c>
      <c r="AD1211">
        <v>0.53150399999999998</v>
      </c>
      <c r="AE1211">
        <v>-193.8099</v>
      </c>
      <c r="AF1211">
        <v>47.994659559198702</v>
      </c>
      <c r="AG1211">
        <v>0.53150399999999998</v>
      </c>
      <c r="AH1211">
        <v>200.820009199353</v>
      </c>
      <c r="AI1211">
        <v>89.852511036240003</v>
      </c>
      <c r="AJ1211">
        <v>76.558811254084603</v>
      </c>
      <c r="AK1211">
        <v>206.476259985339</v>
      </c>
      <c r="AL1211">
        <v>91.658126586650496</v>
      </c>
      <c r="AM1211">
        <v>86.5672243433159</v>
      </c>
      <c r="AN1211">
        <v>1.0000000358529499</v>
      </c>
    </row>
    <row r="1212" spans="1:40" x14ac:dyDescent="0.25">
      <c r="A1212" t="str">
        <f>"20190312160935127"</f>
        <v>20190312160935127</v>
      </c>
      <c r="B1212" t="str">
        <f>"1552378175116864"</f>
        <v>1552378175116864</v>
      </c>
      <c r="C1212" t="s">
        <v>40</v>
      </c>
      <c r="D1212">
        <v>5.7793789999999996</v>
      </c>
      <c r="E1212">
        <v>0.56764510000000001</v>
      </c>
      <c r="F1212" t="s">
        <v>65</v>
      </c>
      <c r="G1212">
        <v>-233.3066</v>
      </c>
      <c r="H1212">
        <v>0.99663729999999995</v>
      </c>
      <c r="I1212">
        <v>198.79650000000001</v>
      </c>
      <c r="J1212">
        <v>-191.6772</v>
      </c>
      <c r="K1212">
        <v>1.1099019999999999</v>
      </c>
      <c r="L1212">
        <v>311.16059999999999</v>
      </c>
      <c r="M1212">
        <v>-0.1176624</v>
      </c>
      <c r="N1212">
        <v>0</v>
      </c>
      <c r="O1212">
        <v>-0.99296309999999999</v>
      </c>
      <c r="P1212">
        <v>-0.1776681</v>
      </c>
      <c r="Q1212">
        <v>-4.1728309999999998E-2</v>
      </c>
      <c r="R1212">
        <v>-0.98320560000000001</v>
      </c>
      <c r="S1212">
        <v>-1.0587009999999999</v>
      </c>
      <c r="T1212">
        <v>-2.8803349999999999E-3</v>
      </c>
      <c r="U1212">
        <v>-2.8606569999999998</v>
      </c>
      <c r="V1212">
        <v>6.0716680000000002E-2</v>
      </c>
      <c r="W1212">
        <v>-2.8390410000000001E-2</v>
      </c>
      <c r="X1212">
        <v>0.99775119999999895</v>
      </c>
      <c r="Y1212">
        <v>0.23431389999999999</v>
      </c>
      <c r="Z1212">
        <v>9.5092669999999996E-4</v>
      </c>
      <c r="AA1212">
        <v>0.97216049999999998</v>
      </c>
      <c r="AB1212">
        <v>19</v>
      </c>
      <c r="AC1212">
        <v>-41.629399999999997</v>
      </c>
      <c r="AD1212">
        <v>-0.1132647</v>
      </c>
      <c r="AE1212">
        <v>-112.364099999999</v>
      </c>
      <c r="AF1212">
        <v>28.117931776886401</v>
      </c>
      <c r="AG1212">
        <v>-0.1132647</v>
      </c>
      <c r="AH1212">
        <v>116.481990745394</v>
      </c>
      <c r="AI1212">
        <v>90.054157666153898</v>
      </c>
      <c r="AJ1212">
        <v>76.428826958476193</v>
      </c>
      <c r="AK1212">
        <v>119.827730865238</v>
      </c>
      <c r="AL1212">
        <v>91.626869278516807</v>
      </c>
      <c r="AM1212">
        <v>86.517644038382002</v>
      </c>
      <c r="AN1212">
        <v>0.99999999385581495</v>
      </c>
    </row>
    <row r="1213" spans="1:40" x14ac:dyDescent="0.25">
      <c r="A1213" t="str">
        <f>"20190312160935151"</f>
        <v>20190312160935151</v>
      </c>
      <c r="B1213" t="str">
        <f>"1552378175146143"</f>
        <v>1552378175146143</v>
      </c>
      <c r="C1213" t="s">
        <v>40</v>
      </c>
      <c r="D1213">
        <v>6.0083500000000001</v>
      </c>
      <c r="E1213">
        <v>0.56801950000000001</v>
      </c>
      <c r="F1213" t="s">
        <v>65</v>
      </c>
      <c r="G1213">
        <v>-233.5163</v>
      </c>
      <c r="H1213">
        <v>0.81665049999999995</v>
      </c>
      <c r="I1213">
        <v>198.92339999999999</v>
      </c>
      <c r="J1213">
        <v>-191.70140000000001</v>
      </c>
      <c r="K1213">
        <v>1.1098600000000001</v>
      </c>
      <c r="L1213">
        <v>310.96199999999999</v>
      </c>
      <c r="M1213">
        <v>-0.1182299</v>
      </c>
      <c r="N1213">
        <v>0</v>
      </c>
      <c r="O1213">
        <v>-0.99289570000000005</v>
      </c>
      <c r="P1213">
        <v>-0.1786509</v>
      </c>
      <c r="Q1213">
        <v>-4.162064E-2</v>
      </c>
      <c r="R1213">
        <v>-0.98303180000000001</v>
      </c>
      <c r="S1213">
        <v>-1.065536</v>
      </c>
      <c r="T1213">
        <v>-7.46846199999999E-3</v>
      </c>
      <c r="U1213">
        <v>-2.8583980000000002</v>
      </c>
      <c r="V1213">
        <v>6.1140119999999999E-2</v>
      </c>
      <c r="W1213">
        <v>-2.829168E-2</v>
      </c>
      <c r="X1213">
        <v>0.99772819999999995</v>
      </c>
      <c r="Y1213">
        <v>0.2360498</v>
      </c>
      <c r="Z1213">
        <v>2.4657139999999999E-3</v>
      </c>
      <c r="AA1213">
        <v>0.97173779999999998</v>
      </c>
      <c r="AB1213">
        <v>19</v>
      </c>
      <c r="AC1213">
        <v>-41.814900000000002</v>
      </c>
      <c r="AD1213">
        <v>-0.29320949999999901</v>
      </c>
      <c r="AE1213">
        <v>-112.0386</v>
      </c>
      <c r="AF1213">
        <v>28.273894192896101</v>
      </c>
      <c r="AG1213">
        <v>-0.29320949999999901</v>
      </c>
      <c r="AH1213">
        <v>116.196164812215</v>
      </c>
      <c r="AI1213">
        <v>90.140480866084104</v>
      </c>
      <c r="AJ1213">
        <v>76.324055052043704</v>
      </c>
      <c r="AK1213">
        <v>119.58698834617999</v>
      </c>
      <c r="AL1213">
        <v>91.621210106389896</v>
      </c>
      <c r="AM1213">
        <v>86.493337736783104</v>
      </c>
      <c r="AN1213">
        <v>1.0000000472530299</v>
      </c>
    </row>
    <row r="1214" spans="1:40" x14ac:dyDescent="0.25">
      <c r="A1214" t="str">
        <f>"20190312160935172"</f>
        <v>20190312160935172</v>
      </c>
      <c r="B1214" t="str">
        <f>"1552378175166639"</f>
        <v>1552378175166639</v>
      </c>
      <c r="C1214" t="s">
        <v>40</v>
      </c>
      <c r="D1214">
        <v>5.7419140000000004</v>
      </c>
      <c r="E1214">
        <v>0.56836369999999903</v>
      </c>
      <c r="F1214" t="s">
        <v>65</v>
      </c>
      <c r="G1214">
        <v>-233.3424</v>
      </c>
      <c r="H1214">
        <v>0.26758130000000002</v>
      </c>
      <c r="I1214">
        <v>199.90719999999999</v>
      </c>
      <c r="J1214">
        <v>-191.7227</v>
      </c>
      <c r="K1214">
        <v>1.109823</v>
      </c>
      <c r="L1214">
        <v>310.78890000000001</v>
      </c>
      <c r="M1214">
        <v>-0.118798</v>
      </c>
      <c r="N1214">
        <v>0</v>
      </c>
      <c r="O1214">
        <v>-0.99282789999999999</v>
      </c>
      <c r="P1214">
        <v>-0.18015990000000001</v>
      </c>
      <c r="Q1214">
        <v>-4.1543209999999997E-2</v>
      </c>
      <c r="R1214">
        <v>-0.98275999999999997</v>
      </c>
      <c r="S1214">
        <v>-1.0709690000000001</v>
      </c>
      <c r="T1214">
        <v>-2.1662710000000002E-2</v>
      </c>
      <c r="U1214">
        <v>-2.8562319999999999</v>
      </c>
      <c r="V1214">
        <v>6.2097550000000001E-2</v>
      </c>
      <c r="W1214">
        <v>-2.822318E-2</v>
      </c>
      <c r="X1214">
        <v>0.99767090000000003</v>
      </c>
      <c r="Y1214">
        <v>0.23734820000000001</v>
      </c>
      <c r="Z1214">
        <v>7.1526659999999898E-3</v>
      </c>
      <c r="AA1214">
        <v>0.97139830000000005</v>
      </c>
      <c r="AB1214">
        <v>19</v>
      </c>
      <c r="AC1214">
        <v>-41.619700000000002</v>
      </c>
      <c r="AD1214">
        <v>-0.84224169999999998</v>
      </c>
      <c r="AE1214">
        <v>-110.8817</v>
      </c>
      <c r="AF1214">
        <v>28.1497824153662</v>
      </c>
      <c r="AG1214">
        <v>-0.84224169999999998</v>
      </c>
      <c r="AH1214">
        <v>115.035307355615</v>
      </c>
      <c r="AI1214">
        <v>90.4074669382927</v>
      </c>
      <c r="AJ1214">
        <v>76.249613814894801</v>
      </c>
      <c r="AK1214">
        <v>118.432434575645</v>
      </c>
      <c r="AL1214">
        <v>91.617283952682996</v>
      </c>
      <c r="AM1214">
        <v>86.438361028919999</v>
      </c>
      <c r="AN1214">
        <v>0.99999993915606</v>
      </c>
    </row>
    <row r="1215" spans="1:40" x14ac:dyDescent="0.25">
      <c r="A1215" t="str">
        <f>"20190312160935194"</f>
        <v>20190312160935194</v>
      </c>
      <c r="B1215" t="str">
        <f>"1552378175186159"</f>
        <v>1552378175186159</v>
      </c>
      <c r="C1215" t="s">
        <v>40</v>
      </c>
      <c r="D1215">
        <v>6.0293429999999999</v>
      </c>
      <c r="E1215">
        <v>0.56876979999999999</v>
      </c>
      <c r="F1215" t="s">
        <v>43</v>
      </c>
      <c r="G1215">
        <v>-239.38800000000001</v>
      </c>
      <c r="H1215">
        <v>-0.05</v>
      </c>
      <c r="I1215">
        <v>184.6044</v>
      </c>
      <c r="J1215">
        <v>-191.74539999999999</v>
      </c>
      <c r="K1215">
        <v>1.1097809999999999</v>
      </c>
      <c r="L1215">
        <v>310.60520000000002</v>
      </c>
      <c r="M1215">
        <v>-0.11948250000000001</v>
      </c>
      <c r="N1215">
        <v>0</v>
      </c>
      <c r="O1215">
        <v>-0.99274600000000002</v>
      </c>
      <c r="P1215">
        <v>-0.18154699999999999</v>
      </c>
      <c r="Q1215">
        <v>-4.1398579999999997E-2</v>
      </c>
      <c r="R1215">
        <v>-0.98251089999999996</v>
      </c>
      <c r="S1215">
        <v>-1.078033</v>
      </c>
      <c r="T1215">
        <v>-2.623141E-2</v>
      </c>
      <c r="U1215">
        <v>-2.853882</v>
      </c>
      <c r="V1215">
        <v>6.2813839999999996E-2</v>
      </c>
      <c r="W1215">
        <v>-2.8088120000000001E-2</v>
      </c>
      <c r="X1215">
        <v>0.99762989999999996</v>
      </c>
      <c r="Y1215">
        <v>0.2390429</v>
      </c>
      <c r="Z1215">
        <v>8.6611640000000007E-3</v>
      </c>
      <c r="AA1215">
        <v>0.97097040000000001</v>
      </c>
      <c r="AB1215">
        <v>19</v>
      </c>
      <c r="AC1215">
        <v>-47.642600000000002</v>
      </c>
      <c r="AD1215">
        <v>-1.159781</v>
      </c>
      <c r="AE1215">
        <v>-126.0008</v>
      </c>
      <c r="AF1215">
        <v>32.2426110597414</v>
      </c>
      <c r="AG1215">
        <v>-1.159781</v>
      </c>
      <c r="AH1215">
        <v>130.78127955714299</v>
      </c>
      <c r="AI1215">
        <v>90.493320770873893</v>
      </c>
      <c r="AJ1215">
        <v>76.150574829157904</v>
      </c>
      <c r="AK1215">
        <v>134.702168291833</v>
      </c>
      <c r="AL1215">
        <v>91.609542466807198</v>
      </c>
      <c r="AM1215">
        <v>86.397237739577506</v>
      </c>
      <c r="AN1215">
        <v>0.99999996917734402</v>
      </c>
    </row>
    <row r="1216" spans="1:40" x14ac:dyDescent="0.25">
      <c r="A1216" t="str">
        <f>"20190312160935216"</f>
        <v>20190312160935216</v>
      </c>
      <c r="B1216" t="str">
        <f>"1552378175206656"</f>
        <v>1552378175206656</v>
      </c>
      <c r="C1216" t="s">
        <v>40</v>
      </c>
      <c r="D1216">
        <v>5.7709859999999997</v>
      </c>
      <c r="E1216">
        <v>0.56936540000000002</v>
      </c>
      <c r="F1216" t="s">
        <v>61</v>
      </c>
      <c r="G1216">
        <v>-230.1704</v>
      </c>
      <c r="H1216">
        <v>9.4267589999999998E-3</v>
      </c>
      <c r="I1216">
        <v>209.6163</v>
      </c>
      <c r="J1216">
        <v>-191.76820000000001</v>
      </c>
      <c r="K1216">
        <v>1.109729</v>
      </c>
      <c r="L1216">
        <v>310.42349999999999</v>
      </c>
      <c r="M1216">
        <v>-0.12024650000000001</v>
      </c>
      <c r="N1216">
        <v>0</v>
      </c>
      <c r="O1216">
        <v>-0.99265349999999997</v>
      </c>
      <c r="P1216">
        <v>-0.1834499</v>
      </c>
      <c r="Q1216">
        <v>-4.0909859999999999E-2</v>
      </c>
      <c r="R1216">
        <v>-0.98217739999999998</v>
      </c>
      <c r="S1216">
        <v>-1.0850070000000001</v>
      </c>
      <c r="T1216">
        <v>-3.1070710000000001E-2</v>
      </c>
      <c r="U1216">
        <v>-2.8516240000000002</v>
      </c>
      <c r="V1216">
        <v>6.3972570000000006E-2</v>
      </c>
      <c r="W1216">
        <v>-2.7610369999999999E-2</v>
      </c>
      <c r="X1216">
        <v>0.99756959999999995</v>
      </c>
      <c r="Y1216">
        <v>0.2406199</v>
      </c>
      <c r="Z1216">
        <v>1.0258669999999999E-2</v>
      </c>
      <c r="AA1216">
        <v>0.97056520000000002</v>
      </c>
      <c r="AB1216">
        <v>19</v>
      </c>
      <c r="AC1216">
        <v>-38.402199999999901</v>
      </c>
      <c r="AD1216">
        <v>-1.1003022410000001</v>
      </c>
      <c r="AE1216">
        <v>-100.80719999999999</v>
      </c>
      <c r="AF1216">
        <v>25.997998172284301</v>
      </c>
      <c r="AG1216">
        <v>-1.1003022410000001</v>
      </c>
      <c r="AH1216">
        <v>104.682871929852</v>
      </c>
      <c r="AI1216">
        <v>90.584450290299898</v>
      </c>
      <c r="AJ1216">
        <v>76.052764421270894</v>
      </c>
      <c r="AK1216">
        <v>107.868485895879</v>
      </c>
      <c r="AL1216">
        <v>91.582158793188299</v>
      </c>
      <c r="AM1216">
        <v>86.330736134485207</v>
      </c>
      <c r="AN1216">
        <v>0.99999996454405005</v>
      </c>
    </row>
    <row r="1217" spans="1:40" x14ac:dyDescent="0.25">
      <c r="A1217" t="str">
        <f>"20190312160935238"</f>
        <v>20190312160935238</v>
      </c>
      <c r="B1217" t="str">
        <f>"1552378175235935"</f>
        <v>1552378175235935</v>
      </c>
      <c r="C1217" t="s">
        <v>40</v>
      </c>
      <c r="D1217">
        <v>6.0628820000000001</v>
      </c>
      <c r="E1217">
        <v>0.56952150000000001</v>
      </c>
      <c r="F1217" t="s">
        <v>61</v>
      </c>
      <c r="G1217">
        <v>-230.5284</v>
      </c>
      <c r="H1217">
        <v>4.7823969999999999E-3</v>
      </c>
      <c r="I1217">
        <v>209.6163</v>
      </c>
      <c r="J1217">
        <v>-191.79159999999999</v>
      </c>
      <c r="K1217">
        <v>1.109674</v>
      </c>
      <c r="L1217">
        <v>310.23860000000002</v>
      </c>
      <c r="M1217">
        <v>-0.12111669999999999</v>
      </c>
      <c r="N1217">
        <v>0</v>
      </c>
      <c r="O1217">
        <v>-0.99254790000000004</v>
      </c>
      <c r="P1217">
        <v>-0.18630840000000001</v>
      </c>
      <c r="Q1217">
        <v>-4.0916170000000002E-2</v>
      </c>
      <c r="R1217">
        <v>-0.98163929999999999</v>
      </c>
      <c r="S1217">
        <v>-1.095261</v>
      </c>
      <c r="T1217">
        <v>-3.1222819999999998E-2</v>
      </c>
      <c r="U1217">
        <v>-2.848541</v>
      </c>
      <c r="V1217">
        <v>6.5997150000000004E-2</v>
      </c>
      <c r="W1217">
        <v>-2.7630740000000001E-2</v>
      </c>
      <c r="X1217">
        <v>0.99743720000000002</v>
      </c>
      <c r="Y1217">
        <v>0.2431644</v>
      </c>
      <c r="Z1217">
        <v>1.030789E-2</v>
      </c>
      <c r="AA1217">
        <v>0.96993030000000002</v>
      </c>
      <c r="AB1217">
        <v>19</v>
      </c>
      <c r="AC1217">
        <v>-38.736800000000002</v>
      </c>
      <c r="AD1217">
        <v>-1.104891603</v>
      </c>
      <c r="AE1217">
        <v>-100.6223</v>
      </c>
      <c r="AF1217">
        <v>26.260687011064299</v>
      </c>
      <c r="AG1217">
        <v>-1.104891603</v>
      </c>
      <c r="AH1217">
        <v>104.562527048936</v>
      </c>
      <c r="AI1217">
        <v>90.587176946088405</v>
      </c>
      <c r="AJ1217">
        <v>75.901857865364306</v>
      </c>
      <c r="AK1217">
        <v>107.81542807319801</v>
      </c>
      <c r="AL1217">
        <v>91.583326258320895</v>
      </c>
      <c r="AM1217">
        <v>86.214444078220495</v>
      </c>
      <c r="AN1217">
        <v>1.0000000247724501</v>
      </c>
    </row>
    <row r="1218" spans="1:40" x14ac:dyDescent="0.25">
      <c r="A1218" t="str">
        <f>"20190312160935263"</f>
        <v>20190312160935263</v>
      </c>
      <c r="B1218" t="str">
        <f>"1552378175256431"</f>
        <v>1552378175256431</v>
      </c>
      <c r="C1218" t="s">
        <v>40</v>
      </c>
      <c r="D1218">
        <v>5.7418430000000003</v>
      </c>
      <c r="E1218">
        <v>0.57005609999999995</v>
      </c>
      <c r="F1218" t="s">
        <v>61</v>
      </c>
      <c r="G1218">
        <v>-230.26750000000001</v>
      </c>
      <c r="H1218" s="1">
        <v>-1.243015E-6</v>
      </c>
      <c r="I1218">
        <v>211.15219999999999</v>
      </c>
      <c r="J1218">
        <v>-191.81700000000001</v>
      </c>
      <c r="K1218">
        <v>1.109607</v>
      </c>
      <c r="L1218">
        <v>310.04050000000001</v>
      </c>
      <c r="M1218">
        <v>-0.1221604</v>
      </c>
      <c r="N1218">
        <v>0</v>
      </c>
      <c r="O1218">
        <v>-0.99241990000000002</v>
      </c>
      <c r="P1218">
        <v>-0.1893196</v>
      </c>
      <c r="Q1218">
        <v>-4.0739909999999997E-2</v>
      </c>
      <c r="R1218">
        <v>-0.9810702</v>
      </c>
      <c r="S1218">
        <v>-1.1047819999999999</v>
      </c>
      <c r="T1218">
        <v>-3.1862740000000001E-2</v>
      </c>
      <c r="U1218">
        <v>-2.8451230000000001</v>
      </c>
      <c r="V1218">
        <v>6.800254E-2</v>
      </c>
      <c r="W1218">
        <v>-2.747026E-2</v>
      </c>
      <c r="X1218">
        <v>0.9973069</v>
      </c>
      <c r="Y1218">
        <v>0.24535699999999999</v>
      </c>
      <c r="Z1218">
        <v>1.051976E-2</v>
      </c>
      <c r="AA1218">
        <v>0.96937569999999995</v>
      </c>
      <c r="AB1218">
        <v>19</v>
      </c>
      <c r="AC1218">
        <v>-38.450499999999998</v>
      </c>
      <c r="AD1218">
        <v>-1.1096082430149901</v>
      </c>
      <c r="AE1218">
        <v>-98.888300000000001</v>
      </c>
      <c r="AF1218">
        <v>26.078296777636702</v>
      </c>
      <c r="AG1218">
        <v>-1.1096082430149901</v>
      </c>
      <c r="AH1218">
        <v>102.833832989618</v>
      </c>
      <c r="AI1218">
        <v>90.599247370977096</v>
      </c>
      <c r="AJ1218">
        <v>75.769980163902204</v>
      </c>
      <c r="AK1218">
        <v>106.09479723630299</v>
      </c>
      <c r="AL1218">
        <v>91.574127968721101</v>
      </c>
      <c r="AM1218">
        <v>86.099257946294699</v>
      </c>
      <c r="AN1218">
        <v>1.00000000670926</v>
      </c>
    </row>
    <row r="1219" spans="1:40" x14ac:dyDescent="0.25">
      <c r="A1219" t="str">
        <f>"20190312160935286"</f>
        <v>20190312160935286</v>
      </c>
      <c r="B1219" t="str">
        <f>"1552378175276927"</f>
        <v>1552378175276927</v>
      </c>
      <c r="C1219" t="s">
        <v>40</v>
      </c>
      <c r="D1219">
        <v>6.0440110000000002</v>
      </c>
      <c r="E1219">
        <v>0.57037009999999999</v>
      </c>
      <c r="F1219" t="s">
        <v>61</v>
      </c>
      <c r="G1219">
        <v>-226.5256</v>
      </c>
      <c r="H1219">
        <v>8.0000150000000006E-2</v>
      </c>
      <c r="I1219">
        <v>221.8177</v>
      </c>
      <c r="J1219">
        <v>-191.84110000000001</v>
      </c>
      <c r="K1219">
        <v>1.10954</v>
      </c>
      <c r="L1219">
        <v>309.85500000000002</v>
      </c>
      <c r="M1219">
        <v>-0.12326620000000001</v>
      </c>
      <c r="N1219">
        <v>0</v>
      </c>
      <c r="O1219">
        <v>-0.99228329999999998</v>
      </c>
      <c r="P1219">
        <v>-0.1925432</v>
      </c>
      <c r="Q1219">
        <v>-4.068343E-2</v>
      </c>
      <c r="R1219">
        <v>-0.98044500000000001</v>
      </c>
      <c r="S1219">
        <v>-1.117661</v>
      </c>
      <c r="T1219">
        <v>-3.3154610000000001E-2</v>
      </c>
      <c r="U1219">
        <v>-2.840881</v>
      </c>
      <c r="V1219">
        <v>7.0163470000000006E-2</v>
      </c>
      <c r="W1219">
        <v>-2.7430280000000001E-2</v>
      </c>
      <c r="X1219">
        <v>0.99715830000000005</v>
      </c>
      <c r="Y1219">
        <v>0.2485734</v>
      </c>
      <c r="Z1219">
        <v>1.094586E-2</v>
      </c>
      <c r="AA1219">
        <v>0.96855119999999895</v>
      </c>
      <c r="AB1219">
        <v>19</v>
      </c>
      <c r="AC1219">
        <v>-34.6844999999999</v>
      </c>
      <c r="AD1219">
        <v>-1.0295398499999999</v>
      </c>
      <c r="AE1219">
        <v>-88.037300000000002</v>
      </c>
      <c r="AF1219">
        <v>23.564149922713298</v>
      </c>
      <c r="AG1219">
        <v>-1.0295398499999999</v>
      </c>
      <c r="AH1219">
        <v>91.630737428748205</v>
      </c>
      <c r="AI1219">
        <v>90.623450081451793</v>
      </c>
      <c r="AJ1219">
        <v>75.578077146740199</v>
      </c>
      <c r="AK1219">
        <v>94.617763425368807</v>
      </c>
      <c r="AL1219">
        <v>91.571836424174194</v>
      </c>
      <c r="AM1219">
        <v>85.975106586006206</v>
      </c>
      <c r="AN1219">
        <v>1.0000000040210999</v>
      </c>
    </row>
    <row r="1220" spans="1:40" x14ac:dyDescent="0.25">
      <c r="A1220" t="str">
        <f>"20190312160935309"</f>
        <v>20190312160935309</v>
      </c>
      <c r="B1220" t="str">
        <f>"1552378175296447"</f>
        <v>1552378175296447</v>
      </c>
      <c r="C1220" t="s">
        <v>40</v>
      </c>
      <c r="D1220">
        <v>5.7853070000000004</v>
      </c>
      <c r="E1220">
        <v>0.57084049999999997</v>
      </c>
      <c r="F1220" t="s">
        <v>43</v>
      </c>
      <c r="G1220">
        <v>-226.91390000000001</v>
      </c>
      <c r="H1220">
        <v>-0.05</v>
      </c>
      <c r="I1220">
        <v>221.762</v>
      </c>
      <c r="J1220">
        <v>-191.86600000000001</v>
      </c>
      <c r="K1220">
        <v>1.109469</v>
      </c>
      <c r="L1220">
        <v>309.66660000000002</v>
      </c>
      <c r="M1220">
        <v>-0.1245189</v>
      </c>
      <c r="N1220">
        <v>0</v>
      </c>
      <c r="O1220">
        <v>-0.99212659999999997</v>
      </c>
      <c r="P1220">
        <v>-0.19579659999999999</v>
      </c>
      <c r="Q1220">
        <v>-4.0711619999999997E-2</v>
      </c>
      <c r="R1220">
        <v>-0.97979910000000003</v>
      </c>
      <c r="S1220">
        <v>-1.1293029999999999</v>
      </c>
      <c r="T1220">
        <v>-3.7335750000000001E-2</v>
      </c>
      <c r="U1220">
        <v>-2.836487</v>
      </c>
      <c r="V1220">
        <v>7.2209019999999999E-2</v>
      </c>
      <c r="W1220">
        <v>-2.7475400000000001E-2</v>
      </c>
      <c r="X1220">
        <v>0.99701099999999998</v>
      </c>
      <c r="Y1220">
        <v>0.25129089999999998</v>
      </c>
      <c r="Z1220">
        <v>1.232745E-2</v>
      </c>
      <c r="AA1220">
        <v>0.9678331</v>
      </c>
      <c r="AB1220">
        <v>18</v>
      </c>
      <c r="AC1220">
        <v>-35.047899999999998</v>
      </c>
      <c r="AD1220">
        <v>-1.1594690000000001</v>
      </c>
      <c r="AE1220">
        <v>-87.904600000000002</v>
      </c>
      <c r="AF1220">
        <v>23.824736205102599</v>
      </c>
      <c r="AG1220">
        <v>-1.1594690000000001</v>
      </c>
      <c r="AH1220">
        <v>91.571107937563099</v>
      </c>
      <c r="AI1220">
        <v>90.702066925126005</v>
      </c>
      <c r="AJ1220">
        <v>75.416261531423899</v>
      </c>
      <c r="AK1220">
        <v>94.626794474490794</v>
      </c>
      <c r="AL1220">
        <v>91.574422611032603</v>
      </c>
      <c r="AM1220">
        <v>85.857557423558802</v>
      </c>
      <c r="AN1220">
        <v>0.99999998714775995</v>
      </c>
    </row>
    <row r="1221" spans="1:40" x14ac:dyDescent="0.25">
      <c r="A1221" t="str">
        <f>"20190312160935328"</f>
        <v>20190312160935328</v>
      </c>
      <c r="B1221" t="str">
        <f>"1552378175316943"</f>
        <v>1552378175316943</v>
      </c>
      <c r="C1221" t="s">
        <v>40</v>
      </c>
      <c r="D1221">
        <v>5.791893</v>
      </c>
      <c r="E1221">
        <v>0.57127019999999995</v>
      </c>
      <c r="F1221" t="s">
        <v>43</v>
      </c>
      <c r="G1221">
        <v>-225.24100000000001</v>
      </c>
      <c r="H1221">
        <v>-0.05</v>
      </c>
      <c r="I1221">
        <v>226.9479</v>
      </c>
      <c r="J1221">
        <v>-191.88749999999999</v>
      </c>
      <c r="K1221">
        <v>1.1094139999999999</v>
      </c>
      <c r="L1221">
        <v>309.50630000000001</v>
      </c>
      <c r="M1221">
        <v>-0.12566569999999999</v>
      </c>
      <c r="N1221">
        <v>0</v>
      </c>
      <c r="O1221">
        <v>-0.99198229999999998</v>
      </c>
      <c r="P1221">
        <v>-0.19896330000000001</v>
      </c>
      <c r="Q1221">
        <v>-4.0534580000000001E-2</v>
      </c>
      <c r="R1221">
        <v>-0.97916840000000005</v>
      </c>
      <c r="S1221">
        <v>-1.142609</v>
      </c>
      <c r="T1221">
        <v>-3.969491E-2</v>
      </c>
      <c r="U1221">
        <v>-2.831909</v>
      </c>
      <c r="V1221">
        <v>7.427483E-2</v>
      </c>
      <c r="W1221">
        <v>-2.7312759999999998E-2</v>
      </c>
      <c r="X1221">
        <v>0.99686370000000002</v>
      </c>
      <c r="Y1221">
        <v>0.2546214</v>
      </c>
      <c r="Z1221">
        <v>1.310614E-2</v>
      </c>
      <c r="AA1221">
        <v>0.96695200000000003</v>
      </c>
      <c r="AB1221">
        <v>18</v>
      </c>
      <c r="AC1221">
        <v>-33.353499999999997</v>
      </c>
      <c r="AD1221">
        <v>-1.1594139999999999</v>
      </c>
      <c r="AE1221">
        <v>-82.558400000000006</v>
      </c>
      <c r="AF1221">
        <v>22.709507905136199</v>
      </c>
      <c r="AG1221">
        <v>-1.1594139999999999</v>
      </c>
      <c r="AH1221">
        <v>86.080984110651002</v>
      </c>
      <c r="AI1221">
        <v>90.746137674030393</v>
      </c>
      <c r="AJ1221">
        <v>75.2211989005893</v>
      </c>
      <c r="AK1221">
        <v>89.033711680323606</v>
      </c>
      <c r="AL1221">
        <v>91.565100527392005</v>
      </c>
      <c r="AM1221">
        <v>85.738850423002503</v>
      </c>
      <c r="AN1221">
        <v>0.99999998680401803</v>
      </c>
    </row>
    <row r="1222" spans="1:40" x14ac:dyDescent="0.25">
      <c r="A1222" t="str">
        <f>"20190312160935353"</f>
        <v>20190312160935353</v>
      </c>
      <c r="B1222" t="str">
        <f>"1552378175346223"</f>
        <v>1552378175346223</v>
      </c>
      <c r="C1222" t="s">
        <v>40</v>
      </c>
      <c r="D1222">
        <v>5.6938630000000003</v>
      </c>
      <c r="E1222">
        <v>0.57160040000000001</v>
      </c>
      <c r="F1222" t="s">
        <v>43</v>
      </c>
      <c r="G1222">
        <v>-224.47210000000001</v>
      </c>
      <c r="H1222">
        <v>-0.05</v>
      </c>
      <c r="I1222">
        <v>229.7353</v>
      </c>
      <c r="J1222">
        <v>-191.91460000000001</v>
      </c>
      <c r="K1222">
        <v>1.109362</v>
      </c>
      <c r="L1222">
        <v>309.30669999999998</v>
      </c>
      <c r="M1222">
        <v>-0.1271996</v>
      </c>
      <c r="N1222">
        <v>0</v>
      </c>
      <c r="O1222">
        <v>-0.99178659999999996</v>
      </c>
      <c r="P1222">
        <v>-0.20231969999999999</v>
      </c>
      <c r="Q1222">
        <v>-4.020634E-2</v>
      </c>
      <c r="R1222">
        <v>-0.97849390000000003</v>
      </c>
      <c r="S1222">
        <v>-1.154938</v>
      </c>
      <c r="T1222">
        <v>-4.1094539999999999E-2</v>
      </c>
      <c r="U1222">
        <v>-2.827423</v>
      </c>
      <c r="V1222">
        <v>7.6146019999999995E-2</v>
      </c>
      <c r="W1222">
        <v>-2.6999080000000002E-2</v>
      </c>
      <c r="X1222">
        <v>0.99673109999999998</v>
      </c>
      <c r="Y1222">
        <v>0.2572739</v>
      </c>
      <c r="Z1222">
        <v>1.3568469999999999E-2</v>
      </c>
      <c r="AA1222">
        <v>0.96624330000000003</v>
      </c>
      <c r="AB1222">
        <v>18</v>
      </c>
      <c r="AC1222">
        <v>-32.557499999999997</v>
      </c>
      <c r="AD1222">
        <v>-1.159362</v>
      </c>
      <c r="AE1222">
        <v>-79.571399999999898</v>
      </c>
      <c r="AF1222">
        <v>22.166602139662199</v>
      </c>
      <c r="AG1222">
        <v>-1.159362</v>
      </c>
      <c r="AH1222">
        <v>83.051506587069198</v>
      </c>
      <c r="AI1222">
        <v>90.772725321931205</v>
      </c>
      <c r="AJ1222">
        <v>75.056002260072702</v>
      </c>
      <c r="AK1222">
        <v>85.9665930291943</v>
      </c>
      <c r="AL1222">
        <v>91.547121295467306</v>
      </c>
      <c r="AM1222">
        <v>85.631331729674599</v>
      </c>
      <c r="AN1222">
        <v>1.00000002619494</v>
      </c>
    </row>
    <row r="1223" spans="1:40" x14ac:dyDescent="0.25">
      <c r="A1223" t="str">
        <f>"20190312160935373"</f>
        <v>20190312160935373</v>
      </c>
      <c r="B1223" t="str">
        <f>"1552378175366720"</f>
        <v>1552378175366720</v>
      </c>
      <c r="C1223" t="s">
        <v>40</v>
      </c>
      <c r="D1223">
        <v>5.7111150000000004</v>
      </c>
      <c r="E1223">
        <v>0.57191579999999997</v>
      </c>
      <c r="F1223" t="s">
        <v>43</v>
      </c>
      <c r="G1223">
        <v>-227.809</v>
      </c>
      <c r="H1223">
        <v>-0.05</v>
      </c>
      <c r="I1223">
        <v>222.48070000000001</v>
      </c>
      <c r="J1223">
        <v>-191.93770000000001</v>
      </c>
      <c r="K1223">
        <v>1.109332</v>
      </c>
      <c r="L1223">
        <v>309.13909999999998</v>
      </c>
      <c r="M1223">
        <v>-0.12857289999999999</v>
      </c>
      <c r="N1223">
        <v>0</v>
      </c>
      <c r="O1223">
        <v>-0.99160959999999998</v>
      </c>
      <c r="P1223">
        <v>-0.20558860000000001</v>
      </c>
      <c r="Q1223">
        <v>-4.0161299999999997E-2</v>
      </c>
      <c r="R1223">
        <v>-0.97781430000000003</v>
      </c>
      <c r="S1223">
        <v>-1.167084</v>
      </c>
      <c r="T1223">
        <v>-3.7695880000000001E-2</v>
      </c>
      <c r="U1223">
        <v>-2.8230900000000001</v>
      </c>
      <c r="V1223">
        <v>7.8093170000000003E-2</v>
      </c>
      <c r="W1223">
        <v>-2.6966770000000001E-2</v>
      </c>
      <c r="X1223">
        <v>0.9965813</v>
      </c>
      <c r="Y1223">
        <v>0.2600153</v>
      </c>
      <c r="Z1223">
        <v>1.244634E-2</v>
      </c>
      <c r="AA1223">
        <v>0.9655243</v>
      </c>
      <c r="AB1223">
        <v>18</v>
      </c>
      <c r="AC1223">
        <v>-35.871299999999998</v>
      </c>
      <c r="AD1223">
        <v>-1.159332</v>
      </c>
      <c r="AE1223">
        <v>-86.658399999999901</v>
      </c>
      <c r="AF1223">
        <v>24.426862995337999</v>
      </c>
      <c r="AG1223">
        <v>-1.159332</v>
      </c>
      <c r="AH1223">
        <v>90.537668034094395</v>
      </c>
      <c r="AI1223">
        <v>90.708306939698602</v>
      </c>
      <c r="AJ1223">
        <v>74.901223845021903</v>
      </c>
      <c r="AK1223">
        <v>93.782114603644601</v>
      </c>
      <c r="AL1223">
        <v>91.545269406181305</v>
      </c>
      <c r="AM1223">
        <v>85.519397825385099</v>
      </c>
      <c r="AN1223">
        <v>1.0000000186972799</v>
      </c>
    </row>
    <row r="1224" spans="1:40" x14ac:dyDescent="0.25">
      <c r="A1224" t="str">
        <f>"20190312160935395"</f>
        <v>20190312160935395</v>
      </c>
      <c r="B1224" t="str">
        <f>"1552378175386239"</f>
        <v>1552378175386239</v>
      </c>
      <c r="C1224" t="s">
        <v>40</v>
      </c>
      <c r="D1224">
        <v>5.5883890000000003</v>
      </c>
      <c r="E1224">
        <v>0.57200859999999998</v>
      </c>
      <c r="F1224" t="s">
        <v>43</v>
      </c>
      <c r="G1224">
        <v>-227.94239999999999</v>
      </c>
      <c r="H1224">
        <v>-0.05</v>
      </c>
      <c r="I1224">
        <v>223.07919999999999</v>
      </c>
      <c r="J1224">
        <v>-191.9631</v>
      </c>
      <c r="K1224">
        <v>1.1092979999999999</v>
      </c>
      <c r="L1224">
        <v>308.95740000000001</v>
      </c>
      <c r="M1224">
        <v>-0.13014909999999999</v>
      </c>
      <c r="N1224">
        <v>0</v>
      </c>
      <c r="O1224">
        <v>-0.99140379999999995</v>
      </c>
      <c r="P1224">
        <v>-0.2087524</v>
      </c>
      <c r="Q1224">
        <v>-3.9913650000000002E-2</v>
      </c>
      <c r="R1224">
        <v>-0.97715359999999996</v>
      </c>
      <c r="S1224">
        <v>-1.1791990000000001</v>
      </c>
      <c r="T1224">
        <v>-3.7969589999999998E-2</v>
      </c>
      <c r="U1224">
        <v>-2.8185730000000002</v>
      </c>
      <c r="V1224">
        <v>7.9730380000000003E-2</v>
      </c>
      <c r="W1224">
        <v>-2.6731319999999999E-2</v>
      </c>
      <c r="X1224">
        <v>0.99645799999999995</v>
      </c>
      <c r="Y1224">
        <v>0.26256239999999997</v>
      </c>
      <c r="Z1224">
        <v>1.253692E-2</v>
      </c>
      <c r="AA1224">
        <v>0.96483359999999996</v>
      </c>
      <c r="AB1224">
        <v>18</v>
      </c>
      <c r="AC1224">
        <v>-35.979299999999903</v>
      </c>
      <c r="AD1224">
        <v>-1.1592979999999999</v>
      </c>
      <c r="AE1224">
        <v>-85.878200000000007</v>
      </c>
      <c r="AF1224">
        <v>24.491448803269002</v>
      </c>
      <c r="AG1224">
        <v>-1.1592979999999999</v>
      </c>
      <c r="AH1224">
        <v>89.816796204531101</v>
      </c>
      <c r="AI1224">
        <v>90.713450228068098</v>
      </c>
      <c r="AJ1224">
        <v>74.747280729230795</v>
      </c>
      <c r="AK1224">
        <v>93.103339987254003</v>
      </c>
      <c r="AL1224">
        <v>91.531774246018699</v>
      </c>
      <c r="AM1224">
        <v>85.425293722735802</v>
      </c>
      <c r="AN1224">
        <v>1.00000002136394</v>
      </c>
    </row>
    <row r="1225" spans="1:40" x14ac:dyDescent="0.25">
      <c r="A1225" t="str">
        <f>"20190312160935417"</f>
        <v>20190312160935417</v>
      </c>
      <c r="B1225" t="str">
        <f>"1552378175406736"</f>
        <v>1552378175406736</v>
      </c>
      <c r="C1225" t="s">
        <v>40</v>
      </c>
      <c r="D1225">
        <v>5.7935670000000004</v>
      </c>
      <c r="E1225">
        <v>0.57232249999999996</v>
      </c>
      <c r="F1225" t="s">
        <v>43</v>
      </c>
      <c r="G1225">
        <v>-229.28479999999999</v>
      </c>
      <c r="H1225">
        <v>-0.05</v>
      </c>
      <c r="I1225">
        <v>220.6069</v>
      </c>
      <c r="J1225">
        <v>-191.98869999999999</v>
      </c>
      <c r="K1225">
        <v>1.1092690000000001</v>
      </c>
      <c r="L1225">
        <v>308.77749999999997</v>
      </c>
      <c r="M1225">
        <v>-0.13179270000000001</v>
      </c>
      <c r="N1225">
        <v>0</v>
      </c>
      <c r="O1225">
        <v>-0.99118689999999998</v>
      </c>
      <c r="P1225">
        <v>-0.21070069999999999</v>
      </c>
      <c r="Q1225">
        <v>-3.9574409999999997E-2</v>
      </c>
      <c r="R1225">
        <v>-0.97674950000000005</v>
      </c>
      <c r="S1225">
        <v>-1.1889799999999999</v>
      </c>
      <c r="T1225">
        <v>-3.6932470000000002E-2</v>
      </c>
      <c r="U1225">
        <v>-2.8146360000000001</v>
      </c>
      <c r="V1225">
        <v>8.0061789999999994E-2</v>
      </c>
      <c r="W1225">
        <v>-2.6400090000000001E-2</v>
      </c>
      <c r="X1225">
        <v>0.9964402</v>
      </c>
      <c r="Y1225">
        <v>0.26429279999999999</v>
      </c>
      <c r="Z1225">
        <v>1.2195370000000001E-2</v>
      </c>
      <c r="AA1225">
        <v>0.96436540000000004</v>
      </c>
      <c r="AB1225">
        <v>18</v>
      </c>
      <c r="AC1225">
        <v>-37.296100000000003</v>
      </c>
      <c r="AD1225">
        <v>-1.1592690000000001</v>
      </c>
      <c r="AE1225">
        <v>-88.170599999999894</v>
      </c>
      <c r="AF1225">
        <v>25.345719355273701</v>
      </c>
      <c r="AG1225">
        <v>-1.1592690000000001</v>
      </c>
      <c r="AH1225">
        <v>92.303635203463202</v>
      </c>
      <c r="AI1225">
        <v>90.693875880335099</v>
      </c>
      <c r="AJ1225">
        <v>74.645553649454996</v>
      </c>
      <c r="AK1225">
        <v>95.727271276395797</v>
      </c>
      <c r="AL1225">
        <v>91.512789552424593</v>
      </c>
      <c r="AM1225">
        <v>85.406277849769097</v>
      </c>
      <c r="AN1225">
        <v>0.99999996357302501</v>
      </c>
    </row>
    <row r="1226" spans="1:40" x14ac:dyDescent="0.25">
      <c r="A1226" t="str">
        <f>"20190312160935442"</f>
        <v>20190312160935442</v>
      </c>
      <c r="B1226" t="str">
        <f>"1552378175436016"</f>
        <v>1552378175436016</v>
      </c>
      <c r="C1226" t="s">
        <v>40</v>
      </c>
      <c r="D1226">
        <v>5.8461530000000002</v>
      </c>
      <c r="E1226">
        <v>0.57289369999999995</v>
      </c>
      <c r="F1226" t="s">
        <v>43</v>
      </c>
      <c r="G1226">
        <v>-227.57480000000001</v>
      </c>
      <c r="H1226">
        <v>-0.05</v>
      </c>
      <c r="I1226">
        <v>225.19149999999999</v>
      </c>
      <c r="J1226">
        <v>-192.0181</v>
      </c>
      <c r="K1226">
        <v>1.109224</v>
      </c>
      <c r="L1226">
        <v>308.57339999999999</v>
      </c>
      <c r="M1226">
        <v>-0.133746</v>
      </c>
      <c r="N1226">
        <v>0</v>
      </c>
      <c r="O1226">
        <v>-0.9909251</v>
      </c>
      <c r="P1226">
        <v>-0.21227699999999999</v>
      </c>
      <c r="Q1226">
        <v>-3.8971619999999998E-2</v>
      </c>
      <c r="R1226">
        <v>-0.97643239999999998</v>
      </c>
      <c r="S1226">
        <v>-1.197052</v>
      </c>
      <c r="T1226">
        <v>-3.8995620000000002E-2</v>
      </c>
      <c r="U1226">
        <v>-2.8116759999999998</v>
      </c>
      <c r="V1226">
        <v>7.9701649999999999E-2</v>
      </c>
      <c r="W1226">
        <v>-2.5803929999999999E-2</v>
      </c>
      <c r="X1226">
        <v>0.9964847</v>
      </c>
      <c r="Y1226">
        <v>0.26509850000000001</v>
      </c>
      <c r="Z1226">
        <v>1.287548E-2</v>
      </c>
      <c r="AA1226">
        <v>0.96413530000000003</v>
      </c>
      <c r="AB1226">
        <v>18</v>
      </c>
      <c r="AC1226">
        <v>-35.556699999999999</v>
      </c>
      <c r="AD1226">
        <v>-1.159224</v>
      </c>
      <c r="AE1226">
        <v>-83.381900000000002</v>
      </c>
      <c r="AF1226">
        <v>24.080253853337599</v>
      </c>
      <c r="AG1226">
        <v>-1.159224</v>
      </c>
      <c r="AH1226">
        <v>87.374336022979705</v>
      </c>
      <c r="AI1226">
        <v>90.732799971896398</v>
      </c>
      <c r="AJ1226">
        <v>74.591862161485807</v>
      </c>
      <c r="AK1226">
        <v>90.639268649851402</v>
      </c>
      <c r="AL1226">
        <v>91.478620437587594</v>
      </c>
      <c r="AM1226">
        <v>85.427057188442603</v>
      </c>
      <c r="AN1226">
        <v>0.99999997657512796</v>
      </c>
    </row>
    <row r="1227" spans="1:40" x14ac:dyDescent="0.25">
      <c r="A1227" t="str">
        <f>"20190312160935462"</f>
        <v>20190312160935462</v>
      </c>
      <c r="B1227" t="str">
        <f>"1552378175456511"</f>
        <v>1552378175456511</v>
      </c>
      <c r="C1227" t="s">
        <v>40</v>
      </c>
      <c r="D1227">
        <v>5.7127400000000002</v>
      </c>
      <c r="E1227">
        <v>0.57289369999999995</v>
      </c>
      <c r="F1227" t="s">
        <v>43</v>
      </c>
      <c r="G1227">
        <v>-228.9494</v>
      </c>
      <c r="H1227">
        <v>-0.05</v>
      </c>
      <c r="I1227">
        <v>222.56180000000001</v>
      </c>
      <c r="J1227">
        <v>-192.041</v>
      </c>
      <c r="K1227">
        <v>1.1091959999999901</v>
      </c>
      <c r="L1227">
        <v>308.41789999999997</v>
      </c>
      <c r="M1227">
        <v>-0.135299799999999</v>
      </c>
      <c r="N1227">
        <v>0</v>
      </c>
      <c r="O1227">
        <v>-0.99071399999999998</v>
      </c>
      <c r="P1227">
        <v>-0.21277389999999999</v>
      </c>
      <c r="Q1227">
        <v>-3.810123E-2</v>
      </c>
      <c r="R1227">
        <v>-0.97635839999999996</v>
      </c>
      <c r="S1227">
        <v>-1.205994</v>
      </c>
      <c r="T1227">
        <v>-3.7854550000000001E-2</v>
      </c>
      <c r="U1227">
        <v>-2.808716</v>
      </c>
      <c r="V1227">
        <v>7.8641970000000005E-2</v>
      </c>
      <c r="W1227">
        <v>-2.4935490000000001E-2</v>
      </c>
      <c r="X1227">
        <v>0.996591</v>
      </c>
      <c r="Y1227">
        <v>0.26654889999999998</v>
      </c>
      <c r="Z1227">
        <v>1.2496810000000001E-2</v>
      </c>
      <c r="AA1227">
        <v>0.96374040000000005</v>
      </c>
      <c r="AB1227">
        <v>18</v>
      </c>
      <c r="AC1227">
        <v>-36.9084</v>
      </c>
      <c r="AD1227">
        <v>-1.1591959999999999</v>
      </c>
      <c r="AE1227">
        <v>-85.856099999999898</v>
      </c>
      <c r="AF1227">
        <v>24.947759409260001</v>
      </c>
      <c r="AG1227">
        <v>-1.1591959999999999</v>
      </c>
      <c r="AH1227">
        <v>90.046778663140202</v>
      </c>
      <c r="AI1227">
        <v>90.710771299605</v>
      </c>
      <c r="AJ1227">
        <v>74.514430940596199</v>
      </c>
      <c r="AK1227">
        <v>93.446009987143398</v>
      </c>
      <c r="AL1227">
        <v>91.428846463242095</v>
      </c>
      <c r="AM1227">
        <v>85.488083677883594</v>
      </c>
      <c r="AN1227">
        <v>0.99999997969401</v>
      </c>
    </row>
    <row r="1228" spans="1:40" x14ac:dyDescent="0.25">
      <c r="A1228" t="str">
        <f>"20190312160935821"</f>
        <v>20190312160935821</v>
      </c>
      <c r="B1228" t="str">
        <f>"1552378175816656"</f>
        <v>1552378175816656</v>
      </c>
      <c r="C1228" t="s">
        <v>40</v>
      </c>
      <c r="D1228">
        <v>5.5800020000000004</v>
      </c>
      <c r="E1228">
        <v>0.57357760000000002</v>
      </c>
      <c r="F1228" t="s">
        <v>61</v>
      </c>
      <c r="G1228">
        <v>-230.25890000000001</v>
      </c>
      <c r="H1228" s="1">
        <v>-1.6139359999999899E-6</v>
      </c>
      <c r="I1228">
        <v>219.53360000000001</v>
      </c>
      <c r="J1228">
        <v>-192.5204</v>
      </c>
      <c r="K1228">
        <v>1.1090869999999999</v>
      </c>
      <c r="L1228">
        <v>305.54770000000002</v>
      </c>
      <c r="M1228">
        <v>-0.1694203</v>
      </c>
      <c r="N1228">
        <v>0</v>
      </c>
      <c r="O1228">
        <v>-0.98545280000000002</v>
      </c>
      <c r="P1228">
        <v>-0.2536274</v>
      </c>
      <c r="Q1228">
        <v>-4.2845880000000003E-2</v>
      </c>
      <c r="R1228">
        <v>-0.96635260000000001</v>
      </c>
      <c r="S1228">
        <v>-1.2074129999999901</v>
      </c>
      <c r="T1228">
        <v>-3.504264E-2</v>
      </c>
      <c r="U1228">
        <v>-2.8081049999999999</v>
      </c>
      <c r="V1228">
        <v>8.6144579999999998E-2</v>
      </c>
      <c r="W1228">
        <v>-2.9742939999999999E-2</v>
      </c>
      <c r="X1228">
        <v>0.99583860000000002</v>
      </c>
      <c r="Y1228">
        <v>0.2336133</v>
      </c>
      <c r="Z1228">
        <v>1.1527859999999999E-2</v>
      </c>
      <c r="AA1228">
        <v>0.97226129999999999</v>
      </c>
      <c r="AB1228">
        <v>18</v>
      </c>
      <c r="AC1228">
        <v>-37.738500000000002</v>
      </c>
      <c r="AD1228">
        <v>-1.1090886139359999</v>
      </c>
      <c r="AE1228">
        <v>-86.014099999999999</v>
      </c>
      <c r="AF1228">
        <v>22.615853302539801</v>
      </c>
      <c r="AG1228">
        <v>-1.1090886139359999</v>
      </c>
      <c r="AH1228">
        <v>91.151979242137898</v>
      </c>
      <c r="AI1228">
        <v>90.676597604843394</v>
      </c>
      <c r="AJ1228">
        <v>76.065640478759093</v>
      </c>
      <c r="AK1228">
        <v>93.922256243739696</v>
      </c>
      <c r="AL1228">
        <v>91.704396250967704</v>
      </c>
      <c r="AM1228">
        <v>85.055961430808395</v>
      </c>
      <c r="AN1228">
        <v>1.0000000241965801</v>
      </c>
    </row>
    <row r="1229" spans="1:40" x14ac:dyDescent="0.25">
      <c r="A1229" t="str">
        <f>"20190312160935842"</f>
        <v>20190312160935842</v>
      </c>
      <c r="B1229" t="str">
        <f>"1552378175836176"</f>
        <v>1552378175836176</v>
      </c>
      <c r="C1229" t="s">
        <v>40</v>
      </c>
      <c r="D1229">
        <v>5.6943289999999998</v>
      </c>
      <c r="E1229">
        <v>0.57420749999999998</v>
      </c>
      <c r="F1229" t="s">
        <v>43</v>
      </c>
      <c r="G1229">
        <v>-224.62180000000001</v>
      </c>
      <c r="H1229">
        <v>-0.05</v>
      </c>
      <c r="I1229">
        <v>239.0727</v>
      </c>
      <c r="J1229">
        <v>-192.55119999999999</v>
      </c>
      <c r="K1229">
        <v>1.1090880000000001</v>
      </c>
      <c r="L1229">
        <v>305.38380000000001</v>
      </c>
      <c r="M1229">
        <v>-0.1714995</v>
      </c>
      <c r="N1229">
        <v>0</v>
      </c>
      <c r="O1229">
        <v>-0.98509340000000001</v>
      </c>
      <c r="P1229">
        <v>-0.25766929999999999</v>
      </c>
      <c r="Q1229">
        <v>-4.2856909999999998E-2</v>
      </c>
      <c r="R1229">
        <v>-0.96528259999999999</v>
      </c>
      <c r="S1229">
        <v>-1.3296049999999999</v>
      </c>
      <c r="T1229">
        <v>-4.8008200000000001E-2</v>
      </c>
      <c r="U1229">
        <v>-2.7533259999999999</v>
      </c>
      <c r="V1229">
        <v>8.8209640000000006E-2</v>
      </c>
      <c r="W1229">
        <v>-2.9763020000000001E-2</v>
      </c>
      <c r="X1229">
        <v>0.99565720000000002</v>
      </c>
      <c r="Y1229">
        <v>0.27391090000000001</v>
      </c>
      <c r="Z1229">
        <v>1.584294E-2</v>
      </c>
      <c r="AA1229">
        <v>0.96162460000000005</v>
      </c>
      <c r="AB1229">
        <v>18</v>
      </c>
      <c r="AC1229">
        <v>-32.070599999999999</v>
      </c>
      <c r="AD1229">
        <v>-1.1590879999999999</v>
      </c>
      <c r="AE1229">
        <v>-66.311099999999996</v>
      </c>
      <c r="AF1229">
        <v>20.217018938337699</v>
      </c>
      <c r="AG1229">
        <v>-1.1590879999999999</v>
      </c>
      <c r="AH1229">
        <v>70.811521241306593</v>
      </c>
      <c r="AI1229">
        <v>90.901744296434998</v>
      </c>
      <c r="AJ1229">
        <v>74.065709184631899</v>
      </c>
      <c r="AK1229">
        <v>73.650138358681104</v>
      </c>
      <c r="AL1229">
        <v>91.705547268749498</v>
      </c>
      <c r="AM1229">
        <v>84.937133971421204</v>
      </c>
      <c r="AN1229">
        <v>1.0000000189301399</v>
      </c>
    </row>
    <row r="1230" spans="1:40" x14ac:dyDescent="0.25">
      <c r="A1230" t="str">
        <f>"20190312160935864"</f>
        <v>20190312160935864</v>
      </c>
      <c r="B1230" t="str">
        <f>"1552378175856671"</f>
        <v>1552378175856671</v>
      </c>
      <c r="C1230" t="s">
        <v>40</v>
      </c>
      <c r="D1230">
        <v>5.7129799999999999</v>
      </c>
      <c r="E1230">
        <v>0.57480690000000001</v>
      </c>
      <c r="F1230" t="s">
        <v>43</v>
      </c>
      <c r="G1230">
        <v>-222.6669</v>
      </c>
      <c r="H1230">
        <v>-0.05</v>
      </c>
      <c r="I1230">
        <v>243.93279999999999</v>
      </c>
      <c r="J1230">
        <v>-192.58369999999999</v>
      </c>
      <c r="K1230">
        <v>1.109092</v>
      </c>
      <c r="L1230">
        <v>305.21260000000001</v>
      </c>
      <c r="M1230">
        <v>-0.17367769999999999</v>
      </c>
      <c r="N1230">
        <v>0</v>
      </c>
      <c r="O1230">
        <v>-0.98471160000000002</v>
      </c>
      <c r="P1230">
        <v>-0.26207249999999999</v>
      </c>
      <c r="Q1230">
        <v>-4.3232909999999999E-2</v>
      </c>
      <c r="R1230">
        <v>-0.96407969999999998</v>
      </c>
      <c r="S1230">
        <v>-1.3458859999999999</v>
      </c>
      <c r="T1230">
        <v>-5.1800249999999999E-2</v>
      </c>
      <c r="U1230">
        <v>-2.7462770000000001</v>
      </c>
      <c r="V1230">
        <v>9.0552709999999995E-2</v>
      </c>
      <c r="W1230">
        <v>-3.0149780000000001E-2</v>
      </c>
      <c r="X1230">
        <v>0.99543519999999996</v>
      </c>
      <c r="Y1230">
        <v>0.2773466</v>
      </c>
      <c r="Z1230">
        <v>1.7093669999999998E-2</v>
      </c>
      <c r="AA1230">
        <v>0.96061779999999997</v>
      </c>
      <c r="AB1230">
        <v>18</v>
      </c>
      <c r="AC1230">
        <v>-30.083200000000001</v>
      </c>
      <c r="AD1230">
        <v>-1.159092</v>
      </c>
      <c r="AE1230">
        <v>-61.279800000000002</v>
      </c>
      <c r="AF1230">
        <v>18.9765706435055</v>
      </c>
      <c r="AG1230">
        <v>-1.159092</v>
      </c>
      <c r="AH1230">
        <v>65.554685186230799</v>
      </c>
      <c r="AI1230">
        <v>90.973018500469806</v>
      </c>
      <c r="AJ1230">
        <v>73.855488314912705</v>
      </c>
      <c r="AK1230">
        <v>68.255918992555195</v>
      </c>
      <c r="AL1230">
        <v>91.727716931976701</v>
      </c>
      <c r="AM1230">
        <v>84.802225775663402</v>
      </c>
      <c r="AN1230">
        <v>1.00000001996071</v>
      </c>
    </row>
    <row r="1231" spans="1:40" x14ac:dyDescent="0.25">
      <c r="A1231" t="str">
        <f>"20190312160935889"</f>
        <v>20190312160935889</v>
      </c>
      <c r="B1231" t="str">
        <f>"1552378175876192"</f>
        <v>1552378175876192</v>
      </c>
      <c r="C1231" t="s">
        <v>40</v>
      </c>
      <c r="D1231">
        <v>5.7666360000000001</v>
      </c>
      <c r="E1231">
        <v>0.57529869999999905</v>
      </c>
      <c r="F1231" t="s">
        <v>43</v>
      </c>
      <c r="G1231">
        <v>-220.65620000000001</v>
      </c>
      <c r="H1231">
        <v>-0.05</v>
      </c>
      <c r="I1231">
        <v>248.79920000000001</v>
      </c>
      <c r="J1231">
        <v>-192.62100000000001</v>
      </c>
      <c r="K1231">
        <v>1.109091</v>
      </c>
      <c r="L1231">
        <v>305.01859999999999</v>
      </c>
      <c r="M1231">
        <v>-0.17616009999999999</v>
      </c>
      <c r="N1231">
        <v>0</v>
      </c>
      <c r="O1231">
        <v>-0.98427050000000005</v>
      </c>
      <c r="P1231">
        <v>-0.26602019999999998</v>
      </c>
      <c r="Q1231">
        <v>-4.3612890000000001E-2</v>
      </c>
      <c r="R1231">
        <v>-0.96298010000000001</v>
      </c>
      <c r="S1231">
        <v>-1.3628690000000001</v>
      </c>
      <c r="T1231">
        <v>-5.6271790000000002E-2</v>
      </c>
      <c r="U1231">
        <v>-2.7387700000000001</v>
      </c>
      <c r="V1231">
        <v>9.2122259999999997E-2</v>
      </c>
      <c r="W1231">
        <v>-3.0538450000000002E-2</v>
      </c>
      <c r="X1231">
        <v>0.99527929999999998</v>
      </c>
      <c r="Y1231">
        <v>0.28073690000000001</v>
      </c>
      <c r="Z1231">
        <v>1.8568169999999998E-2</v>
      </c>
      <c r="AA1231">
        <v>0.95960520000000005</v>
      </c>
      <c r="AB1231">
        <v>18</v>
      </c>
      <c r="AC1231">
        <v>-28.0352</v>
      </c>
      <c r="AD1231">
        <v>-1.1590910000000001</v>
      </c>
      <c r="AE1231">
        <v>-56.219399999999901</v>
      </c>
      <c r="AF1231">
        <v>17.686169811730199</v>
      </c>
      <c r="AG1231">
        <v>-1.1590910000000001</v>
      </c>
      <c r="AH1231">
        <v>60.258668756641498</v>
      </c>
      <c r="AI1231">
        <v>91.057371217807898</v>
      </c>
      <c r="AJ1231">
        <v>73.642816797433397</v>
      </c>
      <c r="AK1231">
        <v>62.811235100722897</v>
      </c>
      <c r="AL1231">
        <v>91.749996383022093</v>
      </c>
      <c r="AM1231">
        <v>84.711815550814805</v>
      </c>
      <c r="AN1231">
        <v>0.99999999636220005</v>
      </c>
    </row>
    <row r="1232" spans="1:40" x14ac:dyDescent="0.25">
      <c r="A1232" t="str">
        <f>"20190312160935912"</f>
        <v>20190312160935912</v>
      </c>
      <c r="B1232" t="str">
        <f>"1552378175906448"</f>
        <v>1552378175906448</v>
      </c>
      <c r="C1232" t="s">
        <v>40</v>
      </c>
      <c r="D1232">
        <v>5.7722519999999999</v>
      </c>
      <c r="E1232">
        <v>0.57597799999999999</v>
      </c>
      <c r="F1232" t="s">
        <v>43</v>
      </c>
      <c r="G1232">
        <v>-219.26750000000001</v>
      </c>
      <c r="H1232">
        <v>-0.05</v>
      </c>
      <c r="I1232">
        <v>252.18199999999999</v>
      </c>
      <c r="J1232">
        <v>-192.65610000000001</v>
      </c>
      <c r="K1232">
        <v>1.1090850000000001</v>
      </c>
      <c r="L1232">
        <v>304.83890000000002</v>
      </c>
      <c r="M1232">
        <v>-0.17847499999999999</v>
      </c>
      <c r="N1232">
        <v>0</v>
      </c>
      <c r="O1232">
        <v>-0.98385350000000005</v>
      </c>
      <c r="P1232">
        <v>-0.27031699999999997</v>
      </c>
      <c r="Q1232">
        <v>-4.3219059999999997E-2</v>
      </c>
      <c r="R1232">
        <v>-0.96180120000000002</v>
      </c>
      <c r="S1232">
        <v>-1.3778079999999999</v>
      </c>
      <c r="T1232">
        <v>-5.9933189999999997E-2</v>
      </c>
      <c r="U1232">
        <v>-2.7320250000000001</v>
      </c>
      <c r="V1232">
        <v>9.4220979999999996E-2</v>
      </c>
      <c r="W1232">
        <v>-3.0155129999999999E-2</v>
      </c>
      <c r="X1232">
        <v>0.99509449999999999</v>
      </c>
      <c r="Y1232">
        <v>0.28360400000000002</v>
      </c>
      <c r="Z1232">
        <v>1.9775290000000001E-2</v>
      </c>
      <c r="AA1232">
        <v>0.95873759999999997</v>
      </c>
      <c r="AB1232">
        <v>18</v>
      </c>
      <c r="AC1232">
        <v>-26.6114</v>
      </c>
      <c r="AD1232">
        <v>-1.1590849999999999</v>
      </c>
      <c r="AE1232">
        <v>-52.6569</v>
      </c>
      <c r="AF1232">
        <v>16.778804988268799</v>
      </c>
      <c r="AG1232">
        <v>-1.1590849999999999</v>
      </c>
      <c r="AH1232">
        <v>56.539384763443202</v>
      </c>
      <c r="AI1232">
        <v>91.125907838722</v>
      </c>
      <c r="AJ1232">
        <v>73.471052657710203</v>
      </c>
      <c r="AK1232">
        <v>58.987912357535102</v>
      </c>
      <c r="AL1232">
        <v>91.728023647955595</v>
      </c>
      <c r="AM1232">
        <v>84.591048679322398</v>
      </c>
      <c r="AN1232">
        <v>0.999999994433863</v>
      </c>
    </row>
    <row r="1233" spans="1:40" x14ac:dyDescent="0.25">
      <c r="A1233" t="str">
        <f>"20190312160935935"</f>
        <v>20190312160935935</v>
      </c>
      <c r="B1233" t="str">
        <f>"1552378175925968"</f>
        <v>1552378175925968</v>
      </c>
      <c r="C1233" t="s">
        <v>40</v>
      </c>
      <c r="D1233">
        <v>5.5837500000000002</v>
      </c>
      <c r="E1233">
        <v>0.57676549999999904</v>
      </c>
      <c r="F1233" t="s">
        <v>43</v>
      </c>
      <c r="G1233">
        <v>-218.77979999999999</v>
      </c>
      <c r="H1233">
        <v>-0.05</v>
      </c>
      <c r="I1233">
        <v>253.82480000000001</v>
      </c>
      <c r="J1233">
        <v>-192.69280000000001</v>
      </c>
      <c r="K1233">
        <v>1.109073</v>
      </c>
      <c r="L1233">
        <v>304.6533</v>
      </c>
      <c r="M1233">
        <v>-0.1808816</v>
      </c>
      <c r="N1233">
        <v>0</v>
      </c>
      <c r="O1233">
        <v>-0.98341389999999995</v>
      </c>
      <c r="P1233">
        <v>-0.27381879999999997</v>
      </c>
      <c r="Q1233">
        <v>-4.2957660000000002E-2</v>
      </c>
      <c r="R1233">
        <v>-0.9608217</v>
      </c>
      <c r="S1233">
        <v>-1.3950499999999999</v>
      </c>
      <c r="T1233">
        <v>-6.189716E-2</v>
      </c>
      <c r="U1233">
        <v>-2.724243</v>
      </c>
      <c r="V1233">
        <v>9.5408779999999999E-2</v>
      </c>
      <c r="W1233">
        <v>-2.9900949999999999E-2</v>
      </c>
      <c r="X1233">
        <v>0.99498900000000001</v>
      </c>
      <c r="Y1233">
        <v>0.28717019999999999</v>
      </c>
      <c r="Z1233">
        <v>2.0422340000000001E-2</v>
      </c>
      <c r="AA1233">
        <v>0.95766189999999995</v>
      </c>
      <c r="AB1233">
        <v>18</v>
      </c>
      <c r="AC1233">
        <v>-26.0869999999999</v>
      </c>
      <c r="AD1233">
        <v>-1.159073</v>
      </c>
      <c r="AE1233">
        <v>-50.828499999999899</v>
      </c>
      <c r="AF1233">
        <v>16.455078270066</v>
      </c>
      <c r="AG1233">
        <v>-1.159073</v>
      </c>
      <c r="AH1233">
        <v>54.686498679932001</v>
      </c>
      <c r="AI1233">
        <v>91.162714037349105</v>
      </c>
      <c r="AJ1233">
        <v>73.2535447310607</v>
      </c>
      <c r="AK1233">
        <v>57.120278264059003</v>
      </c>
      <c r="AL1233">
        <v>91.713453616326206</v>
      </c>
      <c r="AM1233">
        <v>84.522695412503097</v>
      </c>
      <c r="AN1233">
        <v>1.00000000611649</v>
      </c>
    </row>
    <row r="1234" spans="1:40" x14ac:dyDescent="0.25">
      <c r="A1234" t="str">
        <f>"20190312160935954"</f>
        <v>20190312160935954</v>
      </c>
      <c r="B1234" t="str">
        <f>"1552378175946464"</f>
        <v>1552378175946464</v>
      </c>
      <c r="C1234" t="s">
        <v>40</v>
      </c>
      <c r="D1234">
        <v>3.6872639999999999</v>
      </c>
      <c r="E1234">
        <v>0.57727130000000004</v>
      </c>
      <c r="F1234" t="s">
        <v>43</v>
      </c>
      <c r="G1234">
        <v>-220.1422</v>
      </c>
      <c r="H1234">
        <v>-0.05</v>
      </c>
      <c r="I1234">
        <v>251.7901</v>
      </c>
      <c r="J1234">
        <v>-192.72149999999999</v>
      </c>
      <c r="K1234">
        <v>1.1090679999999999</v>
      </c>
      <c r="L1234">
        <v>304.50959999999998</v>
      </c>
      <c r="M1234">
        <v>-0.1827616</v>
      </c>
      <c r="N1234">
        <v>0</v>
      </c>
      <c r="O1234">
        <v>-0.98306629999999995</v>
      </c>
      <c r="P1234">
        <v>-0.27725719999999998</v>
      </c>
      <c r="Q1234">
        <v>-4.302831E-2</v>
      </c>
      <c r="R1234">
        <v>-0.95983209999999997</v>
      </c>
      <c r="S1234">
        <v>-1.4110720000000001</v>
      </c>
      <c r="T1234">
        <v>-5.9583539999999997E-2</v>
      </c>
      <c r="U1234">
        <v>-2.7174990000000001</v>
      </c>
      <c r="V1234">
        <v>9.7067870000000001E-2</v>
      </c>
      <c r="W1234">
        <v>-2.9980779999999999E-2</v>
      </c>
      <c r="X1234">
        <v>0.99482610000000005</v>
      </c>
      <c r="Y1234">
        <v>0.29076540000000001</v>
      </c>
      <c r="Z1234">
        <v>1.9656050000000001E-2</v>
      </c>
      <c r="AA1234">
        <v>0.95659240000000001</v>
      </c>
      <c r="AB1234">
        <v>18</v>
      </c>
      <c r="AC1234">
        <v>-27.4207</v>
      </c>
      <c r="AD1234">
        <v>-1.159068</v>
      </c>
      <c r="AE1234">
        <v>-52.719499999999897</v>
      </c>
      <c r="AF1234">
        <v>17.316227208730499</v>
      </c>
      <c r="AG1234">
        <v>-1.159068</v>
      </c>
      <c r="AH1234">
        <v>56.821680714932597</v>
      </c>
      <c r="AI1234">
        <v>91.117835730483407</v>
      </c>
      <c r="AJ1234">
        <v>73.051565960246904</v>
      </c>
      <c r="AK1234">
        <v>59.412949452478301</v>
      </c>
      <c r="AL1234">
        <v>91.718029610913206</v>
      </c>
      <c r="AM1234">
        <v>84.427136692873006</v>
      </c>
      <c r="AN1234">
        <v>0.99999999389847705</v>
      </c>
    </row>
    <row r="1235" spans="1:40" x14ac:dyDescent="0.25">
      <c r="A1235" t="str">
        <f>"20190312160936021"</f>
        <v>20190312160936021</v>
      </c>
      <c r="B1235" t="str">
        <f>"1552378176016736"</f>
        <v>1552378176016736</v>
      </c>
      <c r="C1235" t="s">
        <v>40</v>
      </c>
      <c r="D1235">
        <v>6.2139930000000003</v>
      </c>
      <c r="E1235">
        <v>0.66722409999999999</v>
      </c>
      <c r="F1235" t="s">
        <v>43</v>
      </c>
      <c r="G1235">
        <v>-220.48859999999999</v>
      </c>
      <c r="H1235">
        <v>-0.05</v>
      </c>
      <c r="I1235">
        <v>251.65600000000001</v>
      </c>
      <c r="J1235">
        <v>-192.8289</v>
      </c>
      <c r="K1235">
        <v>1.1090249999999999</v>
      </c>
      <c r="L1235">
        <v>303.9853</v>
      </c>
      <c r="M1235">
        <v>-0.18980559999999999</v>
      </c>
      <c r="N1235">
        <v>0</v>
      </c>
      <c r="O1235">
        <v>-0.98173049999999995</v>
      </c>
      <c r="P1235">
        <v>-0.28830840000000002</v>
      </c>
      <c r="Q1235">
        <v>-4.3869190000000002E-2</v>
      </c>
      <c r="R1235">
        <v>-0.9565321</v>
      </c>
      <c r="S1235">
        <v>-1.424469</v>
      </c>
      <c r="T1235">
        <v>-5.9460880000000001E-2</v>
      </c>
      <c r="U1235">
        <v>-2.7114259999999999</v>
      </c>
      <c r="V1235">
        <v>0.1014067</v>
      </c>
      <c r="W1235">
        <v>-3.0854449999999999E-2</v>
      </c>
      <c r="X1235">
        <v>0.99436650000000004</v>
      </c>
      <c r="Y1235">
        <v>0.28849239999999998</v>
      </c>
      <c r="Z1235">
        <v>1.9600269999999999E-2</v>
      </c>
      <c r="AA1235">
        <v>0.95728150000000001</v>
      </c>
      <c r="AB1235">
        <v>18</v>
      </c>
      <c r="AC1235">
        <v>-27.659699999999901</v>
      </c>
      <c r="AD1235">
        <v>-1.159025</v>
      </c>
      <c r="AE1235">
        <v>-52.329300000000003</v>
      </c>
      <c r="AF1235">
        <v>17.216917409931298</v>
      </c>
      <c r="AG1235">
        <v>-1.159025</v>
      </c>
      <c r="AH1235">
        <v>56.606600887586097</v>
      </c>
      <c r="AI1235">
        <v>91.122226750829199</v>
      </c>
      <c r="AJ1235">
        <v>73.082842917828799</v>
      </c>
      <c r="AK1235">
        <v>59.1783140018156</v>
      </c>
      <c r="AL1235">
        <v>91.768110333053201</v>
      </c>
      <c r="AM1235">
        <v>84.177037922704102</v>
      </c>
      <c r="AN1235">
        <v>1.0000000261059701</v>
      </c>
    </row>
    <row r="1236" spans="1:40" x14ac:dyDescent="0.25">
      <c r="A1236" t="str">
        <f>"20190312160936044"</f>
        <v>20190312160936044</v>
      </c>
      <c r="B1236" t="str">
        <f>"1552378176036256"</f>
        <v>1552378176036256</v>
      </c>
      <c r="C1236" t="s">
        <v>40</v>
      </c>
      <c r="D1236">
        <v>5.9540419999999896</v>
      </c>
      <c r="E1236">
        <v>0.63637109999999997</v>
      </c>
      <c r="F1236" t="s">
        <v>41</v>
      </c>
      <c r="G1236">
        <v>-195.1465</v>
      </c>
      <c r="H1236" s="1">
        <v>-2.114669E-6</v>
      </c>
      <c r="I1236">
        <v>301.32650000000001</v>
      </c>
      <c r="J1236">
        <v>-192.86519999999999</v>
      </c>
      <c r="K1236">
        <v>1.109008</v>
      </c>
      <c r="L1236">
        <v>303.81299999999999</v>
      </c>
      <c r="M1236">
        <v>-0.1921966</v>
      </c>
      <c r="N1236">
        <v>0</v>
      </c>
      <c r="O1236">
        <v>-0.98126539999999995</v>
      </c>
      <c r="P1236">
        <v>-0.29303079999999998</v>
      </c>
      <c r="Q1236">
        <v>-4.3483220000000003E-2</v>
      </c>
      <c r="R1236">
        <v>-0.95511420000000002</v>
      </c>
      <c r="S1236">
        <v>-2.1326450000000001</v>
      </c>
      <c r="T1236">
        <v>-1.020543</v>
      </c>
      <c r="U1236">
        <v>-2.4467159999999999</v>
      </c>
      <c r="V1236">
        <v>0.1038917</v>
      </c>
      <c r="W1236">
        <v>-3.0485109999999999E-2</v>
      </c>
      <c r="X1236">
        <v>0.99412129999999999</v>
      </c>
      <c r="Y1236">
        <v>0.46760570000000001</v>
      </c>
      <c r="Z1236">
        <v>0.30941380000000002</v>
      </c>
      <c r="AA1236">
        <v>0.82801449999999999</v>
      </c>
      <c r="AB1236">
        <v>18</v>
      </c>
      <c r="AC1236">
        <v>-2.2813000000000101</v>
      </c>
      <c r="AD1236">
        <v>-1.1090101146689999</v>
      </c>
      <c r="AE1236">
        <v>-2.4864999999999702</v>
      </c>
      <c r="AF1236">
        <v>1.58917546732899</v>
      </c>
      <c r="AG1236">
        <v>-1.1090101146689999</v>
      </c>
      <c r="AH1236">
        <v>2.5980212039103101</v>
      </c>
      <c r="AI1236">
        <v>110.008828018747</v>
      </c>
      <c r="AJ1236">
        <v>58.546421762180501</v>
      </c>
      <c r="AK1236">
        <v>3.2411566263243201</v>
      </c>
      <c r="AL1236">
        <v>91.746938808092395</v>
      </c>
      <c r="AM1236">
        <v>84.033900562328697</v>
      </c>
      <c r="AN1236">
        <v>0.99999999318714605</v>
      </c>
    </row>
    <row r="1237" spans="1:40" x14ac:dyDescent="0.25">
      <c r="A1237" t="str">
        <f>"20190312160936077"</f>
        <v>20190312160936077</v>
      </c>
      <c r="B1237" t="str">
        <f>"1552378176066512"</f>
        <v>1552378176066512</v>
      </c>
      <c r="C1237" t="s">
        <v>40</v>
      </c>
      <c r="D1237">
        <v>5.6905029999999996</v>
      </c>
      <c r="E1237">
        <v>0.63240640000000004</v>
      </c>
      <c r="F1237" t="s">
        <v>69</v>
      </c>
      <c r="G1237">
        <v>-232.98689999999999</v>
      </c>
      <c r="H1237">
        <v>1.184606</v>
      </c>
      <c r="I1237">
        <v>250.49430000000001</v>
      </c>
      <c r="J1237">
        <v>-192.91970000000001</v>
      </c>
      <c r="K1237">
        <v>1.1089789999999999</v>
      </c>
      <c r="L1237">
        <v>303.55889999999999</v>
      </c>
      <c r="M1237">
        <v>-0.1958017</v>
      </c>
      <c r="N1237">
        <v>0</v>
      </c>
      <c r="O1237">
        <v>-0.98055230000000004</v>
      </c>
      <c r="P1237">
        <v>-0.30065219999999998</v>
      </c>
      <c r="Q1237">
        <v>-4.3034139999999999E-2</v>
      </c>
      <c r="R1237">
        <v>-0.95276280000000002</v>
      </c>
      <c r="S1237">
        <v>-1.9203490000000001</v>
      </c>
      <c r="T1237">
        <v>3.618479E-3</v>
      </c>
      <c r="U1237">
        <v>-2.5520019999999999</v>
      </c>
      <c r="V1237">
        <v>0.1081725</v>
      </c>
      <c r="W1237">
        <v>-3.0063329999999999E-2</v>
      </c>
      <c r="X1237">
        <v>0.99367740000000004</v>
      </c>
      <c r="Y1237">
        <v>0.43316189999999999</v>
      </c>
      <c r="Z1237">
        <v>-1.1615729999999999E-3</v>
      </c>
      <c r="AA1237">
        <v>0.90131539999999999</v>
      </c>
      <c r="AB1237">
        <v>18</v>
      </c>
      <c r="AC1237">
        <v>-40.0671999999999</v>
      </c>
      <c r="AD1237">
        <v>7.5626999999999805E-2</v>
      </c>
      <c r="AE1237">
        <v>-53.064599999999899</v>
      </c>
      <c r="AF1237">
        <v>28.900393826413602</v>
      </c>
      <c r="AG1237">
        <v>7.5626999999999805E-2</v>
      </c>
      <c r="AH1237">
        <v>59.883120216085302</v>
      </c>
      <c r="AI1237">
        <v>89.934832927234893</v>
      </c>
      <c r="AJ1237">
        <v>64.237422535970893</v>
      </c>
      <c r="AK1237">
        <v>66.4923045891708</v>
      </c>
      <c r="AL1237">
        <v>91.722761613009894</v>
      </c>
      <c r="AM1237">
        <v>83.787201431804405</v>
      </c>
      <c r="AN1237">
        <v>0.99999993441884705</v>
      </c>
    </row>
    <row r="1238" spans="1:40" x14ac:dyDescent="0.25">
      <c r="A1238" t="str">
        <f>"20190312160936103"</f>
        <v>20190312160936103</v>
      </c>
      <c r="B1238" t="str">
        <f>"1552378176096768"</f>
        <v>1552378176096768</v>
      </c>
      <c r="C1238" t="s">
        <v>40</v>
      </c>
      <c r="D1238">
        <v>5.6224689999999997</v>
      </c>
      <c r="E1238">
        <v>0.618784</v>
      </c>
      <c r="F1238" t="s">
        <v>70</v>
      </c>
      <c r="G1238">
        <v>-233.6703</v>
      </c>
      <c r="H1238">
        <v>4.3065199999999999</v>
      </c>
      <c r="I1238">
        <v>249.1627</v>
      </c>
      <c r="J1238">
        <v>-192.96260000000001</v>
      </c>
      <c r="K1238">
        <v>1.108962</v>
      </c>
      <c r="L1238">
        <v>303.36169999999998</v>
      </c>
      <c r="M1238">
        <v>-0.19864970000000001</v>
      </c>
      <c r="N1238">
        <v>0</v>
      </c>
      <c r="O1238">
        <v>-0.9799793</v>
      </c>
      <c r="P1238">
        <v>-0.30553340000000001</v>
      </c>
      <c r="Q1238">
        <v>-4.2889780000000002E-2</v>
      </c>
      <c r="R1238">
        <v>-0.95121509999999998</v>
      </c>
      <c r="S1238">
        <v>-1.9119569999999999</v>
      </c>
      <c r="T1238">
        <v>0.1500232</v>
      </c>
      <c r="U1238">
        <v>-2.5521850000000001</v>
      </c>
      <c r="V1238">
        <v>0.110377</v>
      </c>
      <c r="W1238">
        <v>-2.9934189999999999E-2</v>
      </c>
      <c r="X1238">
        <v>0.99343890000000001</v>
      </c>
      <c r="Y1238">
        <v>0.42791210000000002</v>
      </c>
      <c r="Z1238">
        <v>-4.8157409999999998E-2</v>
      </c>
      <c r="AA1238">
        <v>0.90253649999999996</v>
      </c>
      <c r="AB1238">
        <v>18</v>
      </c>
      <c r="AC1238">
        <v>-40.707699999999903</v>
      </c>
      <c r="AD1238">
        <v>3.1975579999999999</v>
      </c>
      <c r="AE1238">
        <v>-54.198999999999899</v>
      </c>
      <c r="AF1238">
        <v>29.064017911810399</v>
      </c>
      <c r="AG1238">
        <v>3.1975579999999999</v>
      </c>
      <c r="AH1238">
        <v>61.0700466932837</v>
      </c>
      <c r="AI1238">
        <v>87.293194762388396</v>
      </c>
      <c r="AJ1238">
        <v>64.549624459461697</v>
      </c>
      <c r="AK1238">
        <v>67.708877685730798</v>
      </c>
      <c r="AL1238">
        <v>91.715359003523204</v>
      </c>
      <c r="AM1238">
        <v>83.660098805547406</v>
      </c>
      <c r="AN1238">
        <v>0.99999999294658304</v>
      </c>
    </row>
    <row r="1239" spans="1:40" x14ac:dyDescent="0.25">
      <c r="A1239" t="str">
        <f>"20190312160936126"</f>
        <v>20190312160936126</v>
      </c>
      <c r="B1239" t="str">
        <f>"1552378176116287"</f>
        <v>1552378176116287</v>
      </c>
      <c r="C1239" t="s">
        <v>40</v>
      </c>
      <c r="D1239">
        <v>5.7860690000000004</v>
      </c>
      <c r="E1239">
        <v>0.61619849999999998</v>
      </c>
      <c r="F1239" t="s">
        <v>70</v>
      </c>
      <c r="G1239">
        <v>-233.15119999999999</v>
      </c>
      <c r="H1239">
        <v>3.7992050000000002</v>
      </c>
      <c r="I1239">
        <v>246.54259999999999</v>
      </c>
      <c r="J1239">
        <v>-193.00139999999999</v>
      </c>
      <c r="K1239">
        <v>1.1089420000000001</v>
      </c>
      <c r="L1239">
        <v>303.18599999999998</v>
      </c>
      <c r="M1239">
        <v>-0.20122300000000001</v>
      </c>
      <c r="N1239">
        <v>0</v>
      </c>
      <c r="O1239">
        <v>-0.97945420000000005</v>
      </c>
      <c r="P1239">
        <v>-0.30985699999999999</v>
      </c>
      <c r="Q1239">
        <v>-4.2633799999999999E-2</v>
      </c>
      <c r="R1239">
        <v>-0.94982699999999998</v>
      </c>
      <c r="S1239">
        <v>-1.8209379999999999</v>
      </c>
      <c r="T1239">
        <v>0.12189419999999999</v>
      </c>
      <c r="U1239">
        <v>-2.5744630000000002</v>
      </c>
      <c r="V1239">
        <v>0.11228299999999999</v>
      </c>
      <c r="W1239">
        <v>-2.9690270000000001E-2</v>
      </c>
      <c r="X1239">
        <v>0.99323260000000002</v>
      </c>
      <c r="Y1239">
        <v>0.40089580000000002</v>
      </c>
      <c r="Z1239">
        <v>-3.9463989999999997E-2</v>
      </c>
      <c r="AA1239">
        <v>0.91527320000000001</v>
      </c>
      <c r="AB1239">
        <v>17</v>
      </c>
      <c r="AC1239">
        <v>-40.149799999999999</v>
      </c>
      <c r="AD1239">
        <v>2.6902629999999998</v>
      </c>
      <c r="AE1239">
        <v>-56.6433999999999</v>
      </c>
      <c r="AF1239">
        <v>27.887561363653699</v>
      </c>
      <c r="AG1239">
        <v>2.6902629999999998</v>
      </c>
      <c r="AH1239">
        <v>63.469068285645697</v>
      </c>
      <c r="AI1239">
        <v>87.777683674491001</v>
      </c>
      <c r="AJ1239">
        <v>66.279878774855405</v>
      </c>
      <c r="AK1239">
        <v>69.377779028076901</v>
      </c>
      <c r="AL1239">
        <v>91.701377205550699</v>
      </c>
      <c r="AM1239">
        <v>83.550207151347394</v>
      </c>
      <c r="AN1239">
        <v>0.99999999096221603</v>
      </c>
    </row>
    <row r="1240" spans="1:40" x14ac:dyDescent="0.25">
      <c r="A1240" t="str">
        <f>"20190312160936149"</f>
        <v>20190312160936149</v>
      </c>
      <c r="B1240" t="str">
        <f>"1552378176146544"</f>
        <v>1552378176146544</v>
      </c>
      <c r="C1240" t="s">
        <v>40</v>
      </c>
      <c r="D1240">
        <v>5.8651859999999996</v>
      </c>
      <c r="E1240">
        <v>0.6095235</v>
      </c>
      <c r="F1240" t="s">
        <v>70</v>
      </c>
      <c r="G1240">
        <v>-233.15090000000001</v>
      </c>
      <c r="H1240">
        <v>2.939406</v>
      </c>
      <c r="I1240">
        <v>246.23429999999999</v>
      </c>
      <c r="J1240">
        <v>-193.042</v>
      </c>
      <c r="K1240">
        <v>1.1089329999999999</v>
      </c>
      <c r="L1240">
        <v>303.0052</v>
      </c>
      <c r="M1240">
        <v>-0.20390469999999999</v>
      </c>
      <c r="N1240">
        <v>0</v>
      </c>
      <c r="O1240">
        <v>-0.97889959999999998</v>
      </c>
      <c r="P1240">
        <v>-0.31352010000000002</v>
      </c>
      <c r="Q1240">
        <v>-4.320657E-2</v>
      </c>
      <c r="R1240">
        <v>-0.94859870000000002</v>
      </c>
      <c r="S1240">
        <v>-1.812454</v>
      </c>
      <c r="T1240">
        <v>8.2631830000000003E-2</v>
      </c>
      <c r="U1240">
        <v>-2.5709529999999998</v>
      </c>
      <c r="V1240">
        <v>0.1133981</v>
      </c>
      <c r="W1240">
        <v>-3.0271300000000001E-2</v>
      </c>
      <c r="X1240">
        <v>0.99308839999999998</v>
      </c>
      <c r="Y1240">
        <v>0.39720129999999998</v>
      </c>
      <c r="Z1240">
        <v>-2.681774E-2</v>
      </c>
      <c r="AA1240">
        <v>0.91733960000000003</v>
      </c>
      <c r="AB1240">
        <v>17</v>
      </c>
      <c r="AC1240">
        <v>-40.108899999999998</v>
      </c>
      <c r="AD1240">
        <v>1.830473</v>
      </c>
      <c r="AE1240">
        <v>-56.770899999999997</v>
      </c>
      <c r="AF1240">
        <v>27.670015018435901</v>
      </c>
      <c r="AG1240">
        <v>1.830473</v>
      </c>
      <c r="AH1240">
        <v>63.712910123324299</v>
      </c>
      <c r="AI1240">
        <v>88.490481665984106</v>
      </c>
      <c r="AJ1240">
        <v>66.5250734612884</v>
      </c>
      <c r="AK1240">
        <v>69.486079749162698</v>
      </c>
      <c r="AL1240">
        <v>91.734682684911903</v>
      </c>
      <c r="AM1240">
        <v>83.485763369327799</v>
      </c>
      <c r="AN1240">
        <v>1.00000002545092</v>
      </c>
    </row>
    <row r="1241" spans="1:40" x14ac:dyDescent="0.25">
      <c r="A1241" t="str">
        <f>"20190312160936176"</f>
        <v>20190312160936176</v>
      </c>
      <c r="B1241" t="str">
        <f>"1552378176167039"</f>
        <v>1552378176167039</v>
      </c>
      <c r="C1241" t="s">
        <v>40</v>
      </c>
      <c r="D1241">
        <v>5.9246879999999997</v>
      </c>
      <c r="E1241">
        <v>0.60456359999999998</v>
      </c>
      <c r="F1241" t="s">
        <v>70</v>
      </c>
      <c r="G1241">
        <v>-232.83690000000001</v>
      </c>
      <c r="H1241">
        <v>1.251379</v>
      </c>
      <c r="I1241">
        <v>245.09989999999999</v>
      </c>
      <c r="J1241">
        <v>-193.09049999999999</v>
      </c>
      <c r="K1241">
        <v>1.10893</v>
      </c>
      <c r="L1241">
        <v>302.79180000000002</v>
      </c>
      <c r="M1241">
        <v>-0.2070987</v>
      </c>
      <c r="N1241">
        <v>0</v>
      </c>
      <c r="O1241">
        <v>-0.9782286</v>
      </c>
      <c r="P1241">
        <v>-0.31705529999999998</v>
      </c>
      <c r="Q1241">
        <v>-4.2112570000000002E-2</v>
      </c>
      <c r="R1241">
        <v>-0.94747159999999997</v>
      </c>
      <c r="S1241">
        <v>-1.7713319999999999</v>
      </c>
      <c r="T1241">
        <v>6.3402650000000003E-3</v>
      </c>
      <c r="U1241">
        <v>-2.5774539999999999</v>
      </c>
      <c r="V1241">
        <v>0.1138526</v>
      </c>
      <c r="W1241">
        <v>-2.9181680000000002E-2</v>
      </c>
      <c r="X1241">
        <v>0.99306899999999998</v>
      </c>
      <c r="Y1241">
        <v>0.38340740000000001</v>
      </c>
      <c r="Z1241">
        <v>-2.0670300000000001E-3</v>
      </c>
      <c r="AA1241">
        <v>0.92357699999999998</v>
      </c>
      <c r="AB1241">
        <v>17</v>
      </c>
      <c r="AC1241">
        <v>-39.746400000000001</v>
      </c>
      <c r="AD1241">
        <v>0.14244899999999999</v>
      </c>
      <c r="AE1241">
        <v>-57.691899999999997</v>
      </c>
      <c r="AF1241">
        <v>26.935446336572099</v>
      </c>
      <c r="AG1241">
        <v>0.14244899999999999</v>
      </c>
      <c r="AH1241">
        <v>64.672813345609995</v>
      </c>
      <c r="AI1241">
        <v>89.883500212520701</v>
      </c>
      <c r="AJ1241">
        <v>67.388861407542393</v>
      </c>
      <c r="AK1241">
        <v>70.057914236038101</v>
      </c>
      <c r="AL1241">
        <v>91.672224476699895</v>
      </c>
      <c r="AM1241">
        <v>83.459753383983198</v>
      </c>
      <c r="AN1241">
        <v>1.0000000118676899</v>
      </c>
    </row>
    <row r="1242" spans="1:40" x14ac:dyDescent="0.25">
      <c r="A1242" t="str">
        <f>"20190312160936199"</f>
        <v>20190312160936199</v>
      </c>
      <c r="B1242" t="str">
        <f>"1552378176186563"</f>
        <v>1552378176186563</v>
      </c>
      <c r="C1242" t="s">
        <v>40</v>
      </c>
      <c r="D1242">
        <v>5.778867</v>
      </c>
      <c r="E1242">
        <v>0.60322849999999995</v>
      </c>
      <c r="F1242" t="s">
        <v>43</v>
      </c>
      <c r="G1242">
        <v>-241.05529999999999</v>
      </c>
      <c r="H1242">
        <v>-0.05</v>
      </c>
      <c r="I1242">
        <v>231.75790000000001</v>
      </c>
      <c r="J1242">
        <v>-193.12970000000001</v>
      </c>
      <c r="K1242">
        <v>1.10893</v>
      </c>
      <c r="L1242">
        <v>302.62189999999998</v>
      </c>
      <c r="M1242">
        <v>-0.2096606</v>
      </c>
      <c r="N1242">
        <v>0</v>
      </c>
      <c r="O1242">
        <v>-0.97768270000000002</v>
      </c>
      <c r="P1242">
        <v>-0.31909189999999998</v>
      </c>
      <c r="Q1242">
        <v>-4.1876940000000001E-2</v>
      </c>
      <c r="R1242">
        <v>-0.94679849999999999</v>
      </c>
      <c r="S1242">
        <v>-1.74295</v>
      </c>
      <c r="T1242">
        <v>-4.2113299999999999E-2</v>
      </c>
      <c r="U1242">
        <v>-2.5812379999999999</v>
      </c>
      <c r="V1242">
        <v>0.1133849</v>
      </c>
      <c r="W1242">
        <v>-2.8945789999999999E-2</v>
      </c>
      <c r="X1242">
        <v>0.99312940000000005</v>
      </c>
      <c r="Y1242">
        <v>0.3733417</v>
      </c>
      <c r="Z1242">
        <v>1.3768620000000001E-2</v>
      </c>
      <c r="AA1242">
        <v>0.92759170000000002</v>
      </c>
      <c r="AB1242">
        <v>17</v>
      </c>
      <c r="AC1242">
        <v>-47.925599999999903</v>
      </c>
      <c r="AD1242">
        <v>-1.15893</v>
      </c>
      <c r="AE1242">
        <v>-70.863999999999905</v>
      </c>
      <c r="AF1242">
        <v>31.995633142893801</v>
      </c>
      <c r="AG1242">
        <v>-1.15893</v>
      </c>
      <c r="AH1242">
        <v>79.323159247159793</v>
      </c>
      <c r="AI1242">
        <v>90.7762826022947</v>
      </c>
      <c r="AJ1242">
        <v>68.032919992693706</v>
      </c>
      <c r="AK1242">
        <v>85.540792911392998</v>
      </c>
      <c r="AL1242">
        <v>91.658703283649899</v>
      </c>
      <c r="AM1242">
        <v>83.486781726059803</v>
      </c>
      <c r="AN1242">
        <v>0.99999999972554698</v>
      </c>
    </row>
    <row r="1243" spans="1:40" x14ac:dyDescent="0.25">
      <c r="A1243" t="str">
        <f>"20190312160936222"</f>
        <v>20190312160936222</v>
      </c>
      <c r="B1243" t="str">
        <f>"1552378176216815"</f>
        <v>1552378176216815</v>
      </c>
      <c r="C1243" t="s">
        <v>40</v>
      </c>
      <c r="D1243">
        <v>5.8186619999999998</v>
      </c>
      <c r="E1243">
        <v>0.60001979999999999</v>
      </c>
      <c r="F1243" t="s">
        <v>43</v>
      </c>
      <c r="G1243">
        <v>-235.77690000000001</v>
      </c>
      <c r="H1243">
        <v>-0.05</v>
      </c>
      <c r="I1243">
        <v>239.30189999999999</v>
      </c>
      <c r="J1243">
        <v>-193.16980000000001</v>
      </c>
      <c r="K1243">
        <v>1.1089249999999999</v>
      </c>
      <c r="L1243">
        <v>302.45</v>
      </c>
      <c r="M1243">
        <v>-0.21227199999999999</v>
      </c>
      <c r="N1243">
        <v>0</v>
      </c>
      <c r="O1243">
        <v>-0.97711919999999997</v>
      </c>
      <c r="P1243">
        <v>-0.32112350000000001</v>
      </c>
      <c r="Q1243">
        <v>-4.2380000000000001E-2</v>
      </c>
      <c r="R1243">
        <v>-0.94608879999999995</v>
      </c>
      <c r="S1243">
        <v>-1.7381439999999999</v>
      </c>
      <c r="T1243">
        <v>-4.7233700000000003E-2</v>
      </c>
      <c r="U1243">
        <v>-2.5806879999999999</v>
      </c>
      <c r="V1243">
        <v>0.1128663</v>
      </c>
      <c r="W1243">
        <v>-2.9449079999999999E-2</v>
      </c>
      <c r="X1243">
        <v>0.99317370000000005</v>
      </c>
      <c r="Y1243">
        <v>0.36975069999999999</v>
      </c>
      <c r="Z1243">
        <v>1.54506E-2</v>
      </c>
      <c r="AA1243">
        <v>0.92900249999999995</v>
      </c>
      <c r="AB1243">
        <v>17</v>
      </c>
      <c r="AC1243">
        <v>-42.607100000000003</v>
      </c>
      <c r="AD1243">
        <v>-1.158925</v>
      </c>
      <c r="AE1243">
        <v>-63.148099999999999</v>
      </c>
      <c r="AF1243">
        <v>28.223631675511701</v>
      </c>
      <c r="AG1243">
        <v>-1.158925</v>
      </c>
      <c r="AH1243">
        <v>70.737464168903102</v>
      </c>
      <c r="AI1243">
        <v>90.871800047683493</v>
      </c>
      <c r="AJ1243">
        <v>68.248431245473597</v>
      </c>
      <c r="AK1243">
        <v>76.168926270214797</v>
      </c>
      <c r="AL1243">
        <v>91.687551934789795</v>
      </c>
      <c r="AM1243">
        <v>83.516604387062998</v>
      </c>
      <c r="AN1243">
        <v>1.0000000241801099</v>
      </c>
    </row>
    <row r="1244" spans="1:40" x14ac:dyDescent="0.25">
      <c r="A1244" t="str">
        <f>"20190312160936245"</f>
        <v>20190312160936245</v>
      </c>
      <c r="B1244" t="str">
        <f>"1552378176236336"</f>
        <v>1552378176236336</v>
      </c>
      <c r="C1244" t="s">
        <v>40</v>
      </c>
      <c r="D1244">
        <v>6.1407790000000002</v>
      </c>
      <c r="E1244">
        <v>0.59761980000000003</v>
      </c>
      <c r="F1244" t="s">
        <v>43</v>
      </c>
      <c r="G1244">
        <v>-217.1782</v>
      </c>
      <c r="H1244">
        <v>-0.05</v>
      </c>
      <c r="I1244">
        <v>266.37060000000002</v>
      </c>
      <c r="J1244">
        <v>-193.20959999999999</v>
      </c>
      <c r="K1244">
        <v>1.1089150000000001</v>
      </c>
      <c r="L1244">
        <v>302.28149999999999</v>
      </c>
      <c r="M1244">
        <v>-0.21485219999999999</v>
      </c>
      <c r="N1244">
        <v>0</v>
      </c>
      <c r="O1244">
        <v>-0.97655510000000001</v>
      </c>
      <c r="P1244">
        <v>-0.3231154</v>
      </c>
      <c r="Q1244">
        <v>-4.2366719999999997E-2</v>
      </c>
      <c r="R1244">
        <v>-0.945411</v>
      </c>
      <c r="S1244">
        <v>-1.7192689999999999</v>
      </c>
      <c r="T1244">
        <v>-8.2991839999999997E-2</v>
      </c>
      <c r="U1244">
        <v>-2.5836790000000001</v>
      </c>
      <c r="V1244">
        <v>0.1123345</v>
      </c>
      <c r="W1244">
        <v>-2.943602E-2</v>
      </c>
      <c r="X1244">
        <v>0.99323430000000001</v>
      </c>
      <c r="Y1244">
        <v>0.36195729999999998</v>
      </c>
      <c r="Z1244">
        <v>2.7184489999999999E-2</v>
      </c>
      <c r="AA1244">
        <v>0.93179820000000002</v>
      </c>
      <c r="AB1244">
        <v>17</v>
      </c>
      <c r="AC1244">
        <v>-23.968599999999999</v>
      </c>
      <c r="AD1244">
        <v>-1.1589149999999999</v>
      </c>
      <c r="AE1244">
        <v>-35.910899999999899</v>
      </c>
      <c r="AF1244">
        <v>15.681226241358999</v>
      </c>
      <c r="AG1244">
        <v>-1.1589149999999999</v>
      </c>
      <c r="AH1244">
        <v>40.193312885270899</v>
      </c>
      <c r="AI1244">
        <v>91.5386844335478</v>
      </c>
      <c r="AJ1244">
        <v>68.686998000823607</v>
      </c>
      <c r="AK1244">
        <v>43.159545191106901</v>
      </c>
      <c r="AL1244">
        <v>91.686803457730093</v>
      </c>
      <c r="AM1244">
        <v>83.547284769840303</v>
      </c>
      <c r="AN1244">
        <v>0.99999994693008798</v>
      </c>
    </row>
    <row r="1245" spans="1:40" x14ac:dyDescent="0.25">
      <c r="A1245" t="str">
        <f>"20190312160936265"</f>
        <v>20190312160936265</v>
      </c>
      <c r="B1245" t="str">
        <f>"1552378176256832"</f>
        <v>1552378176256832</v>
      </c>
      <c r="C1245" t="s">
        <v>40</v>
      </c>
      <c r="D1245">
        <v>6.0554050000000004</v>
      </c>
      <c r="E1245">
        <v>0.59606619999999999</v>
      </c>
      <c r="F1245" t="s">
        <v>61</v>
      </c>
      <c r="G1245">
        <v>-210.65</v>
      </c>
      <c r="H1245">
        <v>8.0001269999999999E-2</v>
      </c>
      <c r="I1245">
        <v>275.8537</v>
      </c>
      <c r="J1245">
        <v>-193.2482</v>
      </c>
      <c r="K1245">
        <v>1.1089009999999999</v>
      </c>
      <c r="L1245">
        <v>302.12049999999999</v>
      </c>
      <c r="M1245">
        <v>-0.21734029999999999</v>
      </c>
      <c r="N1245">
        <v>0</v>
      </c>
      <c r="O1245">
        <v>-0.97600450000000005</v>
      </c>
      <c r="P1245">
        <v>-0.32475130000000002</v>
      </c>
      <c r="Q1245">
        <v>-4.1810149999999997E-2</v>
      </c>
      <c r="R1245">
        <v>-0.94487509999999997</v>
      </c>
      <c r="S1245">
        <v>-1.7062839999999999</v>
      </c>
      <c r="T1245">
        <v>-0.10066410000000001</v>
      </c>
      <c r="U1245">
        <v>-2.5855709999999998</v>
      </c>
      <c r="V1245">
        <v>0.11151850000000001</v>
      </c>
      <c r="W1245">
        <v>-2.887812E-2</v>
      </c>
      <c r="X1245">
        <v>0.99334270000000002</v>
      </c>
      <c r="Y1245">
        <v>0.35590959999999899</v>
      </c>
      <c r="Z1245">
        <v>3.3000969999999998E-2</v>
      </c>
      <c r="AA1245">
        <v>0.93393749999999998</v>
      </c>
      <c r="AB1245">
        <v>17</v>
      </c>
      <c r="AC1245">
        <v>-17.401800000000001</v>
      </c>
      <c r="AD1245">
        <v>-1.02889973</v>
      </c>
      <c r="AE1245">
        <v>-26.2667999999999</v>
      </c>
      <c r="AF1245">
        <v>11.264395117722801</v>
      </c>
      <c r="AG1245">
        <v>-1.02889973</v>
      </c>
      <c r="AH1245">
        <v>29.389912225290999</v>
      </c>
      <c r="AI1245">
        <v>91.872320363973699</v>
      </c>
      <c r="AJ1245">
        <v>69.029460614927402</v>
      </c>
      <c r="AK1245">
        <v>31.491461900535601</v>
      </c>
      <c r="AL1245">
        <v>91.654824422115496</v>
      </c>
      <c r="AM1245">
        <v>83.594459616382693</v>
      </c>
      <c r="AN1245">
        <v>1.0000000206501301</v>
      </c>
    </row>
    <row r="1246" spans="1:40" x14ac:dyDescent="0.25">
      <c r="A1246" t="str">
        <f>"20190312160936290"</f>
        <v>20190312160936290</v>
      </c>
      <c r="B1246" t="str">
        <f>"1552378176287088"</f>
        <v>1552378176287088</v>
      </c>
      <c r="C1246" t="s">
        <v>40</v>
      </c>
      <c r="D1246">
        <v>6.120654</v>
      </c>
      <c r="E1246">
        <v>0.59379669999999996</v>
      </c>
      <c r="F1246" t="s">
        <v>59</v>
      </c>
      <c r="G1246">
        <v>-208.0427</v>
      </c>
      <c r="H1246">
        <v>6.479944E-2</v>
      </c>
      <c r="I1246">
        <v>279.60149999999999</v>
      </c>
      <c r="J1246">
        <v>-193.292</v>
      </c>
      <c r="K1246">
        <v>1.1088979999999999</v>
      </c>
      <c r="L1246">
        <v>301.93959999999998</v>
      </c>
      <c r="M1246">
        <v>-0.2201565</v>
      </c>
      <c r="N1246">
        <v>0</v>
      </c>
      <c r="O1246">
        <v>-0.97537300000000005</v>
      </c>
      <c r="P1246">
        <v>-0.326843099999999</v>
      </c>
      <c r="Q1246">
        <v>-4.1232070000000003E-2</v>
      </c>
      <c r="R1246">
        <v>-0.94417899999999999</v>
      </c>
      <c r="S1246">
        <v>-1.6988369999999999</v>
      </c>
      <c r="T1246">
        <v>-0.1198925</v>
      </c>
      <c r="U1246">
        <v>-2.5858150000000002</v>
      </c>
      <c r="V1246">
        <v>0.1108474</v>
      </c>
      <c r="W1246">
        <v>-2.8299109999999999E-2</v>
      </c>
      <c r="X1246">
        <v>0.9934345</v>
      </c>
      <c r="Y1246">
        <v>0.35116429999999998</v>
      </c>
      <c r="Z1246">
        <v>3.9319010000000001E-2</v>
      </c>
      <c r="AA1246">
        <v>0.93548790000000004</v>
      </c>
      <c r="AB1246">
        <v>17</v>
      </c>
      <c r="AC1246">
        <v>-14.750699999999901</v>
      </c>
      <c r="AD1246">
        <v>-1.0440985599999999</v>
      </c>
      <c r="AE1246">
        <v>-22.338100000000001</v>
      </c>
      <c r="AF1246">
        <v>9.4560167923745393</v>
      </c>
      <c r="AG1246">
        <v>-1.0440985599999999</v>
      </c>
      <c r="AH1246">
        <v>24.999645801961599</v>
      </c>
      <c r="AI1246">
        <v>92.2370366012006</v>
      </c>
      <c r="AJ1246">
        <v>69.281074703221407</v>
      </c>
      <c r="AK1246">
        <v>26.748620256084202</v>
      </c>
      <c r="AL1246">
        <v>91.621635986965899</v>
      </c>
      <c r="AM1246">
        <v>83.633273118840293</v>
      </c>
      <c r="AN1246">
        <v>1.0000000457519</v>
      </c>
    </row>
    <row r="1247" spans="1:40" x14ac:dyDescent="0.25">
      <c r="A1247" t="str">
        <f>"20190312160936314"</f>
        <v>20190312160936314</v>
      </c>
      <c r="B1247" t="str">
        <f>"1552378176306608"</f>
        <v>1552378176306608</v>
      </c>
      <c r="C1247" t="s">
        <v>40</v>
      </c>
      <c r="D1247">
        <v>6.1319929999999996</v>
      </c>
      <c r="E1247">
        <v>0.59245819999999905</v>
      </c>
      <c r="F1247" t="s">
        <v>59</v>
      </c>
      <c r="G1247">
        <v>-206.66730000000001</v>
      </c>
      <c r="H1247" s="1">
        <v>5.4522309999999999E-6</v>
      </c>
      <c r="I1247">
        <v>281.43009999999998</v>
      </c>
      <c r="J1247">
        <v>-193.33590000000001</v>
      </c>
      <c r="K1247">
        <v>1.1088899999999999</v>
      </c>
      <c r="L1247">
        <v>301.76069999999999</v>
      </c>
      <c r="M1247">
        <v>-0.22296289999999999</v>
      </c>
      <c r="N1247">
        <v>0</v>
      </c>
      <c r="O1247">
        <v>-0.97473520000000002</v>
      </c>
      <c r="P1247">
        <v>-0.3295669</v>
      </c>
      <c r="Q1247">
        <v>-4.1898940000000003E-2</v>
      </c>
      <c r="R1247">
        <v>-0.94320199999999998</v>
      </c>
      <c r="S1247">
        <v>-1.687241</v>
      </c>
      <c r="T1247">
        <v>-0.13988200000000001</v>
      </c>
      <c r="U1247">
        <v>-2.587189</v>
      </c>
      <c r="V1247">
        <v>0.1108596</v>
      </c>
      <c r="W1247">
        <v>-2.8968319999999999E-2</v>
      </c>
      <c r="X1247">
        <v>0.99341380000000001</v>
      </c>
      <c r="Y1247">
        <v>0.34514329999999999</v>
      </c>
      <c r="Z1247">
        <v>4.5900629999999998E-2</v>
      </c>
      <c r="AA1247">
        <v>0.93742689999999995</v>
      </c>
      <c r="AB1247">
        <v>17</v>
      </c>
      <c r="AC1247">
        <v>-13.3314</v>
      </c>
      <c r="AD1247">
        <v>-1.1088845477689999</v>
      </c>
      <c r="AE1247">
        <v>-20.3306</v>
      </c>
      <c r="AF1247">
        <v>8.4448036778515991</v>
      </c>
      <c r="AG1247">
        <v>-1.1088845477689999</v>
      </c>
      <c r="AH1247">
        <v>22.744080906686399</v>
      </c>
      <c r="AI1247">
        <v>92.616939999516006</v>
      </c>
      <c r="AJ1247">
        <v>69.630201439767504</v>
      </c>
      <c r="AK1247">
        <v>24.286571400418602</v>
      </c>
      <c r="AL1247">
        <v>91.659994704875203</v>
      </c>
      <c r="AM1247">
        <v>83.6324465543955</v>
      </c>
      <c r="AN1247">
        <v>0.99999999625311098</v>
      </c>
    </row>
    <row r="1248" spans="1:40" x14ac:dyDescent="0.25">
      <c r="A1248" t="str">
        <f>"20190312160936343"</f>
        <v>20190312160936343</v>
      </c>
      <c r="B1248" t="str">
        <f>"1552378176336864"</f>
        <v>1552378176336864</v>
      </c>
      <c r="C1248" t="s">
        <v>40</v>
      </c>
      <c r="D1248">
        <v>6.1225430000000003</v>
      </c>
      <c r="E1248">
        <v>0.59074490000000002</v>
      </c>
      <c r="F1248" t="s">
        <v>59</v>
      </c>
      <c r="G1248">
        <v>-205.78899999999999</v>
      </c>
      <c r="H1248" s="1">
        <v>4.9561879999999998E-6</v>
      </c>
      <c r="I1248">
        <v>282.64850000000001</v>
      </c>
      <c r="J1248">
        <v>-193.3929</v>
      </c>
      <c r="K1248">
        <v>1.1088789999999999</v>
      </c>
      <c r="L1248">
        <v>301.53230000000002</v>
      </c>
      <c r="M1248">
        <v>-0.2265751</v>
      </c>
      <c r="N1248">
        <v>0</v>
      </c>
      <c r="O1248">
        <v>-0.9739023</v>
      </c>
      <c r="P1248">
        <v>-0.33467809999999998</v>
      </c>
      <c r="Q1248">
        <v>-4.3080260000000002E-2</v>
      </c>
      <c r="R1248">
        <v>-0.94134799999999996</v>
      </c>
      <c r="S1248">
        <v>-1.6845859999999999</v>
      </c>
      <c r="T1248">
        <v>-0.15000469999999999</v>
      </c>
      <c r="U1248">
        <v>-2.5854189999999999</v>
      </c>
      <c r="V1248">
        <v>0.1125723</v>
      </c>
      <c r="W1248">
        <v>-3.0160039999999999E-2</v>
      </c>
      <c r="X1248">
        <v>0.99318569999999995</v>
      </c>
      <c r="Y1248">
        <v>0.34119159999999998</v>
      </c>
      <c r="Z1248">
        <v>4.9228719999999997E-2</v>
      </c>
      <c r="AA1248">
        <v>0.93870379999999998</v>
      </c>
      <c r="AB1248">
        <v>17</v>
      </c>
      <c r="AC1248">
        <v>-12.396100000000001</v>
      </c>
      <c r="AD1248">
        <v>-1.1088740438119999</v>
      </c>
      <c r="AE1248">
        <v>-18.883800000000001</v>
      </c>
      <c r="AF1248">
        <v>7.7759472338446702</v>
      </c>
      <c r="AG1248">
        <v>-1.1088740438119999</v>
      </c>
      <c r="AH1248">
        <v>21.150543718713301</v>
      </c>
      <c r="AI1248">
        <v>92.817109298402201</v>
      </c>
      <c r="AJ1248">
        <v>69.814168250847203</v>
      </c>
      <c r="AK1248">
        <v>22.561924931746798</v>
      </c>
      <c r="AL1248">
        <v>91.728305101226695</v>
      </c>
      <c r="AM1248">
        <v>83.533426904374195</v>
      </c>
      <c r="AN1248">
        <v>0.99999999271229001</v>
      </c>
    </row>
    <row r="1249" spans="1:40" x14ac:dyDescent="0.25">
      <c r="A1249" t="str">
        <f>"20190312160936368"</f>
        <v>20190312160936368</v>
      </c>
      <c r="B1249" t="str">
        <f>"1552378176356384"</f>
        <v>1552378176356384</v>
      </c>
      <c r="C1249" t="s">
        <v>40</v>
      </c>
      <c r="D1249">
        <v>6.0419140000000002</v>
      </c>
      <c r="E1249">
        <v>0.58984230000000004</v>
      </c>
      <c r="F1249" t="s">
        <v>59</v>
      </c>
      <c r="G1249">
        <v>-204.68379999999999</v>
      </c>
      <c r="H1249" s="1">
        <v>4.3261930000000002E-6</v>
      </c>
      <c r="I1249">
        <v>284.24880000000002</v>
      </c>
      <c r="J1249">
        <v>-193.43729999999999</v>
      </c>
      <c r="K1249">
        <v>1.1088960000000001</v>
      </c>
      <c r="L1249">
        <v>301.35640000000001</v>
      </c>
      <c r="M1249">
        <v>-0.22937479999999999</v>
      </c>
      <c r="N1249">
        <v>0</v>
      </c>
      <c r="O1249">
        <v>-0.97324619999999995</v>
      </c>
      <c r="P1249">
        <v>-0.33852169999999998</v>
      </c>
      <c r="Q1249">
        <v>-4.237519E-2</v>
      </c>
      <c r="R1249">
        <v>-0.9400039</v>
      </c>
      <c r="S1249">
        <v>-1.685532</v>
      </c>
      <c r="T1249">
        <v>-0.16553489999999901</v>
      </c>
      <c r="U1249">
        <v>-2.5801090000000002</v>
      </c>
      <c r="V1249">
        <v>0.1137687</v>
      </c>
      <c r="W1249">
        <v>-2.9461060000000001E-2</v>
      </c>
      <c r="X1249">
        <v>0.99307040000000002</v>
      </c>
      <c r="Y1249">
        <v>0.33946470000000001</v>
      </c>
      <c r="Z1249">
        <v>5.4360899999999997E-2</v>
      </c>
      <c r="AA1249">
        <v>0.93904670000000001</v>
      </c>
      <c r="AB1249">
        <v>17</v>
      </c>
      <c r="AC1249">
        <v>-11.2464999999999</v>
      </c>
      <c r="AD1249">
        <v>-1.1088916738069901</v>
      </c>
      <c r="AE1249">
        <v>-17.107599999999898</v>
      </c>
      <c r="AF1249">
        <v>7.0016494697288199</v>
      </c>
      <c r="AG1249">
        <v>-1.1088916738069901</v>
      </c>
      <c r="AH1249">
        <v>19.1750395820001</v>
      </c>
      <c r="AI1249">
        <v>93.109357362027794</v>
      </c>
      <c r="AJ1249">
        <v>69.940640681378696</v>
      </c>
      <c r="AK1249">
        <v>20.443455652419999</v>
      </c>
      <c r="AL1249">
        <v>91.688238600576298</v>
      </c>
      <c r="AM1249">
        <v>83.464540429800493</v>
      </c>
      <c r="AN1249">
        <v>1.00000004525608</v>
      </c>
    </row>
    <row r="1250" spans="1:40" x14ac:dyDescent="0.25">
      <c r="A1250" t="str">
        <f>"20190312160936388"</f>
        <v>20190312160936388</v>
      </c>
      <c r="B1250" t="str">
        <f>"1552378176376881"</f>
        <v>1552378176376881</v>
      </c>
      <c r="C1250" t="s">
        <v>40</v>
      </c>
      <c r="D1250">
        <v>6.1630760000000002</v>
      </c>
      <c r="E1250">
        <v>0.58922419999999998</v>
      </c>
      <c r="F1250" t="s">
        <v>59</v>
      </c>
      <c r="G1250">
        <v>-204.10059999999999</v>
      </c>
      <c r="H1250" s="1">
        <v>3.9933859999999998E-6</v>
      </c>
      <c r="I1250">
        <v>285.09750000000003</v>
      </c>
      <c r="J1250">
        <v>-193.47739999999999</v>
      </c>
      <c r="K1250">
        <v>1.108908</v>
      </c>
      <c r="L1250">
        <v>301.2</v>
      </c>
      <c r="M1250">
        <v>-0.2318682</v>
      </c>
      <c r="N1250">
        <v>0</v>
      </c>
      <c r="O1250">
        <v>-0.97265559999999995</v>
      </c>
      <c r="P1250">
        <v>-0.34203489999999998</v>
      </c>
      <c r="Q1250">
        <v>-4.096499E-2</v>
      </c>
      <c r="R1250">
        <v>-0.93879429999999997</v>
      </c>
      <c r="S1250">
        <v>-1.689011</v>
      </c>
      <c r="T1250">
        <v>-0.17564270000000001</v>
      </c>
      <c r="U1250">
        <v>-2.5753170000000001</v>
      </c>
      <c r="V1250">
        <v>0.1149274</v>
      </c>
      <c r="W1250">
        <v>-2.805589E-2</v>
      </c>
      <c r="X1250">
        <v>0.99297760000000002</v>
      </c>
      <c r="Y1250">
        <v>0.33863729999999997</v>
      </c>
      <c r="Z1250">
        <v>5.7694910000000002E-2</v>
      </c>
      <c r="AA1250">
        <v>0.9391465</v>
      </c>
      <c r="AB1250">
        <v>17</v>
      </c>
      <c r="AC1250">
        <v>-10.623199999999899</v>
      </c>
      <c r="AD1250">
        <v>-1.1089040066139999</v>
      </c>
      <c r="AE1250">
        <v>-16.1024999999999</v>
      </c>
      <c r="AF1250">
        <v>6.5779100813753599</v>
      </c>
      <c r="AG1250">
        <v>-1.1089040066139999</v>
      </c>
      <c r="AH1250">
        <v>18.0672848905864</v>
      </c>
      <c r="AI1250">
        <v>93.300757173604595</v>
      </c>
      <c r="AJ1250">
        <v>69.994522375839296</v>
      </c>
      <c r="AK1250">
        <v>19.259422432984699</v>
      </c>
      <c r="AL1250">
        <v>91.607695082884106</v>
      </c>
      <c r="AM1250">
        <v>83.397951824473694</v>
      </c>
      <c r="AN1250">
        <v>0.99999997716810496</v>
      </c>
    </row>
    <row r="1251" spans="1:40" x14ac:dyDescent="0.25">
      <c r="A1251" t="str">
        <f>"20190312160936413"</f>
        <v>20190312160936413</v>
      </c>
      <c r="B1251" t="str">
        <f>"1552378176406161"</f>
        <v>1552378176406161</v>
      </c>
      <c r="C1251" t="s">
        <v>40</v>
      </c>
      <c r="D1251">
        <v>6.1372999999999998</v>
      </c>
      <c r="E1251">
        <v>0.58854340000000005</v>
      </c>
      <c r="F1251" t="s">
        <v>59</v>
      </c>
      <c r="G1251">
        <v>-203.94380000000001</v>
      </c>
      <c r="H1251" s="1">
        <v>3.9045480000000001E-6</v>
      </c>
      <c r="I1251">
        <v>285.31810000000002</v>
      </c>
      <c r="J1251">
        <v>-193.52520000000001</v>
      </c>
      <c r="K1251">
        <v>1.1089180000000001</v>
      </c>
      <c r="L1251">
        <v>301.01510000000002</v>
      </c>
      <c r="M1251">
        <v>-0.2348198</v>
      </c>
      <c r="N1251">
        <v>0</v>
      </c>
      <c r="O1251">
        <v>-0.97194709999999995</v>
      </c>
      <c r="P1251">
        <v>-0.34691539999999998</v>
      </c>
      <c r="Q1251">
        <v>-4.0519600000000003E-2</v>
      </c>
      <c r="R1251">
        <v>-0.93702099999999999</v>
      </c>
      <c r="S1251">
        <v>-1.694016</v>
      </c>
      <c r="T1251">
        <v>-0.17947850000000001</v>
      </c>
      <c r="U1251">
        <v>-2.5705260000000001</v>
      </c>
      <c r="V1251">
        <v>0.1170761</v>
      </c>
      <c r="W1251">
        <v>-2.7620120000000001E-2</v>
      </c>
      <c r="X1251">
        <v>0.99273880000000003</v>
      </c>
      <c r="Y1251">
        <v>0.33781820000000001</v>
      </c>
      <c r="Z1251">
        <v>5.8957519999999999E-2</v>
      </c>
      <c r="AA1251">
        <v>0.93936299999999995</v>
      </c>
      <c r="AB1251">
        <v>17</v>
      </c>
      <c r="AC1251">
        <v>-10.4185999999999</v>
      </c>
      <c r="AD1251">
        <v>-1.108914095452</v>
      </c>
      <c r="AE1251">
        <v>-15.696999999999999</v>
      </c>
      <c r="AF1251">
        <v>6.4186991147287698</v>
      </c>
      <c r="AG1251">
        <v>-1.108914095452</v>
      </c>
      <c r="AH1251">
        <v>17.6436016050177</v>
      </c>
      <c r="AI1251">
        <v>93.380173207003494</v>
      </c>
      <c r="AJ1251">
        <v>70.008736954347995</v>
      </c>
      <c r="AK1251">
        <v>18.807606609909101</v>
      </c>
      <c r="AL1251">
        <v>91.582717576738403</v>
      </c>
      <c r="AM1251">
        <v>83.274036323901598</v>
      </c>
      <c r="AN1251">
        <v>1.00000000462273</v>
      </c>
    </row>
    <row r="1252" spans="1:40" x14ac:dyDescent="0.25">
      <c r="A1252" t="str">
        <f>"20190312160936433"</f>
        <v>20190312160936433</v>
      </c>
      <c r="B1252" t="str">
        <f>"1552378176426657"</f>
        <v>1552378176426657</v>
      </c>
      <c r="C1252" t="s">
        <v>40</v>
      </c>
      <c r="D1252">
        <v>6.1130430000000002</v>
      </c>
      <c r="E1252">
        <v>0.58762740000000002</v>
      </c>
      <c r="F1252" t="s">
        <v>59</v>
      </c>
      <c r="G1252">
        <v>-203.25450000000001</v>
      </c>
      <c r="H1252" s="1">
        <v>3.5075330000000002E-6</v>
      </c>
      <c r="I1252">
        <v>286.36309999999997</v>
      </c>
      <c r="J1252">
        <v>-193.5641</v>
      </c>
      <c r="K1252">
        <v>1.1089209999999901</v>
      </c>
      <c r="L1252">
        <v>300.86660000000001</v>
      </c>
      <c r="M1252">
        <v>-0.23718919999999999</v>
      </c>
      <c r="N1252">
        <v>0</v>
      </c>
      <c r="O1252">
        <v>-0.9713716</v>
      </c>
      <c r="P1252">
        <v>-0.35198629999999997</v>
      </c>
      <c r="Q1252">
        <v>-4.0361500000000002E-2</v>
      </c>
      <c r="R1252">
        <v>-0.93513460000000004</v>
      </c>
      <c r="S1252">
        <v>-1.701965</v>
      </c>
      <c r="T1252">
        <v>-0.1939845</v>
      </c>
      <c r="U1252">
        <v>-2.56311</v>
      </c>
      <c r="V1252">
        <v>0.1200306</v>
      </c>
      <c r="W1252">
        <v>-2.7475380000000001E-2</v>
      </c>
      <c r="X1252">
        <v>0.99238990000000005</v>
      </c>
      <c r="Y1252">
        <v>0.338630599999999</v>
      </c>
      <c r="Z1252">
        <v>6.3739019999999993E-2</v>
      </c>
      <c r="AA1252">
        <v>0.93875810000000004</v>
      </c>
      <c r="AB1252">
        <v>17</v>
      </c>
      <c r="AC1252">
        <v>-9.6904000000000092</v>
      </c>
      <c r="AD1252">
        <v>-1.10891749246699</v>
      </c>
      <c r="AE1252">
        <v>-14.503500000000001</v>
      </c>
      <c r="AF1252">
        <v>5.9493934875367804</v>
      </c>
      <c r="AG1252">
        <v>-1.10891749246699</v>
      </c>
      <c r="AH1252">
        <v>16.322239909541199</v>
      </c>
      <c r="AI1252">
        <v>93.652293651570602</v>
      </c>
      <c r="AJ1252">
        <v>69.973396977354994</v>
      </c>
      <c r="AK1252">
        <v>17.408058379361599</v>
      </c>
      <c r="AL1252">
        <v>91.574421479826796</v>
      </c>
      <c r="AM1252">
        <v>83.103515052137794</v>
      </c>
      <c r="AN1252">
        <v>0.999999977532257</v>
      </c>
    </row>
    <row r="1253" spans="1:40" x14ac:dyDescent="0.25">
      <c r="A1253" t="str">
        <f>"20190312160936467"</f>
        <v>20190312160936467</v>
      </c>
      <c r="B1253" t="str">
        <f>"1552378176456912"</f>
        <v>1552378176456912</v>
      </c>
      <c r="C1253" t="s">
        <v>40</v>
      </c>
      <c r="D1253">
        <v>6.2940529999999999</v>
      </c>
      <c r="E1253">
        <v>0.58684859999999905</v>
      </c>
      <c r="F1253" t="s">
        <v>59</v>
      </c>
      <c r="G1253">
        <v>-203.17</v>
      </c>
      <c r="H1253" s="1">
        <v>3.4582639999999998E-6</v>
      </c>
      <c r="I1253">
        <v>286.49779999999998</v>
      </c>
      <c r="J1253">
        <v>-193.631</v>
      </c>
      <c r="K1253">
        <v>1.108938</v>
      </c>
      <c r="L1253">
        <v>300.6146</v>
      </c>
      <c r="M1253">
        <v>-0.241204</v>
      </c>
      <c r="N1253">
        <v>0</v>
      </c>
      <c r="O1253">
        <v>-0.97038250000000004</v>
      </c>
      <c r="P1253">
        <v>-0.35965619999999998</v>
      </c>
      <c r="Q1253">
        <v>-4.1144020000000003E-2</v>
      </c>
      <c r="R1253">
        <v>-0.93217740000000004</v>
      </c>
      <c r="S1253">
        <v>-1.7089540000000001</v>
      </c>
      <c r="T1253">
        <v>-0.1972843</v>
      </c>
      <c r="U1253">
        <v>-2.556305</v>
      </c>
      <c r="V1253">
        <v>0.124083</v>
      </c>
      <c r="W1253">
        <v>-2.8276280000000001E-2</v>
      </c>
      <c r="X1253">
        <v>0.99186890000000005</v>
      </c>
      <c r="Y1253">
        <v>0.33762720000000002</v>
      </c>
      <c r="Z1253">
        <v>6.4829860000000003E-2</v>
      </c>
      <c r="AA1253">
        <v>0.93904469999999995</v>
      </c>
      <c r="AB1253">
        <v>17</v>
      </c>
      <c r="AC1253">
        <v>-9.5390000000000104</v>
      </c>
      <c r="AD1253">
        <v>-1.1089345417359999</v>
      </c>
      <c r="AE1253">
        <v>-14.1168</v>
      </c>
      <c r="AF1253">
        <v>5.8272852835241702</v>
      </c>
      <c r="AG1253">
        <v>-1.1089345417359999</v>
      </c>
      <c r="AH1253">
        <v>15.9334672646748</v>
      </c>
      <c r="AI1253">
        <v>93.739738002643904</v>
      </c>
      <c r="AJ1253">
        <v>69.911213475838693</v>
      </c>
      <c r="AK1253">
        <v>17.001834273627601</v>
      </c>
      <c r="AL1253">
        <v>91.620327431359598</v>
      </c>
      <c r="AM1253">
        <v>82.869330880181394</v>
      </c>
      <c r="AN1253">
        <v>1.0000000268434199</v>
      </c>
    </row>
    <row r="1254" spans="1:40" x14ac:dyDescent="0.25">
      <c r="A1254" t="str">
        <f>"20190312160936493"</f>
        <v>20190312160936493</v>
      </c>
      <c r="B1254" t="str">
        <f>"1552378176486192"</f>
        <v>1552378176486192</v>
      </c>
      <c r="C1254" t="s">
        <v>40</v>
      </c>
      <c r="D1254">
        <v>6.0806440000000004</v>
      </c>
      <c r="E1254">
        <v>0.58583779999999996</v>
      </c>
      <c r="F1254" t="s">
        <v>59</v>
      </c>
      <c r="G1254">
        <v>-202.87629999999999</v>
      </c>
      <c r="H1254" s="1">
        <v>3.2864750000000002E-6</v>
      </c>
      <c r="I1254">
        <v>286.97280000000001</v>
      </c>
      <c r="J1254">
        <v>-193.68090000000001</v>
      </c>
      <c r="K1254">
        <v>1.1089469999999999</v>
      </c>
      <c r="L1254">
        <v>300.42899999999997</v>
      </c>
      <c r="M1254">
        <v>-0.24415429999999999</v>
      </c>
      <c r="N1254">
        <v>0</v>
      </c>
      <c r="O1254">
        <v>-0.96964459999999997</v>
      </c>
      <c r="P1254">
        <v>-0.36549999999999999</v>
      </c>
      <c r="Q1254">
        <v>-4.1568199999999902E-2</v>
      </c>
      <c r="R1254">
        <v>-0.92988309999999996</v>
      </c>
      <c r="S1254">
        <v>-1.724075</v>
      </c>
      <c r="T1254">
        <v>-0.2067957</v>
      </c>
      <c r="U1254">
        <v>-2.5439449999999999</v>
      </c>
      <c r="V1254">
        <v>0.1272935</v>
      </c>
      <c r="W1254">
        <v>-2.871524E-2</v>
      </c>
      <c r="X1254">
        <v>0.99144940000000004</v>
      </c>
      <c r="Y1254">
        <v>0.34058339999999998</v>
      </c>
      <c r="Z1254">
        <v>6.7993890000000001E-2</v>
      </c>
      <c r="AA1254">
        <v>0.93775249999999999</v>
      </c>
      <c r="AB1254">
        <v>17</v>
      </c>
      <c r="AC1254">
        <v>-9.1953999999999692</v>
      </c>
      <c r="AD1254">
        <v>-1.108943713525</v>
      </c>
      <c r="AE1254">
        <v>-13.456200000000001</v>
      </c>
      <c r="AF1254">
        <v>5.6054308301920504</v>
      </c>
      <c r="AG1254">
        <v>-1.108943713525</v>
      </c>
      <c r="AH1254">
        <v>15.2237087392382</v>
      </c>
      <c r="AI1254">
        <v>93.9104689474525</v>
      </c>
      <c r="AJ1254">
        <v>69.786090010564195</v>
      </c>
      <c r="AK1254">
        <v>16.2607477911993</v>
      </c>
      <c r="AL1254">
        <v>91.645488154974998</v>
      </c>
      <c r="AM1254">
        <v>82.683745058656299</v>
      </c>
      <c r="AN1254">
        <v>1.0000000564554301</v>
      </c>
    </row>
    <row r="1255" spans="1:40" x14ac:dyDescent="0.25">
      <c r="A1255" t="str">
        <f>"20190312160936517"</f>
        <v>20190312160936517</v>
      </c>
      <c r="B1255" t="str">
        <f>"1552378176506689"</f>
        <v>1552378176506689</v>
      </c>
      <c r="C1255" t="s">
        <v>40</v>
      </c>
      <c r="D1255">
        <v>6.131094</v>
      </c>
      <c r="E1255">
        <v>0.58511210000000002</v>
      </c>
      <c r="F1255" t="s">
        <v>59</v>
      </c>
      <c r="G1255">
        <v>-202.9194</v>
      </c>
      <c r="H1255" s="1">
        <v>3.3115270000000001E-6</v>
      </c>
      <c r="I1255">
        <v>286.90530000000001</v>
      </c>
      <c r="J1255">
        <v>-193.7311</v>
      </c>
      <c r="K1255">
        <v>1.1089530000000001</v>
      </c>
      <c r="L1255">
        <v>300.2448</v>
      </c>
      <c r="M1255">
        <v>-0.24707889999999999</v>
      </c>
      <c r="N1255">
        <v>0</v>
      </c>
      <c r="O1255">
        <v>-0.96890330000000002</v>
      </c>
      <c r="P1255">
        <v>-0.37125439999999998</v>
      </c>
      <c r="Q1255">
        <v>-4.1887399999999998E-2</v>
      </c>
      <c r="R1255">
        <v>-0.92758600000000002</v>
      </c>
      <c r="S1255">
        <v>-1.732391</v>
      </c>
      <c r="T1255">
        <v>-0.20794689999999999</v>
      </c>
      <c r="U1255">
        <v>-2.5359500000000001</v>
      </c>
      <c r="V1255">
        <v>0.13044600000000001</v>
      </c>
      <c r="W1255">
        <v>-2.904934E-2</v>
      </c>
      <c r="X1255">
        <v>0.99102970000000001</v>
      </c>
      <c r="Y1255">
        <v>0.34120250000000002</v>
      </c>
      <c r="Z1255">
        <v>6.8404049999999994E-2</v>
      </c>
      <c r="AA1255">
        <v>0.93749760000000004</v>
      </c>
      <c r="AB1255">
        <v>17</v>
      </c>
      <c r="AC1255">
        <v>-9.1882999999999893</v>
      </c>
      <c r="AD1255">
        <v>-1.1089496884729999</v>
      </c>
      <c r="AE1255">
        <v>-13.3394999999999</v>
      </c>
      <c r="AF1255">
        <v>5.5810060813582503</v>
      </c>
      <c r="AG1255">
        <v>-1.1089496884729999</v>
      </c>
      <c r="AH1255">
        <v>15.1253804762702</v>
      </c>
      <c r="AI1255">
        <v>93.934840459720903</v>
      </c>
      <c r="AJ1255">
        <v>69.746803763129407</v>
      </c>
      <c r="AK1255">
        <v>16.160276385125901</v>
      </c>
      <c r="AL1255">
        <v>91.664638849258196</v>
      </c>
      <c r="AM1255">
        <v>82.501451154347706</v>
      </c>
      <c r="AN1255">
        <v>0.99999994467626097</v>
      </c>
    </row>
    <row r="1256" spans="1:40" x14ac:dyDescent="0.25">
      <c r="A1256" t="str">
        <f>"20190312160936546"</f>
        <v>20190312160936546</v>
      </c>
      <c r="B1256" t="str">
        <f>"1552378176536944"</f>
        <v>1552378176536944</v>
      </c>
      <c r="C1256" t="s">
        <v>40</v>
      </c>
      <c r="D1256">
        <v>6.2637409999999996</v>
      </c>
      <c r="E1256">
        <v>0.58464709999999998</v>
      </c>
      <c r="F1256" t="s">
        <v>59</v>
      </c>
      <c r="G1256">
        <v>-202.85749999999999</v>
      </c>
      <c r="H1256" s="1">
        <v>3.274802E-6</v>
      </c>
      <c r="I1256">
        <v>287.01130000000001</v>
      </c>
      <c r="J1256">
        <v>-193.78919999999999</v>
      </c>
      <c r="K1256">
        <v>1.1089530000000001</v>
      </c>
      <c r="L1256">
        <v>300.03410000000002</v>
      </c>
      <c r="M1256">
        <v>-0.25042399999999998</v>
      </c>
      <c r="N1256">
        <v>0</v>
      </c>
      <c r="O1256">
        <v>-0.96804429999999997</v>
      </c>
      <c r="P1256">
        <v>-0.37771690000000002</v>
      </c>
      <c r="Q1256">
        <v>-4.2595550000000003E-2</v>
      </c>
      <c r="R1256">
        <v>-0.92494129999999997</v>
      </c>
      <c r="S1256">
        <v>-1.7427979999999901</v>
      </c>
      <c r="T1256">
        <v>-0.2117665</v>
      </c>
      <c r="U1256">
        <v>-2.5270999999999999</v>
      </c>
      <c r="V1256">
        <v>0.13394110000000001</v>
      </c>
      <c r="W1256">
        <v>-2.977519E-2</v>
      </c>
      <c r="X1256">
        <v>0.99054189999999998</v>
      </c>
      <c r="Y1256">
        <v>0.34205439999999998</v>
      </c>
      <c r="Z1256">
        <v>6.9676360000000007E-2</v>
      </c>
      <c r="AA1256">
        <v>0.93709339999999997</v>
      </c>
      <c r="AB1256">
        <v>17</v>
      </c>
      <c r="AC1256">
        <v>-9.06829999999999</v>
      </c>
      <c r="AD1256">
        <v>-1.1089497251980001</v>
      </c>
      <c r="AE1256">
        <v>-13.0228</v>
      </c>
      <c r="AF1256">
        <v>5.49097119705214</v>
      </c>
      <c r="AG1256">
        <v>-1.1089497251980001</v>
      </c>
      <c r="AH1256">
        <v>14.8065857228074</v>
      </c>
      <c r="AI1256">
        <v>94.016856659590403</v>
      </c>
      <c r="AJ1256">
        <v>69.652875013449801</v>
      </c>
      <c r="AK1256">
        <v>15.830840626660301</v>
      </c>
      <c r="AL1256">
        <v>91.706244869250696</v>
      </c>
      <c r="AM1256">
        <v>82.299171756138904</v>
      </c>
      <c r="AN1256">
        <v>1.00000001793217</v>
      </c>
    </row>
    <row r="1257" spans="1:40" x14ac:dyDescent="0.25">
      <c r="A1257" t="str">
        <f>"20190312160936568"</f>
        <v>20190312160936568</v>
      </c>
      <c r="B1257" t="str">
        <f>"1552378176556464"</f>
        <v>1552378176556464</v>
      </c>
      <c r="C1257" t="s">
        <v>40</v>
      </c>
      <c r="D1257">
        <v>6.2385830000000002</v>
      </c>
      <c r="E1257">
        <v>0.58428219999999997</v>
      </c>
      <c r="F1257" t="s">
        <v>59</v>
      </c>
      <c r="G1257">
        <v>-202.6455</v>
      </c>
      <c r="H1257" s="1">
        <v>3.1510579999999999E-6</v>
      </c>
      <c r="I1257">
        <v>287.35129999999998</v>
      </c>
      <c r="J1257">
        <v>-193.834</v>
      </c>
      <c r="K1257">
        <v>1.1089519999999999</v>
      </c>
      <c r="L1257">
        <v>299.8734</v>
      </c>
      <c r="M1257">
        <v>-0.25297920000000002</v>
      </c>
      <c r="N1257">
        <v>0</v>
      </c>
      <c r="O1257">
        <v>-0.96737960000000001</v>
      </c>
      <c r="P1257">
        <v>-0.3815943</v>
      </c>
      <c r="Q1257">
        <v>-4.332519E-2</v>
      </c>
      <c r="R1257">
        <v>-0.92331439999999998</v>
      </c>
      <c r="S1257">
        <v>-1.756821</v>
      </c>
      <c r="T1257">
        <v>-0.2199816</v>
      </c>
      <c r="U1257">
        <v>-2.5158689999999999</v>
      </c>
      <c r="V1257">
        <v>0.1354871</v>
      </c>
      <c r="W1257">
        <v>-3.0513910000000002E-2</v>
      </c>
      <c r="X1257">
        <v>0.99030910000000005</v>
      </c>
      <c r="Y1257">
        <v>0.34493109999999999</v>
      </c>
      <c r="Z1257">
        <v>7.2408970000000003E-2</v>
      </c>
      <c r="AA1257">
        <v>0.93583099999999997</v>
      </c>
      <c r="AB1257">
        <v>17</v>
      </c>
      <c r="AC1257">
        <v>-8.8114999999999899</v>
      </c>
      <c r="AD1257">
        <v>-1.1089488489420001</v>
      </c>
      <c r="AE1257">
        <v>-12.5221</v>
      </c>
      <c r="AF1257">
        <v>5.3287602615695802</v>
      </c>
      <c r="AG1257">
        <v>-1.1089488489420001</v>
      </c>
      <c r="AH1257">
        <v>14.2691806754992</v>
      </c>
      <c r="AI1257">
        <v>94.1640860967224</v>
      </c>
      <c r="AJ1257">
        <v>69.522083874761606</v>
      </c>
      <c r="AK1257">
        <v>15.2720323017237</v>
      </c>
      <c r="AL1257">
        <v>91.748589711946494</v>
      </c>
      <c r="AM1257">
        <v>82.209562228718298</v>
      </c>
      <c r="AN1257">
        <v>0.99999998325635397</v>
      </c>
    </row>
    <row r="1258" spans="1:40" x14ac:dyDescent="0.25">
      <c r="A1258" t="str">
        <f>"20190312160936592"</f>
        <v>20190312160936592</v>
      </c>
      <c r="B1258" t="str">
        <f>"1552378176586720"</f>
        <v>1552378176586720</v>
      </c>
      <c r="C1258" t="s">
        <v>40</v>
      </c>
      <c r="D1258">
        <v>5.9851489999999998</v>
      </c>
      <c r="E1258">
        <v>0.5840455</v>
      </c>
      <c r="F1258" t="s">
        <v>59</v>
      </c>
      <c r="G1258">
        <v>-202.55709999999999</v>
      </c>
      <c r="H1258" s="1">
        <v>3.1016160000000001E-6</v>
      </c>
      <c r="I1258">
        <v>287.46839999999997</v>
      </c>
      <c r="J1258">
        <v>-193.88319999999999</v>
      </c>
      <c r="K1258">
        <v>1.1089439999999999</v>
      </c>
      <c r="L1258">
        <v>299.69920000000002</v>
      </c>
      <c r="M1258">
        <v>-0.2557567</v>
      </c>
      <c r="N1258">
        <v>0</v>
      </c>
      <c r="O1258">
        <v>-0.96664890000000003</v>
      </c>
      <c r="P1258">
        <v>-0.38530890000000001</v>
      </c>
      <c r="Q1258">
        <v>-4.4180759999999999E-2</v>
      </c>
      <c r="R1258">
        <v>-0.92172989999999999</v>
      </c>
      <c r="S1258">
        <v>-1.764572</v>
      </c>
      <c r="T1258">
        <v>-0.2243271</v>
      </c>
      <c r="U1258">
        <v>-2.509369</v>
      </c>
      <c r="V1258">
        <v>0.13663729999999999</v>
      </c>
      <c r="W1258">
        <v>-3.1377549999999997E-2</v>
      </c>
      <c r="X1258">
        <v>0.99012409999999995</v>
      </c>
      <c r="Y1258">
        <v>0.34524829999999901</v>
      </c>
      <c r="Z1258">
        <v>7.3839409999999994E-2</v>
      </c>
      <c r="AA1258">
        <v>0.93560209999999999</v>
      </c>
      <c r="AB1258">
        <v>17</v>
      </c>
      <c r="AC1258">
        <v>-8.6738999999999997</v>
      </c>
      <c r="AD1258">
        <v>-1.1089408983839999</v>
      </c>
      <c r="AE1258">
        <v>-12.2308</v>
      </c>
      <c r="AF1258">
        <v>5.2283781066405703</v>
      </c>
      <c r="AG1258">
        <v>-1.1089408983839999</v>
      </c>
      <c r="AH1258">
        <v>13.966159291636201</v>
      </c>
      <c r="AI1258">
        <v>94.252802906484106</v>
      </c>
      <c r="AJ1258">
        <v>69.476085810146998</v>
      </c>
      <c r="AK1258">
        <v>14.9539056069464</v>
      </c>
      <c r="AL1258">
        <v>91.798096289431399</v>
      </c>
      <c r="AM1258">
        <v>82.142799181441006</v>
      </c>
      <c r="AN1258">
        <v>1.0000000178980499</v>
      </c>
    </row>
    <row r="1259" spans="1:40" x14ac:dyDescent="0.25">
      <c r="A1259" t="str">
        <f>"20190312160936612"</f>
        <v>20190312160936612</v>
      </c>
      <c r="B1259" t="str">
        <f>"1552378176606183"</f>
        <v>1552378176606183</v>
      </c>
      <c r="C1259" t="s">
        <v>40</v>
      </c>
      <c r="D1259">
        <v>5.9474179999999999</v>
      </c>
      <c r="E1259">
        <v>0.58376600000000001</v>
      </c>
      <c r="F1259" t="s">
        <v>59</v>
      </c>
      <c r="G1259">
        <v>-202.5068</v>
      </c>
      <c r="H1259" s="1">
        <v>3.0741649999999998E-6</v>
      </c>
      <c r="I1259">
        <v>287.52730000000003</v>
      </c>
      <c r="J1259">
        <v>-193.92570000000001</v>
      </c>
      <c r="K1259">
        <v>1.1089420000000001</v>
      </c>
      <c r="L1259">
        <v>299.54989999999998</v>
      </c>
      <c r="M1259">
        <v>-0.25814789999999999</v>
      </c>
      <c r="N1259">
        <v>0</v>
      </c>
      <c r="O1259">
        <v>-0.96601309999999996</v>
      </c>
      <c r="P1259">
        <v>-0.38860090000000003</v>
      </c>
      <c r="Q1259">
        <v>-4.4340789999999998E-2</v>
      </c>
      <c r="R1259">
        <v>-0.92033860000000001</v>
      </c>
      <c r="S1259">
        <v>-1.7730870000000001</v>
      </c>
      <c r="T1259">
        <v>-0.22800719999999999</v>
      </c>
      <c r="U1259">
        <v>-2.5026549999999999</v>
      </c>
      <c r="V1259">
        <v>0.13772690000000001</v>
      </c>
      <c r="W1259">
        <v>-3.1545450000000003E-2</v>
      </c>
      <c r="X1259">
        <v>0.98996779999999995</v>
      </c>
      <c r="Y1259">
        <v>0.34617579999999998</v>
      </c>
      <c r="Z1259">
        <v>7.5052980000000005E-2</v>
      </c>
      <c r="AA1259">
        <v>0.93516279999999996</v>
      </c>
      <c r="AB1259">
        <v>17</v>
      </c>
      <c r="AC1259">
        <v>-8.5810999999999904</v>
      </c>
      <c r="AD1259">
        <v>-1.108938925835</v>
      </c>
      <c r="AE1259">
        <v>-12.022599999999899</v>
      </c>
      <c r="AF1259">
        <v>5.1572401752552404</v>
      </c>
      <c r="AG1259">
        <v>-1.108938925835</v>
      </c>
      <c r="AH1259">
        <v>13.752898225392499</v>
      </c>
      <c r="AI1259">
        <v>94.317600373552906</v>
      </c>
      <c r="AJ1259">
        <v>69.444307825378004</v>
      </c>
      <c r="AK1259">
        <v>14.7298703784012</v>
      </c>
      <c r="AL1259">
        <v>91.807720993857401</v>
      </c>
      <c r="AM1259">
        <v>82.0797001479946</v>
      </c>
      <c r="AN1259">
        <v>1.00000002971807</v>
      </c>
    </row>
    <row r="1260" spans="1:40" x14ac:dyDescent="0.25">
      <c r="A1260" t="str">
        <f>"20190312160936634"</f>
        <v>20190312160936634</v>
      </c>
      <c r="B1260" t="str">
        <f>"1552378176626680"</f>
        <v>1552378176626680</v>
      </c>
      <c r="C1260" t="s">
        <v>40</v>
      </c>
      <c r="D1260">
        <v>6.1425989999999997</v>
      </c>
      <c r="E1260">
        <v>0.58349779999999996</v>
      </c>
      <c r="F1260" t="s">
        <v>59</v>
      </c>
      <c r="G1260">
        <v>-202.60730000000001</v>
      </c>
      <c r="H1260" s="1">
        <v>3.1326139999999998E-6</v>
      </c>
      <c r="I1260">
        <v>287.36860000000001</v>
      </c>
      <c r="J1260">
        <v>-193.9725</v>
      </c>
      <c r="K1260">
        <v>1.108938</v>
      </c>
      <c r="L1260">
        <v>299.38749999999999</v>
      </c>
      <c r="M1260">
        <v>-0.26076700000000003</v>
      </c>
      <c r="N1260">
        <v>0</v>
      </c>
      <c r="O1260">
        <v>-0.96530959999999999</v>
      </c>
      <c r="P1260">
        <v>-0.39160830000000002</v>
      </c>
      <c r="Q1260">
        <v>-4.448365E-2</v>
      </c>
      <c r="R1260">
        <v>-0.9190564</v>
      </c>
      <c r="S1260">
        <v>-1.7798</v>
      </c>
      <c r="T1260">
        <v>-0.22734080000000001</v>
      </c>
      <c r="U1260">
        <v>-2.4972530000000002</v>
      </c>
      <c r="V1260">
        <v>0.13827970000000001</v>
      </c>
      <c r="W1260">
        <v>-3.1694689999999998E-2</v>
      </c>
      <c r="X1260">
        <v>0.98988589999999999</v>
      </c>
      <c r="Y1260">
        <v>0.34626469999999998</v>
      </c>
      <c r="Z1260">
        <v>7.4830919999999995E-2</v>
      </c>
      <c r="AA1260">
        <v>0.93514759999999997</v>
      </c>
      <c r="AB1260">
        <v>17</v>
      </c>
      <c r="AC1260">
        <v>-8.6348000000000091</v>
      </c>
      <c r="AD1260">
        <v>-1.108934867386</v>
      </c>
      <c r="AE1260">
        <v>-12.018899999999901</v>
      </c>
      <c r="AF1260">
        <v>5.1725424413623502</v>
      </c>
      <c r="AG1260">
        <v>-1.108934867386</v>
      </c>
      <c r="AH1260">
        <v>13.7775041406558</v>
      </c>
      <c r="AI1260">
        <v>94.309280050856003</v>
      </c>
      <c r="AJ1260">
        <v>69.422161060491007</v>
      </c>
      <c r="AK1260">
        <v>14.7582028781822</v>
      </c>
      <c r="AL1260">
        <v>91.816276216827603</v>
      </c>
      <c r="AM1260">
        <v>82.047666474888302</v>
      </c>
      <c r="AN1260">
        <v>0.99999996191254703</v>
      </c>
    </row>
    <row r="1261" spans="1:40" x14ac:dyDescent="0.25">
      <c r="A1261" t="str">
        <f>"20190312160936657"</f>
        <v>20190312160936657</v>
      </c>
      <c r="B1261" t="str">
        <f>"1552378176646199"</f>
        <v>1552378176646199</v>
      </c>
      <c r="C1261" t="s">
        <v>40</v>
      </c>
      <c r="D1261">
        <v>6.03376</v>
      </c>
      <c r="E1261">
        <v>0.58325890000000002</v>
      </c>
      <c r="F1261" t="s">
        <v>59</v>
      </c>
      <c r="G1261">
        <v>-202.65039999999999</v>
      </c>
      <c r="H1261" s="1">
        <v>3.1595899999999999E-6</v>
      </c>
      <c r="I1261">
        <v>287.27859999999998</v>
      </c>
      <c r="J1261">
        <v>-194.02109999999999</v>
      </c>
      <c r="K1261">
        <v>1.1089340000000001</v>
      </c>
      <c r="L1261">
        <v>299.22039999999998</v>
      </c>
      <c r="M1261">
        <v>-0.26348070000000001</v>
      </c>
      <c r="N1261">
        <v>0</v>
      </c>
      <c r="O1261">
        <v>-0.96457230000000005</v>
      </c>
      <c r="P1261">
        <v>-0.39404460000000002</v>
      </c>
      <c r="Q1261">
        <v>-4.4085109999999997E-2</v>
      </c>
      <c r="R1261">
        <v>-0.9180334</v>
      </c>
      <c r="S1261">
        <v>-1.7860259999999999</v>
      </c>
      <c r="T1261">
        <v>-0.22823270000000001</v>
      </c>
      <c r="U1261">
        <v>-2.4921570000000002</v>
      </c>
      <c r="V1261">
        <v>0.13811679999999901</v>
      </c>
      <c r="W1261">
        <v>-3.129958E-2</v>
      </c>
      <c r="X1261">
        <v>0.9899213</v>
      </c>
      <c r="Y1261">
        <v>0.3460627</v>
      </c>
      <c r="Z1261">
        <v>7.5115139999999997E-2</v>
      </c>
      <c r="AA1261">
        <v>0.93519960000000002</v>
      </c>
      <c r="AB1261">
        <v>17</v>
      </c>
      <c r="AC1261">
        <v>-8.6293000000000006</v>
      </c>
      <c r="AD1261">
        <v>-1.10893084041</v>
      </c>
      <c r="AE1261">
        <v>-11.941800000000001</v>
      </c>
      <c r="AF1261">
        <v>5.1484448982121798</v>
      </c>
      <c r="AG1261">
        <v>-1.10893084041</v>
      </c>
      <c r="AH1261">
        <v>13.715910776087901</v>
      </c>
      <c r="AI1261">
        <v>94.328643161551796</v>
      </c>
      <c r="AJ1261">
        <v>69.425724669480601</v>
      </c>
      <c r="AK1261">
        <v>14.692257175000201</v>
      </c>
      <c r="AL1261">
        <v>91.793626689734893</v>
      </c>
      <c r="AM1261">
        <v>82.057195480010606</v>
      </c>
      <c r="AN1261">
        <v>1.00000004717205</v>
      </c>
    </row>
    <row r="1262" spans="1:40" x14ac:dyDescent="0.25">
      <c r="A1262" t="str">
        <f>"20190312160936681"</f>
        <v>20190312160936681</v>
      </c>
      <c r="B1262" t="str">
        <f>"1552378176676455"</f>
        <v>1552378176676455</v>
      </c>
      <c r="C1262" t="s">
        <v>40</v>
      </c>
      <c r="D1262">
        <v>5.6350189999999998</v>
      </c>
      <c r="E1262">
        <v>0.58330479999999996</v>
      </c>
      <c r="F1262" t="s">
        <v>59</v>
      </c>
      <c r="G1262">
        <v>-202.7593</v>
      </c>
      <c r="H1262" s="1">
        <v>3.2252449999999998E-6</v>
      </c>
      <c r="I1262">
        <v>287.08010000000002</v>
      </c>
      <c r="J1262">
        <v>-194.06989999999999</v>
      </c>
      <c r="K1262">
        <v>1.1089230000000001</v>
      </c>
      <c r="L1262">
        <v>299.05439999999999</v>
      </c>
      <c r="M1262">
        <v>-0.2662021</v>
      </c>
      <c r="N1262">
        <v>0</v>
      </c>
      <c r="O1262">
        <v>-0.96382500000000004</v>
      </c>
      <c r="P1262">
        <v>-0.39648549999999999</v>
      </c>
      <c r="Q1262">
        <v>-4.3354700000000003E-2</v>
      </c>
      <c r="R1262">
        <v>-0.91701690000000002</v>
      </c>
      <c r="S1262">
        <v>-1.79097</v>
      </c>
      <c r="T1262">
        <v>-0.2272836</v>
      </c>
      <c r="U1262">
        <v>-2.488251</v>
      </c>
      <c r="V1262">
        <v>0.1379486</v>
      </c>
      <c r="W1262">
        <v>-3.0572849999999999E-2</v>
      </c>
      <c r="X1262">
        <v>0.98996740000000005</v>
      </c>
      <c r="Y1262">
        <v>0.34535009999999999</v>
      </c>
      <c r="Z1262">
        <v>7.4784500000000004E-2</v>
      </c>
      <c r="AA1262">
        <v>0.93548949999999997</v>
      </c>
      <c r="AB1262">
        <v>17</v>
      </c>
      <c r="AC1262">
        <v>-8.6893999999999991</v>
      </c>
      <c r="AD1262">
        <v>-1.1089197747549999</v>
      </c>
      <c r="AE1262">
        <v>-11.9742999999999</v>
      </c>
      <c r="AF1262">
        <v>5.1589558247522298</v>
      </c>
      <c r="AG1262">
        <v>-1.1089197747549999</v>
      </c>
      <c r="AH1262">
        <v>13.778093934266501</v>
      </c>
      <c r="AI1262">
        <v>94.310452295311094</v>
      </c>
      <c r="AJ1262">
        <v>69.472504393507705</v>
      </c>
      <c r="AK1262">
        <v>14.753996093603201</v>
      </c>
      <c r="AL1262">
        <v>91.751968299847704</v>
      </c>
      <c r="AM1262">
        <v>82.067109802524001</v>
      </c>
      <c r="AN1262">
        <v>0.99999998423092096</v>
      </c>
    </row>
    <row r="1263" spans="1:40" x14ac:dyDescent="0.25">
      <c r="A1263" t="str">
        <f>"20190312160936707"</f>
        <v>20190312160936707</v>
      </c>
      <c r="B1263" t="str">
        <f>"1552378176696953"</f>
        <v>1552378176696953</v>
      </c>
      <c r="C1263" t="s">
        <v>40</v>
      </c>
      <c r="D1263">
        <v>5.6555220000000004</v>
      </c>
      <c r="E1263">
        <v>0.58297169999999998</v>
      </c>
      <c r="F1263" t="s">
        <v>59</v>
      </c>
      <c r="G1263">
        <v>-203.1515</v>
      </c>
      <c r="H1263" s="1">
        <v>3.448919E-6</v>
      </c>
      <c r="I1263">
        <v>286.51089999999999</v>
      </c>
      <c r="J1263">
        <v>-194.126</v>
      </c>
      <c r="K1263">
        <v>1.1089100000000001</v>
      </c>
      <c r="L1263">
        <v>298.86590000000001</v>
      </c>
      <c r="M1263">
        <v>-0.26932909999999999</v>
      </c>
      <c r="N1263">
        <v>0</v>
      </c>
      <c r="O1263">
        <v>-0.96295560000000002</v>
      </c>
      <c r="P1263">
        <v>-0.39836070000000001</v>
      </c>
      <c r="Q1263">
        <v>-4.3338580000000002E-2</v>
      </c>
      <c r="R1263">
        <v>-0.91620449999999998</v>
      </c>
      <c r="S1263">
        <v>-1.798187</v>
      </c>
      <c r="T1263">
        <v>-0.2195704</v>
      </c>
      <c r="U1263">
        <v>-2.483673</v>
      </c>
      <c r="V1263">
        <v>0.13675989999999999</v>
      </c>
      <c r="W1263">
        <v>-3.055712E-2</v>
      </c>
      <c r="X1263">
        <v>0.99013280000000004</v>
      </c>
      <c r="Y1263">
        <v>0.34502110000000002</v>
      </c>
      <c r="Z1263">
        <v>7.2221320000000006E-2</v>
      </c>
      <c r="AA1263">
        <v>0.93581219999999998</v>
      </c>
      <c r="AB1263">
        <v>17</v>
      </c>
      <c r="AC1263">
        <v>-9.0255000000000205</v>
      </c>
      <c r="AD1263">
        <v>-1.1089065510809999</v>
      </c>
      <c r="AE1263">
        <v>-12.355</v>
      </c>
      <c r="AF1263">
        <v>5.3360447526099497</v>
      </c>
      <c r="AG1263">
        <v>-1.1089065510809999</v>
      </c>
      <c r="AH1263">
        <v>14.2545500266438</v>
      </c>
      <c r="AI1263">
        <v>94.166968226629393</v>
      </c>
      <c r="AJ1263">
        <v>69.477127391245901</v>
      </c>
      <c r="AK1263">
        <v>15.2609057333756</v>
      </c>
      <c r="AL1263">
        <v>91.751066615058605</v>
      </c>
      <c r="AM1263">
        <v>82.135905589857501</v>
      </c>
      <c r="AN1263">
        <v>0.99999998473327201</v>
      </c>
    </row>
    <row r="1264" spans="1:40" x14ac:dyDescent="0.25">
      <c r="A1264" t="str">
        <f>"20190312160936748"</f>
        <v>20190312160936748</v>
      </c>
      <c r="B1264" t="str">
        <f>"1552378176736497"</f>
        <v>1552378176736497</v>
      </c>
      <c r="C1264" t="s">
        <v>40</v>
      </c>
      <c r="D1264">
        <v>5.6308480000000003</v>
      </c>
      <c r="E1264">
        <v>0.58262449999999999</v>
      </c>
      <c r="F1264" t="s">
        <v>59</v>
      </c>
      <c r="G1264">
        <v>-203.24850000000001</v>
      </c>
      <c r="H1264" s="1">
        <v>3.5105589999999998E-6</v>
      </c>
      <c r="I1264">
        <v>286.29759999999999</v>
      </c>
      <c r="J1264">
        <v>-194.21610000000001</v>
      </c>
      <c r="K1264">
        <v>1.108887</v>
      </c>
      <c r="L1264">
        <v>298.56830000000002</v>
      </c>
      <c r="M1264">
        <v>-0.27434910000000001</v>
      </c>
      <c r="N1264">
        <v>0</v>
      </c>
      <c r="O1264">
        <v>-0.96153750000000004</v>
      </c>
      <c r="P1264">
        <v>-0.39996880000000001</v>
      </c>
      <c r="Q1264">
        <v>-4.3318490000000001E-2</v>
      </c>
      <c r="R1264">
        <v>-0.9155044</v>
      </c>
      <c r="S1264">
        <v>-1.800827</v>
      </c>
      <c r="T1264">
        <v>-0.2189053</v>
      </c>
      <c r="U1264">
        <v>-2.4810490000000001</v>
      </c>
      <c r="V1264">
        <v>0.1333319</v>
      </c>
      <c r="W1264">
        <v>-3.0529870000000001E-2</v>
      </c>
      <c r="X1264">
        <v>0.99060110000000001</v>
      </c>
      <c r="Y1264">
        <v>0.34125719999999998</v>
      </c>
      <c r="Z1264">
        <v>7.193956E-2</v>
      </c>
      <c r="AA1264">
        <v>0.93721299999999996</v>
      </c>
      <c r="AB1264">
        <v>17</v>
      </c>
      <c r="AC1264">
        <v>-9.0323999999999902</v>
      </c>
      <c r="AD1264">
        <v>-1.108883489441</v>
      </c>
      <c r="AE1264">
        <v>-12.2707</v>
      </c>
      <c r="AF1264">
        <v>5.2909856807458198</v>
      </c>
      <c r="AG1264">
        <v>-1.108883489441</v>
      </c>
      <c r="AH1264">
        <v>14.202815033547299</v>
      </c>
      <c r="AI1264">
        <v>94.184477621828293</v>
      </c>
      <c r="AJ1264">
        <v>69.568089300762296</v>
      </c>
      <c r="AK1264">
        <v>15.196845295789799</v>
      </c>
      <c r="AL1264">
        <v>91.7495045426774</v>
      </c>
      <c r="AM1264">
        <v>82.3342324127984</v>
      </c>
      <c r="AN1264">
        <v>1.0000000039205099</v>
      </c>
    </row>
    <row r="1265" spans="1:40" x14ac:dyDescent="0.25">
      <c r="A1265" t="str">
        <f>"20190312160936771"</f>
        <v>20190312160936771</v>
      </c>
      <c r="B1265" t="str">
        <f>"1552378176766752"</f>
        <v>1552378176766752</v>
      </c>
      <c r="C1265" t="s">
        <v>40</v>
      </c>
      <c r="D1265">
        <v>5.6656579999999996</v>
      </c>
      <c r="E1265">
        <v>0.58300149999999995</v>
      </c>
      <c r="F1265" t="s">
        <v>59</v>
      </c>
      <c r="G1265">
        <v>-203.9537</v>
      </c>
      <c r="H1265" s="1">
        <v>3.9213330000000003E-6</v>
      </c>
      <c r="I1265">
        <v>285.17660000000001</v>
      </c>
      <c r="J1265">
        <v>-194.26689999999999</v>
      </c>
      <c r="K1265">
        <v>1.1088750000000001</v>
      </c>
      <c r="L1265">
        <v>298.40309999999999</v>
      </c>
      <c r="M1265">
        <v>-0.27717900000000001</v>
      </c>
      <c r="N1265">
        <v>0</v>
      </c>
      <c r="O1265">
        <v>-0.96072570000000002</v>
      </c>
      <c r="P1265">
        <v>-0.40130139999999997</v>
      </c>
      <c r="Q1265">
        <v>-4.2863289999999998E-2</v>
      </c>
      <c r="R1265">
        <v>-0.9149429</v>
      </c>
      <c r="S1265">
        <v>-1.8029170000000001</v>
      </c>
      <c r="T1265">
        <v>-0.2053082</v>
      </c>
      <c r="U1265">
        <v>-2.4794619999999998</v>
      </c>
      <c r="V1265">
        <v>0.13185269999999999</v>
      </c>
      <c r="W1265">
        <v>-3.007203E-2</v>
      </c>
      <c r="X1265">
        <v>0.9908131</v>
      </c>
      <c r="Y1265">
        <v>0.33948070000000002</v>
      </c>
      <c r="Z1265">
        <v>6.7452620000000005E-2</v>
      </c>
      <c r="AA1265">
        <v>0.93819140000000001</v>
      </c>
      <c r="AB1265">
        <v>17</v>
      </c>
      <c r="AC1265">
        <v>-9.6867999999999999</v>
      </c>
      <c r="AD1265">
        <v>-1.108871078667</v>
      </c>
      <c r="AE1265">
        <v>-13.2264999999999</v>
      </c>
      <c r="AF1265">
        <v>5.61506360526809</v>
      </c>
      <c r="AG1265">
        <v>-1.108871078667</v>
      </c>
      <c r="AH1265">
        <v>15.3232842512828</v>
      </c>
      <c r="AI1265">
        <v>93.887093765280596</v>
      </c>
      <c r="AJ1265">
        <v>69.8751475704657</v>
      </c>
      <c r="AK1265">
        <v>16.357309516112998</v>
      </c>
      <c r="AL1265">
        <v>91.723260146510697</v>
      </c>
      <c r="AM1265">
        <v>82.419885974400501</v>
      </c>
      <c r="AN1265">
        <v>1.0000000303086101</v>
      </c>
    </row>
    <row r="1266" spans="1:40" x14ac:dyDescent="0.25">
      <c r="A1266" t="str">
        <f>"20190312160936814"</f>
        <v>20190312160936814</v>
      </c>
      <c r="B1266" t="str">
        <f>"1552378176806299"</f>
        <v>1552378176806299</v>
      </c>
      <c r="C1266" t="s">
        <v>40</v>
      </c>
      <c r="D1266">
        <v>5.6398739999999998</v>
      </c>
      <c r="E1266">
        <v>0.58338489999999998</v>
      </c>
      <c r="F1266" t="s">
        <v>59</v>
      </c>
      <c r="G1266">
        <v>-204.5624</v>
      </c>
      <c r="H1266" s="1">
        <v>4.2666540000000002E-6</v>
      </c>
      <c r="I1266">
        <v>284.3141</v>
      </c>
      <c r="J1266">
        <v>-194.36189999999999</v>
      </c>
      <c r="K1266">
        <v>1.1088420000000001</v>
      </c>
      <c r="L1266">
        <v>298.09879999999998</v>
      </c>
      <c r="M1266">
        <v>-0.28248620000000002</v>
      </c>
      <c r="N1266">
        <v>0</v>
      </c>
      <c r="O1266">
        <v>-0.95917859999999999</v>
      </c>
      <c r="P1266">
        <v>-0.40421439999999997</v>
      </c>
      <c r="Q1266">
        <v>-4.2794279999999997E-2</v>
      </c>
      <c r="R1266">
        <v>-0.91366270000000005</v>
      </c>
      <c r="S1266">
        <v>-1.8094330000000001</v>
      </c>
      <c r="T1266">
        <v>-0.194883</v>
      </c>
      <c r="U1266">
        <v>-2.4761350000000002</v>
      </c>
      <c r="V1266">
        <v>0.1295297</v>
      </c>
      <c r="W1266">
        <v>-3.0001110000000001E-2</v>
      </c>
      <c r="X1266">
        <v>0.99112160000000005</v>
      </c>
      <c r="Y1266">
        <v>0.33662999999999998</v>
      </c>
      <c r="Z1266">
        <v>6.3949790000000006E-2</v>
      </c>
      <c r="AA1266">
        <v>0.93946300000000005</v>
      </c>
      <c r="AB1266">
        <v>17</v>
      </c>
      <c r="AC1266">
        <v>-10.2005</v>
      </c>
      <c r="AD1266">
        <v>-1.108837733346</v>
      </c>
      <c r="AE1266">
        <v>-13.7846999999999</v>
      </c>
      <c r="AF1266">
        <v>5.8661113072380697</v>
      </c>
      <c r="AG1266">
        <v>-1.108837733346</v>
      </c>
      <c r="AH1266">
        <v>16.037867279250801</v>
      </c>
      <c r="AI1266">
        <v>93.715090784877702</v>
      </c>
      <c r="AJ1266">
        <v>69.909183556198499</v>
      </c>
      <c r="AK1266">
        <v>17.112976650912</v>
      </c>
      <c r="AL1266">
        <v>91.719194917075697</v>
      </c>
      <c r="AM1266">
        <v>82.554213212481798</v>
      </c>
      <c r="AN1266">
        <v>1.00000001788494</v>
      </c>
    </row>
    <row r="1267" spans="1:40" x14ac:dyDescent="0.25">
      <c r="A1267" t="str">
        <f>"20190312160936836"</f>
        <v>20190312160936836</v>
      </c>
      <c r="B1267" t="str">
        <f>"1552378176826795"</f>
        <v>1552378176826795</v>
      </c>
      <c r="C1267" t="s">
        <v>40</v>
      </c>
      <c r="D1267">
        <v>5.6337529999999996</v>
      </c>
      <c r="E1267">
        <v>0.58322839999999998</v>
      </c>
      <c r="F1267" t="s">
        <v>59</v>
      </c>
      <c r="G1267">
        <v>-205.3526</v>
      </c>
      <c r="H1267" s="1">
        <v>4.7155970000000003E-6</v>
      </c>
      <c r="I1267">
        <v>283.18709999999999</v>
      </c>
      <c r="J1267">
        <v>-194.41309999999999</v>
      </c>
      <c r="K1267">
        <v>1.1088249999999999</v>
      </c>
      <c r="L1267">
        <v>297.93759999999997</v>
      </c>
      <c r="M1267">
        <v>-0.28536600000000001</v>
      </c>
      <c r="N1267">
        <v>0</v>
      </c>
      <c r="O1267">
        <v>-0.95832589999999995</v>
      </c>
      <c r="P1267">
        <v>-0.40654869999999999</v>
      </c>
      <c r="Q1267">
        <v>-4.3606150000000003E-2</v>
      </c>
      <c r="R1267">
        <v>-0.91258819999999996</v>
      </c>
      <c r="S1267">
        <v>-1.8202210000000001</v>
      </c>
      <c r="T1267">
        <v>-0.18363950000000001</v>
      </c>
      <c r="U1267">
        <v>-2.4696039999999999</v>
      </c>
      <c r="V1267">
        <v>0.12909309999999999</v>
      </c>
      <c r="W1267">
        <v>-3.081834E-2</v>
      </c>
      <c r="X1267">
        <v>0.99115350000000002</v>
      </c>
      <c r="Y1267">
        <v>0.33778999999999998</v>
      </c>
      <c r="Z1267">
        <v>6.0240889999999998E-2</v>
      </c>
      <c r="AA1267">
        <v>0.93929169999999995</v>
      </c>
      <c r="AB1267">
        <v>17</v>
      </c>
      <c r="AC1267">
        <v>-10.939500000000001</v>
      </c>
      <c r="AD1267">
        <v>-1.108820284403</v>
      </c>
      <c r="AE1267">
        <v>-14.750499999999899</v>
      </c>
      <c r="AF1267">
        <v>6.2520799361370099</v>
      </c>
      <c r="AG1267">
        <v>-1.108820284403</v>
      </c>
      <c r="AH1267">
        <v>17.1963898452424</v>
      </c>
      <c r="AI1267">
        <v>93.467827577649402</v>
      </c>
      <c r="AJ1267">
        <v>70.020285736527001</v>
      </c>
      <c r="AK1267">
        <v>18.331224990723001</v>
      </c>
      <c r="AL1267">
        <v>91.766040392048396</v>
      </c>
      <c r="AM1267">
        <v>82.579266371402895</v>
      </c>
      <c r="AN1267">
        <v>1.0000000295550999</v>
      </c>
    </row>
    <row r="1268" spans="1:40" x14ac:dyDescent="0.25">
      <c r="A1268" t="str">
        <f>"20190312160936858"</f>
        <v>20190312160936858</v>
      </c>
      <c r="B1268" t="str">
        <f>"1552378176847291"</f>
        <v>1552378176847291</v>
      </c>
      <c r="C1268" t="s">
        <v>40</v>
      </c>
      <c r="D1268">
        <v>5.645823</v>
      </c>
      <c r="E1268">
        <v>0.58339300000000005</v>
      </c>
      <c r="F1268" t="s">
        <v>59</v>
      </c>
      <c r="G1268">
        <v>-205.4023</v>
      </c>
      <c r="H1268" s="1">
        <v>4.7454809999999901E-6</v>
      </c>
      <c r="I1268">
        <v>283.09719999999999</v>
      </c>
      <c r="J1268">
        <v>-194.46279999999999</v>
      </c>
      <c r="K1268">
        <v>1.1087940000000001</v>
      </c>
      <c r="L1268">
        <v>297.78300000000002</v>
      </c>
      <c r="M1268">
        <v>-0.28817880000000001</v>
      </c>
      <c r="N1268">
        <v>0</v>
      </c>
      <c r="O1268">
        <v>-0.95748359999999999</v>
      </c>
      <c r="P1268">
        <v>-0.40982170000000001</v>
      </c>
      <c r="Q1268">
        <v>-4.404897E-2</v>
      </c>
      <c r="R1268">
        <v>-0.91110179999999996</v>
      </c>
      <c r="S1268">
        <v>-1.825531</v>
      </c>
      <c r="T1268">
        <v>-0.1841981</v>
      </c>
      <c r="U1268">
        <v>-2.4653019999999999</v>
      </c>
      <c r="V1268">
        <v>0.12974240000000001</v>
      </c>
      <c r="W1268">
        <v>-3.127315E-2</v>
      </c>
      <c r="X1268">
        <v>0.9910544</v>
      </c>
      <c r="Y1268">
        <v>0.33711089999999999</v>
      </c>
      <c r="Z1268">
        <v>6.0402079999999997E-2</v>
      </c>
      <c r="AA1268">
        <v>0.93952530000000001</v>
      </c>
      <c r="AB1268">
        <v>17</v>
      </c>
      <c r="AC1268">
        <v>-10.939500000000001</v>
      </c>
      <c r="AD1268">
        <v>-1.1087892545189999</v>
      </c>
      <c r="AE1268">
        <v>-14.6858</v>
      </c>
      <c r="AF1268">
        <v>6.2200084320648097</v>
      </c>
      <c r="AG1268">
        <v>-1.1087892545189999</v>
      </c>
      <c r="AH1268">
        <v>17.152594715736001</v>
      </c>
      <c r="AI1268">
        <v>93.477610733501095</v>
      </c>
      <c r="AJ1268">
        <v>70.067945458102301</v>
      </c>
      <c r="AK1268">
        <v>18.279207422319701</v>
      </c>
      <c r="AL1268">
        <v>91.792111773332195</v>
      </c>
      <c r="AM1268">
        <v>82.541624052362096</v>
      </c>
      <c r="AN1268">
        <v>0.99999996201401997</v>
      </c>
    </row>
    <row r="1269" spans="1:40" x14ac:dyDescent="0.25">
      <c r="A1269" t="str">
        <f>"20190312160936881"</f>
        <v>20190312160936881</v>
      </c>
      <c r="B1269" t="str">
        <f>"1552378176876571"</f>
        <v>1552378176876571</v>
      </c>
      <c r="C1269" t="s">
        <v>40</v>
      </c>
      <c r="D1269">
        <v>5.9199310000000001</v>
      </c>
      <c r="E1269">
        <v>0.58336069999999995</v>
      </c>
      <c r="F1269" t="s">
        <v>59</v>
      </c>
      <c r="G1269">
        <v>-205.6515</v>
      </c>
      <c r="H1269" s="1">
        <v>4.8822319999999996E-6</v>
      </c>
      <c r="I1269">
        <v>282.79739999999998</v>
      </c>
      <c r="J1269">
        <v>-194.5162</v>
      </c>
      <c r="K1269">
        <v>1.108762</v>
      </c>
      <c r="L1269">
        <v>297.61840000000001</v>
      </c>
      <c r="M1269">
        <v>-0.29124250000000002</v>
      </c>
      <c r="N1269">
        <v>0</v>
      </c>
      <c r="O1269">
        <v>-0.95655639999999997</v>
      </c>
      <c r="P1269">
        <v>-0.41421229999999998</v>
      </c>
      <c r="Q1269">
        <v>-4.356691E-2</v>
      </c>
      <c r="R1269">
        <v>-0.90913719999999998</v>
      </c>
      <c r="S1269">
        <v>-1.83548</v>
      </c>
      <c r="T1269">
        <v>-0.18189279999999999</v>
      </c>
      <c r="U1269">
        <v>-2.4583439999999999</v>
      </c>
      <c r="V1269">
        <v>0.13134179999999901</v>
      </c>
      <c r="W1269">
        <v>-3.0810509999999999E-2</v>
      </c>
      <c r="X1269">
        <v>0.99085829999999997</v>
      </c>
      <c r="Y1269">
        <v>0.3378428</v>
      </c>
      <c r="Z1269">
        <v>5.9625379999999999E-2</v>
      </c>
      <c r="AA1269">
        <v>0.93931200000000004</v>
      </c>
      <c r="AB1269">
        <v>17</v>
      </c>
      <c r="AC1269">
        <v>-11.135300000000001</v>
      </c>
      <c r="AD1269">
        <v>-1.108757117768</v>
      </c>
      <c r="AE1269">
        <v>-14.821</v>
      </c>
      <c r="AF1269">
        <v>6.3130170460372499</v>
      </c>
      <c r="AG1269">
        <v>-1.108757117768</v>
      </c>
      <c r="AH1269">
        <v>17.359643097577202</v>
      </c>
      <c r="AI1269">
        <v>93.434998362303702</v>
      </c>
      <c r="AJ1269">
        <v>70.015670459060303</v>
      </c>
      <c r="AK1269">
        <v>18.505154283199499</v>
      </c>
      <c r="AL1269">
        <v>91.765591493337396</v>
      </c>
      <c r="AM1269">
        <v>82.449258154373993</v>
      </c>
      <c r="AN1269">
        <v>1.00000006331629</v>
      </c>
    </row>
    <row r="1270" spans="1:40" x14ac:dyDescent="0.25">
      <c r="A1270" t="str">
        <f>"20190312160936906"</f>
        <v>20190312160936906</v>
      </c>
      <c r="B1270" t="str">
        <f>"1552378176897067"</f>
        <v>1552378176897067</v>
      </c>
      <c r="C1270" t="s">
        <v>40</v>
      </c>
      <c r="D1270">
        <v>6.0311209999999997</v>
      </c>
      <c r="E1270">
        <v>0.5829377</v>
      </c>
      <c r="F1270" t="s">
        <v>59</v>
      </c>
      <c r="G1270">
        <v>-206.0428</v>
      </c>
      <c r="H1270" s="1">
        <v>5.0964699999999998E-6</v>
      </c>
      <c r="I1270">
        <v>282.3313</v>
      </c>
      <c r="J1270">
        <v>-194.57320000000001</v>
      </c>
      <c r="K1270">
        <v>1.108724</v>
      </c>
      <c r="L1270">
        <v>297.44540000000001</v>
      </c>
      <c r="M1270">
        <v>-0.29456159999999998</v>
      </c>
      <c r="N1270">
        <v>0</v>
      </c>
      <c r="O1270">
        <v>-0.95553929999999998</v>
      </c>
      <c r="P1270">
        <v>-0.41848170000000001</v>
      </c>
      <c r="Q1270">
        <v>-4.1477170000000001E-2</v>
      </c>
      <c r="R1270">
        <v>-0.90727789999999997</v>
      </c>
      <c r="S1270">
        <v>-1.8471070000000001</v>
      </c>
      <c r="T1270">
        <v>-0.17767639999999901</v>
      </c>
      <c r="U1270">
        <v>-2.449738</v>
      </c>
      <c r="V1270">
        <v>0.13253429999999999</v>
      </c>
      <c r="W1270">
        <v>-2.8740129999999999E-2</v>
      </c>
      <c r="X1270">
        <v>0.99076160000000002</v>
      </c>
      <c r="Y1270">
        <v>0.3390552</v>
      </c>
      <c r="Z1270">
        <v>5.8231850000000002E-2</v>
      </c>
      <c r="AA1270">
        <v>0.93896250000000003</v>
      </c>
      <c r="AB1270">
        <v>17</v>
      </c>
      <c r="AC1270">
        <v>-11.4695999999999</v>
      </c>
      <c r="AD1270">
        <v>-1.10871890352999</v>
      </c>
      <c r="AE1270">
        <v>-15.114100000000001</v>
      </c>
      <c r="AF1270">
        <v>6.4860516351772999</v>
      </c>
      <c r="AG1270">
        <v>-1.10871890352999</v>
      </c>
      <c r="AH1270">
        <v>17.761556732606401</v>
      </c>
      <c r="AI1270">
        <v>93.355704594485204</v>
      </c>
      <c r="AJ1270">
        <v>69.939141079162795</v>
      </c>
      <c r="AK1270">
        <v>18.941251832622601</v>
      </c>
      <c r="AL1270">
        <v>91.646915024402205</v>
      </c>
      <c r="AM1270">
        <v>82.380769036613202</v>
      </c>
      <c r="AN1270">
        <v>0.99999994189173103</v>
      </c>
    </row>
    <row r="1271" spans="1:40" x14ac:dyDescent="0.25">
      <c r="A1271" t="str">
        <f>"20190312160936950"</f>
        <v>20190312160936950</v>
      </c>
      <c r="B1271" t="str">
        <f>"1552378176946374"</f>
        <v>1552378176946374</v>
      </c>
      <c r="C1271" t="s">
        <v>40</v>
      </c>
      <c r="D1271">
        <v>5.9422509999999997</v>
      </c>
      <c r="E1271">
        <v>0.5821771</v>
      </c>
      <c r="F1271" t="s">
        <v>59</v>
      </c>
      <c r="G1271">
        <v>-206.48230000000001</v>
      </c>
      <c r="H1271" s="1">
        <v>5.3406059999999999E-6</v>
      </c>
      <c r="I1271">
        <v>281.76839999999999</v>
      </c>
      <c r="J1271">
        <v>-194.67439999999999</v>
      </c>
      <c r="K1271">
        <v>1.1086290000000001</v>
      </c>
      <c r="L1271">
        <v>297.14409999999998</v>
      </c>
      <c r="M1271">
        <v>-0.3006125</v>
      </c>
      <c r="N1271">
        <v>0</v>
      </c>
      <c r="O1271">
        <v>-0.95365290000000003</v>
      </c>
      <c r="P1271">
        <v>-0.42449680000000001</v>
      </c>
      <c r="Q1271">
        <v>-3.9232969999999999E-2</v>
      </c>
      <c r="R1271">
        <v>-0.90457920000000003</v>
      </c>
      <c r="S1271">
        <v>-1.855667</v>
      </c>
      <c r="T1271">
        <v>-0.17275950000000001</v>
      </c>
      <c r="U1271">
        <v>-2.44278</v>
      </c>
      <c r="V1271">
        <v>0.13280459999999999</v>
      </c>
      <c r="W1271">
        <v>-2.6522380000000002E-2</v>
      </c>
      <c r="X1271">
        <v>0.99078730000000004</v>
      </c>
      <c r="Y1271">
        <v>0.33652549999999998</v>
      </c>
      <c r="Z1271">
        <v>5.6562340000000003E-2</v>
      </c>
      <c r="AA1271">
        <v>0.93997410000000003</v>
      </c>
      <c r="AB1271">
        <v>16</v>
      </c>
      <c r="AC1271">
        <v>-11.8079</v>
      </c>
      <c r="AD1271">
        <v>-1.108623659394</v>
      </c>
      <c r="AE1271">
        <v>-15.375699999999901</v>
      </c>
      <c r="AF1271">
        <v>6.6174622156442098</v>
      </c>
      <c r="AG1271">
        <v>-1.108623659394</v>
      </c>
      <c r="AH1271">
        <v>18.154937592971599</v>
      </c>
      <c r="AI1271">
        <v>93.283583897758206</v>
      </c>
      <c r="AJ1271">
        <v>69.9732368160699</v>
      </c>
      <c r="AK1271">
        <v>19.355144318716398</v>
      </c>
      <c r="AL1271">
        <v>91.519798673592803</v>
      </c>
      <c r="AM1271">
        <v>82.365608625222706</v>
      </c>
      <c r="AN1271">
        <v>0.99999998613165697</v>
      </c>
    </row>
    <row r="1272" spans="1:40" x14ac:dyDescent="0.25">
      <c r="A1272" t="str">
        <f>"20190312160936971"</f>
        <v>20190312160936971</v>
      </c>
      <c r="B1272" t="str">
        <f>"1552378176966869"</f>
        <v>1552378176966869</v>
      </c>
      <c r="C1272" t="s">
        <v>40</v>
      </c>
      <c r="D1272">
        <v>5.6443859999999999</v>
      </c>
      <c r="E1272">
        <v>0.58218340000000002</v>
      </c>
      <c r="F1272" t="s">
        <v>59</v>
      </c>
      <c r="G1272">
        <v>-207.06299999999999</v>
      </c>
      <c r="H1272" s="1">
        <v>5.6660100000000003E-6</v>
      </c>
      <c r="I1272">
        <v>280.99189999999999</v>
      </c>
      <c r="J1272">
        <v>-194.73009999999999</v>
      </c>
      <c r="K1272">
        <v>1.1085769999999999</v>
      </c>
      <c r="L1272">
        <v>296.98169999999999</v>
      </c>
      <c r="M1272">
        <v>-0.30400719999999998</v>
      </c>
      <c r="N1272">
        <v>0</v>
      </c>
      <c r="O1272">
        <v>-0.95257619999999998</v>
      </c>
      <c r="P1272">
        <v>-0.4267862</v>
      </c>
      <c r="Q1272">
        <v>-3.8936819999999997E-2</v>
      </c>
      <c r="R1272">
        <v>-0.90351420000000005</v>
      </c>
      <c r="S1272">
        <v>-1.866379</v>
      </c>
      <c r="T1272">
        <v>-0.16701729999999901</v>
      </c>
      <c r="U1272">
        <v>-2.4333800000000001</v>
      </c>
      <c r="V1272">
        <v>0.1317797</v>
      </c>
      <c r="W1272">
        <v>-2.6231319999999999E-2</v>
      </c>
      <c r="X1272">
        <v>0.99093189999999998</v>
      </c>
      <c r="Y1272">
        <v>0.33759470000000003</v>
      </c>
      <c r="Z1272">
        <v>5.4688059999999997E-2</v>
      </c>
      <c r="AA1272">
        <v>0.93970160000000003</v>
      </c>
      <c r="AB1272">
        <v>16</v>
      </c>
      <c r="AC1272">
        <v>-12.332899999999899</v>
      </c>
      <c r="AD1272">
        <v>-1.1085713339899901</v>
      </c>
      <c r="AE1272">
        <v>-15.989800000000001</v>
      </c>
      <c r="AF1272">
        <v>6.86693119147301</v>
      </c>
      <c r="AG1272">
        <v>-1.1085713339899901</v>
      </c>
      <c r="AH1272">
        <v>18.925448165188399</v>
      </c>
      <c r="AI1272">
        <v>93.151700843719794</v>
      </c>
      <c r="AJ1272">
        <v>70.057145477349906</v>
      </c>
      <c r="AK1272">
        <v>20.1632403805589</v>
      </c>
      <c r="AL1272">
        <v>91.503116337152903</v>
      </c>
      <c r="AM1272">
        <v>82.424931645379303</v>
      </c>
      <c r="AN1272">
        <v>1.00000000095932</v>
      </c>
    </row>
    <row r="1273" spans="1:40" x14ac:dyDescent="0.25">
      <c r="A1273" t="str">
        <f>"20190312160936996"</f>
        <v>20190312160936996</v>
      </c>
      <c r="B1273" t="str">
        <f>"1552378176986389"</f>
        <v>1552378176986389</v>
      </c>
      <c r="C1273" t="s">
        <v>40</v>
      </c>
      <c r="D1273">
        <v>5.6991069999999997</v>
      </c>
      <c r="E1273">
        <v>0.58213570000000003</v>
      </c>
      <c r="F1273" t="s">
        <v>59</v>
      </c>
      <c r="G1273">
        <v>-207.63290000000001</v>
      </c>
      <c r="H1273" s="1">
        <v>5.9837429999999899E-6</v>
      </c>
      <c r="I1273">
        <v>280.2484</v>
      </c>
      <c r="J1273">
        <v>-194.7884</v>
      </c>
      <c r="K1273">
        <v>1.1085389999999999</v>
      </c>
      <c r="L1273">
        <v>296.81369999999998</v>
      </c>
      <c r="M1273">
        <v>-0.30761709999999998</v>
      </c>
      <c r="N1273">
        <v>0</v>
      </c>
      <c r="O1273">
        <v>-0.9514165</v>
      </c>
      <c r="P1273">
        <v>-0.42848890000000001</v>
      </c>
      <c r="Q1273">
        <v>-3.9401390000000001E-2</v>
      </c>
      <c r="R1273">
        <v>-0.90268780000000004</v>
      </c>
      <c r="S1273">
        <v>-1.8728180000000001</v>
      </c>
      <c r="T1273">
        <v>-0.1609062</v>
      </c>
      <c r="U1273">
        <v>-2.4288020000000001</v>
      </c>
      <c r="V1273">
        <v>0.1298927</v>
      </c>
      <c r="W1273">
        <v>-2.6695E-2</v>
      </c>
      <c r="X1273">
        <v>0.99116859999999996</v>
      </c>
      <c r="Y1273">
        <v>0.33651360000000002</v>
      </c>
      <c r="Z1273">
        <v>5.2649790000000002E-2</v>
      </c>
      <c r="AA1273">
        <v>0.94020559999999997</v>
      </c>
      <c r="AB1273">
        <v>16</v>
      </c>
      <c r="AC1273">
        <v>-12.8445</v>
      </c>
      <c r="AD1273">
        <v>-1.108533016257</v>
      </c>
      <c r="AE1273">
        <v>-16.565299999999901</v>
      </c>
      <c r="AF1273">
        <v>7.1054632760380798</v>
      </c>
      <c r="AG1273">
        <v>-1.108533016257</v>
      </c>
      <c r="AH1273">
        <v>19.658466799868499</v>
      </c>
      <c r="AI1273">
        <v>93.035654015861297</v>
      </c>
      <c r="AJ1273">
        <v>70.127841327248404</v>
      </c>
      <c r="AK1273">
        <v>20.932552895831599</v>
      </c>
      <c r="AL1273">
        <v>91.529692606580696</v>
      </c>
      <c r="AM1273">
        <v>82.533931956947001</v>
      </c>
      <c r="AN1273">
        <v>0.99999996508212396</v>
      </c>
    </row>
    <row r="1274" spans="1:40" x14ac:dyDescent="0.25">
      <c r="A1274" t="str">
        <f>"20190312160937038"</f>
        <v>20190312160937038</v>
      </c>
      <c r="B1274" t="str">
        <f>"1552378177026911"</f>
        <v>1552378177026911</v>
      </c>
      <c r="C1274" t="s">
        <v>40</v>
      </c>
      <c r="D1274">
        <v>5.7022599999999999</v>
      </c>
      <c r="E1274">
        <v>0.58220159999999999</v>
      </c>
      <c r="F1274" t="s">
        <v>59</v>
      </c>
      <c r="G1274">
        <v>-207.92019999999999</v>
      </c>
      <c r="H1274" s="1">
        <v>6.1464689999999997E-6</v>
      </c>
      <c r="I1274">
        <v>279.84399999999999</v>
      </c>
      <c r="J1274">
        <v>-194.89160000000001</v>
      </c>
      <c r="K1274">
        <v>1.1084240000000001</v>
      </c>
      <c r="L1274">
        <v>296.52229999999997</v>
      </c>
      <c r="M1274">
        <v>-0.31420130000000002</v>
      </c>
      <c r="N1274">
        <v>0</v>
      </c>
      <c r="O1274">
        <v>-0.9492623</v>
      </c>
      <c r="P1274">
        <v>-0.43304039999999999</v>
      </c>
      <c r="Q1274">
        <v>-4.1095449999999999E-2</v>
      </c>
      <c r="R1274">
        <v>-0.90043709999999899</v>
      </c>
      <c r="S1274">
        <v>-1.8769990000000001</v>
      </c>
      <c r="T1274">
        <v>-0.158448799999999</v>
      </c>
      <c r="U1274">
        <v>-2.4255680000000002</v>
      </c>
      <c r="V1274">
        <v>0.12803999999999999</v>
      </c>
      <c r="W1274">
        <v>-2.8402589999999998E-2</v>
      </c>
      <c r="X1274">
        <v>0.99136219999999997</v>
      </c>
      <c r="Y1274">
        <v>0.33163540000000002</v>
      </c>
      <c r="Z1274">
        <v>5.175246E-2</v>
      </c>
      <c r="AA1274">
        <v>0.94198700000000002</v>
      </c>
      <c r="AB1274">
        <v>16</v>
      </c>
      <c r="AC1274">
        <v>-13.0285999999999</v>
      </c>
      <c r="AD1274">
        <v>-1.1084178535310001</v>
      </c>
      <c r="AE1274">
        <v>-16.678299999999901</v>
      </c>
      <c r="AF1274">
        <v>7.1083541262471801</v>
      </c>
      <c r="AG1274">
        <v>-1.1084178535310001</v>
      </c>
      <c r="AH1274">
        <v>19.8729540628865</v>
      </c>
      <c r="AI1274">
        <v>93.006225395667499</v>
      </c>
      <c r="AJ1274">
        <v>70.318385238371306</v>
      </c>
      <c r="AK1274">
        <v>21.135079647537601</v>
      </c>
      <c r="AL1274">
        <v>91.627567444957506</v>
      </c>
      <c r="AM1274">
        <v>82.640668359370594</v>
      </c>
      <c r="AN1274">
        <v>0.999999980153773</v>
      </c>
    </row>
    <row r="1275" spans="1:40" x14ac:dyDescent="0.25">
      <c r="A1275" t="str">
        <f>"20190312160937062"</f>
        <v>20190312160937062</v>
      </c>
      <c r="B1275" t="str">
        <f>"1552378177056192"</f>
        <v>1552378177056192</v>
      </c>
      <c r="C1275" t="s">
        <v>40</v>
      </c>
      <c r="D1275">
        <v>6.0526299999999997</v>
      </c>
      <c r="E1275">
        <v>0.58229960000000003</v>
      </c>
      <c r="F1275" t="s">
        <v>59</v>
      </c>
      <c r="G1275">
        <v>-208.11660000000001</v>
      </c>
      <c r="H1275">
        <v>7.1422179999999997E-3</v>
      </c>
      <c r="I1275">
        <v>279.61630000000002</v>
      </c>
      <c r="J1275">
        <v>-194.9504</v>
      </c>
      <c r="K1275">
        <v>1.108352</v>
      </c>
      <c r="L1275">
        <v>296.35989999999998</v>
      </c>
      <c r="M1275">
        <v>-0.31805020000000001</v>
      </c>
      <c r="N1275">
        <v>0</v>
      </c>
      <c r="O1275">
        <v>-0.94797960000000003</v>
      </c>
      <c r="P1275">
        <v>-0.43682720000000003</v>
      </c>
      <c r="Q1275">
        <v>-4.138766E-2</v>
      </c>
      <c r="R1275">
        <v>-0.89859299999999998</v>
      </c>
      <c r="S1275">
        <v>-1.8897250000000001</v>
      </c>
      <c r="T1275">
        <v>-0.15736320000000001</v>
      </c>
      <c r="U1275">
        <v>-2.4157099999999998</v>
      </c>
      <c r="V1275">
        <v>0.128189</v>
      </c>
      <c r="W1275">
        <v>-2.8711830000000001E-2</v>
      </c>
      <c r="X1275">
        <v>0.9913341</v>
      </c>
      <c r="Y1275">
        <v>0.33276409999999901</v>
      </c>
      <c r="Z1275">
        <v>5.1376230000000002E-2</v>
      </c>
      <c r="AA1275">
        <v>0.94160960000000005</v>
      </c>
      <c r="AB1275">
        <v>16</v>
      </c>
      <c r="AC1275">
        <v>-13.1662</v>
      </c>
      <c r="AD1275">
        <v>-1.101209782</v>
      </c>
      <c r="AE1275">
        <v>-16.743599999999901</v>
      </c>
      <c r="AF1275">
        <v>7.1375457520800802</v>
      </c>
      <c r="AG1275">
        <v>-1.101209782</v>
      </c>
      <c r="AH1275">
        <v>20.0084174117295</v>
      </c>
      <c r="AI1275">
        <v>92.967429828567404</v>
      </c>
      <c r="AJ1275">
        <v>70.367302530452093</v>
      </c>
      <c r="AK1275">
        <v>21.2719061127349</v>
      </c>
      <c r="AL1275">
        <v>91.645292717333504</v>
      </c>
      <c r="AM1275">
        <v>82.631991807987902</v>
      </c>
      <c r="AN1275">
        <v>1.00000004336287</v>
      </c>
    </row>
    <row r="1276" spans="1:40" x14ac:dyDescent="0.25">
      <c r="A1276" t="str">
        <f>"20190312160937082"</f>
        <v>20190312160937082</v>
      </c>
      <c r="B1276" t="str">
        <f>"1552378177076690"</f>
        <v>1552378177076690</v>
      </c>
      <c r="C1276" t="s">
        <v>40</v>
      </c>
      <c r="D1276">
        <v>5.7645569999999999</v>
      </c>
      <c r="E1276">
        <v>0.58232059999999997</v>
      </c>
      <c r="F1276" t="s">
        <v>59</v>
      </c>
      <c r="G1276">
        <v>-208.1694</v>
      </c>
      <c r="H1276">
        <v>1.697887E-2</v>
      </c>
      <c r="I1276">
        <v>279.61630000000002</v>
      </c>
      <c r="J1276">
        <v>-195.00210000000001</v>
      </c>
      <c r="K1276">
        <v>1.1082799999999999</v>
      </c>
      <c r="L1276">
        <v>296.21929999999998</v>
      </c>
      <c r="M1276">
        <v>-0.32149990000000001</v>
      </c>
      <c r="N1276">
        <v>0</v>
      </c>
      <c r="O1276">
        <v>-0.94681510000000002</v>
      </c>
      <c r="P1276">
        <v>-0.44062869999999998</v>
      </c>
      <c r="Q1276">
        <v>-4.1639660000000002E-2</v>
      </c>
      <c r="R1276">
        <v>-0.89672339999999995</v>
      </c>
      <c r="S1276">
        <v>-1.9006350000000001</v>
      </c>
      <c r="T1276">
        <v>-0.1569188</v>
      </c>
      <c r="U1276">
        <v>-2.40741</v>
      </c>
      <c r="V1276">
        <v>0.12877479999999999</v>
      </c>
      <c r="W1276">
        <v>-2.8982919999999999E-2</v>
      </c>
      <c r="X1276">
        <v>0.99125019999999997</v>
      </c>
      <c r="Y1276">
        <v>0.33354430000000002</v>
      </c>
      <c r="Z1276">
        <v>5.12057E-2</v>
      </c>
      <c r="AA1276">
        <v>0.94134280000000004</v>
      </c>
      <c r="AB1276">
        <v>16</v>
      </c>
      <c r="AC1276">
        <v>-13.1672999999999</v>
      </c>
      <c r="AD1276">
        <v>-1.09130113</v>
      </c>
      <c r="AE1276">
        <v>-16.602999999999899</v>
      </c>
      <c r="AF1276">
        <v>7.1109141161440803</v>
      </c>
      <c r="AG1276">
        <v>-1.09130113</v>
      </c>
      <c r="AH1276">
        <v>19.902257782463401</v>
      </c>
      <c r="AI1276">
        <v>92.955906913842796</v>
      </c>
      <c r="AJ1276">
        <v>70.338606308878397</v>
      </c>
      <c r="AK1276">
        <v>21.162606232766802</v>
      </c>
      <c r="AL1276">
        <v>91.660831636727494</v>
      </c>
      <c r="AM1276">
        <v>82.598074354439404</v>
      </c>
      <c r="AN1276">
        <v>0.99999995888340198</v>
      </c>
    </row>
    <row r="1277" spans="1:40" x14ac:dyDescent="0.25">
      <c r="A1277" t="str">
        <f>"20190312160937107"</f>
        <v>20190312160937107</v>
      </c>
      <c r="B1277" t="str">
        <f>"1552378177096208"</f>
        <v>1552378177096208</v>
      </c>
      <c r="C1277" t="s">
        <v>40</v>
      </c>
      <c r="D1277">
        <v>5.884042</v>
      </c>
      <c r="E1277">
        <v>0.58232269999999997</v>
      </c>
      <c r="F1277" t="s">
        <v>59</v>
      </c>
      <c r="G1277">
        <v>-208.22620000000001</v>
      </c>
      <c r="H1277">
        <v>1.5659240000000001E-2</v>
      </c>
      <c r="I1277">
        <v>279.61630000000002</v>
      </c>
      <c r="J1277">
        <v>-195.06530000000001</v>
      </c>
      <c r="K1277">
        <v>1.1082019999999999</v>
      </c>
      <c r="L1277">
        <v>296.05</v>
      </c>
      <c r="M1277">
        <v>-0.32582509999999998</v>
      </c>
      <c r="N1277">
        <v>0</v>
      </c>
      <c r="O1277">
        <v>-0.94533529999999999</v>
      </c>
      <c r="P1277">
        <v>-0.44579560000000001</v>
      </c>
      <c r="Q1277">
        <v>-4.1615489999999998E-2</v>
      </c>
      <c r="R1277">
        <v>-0.89416679999999904</v>
      </c>
      <c r="S1277">
        <v>-1.910965</v>
      </c>
      <c r="T1277">
        <v>-0.15789039999999999</v>
      </c>
      <c r="U1277">
        <v>-2.3992309999999999</v>
      </c>
      <c r="V1277">
        <v>0.1299556</v>
      </c>
      <c r="W1277">
        <v>-2.898649E-2</v>
      </c>
      <c r="X1277">
        <v>0.99109599999999998</v>
      </c>
      <c r="Y1277">
        <v>0.33326899999999998</v>
      </c>
      <c r="Z1277">
        <v>5.1481539999999999E-2</v>
      </c>
      <c r="AA1277">
        <v>0.94142519999999996</v>
      </c>
      <c r="AB1277">
        <v>16</v>
      </c>
      <c r="AC1277">
        <v>-13.1608999999999</v>
      </c>
      <c r="AD1277">
        <v>-1.0925427599999999</v>
      </c>
      <c r="AE1277">
        <v>-16.433699999999899</v>
      </c>
      <c r="AF1277">
        <v>7.0685522466556998</v>
      </c>
      <c r="AG1277">
        <v>-1.0925427599999999</v>
      </c>
      <c r="AH1277">
        <v>19.772042446820901</v>
      </c>
      <c r="AI1277">
        <v>92.978519862661699</v>
      </c>
      <c r="AJ1277">
        <v>70.327909062947199</v>
      </c>
      <c r="AK1277">
        <v>21.0259778147181</v>
      </c>
      <c r="AL1277">
        <v>91.661036237056095</v>
      </c>
      <c r="AM1277">
        <v>82.529816373036496</v>
      </c>
      <c r="AN1277">
        <v>0.999999977894939</v>
      </c>
    </row>
    <row r="1278" spans="1:40" x14ac:dyDescent="0.25">
      <c r="A1278" t="str">
        <f>"20190312160937128"</f>
        <v>20190312160937128</v>
      </c>
      <c r="B1278" t="str">
        <f>"1552378177116233"</f>
        <v>1552378177116233</v>
      </c>
      <c r="C1278" t="s">
        <v>40</v>
      </c>
      <c r="D1278">
        <v>5.6591250000000004</v>
      </c>
      <c r="E1278">
        <v>0.58244410000000002</v>
      </c>
      <c r="F1278" t="s">
        <v>59</v>
      </c>
      <c r="G1278">
        <v>-208.31059999999999</v>
      </c>
      <c r="H1278">
        <v>1.840083E-2</v>
      </c>
      <c r="I1278">
        <v>279.61630000000002</v>
      </c>
      <c r="J1278">
        <v>-195.12360000000001</v>
      </c>
      <c r="K1278">
        <v>1.1081179999999999</v>
      </c>
      <c r="L1278">
        <v>295.89659999999998</v>
      </c>
      <c r="M1278">
        <v>-0.32992090000000002</v>
      </c>
      <c r="N1278">
        <v>0</v>
      </c>
      <c r="O1278">
        <v>-0.94391380000000003</v>
      </c>
      <c r="P1278">
        <v>-0.44932569999999999</v>
      </c>
      <c r="Q1278">
        <v>-4.1454159999999997E-2</v>
      </c>
      <c r="R1278">
        <v>-0.89240620000000004</v>
      </c>
      <c r="S1278">
        <v>-1.924774</v>
      </c>
      <c r="T1278">
        <v>-0.1583668</v>
      </c>
      <c r="U1278">
        <v>-2.3880919999999999</v>
      </c>
      <c r="V1278">
        <v>0.1295676</v>
      </c>
      <c r="W1278">
        <v>-2.8839589999999998E-2</v>
      </c>
      <c r="X1278">
        <v>0.99115109999999995</v>
      </c>
      <c r="Y1278">
        <v>0.33462199999999998</v>
      </c>
      <c r="Z1278">
        <v>5.1613079999999999E-2</v>
      </c>
      <c r="AA1278">
        <v>0.94093789999999999</v>
      </c>
      <c r="AB1278">
        <v>16</v>
      </c>
      <c r="AC1278">
        <v>-13.1869999999999</v>
      </c>
      <c r="AD1278">
        <v>-1.0897171699999999</v>
      </c>
      <c r="AE1278">
        <v>-16.280299999999901</v>
      </c>
      <c r="AF1278">
        <v>7.0577199019882997</v>
      </c>
      <c r="AG1278">
        <v>-1.0897171699999999</v>
      </c>
      <c r="AH1278">
        <v>19.666427300034499</v>
      </c>
      <c r="AI1278">
        <v>92.985460492430903</v>
      </c>
      <c r="AJ1278">
        <v>70.258385141677195</v>
      </c>
      <c r="AK1278">
        <v>20.922888339640298</v>
      </c>
      <c r="AL1278">
        <v>91.652615940011501</v>
      </c>
      <c r="AM1278">
        <v>82.552278240915101</v>
      </c>
      <c r="AN1278">
        <v>0.99999999397616901</v>
      </c>
    </row>
    <row r="1279" spans="1:40" x14ac:dyDescent="0.25">
      <c r="A1279" t="str">
        <f>"20190312160937171"</f>
        <v>20190312160937171</v>
      </c>
      <c r="B1279" t="str">
        <f>"1552378177166985"</f>
        <v>1552378177166985</v>
      </c>
      <c r="C1279" t="s">
        <v>40</v>
      </c>
      <c r="D1279">
        <v>6.064209</v>
      </c>
      <c r="E1279">
        <v>0.58216979999999996</v>
      </c>
      <c r="F1279" t="s">
        <v>59</v>
      </c>
      <c r="G1279">
        <v>-208.3603</v>
      </c>
      <c r="H1279">
        <v>3.7373879999999998E-2</v>
      </c>
      <c r="I1279">
        <v>279.61630000000002</v>
      </c>
      <c r="J1279">
        <v>-195.23670000000001</v>
      </c>
      <c r="K1279">
        <v>1.1080110000000001</v>
      </c>
      <c r="L1279">
        <v>295.60599999999999</v>
      </c>
      <c r="M1279">
        <v>-0.33805010000000002</v>
      </c>
      <c r="N1279">
        <v>0</v>
      </c>
      <c r="O1279">
        <v>-0.9410328</v>
      </c>
      <c r="P1279">
        <v>-0.45550049999999997</v>
      </c>
      <c r="Q1279">
        <v>-4.1334620000000002E-2</v>
      </c>
      <c r="R1279">
        <v>-0.88927559999999894</v>
      </c>
      <c r="S1279">
        <v>-1.935135</v>
      </c>
      <c r="T1279">
        <v>-0.1565375</v>
      </c>
      <c r="U1279">
        <v>-2.380096</v>
      </c>
      <c r="V1279">
        <v>0.12787989999999999</v>
      </c>
      <c r="W1279">
        <v>-2.8728460000000001E-2</v>
      </c>
      <c r="X1279">
        <v>0.99137350000000002</v>
      </c>
      <c r="Y1279">
        <v>0.3305284</v>
      </c>
      <c r="Z1279">
        <v>5.0899529999999998E-2</v>
      </c>
      <c r="AA1279">
        <v>0.9424226</v>
      </c>
      <c r="AB1279">
        <v>16</v>
      </c>
      <c r="AC1279">
        <v>-13.1235999999999</v>
      </c>
      <c r="AD1279">
        <v>-1.07063712</v>
      </c>
      <c r="AE1279">
        <v>-15.9896999999999</v>
      </c>
      <c r="AF1279">
        <v>6.9264865803703604</v>
      </c>
      <c r="AG1279">
        <v>-1.07063712</v>
      </c>
      <c r="AH1279">
        <v>19.432957009022299</v>
      </c>
      <c r="AI1279">
        <v>92.970752792479502</v>
      </c>
      <c r="AJ1279">
        <v>70.382413476078</v>
      </c>
      <c r="AK1279">
        <v>20.658225923473701</v>
      </c>
      <c r="AL1279">
        <v>91.646246002703606</v>
      </c>
      <c r="AM1279">
        <v>82.649852571814705</v>
      </c>
      <c r="AN1279">
        <v>1.0000000048701101</v>
      </c>
    </row>
    <row r="1280" spans="1:40" x14ac:dyDescent="0.25">
      <c r="A1280" t="str">
        <f>"20190312160937194"</f>
        <v>20190312160937194</v>
      </c>
      <c r="B1280" t="str">
        <f>"1552378177186506"</f>
        <v>1552378177186506</v>
      </c>
      <c r="C1280" t="s">
        <v>40</v>
      </c>
      <c r="D1280">
        <v>5.9693559999999897</v>
      </c>
      <c r="E1280">
        <v>0.58210949999999995</v>
      </c>
      <c r="F1280" t="s">
        <v>59</v>
      </c>
      <c r="G1280">
        <v>-208.4161</v>
      </c>
      <c r="H1280">
        <v>6.4658709999999994E-2</v>
      </c>
      <c r="I1280">
        <v>279.60169999999999</v>
      </c>
      <c r="J1280">
        <v>-195.2989</v>
      </c>
      <c r="K1280">
        <v>1.107972</v>
      </c>
      <c r="L1280">
        <v>295.44979999999998</v>
      </c>
      <c r="M1280">
        <v>-0.34260679999999999</v>
      </c>
      <c r="N1280">
        <v>0</v>
      </c>
      <c r="O1280">
        <v>-0.93938310000000003</v>
      </c>
      <c r="P1280">
        <v>-0.45969870000000002</v>
      </c>
      <c r="Q1280">
        <v>-4.0989049999999999E-2</v>
      </c>
      <c r="R1280">
        <v>-0.88712860000000004</v>
      </c>
      <c r="S1280">
        <v>-1.9497679999999999</v>
      </c>
      <c r="T1280">
        <v>-0.15435370000000001</v>
      </c>
      <c r="U1280">
        <v>-2.3676759999999999</v>
      </c>
      <c r="V1280">
        <v>0.12775439999999999</v>
      </c>
      <c r="W1280">
        <v>-2.8388110000000001E-2</v>
      </c>
      <c r="X1280">
        <v>0.99139949999999999</v>
      </c>
      <c r="Y1280">
        <v>0.33187519999999998</v>
      </c>
      <c r="Z1280">
        <v>5.0165559999999998E-2</v>
      </c>
      <c r="AA1280">
        <v>0.94198850000000001</v>
      </c>
      <c r="AB1280">
        <v>16</v>
      </c>
      <c r="AC1280">
        <v>-13.117199999999899</v>
      </c>
      <c r="AD1280">
        <v>-1.0433132899999999</v>
      </c>
      <c r="AE1280">
        <v>-15.848099999999899</v>
      </c>
      <c r="AF1280">
        <v>6.8753465314336601</v>
      </c>
      <c r="AG1280">
        <v>-1.0433132899999999</v>
      </c>
      <c r="AH1280">
        <v>19.333499017144899</v>
      </c>
      <c r="AI1280">
        <v>92.910679266498505</v>
      </c>
      <c r="AJ1280">
        <v>70.423681454901498</v>
      </c>
      <c r="AK1280">
        <v>20.546120723735999</v>
      </c>
      <c r="AL1280">
        <v>91.626737402457096</v>
      </c>
      <c r="AM1280">
        <v>82.657177637895103</v>
      </c>
      <c r="AN1280">
        <v>1.0000000200544901</v>
      </c>
    </row>
    <row r="1281" spans="1:40" x14ac:dyDescent="0.25">
      <c r="A1281" t="str">
        <f>"20190312160937217"</f>
        <v>20190312160937217</v>
      </c>
      <c r="B1281" t="str">
        <f>"1552378177206336"</f>
        <v>1552378177206336</v>
      </c>
      <c r="C1281" t="s">
        <v>40</v>
      </c>
      <c r="D1281">
        <v>5.7282849999999996</v>
      </c>
      <c r="E1281">
        <v>0.58200790000000002</v>
      </c>
      <c r="F1281" t="s">
        <v>59</v>
      </c>
      <c r="G1281">
        <v>-208.56319999999999</v>
      </c>
      <c r="H1281">
        <v>8.0000710000000003E-2</v>
      </c>
      <c r="I1281">
        <v>279.48829999999998</v>
      </c>
      <c r="J1281">
        <v>-195.3595</v>
      </c>
      <c r="K1281">
        <v>1.107934</v>
      </c>
      <c r="L1281">
        <v>295.30009999999999</v>
      </c>
      <c r="M1281">
        <v>-0.34709469999999998</v>
      </c>
      <c r="N1281">
        <v>0</v>
      </c>
      <c r="O1281">
        <v>-0.93773419999999996</v>
      </c>
      <c r="P1281">
        <v>-0.46505259999999998</v>
      </c>
      <c r="Q1281">
        <v>-4.0765679999999999E-2</v>
      </c>
      <c r="R1281">
        <v>-0.88434419999999903</v>
      </c>
      <c r="S1281">
        <v>-1.9602809999999999</v>
      </c>
      <c r="T1281">
        <v>-0.15191950000000001</v>
      </c>
      <c r="U1281">
        <v>-2.3588870000000002</v>
      </c>
      <c r="V1281">
        <v>0.12900059999999999</v>
      </c>
      <c r="W1281">
        <v>-2.817859E-2</v>
      </c>
      <c r="X1281">
        <v>0.99124409999999996</v>
      </c>
      <c r="Y1281">
        <v>0.33160109999999998</v>
      </c>
      <c r="Z1281">
        <v>4.933121E-2</v>
      </c>
      <c r="AA1281">
        <v>0.94212910000000005</v>
      </c>
      <c r="AB1281">
        <v>16</v>
      </c>
      <c r="AC1281">
        <v>-13.2036999999999</v>
      </c>
      <c r="AD1281">
        <v>-1.02793329</v>
      </c>
      <c r="AE1281">
        <v>-15.8118</v>
      </c>
      <c r="AF1281">
        <v>6.8768653975093601</v>
      </c>
      <c r="AG1281">
        <v>-1.02793329</v>
      </c>
      <c r="AH1281">
        <v>19.363729203485001</v>
      </c>
      <c r="AI1281">
        <v>92.863803952967999</v>
      </c>
      <c r="AJ1281">
        <v>70.447933913000099</v>
      </c>
      <c r="AK1281">
        <v>20.574302739340901</v>
      </c>
      <c r="AL1281">
        <v>91.614727975707794</v>
      </c>
      <c r="AM1281">
        <v>82.5851946363331</v>
      </c>
      <c r="AN1281">
        <v>1.00000002675977</v>
      </c>
    </row>
    <row r="1282" spans="1:40" x14ac:dyDescent="0.25">
      <c r="A1282" t="str">
        <f>"20190312160937262"</f>
        <v>20190312160937262</v>
      </c>
      <c r="B1282" t="str">
        <f>"1552378177257087"</f>
        <v>1552378177257087</v>
      </c>
      <c r="C1282" t="s">
        <v>40</v>
      </c>
      <c r="D1282">
        <v>6.1987290000000002</v>
      </c>
      <c r="E1282">
        <v>0.58187900000000004</v>
      </c>
      <c r="F1282" t="s">
        <v>59</v>
      </c>
      <c r="G1282">
        <v>-208.95670000000001</v>
      </c>
      <c r="H1282">
        <v>8.000053E-2</v>
      </c>
      <c r="I1282">
        <v>279.13040000000001</v>
      </c>
      <c r="J1282">
        <v>-195.4888</v>
      </c>
      <c r="K1282">
        <v>1.10782</v>
      </c>
      <c r="L1282">
        <v>294.98849999999999</v>
      </c>
      <c r="M1282">
        <v>-0.356877</v>
      </c>
      <c r="N1282">
        <v>0</v>
      </c>
      <c r="O1282">
        <v>-0.93405479999999996</v>
      </c>
      <c r="P1282">
        <v>-0.47718709999999998</v>
      </c>
      <c r="Q1282">
        <v>-4.0124939999999998E-2</v>
      </c>
      <c r="R1282">
        <v>-0.87788559999999904</v>
      </c>
      <c r="S1282">
        <v>-1.973938</v>
      </c>
      <c r="T1282">
        <v>-0.1492269</v>
      </c>
      <c r="U1282">
        <v>-2.3473820000000001</v>
      </c>
      <c r="V1282">
        <v>0.13227329999999901</v>
      </c>
      <c r="W1282">
        <v>-2.7582019999999999E-2</v>
      </c>
      <c r="X1282">
        <v>0.99082950000000003</v>
      </c>
      <c r="Y1282">
        <v>0.32725510000000002</v>
      </c>
      <c r="Z1282">
        <v>4.8321280000000001E-2</v>
      </c>
      <c r="AA1282">
        <v>0.94369970000000003</v>
      </c>
      <c r="AB1282">
        <v>16</v>
      </c>
      <c r="AC1282">
        <v>-13.4679</v>
      </c>
      <c r="AD1282">
        <v>-1.0278194700000001</v>
      </c>
      <c r="AE1282">
        <v>-15.858099999999901</v>
      </c>
      <c r="AF1282">
        <v>6.9041402192115298</v>
      </c>
      <c r="AG1282">
        <v>-1.0278194700000001</v>
      </c>
      <c r="AH1282">
        <v>19.5727207518248</v>
      </c>
      <c r="AI1282">
        <v>92.835096645569905</v>
      </c>
      <c r="AJ1282">
        <v>70.570062770589999</v>
      </c>
      <c r="AK1282">
        <v>20.7801579074453</v>
      </c>
      <c r="AL1282">
        <v>91.580533710310704</v>
      </c>
      <c r="AM1282">
        <v>82.396112865331602</v>
      </c>
      <c r="AN1282">
        <v>1.0000000458952001</v>
      </c>
    </row>
    <row r="1283" spans="1:40" x14ac:dyDescent="0.25">
      <c r="A1283" t="str">
        <f>"20190312160937283"</f>
        <v>20190312160937283</v>
      </c>
      <c r="B1283" t="str">
        <f>"1552378177276608"</f>
        <v>1552378177276608</v>
      </c>
      <c r="C1283" t="s">
        <v>40</v>
      </c>
      <c r="D1283">
        <v>6.30762</v>
      </c>
      <c r="E1283">
        <v>0.58185730000000002</v>
      </c>
      <c r="F1283" t="s">
        <v>59</v>
      </c>
      <c r="G1283">
        <v>-209.80529999999999</v>
      </c>
      <c r="H1283">
        <v>8.0000420000000003E-2</v>
      </c>
      <c r="I1283">
        <v>278.41879999999998</v>
      </c>
      <c r="J1283">
        <v>-195.54580000000001</v>
      </c>
      <c r="K1283">
        <v>1.1077589999999999</v>
      </c>
      <c r="L1283">
        <v>294.8546</v>
      </c>
      <c r="M1283">
        <v>-0.36126340000000001</v>
      </c>
      <c r="N1283">
        <v>0</v>
      </c>
      <c r="O1283">
        <v>-0.93236669999999999</v>
      </c>
      <c r="P1283">
        <v>-0.48246080000000002</v>
      </c>
      <c r="Q1283">
        <v>-3.9082909999999998E-2</v>
      </c>
      <c r="R1283">
        <v>-0.87504539999999997</v>
      </c>
      <c r="S1283">
        <v>-2.005188</v>
      </c>
      <c r="T1283">
        <v>-0.14395749999999999</v>
      </c>
      <c r="U1283">
        <v>-2.32077</v>
      </c>
      <c r="V1283">
        <v>0.13356209999999999</v>
      </c>
      <c r="W1283">
        <v>-2.6560179999999999E-2</v>
      </c>
      <c r="X1283">
        <v>0.99068440000000002</v>
      </c>
      <c r="Y1283">
        <v>0.33548610000000001</v>
      </c>
      <c r="Z1283">
        <v>4.664981E-2</v>
      </c>
      <c r="AA1283">
        <v>0.94088939999999999</v>
      </c>
      <c r="AB1283">
        <v>16</v>
      </c>
      <c r="AC1283">
        <v>-14.2594999999999</v>
      </c>
      <c r="AD1283">
        <v>-1.02775858</v>
      </c>
      <c r="AE1283">
        <v>-16.4358</v>
      </c>
      <c r="AF1283">
        <v>7.3417172069996699</v>
      </c>
      <c r="AG1283">
        <v>-1.02775858</v>
      </c>
      <c r="AH1283">
        <v>20.431899656296</v>
      </c>
      <c r="AI1283">
        <v>92.710264974458994</v>
      </c>
      <c r="AJ1283">
        <v>70.235306733729502</v>
      </c>
      <c r="AK1283">
        <v>21.7352161896602</v>
      </c>
      <c r="AL1283">
        <v>91.521965304202993</v>
      </c>
      <c r="AM1283">
        <v>82.321793063492294</v>
      </c>
      <c r="AN1283">
        <v>0.99999992906069801</v>
      </c>
    </row>
    <row r="1284" spans="1:40" x14ac:dyDescent="0.25">
      <c r="A1284" t="str">
        <f>"20190312160937307"</f>
        <v>20190312160937307</v>
      </c>
      <c r="B1284" t="str">
        <f>"1552378177296128"</f>
        <v>1552378177296128</v>
      </c>
      <c r="C1284" t="s">
        <v>40</v>
      </c>
      <c r="D1284">
        <v>6.315639</v>
      </c>
      <c r="E1284">
        <v>0.58177999999999996</v>
      </c>
      <c r="F1284" t="s">
        <v>61</v>
      </c>
      <c r="G1284">
        <v>-210.3706</v>
      </c>
      <c r="H1284">
        <v>8.0001349999999999E-2</v>
      </c>
      <c r="I1284">
        <v>277.89859999999999</v>
      </c>
      <c r="J1284">
        <v>-195.6148</v>
      </c>
      <c r="K1284">
        <v>1.107666</v>
      </c>
      <c r="L1284">
        <v>294.69580000000002</v>
      </c>
      <c r="M1284">
        <v>-0.366643</v>
      </c>
      <c r="N1284">
        <v>0</v>
      </c>
      <c r="O1284">
        <v>-0.93026410000000004</v>
      </c>
      <c r="P1284">
        <v>-0.48799350000000002</v>
      </c>
      <c r="Q1284">
        <v>-3.8467670000000002E-2</v>
      </c>
      <c r="R1284">
        <v>-0.87199939999999998</v>
      </c>
      <c r="S1284">
        <v>-2.0188139999999999</v>
      </c>
      <c r="T1284">
        <v>-0.13995869999999999</v>
      </c>
      <c r="U1284">
        <v>-2.3090519999999999</v>
      </c>
      <c r="V1284">
        <v>0.13410239999999901</v>
      </c>
      <c r="W1284">
        <v>-2.5964290000000001E-2</v>
      </c>
      <c r="X1284">
        <v>0.99062729999999999</v>
      </c>
      <c r="Y1284">
        <v>0.33560079999999998</v>
      </c>
      <c r="Z1284">
        <v>4.5302740000000001E-2</v>
      </c>
      <c r="AA1284">
        <v>0.94091429999999998</v>
      </c>
      <c r="AB1284">
        <v>16</v>
      </c>
      <c r="AC1284">
        <v>-14.755799999999899</v>
      </c>
      <c r="AD1284">
        <v>-1.02766465</v>
      </c>
      <c r="AE1284">
        <v>-16.7972</v>
      </c>
      <c r="AF1284">
        <v>7.5529454567432497</v>
      </c>
      <c r="AG1284">
        <v>-1.02766465</v>
      </c>
      <c r="AH1284">
        <v>20.993500469514501</v>
      </c>
      <c r="AI1284">
        <v>92.637248593068904</v>
      </c>
      <c r="AJ1284">
        <v>70.212515629398993</v>
      </c>
      <c r="AK1284">
        <v>22.334505628486699</v>
      </c>
      <c r="AL1284">
        <v>91.487811399718396</v>
      </c>
      <c r="AM1284">
        <v>82.290666101493301</v>
      </c>
      <c r="AN1284">
        <v>1.0000000227731201</v>
      </c>
    </row>
    <row r="1285" spans="1:40" x14ac:dyDescent="0.25">
      <c r="A1285" t="str">
        <f>"20190312160937329"</f>
        <v>20190312160937329</v>
      </c>
      <c r="B1285" t="str">
        <f>"1552378177326892"</f>
        <v>1552378177326892</v>
      </c>
      <c r="C1285" t="s">
        <v>40</v>
      </c>
      <c r="D1285">
        <v>6.0217700000000001</v>
      </c>
      <c r="E1285">
        <v>0.58184760000000002</v>
      </c>
      <c r="F1285" t="s">
        <v>61</v>
      </c>
      <c r="G1285">
        <v>-210.97389999999999</v>
      </c>
      <c r="H1285">
        <v>8.0001180000000005E-2</v>
      </c>
      <c r="I1285">
        <v>277.34379999999999</v>
      </c>
      <c r="J1285">
        <v>-195.6825</v>
      </c>
      <c r="K1285">
        <v>1.1075680000000001</v>
      </c>
      <c r="L1285">
        <v>294.5428</v>
      </c>
      <c r="M1285">
        <v>-0.37203029999999998</v>
      </c>
      <c r="N1285">
        <v>0</v>
      </c>
      <c r="O1285">
        <v>-0.92812269999999997</v>
      </c>
      <c r="P1285">
        <v>-0.49331960000000002</v>
      </c>
      <c r="Q1285">
        <v>-3.906855E-2</v>
      </c>
      <c r="R1285">
        <v>-0.86897039999999903</v>
      </c>
      <c r="S1285">
        <v>-2.032959</v>
      </c>
      <c r="T1285">
        <v>-0.13602349999999999</v>
      </c>
      <c r="U1285">
        <v>-2.2967529999999998</v>
      </c>
      <c r="V1285">
        <v>0.13442019999999999</v>
      </c>
      <c r="W1285">
        <v>-2.6583550000000001E-2</v>
      </c>
      <c r="X1285">
        <v>0.9905678</v>
      </c>
      <c r="Y1285">
        <v>0.33593089999999998</v>
      </c>
      <c r="Z1285">
        <v>4.397914E-2</v>
      </c>
      <c r="AA1285">
        <v>0.94085929999999995</v>
      </c>
      <c r="AB1285">
        <v>16</v>
      </c>
      <c r="AC1285">
        <v>-15.2913999999999</v>
      </c>
      <c r="AD1285">
        <v>-1.0275668200000001</v>
      </c>
      <c r="AE1285">
        <v>-17.199000000000002</v>
      </c>
      <c r="AF1285">
        <v>7.7789461467936798</v>
      </c>
      <c r="AG1285">
        <v>-1.0275668200000001</v>
      </c>
      <c r="AH1285">
        <v>21.610530375675701</v>
      </c>
      <c r="AI1285">
        <v>92.561656177001197</v>
      </c>
      <c r="AJ1285">
        <v>70.203106477391103</v>
      </c>
      <c r="AK1285">
        <v>22.990931252176001</v>
      </c>
      <c r="AL1285">
        <v>91.523304639773897</v>
      </c>
      <c r="AM1285">
        <v>82.272158220524901</v>
      </c>
      <c r="AN1285">
        <v>1.00000002084774</v>
      </c>
    </row>
    <row r="1286" spans="1:40" x14ac:dyDescent="0.25">
      <c r="A1286" t="str">
        <f>"20190312160937355"</f>
        <v>20190312160937355</v>
      </c>
      <c r="B1286" t="str">
        <f>"1552378177346411"</f>
        <v>1552378177346411</v>
      </c>
      <c r="C1286" t="s">
        <v>40</v>
      </c>
      <c r="D1286">
        <v>6.1614209999999998</v>
      </c>
      <c r="E1286">
        <v>0.58164280000000002</v>
      </c>
      <c r="F1286" t="s">
        <v>61</v>
      </c>
      <c r="G1286">
        <v>-210.69569999999999</v>
      </c>
      <c r="H1286">
        <v>8.0001260000000005E-2</v>
      </c>
      <c r="I1286">
        <v>277.79829999999998</v>
      </c>
      <c r="J1286">
        <v>-195.7568</v>
      </c>
      <c r="K1286">
        <v>1.107478</v>
      </c>
      <c r="L1286">
        <v>294.37819999999999</v>
      </c>
      <c r="M1286">
        <v>-0.3780268</v>
      </c>
      <c r="N1286">
        <v>0</v>
      </c>
      <c r="O1286">
        <v>-0.92569630000000003</v>
      </c>
      <c r="P1286">
        <v>-0.4997762</v>
      </c>
      <c r="Q1286">
        <v>-4.0173760000000003E-2</v>
      </c>
      <c r="R1286">
        <v>-0.86522269999999901</v>
      </c>
      <c r="S1286">
        <v>-2.0475159999999999</v>
      </c>
      <c r="T1286">
        <v>-0.1401405</v>
      </c>
      <c r="U1286">
        <v>-2.28363</v>
      </c>
      <c r="V1286">
        <v>0.13539300000000001</v>
      </c>
      <c r="W1286">
        <v>-2.7709439999999998E-2</v>
      </c>
      <c r="X1286">
        <v>0.99040439999999996</v>
      </c>
      <c r="Y1286">
        <v>0.33580900000000002</v>
      </c>
      <c r="Z1286">
        <v>4.5245100000000003E-2</v>
      </c>
      <c r="AA1286">
        <v>0.94084279999999998</v>
      </c>
      <c r="AB1286">
        <v>16</v>
      </c>
      <c r="AC1286">
        <v>-14.938899999999901</v>
      </c>
      <c r="AD1286">
        <v>-1.02747674</v>
      </c>
      <c r="AE1286">
        <v>-16.579899999999999</v>
      </c>
      <c r="AF1286">
        <v>7.5459319094855202</v>
      </c>
      <c r="AG1286">
        <v>-1.02747674</v>
      </c>
      <c r="AH1286">
        <v>20.9527565282071</v>
      </c>
      <c r="AI1286">
        <v>92.641580420146894</v>
      </c>
      <c r="AJ1286">
        <v>70.194007913313897</v>
      </c>
      <c r="AK1286">
        <v>22.2938288089812</v>
      </c>
      <c r="AL1286">
        <v>91.587837239865394</v>
      </c>
      <c r="AM1286">
        <v>82.215646479901594</v>
      </c>
      <c r="AN1286">
        <v>0.999999976526736</v>
      </c>
    </row>
    <row r="1287" spans="1:40" x14ac:dyDescent="0.25">
      <c r="A1287" t="str">
        <f>"20190312160937376"</f>
        <v>20190312160937376</v>
      </c>
      <c r="B1287" t="str">
        <f>"1552378177366907"</f>
        <v>1552378177366907</v>
      </c>
      <c r="C1287" t="s">
        <v>40</v>
      </c>
      <c r="D1287">
        <v>5.8818400000000004</v>
      </c>
      <c r="E1287">
        <v>0.58151469999999905</v>
      </c>
      <c r="F1287" t="s">
        <v>61</v>
      </c>
      <c r="G1287">
        <v>-210.5745</v>
      </c>
      <c r="H1287">
        <v>8.0001290000000003E-2</v>
      </c>
      <c r="I1287">
        <v>278.07990000000001</v>
      </c>
      <c r="J1287">
        <v>-195.82220000000001</v>
      </c>
      <c r="K1287">
        <v>1.1074059999999999</v>
      </c>
      <c r="L1287">
        <v>294.2362</v>
      </c>
      <c r="M1287">
        <v>-0.38336350000000002</v>
      </c>
      <c r="N1287">
        <v>0</v>
      </c>
      <c r="O1287">
        <v>-0.92349870000000001</v>
      </c>
      <c r="P1287">
        <v>-0.50615920000000003</v>
      </c>
      <c r="Q1287">
        <v>-4.0409670000000002E-2</v>
      </c>
      <c r="R1287">
        <v>-0.86149310000000001</v>
      </c>
      <c r="S1287">
        <v>-2.0629119999999999</v>
      </c>
      <c r="T1287">
        <v>-0.143044899999999</v>
      </c>
      <c r="U1287">
        <v>-2.2690429999999999</v>
      </c>
      <c r="V1287">
        <v>0.136995799999999</v>
      </c>
      <c r="W1287">
        <v>-2.7967100000000002E-2</v>
      </c>
      <c r="X1287">
        <v>0.99017670000000002</v>
      </c>
      <c r="Y1287">
        <v>0.33684750000000002</v>
      </c>
      <c r="Z1287">
        <v>4.6139560000000003E-2</v>
      </c>
      <c r="AA1287">
        <v>0.94042809999999999</v>
      </c>
      <c r="AB1287">
        <v>16</v>
      </c>
      <c r="AC1287">
        <v>-14.7522999999999</v>
      </c>
      <c r="AD1287">
        <v>-1.0274047100000001</v>
      </c>
      <c r="AE1287">
        <v>-16.156299999999899</v>
      </c>
      <c r="AF1287">
        <v>7.4143220394210196</v>
      </c>
      <c r="AG1287">
        <v>-1.0274047100000001</v>
      </c>
      <c r="AH1287">
        <v>20.532414754949599</v>
      </c>
      <c r="AI1287">
        <v>92.694564520931493</v>
      </c>
      <c r="AJ1287">
        <v>70.145183239837706</v>
      </c>
      <c r="AK1287">
        <v>21.854239575232199</v>
      </c>
      <c r="AL1287">
        <v>91.602605832916595</v>
      </c>
      <c r="AM1287">
        <v>82.122855674247106</v>
      </c>
      <c r="AN1287">
        <v>0.99999995256146801</v>
      </c>
    </row>
    <row r="1288" spans="1:40" x14ac:dyDescent="0.25">
      <c r="A1288" t="str">
        <f>"20190312160937396"</f>
        <v>20190312160937396</v>
      </c>
      <c r="B1288" t="str">
        <f>"1552378177386428"</f>
        <v>1552378177386428</v>
      </c>
      <c r="C1288" t="s">
        <v>40</v>
      </c>
      <c r="D1288">
        <v>6.2310999999999996</v>
      </c>
      <c r="E1288">
        <v>0.58142269999999996</v>
      </c>
      <c r="F1288" t="s">
        <v>61</v>
      </c>
      <c r="G1288">
        <v>-210.75980000000001</v>
      </c>
      <c r="H1288">
        <v>8.0001240000000001E-2</v>
      </c>
      <c r="I1288">
        <v>278.03859999999997</v>
      </c>
      <c r="J1288">
        <v>-195.88300000000001</v>
      </c>
      <c r="K1288">
        <v>1.107343</v>
      </c>
      <c r="L1288">
        <v>294.10640000000001</v>
      </c>
      <c r="M1288">
        <v>-0.38839499999999999</v>
      </c>
      <c r="N1288">
        <v>0</v>
      </c>
      <c r="O1288">
        <v>-0.92139380000000004</v>
      </c>
      <c r="P1288">
        <v>-0.5121793</v>
      </c>
      <c r="Q1288">
        <v>-3.9569689999999998E-2</v>
      </c>
      <c r="R1288">
        <v>-0.85796679999999903</v>
      </c>
      <c r="S1288">
        <v>-2.0788570000000002</v>
      </c>
      <c r="T1288">
        <v>-0.142983</v>
      </c>
      <c r="U1288">
        <v>-2.2542110000000002</v>
      </c>
      <c r="V1288">
        <v>0.1385142</v>
      </c>
      <c r="W1288">
        <v>-2.7147399999999999E-2</v>
      </c>
      <c r="X1288">
        <v>0.98998830000000004</v>
      </c>
      <c r="Y1288">
        <v>0.33839140000000001</v>
      </c>
      <c r="Z1288">
        <v>4.608019E-2</v>
      </c>
      <c r="AA1288">
        <v>0.9398765</v>
      </c>
      <c r="AB1288">
        <v>16</v>
      </c>
      <c r="AC1288">
        <v>-14.876799999999999</v>
      </c>
      <c r="AD1288">
        <v>-1.0273417600000001</v>
      </c>
      <c r="AE1288">
        <v>-16.067799999999998</v>
      </c>
      <c r="AF1288">
        <v>7.4510198932357303</v>
      </c>
      <c r="AG1288">
        <v>-1.0273417600000001</v>
      </c>
      <c r="AH1288">
        <v>20.5395171437216</v>
      </c>
      <c r="AI1288">
        <v>92.692039418825004</v>
      </c>
      <c r="AJ1288">
        <v>70.060995737943799</v>
      </c>
      <c r="AK1288">
        <v>21.873383209701899</v>
      </c>
      <c r="AL1288">
        <v>91.555622562858204</v>
      </c>
      <c r="AM1288">
        <v>82.035166920474197</v>
      </c>
      <c r="AN1288">
        <v>0.99999999953264496</v>
      </c>
    </row>
    <row r="1289" spans="1:40" x14ac:dyDescent="0.25">
      <c r="A1289" t="str">
        <f>"20190312160937439"</f>
        <v>20190312160937439</v>
      </c>
      <c r="B1289" t="str">
        <f>"1552378177436710"</f>
        <v>1552378177436710</v>
      </c>
      <c r="C1289" t="s">
        <v>40</v>
      </c>
      <c r="D1289">
        <v>6.259843</v>
      </c>
      <c r="E1289">
        <v>0.58121409999999996</v>
      </c>
      <c r="F1289" t="s">
        <v>61</v>
      </c>
      <c r="G1289">
        <v>-211.31229999999999</v>
      </c>
      <c r="H1289">
        <v>8.0001080000000002E-2</v>
      </c>
      <c r="I1289">
        <v>277.59930000000003</v>
      </c>
      <c r="J1289">
        <v>-196.01849999999999</v>
      </c>
      <c r="K1289">
        <v>1.1071869999999999</v>
      </c>
      <c r="L1289">
        <v>293.82490000000001</v>
      </c>
      <c r="M1289">
        <v>-0.39982230000000002</v>
      </c>
      <c r="N1289">
        <v>0</v>
      </c>
      <c r="O1289">
        <v>-0.91649239999999998</v>
      </c>
      <c r="P1289">
        <v>-0.52502910000000003</v>
      </c>
      <c r="Q1289">
        <v>-3.939061E-2</v>
      </c>
      <c r="R1289">
        <v>-0.8501725</v>
      </c>
      <c r="S1289">
        <v>-2.0939329999999998</v>
      </c>
      <c r="T1289">
        <v>-0.13942170000000001</v>
      </c>
      <c r="U1289">
        <v>-2.2402039999999999</v>
      </c>
      <c r="V1289">
        <v>0.14108389999999901</v>
      </c>
      <c r="W1289">
        <v>-2.7011090000000001E-2</v>
      </c>
      <c r="X1289">
        <v>0.98962910000000004</v>
      </c>
      <c r="Y1289">
        <v>0.33303549999999998</v>
      </c>
      <c r="Z1289">
        <v>4.4749619999999997E-2</v>
      </c>
      <c r="AA1289">
        <v>0.94185180000000002</v>
      </c>
      <c r="AB1289">
        <v>16</v>
      </c>
      <c r="AC1289">
        <v>-15.293799999999999</v>
      </c>
      <c r="AD1289">
        <v>-1.02718592</v>
      </c>
      <c r="AE1289">
        <v>-16.225599999999901</v>
      </c>
      <c r="AF1289">
        <v>7.5140402922976497</v>
      </c>
      <c r="AG1289">
        <v>-1.02718592</v>
      </c>
      <c r="AH1289">
        <v>20.942924558650901</v>
      </c>
      <c r="AI1289">
        <v>92.643208995534394</v>
      </c>
      <c r="AJ1289">
        <v>70.262694709516296</v>
      </c>
      <c r="AK1289">
        <v>22.2737962973953</v>
      </c>
      <c r="AL1289">
        <v>91.5478096928112</v>
      </c>
      <c r="AM1289">
        <v>81.886448077276597</v>
      </c>
      <c r="AN1289">
        <v>1.0000000106945</v>
      </c>
    </row>
    <row r="1290" spans="1:40" x14ac:dyDescent="0.25">
      <c r="A1290" t="str">
        <f>"20190312160937462"</f>
        <v>20190312160937462</v>
      </c>
      <c r="B1290" t="str">
        <f>"1552378177456230"</f>
        <v>1552378177456230</v>
      </c>
      <c r="C1290" t="s">
        <v>40</v>
      </c>
      <c r="D1290">
        <v>6.2531869999999996</v>
      </c>
      <c r="E1290">
        <v>0.58101000000000003</v>
      </c>
      <c r="F1290" t="s">
        <v>61</v>
      </c>
      <c r="G1290">
        <v>-211.37649999999999</v>
      </c>
      <c r="H1290">
        <v>8.0001059999999999E-2</v>
      </c>
      <c r="I1290">
        <v>277.86430000000001</v>
      </c>
      <c r="J1290">
        <v>-196.08879999999999</v>
      </c>
      <c r="K1290">
        <v>1.107108</v>
      </c>
      <c r="L1290">
        <v>293.6832</v>
      </c>
      <c r="M1290">
        <v>-0.40581669999999997</v>
      </c>
      <c r="N1290">
        <v>0</v>
      </c>
      <c r="O1290">
        <v>-0.91385329999999998</v>
      </c>
      <c r="P1290">
        <v>-0.53223529999999997</v>
      </c>
      <c r="Q1290">
        <v>-3.9884709999999997E-2</v>
      </c>
      <c r="R1290">
        <v>-0.84565630000000003</v>
      </c>
      <c r="S1290">
        <v>-2.125839</v>
      </c>
      <c r="T1290">
        <v>-0.14218239999999999</v>
      </c>
      <c r="U1290">
        <v>-2.2092589999999999</v>
      </c>
      <c r="V1290">
        <v>0.14301150000000001</v>
      </c>
      <c r="W1290">
        <v>-2.7531839999999998E-2</v>
      </c>
      <c r="X1290">
        <v>0.98933800000000005</v>
      </c>
      <c r="Y1290">
        <v>0.34047119999999997</v>
      </c>
      <c r="Z1290">
        <v>4.5643469999999998E-2</v>
      </c>
      <c r="AA1290">
        <v>0.9391465</v>
      </c>
      <c r="AB1290">
        <v>16</v>
      </c>
      <c r="AC1290">
        <v>-15.287699999999999</v>
      </c>
      <c r="AD1290">
        <v>-1.0271069399999999</v>
      </c>
      <c r="AE1290">
        <v>-15.8188999999999</v>
      </c>
      <c r="AF1290">
        <v>7.53541351087783</v>
      </c>
      <c r="AG1290">
        <v>-1.0271069399999999</v>
      </c>
      <c r="AH1290">
        <v>20.617126214088099</v>
      </c>
      <c r="AI1290">
        <v>92.678961443765601</v>
      </c>
      <c r="AJ1290">
        <v>69.923000180113405</v>
      </c>
      <c r="AK1290">
        <v>21.975060836633801</v>
      </c>
      <c r="AL1290">
        <v>91.577657612370103</v>
      </c>
      <c r="AM1290">
        <v>81.774713839942194</v>
      </c>
      <c r="AN1290">
        <v>0.99999998479501695</v>
      </c>
    </row>
    <row r="1291" spans="1:40" x14ac:dyDescent="0.25">
      <c r="A1291" t="str">
        <f>"20190312160937484"</f>
        <v>20190312160937484</v>
      </c>
      <c r="B1291" t="str">
        <f>"1552378177476726"</f>
        <v>1552378177476726</v>
      </c>
      <c r="C1291" t="s">
        <v>40</v>
      </c>
      <c r="D1291">
        <v>6.4645970000000004</v>
      </c>
      <c r="E1291">
        <v>0.58083999999999902</v>
      </c>
      <c r="F1291" t="s">
        <v>61</v>
      </c>
      <c r="G1291">
        <v>-211.4512</v>
      </c>
      <c r="H1291">
        <v>8.0001039999999995E-2</v>
      </c>
      <c r="I1291">
        <v>277.97129999999999</v>
      </c>
      <c r="J1291">
        <v>-196.1634</v>
      </c>
      <c r="K1291">
        <v>1.107024</v>
      </c>
      <c r="L1291">
        <v>293.53559999999999</v>
      </c>
      <c r="M1291">
        <v>-0.412248</v>
      </c>
      <c r="N1291">
        <v>0</v>
      </c>
      <c r="O1291">
        <v>-0.91097030000000001</v>
      </c>
      <c r="P1291">
        <v>-0.53959959999999996</v>
      </c>
      <c r="Q1291">
        <v>-3.9711610000000001E-2</v>
      </c>
      <c r="R1291">
        <v>-0.84098490000000004</v>
      </c>
      <c r="S1291">
        <v>-2.1431429999999998</v>
      </c>
      <c r="T1291">
        <v>-0.14328659999999999</v>
      </c>
      <c r="U1291">
        <v>-2.1918950000000001</v>
      </c>
      <c r="V1291">
        <v>0.14466879999999999</v>
      </c>
      <c r="W1291">
        <v>-2.7383959999999999E-2</v>
      </c>
      <c r="X1291">
        <v>0.98910109999999996</v>
      </c>
      <c r="Y1291">
        <v>0.34134199999999998</v>
      </c>
      <c r="Z1291">
        <v>4.593096E-2</v>
      </c>
      <c r="AA1291">
        <v>0.93881619999999999</v>
      </c>
      <c r="AB1291">
        <v>16</v>
      </c>
      <c r="AC1291">
        <v>-15.287800000000001</v>
      </c>
      <c r="AD1291">
        <v>-1.02702296</v>
      </c>
      <c r="AE1291">
        <v>-15.564299999999999</v>
      </c>
      <c r="AF1291">
        <v>7.4944655266903197</v>
      </c>
      <c r="AG1291">
        <v>-1.02702296</v>
      </c>
      <c r="AH1291">
        <v>20.437580317375701</v>
      </c>
      <c r="AI1291">
        <v>92.701189518916706</v>
      </c>
      <c r="AJ1291">
        <v>69.862001148784202</v>
      </c>
      <c r="AK1291">
        <v>21.792578528487599</v>
      </c>
      <c r="AL1291">
        <v>91.569181548408807</v>
      </c>
      <c r="AM1291">
        <v>81.678756424556994</v>
      </c>
      <c r="AN1291">
        <v>0.99999996448996498</v>
      </c>
    </row>
    <row r="1292" spans="1:40" x14ac:dyDescent="0.25">
      <c r="A1292" t="str">
        <f>"20190312160937507"</f>
        <v>20190312160937507</v>
      </c>
      <c r="B1292" t="str">
        <f>"1552378177496247"</f>
        <v>1552378177496247</v>
      </c>
      <c r="C1292" t="s">
        <v>40</v>
      </c>
      <c r="D1292">
        <v>6.2079170000000001</v>
      </c>
      <c r="E1292">
        <v>0.5808198</v>
      </c>
      <c r="F1292" t="s">
        <v>61</v>
      </c>
      <c r="G1292">
        <v>-211.79310000000001</v>
      </c>
      <c r="H1292">
        <v>8.0000940000000006E-2</v>
      </c>
      <c r="I1292">
        <v>277.81360000000001</v>
      </c>
      <c r="J1292">
        <v>-196.2381</v>
      </c>
      <c r="K1292">
        <v>1.1069469999999999</v>
      </c>
      <c r="L1292">
        <v>293.39120000000003</v>
      </c>
      <c r="M1292">
        <v>-0.41876340000000001</v>
      </c>
      <c r="N1292">
        <v>0</v>
      </c>
      <c r="O1292">
        <v>-0.9079933</v>
      </c>
      <c r="P1292">
        <v>-0.54686429999999997</v>
      </c>
      <c r="Q1292">
        <v>-3.9043349999999998E-2</v>
      </c>
      <c r="R1292">
        <v>-0.83631089999999997</v>
      </c>
      <c r="S1292">
        <v>-2.1610870000000002</v>
      </c>
      <c r="T1292">
        <v>-0.14200470000000001</v>
      </c>
      <c r="U1292">
        <v>-2.1738590000000002</v>
      </c>
      <c r="V1292">
        <v>0.14613660000000001</v>
      </c>
      <c r="W1292">
        <v>-2.674004E-2</v>
      </c>
      <c r="X1292">
        <v>0.98890299999999998</v>
      </c>
      <c r="Y1292">
        <v>0.34241630000000001</v>
      </c>
      <c r="Z1292">
        <v>4.545134E-2</v>
      </c>
      <c r="AA1292">
        <v>0.93844830000000001</v>
      </c>
      <c r="AB1292">
        <v>16</v>
      </c>
      <c r="AC1292">
        <v>-15.555</v>
      </c>
      <c r="AD1292">
        <v>-1.02694606</v>
      </c>
      <c r="AE1292">
        <v>-15.5776</v>
      </c>
      <c r="AF1292">
        <v>7.5847059741690197</v>
      </c>
      <c r="AG1292">
        <v>-1.02694606</v>
      </c>
      <c r="AH1292">
        <v>20.615273726290699</v>
      </c>
      <c r="AI1292">
        <v>92.676687832106794</v>
      </c>
      <c r="AJ1292">
        <v>69.800582322694297</v>
      </c>
      <c r="AK1292">
        <v>21.990268159680099</v>
      </c>
      <c r="AL1292">
        <v>91.532274016062203</v>
      </c>
      <c r="AM1292">
        <v>81.593870023583406</v>
      </c>
      <c r="AN1292">
        <v>1.0000000395038799</v>
      </c>
    </row>
    <row r="1293" spans="1:40" x14ac:dyDescent="0.25">
      <c r="A1293" t="str">
        <f>"20190312160937530"</f>
        <v>20190312160937530</v>
      </c>
      <c r="B1293" t="str">
        <f>"1552378177527010"</f>
        <v>1552378177527010</v>
      </c>
      <c r="C1293" t="s">
        <v>40</v>
      </c>
      <c r="D1293">
        <v>6.2385460000000004</v>
      </c>
      <c r="E1293">
        <v>0.61546429999999996</v>
      </c>
      <c r="F1293" t="s">
        <v>61</v>
      </c>
      <c r="G1293">
        <v>-212.3175</v>
      </c>
      <c r="H1293">
        <v>8.0000790000000002E-2</v>
      </c>
      <c r="I1293">
        <v>277.49180000000001</v>
      </c>
      <c r="J1293">
        <v>-196.316</v>
      </c>
      <c r="K1293">
        <v>1.106881</v>
      </c>
      <c r="L1293">
        <v>293.24380000000002</v>
      </c>
      <c r="M1293">
        <v>-0.42559789999999997</v>
      </c>
      <c r="N1293">
        <v>0</v>
      </c>
      <c r="O1293">
        <v>-0.90480959999999999</v>
      </c>
      <c r="P1293">
        <v>-0.55372600000000005</v>
      </c>
      <c r="Q1293">
        <v>-3.8305970000000002E-2</v>
      </c>
      <c r="R1293">
        <v>-0.83181779999999905</v>
      </c>
      <c r="S1293">
        <v>-2.1797490000000002</v>
      </c>
      <c r="T1293">
        <v>-0.1392149</v>
      </c>
      <c r="U1293">
        <v>-2.1553650000000002</v>
      </c>
      <c r="V1293">
        <v>0.14680190000000001</v>
      </c>
      <c r="W1293">
        <v>-2.6014610000000001E-2</v>
      </c>
      <c r="X1293">
        <v>0.98882380000000003</v>
      </c>
      <c r="Y1293">
        <v>0.3434084</v>
      </c>
      <c r="Z1293">
        <v>4.4478770000000001E-2</v>
      </c>
      <c r="AA1293">
        <v>0.93813230000000003</v>
      </c>
      <c r="AB1293">
        <v>16</v>
      </c>
      <c r="AC1293">
        <v>-16.0015</v>
      </c>
      <c r="AD1293">
        <v>-1.0268802100000001</v>
      </c>
      <c r="AE1293">
        <v>-15.752000000000001</v>
      </c>
      <c r="AF1293">
        <v>7.7587882945784497</v>
      </c>
      <c r="AG1293">
        <v>-1.0268802100000001</v>
      </c>
      <c r="AH1293">
        <v>21.020759798224599</v>
      </c>
      <c r="AI1293">
        <v>92.623952808728006</v>
      </c>
      <c r="AJ1293">
        <v>69.740834400483706</v>
      </c>
      <c r="AK1293">
        <v>22.430461904749802</v>
      </c>
      <c r="AL1293">
        <v>91.490695482806998</v>
      </c>
      <c r="AM1293">
        <v>81.555484291742601</v>
      </c>
      <c r="AN1293">
        <v>1.00000003261175</v>
      </c>
    </row>
    <row r="1294" spans="1:40" x14ac:dyDescent="0.25">
      <c r="A1294" t="str">
        <f>"20190312160937575"</f>
        <v>20190312160937575</v>
      </c>
      <c r="B1294" t="str">
        <f>"1552378177567027"</f>
        <v>1552378177567027</v>
      </c>
      <c r="C1294" t="s">
        <v>40</v>
      </c>
      <c r="D1294">
        <v>5.8476210000000002</v>
      </c>
      <c r="E1294">
        <v>0.6180139</v>
      </c>
      <c r="F1294" t="s">
        <v>69</v>
      </c>
      <c r="G1294">
        <v>-233.30119999999999</v>
      </c>
      <c r="H1294">
        <v>3.8044690000000001</v>
      </c>
      <c r="I1294">
        <v>262.88240000000002</v>
      </c>
      <c r="J1294">
        <v>-196.46899999999999</v>
      </c>
      <c r="K1294">
        <v>1.1067340000000001</v>
      </c>
      <c r="L1294">
        <v>292.9631</v>
      </c>
      <c r="M1294">
        <v>-0.4391449</v>
      </c>
      <c r="N1294">
        <v>0</v>
      </c>
      <c r="O1294">
        <v>-0.89831380000000005</v>
      </c>
      <c r="P1294">
        <v>-0.5660039</v>
      </c>
      <c r="Q1294">
        <v>-3.7509500000000001E-2</v>
      </c>
      <c r="R1294">
        <v>-0.82354879999999997</v>
      </c>
      <c r="S1294">
        <v>-2.43161</v>
      </c>
      <c r="T1294">
        <v>0.17735419999999999</v>
      </c>
      <c r="U1294">
        <v>-1.996124</v>
      </c>
      <c r="V1294">
        <v>0.14659510000000001</v>
      </c>
      <c r="W1294">
        <v>-2.5346069999999998E-2</v>
      </c>
      <c r="X1294">
        <v>0.98887179999999997</v>
      </c>
      <c r="Y1294">
        <v>0.4144159</v>
      </c>
      <c r="Z1294">
        <v>-5.5944019999999997E-2</v>
      </c>
      <c r="AA1294">
        <v>0.90836649999999997</v>
      </c>
      <c r="AB1294">
        <v>16</v>
      </c>
      <c r="AC1294">
        <v>-36.832199999999901</v>
      </c>
      <c r="AD1294">
        <v>2.6977350000000002</v>
      </c>
      <c r="AE1294">
        <v>-30.080699999999901</v>
      </c>
      <c r="AF1294">
        <v>19.815148594778201</v>
      </c>
      <c r="AG1294">
        <v>2.6977350000000002</v>
      </c>
      <c r="AH1294">
        <v>43.061975923320702</v>
      </c>
      <c r="AI1294">
        <v>86.742723086263496</v>
      </c>
      <c r="AJ1294">
        <v>65.290278715335901</v>
      </c>
      <c r="AK1294">
        <v>47.478960165361897</v>
      </c>
      <c r="AL1294">
        <v>91.452378385526103</v>
      </c>
      <c r="AM1294">
        <v>81.567612368334593</v>
      </c>
      <c r="AN1294">
        <v>0.99999999172184695</v>
      </c>
    </row>
    <row r="1295" spans="1:40" x14ac:dyDescent="0.25">
      <c r="A1295" t="str">
        <f>"20190312160937596"</f>
        <v>20190312160937596</v>
      </c>
      <c r="B1295" t="str">
        <f>"1552378177586547"</f>
        <v>1552378177586547</v>
      </c>
      <c r="C1295" t="s">
        <v>40</v>
      </c>
      <c r="D1295">
        <v>6.0019850000000003</v>
      </c>
      <c r="E1295">
        <v>0.61781629999999998</v>
      </c>
      <c r="F1295" t="s">
        <v>69</v>
      </c>
      <c r="G1295">
        <v>-232.98779999999999</v>
      </c>
      <c r="H1295">
        <v>3.9479449999999998</v>
      </c>
      <c r="I1295">
        <v>264.24360000000001</v>
      </c>
      <c r="J1295">
        <v>-196.54400000000001</v>
      </c>
      <c r="K1295">
        <v>1.106581</v>
      </c>
      <c r="L1295">
        <v>292.8297</v>
      </c>
      <c r="M1295">
        <v>-0.44585629999999998</v>
      </c>
      <c r="N1295">
        <v>0</v>
      </c>
      <c r="O1295">
        <v>-0.89500579999999996</v>
      </c>
      <c r="P1295">
        <v>-0.57173759999999996</v>
      </c>
      <c r="Q1295">
        <v>-3.7460960000000001E-2</v>
      </c>
      <c r="R1295">
        <v>-0.81958109999999995</v>
      </c>
      <c r="S1295">
        <v>-2.4778289999999998</v>
      </c>
      <c r="T1295">
        <v>0.19277830000000001</v>
      </c>
      <c r="U1295">
        <v>-1.948639</v>
      </c>
      <c r="V1295">
        <v>0.1460892</v>
      </c>
      <c r="W1295">
        <v>-2.55845E-2</v>
      </c>
      <c r="X1295">
        <v>0.9889405</v>
      </c>
      <c r="Y1295">
        <v>0.42635820000000002</v>
      </c>
      <c r="Z1295">
        <v>-6.074922E-2</v>
      </c>
      <c r="AA1295">
        <v>0.90251219999999999</v>
      </c>
      <c r="AB1295">
        <v>16</v>
      </c>
      <c r="AC1295">
        <v>-36.443799999999896</v>
      </c>
      <c r="AD1295">
        <v>2.841364</v>
      </c>
      <c r="AE1295">
        <v>-28.586099999999899</v>
      </c>
      <c r="AF1295">
        <v>19.799366428413101</v>
      </c>
      <c r="AG1295">
        <v>2.841364</v>
      </c>
      <c r="AH1295">
        <v>41.680268145847897</v>
      </c>
      <c r="AI1295">
        <v>86.476395152905596</v>
      </c>
      <c r="AJ1295">
        <v>64.590892189483597</v>
      </c>
      <c r="AK1295">
        <v>46.231299063046599</v>
      </c>
      <c r="AL1295">
        <v>91.466043886585396</v>
      </c>
      <c r="AM1295">
        <v>81.5968717495292</v>
      </c>
      <c r="AN1295">
        <v>0.99999996676856895</v>
      </c>
    </row>
    <row r="1296" spans="1:40" x14ac:dyDescent="0.25">
      <c r="A1296" t="str">
        <f>"20190312160937618"</f>
        <v>20190312160937618</v>
      </c>
      <c r="B1296" t="str">
        <f>"1552378177606571"</f>
        <v>1552378177606571</v>
      </c>
      <c r="C1296" t="s">
        <v>40</v>
      </c>
      <c r="D1296">
        <v>6.124593</v>
      </c>
      <c r="E1296">
        <v>0.61813530000000005</v>
      </c>
      <c r="F1296" t="s">
        <v>69</v>
      </c>
      <c r="G1296">
        <v>-232.98779999999999</v>
      </c>
      <c r="H1296">
        <v>3.7825530000000001</v>
      </c>
      <c r="I1296">
        <v>264.55650000000003</v>
      </c>
      <c r="J1296">
        <v>-196.62209999999999</v>
      </c>
      <c r="K1296">
        <v>1.106487</v>
      </c>
      <c r="L1296">
        <v>292.69349999999997</v>
      </c>
      <c r="M1296">
        <v>-0.45280199999999998</v>
      </c>
      <c r="N1296">
        <v>0</v>
      </c>
      <c r="O1296">
        <v>-0.89151499999999995</v>
      </c>
      <c r="P1296">
        <v>-0.57846790000000003</v>
      </c>
      <c r="Q1296">
        <v>-3.7451430000000001E-2</v>
      </c>
      <c r="R1296">
        <v>-0.81484509999999999</v>
      </c>
      <c r="S1296">
        <v>-2.4899749999999998</v>
      </c>
      <c r="T1296">
        <v>0.18283240000000001</v>
      </c>
      <c r="U1296">
        <v>-1.931732</v>
      </c>
      <c r="V1296">
        <v>0.1465398</v>
      </c>
      <c r="W1296">
        <v>-2.578859E-2</v>
      </c>
      <c r="X1296">
        <v>0.98886859999999999</v>
      </c>
      <c r="Y1296">
        <v>0.42544759999999998</v>
      </c>
      <c r="Z1296">
        <v>-5.7513410000000001E-2</v>
      </c>
      <c r="AA1296">
        <v>0.90315369999999995</v>
      </c>
      <c r="AB1296">
        <v>16</v>
      </c>
      <c r="AC1296">
        <v>-36.365699999999997</v>
      </c>
      <c r="AD1296">
        <v>2.6760660000000001</v>
      </c>
      <c r="AE1296">
        <v>-28.136999999999901</v>
      </c>
      <c r="AF1296">
        <v>19.6153200449092</v>
      </c>
      <c r="AG1296">
        <v>2.6760660000000001</v>
      </c>
      <c r="AH1296">
        <v>41.4142959919266</v>
      </c>
      <c r="AI1296">
        <v>86.657844168211795</v>
      </c>
      <c r="AJ1296">
        <v>64.656059194321301</v>
      </c>
      <c r="AK1296">
        <v>45.9027888282126</v>
      </c>
      <c r="AL1296">
        <v>91.477741139579194</v>
      </c>
      <c r="AM1296">
        <v>81.570720719985502</v>
      </c>
      <c r="AN1296">
        <v>1.00000003621209</v>
      </c>
    </row>
    <row r="1297" spans="1:40" x14ac:dyDescent="0.25">
      <c r="A1297" t="str">
        <f>"20190312160937641"</f>
        <v>20190312160937641</v>
      </c>
      <c r="B1297" t="str">
        <f>"1552378177636826"</f>
        <v>1552378177636826</v>
      </c>
      <c r="C1297" t="s">
        <v>40</v>
      </c>
      <c r="D1297">
        <v>6.1098809999999997</v>
      </c>
      <c r="E1297">
        <v>0.61823869999999903</v>
      </c>
      <c r="F1297" t="s">
        <v>69</v>
      </c>
      <c r="G1297">
        <v>-232.98779999999999</v>
      </c>
      <c r="H1297">
        <v>3.789075</v>
      </c>
      <c r="I1297">
        <v>265.0059</v>
      </c>
      <c r="J1297">
        <v>-196.7062</v>
      </c>
      <c r="K1297">
        <v>1.1064750000000001</v>
      </c>
      <c r="L1297">
        <v>292.54989999999998</v>
      </c>
      <c r="M1297">
        <v>-0.46024949999999998</v>
      </c>
      <c r="N1297">
        <v>0</v>
      </c>
      <c r="O1297">
        <v>-0.88769330000000002</v>
      </c>
      <c r="P1297">
        <v>-0.58561039999999998</v>
      </c>
      <c r="Q1297">
        <v>-3.7274420000000003E-2</v>
      </c>
      <c r="R1297">
        <v>-0.80973539999999999</v>
      </c>
      <c r="S1297">
        <v>-2.5081329999999999</v>
      </c>
      <c r="T1297">
        <v>0.1850176</v>
      </c>
      <c r="U1297">
        <v>-1.9096070000000001</v>
      </c>
      <c r="V1297">
        <v>0.14695239999999901</v>
      </c>
      <c r="W1297">
        <v>-2.5642620000000001E-2</v>
      </c>
      <c r="X1297">
        <v>0.98881110000000005</v>
      </c>
      <c r="Y1297">
        <v>0.42604140000000001</v>
      </c>
      <c r="Z1297">
        <v>-5.8065270000000002E-2</v>
      </c>
      <c r="AA1297">
        <v>0.90283840000000004</v>
      </c>
      <c r="AB1297">
        <v>16</v>
      </c>
      <c r="AC1297">
        <v>-36.281599999999997</v>
      </c>
      <c r="AD1297">
        <v>2.6825999999999999</v>
      </c>
      <c r="AE1297">
        <v>-27.543999999999901</v>
      </c>
      <c r="AF1297">
        <v>19.463988517961301</v>
      </c>
      <c r="AG1297">
        <v>2.6825999999999999</v>
      </c>
      <c r="AH1297">
        <v>41.010503869282502</v>
      </c>
      <c r="AI1297">
        <v>86.618062985284197</v>
      </c>
      <c r="AJ1297">
        <v>64.610524116336293</v>
      </c>
      <c r="AK1297">
        <v>45.474219283015302</v>
      </c>
      <c r="AL1297">
        <v>91.469375003099302</v>
      </c>
      <c r="AM1297">
        <v>81.546845064448405</v>
      </c>
      <c r="AN1297">
        <v>0.99999997165471599</v>
      </c>
    </row>
    <row r="1298" spans="1:40" x14ac:dyDescent="0.25">
      <c r="A1298" t="str">
        <f>"20190312160937665"</f>
        <v>20190312160937665</v>
      </c>
      <c r="B1298" t="str">
        <f>"1552378177656347"</f>
        <v>1552378177656347</v>
      </c>
      <c r="C1298" t="s">
        <v>40</v>
      </c>
      <c r="D1298">
        <v>5.8065860000000002</v>
      </c>
      <c r="E1298">
        <v>0.62037350000000002</v>
      </c>
      <c r="F1298" t="s">
        <v>69</v>
      </c>
      <c r="G1298">
        <v>-233.30119999999999</v>
      </c>
      <c r="H1298">
        <v>3.837472</v>
      </c>
      <c r="I1298">
        <v>265.2054</v>
      </c>
      <c r="J1298">
        <v>-196.79060000000001</v>
      </c>
      <c r="K1298">
        <v>1.1064700000000001</v>
      </c>
      <c r="L1298">
        <v>292.40870000000001</v>
      </c>
      <c r="M1298">
        <v>-0.46779090000000001</v>
      </c>
      <c r="N1298">
        <v>0</v>
      </c>
      <c r="O1298">
        <v>-0.88374169999999996</v>
      </c>
      <c r="P1298">
        <v>-0.59302259999999996</v>
      </c>
      <c r="Q1298">
        <v>-3.6638080000000003E-2</v>
      </c>
      <c r="R1298">
        <v>-0.8043517</v>
      </c>
      <c r="S1298">
        <v>-2.525528</v>
      </c>
      <c r="T1298">
        <v>0.18847410000000001</v>
      </c>
      <c r="U1298">
        <v>-1.8871150000000001</v>
      </c>
      <c r="V1298">
        <v>0.14760509999999999</v>
      </c>
      <c r="W1298">
        <v>-2.498939E-2</v>
      </c>
      <c r="X1298">
        <v>0.98873060000000002</v>
      </c>
      <c r="Y1298">
        <v>0.42643189999999997</v>
      </c>
      <c r="Z1298">
        <v>-5.9012139999999998E-2</v>
      </c>
      <c r="AA1298">
        <v>0.90259259999999997</v>
      </c>
      <c r="AB1298">
        <v>16</v>
      </c>
      <c r="AC1298">
        <v>-36.510599999999897</v>
      </c>
      <c r="AD1298">
        <v>2.7310020000000002</v>
      </c>
      <c r="AE1298">
        <v>-27.203299999999999</v>
      </c>
      <c r="AF1298">
        <v>19.472110436450102</v>
      </c>
      <c r="AG1298">
        <v>2.7310020000000002</v>
      </c>
      <c r="AH1298">
        <v>40.976136116643197</v>
      </c>
      <c r="AI1298">
        <v>86.555101909496699</v>
      </c>
      <c r="AJ1298">
        <v>64.582647170092102</v>
      </c>
      <c r="AK1298">
        <v>45.449589523151801</v>
      </c>
      <c r="AL1298">
        <v>91.431935686246703</v>
      </c>
      <c r="AM1298">
        <v>81.509164591432395</v>
      </c>
      <c r="AN1298">
        <v>0.99999996726746998</v>
      </c>
    </row>
    <row r="1299" spans="1:40" x14ac:dyDescent="0.25">
      <c r="A1299" t="str">
        <f>"20190312160937686"</f>
        <v>20190312160937686</v>
      </c>
      <c r="B1299" t="str">
        <f>"1552378177676843"</f>
        <v>1552378177676843</v>
      </c>
      <c r="C1299" t="s">
        <v>40</v>
      </c>
      <c r="D1299">
        <v>5.8591680000000004</v>
      </c>
      <c r="E1299">
        <v>0.6240734</v>
      </c>
      <c r="F1299" t="s">
        <v>69</v>
      </c>
      <c r="G1299">
        <v>-233.3013</v>
      </c>
      <c r="H1299">
        <v>4.1709440000000004</v>
      </c>
      <c r="I1299">
        <v>265.92779999999999</v>
      </c>
      <c r="J1299">
        <v>-196.87350000000001</v>
      </c>
      <c r="K1299">
        <v>1.1064179999999999</v>
      </c>
      <c r="L1299">
        <v>292.27319999999997</v>
      </c>
      <c r="M1299">
        <v>-0.47523939999999998</v>
      </c>
      <c r="N1299">
        <v>0</v>
      </c>
      <c r="O1299">
        <v>-0.87975910000000002</v>
      </c>
      <c r="P1299">
        <v>-0.60062530000000003</v>
      </c>
      <c r="Q1299">
        <v>-3.6030810000000003E-2</v>
      </c>
      <c r="R1299">
        <v>-0.79871829999999999</v>
      </c>
      <c r="S1299">
        <v>-2.5568080000000002</v>
      </c>
      <c r="T1299">
        <v>0.21460219999999999</v>
      </c>
      <c r="U1299">
        <v>-1.8544309999999999</v>
      </c>
      <c r="V1299">
        <v>0.14861949999999999</v>
      </c>
      <c r="W1299">
        <v>-2.4448129999999998E-2</v>
      </c>
      <c r="X1299">
        <v>0.98859220000000003</v>
      </c>
      <c r="Y1299">
        <v>0.43116890000000002</v>
      </c>
      <c r="Z1299">
        <v>-6.697351E-2</v>
      </c>
      <c r="AA1299">
        <v>0.89978219999999998</v>
      </c>
      <c r="AB1299">
        <v>16</v>
      </c>
      <c r="AC1299">
        <v>-36.427799999999898</v>
      </c>
      <c r="AD1299">
        <v>3.0645259999999999</v>
      </c>
      <c r="AE1299">
        <v>-26.345399999999898</v>
      </c>
      <c r="AF1299">
        <v>19.4386645280543</v>
      </c>
      <c r="AG1299">
        <v>3.0645259999999999</v>
      </c>
      <c r="AH1299">
        <v>40.305713071462598</v>
      </c>
      <c r="AI1299">
        <v>86.082295896631607</v>
      </c>
      <c r="AJ1299">
        <v>64.252887271500995</v>
      </c>
      <c r="AK1299">
        <v>44.853132604512503</v>
      </c>
      <c r="AL1299">
        <v>91.400914243296597</v>
      </c>
      <c r="AM1299">
        <v>81.450492404174994</v>
      </c>
      <c r="AN1299">
        <v>1.00000000237079</v>
      </c>
    </row>
    <row r="1300" spans="1:40" x14ac:dyDescent="0.25">
      <c r="A1300" t="str">
        <f>"20190312160937710"</f>
        <v>20190312160937710</v>
      </c>
      <c r="B1300" t="str">
        <f>"1552378177706628"</f>
        <v>1552378177706628</v>
      </c>
      <c r="C1300" t="s">
        <v>40</v>
      </c>
      <c r="D1300">
        <v>5.8296270000000003</v>
      </c>
      <c r="E1300">
        <v>0.62679300000000004</v>
      </c>
      <c r="F1300" t="s">
        <v>69</v>
      </c>
      <c r="G1300">
        <v>-233.3015</v>
      </c>
      <c r="H1300">
        <v>4.5623959999999997</v>
      </c>
      <c r="I1300">
        <v>266.84660000000002</v>
      </c>
      <c r="J1300">
        <v>-196.96260000000001</v>
      </c>
      <c r="K1300">
        <v>1.1063320000000001</v>
      </c>
      <c r="L1300">
        <v>292.13080000000002</v>
      </c>
      <c r="M1300">
        <v>-0.48316100000000001</v>
      </c>
      <c r="N1300">
        <v>0</v>
      </c>
      <c r="O1300">
        <v>-0.87543449999999901</v>
      </c>
      <c r="P1300">
        <v>-0.60934860000000002</v>
      </c>
      <c r="Q1300">
        <v>-3.5449309999999998E-2</v>
      </c>
      <c r="R1300">
        <v>-0.79210939999999996</v>
      </c>
      <c r="S1300">
        <v>-2.598068</v>
      </c>
      <c r="T1300">
        <v>0.24648310000000001</v>
      </c>
      <c r="U1300">
        <v>-1.8134459999999999</v>
      </c>
      <c r="V1300">
        <v>0.15052470000000001</v>
      </c>
      <c r="W1300">
        <v>-2.397728E-2</v>
      </c>
      <c r="X1300">
        <v>0.98831550000000001</v>
      </c>
      <c r="Y1300">
        <v>0.4386813</v>
      </c>
      <c r="Z1300">
        <v>-7.6609150000000001E-2</v>
      </c>
      <c r="AA1300">
        <v>0.89537129999999998</v>
      </c>
      <c r="AB1300">
        <v>16</v>
      </c>
      <c r="AC1300">
        <v>-36.338900000000002</v>
      </c>
      <c r="AD1300">
        <v>3.456064</v>
      </c>
      <c r="AE1300">
        <v>-25.284199999999998</v>
      </c>
      <c r="AF1300">
        <v>19.4789344066848</v>
      </c>
      <c r="AG1300">
        <v>3.456064</v>
      </c>
      <c r="AH1300">
        <v>39.455106265665002</v>
      </c>
      <c r="AI1300">
        <v>85.508969892323407</v>
      </c>
      <c r="AJ1300">
        <v>63.724506825753203</v>
      </c>
      <c r="AK1300">
        <v>44.137044242075604</v>
      </c>
      <c r="AL1300">
        <v>91.373928532814304</v>
      </c>
      <c r="AM1300">
        <v>81.340156832303904</v>
      </c>
      <c r="AN1300">
        <v>1.00000006140326</v>
      </c>
    </row>
    <row r="1301" spans="1:40" x14ac:dyDescent="0.25">
      <c r="A1301" t="str">
        <f>"20190312160937757"</f>
        <v>20190312160937757</v>
      </c>
      <c r="B1301" t="str">
        <f>"1552378177746645"</f>
        <v>1552378177746645</v>
      </c>
      <c r="C1301" t="s">
        <v>40</v>
      </c>
      <c r="D1301">
        <v>5.8388429999999998</v>
      </c>
      <c r="E1301">
        <v>0.62906090000000003</v>
      </c>
      <c r="F1301" t="s">
        <v>69</v>
      </c>
      <c r="G1301">
        <v>-232.7056</v>
      </c>
      <c r="H1301">
        <v>4.8242789999999998</v>
      </c>
      <c r="I1301">
        <v>268.09719999999999</v>
      </c>
      <c r="J1301">
        <v>-197.14439999999999</v>
      </c>
      <c r="K1301">
        <v>1.1062299999999901</v>
      </c>
      <c r="L1301">
        <v>291.84960000000001</v>
      </c>
      <c r="M1301">
        <v>-0.49904510000000002</v>
      </c>
      <c r="N1301">
        <v>0</v>
      </c>
      <c r="O1301">
        <v>-0.86647859999999999</v>
      </c>
      <c r="P1301">
        <v>-0.62656020000000001</v>
      </c>
      <c r="Q1301">
        <v>-3.4722589999999998E-2</v>
      </c>
      <c r="R1301">
        <v>-0.77859940000000005</v>
      </c>
      <c r="S1301">
        <v>-2.6356199999999999</v>
      </c>
      <c r="T1301">
        <v>0.27415420000000001</v>
      </c>
      <c r="U1301">
        <v>-1.772186</v>
      </c>
      <c r="V1301">
        <v>0.15414120000000001</v>
      </c>
      <c r="W1301">
        <v>-2.3356439999999999E-2</v>
      </c>
      <c r="X1301">
        <v>0.98777280000000001</v>
      </c>
      <c r="Y1301">
        <v>0.43730069999999999</v>
      </c>
      <c r="Z1301">
        <v>-8.4469909999999995E-2</v>
      </c>
      <c r="AA1301">
        <v>0.89533960000000001</v>
      </c>
      <c r="AB1301">
        <v>16</v>
      </c>
      <c r="AC1301">
        <v>-35.561199999999999</v>
      </c>
      <c r="AD1301">
        <v>3.7180490000000002</v>
      </c>
      <c r="AE1301">
        <v>-23.752400000000002</v>
      </c>
      <c r="AF1301">
        <v>18.8188471048705</v>
      </c>
      <c r="AG1301">
        <v>3.7180490000000002</v>
      </c>
      <c r="AH1301">
        <v>38.043252048055201</v>
      </c>
      <c r="AI1301">
        <v>84.993654049686597</v>
      </c>
      <c r="AJ1301">
        <v>63.679788663345697</v>
      </c>
      <c r="AK1301">
        <v>42.605890685617098</v>
      </c>
      <c r="AL1301">
        <v>91.338347046660701</v>
      </c>
      <c r="AM1301">
        <v>81.130569460698098</v>
      </c>
      <c r="AN1301">
        <v>1.0000000686233701</v>
      </c>
    </row>
    <row r="1302" spans="1:40" x14ac:dyDescent="0.25">
      <c r="A1302" t="str">
        <f>"20190312160937798"</f>
        <v>20190312160937798</v>
      </c>
      <c r="B1302" t="str">
        <f>"1552378177786661"</f>
        <v>1552378177786661</v>
      </c>
      <c r="C1302" t="s">
        <v>40</v>
      </c>
      <c r="D1302">
        <v>5.8713119999999996</v>
      </c>
      <c r="E1302">
        <v>0.63026729999999997</v>
      </c>
      <c r="F1302" t="s">
        <v>69</v>
      </c>
      <c r="G1302">
        <v>-232.36269999999999</v>
      </c>
      <c r="H1302">
        <v>5.0198859999999996</v>
      </c>
      <c r="I1302">
        <v>269.52859999999998</v>
      </c>
      <c r="J1302">
        <v>-197.31219999999999</v>
      </c>
      <c r="K1302">
        <v>1.1062149999999999</v>
      </c>
      <c r="L1302">
        <v>291.60070000000002</v>
      </c>
      <c r="M1302">
        <v>-0.51355490000000004</v>
      </c>
      <c r="N1302">
        <v>0</v>
      </c>
      <c r="O1302">
        <v>-0.8579582</v>
      </c>
      <c r="P1302">
        <v>-0.64204380000000005</v>
      </c>
      <c r="Q1302">
        <v>-3.4260260000000001E-2</v>
      </c>
      <c r="R1302">
        <v>-0.76590219999999998</v>
      </c>
      <c r="S1302">
        <v>-2.6877749999999998</v>
      </c>
      <c r="T1302">
        <v>0.29868099999999997</v>
      </c>
      <c r="U1302">
        <v>-1.7034910000000001</v>
      </c>
      <c r="V1302">
        <v>0.15731300000000001</v>
      </c>
      <c r="W1302">
        <v>-2.2938739999999999E-2</v>
      </c>
      <c r="X1302">
        <v>0.98728229999999995</v>
      </c>
      <c r="Y1302">
        <v>0.44578099999999998</v>
      </c>
      <c r="Z1302">
        <v>-9.1560710000000003E-2</v>
      </c>
      <c r="AA1302">
        <v>0.89044699999999999</v>
      </c>
      <c r="AB1302">
        <v>16</v>
      </c>
      <c r="AC1302">
        <v>-35.0505</v>
      </c>
      <c r="AD1302">
        <v>3.9136709999999999</v>
      </c>
      <c r="AE1302">
        <v>-22.072099999999999</v>
      </c>
      <c r="AF1302">
        <v>18.5724103425678</v>
      </c>
      <c r="AG1302">
        <v>3.9136709999999999</v>
      </c>
      <c r="AH1302">
        <v>36.6135558101358</v>
      </c>
      <c r="AI1302">
        <v>84.5545489111351</v>
      </c>
      <c r="AJ1302">
        <v>63.103368715823599</v>
      </c>
      <c r="AK1302">
        <v>41.240801588849898</v>
      </c>
      <c r="AL1302">
        <v>91.314408339045997</v>
      </c>
      <c r="AM1302">
        <v>80.946629969322302</v>
      </c>
      <c r="AN1302">
        <v>0.99999995282753695</v>
      </c>
    </row>
    <row r="1303" spans="1:40" x14ac:dyDescent="0.25">
      <c r="A1303" t="str">
        <f>"20190312160937821"</f>
        <v>20190312160937821</v>
      </c>
      <c r="B1303" t="str">
        <f>"1552378177816448"</f>
        <v>1552378177816448</v>
      </c>
      <c r="C1303" t="s">
        <v>40</v>
      </c>
      <c r="D1303">
        <v>6.0056190000000003</v>
      </c>
      <c r="E1303">
        <v>0.62987850000000001</v>
      </c>
      <c r="F1303" t="s">
        <v>69</v>
      </c>
      <c r="G1303">
        <v>-233.8732</v>
      </c>
      <c r="H1303">
        <v>5.3384739999999997</v>
      </c>
      <c r="I1303">
        <v>269.58609999999999</v>
      </c>
      <c r="J1303">
        <v>-197.4066</v>
      </c>
      <c r="K1303">
        <v>1.1062019999999999</v>
      </c>
      <c r="L1303">
        <v>291.46469999999999</v>
      </c>
      <c r="M1303">
        <v>-0.52162419999999998</v>
      </c>
      <c r="N1303">
        <v>0</v>
      </c>
      <c r="O1303">
        <v>-0.85307630000000001</v>
      </c>
      <c r="P1303">
        <v>-0.65152880000000002</v>
      </c>
      <c r="Q1303">
        <v>-3.3265830000000003E-2</v>
      </c>
      <c r="R1303">
        <v>-0.75789459999999997</v>
      </c>
      <c r="S1303">
        <v>-2.7291409999999998</v>
      </c>
      <c r="T1303">
        <v>0.31592310000000001</v>
      </c>
      <c r="U1303">
        <v>-1.643311</v>
      </c>
      <c r="V1303">
        <v>0.160275799999999</v>
      </c>
      <c r="W1303">
        <v>-2.1985089999999999E-2</v>
      </c>
      <c r="X1303">
        <v>0.98682740000000002</v>
      </c>
      <c r="Y1303">
        <v>0.45722590000000002</v>
      </c>
      <c r="Z1303">
        <v>-9.6758659999999996E-2</v>
      </c>
      <c r="AA1303">
        <v>0.88407139999999995</v>
      </c>
      <c r="AB1303">
        <v>16</v>
      </c>
      <c r="AC1303">
        <v>-36.4666</v>
      </c>
      <c r="AD1303">
        <v>4.232272</v>
      </c>
      <c r="AE1303">
        <v>-21.878599999999999</v>
      </c>
      <c r="AF1303">
        <v>19.504864066384499</v>
      </c>
      <c r="AG1303">
        <v>4.232272</v>
      </c>
      <c r="AH1303">
        <v>37.319530641792603</v>
      </c>
      <c r="AI1303">
        <v>84.260647213393099</v>
      </c>
      <c r="AJ1303">
        <v>62.4064089597425</v>
      </c>
      <c r="AK1303">
        <v>42.321380126997497</v>
      </c>
      <c r="AL1303">
        <v>91.259754369614598</v>
      </c>
      <c r="AM1303">
        <v>80.774845779820694</v>
      </c>
      <c r="AN1303">
        <v>0.99999999681935403</v>
      </c>
    </row>
    <row r="1304" spans="1:40" x14ac:dyDescent="0.25">
      <c r="A1304" t="str">
        <f>"20190312160937842"</f>
        <v>20190312160937842</v>
      </c>
      <c r="B1304" t="str">
        <f>"1552378177836944"</f>
        <v>1552378177836944</v>
      </c>
      <c r="C1304" t="s">
        <v>40</v>
      </c>
      <c r="D1304">
        <v>4.547447</v>
      </c>
      <c r="E1304">
        <v>0.63132129999999997</v>
      </c>
      <c r="F1304" t="s">
        <v>69</v>
      </c>
      <c r="G1304">
        <v>-235.9513</v>
      </c>
      <c r="H1304">
        <v>5.6843070000000004</v>
      </c>
      <c r="I1304">
        <v>268.85500000000002</v>
      </c>
      <c r="J1304">
        <v>-197.49719999999999</v>
      </c>
      <c r="K1304">
        <v>1.1061810000000001</v>
      </c>
      <c r="L1304">
        <v>291.33699999999999</v>
      </c>
      <c r="M1304">
        <v>-0.52927979999999997</v>
      </c>
      <c r="N1304">
        <v>0</v>
      </c>
      <c r="O1304">
        <v>-0.84834750000000003</v>
      </c>
      <c r="P1304">
        <v>-0.6609507</v>
      </c>
      <c r="Q1304">
        <v>-3.3822770000000002E-2</v>
      </c>
      <c r="R1304">
        <v>-0.74966650000000001</v>
      </c>
      <c r="S1304">
        <v>-2.7468569999999999</v>
      </c>
      <c r="T1304">
        <v>0.32625579999999998</v>
      </c>
      <c r="U1304">
        <v>-1.611267</v>
      </c>
      <c r="V1304">
        <v>0.1637342</v>
      </c>
      <c r="W1304">
        <v>-2.258688E-2</v>
      </c>
      <c r="X1304">
        <v>0.98624590000000001</v>
      </c>
      <c r="Y1304">
        <v>0.45909470000000002</v>
      </c>
      <c r="Z1304">
        <v>-9.9703650000000005E-2</v>
      </c>
      <c r="AA1304">
        <v>0.88277479999999997</v>
      </c>
      <c r="AB1304">
        <v>16</v>
      </c>
      <c r="AC1304">
        <v>-38.454099999999997</v>
      </c>
      <c r="AD1304">
        <v>4.5781259999999904</v>
      </c>
      <c r="AE1304">
        <v>-22.4819999999999</v>
      </c>
      <c r="AF1304">
        <v>20.508291709896099</v>
      </c>
      <c r="AG1304">
        <v>4.5781259999999904</v>
      </c>
      <c r="AH1304">
        <v>39.016721919088702</v>
      </c>
      <c r="AI1304">
        <v>84.070318958103698</v>
      </c>
      <c r="AJ1304">
        <v>62.272315592534099</v>
      </c>
      <c r="AK1304">
        <v>44.315390733260699</v>
      </c>
      <c r="AL1304">
        <v>91.294242939138996</v>
      </c>
      <c r="AM1304">
        <v>80.573863992679804</v>
      </c>
      <c r="AN1304">
        <v>1.0000000153322901</v>
      </c>
    </row>
    <row r="1305" spans="1:40" x14ac:dyDescent="0.25">
      <c r="A1305" t="str">
        <f>"20190312160937865"</f>
        <v>20190312160937865</v>
      </c>
      <c r="B1305" t="str">
        <f>"1552378177856464"</f>
        <v>1552378177856464</v>
      </c>
      <c r="C1305" t="s">
        <v>40</v>
      </c>
      <c r="D1305">
        <v>5.6908269999999996</v>
      </c>
      <c r="E1305">
        <v>0.69943509999999998</v>
      </c>
      <c r="F1305" t="s">
        <v>69</v>
      </c>
      <c r="G1305">
        <v>-237.21209999999999</v>
      </c>
      <c r="H1305">
        <v>6.000604</v>
      </c>
      <c r="I1305">
        <v>268.87279999999998</v>
      </c>
      <c r="J1305">
        <v>-197.58670000000001</v>
      </c>
      <c r="K1305">
        <v>1.106139</v>
      </c>
      <c r="L1305">
        <v>291.21339999999998</v>
      </c>
      <c r="M1305">
        <v>-0.53677430000000004</v>
      </c>
      <c r="N1305">
        <v>0</v>
      </c>
      <c r="O1305">
        <v>-0.84362569999999903</v>
      </c>
      <c r="P1305">
        <v>-0.67005029999999999</v>
      </c>
      <c r="Q1305">
        <v>-3.5432039999999998E-2</v>
      </c>
      <c r="R1305">
        <v>-0.74146979999999996</v>
      </c>
      <c r="S1305">
        <v>-2.7756500000000002</v>
      </c>
      <c r="T1305">
        <v>0.34206839999999999</v>
      </c>
      <c r="U1305">
        <v>-1.5700069999999999</v>
      </c>
      <c r="V1305">
        <v>0.16705410000000001</v>
      </c>
      <c r="W1305">
        <v>-2.4241260000000001E-2</v>
      </c>
      <c r="X1305">
        <v>0.98564960000000001</v>
      </c>
      <c r="Y1305">
        <v>0.46464</v>
      </c>
      <c r="Z1305">
        <v>-0.10423789999999999</v>
      </c>
      <c r="AA1305">
        <v>0.87934299999999999</v>
      </c>
      <c r="AB1305">
        <v>16</v>
      </c>
      <c r="AC1305">
        <v>-39.6253999999999</v>
      </c>
      <c r="AD1305">
        <v>4.8944650000000003</v>
      </c>
      <c r="AE1305">
        <v>-22.340599999999899</v>
      </c>
      <c r="AF1305">
        <v>21.193601650362702</v>
      </c>
      <c r="AG1305">
        <v>4.8944650000000003</v>
      </c>
      <c r="AH1305">
        <v>39.661237364451097</v>
      </c>
      <c r="AI1305">
        <v>83.788285747227604</v>
      </c>
      <c r="AJ1305">
        <v>61.881485185973297</v>
      </c>
      <c r="AK1305">
        <v>45.234260111444399</v>
      </c>
      <c r="AL1305">
        <v>91.389058062446793</v>
      </c>
      <c r="AM1305">
        <v>80.380563449384596</v>
      </c>
      <c r="AN1305">
        <v>0.99999992249667502</v>
      </c>
    </row>
    <row r="1306" spans="1:40" x14ac:dyDescent="0.25">
      <c r="A1306" t="str">
        <f>"20190312160937885"</f>
        <v>20190312160937885</v>
      </c>
      <c r="B1306" t="str">
        <f>"1552378177876959"</f>
        <v>1552378177876959</v>
      </c>
      <c r="C1306" t="s">
        <v>40</v>
      </c>
      <c r="D1306">
        <v>4.5251409999999996</v>
      </c>
      <c r="E1306">
        <v>0.70012629999999998</v>
      </c>
      <c r="F1306" t="s">
        <v>42</v>
      </c>
      <c r="G1306">
        <v>-198.28550000000001</v>
      </c>
      <c r="H1306">
        <v>1.2064549999999901</v>
      </c>
      <c r="I1306">
        <v>290.95679999999999</v>
      </c>
      <c r="J1306">
        <v>-197.67910000000001</v>
      </c>
      <c r="K1306">
        <v>1.1061719999999999</v>
      </c>
      <c r="L1306">
        <v>291.08839999999998</v>
      </c>
      <c r="M1306">
        <v>-0.54437150000000001</v>
      </c>
      <c r="N1306">
        <v>0</v>
      </c>
      <c r="O1306">
        <v>-0.83874150000000003</v>
      </c>
      <c r="P1306">
        <v>-0.67786069999999998</v>
      </c>
      <c r="Q1306">
        <v>-3.8479449999999998E-2</v>
      </c>
      <c r="R1306">
        <v>-0.73418280000000002</v>
      </c>
      <c r="S1306">
        <v>-3.2004090000000001</v>
      </c>
      <c r="T1306">
        <v>0.45943390000000001</v>
      </c>
      <c r="U1306">
        <v>-1.1758729999999999</v>
      </c>
      <c r="V1306">
        <v>0.16863789999999901</v>
      </c>
      <c r="W1306">
        <v>-2.7194909999999999E-2</v>
      </c>
      <c r="X1306">
        <v>0.98530289999999998</v>
      </c>
      <c r="Y1306">
        <v>0.58968529999999997</v>
      </c>
      <c r="Z1306">
        <v>-0.13610849999999999</v>
      </c>
      <c r="AA1306">
        <v>0.7960815</v>
      </c>
      <c r="AB1306">
        <v>16</v>
      </c>
      <c r="AC1306">
        <v>-0.60640000000000704</v>
      </c>
      <c r="AD1306">
        <v>0.100282999999999</v>
      </c>
      <c r="AE1306">
        <v>-0.131599999999991</v>
      </c>
      <c r="AF1306">
        <v>0.42588764623022601</v>
      </c>
      <c r="AG1306">
        <v>0.100282999999999</v>
      </c>
      <c r="AH1306">
        <v>0.42931025800736</v>
      </c>
      <c r="AI1306">
        <v>80.584132026369105</v>
      </c>
      <c r="AJ1306">
        <v>45.229303839255799</v>
      </c>
      <c r="AK1306">
        <v>0.61297982424454101</v>
      </c>
      <c r="AL1306">
        <v>91.558345604902996</v>
      </c>
      <c r="AM1306">
        <v>80.287740544027898</v>
      </c>
      <c r="AN1306">
        <v>1.00000005459736</v>
      </c>
    </row>
    <row r="1307" spans="1:40" x14ac:dyDescent="0.25">
      <c r="A1307" t="str">
        <f>"20190312160937934"</f>
        <v>20190312160937934</v>
      </c>
      <c r="B1307" t="str">
        <f>"1552378177926735"</f>
        <v>1552378177926735</v>
      </c>
      <c r="C1307" t="s">
        <v>40</v>
      </c>
      <c r="D1307">
        <v>5.9348530000000004</v>
      </c>
      <c r="E1307">
        <v>0.68956070000000003</v>
      </c>
      <c r="F1307" t="s">
        <v>42</v>
      </c>
      <c r="G1307">
        <v>-198.3639</v>
      </c>
      <c r="H1307">
        <v>1.2345489999999999</v>
      </c>
      <c r="I1307">
        <v>290.84519999999998</v>
      </c>
      <c r="J1307">
        <v>-197.87520000000001</v>
      </c>
      <c r="K1307">
        <v>1.1081110000000001</v>
      </c>
      <c r="L1307">
        <v>290.82819999999998</v>
      </c>
      <c r="M1307">
        <v>-0.55821569999999898</v>
      </c>
      <c r="N1307">
        <v>0</v>
      </c>
      <c r="O1307">
        <v>-0.82953920000000003</v>
      </c>
      <c r="P1307">
        <v>-0.69274199999999997</v>
      </c>
      <c r="Q1307">
        <v>-4.6864999999999997E-2</v>
      </c>
      <c r="R1307">
        <v>-0.719661199999999</v>
      </c>
      <c r="S1307">
        <v>-3.220367</v>
      </c>
      <c r="T1307">
        <v>0.60370119999999905</v>
      </c>
      <c r="U1307">
        <v>-1.144501</v>
      </c>
      <c r="V1307">
        <v>0.17273769999999999</v>
      </c>
      <c r="W1307">
        <v>-3.2165140000000002E-2</v>
      </c>
      <c r="X1307">
        <v>0.9844425</v>
      </c>
      <c r="Y1307">
        <v>0.57789869999999899</v>
      </c>
      <c r="Z1307">
        <v>-0.17606269999999999</v>
      </c>
      <c r="AA1307">
        <v>0.79689089999999996</v>
      </c>
      <c r="AB1307">
        <v>16</v>
      </c>
      <c r="AC1307">
        <v>-0.48869999999999397</v>
      </c>
      <c r="AD1307">
        <v>0.126437999999999</v>
      </c>
      <c r="AE1307">
        <v>1.69999999999959E-2</v>
      </c>
      <c r="AF1307">
        <v>0.38893638134394998</v>
      </c>
      <c r="AG1307">
        <v>0.126437999999999</v>
      </c>
      <c r="AH1307">
        <v>0.24251753912494201</v>
      </c>
      <c r="AI1307">
        <v>74.578285175463506</v>
      </c>
      <c r="AJ1307">
        <v>31.945205289962601</v>
      </c>
      <c r="AK1307">
        <v>0.47547116985170002</v>
      </c>
      <c r="AL1307">
        <v>91.843244749006601</v>
      </c>
      <c r="AM1307">
        <v>80.047764708106996</v>
      </c>
      <c r="AN1307">
        <v>0.999999972519379</v>
      </c>
    </row>
    <row r="1308" spans="1:40" x14ac:dyDescent="0.25">
      <c r="A1308" t="str">
        <f>"20190312160937976"</f>
        <v>20190312160937976</v>
      </c>
      <c r="B1308" t="str">
        <f>"1552378177966983"</f>
        <v>1552378177966983</v>
      </c>
      <c r="C1308" t="s">
        <v>40</v>
      </c>
      <c r="D1308">
        <v>5.2674260000000004</v>
      </c>
      <c r="E1308">
        <v>0.68284449999999997</v>
      </c>
      <c r="F1308" t="s">
        <v>42</v>
      </c>
      <c r="G1308">
        <v>-198.4845</v>
      </c>
      <c r="H1308">
        <v>1.2375400000000001</v>
      </c>
      <c r="I1308">
        <v>290.60950000000003</v>
      </c>
      <c r="J1308">
        <v>-198.04040000000001</v>
      </c>
      <c r="K1308">
        <v>1.1096079999999999</v>
      </c>
      <c r="L1308">
        <v>290.6123</v>
      </c>
      <c r="M1308">
        <v>-0.56805550000000005</v>
      </c>
      <c r="N1308">
        <v>0</v>
      </c>
      <c r="O1308">
        <v>-0.8227603</v>
      </c>
      <c r="P1308">
        <v>-0.70510629999999996</v>
      </c>
      <c r="Q1308">
        <v>-5.4427490000000002E-2</v>
      </c>
      <c r="R1308">
        <v>-0.70701000000000003</v>
      </c>
      <c r="S1308">
        <v>-3.1876980000000001</v>
      </c>
      <c r="T1308">
        <v>0.67712459999999997</v>
      </c>
      <c r="U1308">
        <v>-1.144196</v>
      </c>
      <c r="V1308">
        <v>0.1783814</v>
      </c>
      <c r="W1308">
        <v>-3.6120119999999999E-2</v>
      </c>
      <c r="X1308">
        <v>0.98329820000000001</v>
      </c>
      <c r="Y1308">
        <v>0.56128029999999995</v>
      </c>
      <c r="Z1308">
        <v>-0.196743</v>
      </c>
      <c r="AA1308">
        <v>0.80390099999999998</v>
      </c>
      <c r="AB1308">
        <v>15</v>
      </c>
      <c r="AC1308">
        <v>-0.444099999999991</v>
      </c>
      <c r="AD1308">
        <v>0.12793199999999899</v>
      </c>
      <c r="AE1308">
        <v>-2.7999999999792601E-3</v>
      </c>
      <c r="AF1308">
        <v>0.33598566603975499</v>
      </c>
      <c r="AG1308">
        <v>0.12793199999999899</v>
      </c>
      <c r="AH1308">
        <v>0.235115223830871</v>
      </c>
      <c r="AI1308">
        <v>72.673724963383194</v>
      </c>
      <c r="AJ1308">
        <v>34.983465040790101</v>
      </c>
      <c r="AK1308">
        <v>0.42957203457070903</v>
      </c>
      <c r="AL1308">
        <v>92.069980767736197</v>
      </c>
      <c r="AM1308">
        <v>79.717722021536503</v>
      </c>
      <c r="AN1308">
        <v>0.99999996852900597</v>
      </c>
    </row>
    <row r="1309" spans="1:40" x14ac:dyDescent="0.25">
      <c r="A1309" t="str">
        <f>"20190312160938002"</f>
        <v>20190312160938002</v>
      </c>
      <c r="B1309" t="str">
        <f>"1552378177996265"</f>
        <v>1552378177996265</v>
      </c>
      <c r="C1309" t="s">
        <v>40</v>
      </c>
      <c r="D1309">
        <v>5.9607999999999999</v>
      </c>
      <c r="E1309">
        <v>0.67820389999999997</v>
      </c>
      <c r="F1309" t="s">
        <v>42</v>
      </c>
      <c r="G1309">
        <v>-198.62690000000001</v>
      </c>
      <c r="H1309">
        <v>1.228324</v>
      </c>
      <c r="I1309">
        <v>290.40350000000001</v>
      </c>
      <c r="J1309">
        <v>-198.13470000000001</v>
      </c>
      <c r="K1309">
        <v>1.1100749999999999</v>
      </c>
      <c r="L1309">
        <v>290.4905</v>
      </c>
      <c r="M1309">
        <v>-0.57353369999999904</v>
      </c>
      <c r="N1309">
        <v>0</v>
      </c>
      <c r="O1309">
        <v>-0.81890350000000001</v>
      </c>
      <c r="P1309">
        <v>-0.71169510000000002</v>
      </c>
      <c r="Q1309">
        <v>-5.7198800000000001E-2</v>
      </c>
      <c r="R1309">
        <v>-0.70015620000000001</v>
      </c>
      <c r="S1309">
        <v>-3.1715390000000001</v>
      </c>
      <c r="T1309">
        <v>0.6419648</v>
      </c>
      <c r="U1309">
        <v>-1.129669</v>
      </c>
      <c r="V1309">
        <v>0.1811362</v>
      </c>
      <c r="W1309">
        <v>-3.6967769999999997E-2</v>
      </c>
      <c r="X1309">
        <v>0.98276300000000005</v>
      </c>
      <c r="Y1309">
        <v>0.55971369999999998</v>
      </c>
      <c r="Z1309">
        <v>-0.18736249999999999</v>
      </c>
      <c r="AA1309">
        <v>0.80722729999999998</v>
      </c>
      <c r="AB1309">
        <v>14</v>
      </c>
      <c r="AC1309">
        <v>-0.49219999999999597</v>
      </c>
      <c r="AD1309">
        <v>0.11824900000000001</v>
      </c>
      <c r="AE1309">
        <v>-8.6999999999989003E-2</v>
      </c>
      <c r="AF1309">
        <v>0.33452432210543898</v>
      </c>
      <c r="AG1309">
        <v>0.11824900000000001</v>
      </c>
      <c r="AH1309">
        <v>0.33487575794284402</v>
      </c>
      <c r="AI1309">
        <v>75.973480562213595</v>
      </c>
      <c r="AJ1309">
        <v>45.030080349559398</v>
      </c>
      <c r="AK1309">
        <v>0.48788433192601899</v>
      </c>
      <c r="AL1309">
        <v>92.118579877219105</v>
      </c>
      <c r="AM1309">
        <v>79.556834681909706</v>
      </c>
      <c r="AN1309">
        <v>1.0000000265691</v>
      </c>
    </row>
    <row r="1310" spans="1:40" x14ac:dyDescent="0.25">
      <c r="A1310" t="str">
        <f>"20190312160938023"</f>
        <v>20190312160938023</v>
      </c>
      <c r="B1310" t="str">
        <f>"1552378178016760"</f>
        <v>1552378178016760</v>
      </c>
      <c r="C1310" t="s">
        <v>40</v>
      </c>
      <c r="D1310">
        <v>5.9636040000000001</v>
      </c>
      <c r="E1310">
        <v>0.65669690000000003</v>
      </c>
      <c r="F1310" t="s">
        <v>42</v>
      </c>
      <c r="G1310">
        <v>-198.68190000000001</v>
      </c>
      <c r="H1310">
        <v>1.2175129999999901</v>
      </c>
      <c r="I1310">
        <v>290.29520000000002</v>
      </c>
      <c r="J1310">
        <v>-198.21799999999999</v>
      </c>
      <c r="K1310">
        <v>1.1098950000000001</v>
      </c>
      <c r="L1310">
        <v>290.38479999999998</v>
      </c>
      <c r="M1310">
        <v>-0.57922890000000005</v>
      </c>
      <c r="N1310">
        <v>0</v>
      </c>
      <c r="O1310">
        <v>-0.81485099999999999</v>
      </c>
      <c r="P1310">
        <v>-0.71798879999999998</v>
      </c>
      <c r="Q1310">
        <v>-5.8008900000000002E-2</v>
      </c>
      <c r="R1310">
        <v>-0.69363369999999902</v>
      </c>
      <c r="S1310">
        <v>-3.1562039999999998</v>
      </c>
      <c r="T1310">
        <v>0.61965269999999995</v>
      </c>
      <c r="U1310">
        <v>-1.127167</v>
      </c>
      <c r="V1310">
        <v>0.18315400000000001</v>
      </c>
      <c r="W1310">
        <v>-3.6667709999999999E-2</v>
      </c>
      <c r="X1310">
        <v>0.98240019999999995</v>
      </c>
      <c r="Y1310">
        <v>0.55453369999999902</v>
      </c>
      <c r="Z1310">
        <v>-0.18103230000000001</v>
      </c>
      <c r="AA1310">
        <v>0.81223140000000005</v>
      </c>
      <c r="AB1310">
        <v>14</v>
      </c>
      <c r="AC1310">
        <v>-0.46390000000002302</v>
      </c>
      <c r="AD1310">
        <v>0.10761799999999901</v>
      </c>
      <c r="AE1310">
        <v>-8.9599999999961696E-2</v>
      </c>
      <c r="AF1310">
        <v>0.31010514433781899</v>
      </c>
      <c r="AG1310">
        <v>0.10761799999999901</v>
      </c>
      <c r="AH1310">
        <v>0.32494375241080697</v>
      </c>
      <c r="AI1310">
        <v>76.526315140509794</v>
      </c>
      <c r="AJ1310">
        <v>46.338534629845199</v>
      </c>
      <c r="AK1310">
        <v>0.46188231910259903</v>
      </c>
      <c r="AL1310">
        <v>92.101376032832803</v>
      </c>
      <c r="AM1310">
        <v>79.439291376849297</v>
      </c>
      <c r="AN1310">
        <v>1.0000000308163399</v>
      </c>
    </row>
    <row r="1311" spans="1:40" x14ac:dyDescent="0.25">
      <c r="A1311" t="str">
        <f>"20190312160938066"</f>
        <v>20190312160938066</v>
      </c>
      <c r="B1311" t="str">
        <f>"1552378178056776"</f>
        <v>1552378178056776</v>
      </c>
      <c r="C1311" t="s">
        <v>40</v>
      </c>
      <c r="D1311">
        <v>5.1166429999999998</v>
      </c>
      <c r="E1311">
        <v>0.65205500000000005</v>
      </c>
      <c r="F1311" t="s">
        <v>42</v>
      </c>
      <c r="G1311">
        <v>-198.72540000000001</v>
      </c>
      <c r="H1311">
        <v>1.2028719999999999</v>
      </c>
      <c r="I1311">
        <v>290.18119999999999</v>
      </c>
      <c r="J1311">
        <v>-198.3818</v>
      </c>
      <c r="K1311">
        <v>1.107477</v>
      </c>
      <c r="L1311">
        <v>290.18680000000001</v>
      </c>
      <c r="M1311">
        <v>-0.59288169999999996</v>
      </c>
      <c r="N1311">
        <v>0</v>
      </c>
      <c r="O1311">
        <v>-0.80499009999999904</v>
      </c>
      <c r="P1311">
        <v>-0.7327302</v>
      </c>
      <c r="Q1311">
        <v>-5.6795850000000002E-2</v>
      </c>
      <c r="R1311">
        <v>-0.678145199999999</v>
      </c>
      <c r="S1311">
        <v>-3.0436550000000002</v>
      </c>
      <c r="T1311">
        <v>0.55769040000000003</v>
      </c>
      <c r="U1311">
        <v>-1.2211609999999999</v>
      </c>
      <c r="V1311">
        <v>0.18749150000000001</v>
      </c>
      <c r="W1311">
        <v>-3.6979650000000003E-2</v>
      </c>
      <c r="X1311">
        <v>0.9815699</v>
      </c>
      <c r="Y1311">
        <v>0.51170909999999903</v>
      </c>
      <c r="Z1311">
        <v>-0.16305790000000001</v>
      </c>
      <c r="AA1311">
        <v>0.84354370000000001</v>
      </c>
      <c r="AB1311">
        <v>13</v>
      </c>
      <c r="AC1311">
        <v>-0.34360000000000901</v>
      </c>
      <c r="AD1311">
        <v>9.5394999999999897E-2</v>
      </c>
      <c r="AE1311">
        <v>-5.6000000000153696E-3</v>
      </c>
      <c r="AF1311">
        <v>0.25378377213735898</v>
      </c>
      <c r="AG1311">
        <v>9.5394999999999897E-2</v>
      </c>
      <c r="AH1311">
        <v>0.19337112211427801</v>
      </c>
      <c r="AI1311">
        <v>73.353931357646502</v>
      </c>
      <c r="AJ1311">
        <v>37.305670608726501</v>
      </c>
      <c r="AK1311">
        <v>0.333014714228969</v>
      </c>
      <c r="AL1311">
        <v>92.119261045915493</v>
      </c>
      <c r="AM1311">
        <v>79.186087557284594</v>
      </c>
      <c r="AN1311">
        <v>1.0000000128361901</v>
      </c>
    </row>
    <row r="1312" spans="1:40" x14ac:dyDescent="0.25">
      <c r="A1312" t="str">
        <f>"20190312160938088"</f>
        <v>20190312160938088</v>
      </c>
      <c r="B1312" t="str">
        <f>"1552378178076296"</f>
        <v>1552378178076296</v>
      </c>
      <c r="C1312" t="s">
        <v>40</v>
      </c>
      <c r="D1312">
        <v>6.0827819999999999</v>
      </c>
      <c r="E1312">
        <v>0.65125029999999995</v>
      </c>
      <c r="F1312" t="s">
        <v>42</v>
      </c>
      <c r="G1312">
        <v>-199.0078</v>
      </c>
      <c r="H1312">
        <v>1.21872</v>
      </c>
      <c r="I1312">
        <v>289.94299999999998</v>
      </c>
      <c r="J1312">
        <v>-198.47059999999999</v>
      </c>
      <c r="K1312">
        <v>1.10643</v>
      </c>
      <c r="L1312">
        <v>290.08550000000002</v>
      </c>
      <c r="M1312">
        <v>-0.5999951</v>
      </c>
      <c r="N1312">
        <v>0</v>
      </c>
      <c r="O1312">
        <v>-0.79972639999999995</v>
      </c>
      <c r="P1312">
        <v>-0.74050039999999995</v>
      </c>
      <c r="Q1312">
        <v>-5.6597830000000002E-2</v>
      </c>
      <c r="R1312">
        <v>-0.66966870000000001</v>
      </c>
      <c r="S1312">
        <v>-3.03952</v>
      </c>
      <c r="T1312">
        <v>0.54008029999999996</v>
      </c>
      <c r="U1312">
        <v>-1.184906</v>
      </c>
      <c r="V1312">
        <v>0.19003639999999999</v>
      </c>
      <c r="W1312">
        <v>-3.8033829999999998E-2</v>
      </c>
      <c r="X1312">
        <v>0.98104009999999997</v>
      </c>
      <c r="Y1312">
        <v>0.51325639999999995</v>
      </c>
      <c r="Z1312">
        <v>-0.15838559999999999</v>
      </c>
      <c r="AA1312">
        <v>0.84349379999999996</v>
      </c>
      <c r="AB1312">
        <v>13</v>
      </c>
      <c r="AC1312">
        <v>-0.537200000000012</v>
      </c>
      <c r="AD1312">
        <v>0.11229</v>
      </c>
      <c r="AE1312">
        <v>-0.14250000000004001</v>
      </c>
      <c r="AF1312">
        <v>0.33069109249726503</v>
      </c>
      <c r="AG1312">
        <v>0.11229</v>
      </c>
      <c r="AH1312">
        <v>0.419260742885249</v>
      </c>
      <c r="AI1312">
        <v>78.124405992419298</v>
      </c>
      <c r="AJ1312">
        <v>51.735458305376604</v>
      </c>
      <c r="AK1312">
        <v>0.54566034607778302</v>
      </c>
      <c r="AL1312">
        <v>92.1797035788409</v>
      </c>
      <c r="AM1312">
        <v>79.037061652597899</v>
      </c>
      <c r="AN1312">
        <v>1.00000004167871</v>
      </c>
    </row>
    <row r="1313" spans="1:40" x14ac:dyDescent="0.25">
      <c r="A1313" t="str">
        <f>"20190312160938110"</f>
        <v>20190312160938110</v>
      </c>
      <c r="B1313" t="str">
        <f>"1552378178106552"</f>
        <v>1552378178106552</v>
      </c>
      <c r="C1313" t="s">
        <v>40</v>
      </c>
      <c r="D1313">
        <v>4.6041499999999997</v>
      </c>
      <c r="E1313">
        <v>0.600365699999999</v>
      </c>
      <c r="F1313" t="s">
        <v>42</v>
      </c>
      <c r="G1313">
        <v>-199.08529999999999</v>
      </c>
      <c r="H1313">
        <v>1.2147650000000001</v>
      </c>
      <c r="I1313">
        <v>289.85219999999998</v>
      </c>
      <c r="J1313">
        <v>-198.5624</v>
      </c>
      <c r="K1313">
        <v>1.106088</v>
      </c>
      <c r="L1313">
        <v>289.9837</v>
      </c>
      <c r="M1313">
        <v>-0.60710439999999999</v>
      </c>
      <c r="N1313">
        <v>0</v>
      </c>
      <c r="O1313">
        <v>-0.79436200000000001</v>
      </c>
      <c r="P1313">
        <v>-0.74819639999999998</v>
      </c>
      <c r="Q1313">
        <v>-5.6022559999999999E-2</v>
      </c>
      <c r="R1313">
        <v>-0.66110809999999998</v>
      </c>
      <c r="S1313">
        <v>-3.0466000000000002</v>
      </c>
      <c r="T1313">
        <v>0.53690360000000004</v>
      </c>
      <c r="U1313">
        <v>-1.156372</v>
      </c>
      <c r="V1313">
        <v>0.19259809999999999</v>
      </c>
      <c r="W1313">
        <v>-3.8260790000000003E-2</v>
      </c>
      <c r="X1313">
        <v>0.9805315</v>
      </c>
      <c r="Y1313">
        <v>0.5133858</v>
      </c>
      <c r="Z1313">
        <v>-0.15710629999999901</v>
      </c>
      <c r="AA1313">
        <v>0.84365429999999997</v>
      </c>
      <c r="AB1313">
        <v>13</v>
      </c>
      <c r="AC1313">
        <v>-0.52289999999999204</v>
      </c>
      <c r="AD1313">
        <v>0.108676999999999</v>
      </c>
      <c r="AE1313">
        <v>-0.13150000000001599</v>
      </c>
      <c r="AF1313">
        <v>0.32250489201735399</v>
      </c>
      <c r="AG1313">
        <v>0.108676999999999</v>
      </c>
      <c r="AH1313">
        <v>0.40552576202358898</v>
      </c>
      <c r="AI1313">
        <v>78.154061512177805</v>
      </c>
      <c r="AJ1313">
        <v>51.505613478131998</v>
      </c>
      <c r="AK1313">
        <v>0.52940649728628897</v>
      </c>
      <c r="AL1313">
        <v>92.192717059206601</v>
      </c>
      <c r="AM1313">
        <v>78.887314018988604</v>
      </c>
      <c r="AN1313">
        <v>0.99999996933364099</v>
      </c>
    </row>
    <row r="1314" spans="1:40" x14ac:dyDescent="0.25">
      <c r="A1314" t="str">
        <f>"20190312160938133"</f>
        <v>20190312160938133</v>
      </c>
      <c r="B1314" t="str">
        <f>"1552378178126072"</f>
        <v>1552378178126072</v>
      </c>
      <c r="C1314" t="s">
        <v>40</v>
      </c>
      <c r="D1314">
        <v>5.445112</v>
      </c>
      <c r="E1314">
        <v>0.62726190000000004</v>
      </c>
      <c r="F1314" t="s">
        <v>42</v>
      </c>
      <c r="G1314">
        <v>-199.15479999999999</v>
      </c>
      <c r="H1314">
        <v>1.1804399999999999</v>
      </c>
      <c r="I1314">
        <v>289.68299999999999</v>
      </c>
      <c r="J1314">
        <v>-198.66</v>
      </c>
      <c r="K1314">
        <v>1.106366</v>
      </c>
      <c r="L1314">
        <v>289.8775</v>
      </c>
      <c r="M1314">
        <v>-0.61481969999999997</v>
      </c>
      <c r="N1314">
        <v>0</v>
      </c>
      <c r="O1314">
        <v>-0.78842179999999995</v>
      </c>
      <c r="P1314">
        <v>-0.75741819999999904</v>
      </c>
      <c r="Q1314">
        <v>-5.5498270000000002E-2</v>
      </c>
      <c r="R1314">
        <v>-0.65056689999999995</v>
      </c>
      <c r="S1314">
        <v>-2.7855829999999999</v>
      </c>
      <c r="T1314">
        <v>0.3496069</v>
      </c>
      <c r="U1314">
        <v>-1.4149480000000001</v>
      </c>
      <c r="V1314">
        <v>0.1968396</v>
      </c>
      <c r="W1314">
        <v>-3.8235409999999997E-2</v>
      </c>
      <c r="X1314">
        <v>0.97968980000000006</v>
      </c>
      <c r="Y1314">
        <v>0.41878969999999999</v>
      </c>
      <c r="Z1314">
        <v>-0.1028805</v>
      </c>
      <c r="AA1314">
        <v>0.90223660000000006</v>
      </c>
      <c r="AB1314">
        <v>13</v>
      </c>
      <c r="AC1314">
        <v>-0.49479999999999702</v>
      </c>
      <c r="AD1314">
        <v>7.4073999999999904E-2</v>
      </c>
      <c r="AE1314">
        <v>-0.194500000000005</v>
      </c>
      <c r="AF1314">
        <v>0.26542863209661399</v>
      </c>
      <c r="AG1314">
        <v>7.4073999999999904E-2</v>
      </c>
      <c r="AH1314">
        <v>0.44893482951957098</v>
      </c>
      <c r="AI1314">
        <v>81.916248199420494</v>
      </c>
      <c r="AJ1314">
        <v>59.406684185800302</v>
      </c>
      <c r="AK1314">
        <v>0.52676541018601997</v>
      </c>
      <c r="AL1314">
        <v>92.191261892928395</v>
      </c>
      <c r="AM1314">
        <v>78.639373485646303</v>
      </c>
      <c r="AN1314">
        <v>0.99999993946503196</v>
      </c>
    </row>
    <row r="1315" spans="1:40" x14ac:dyDescent="0.25">
      <c r="A1315" t="str">
        <f>"20190312160938158"</f>
        <v>20190312160938158</v>
      </c>
      <c r="B1315" t="str">
        <f>"1552378178146568"</f>
        <v>1552378178146568</v>
      </c>
      <c r="C1315" t="s">
        <v>40</v>
      </c>
      <c r="D1315">
        <v>5.4073209999999996</v>
      </c>
      <c r="E1315">
        <v>0.61421569999999903</v>
      </c>
      <c r="F1315" t="s">
        <v>61</v>
      </c>
      <c r="G1315">
        <v>-230.08770000000001</v>
      </c>
      <c r="H1315">
        <v>8.000177E-2</v>
      </c>
      <c r="I1315">
        <v>277.18290000000002</v>
      </c>
      <c r="J1315">
        <v>-198.7603</v>
      </c>
      <c r="K1315">
        <v>1.1069209999999901</v>
      </c>
      <c r="L1315">
        <v>289.76929999999999</v>
      </c>
      <c r="M1315">
        <v>-0.62303920000000002</v>
      </c>
      <c r="N1315">
        <v>0</v>
      </c>
      <c r="O1315">
        <v>-0.78195939999999997</v>
      </c>
      <c r="P1315">
        <v>-0.76635880000000001</v>
      </c>
      <c r="Q1315">
        <v>-5.5820050000000003E-2</v>
      </c>
      <c r="R1315">
        <v>-0.63998319999999997</v>
      </c>
      <c r="S1315">
        <v>-2.9353940000000001</v>
      </c>
      <c r="T1315">
        <v>-9.5864060000000001E-2</v>
      </c>
      <c r="U1315">
        <v>-1.1856990000000001</v>
      </c>
      <c r="V1315">
        <v>0.20023450000000001</v>
      </c>
      <c r="W1315">
        <v>-3.8933759999999998E-2</v>
      </c>
      <c r="X1315">
        <v>0.97897409999999996</v>
      </c>
      <c r="Y1315">
        <v>0.49132110000000001</v>
      </c>
      <c r="Z1315">
        <v>2.8628979999999998E-2</v>
      </c>
      <c r="AA1315">
        <v>0.8705079</v>
      </c>
      <c r="AB1315">
        <v>13</v>
      </c>
      <c r="AC1315">
        <v>-31.327400000000001</v>
      </c>
      <c r="AD1315">
        <v>-1.0269192299999901</v>
      </c>
      <c r="AE1315">
        <v>-12.5863999999999</v>
      </c>
      <c r="AF1315">
        <v>16.642549119358399</v>
      </c>
      <c r="AG1315">
        <v>-1.0269192299999901</v>
      </c>
      <c r="AH1315">
        <v>29.338418698939201</v>
      </c>
      <c r="AI1315">
        <v>91.743843940487693</v>
      </c>
      <c r="AJ1315">
        <v>60.435436043130402</v>
      </c>
      <c r="AK1315">
        <v>33.7456932963225</v>
      </c>
      <c r="AL1315">
        <v>92.231304107734303</v>
      </c>
      <c r="AM1315">
        <v>78.440442329923698</v>
      </c>
      <c r="AN1315">
        <v>0.99999999056439803</v>
      </c>
    </row>
    <row r="1316" spans="1:40" x14ac:dyDescent="0.25">
      <c r="A1316" t="str">
        <f>"20190312160938200"</f>
        <v>20190312160938200</v>
      </c>
      <c r="B1316" t="str">
        <f>"1552378178196344"</f>
        <v>1552378178196344</v>
      </c>
      <c r="C1316" t="s">
        <v>40</v>
      </c>
      <c r="D1316">
        <v>5.3755550000000003</v>
      </c>
      <c r="E1316">
        <v>0.59365769999999995</v>
      </c>
      <c r="F1316" t="s">
        <v>42</v>
      </c>
      <c r="G1316">
        <v>-199.3663</v>
      </c>
      <c r="H1316">
        <v>1.1782109999999999</v>
      </c>
      <c r="I1316">
        <v>289.50779999999997</v>
      </c>
      <c r="J1316">
        <v>-198.93430000000001</v>
      </c>
      <c r="K1316">
        <v>1.1075200000000001</v>
      </c>
      <c r="L1316">
        <v>289.58429999999998</v>
      </c>
      <c r="M1316">
        <v>-0.63685209999999903</v>
      </c>
      <c r="N1316">
        <v>0</v>
      </c>
      <c r="O1316">
        <v>-0.77077759999999995</v>
      </c>
      <c r="P1316">
        <v>-0.78091940000000004</v>
      </c>
      <c r="Q1316">
        <v>-6.0076520000000001E-2</v>
      </c>
      <c r="R1316">
        <v>-0.62173619999999996</v>
      </c>
      <c r="S1316">
        <v>-2.8950200000000001</v>
      </c>
      <c r="T1316">
        <v>0.3405068</v>
      </c>
      <c r="U1316">
        <v>-1.25061</v>
      </c>
      <c r="V1316">
        <v>0.2056972</v>
      </c>
      <c r="W1316">
        <v>-4.396274E-2</v>
      </c>
      <c r="X1316">
        <v>0.97762769999999999</v>
      </c>
      <c r="Y1316">
        <v>0.44946609999999998</v>
      </c>
      <c r="Z1316">
        <v>-9.9166829999999997E-2</v>
      </c>
      <c r="AA1316">
        <v>0.88777600000000001</v>
      </c>
      <c r="AB1316">
        <v>13</v>
      </c>
      <c r="AC1316">
        <v>-0.431999999999988</v>
      </c>
      <c r="AD1316">
        <v>7.0691000000000004E-2</v>
      </c>
      <c r="AE1316">
        <v>-7.6500000000009893E-2</v>
      </c>
      <c r="AF1316">
        <v>0.27710792303206899</v>
      </c>
      <c r="AG1316">
        <v>7.0691000000000004E-2</v>
      </c>
      <c r="AH1316">
        <v>0.32568265099865901</v>
      </c>
      <c r="AI1316">
        <v>80.613154384088105</v>
      </c>
      <c r="AJ1316">
        <v>49.607115942264699</v>
      </c>
      <c r="AK1316">
        <v>0.43342266628507298</v>
      </c>
      <c r="AL1316">
        <v>92.519691571532107</v>
      </c>
      <c r="AM1316">
        <v>78.118029224493597</v>
      </c>
      <c r="AN1316">
        <v>0.99999999020171804</v>
      </c>
    </row>
    <row r="1317" spans="1:40" x14ac:dyDescent="0.25">
      <c r="A1317" t="str">
        <f>"20190312160938223"</f>
        <v>20190312160938223</v>
      </c>
      <c r="B1317" t="str">
        <f>"1552378178216840"</f>
        <v>1552378178216840</v>
      </c>
      <c r="C1317" t="s">
        <v>40</v>
      </c>
      <c r="D1317">
        <v>6.2662110000000002</v>
      </c>
      <c r="E1317">
        <v>0.59666229999999998</v>
      </c>
      <c r="F1317" t="s">
        <v>69</v>
      </c>
      <c r="G1317">
        <v>-242.0461</v>
      </c>
      <c r="H1317">
        <v>4.9217629999999897</v>
      </c>
      <c r="I1317">
        <v>269.58609999999999</v>
      </c>
      <c r="J1317">
        <v>-199.0343</v>
      </c>
      <c r="K1317">
        <v>1.1075170000000001</v>
      </c>
      <c r="L1317">
        <v>289.48</v>
      </c>
      <c r="M1317">
        <v>-0.64411399999999996</v>
      </c>
      <c r="N1317">
        <v>0</v>
      </c>
      <c r="O1317">
        <v>-0.76473080000000004</v>
      </c>
      <c r="P1317">
        <v>-0.78828609999999999</v>
      </c>
      <c r="Q1317">
        <v>-6.1539940000000001E-2</v>
      </c>
      <c r="R1317">
        <v>-0.61222390000000004</v>
      </c>
      <c r="S1317">
        <v>-2.819534</v>
      </c>
      <c r="T1317">
        <v>0.24945349999999999</v>
      </c>
      <c r="U1317">
        <v>-1.3078920000000001</v>
      </c>
      <c r="V1317">
        <v>0.20820810000000001</v>
      </c>
      <c r="W1317">
        <v>-4.593622E-2</v>
      </c>
      <c r="X1317">
        <v>0.97700520000000002</v>
      </c>
      <c r="Y1317">
        <v>0.41973779999999999</v>
      </c>
      <c r="Z1317">
        <v>-7.2599380000000005E-2</v>
      </c>
      <c r="AA1317">
        <v>0.90473729999999997</v>
      </c>
      <c r="AB1317">
        <v>13</v>
      </c>
      <c r="AC1317">
        <v>-43.011800000000001</v>
      </c>
      <c r="AD1317">
        <v>3.8142459999999998</v>
      </c>
      <c r="AE1317">
        <v>-19.893899999999999</v>
      </c>
      <c r="AF1317">
        <v>19.9523072601412</v>
      </c>
      <c r="AG1317">
        <v>3.8142459999999998</v>
      </c>
      <c r="AH1317">
        <v>42.648223932016499</v>
      </c>
      <c r="AI1317">
        <v>85.368682522861405</v>
      </c>
      <c r="AJ1317">
        <v>64.928188788936794</v>
      </c>
      <c r="AK1317">
        <v>47.238903904589399</v>
      </c>
      <c r="AL1317">
        <v>92.632878160756405</v>
      </c>
      <c r="AM1317">
        <v>77.969747380059403</v>
      </c>
      <c r="AN1317">
        <v>0.99999995502026795</v>
      </c>
    </row>
    <row r="1318" spans="1:40" x14ac:dyDescent="0.25">
      <c r="A1318" t="str">
        <f>"20190312160938245"</f>
        <v>20190312160938245</v>
      </c>
      <c r="B1318" t="str">
        <f>"1552378178236361"</f>
        <v>1552378178236361</v>
      </c>
      <c r="C1318" t="s">
        <v>40</v>
      </c>
      <c r="D1318">
        <v>5.517023</v>
      </c>
      <c r="E1318">
        <v>0.60046060000000001</v>
      </c>
      <c r="F1318" t="s">
        <v>69</v>
      </c>
      <c r="G1318">
        <v>-244.1447</v>
      </c>
      <c r="H1318">
        <v>5.3976739999999896</v>
      </c>
      <c r="I1318">
        <v>269.58609999999999</v>
      </c>
      <c r="J1318">
        <v>-199.12639999999999</v>
      </c>
      <c r="K1318">
        <v>1.107378</v>
      </c>
      <c r="L1318">
        <v>289.3861</v>
      </c>
      <c r="M1318">
        <v>-0.65043519999999999</v>
      </c>
      <c r="N1318">
        <v>0</v>
      </c>
      <c r="O1318">
        <v>-0.75937089999999996</v>
      </c>
      <c r="P1318">
        <v>-0.79479180000000005</v>
      </c>
      <c r="Q1318">
        <v>-6.2007779999999998E-2</v>
      </c>
      <c r="R1318">
        <v>-0.60370639999999998</v>
      </c>
      <c r="S1318">
        <v>-2.8505549999999999</v>
      </c>
      <c r="T1318">
        <v>0.27109830000000001</v>
      </c>
      <c r="U1318">
        <v>-1.2571110000000001</v>
      </c>
      <c r="V1318">
        <v>0.2105708</v>
      </c>
      <c r="W1318">
        <v>-4.6883260000000003E-2</v>
      </c>
      <c r="X1318">
        <v>0.97645369999999998</v>
      </c>
      <c r="Y1318">
        <v>0.42882809999999999</v>
      </c>
      <c r="Z1318">
        <v>-7.8637150000000003E-2</v>
      </c>
      <c r="AA1318">
        <v>0.89995709999999995</v>
      </c>
      <c r="AB1318">
        <v>13</v>
      </c>
      <c r="AC1318">
        <v>-45.018300000000004</v>
      </c>
      <c r="AD1318">
        <v>4.2902959999999997</v>
      </c>
      <c r="AE1318">
        <v>-19.8</v>
      </c>
      <c r="AF1318">
        <v>21.149110520559301</v>
      </c>
      <c r="AG1318">
        <v>4.2902959999999997</v>
      </c>
      <c r="AH1318">
        <v>43.9886938775837</v>
      </c>
      <c r="AI1318">
        <v>84.976599800362493</v>
      </c>
      <c r="AJ1318">
        <v>64.322443739245699</v>
      </c>
      <c r="AK1318">
        <v>48.996905051586801</v>
      </c>
      <c r="AL1318">
        <v>92.687198063676604</v>
      </c>
      <c r="AM1318">
        <v>77.830608556700497</v>
      </c>
      <c r="AN1318">
        <v>0.99999996506227795</v>
      </c>
    </row>
    <row r="1319" spans="1:40" x14ac:dyDescent="0.25">
      <c r="A1319" t="str">
        <f>"20190312160938266"</f>
        <v>20190312160938266</v>
      </c>
      <c r="B1319" t="str">
        <f>"1552378178256856"</f>
        <v>1552378178256856</v>
      </c>
      <c r="C1319" t="s">
        <v>40</v>
      </c>
      <c r="D1319">
        <v>6.2868579999999996</v>
      </c>
      <c r="E1319">
        <v>0.60251560000000004</v>
      </c>
      <c r="F1319" t="s">
        <v>69</v>
      </c>
      <c r="G1319">
        <v>-248.30340000000001</v>
      </c>
      <c r="H1319">
        <v>5.9284730000000003</v>
      </c>
      <c r="I1319">
        <v>268.85500000000002</v>
      </c>
      <c r="J1319">
        <v>-199.2174</v>
      </c>
      <c r="K1319">
        <v>1.107227</v>
      </c>
      <c r="L1319">
        <v>289.29500000000002</v>
      </c>
      <c r="M1319">
        <v>-0.65657189999999999</v>
      </c>
      <c r="N1319">
        <v>0</v>
      </c>
      <c r="O1319">
        <v>-0.7540791</v>
      </c>
      <c r="P1319">
        <v>-0.80095850000000002</v>
      </c>
      <c r="Q1319">
        <v>-6.2183879999999997E-2</v>
      </c>
      <c r="R1319">
        <v>-0.59548239999999997</v>
      </c>
      <c r="S1319">
        <v>-2.8825069999999999</v>
      </c>
      <c r="T1319">
        <v>0.28258870000000003</v>
      </c>
      <c r="U1319">
        <v>-1.20343</v>
      </c>
      <c r="V1319">
        <v>0.2126884</v>
      </c>
      <c r="W1319">
        <v>-4.7505020000000002E-2</v>
      </c>
      <c r="X1319">
        <v>0.97596459999999996</v>
      </c>
      <c r="Y1319">
        <v>0.43904949999999998</v>
      </c>
      <c r="Z1319">
        <v>-8.1741549999999996E-2</v>
      </c>
      <c r="AA1319">
        <v>0.8947368</v>
      </c>
      <c r="AB1319">
        <v>13</v>
      </c>
      <c r="AC1319">
        <v>-49.085999999999999</v>
      </c>
      <c r="AD1319">
        <v>4.8212459999999897</v>
      </c>
      <c r="AE1319">
        <v>-20.440000000000001</v>
      </c>
      <c r="AF1319">
        <v>23.405248825470402</v>
      </c>
      <c r="AG1319">
        <v>4.8212459999999897</v>
      </c>
      <c r="AH1319">
        <v>47.259936489691903</v>
      </c>
      <c r="AI1319">
        <v>84.776616118861995</v>
      </c>
      <c r="AJ1319">
        <v>63.653314710831197</v>
      </c>
      <c r="AK1319">
        <v>52.958018114204599</v>
      </c>
      <c r="AL1319">
        <v>92.722861956585405</v>
      </c>
      <c r="AM1319">
        <v>77.705957223356293</v>
      </c>
      <c r="AN1319">
        <v>0.99999999143646001</v>
      </c>
    </row>
    <row r="1320" spans="1:40" x14ac:dyDescent="0.25">
      <c r="A1320" t="str">
        <f>"20190312160938289"</f>
        <v>20190312160938289</v>
      </c>
      <c r="B1320" t="str">
        <f>"1552378178287112"</f>
        <v>1552378178287112</v>
      </c>
      <c r="C1320" t="s">
        <v>40</v>
      </c>
      <c r="D1320">
        <v>6.2307360000000003</v>
      </c>
      <c r="E1320">
        <v>0.60431840000000003</v>
      </c>
      <c r="F1320" t="s">
        <v>69</v>
      </c>
      <c r="G1320">
        <v>-249.88990000000001</v>
      </c>
      <c r="H1320">
        <v>6.0961379999999998</v>
      </c>
      <c r="I1320">
        <v>269.0299</v>
      </c>
      <c r="J1320">
        <v>-199.3134</v>
      </c>
      <c r="K1320">
        <v>1.1071279999999999</v>
      </c>
      <c r="L1320">
        <v>289.20100000000002</v>
      </c>
      <c r="M1320">
        <v>-0.6630239</v>
      </c>
      <c r="N1320">
        <v>0</v>
      </c>
      <c r="O1320">
        <v>-0.74841959999999996</v>
      </c>
      <c r="P1320">
        <v>-0.8069712</v>
      </c>
      <c r="Q1320">
        <v>-6.2913930000000007E-2</v>
      </c>
      <c r="R1320">
        <v>-0.58723000000000003</v>
      </c>
      <c r="S1320">
        <v>-2.9042210000000002</v>
      </c>
      <c r="T1320">
        <v>0.28593239999999998</v>
      </c>
      <c r="U1320">
        <v>-1.1614690000000001</v>
      </c>
      <c r="V1320">
        <v>0.2142645</v>
      </c>
      <c r="W1320">
        <v>-4.8632359999999999E-2</v>
      </c>
      <c r="X1320">
        <v>0.97556419999999999</v>
      </c>
      <c r="Y1320">
        <v>0.4447276</v>
      </c>
      <c r="Z1320">
        <v>-8.2416169999999997E-2</v>
      </c>
      <c r="AA1320">
        <v>0.89186599999999905</v>
      </c>
      <c r="AB1320">
        <v>13</v>
      </c>
      <c r="AC1320">
        <v>-50.576500000000003</v>
      </c>
      <c r="AD1320">
        <v>4.9890100000000004</v>
      </c>
      <c r="AE1320">
        <v>-20.1710999999999</v>
      </c>
      <c r="AF1320">
        <v>24.277980316306401</v>
      </c>
      <c r="AG1320">
        <v>4.9890100000000004</v>
      </c>
      <c r="AH1320">
        <v>48.231470851112498</v>
      </c>
      <c r="AI1320">
        <v>84.721206221849897</v>
      </c>
      <c r="AJ1320">
        <v>63.2809674725736</v>
      </c>
      <c r="AK1320">
        <v>54.227164129067098</v>
      </c>
      <c r="AL1320">
        <v>92.787528665680199</v>
      </c>
      <c r="AM1320">
        <v>77.612729011867501</v>
      </c>
      <c r="AN1320">
        <v>0.99999994536052805</v>
      </c>
    </row>
    <row r="1321" spans="1:40" x14ac:dyDescent="0.25">
      <c r="A1321" t="str">
        <f>"20190312160938313"</f>
        <v>20190312160938313</v>
      </c>
      <c r="B1321" t="str">
        <f>"1552378178306632"</f>
        <v>1552378178306632</v>
      </c>
      <c r="C1321" t="s">
        <v>40</v>
      </c>
      <c r="D1321">
        <v>6.0948449999999896</v>
      </c>
      <c r="E1321">
        <v>0.64412930000000002</v>
      </c>
      <c r="F1321" t="s">
        <v>69</v>
      </c>
      <c r="G1321">
        <v>-251.62180000000001</v>
      </c>
      <c r="H1321">
        <v>6.2389849999999996</v>
      </c>
      <c r="I1321">
        <v>269.1576</v>
      </c>
      <c r="J1321">
        <v>-199.41470000000001</v>
      </c>
      <c r="K1321">
        <v>1.1071040000000001</v>
      </c>
      <c r="L1321">
        <v>289.1035</v>
      </c>
      <c r="M1321">
        <v>-0.66983210000000004</v>
      </c>
      <c r="N1321">
        <v>0</v>
      </c>
      <c r="O1321">
        <v>-0.74233930000000004</v>
      </c>
      <c r="P1321">
        <v>-0.81376040000000005</v>
      </c>
      <c r="Q1321">
        <v>-6.3373460000000006E-2</v>
      </c>
      <c r="R1321">
        <v>-0.5777352</v>
      </c>
      <c r="S1321">
        <v>-2.924515</v>
      </c>
      <c r="T1321">
        <v>0.28691739999999999</v>
      </c>
      <c r="U1321">
        <v>-1.1206050000000001</v>
      </c>
      <c r="V1321">
        <v>0.21674959999999999</v>
      </c>
      <c r="W1321">
        <v>-4.9429609999999999E-2</v>
      </c>
      <c r="X1321">
        <v>0.97497500000000004</v>
      </c>
      <c r="Y1321">
        <v>0.44949489999999998</v>
      </c>
      <c r="Z1321">
        <v>-8.2358269999999997E-2</v>
      </c>
      <c r="AA1321">
        <v>0.889478199999999</v>
      </c>
      <c r="AB1321">
        <v>13</v>
      </c>
      <c r="AC1321">
        <v>-52.207099999999997</v>
      </c>
      <c r="AD1321">
        <v>5.1318809999999999</v>
      </c>
      <c r="AE1321">
        <v>-19.945899999999899</v>
      </c>
      <c r="AF1321">
        <v>25.185882436050299</v>
      </c>
      <c r="AG1321">
        <v>5.1318809999999999</v>
      </c>
      <c r="AH1321">
        <v>49.366769339429197</v>
      </c>
      <c r="AI1321">
        <v>84.709535117942195</v>
      </c>
      <c r="AJ1321">
        <v>62.970286064405798</v>
      </c>
      <c r="AK1321">
        <v>55.657369608104098</v>
      </c>
      <c r="AL1321">
        <v>92.833262685792107</v>
      </c>
      <c r="AM1321">
        <v>77.466236925955997</v>
      </c>
      <c r="AN1321">
        <v>0.99999996303495498</v>
      </c>
    </row>
    <row r="1322" spans="1:40" x14ac:dyDescent="0.25">
      <c r="A1322" t="str">
        <f>"20190312160938333"</f>
        <v>20190312160938333</v>
      </c>
      <c r="B1322" t="str">
        <f>"1552378178327127"</f>
        <v>1552378178327127</v>
      </c>
      <c r="C1322" t="s">
        <v>40</v>
      </c>
      <c r="D1322">
        <v>5.8686470000000002</v>
      </c>
      <c r="E1322">
        <v>0.65914240000000002</v>
      </c>
      <c r="F1322" t="s">
        <v>42</v>
      </c>
      <c r="G1322">
        <v>-200.0153</v>
      </c>
      <c r="H1322">
        <v>1.206323</v>
      </c>
      <c r="I1322">
        <v>288.9418</v>
      </c>
      <c r="J1322">
        <v>-199.5069</v>
      </c>
      <c r="K1322">
        <v>1.107132</v>
      </c>
      <c r="L1322">
        <v>289.01620000000003</v>
      </c>
      <c r="M1322">
        <v>-0.67598449999999999</v>
      </c>
      <c r="N1322">
        <v>0</v>
      </c>
      <c r="O1322">
        <v>-0.73674629999999997</v>
      </c>
      <c r="P1322">
        <v>-0.820070999999999</v>
      </c>
      <c r="Q1322">
        <v>-6.3529569999999994E-2</v>
      </c>
      <c r="R1322">
        <v>-0.56872480000000003</v>
      </c>
      <c r="S1322">
        <v>-3.1282809999999999</v>
      </c>
      <c r="T1322">
        <v>0.51680550000000003</v>
      </c>
      <c r="U1322">
        <v>-0.84310909999999994</v>
      </c>
      <c r="V1322">
        <v>0.21938270000000001</v>
      </c>
      <c r="W1322">
        <v>-4.982847E-2</v>
      </c>
      <c r="X1322">
        <v>0.97436560000000005</v>
      </c>
      <c r="Y1322">
        <v>0.52209589999999995</v>
      </c>
      <c r="Z1322">
        <v>-0.14677599999999999</v>
      </c>
      <c r="AA1322">
        <v>0.84016229999999903</v>
      </c>
      <c r="AB1322">
        <v>13</v>
      </c>
      <c r="AC1322">
        <v>-0.50839999999999397</v>
      </c>
      <c r="AD1322">
        <v>9.9191000000000001E-2</v>
      </c>
      <c r="AE1322">
        <v>-7.4400000000025501E-2</v>
      </c>
      <c r="AF1322">
        <v>0.31265712246226901</v>
      </c>
      <c r="AG1322">
        <v>9.9191000000000001E-2</v>
      </c>
      <c r="AH1322">
        <v>0.38421546360498299</v>
      </c>
      <c r="AI1322">
        <v>78.676709083160404</v>
      </c>
      <c r="AJ1322">
        <v>50.862866649412901</v>
      </c>
      <c r="AK1322">
        <v>0.50518793847495802</v>
      </c>
      <c r="AL1322">
        <v>92.856143817594301</v>
      </c>
      <c r="AM1322">
        <v>77.311196705370705</v>
      </c>
      <c r="AN1322">
        <v>0.99999998397259504</v>
      </c>
    </row>
    <row r="1323" spans="1:40" x14ac:dyDescent="0.25">
      <c r="A1323" t="str">
        <f>"20190312160938358"</f>
        <v>20190312160938358</v>
      </c>
      <c r="B1323" t="str">
        <f>"1552378178346648"</f>
        <v>1552378178346648</v>
      </c>
      <c r="C1323" t="s">
        <v>40</v>
      </c>
      <c r="D1323">
        <v>5.9165510000000001</v>
      </c>
      <c r="E1323">
        <v>0.66340080000000001</v>
      </c>
      <c r="F1323" t="s">
        <v>42</v>
      </c>
      <c r="G1323">
        <v>-200.1198</v>
      </c>
      <c r="H1323">
        <v>1.2192730000000001</v>
      </c>
      <c r="I1323">
        <v>288.87970000000001</v>
      </c>
      <c r="J1323">
        <v>-199.61250000000001</v>
      </c>
      <c r="K1323">
        <v>1.107181</v>
      </c>
      <c r="L1323">
        <v>288.91820000000001</v>
      </c>
      <c r="M1323">
        <v>-0.68296959999999995</v>
      </c>
      <c r="N1323">
        <v>0</v>
      </c>
      <c r="O1323">
        <v>-0.73028040000000005</v>
      </c>
      <c r="P1323">
        <v>-0.82693050000000001</v>
      </c>
      <c r="Q1323">
        <v>-6.4040899999999998E-2</v>
      </c>
      <c r="R1323">
        <v>-0.55864590000000003</v>
      </c>
      <c r="S1323">
        <v>-3.2078859999999998</v>
      </c>
      <c r="T1323">
        <v>0.58691309999999997</v>
      </c>
      <c r="U1323">
        <v>-0.71490480000000001</v>
      </c>
      <c r="V1323">
        <v>0.22199940000000001</v>
      </c>
      <c r="W1323">
        <v>-5.0563959999999998E-2</v>
      </c>
      <c r="X1323">
        <v>0.97373489999999996</v>
      </c>
      <c r="Y1323">
        <v>0.54700799999999905</v>
      </c>
      <c r="Z1323">
        <v>-0.165195799999999</v>
      </c>
      <c r="AA1323">
        <v>0.82066600000000001</v>
      </c>
      <c r="AB1323">
        <v>13</v>
      </c>
      <c r="AC1323">
        <v>-0.50729999999998598</v>
      </c>
      <c r="AD1323">
        <v>0.112092</v>
      </c>
      <c r="AE1323">
        <v>-3.8499999999999E-2</v>
      </c>
      <c r="AF1323">
        <v>0.328282960623628</v>
      </c>
      <c r="AG1323">
        <v>0.112092</v>
      </c>
      <c r="AH1323">
        <v>0.35728802449774499</v>
      </c>
      <c r="AI1323">
        <v>76.991763519693293</v>
      </c>
      <c r="AJ1323">
        <v>47.422618935707703</v>
      </c>
      <c r="AK1323">
        <v>0.49798499088759302</v>
      </c>
      <c r="AL1323">
        <v>92.898337286404498</v>
      </c>
      <c r="AM1323">
        <v>77.1567971509035</v>
      </c>
      <c r="AN1323">
        <v>1.0000000515646199</v>
      </c>
    </row>
    <row r="1324" spans="1:40" x14ac:dyDescent="0.25">
      <c r="A1324" t="str">
        <f>"20190312160938380"</f>
        <v>20190312160938380</v>
      </c>
      <c r="B1324" t="str">
        <f>"1552378178376903"</f>
        <v>1552378178376903</v>
      </c>
      <c r="C1324" t="s">
        <v>40</v>
      </c>
      <c r="D1324">
        <v>6.0859740000000002</v>
      </c>
      <c r="E1324">
        <v>0.66428229999999999</v>
      </c>
      <c r="F1324" t="s">
        <v>42</v>
      </c>
      <c r="G1324">
        <v>-200.2037</v>
      </c>
      <c r="H1324">
        <v>1.2185029999999999</v>
      </c>
      <c r="I1324">
        <v>288.79950000000002</v>
      </c>
      <c r="J1324">
        <v>-199.7097</v>
      </c>
      <c r="K1324">
        <v>1.1072150000000001</v>
      </c>
      <c r="L1324">
        <v>288.82960000000003</v>
      </c>
      <c r="M1324">
        <v>-0.68931909999999996</v>
      </c>
      <c r="N1324">
        <v>0</v>
      </c>
      <c r="O1324">
        <v>-0.72429399999999999</v>
      </c>
      <c r="P1324">
        <v>-0.83276489999999903</v>
      </c>
      <c r="Q1324">
        <v>-6.4940269999999994E-2</v>
      </c>
      <c r="R1324">
        <v>-0.5498054</v>
      </c>
      <c r="S1324">
        <v>-3.2357179999999999</v>
      </c>
      <c r="T1324">
        <v>0.609288099999999</v>
      </c>
      <c r="U1324">
        <v>-0.65032959999999995</v>
      </c>
      <c r="V1324">
        <v>0.2238165</v>
      </c>
      <c r="W1324">
        <v>-5.1639999999999998E-2</v>
      </c>
      <c r="X1324">
        <v>0.97326230000000002</v>
      </c>
      <c r="Y1324">
        <v>0.555674</v>
      </c>
      <c r="Z1324">
        <v>-0.17066609999999999</v>
      </c>
      <c r="AA1324">
        <v>0.81369499999999995</v>
      </c>
      <c r="AB1324">
        <v>13</v>
      </c>
      <c r="AC1324">
        <v>-0.493999999999999</v>
      </c>
      <c r="AD1324">
        <v>0.111288</v>
      </c>
      <c r="AE1324">
        <v>-3.0100000000004401E-2</v>
      </c>
      <c r="AF1324">
        <v>0.32086864082535599</v>
      </c>
      <c r="AG1324">
        <v>0.111288</v>
      </c>
      <c r="AH1324">
        <v>0.34492731433153301</v>
      </c>
      <c r="AI1324">
        <v>76.708570050289197</v>
      </c>
      <c r="AJ1324">
        <v>47.069494317608303</v>
      </c>
      <c r="AK1324">
        <v>0.484062553582774</v>
      </c>
      <c r="AL1324">
        <v>92.960070618265306</v>
      </c>
      <c r="AM1324">
        <v>77.049126950551596</v>
      </c>
      <c r="AN1324">
        <v>1.0000000099367601</v>
      </c>
    </row>
    <row r="1325" spans="1:40" x14ac:dyDescent="0.25">
      <c r="A1325" t="str">
        <f>"20190312160938401"</f>
        <v>20190312160938401</v>
      </c>
      <c r="B1325" t="str">
        <f>"1552378178396424"</f>
        <v>1552378178396424</v>
      </c>
      <c r="C1325" t="s">
        <v>40</v>
      </c>
      <c r="D1325">
        <v>6.0866850000000001</v>
      </c>
      <c r="E1325">
        <v>0.66294819999999999</v>
      </c>
      <c r="F1325" t="s">
        <v>42</v>
      </c>
      <c r="G1325">
        <v>-200.2885</v>
      </c>
      <c r="H1325">
        <v>1.216844</v>
      </c>
      <c r="I1325">
        <v>288.72059999999999</v>
      </c>
      <c r="J1325">
        <v>-199.80269999999999</v>
      </c>
      <c r="K1325">
        <v>1.1072310000000001</v>
      </c>
      <c r="L1325">
        <v>288.74619999999999</v>
      </c>
      <c r="M1325">
        <v>-0.69534459999999998</v>
      </c>
      <c r="N1325">
        <v>0</v>
      </c>
      <c r="O1325">
        <v>-0.71851419999999999</v>
      </c>
      <c r="P1325">
        <v>-0.83795609999999998</v>
      </c>
      <c r="Q1325">
        <v>-6.6054360000000006E-2</v>
      </c>
      <c r="R1325">
        <v>-0.54172529999999997</v>
      </c>
      <c r="S1325">
        <v>-3.2460779999999998</v>
      </c>
      <c r="T1325">
        <v>0.6148207</v>
      </c>
      <c r="U1325">
        <v>-0.61242680000000005</v>
      </c>
      <c r="V1325">
        <v>0.22503049999999999</v>
      </c>
      <c r="W1325">
        <v>-5.2905679999999997E-2</v>
      </c>
      <c r="X1325">
        <v>0.97291430000000001</v>
      </c>
      <c r="Y1325">
        <v>0.5581853</v>
      </c>
      <c r="Z1325">
        <v>-0.17154140000000001</v>
      </c>
      <c r="AA1325">
        <v>0.81178989999999995</v>
      </c>
      <c r="AB1325">
        <v>13</v>
      </c>
      <c r="AC1325">
        <v>-0.485800000000011</v>
      </c>
      <c r="AD1325">
        <v>0.109613</v>
      </c>
      <c r="AE1325">
        <v>-2.5599999999997101E-2</v>
      </c>
      <c r="AF1325">
        <v>0.31528507745134399</v>
      </c>
      <c r="AG1325">
        <v>0.109613</v>
      </c>
      <c r="AH1325">
        <v>0.33902186953913499</v>
      </c>
      <c r="AI1325">
        <v>76.679875769566394</v>
      </c>
      <c r="AJ1325">
        <v>47.077651557422698</v>
      </c>
      <c r="AK1325">
        <v>0.475768344741756</v>
      </c>
      <c r="AL1325">
        <v>93.032688096807405</v>
      </c>
      <c r="AM1325">
        <v>76.976769246246704</v>
      </c>
      <c r="AN1325">
        <v>0.999999986025501</v>
      </c>
    </row>
    <row r="1326" spans="1:40" x14ac:dyDescent="0.25">
      <c r="A1326" t="str">
        <f>"20190312160938425"</f>
        <v>20190312160938425</v>
      </c>
      <c r="B1326" t="str">
        <f>"1552378178416919"</f>
        <v>1552378178416919</v>
      </c>
      <c r="C1326" t="s">
        <v>40</v>
      </c>
      <c r="D1326">
        <v>5.0704180000000001</v>
      </c>
      <c r="E1326">
        <v>0.66212660000000001</v>
      </c>
      <c r="F1326" t="s">
        <v>42</v>
      </c>
      <c r="G1326">
        <v>-200.37370000000001</v>
      </c>
      <c r="H1326">
        <v>1.2143120000000001</v>
      </c>
      <c r="I1326">
        <v>288.64240000000001</v>
      </c>
      <c r="J1326">
        <v>-199.91030000000001</v>
      </c>
      <c r="K1326">
        <v>1.1072280000000001</v>
      </c>
      <c r="L1326">
        <v>288.65159999999997</v>
      </c>
      <c r="M1326">
        <v>-0.70224180000000003</v>
      </c>
      <c r="N1326">
        <v>0</v>
      </c>
      <c r="O1326">
        <v>-0.71177800000000002</v>
      </c>
      <c r="P1326">
        <v>-0.84370429999999996</v>
      </c>
      <c r="Q1326">
        <v>-6.7934510000000004E-2</v>
      </c>
      <c r="R1326">
        <v>-0.53249259999999998</v>
      </c>
      <c r="S1326">
        <v>-3.2455599999999998</v>
      </c>
      <c r="T1326">
        <v>0.60868199999999995</v>
      </c>
      <c r="U1326">
        <v>-0.59176640000000003</v>
      </c>
      <c r="V1326">
        <v>0.2262081</v>
      </c>
      <c r="W1326">
        <v>-5.4944809999999997E-2</v>
      </c>
      <c r="X1326">
        <v>0.97252810000000001</v>
      </c>
      <c r="Y1326">
        <v>0.55568459999999997</v>
      </c>
      <c r="Z1326">
        <v>-0.16903189999999901</v>
      </c>
      <c r="AA1326">
        <v>0.81402869999999905</v>
      </c>
      <c r="AB1326">
        <v>13</v>
      </c>
      <c r="AC1326">
        <v>-0.46340000000000697</v>
      </c>
      <c r="AD1326">
        <v>0.107083999999999</v>
      </c>
      <c r="AE1326">
        <v>-9.1999999999643391E-3</v>
      </c>
      <c r="AF1326">
        <v>0.30702570176504401</v>
      </c>
      <c r="AG1326">
        <v>0.107083999999999</v>
      </c>
      <c r="AH1326">
        <v>0.31518125951166998</v>
      </c>
      <c r="AI1326">
        <v>76.321824885280904</v>
      </c>
      <c r="AJ1326">
        <v>45.750959584016002</v>
      </c>
      <c r="AK1326">
        <v>0.45284764650782999</v>
      </c>
      <c r="AL1326">
        <v>93.149691952684194</v>
      </c>
      <c r="AM1326">
        <v>76.905939795394204</v>
      </c>
      <c r="AN1326">
        <v>0.99999997097057702</v>
      </c>
    </row>
    <row r="1327" spans="1:40" x14ac:dyDescent="0.25">
      <c r="A1327" t="str">
        <f>"20190312160938447"</f>
        <v>20190312160938447</v>
      </c>
      <c r="B1327" t="str">
        <f>"1552378178436441"</f>
        <v>1552378178436441</v>
      </c>
      <c r="C1327" t="s">
        <v>40</v>
      </c>
      <c r="D1327">
        <v>6.0919919999999896</v>
      </c>
      <c r="E1327">
        <v>0.65796829999999995</v>
      </c>
      <c r="F1327" t="s">
        <v>42</v>
      </c>
      <c r="G1327">
        <v>-200.5909</v>
      </c>
      <c r="H1327">
        <v>1.2330460000000001</v>
      </c>
      <c r="I1327">
        <v>288.53370000000001</v>
      </c>
      <c r="J1327">
        <v>-200.00460000000001</v>
      </c>
      <c r="K1327">
        <v>1.1072150000000001</v>
      </c>
      <c r="L1327">
        <v>288.57040000000001</v>
      </c>
      <c r="M1327">
        <v>-0.70821080000000003</v>
      </c>
      <c r="N1327">
        <v>0</v>
      </c>
      <c r="O1327">
        <v>-0.70584139999999995</v>
      </c>
      <c r="P1327">
        <v>-0.84855440000000004</v>
      </c>
      <c r="Q1327">
        <v>-6.9019810000000001E-2</v>
      </c>
      <c r="R1327">
        <v>-0.52458769999999999</v>
      </c>
      <c r="S1327">
        <v>-3.247986</v>
      </c>
      <c r="T1327">
        <v>0.6004024</v>
      </c>
      <c r="U1327">
        <v>-0.56420899999999996</v>
      </c>
      <c r="V1327">
        <v>0.22703139999999999</v>
      </c>
      <c r="W1327">
        <v>-5.6151319999999998E-2</v>
      </c>
      <c r="X1327">
        <v>0.97226729999999995</v>
      </c>
      <c r="Y1327">
        <v>0.55609809999999904</v>
      </c>
      <c r="Z1327">
        <v>-0.16620190000000001</v>
      </c>
      <c r="AA1327">
        <v>0.81432910000000003</v>
      </c>
      <c r="AB1327">
        <v>13</v>
      </c>
      <c r="AC1327">
        <v>-0.58629999999999405</v>
      </c>
      <c r="AD1327">
        <v>0.125830999999999</v>
      </c>
      <c r="AE1327">
        <v>-3.6699999999996097E-2</v>
      </c>
      <c r="AF1327">
        <v>0.37087108599273699</v>
      </c>
      <c r="AG1327">
        <v>0.125830999999999</v>
      </c>
      <c r="AH1327">
        <v>0.42182418449834103</v>
      </c>
      <c r="AI1327">
        <v>77.372671003806104</v>
      </c>
      <c r="AJ1327">
        <v>48.677815238201802</v>
      </c>
      <c r="AK1327">
        <v>0.57559920571012102</v>
      </c>
      <c r="AL1327">
        <v>93.218926806760393</v>
      </c>
      <c r="AM1327">
        <v>76.856531424138794</v>
      </c>
      <c r="AN1327">
        <v>0.99999996498649502</v>
      </c>
    </row>
    <row r="1328" spans="1:40" x14ac:dyDescent="0.25">
      <c r="A1328" t="str">
        <f>"20190312160938469"</f>
        <v>20190312160938469</v>
      </c>
      <c r="B1328" t="str">
        <f>"1552378178466696"</f>
        <v>1552378178466696</v>
      </c>
      <c r="C1328" t="s">
        <v>40</v>
      </c>
      <c r="D1328">
        <v>6.1478169999999999</v>
      </c>
      <c r="E1328">
        <v>0.65633730000000001</v>
      </c>
      <c r="F1328" t="s">
        <v>42</v>
      </c>
      <c r="G1328">
        <v>-200.673</v>
      </c>
      <c r="H1328">
        <v>1.228534</v>
      </c>
      <c r="I1328">
        <v>288.45429999999999</v>
      </c>
      <c r="J1328">
        <v>-200.10470000000001</v>
      </c>
      <c r="K1328">
        <v>1.1072109999999999</v>
      </c>
      <c r="L1328">
        <v>288.48559999999998</v>
      </c>
      <c r="M1328">
        <v>-0.71447349999999998</v>
      </c>
      <c r="N1328">
        <v>0</v>
      </c>
      <c r="O1328">
        <v>-0.6995036</v>
      </c>
      <c r="P1328">
        <v>-0.85336000000000001</v>
      </c>
      <c r="Q1328">
        <v>-6.9220950000000003E-2</v>
      </c>
      <c r="R1328">
        <v>-0.51670629999999995</v>
      </c>
      <c r="S1328">
        <v>-3.235535</v>
      </c>
      <c r="T1328">
        <v>0.58725939999999999</v>
      </c>
      <c r="U1328">
        <v>-0.56237789999999999</v>
      </c>
      <c r="V1328">
        <v>0.22735649999999999</v>
      </c>
      <c r="W1328">
        <v>-5.6458019999999998E-2</v>
      </c>
      <c r="X1328">
        <v>0.97217359999999997</v>
      </c>
      <c r="Y1328">
        <v>0.54947809999999997</v>
      </c>
      <c r="Z1328">
        <v>-0.16190639999999901</v>
      </c>
      <c r="AA1328">
        <v>0.81967069999999997</v>
      </c>
      <c r="AB1328">
        <v>13</v>
      </c>
      <c r="AC1328">
        <v>-0.56829999999999303</v>
      </c>
      <c r="AD1328">
        <v>0.121322999999999</v>
      </c>
      <c r="AE1328">
        <v>-3.12999999999874E-2</v>
      </c>
      <c r="AF1328">
        <v>0.358899068688385</v>
      </c>
      <c r="AG1328">
        <v>0.121322999999999</v>
      </c>
      <c r="AH1328">
        <v>0.40937624979883003</v>
      </c>
      <c r="AI1328">
        <v>77.437109081900303</v>
      </c>
      <c r="AJ1328">
        <v>48.759041305325503</v>
      </c>
      <c r="AK1328">
        <v>0.55777838406821101</v>
      </c>
      <c r="AL1328">
        <v>93.236527239143101</v>
      </c>
      <c r="AM1328">
        <v>76.837140821250998</v>
      </c>
      <c r="AN1328">
        <v>0.99999999732576506</v>
      </c>
    </row>
    <row r="1329" spans="1:40" x14ac:dyDescent="0.25">
      <c r="A1329" t="str">
        <f>"20190312160938492"</f>
        <v>20190312160938492</v>
      </c>
      <c r="B1329" t="str">
        <f>"1552378178487193"</f>
        <v>1552378178487193</v>
      </c>
      <c r="C1329" t="s">
        <v>40</v>
      </c>
      <c r="D1329">
        <v>6.0510580000000003</v>
      </c>
      <c r="E1329">
        <v>0.65465549999999995</v>
      </c>
      <c r="F1329" t="s">
        <v>42</v>
      </c>
      <c r="G1329">
        <v>-200.7561</v>
      </c>
      <c r="H1329">
        <v>1.2231879999999999</v>
      </c>
      <c r="I1329">
        <v>288.37630000000001</v>
      </c>
      <c r="J1329">
        <v>-200.2072</v>
      </c>
      <c r="K1329">
        <v>1.1072070000000001</v>
      </c>
      <c r="L1329">
        <v>288.40050000000002</v>
      </c>
      <c r="M1329">
        <v>-0.72079469999999901</v>
      </c>
      <c r="N1329">
        <v>0</v>
      </c>
      <c r="O1329">
        <v>-0.69298990000000005</v>
      </c>
      <c r="P1329">
        <v>-0.85791909999999905</v>
      </c>
      <c r="Q1329">
        <v>-6.8637240000000002E-2</v>
      </c>
      <c r="R1329">
        <v>-0.50917970000000001</v>
      </c>
      <c r="S1329">
        <v>-3.2334139999999998</v>
      </c>
      <c r="T1329">
        <v>0.57562760000000002</v>
      </c>
      <c r="U1329">
        <v>-0.54299929999999996</v>
      </c>
      <c r="V1329">
        <v>0.22711919999999999</v>
      </c>
      <c r="W1329">
        <v>-5.595899E-2</v>
      </c>
      <c r="X1329">
        <v>0.97225790000000001</v>
      </c>
      <c r="Y1329">
        <v>0.547371099999999</v>
      </c>
      <c r="Z1329">
        <v>-0.15804199999999999</v>
      </c>
      <c r="AA1329">
        <v>0.8218318</v>
      </c>
      <c r="AB1329">
        <v>13</v>
      </c>
      <c r="AC1329">
        <v>-0.54890000000000305</v>
      </c>
      <c r="AD1329">
        <v>0.115980999999999</v>
      </c>
      <c r="AE1329">
        <v>-2.42000000000075E-2</v>
      </c>
      <c r="AF1329">
        <v>0.34749454332970803</v>
      </c>
      <c r="AG1329">
        <v>0.115980999999999</v>
      </c>
      <c r="AH1329">
        <v>0.39486481552214597</v>
      </c>
      <c r="AI1329">
        <v>77.565350925638</v>
      </c>
      <c r="AJ1329">
        <v>48.651118367484301</v>
      </c>
      <c r="AK1329">
        <v>0.53862999595479399</v>
      </c>
      <c r="AL1329">
        <v>93.207889701110602</v>
      </c>
      <c r="AM1329">
        <v>76.851502288552993</v>
      </c>
      <c r="AN1329">
        <v>0.99999998184143402</v>
      </c>
    </row>
    <row r="1330" spans="1:40" x14ac:dyDescent="0.25">
      <c r="A1330" t="str">
        <f>"20190312160938513"</f>
        <v>20190312160938513</v>
      </c>
      <c r="B1330" t="str">
        <f>"1552378178506712"</f>
        <v>1552378178506712</v>
      </c>
      <c r="C1330" t="s">
        <v>40</v>
      </c>
      <c r="D1330">
        <v>5.6987899999999998</v>
      </c>
      <c r="E1330">
        <v>0.65288000000000002</v>
      </c>
      <c r="F1330" t="s">
        <v>42</v>
      </c>
      <c r="G1330">
        <v>-200.83869999999999</v>
      </c>
      <c r="H1330">
        <v>1.217913</v>
      </c>
      <c r="I1330">
        <v>288.29790000000003</v>
      </c>
      <c r="J1330">
        <v>-200.30529999999999</v>
      </c>
      <c r="K1330">
        <v>1.107205</v>
      </c>
      <c r="L1330">
        <v>288.32049999999998</v>
      </c>
      <c r="M1330">
        <v>-0.72676700000000005</v>
      </c>
      <c r="N1330">
        <v>0</v>
      </c>
      <c r="O1330">
        <v>-0.68672540000000004</v>
      </c>
      <c r="P1330">
        <v>-0.86219749999999995</v>
      </c>
      <c r="Q1330">
        <v>-6.7970069999999994E-2</v>
      </c>
      <c r="R1330">
        <v>-0.50199170000000004</v>
      </c>
      <c r="S1330">
        <v>-3.230896</v>
      </c>
      <c r="T1330">
        <v>0.56634069999999903</v>
      </c>
      <c r="U1330">
        <v>-0.52441409999999999</v>
      </c>
      <c r="V1330">
        <v>0.2268703</v>
      </c>
      <c r="W1330">
        <v>-5.5358749999999998E-2</v>
      </c>
      <c r="X1330">
        <v>0.97235039999999995</v>
      </c>
      <c r="Y1330">
        <v>0.54526249999999998</v>
      </c>
      <c r="Z1330">
        <v>-0.15485979999999999</v>
      </c>
      <c r="AA1330">
        <v>0.82383689999999998</v>
      </c>
      <c r="AB1330">
        <v>13</v>
      </c>
      <c r="AC1330">
        <v>-0.53339999999999999</v>
      </c>
      <c r="AD1330">
        <v>0.110708</v>
      </c>
      <c r="AE1330">
        <v>-2.25999999999544E-2</v>
      </c>
      <c r="AF1330">
        <v>0.33548645829168999</v>
      </c>
      <c r="AG1330">
        <v>0.110708</v>
      </c>
      <c r="AH1330">
        <v>0.38659758406949501</v>
      </c>
      <c r="AI1330">
        <v>77.795912997784598</v>
      </c>
      <c r="AJ1330">
        <v>49.048802574049603</v>
      </c>
      <c r="AK1330">
        <v>0.52370327187203203</v>
      </c>
      <c r="AL1330">
        <v>93.1734449899635</v>
      </c>
      <c r="AM1330">
        <v>76.866618109174198</v>
      </c>
      <c r="AN1330">
        <v>1.0000000123018999</v>
      </c>
    </row>
    <row r="1331" spans="1:40" x14ac:dyDescent="0.25">
      <c r="A1331" t="str">
        <f>"20190312160938560"</f>
        <v>20190312160938560</v>
      </c>
      <c r="B1331" t="str">
        <f>"1552378178556488"</f>
        <v>1552378178556488</v>
      </c>
      <c r="C1331" t="s">
        <v>40</v>
      </c>
      <c r="D1331">
        <v>5.3233600000000001</v>
      </c>
      <c r="E1331">
        <v>0.64850129999999995</v>
      </c>
      <c r="F1331" t="s">
        <v>42</v>
      </c>
      <c r="G1331">
        <v>-200.92449999999999</v>
      </c>
      <c r="H1331">
        <v>1.2139219999999999</v>
      </c>
      <c r="I1331">
        <v>288.22329999999999</v>
      </c>
      <c r="J1331">
        <v>-200.51570000000001</v>
      </c>
      <c r="K1331">
        <v>1.1072280000000001</v>
      </c>
      <c r="L1331">
        <v>288.15370000000001</v>
      </c>
      <c r="M1331">
        <v>-0.73930759999999995</v>
      </c>
      <c r="N1331">
        <v>0</v>
      </c>
      <c r="O1331">
        <v>-0.67320909999999901</v>
      </c>
      <c r="P1331">
        <v>-0.87086939999999902</v>
      </c>
      <c r="Q1331">
        <v>-6.7012699999999994E-2</v>
      </c>
      <c r="R1331">
        <v>-0.48692540000000001</v>
      </c>
      <c r="S1331">
        <v>-3.227875</v>
      </c>
      <c r="T1331">
        <v>0.55623669999999903</v>
      </c>
      <c r="U1331">
        <v>-0.50744630000000002</v>
      </c>
      <c r="V1331">
        <v>0.22590679999999999</v>
      </c>
      <c r="W1331">
        <v>-5.4502410000000001E-2</v>
      </c>
      <c r="X1331">
        <v>0.97262309999999996</v>
      </c>
      <c r="Y1331">
        <v>0.53479140000000003</v>
      </c>
      <c r="Z1331">
        <v>-0.14990989999999901</v>
      </c>
      <c r="AA1331">
        <v>0.83157990000000004</v>
      </c>
      <c r="AB1331">
        <v>13</v>
      </c>
      <c r="AC1331">
        <v>-0.40879999999998501</v>
      </c>
      <c r="AD1331">
        <v>0.106693999999999</v>
      </c>
      <c r="AE1331">
        <v>6.95999999999799E-2</v>
      </c>
      <c r="AF1331">
        <v>0.306414419597691</v>
      </c>
      <c r="AG1331">
        <v>0.106693999999999</v>
      </c>
      <c r="AH1331">
        <v>0.23954346339801599</v>
      </c>
      <c r="AI1331">
        <v>74.659812760290706</v>
      </c>
      <c r="AJ1331">
        <v>38.016981141141301</v>
      </c>
      <c r="AK1331">
        <v>0.40330444707454699</v>
      </c>
      <c r="AL1331">
        <v>93.124306028498395</v>
      </c>
      <c r="AM1331">
        <v>76.924014161175194</v>
      </c>
      <c r="AN1331">
        <v>1.0000000448178199</v>
      </c>
    </row>
    <row r="1332" spans="1:40" x14ac:dyDescent="0.25">
      <c r="A1332" t="str">
        <f>"20190312160938579"</f>
        <v>20190312160938579</v>
      </c>
      <c r="B1332" t="str">
        <f>"1552378178576984"</f>
        <v>1552378178576984</v>
      </c>
      <c r="C1332" t="s">
        <v>40</v>
      </c>
      <c r="D1332">
        <v>5.4654800000000003</v>
      </c>
      <c r="E1332">
        <v>0.64775590000000005</v>
      </c>
      <c r="F1332" t="s">
        <v>42</v>
      </c>
      <c r="G1332">
        <v>-201.0899</v>
      </c>
      <c r="H1332">
        <v>1.202601</v>
      </c>
      <c r="I1332">
        <v>288.06810000000002</v>
      </c>
      <c r="J1332">
        <v>-200.6095</v>
      </c>
      <c r="K1332">
        <v>1.1072340000000001</v>
      </c>
      <c r="L1332">
        <v>288.08150000000001</v>
      </c>
      <c r="M1332">
        <v>-0.7447821</v>
      </c>
      <c r="N1332">
        <v>0</v>
      </c>
      <c r="O1332">
        <v>-0.66714819999999997</v>
      </c>
      <c r="P1332">
        <v>-0.87413940000000001</v>
      </c>
      <c r="Q1332">
        <v>-6.7057710000000006E-2</v>
      </c>
      <c r="R1332">
        <v>-0.4810238</v>
      </c>
      <c r="S1332">
        <v>-3.2173919999999998</v>
      </c>
      <c r="T1332">
        <v>0.5343329</v>
      </c>
      <c r="U1332">
        <v>-0.48028559999999998</v>
      </c>
      <c r="V1332">
        <v>0.22454080000000001</v>
      </c>
      <c r="W1332">
        <v>-5.4569659999999999E-2</v>
      </c>
      <c r="X1332">
        <v>0.97293560000000001</v>
      </c>
      <c r="Y1332">
        <v>0.53550489999999995</v>
      </c>
      <c r="Z1332">
        <v>-0.144061299999999</v>
      </c>
      <c r="AA1332">
        <v>0.83215439999999996</v>
      </c>
      <c r="AB1332">
        <v>13</v>
      </c>
      <c r="AC1332">
        <v>-0.48040000000000299</v>
      </c>
      <c r="AD1332">
        <v>9.5366999999999896E-2</v>
      </c>
      <c r="AE1332">
        <v>-1.339999999999E-2</v>
      </c>
      <c r="AF1332">
        <v>0.298785434560497</v>
      </c>
      <c r="AG1332">
        <v>9.5366999999999896E-2</v>
      </c>
      <c r="AH1332">
        <v>0.35287661457358699</v>
      </c>
      <c r="AI1332">
        <v>78.346009172562205</v>
      </c>
      <c r="AJ1332">
        <v>49.744956330419299</v>
      </c>
      <c r="AK1332">
        <v>0.47211175129138799</v>
      </c>
      <c r="AL1332">
        <v>93.128164895417001</v>
      </c>
      <c r="AM1332">
        <v>77.004421524937698</v>
      </c>
      <c r="AN1332">
        <v>1.0000000502022499</v>
      </c>
    </row>
    <row r="1333" spans="1:40" x14ac:dyDescent="0.25">
      <c r="A1333" t="str">
        <f>"20190312160938624"</f>
        <v>20190312160938624</v>
      </c>
      <c r="B1333" t="str">
        <f>"1552378178617001"</f>
        <v>1552378178617001</v>
      </c>
      <c r="C1333" t="s">
        <v>40</v>
      </c>
      <c r="D1333">
        <v>5.3437650000000003</v>
      </c>
      <c r="E1333">
        <v>0.59527769999999902</v>
      </c>
      <c r="F1333" t="s">
        <v>42</v>
      </c>
      <c r="G1333">
        <v>-201.18</v>
      </c>
      <c r="H1333">
        <v>1.2012609999999999</v>
      </c>
      <c r="I1333">
        <v>287.99919999999997</v>
      </c>
      <c r="J1333">
        <v>-200.816</v>
      </c>
      <c r="K1333">
        <v>1.1072610000000001</v>
      </c>
      <c r="L1333">
        <v>287.92660000000001</v>
      </c>
      <c r="M1333">
        <v>-0.75655139999999999</v>
      </c>
      <c r="N1333">
        <v>0</v>
      </c>
      <c r="O1333">
        <v>-0.65377350000000001</v>
      </c>
      <c r="P1333">
        <v>-0.88158939999999997</v>
      </c>
      <c r="Q1333">
        <v>-6.7062440000000001E-2</v>
      </c>
      <c r="R1333">
        <v>-0.4672287</v>
      </c>
      <c r="S1333">
        <v>-3.2172700000000001</v>
      </c>
      <c r="T1333">
        <v>0.53027009999999997</v>
      </c>
      <c r="U1333">
        <v>-0.46408080000000002</v>
      </c>
      <c r="V1333">
        <v>0.22249940000000001</v>
      </c>
      <c r="W1333">
        <v>-5.4614330000000003E-2</v>
      </c>
      <c r="X1333">
        <v>0.97340190000000004</v>
      </c>
      <c r="Y1333">
        <v>0.52508440000000001</v>
      </c>
      <c r="Z1333">
        <v>-0.14066689999999901</v>
      </c>
      <c r="AA1333">
        <v>0.83934449999999905</v>
      </c>
      <c r="AB1333">
        <v>13</v>
      </c>
      <c r="AC1333">
        <v>-0.36400000000003202</v>
      </c>
      <c r="AD1333">
        <v>9.4E-2</v>
      </c>
      <c r="AE1333">
        <v>7.2599999999965803E-2</v>
      </c>
      <c r="AF1333">
        <v>0.27527458042025799</v>
      </c>
      <c r="AG1333">
        <v>9.4E-2</v>
      </c>
      <c r="AH1333">
        <v>0.21420609160009599</v>
      </c>
      <c r="AI1333">
        <v>74.917309801121803</v>
      </c>
      <c r="AJ1333">
        <v>37.888422034661701</v>
      </c>
      <c r="AK1333">
        <v>0.36124277751138201</v>
      </c>
      <c r="AL1333">
        <v>93.130728329269701</v>
      </c>
      <c r="AM1333">
        <v>77.124576821914999</v>
      </c>
      <c r="AN1333">
        <v>0.99999998348265895</v>
      </c>
    </row>
    <row r="1334" spans="1:40" x14ac:dyDescent="0.25">
      <c r="A1334" t="str">
        <f>"20190312160938645"</f>
        <v>20190312160938645</v>
      </c>
      <c r="B1334" t="str">
        <f>"1552378178636520"</f>
        <v>1552378178636520</v>
      </c>
      <c r="C1334" t="s">
        <v>40</v>
      </c>
      <c r="D1334">
        <v>5.75345</v>
      </c>
      <c r="E1334">
        <v>0.59678260000000005</v>
      </c>
      <c r="F1334" t="s">
        <v>71</v>
      </c>
      <c r="G1334">
        <v>-280.91800000000001</v>
      </c>
      <c r="H1334">
        <v>7.5974719999999998</v>
      </c>
      <c r="I1334">
        <v>267.69099999999997</v>
      </c>
      <c r="J1334">
        <v>-200.91309999999999</v>
      </c>
      <c r="K1334">
        <v>1.1072690000000001</v>
      </c>
      <c r="L1334">
        <v>287.85579999999999</v>
      </c>
      <c r="M1334">
        <v>-0.761953199999999</v>
      </c>
      <c r="N1334">
        <v>0</v>
      </c>
      <c r="O1334">
        <v>-0.64747049999999995</v>
      </c>
      <c r="P1334">
        <v>-0.8850363</v>
      </c>
      <c r="Q1334">
        <v>-6.6875379999999998E-2</v>
      </c>
      <c r="R1334">
        <v>-0.46069359999999998</v>
      </c>
      <c r="S1334">
        <v>-3.0175320000000001</v>
      </c>
      <c r="T1334">
        <v>0.24449299999999999</v>
      </c>
      <c r="U1334">
        <v>-0.76229859999999905</v>
      </c>
      <c r="V1334">
        <v>0.22163430000000001</v>
      </c>
      <c r="W1334">
        <v>-5.4439149999999999E-2</v>
      </c>
      <c r="X1334">
        <v>0.97360910000000001</v>
      </c>
      <c r="Y1334">
        <v>0.43821909999999997</v>
      </c>
      <c r="Z1334">
        <v>-6.4565380000000006E-2</v>
      </c>
      <c r="AA1334">
        <v>0.89654639999999997</v>
      </c>
      <c r="AB1334">
        <v>13</v>
      </c>
      <c r="AC1334">
        <v>-80.004900000000006</v>
      </c>
      <c r="AD1334">
        <v>6.4902029999999904</v>
      </c>
      <c r="AE1334">
        <v>-20.1648</v>
      </c>
      <c r="AF1334">
        <v>36.215895753297602</v>
      </c>
      <c r="AG1334">
        <v>6.4902029999999904</v>
      </c>
      <c r="AH1334">
        <v>73.568622014869902</v>
      </c>
      <c r="AI1334">
        <v>85.474518689817103</v>
      </c>
      <c r="AJ1334">
        <v>63.790190928826902</v>
      </c>
      <c r="AK1334">
        <v>82.256039202977306</v>
      </c>
      <c r="AL1334">
        <v>93.120676149219605</v>
      </c>
      <c r="AM1334">
        <v>77.175618227740301</v>
      </c>
      <c r="AN1334">
        <v>1.00000003179601</v>
      </c>
    </row>
    <row r="1335" spans="1:40" x14ac:dyDescent="0.25">
      <c r="A1335" t="str">
        <f>"20190312160938668"</f>
        <v>20190312160938668</v>
      </c>
      <c r="B1335" t="str">
        <f>"1552378178657016"</f>
        <v>1552378178657016</v>
      </c>
      <c r="C1335" t="s">
        <v>40</v>
      </c>
      <c r="D1335">
        <v>5.3770569999999998</v>
      </c>
      <c r="E1335">
        <v>0.59136060000000001</v>
      </c>
      <c r="F1335" t="s">
        <v>72</v>
      </c>
      <c r="G1335">
        <v>-351.48700000000002</v>
      </c>
      <c r="H1335">
        <v>14.143929999999999</v>
      </c>
      <c r="I1335">
        <v>251.5352</v>
      </c>
      <c r="J1335">
        <v>-201.01990000000001</v>
      </c>
      <c r="K1335">
        <v>1.1072949999999999</v>
      </c>
      <c r="L1335">
        <v>287.77940000000001</v>
      </c>
      <c r="M1335">
        <v>-0.76779619999999904</v>
      </c>
      <c r="N1335">
        <v>0</v>
      </c>
      <c r="O1335">
        <v>-0.64053190000000004</v>
      </c>
      <c r="P1335">
        <v>-0.88878500000000005</v>
      </c>
      <c r="Q1335">
        <v>-6.7020479999999993E-2</v>
      </c>
      <c r="R1335">
        <v>-0.45339829999999998</v>
      </c>
      <c r="S1335">
        <v>-3.029175</v>
      </c>
      <c r="T1335">
        <v>0.26226680000000002</v>
      </c>
      <c r="U1335">
        <v>-0.73068239999999995</v>
      </c>
      <c r="V1335">
        <v>0.220806</v>
      </c>
      <c r="W1335">
        <v>-5.4594570000000002E-2</v>
      </c>
      <c r="X1335">
        <v>0.9737886</v>
      </c>
      <c r="Y1335">
        <v>0.43929180000000001</v>
      </c>
      <c r="Z1335">
        <v>-6.8729970000000001E-2</v>
      </c>
      <c r="AA1335">
        <v>0.89571139999999905</v>
      </c>
      <c r="AB1335">
        <v>12</v>
      </c>
      <c r="AC1335">
        <v>-150.46709999999899</v>
      </c>
      <c r="AD1335">
        <v>13.036635</v>
      </c>
      <c r="AE1335">
        <v>-36.244199999999999</v>
      </c>
      <c r="AF1335">
        <v>68.074952099846001</v>
      </c>
      <c r="AG1335">
        <v>13.036635</v>
      </c>
      <c r="AH1335">
        <v>137.78050283669</v>
      </c>
      <c r="AI1335">
        <v>85.151234851677103</v>
      </c>
      <c r="AJ1335">
        <v>63.706822928847998</v>
      </c>
      <c r="AK1335">
        <v>154.23235690817501</v>
      </c>
      <c r="AL1335">
        <v>93.129594273713096</v>
      </c>
      <c r="AM1335">
        <v>77.224247812221506</v>
      </c>
      <c r="AN1335">
        <v>1.0000000470997199</v>
      </c>
    </row>
    <row r="1336" spans="1:40" x14ac:dyDescent="0.25">
      <c r="A1336" t="str">
        <f>"20190312160938692"</f>
        <v>20190312160938692</v>
      </c>
      <c r="B1336" t="str">
        <f>"1552378178686297"</f>
        <v>1552378178686297</v>
      </c>
      <c r="C1336" t="s">
        <v>40</v>
      </c>
      <c r="D1336">
        <v>4.6965050000000002</v>
      </c>
      <c r="E1336">
        <v>0.59049039999999997</v>
      </c>
      <c r="F1336" t="s">
        <v>71</v>
      </c>
      <c r="G1336">
        <v>-281.15589999999997</v>
      </c>
      <c r="H1336">
        <v>7.3040039999999902</v>
      </c>
      <c r="I1336">
        <v>268.05040000000002</v>
      </c>
      <c r="J1336">
        <v>-201.12889999999999</v>
      </c>
      <c r="K1336">
        <v>1.1073170000000001</v>
      </c>
      <c r="L1336">
        <v>287.7029</v>
      </c>
      <c r="M1336">
        <v>-0.77365859999999997</v>
      </c>
      <c r="N1336">
        <v>0</v>
      </c>
      <c r="O1336">
        <v>-0.63343899999999997</v>
      </c>
      <c r="P1336">
        <v>-0.89248320000000003</v>
      </c>
      <c r="Q1336">
        <v>-6.6770019999999999E-2</v>
      </c>
      <c r="R1336">
        <v>-0.44611149999999999</v>
      </c>
      <c r="S1336">
        <v>-3.014389</v>
      </c>
      <c r="T1336">
        <v>0.23309460000000001</v>
      </c>
      <c r="U1336">
        <v>-0.74212650000000002</v>
      </c>
      <c r="V1336">
        <v>0.2198291</v>
      </c>
      <c r="W1336">
        <v>-5.4349620000000001E-2</v>
      </c>
      <c r="X1336">
        <v>0.97402319999999998</v>
      </c>
      <c r="Y1336">
        <v>0.4275158</v>
      </c>
      <c r="Z1336">
        <v>-6.0511429999999998E-2</v>
      </c>
      <c r="AA1336">
        <v>0.90198040000000002</v>
      </c>
      <c r="AB1336">
        <v>12</v>
      </c>
      <c r="AC1336">
        <v>-80.026999999999902</v>
      </c>
      <c r="AD1336">
        <v>6.1966869999999901</v>
      </c>
      <c r="AE1336">
        <v>-19.6524999999999</v>
      </c>
      <c r="AF1336">
        <v>35.292009861577299</v>
      </c>
      <c r="AG1336">
        <v>6.1966869999999901</v>
      </c>
      <c r="AH1336">
        <v>73.951769415442101</v>
      </c>
      <c r="AI1336">
        <v>85.675329193808594</v>
      </c>
      <c r="AJ1336">
        <v>64.488119126680999</v>
      </c>
      <c r="AK1336">
        <v>82.175355731024098</v>
      </c>
      <c r="AL1336">
        <v>93.115539094400702</v>
      </c>
      <c r="AM1336">
        <v>77.281891984768095</v>
      </c>
      <c r="AN1336">
        <v>0.99999995426959598</v>
      </c>
    </row>
    <row r="1337" spans="1:40" x14ac:dyDescent="0.25">
      <c r="A1337" t="str">
        <f>"20190312160938713"</f>
        <v>20190312160938713</v>
      </c>
      <c r="B1337" t="str">
        <f>"1552378178706792"</f>
        <v>1552378178706792</v>
      </c>
      <c r="C1337" t="s">
        <v>40</v>
      </c>
      <c r="D1337">
        <v>6.0717949999999998</v>
      </c>
      <c r="E1337">
        <v>0.59301349999999997</v>
      </c>
      <c r="F1337" t="s">
        <v>72</v>
      </c>
      <c r="G1337">
        <v>-352.08690000000001</v>
      </c>
      <c r="H1337">
        <v>12.339790000000001</v>
      </c>
      <c r="I1337">
        <v>251.53550000000001</v>
      </c>
      <c r="J1337">
        <v>-201.23060000000001</v>
      </c>
      <c r="K1337">
        <v>1.107334</v>
      </c>
      <c r="L1337">
        <v>287.63279999999997</v>
      </c>
      <c r="M1337">
        <v>-0.77903169999999899</v>
      </c>
      <c r="N1337">
        <v>0</v>
      </c>
      <c r="O1337">
        <v>-0.62681989999999999</v>
      </c>
      <c r="P1337">
        <v>-0.89577700000000005</v>
      </c>
      <c r="Q1337">
        <v>-6.6465239999999995E-2</v>
      </c>
      <c r="R1337">
        <v>-0.43950669999999997</v>
      </c>
      <c r="S1337">
        <v>-3.0169069999999998</v>
      </c>
      <c r="T1337">
        <v>0.2244833</v>
      </c>
      <c r="U1337">
        <v>-0.72280880000000003</v>
      </c>
      <c r="V1337">
        <v>0.21873989999999999</v>
      </c>
      <c r="W1337">
        <v>-5.4046070000000002E-2</v>
      </c>
      <c r="X1337">
        <v>0.97428530000000002</v>
      </c>
      <c r="Y1337">
        <v>0.42565039999999998</v>
      </c>
      <c r="Z1337">
        <v>-5.7870940000000003E-2</v>
      </c>
      <c r="AA1337">
        <v>0.90303529999999999</v>
      </c>
      <c r="AB1337">
        <v>12</v>
      </c>
      <c r="AC1337">
        <v>-150.8563</v>
      </c>
      <c r="AD1337">
        <v>11.232456000000001</v>
      </c>
      <c r="AE1337">
        <v>-36.097299999999898</v>
      </c>
      <c r="AF1337">
        <v>66.099041107373694</v>
      </c>
      <c r="AG1337">
        <v>11.232456000000001</v>
      </c>
      <c r="AH1337">
        <v>139.43166764563</v>
      </c>
      <c r="AI1337">
        <v>85.836583760290196</v>
      </c>
      <c r="AJ1337">
        <v>64.636219495202496</v>
      </c>
      <c r="AK1337">
        <v>154.714062856444</v>
      </c>
      <c r="AL1337">
        <v>93.098121268207393</v>
      </c>
      <c r="AM1337">
        <v>77.346167469943893</v>
      </c>
      <c r="AN1337">
        <v>0.99999998366527199</v>
      </c>
    </row>
    <row r="1338" spans="1:40" x14ac:dyDescent="0.25">
      <c r="A1338" t="str">
        <f>"20190312160938737"</f>
        <v>20190312160938737</v>
      </c>
      <c r="B1338" t="str">
        <f>"1552378178726312"</f>
        <v>1552378178726312</v>
      </c>
      <c r="C1338" t="s">
        <v>40</v>
      </c>
      <c r="D1338">
        <v>5.3481480000000001</v>
      </c>
      <c r="E1338">
        <v>0.59519849999999996</v>
      </c>
      <c r="F1338" t="s">
        <v>72</v>
      </c>
      <c r="G1338">
        <v>-352.55</v>
      </c>
      <c r="H1338">
        <v>12.45064</v>
      </c>
      <c r="I1338">
        <v>253.5401</v>
      </c>
      <c r="J1338">
        <v>-201.3424</v>
      </c>
      <c r="K1338">
        <v>1.1073519999999999</v>
      </c>
      <c r="L1338">
        <v>287.5573</v>
      </c>
      <c r="M1338">
        <v>-0.78483449999999999</v>
      </c>
      <c r="N1338">
        <v>0</v>
      </c>
      <c r="O1338">
        <v>-0.61953930000000001</v>
      </c>
      <c r="P1338">
        <v>-0.89904300000000004</v>
      </c>
      <c r="Q1338">
        <v>-6.6660629999999998E-2</v>
      </c>
      <c r="R1338">
        <v>-0.43275619999999998</v>
      </c>
      <c r="S1338">
        <v>-3.030853</v>
      </c>
      <c r="T1338">
        <v>0.2272023</v>
      </c>
      <c r="U1338">
        <v>-0.6828613</v>
      </c>
      <c r="V1338">
        <v>0.21699060000000001</v>
      </c>
      <c r="W1338">
        <v>-5.423642E-2</v>
      </c>
      <c r="X1338">
        <v>0.97466580000000003</v>
      </c>
      <c r="Y1338">
        <v>0.42941960000000001</v>
      </c>
      <c r="Z1338">
        <v>-5.8173969999999998E-2</v>
      </c>
      <c r="AA1338">
        <v>0.90122950000000002</v>
      </c>
      <c r="AB1338">
        <v>12</v>
      </c>
      <c r="AC1338">
        <v>-151.20760000000001</v>
      </c>
      <c r="AD1338">
        <v>11.343287999999999</v>
      </c>
      <c r="AE1338">
        <v>-34.017200000000003</v>
      </c>
      <c r="AF1338">
        <v>66.631158187521805</v>
      </c>
      <c r="AG1338">
        <v>11.343287999999999</v>
      </c>
      <c r="AH1338">
        <v>139.01765937472501</v>
      </c>
      <c r="AI1338">
        <v>85.791715757210795</v>
      </c>
      <c r="AJ1338">
        <v>64.391601824239402</v>
      </c>
      <c r="AK1338">
        <v>154.577783145213</v>
      </c>
      <c r="AL1338">
        <v>93.109043595728295</v>
      </c>
      <c r="AM1338">
        <v>77.448887576797603</v>
      </c>
      <c r="AN1338">
        <v>0.99999996571620697</v>
      </c>
    </row>
    <row r="1339" spans="1:40" x14ac:dyDescent="0.25">
      <c r="A1339" t="str">
        <f>"20190312160938761"</f>
        <v>20190312160938761</v>
      </c>
      <c r="B1339" t="str">
        <f>"1552378178756568"</f>
        <v>1552378178756568</v>
      </c>
      <c r="C1339" t="s">
        <v>40</v>
      </c>
      <c r="D1339">
        <v>6.2856809999999896</v>
      </c>
      <c r="E1339">
        <v>0.59722640000000005</v>
      </c>
      <c r="F1339" t="s">
        <v>72</v>
      </c>
      <c r="G1339">
        <v>-351.87369999999999</v>
      </c>
      <c r="H1339">
        <v>12.65279</v>
      </c>
      <c r="I1339">
        <v>255.67660000000001</v>
      </c>
      <c r="J1339">
        <v>-201.45849999999999</v>
      </c>
      <c r="K1339">
        <v>1.1073710000000001</v>
      </c>
      <c r="L1339">
        <v>287.4803</v>
      </c>
      <c r="M1339">
        <v>-0.79074759999999999</v>
      </c>
      <c r="N1339">
        <v>0</v>
      </c>
      <c r="O1339">
        <v>-0.61197480000000004</v>
      </c>
      <c r="P1339">
        <v>-0.90277779999999996</v>
      </c>
      <c r="Q1339">
        <v>-6.6653939999999995E-2</v>
      </c>
      <c r="R1339">
        <v>-0.42491119999999999</v>
      </c>
      <c r="S1339">
        <v>-3.0438689999999999</v>
      </c>
      <c r="T1339">
        <v>0.2334599</v>
      </c>
      <c r="U1339">
        <v>-0.64465329999999998</v>
      </c>
      <c r="V1339">
        <v>0.2161226</v>
      </c>
      <c r="W1339">
        <v>-5.4233259999999998E-2</v>
      </c>
      <c r="X1339">
        <v>0.97485880000000003</v>
      </c>
      <c r="Y1339">
        <v>0.43225659999999999</v>
      </c>
      <c r="Z1339">
        <v>-5.9316000000000001E-2</v>
      </c>
      <c r="AA1339">
        <v>0.89979769999999903</v>
      </c>
      <c r="AB1339">
        <v>12</v>
      </c>
      <c r="AC1339">
        <v>-150.4152</v>
      </c>
      <c r="AD1339">
        <v>11.545419000000001</v>
      </c>
      <c r="AE1339">
        <v>-31.8036999999999</v>
      </c>
      <c r="AF1339">
        <v>66.533258372669707</v>
      </c>
      <c r="AG1339">
        <v>11.545419000000001</v>
      </c>
      <c r="AH1339">
        <v>137.641484305722</v>
      </c>
      <c r="AI1339">
        <v>85.681209302893905</v>
      </c>
      <c r="AJ1339">
        <v>64.201766373524606</v>
      </c>
      <c r="AK1339">
        <v>153.31389164538299</v>
      </c>
      <c r="AL1339">
        <v>93.108862315850402</v>
      </c>
      <c r="AM1339">
        <v>77.499909963981494</v>
      </c>
      <c r="AN1339">
        <v>0.99999995232921202</v>
      </c>
    </row>
    <row r="1340" spans="1:40" x14ac:dyDescent="0.25">
      <c r="A1340" t="str">
        <f>"20190312160938784"</f>
        <v>20190312160938784</v>
      </c>
      <c r="B1340" t="str">
        <f>"1552378178777066"</f>
        <v>1552378178777066</v>
      </c>
      <c r="C1340" t="s">
        <v>40</v>
      </c>
      <c r="D1340">
        <v>4.482253</v>
      </c>
      <c r="E1340">
        <v>0.59843169999999901</v>
      </c>
      <c r="F1340" t="s">
        <v>72</v>
      </c>
      <c r="G1340">
        <v>-351.48700000000002</v>
      </c>
      <c r="H1340">
        <v>12.98081</v>
      </c>
      <c r="I1340">
        <v>257.81779999999998</v>
      </c>
      <c r="J1340">
        <v>-201.5668</v>
      </c>
      <c r="K1340">
        <v>1.1073820000000001</v>
      </c>
      <c r="L1340">
        <v>287.40989999999999</v>
      </c>
      <c r="M1340">
        <v>-0.79616500000000001</v>
      </c>
      <c r="N1340">
        <v>0</v>
      </c>
      <c r="O1340">
        <v>-0.60491059999999996</v>
      </c>
      <c r="P1340">
        <v>-0.90637809999999996</v>
      </c>
      <c r="Q1340">
        <v>-6.6428039999999994E-2</v>
      </c>
      <c r="R1340">
        <v>-0.41721219999999998</v>
      </c>
      <c r="S1340">
        <v>-3.0565030000000002</v>
      </c>
      <c r="T1340">
        <v>0.2418969</v>
      </c>
      <c r="U1340">
        <v>-0.60430909999999904</v>
      </c>
      <c r="V1340">
        <v>0.21575459999999999</v>
      </c>
      <c r="W1340">
        <v>-5.4014220000000002E-2</v>
      </c>
      <c r="X1340">
        <v>0.9749525</v>
      </c>
      <c r="Y1340">
        <v>0.43620579999999998</v>
      </c>
      <c r="Z1340">
        <v>-6.1059570000000001E-2</v>
      </c>
      <c r="AA1340">
        <v>0.89777289999999998</v>
      </c>
      <c r="AB1340">
        <v>12</v>
      </c>
      <c r="AC1340">
        <v>-149.920199999999</v>
      </c>
      <c r="AD1340">
        <v>11.873428000000001</v>
      </c>
      <c r="AE1340">
        <v>-29.592099999999999</v>
      </c>
      <c r="AF1340">
        <v>66.732114934897695</v>
      </c>
      <c r="AG1340">
        <v>11.873428000000001</v>
      </c>
      <c r="AH1340">
        <v>136.452042593795</v>
      </c>
      <c r="AI1340">
        <v>85.530378362747598</v>
      </c>
      <c r="AJ1340">
        <v>63.938972372703802</v>
      </c>
      <c r="AK1340">
        <v>152.359159173889</v>
      </c>
      <c r="AL1340">
        <v>93.096293738489706</v>
      </c>
      <c r="AM1340">
        <v>77.521688792122603</v>
      </c>
      <c r="AN1340">
        <v>0.99999998031980897</v>
      </c>
    </row>
    <row r="1341" spans="1:40" x14ac:dyDescent="0.25">
      <c r="A1341" t="str">
        <f>"20190312160938825"</f>
        <v>20190312160938825</v>
      </c>
      <c r="B1341" t="str">
        <f>"1552378178817080"</f>
        <v>1552378178817080</v>
      </c>
      <c r="C1341" t="s">
        <v>40</v>
      </c>
      <c r="D1341">
        <v>5.680294</v>
      </c>
      <c r="E1341">
        <v>0.59944519999999901</v>
      </c>
      <c r="F1341" t="s">
        <v>72</v>
      </c>
      <c r="G1341">
        <v>-351.48700000000002</v>
      </c>
      <c r="H1341">
        <v>13.24525</v>
      </c>
      <c r="I1341">
        <v>259.548</v>
      </c>
      <c r="J1341">
        <v>-201.76669999999999</v>
      </c>
      <c r="K1341">
        <v>1.107421</v>
      </c>
      <c r="L1341">
        <v>287.28370000000001</v>
      </c>
      <c r="M1341">
        <v>-0.80592069999999905</v>
      </c>
      <c r="N1341">
        <v>0</v>
      </c>
      <c r="O1341">
        <v>-0.59185169999999998</v>
      </c>
      <c r="P1341">
        <v>-0.91264880000000004</v>
      </c>
      <c r="Q1341">
        <v>-6.4841499999999996E-2</v>
      </c>
      <c r="R1341">
        <v>-0.4035687</v>
      </c>
      <c r="S1341">
        <v>-3.0657960000000002</v>
      </c>
      <c r="T1341">
        <v>0.24821499999999999</v>
      </c>
      <c r="U1341">
        <v>-0.56976319999999903</v>
      </c>
      <c r="V1341">
        <v>0.2145698</v>
      </c>
      <c r="W1341">
        <v>-5.2430930000000001E-2</v>
      </c>
      <c r="X1341">
        <v>0.97530039999999996</v>
      </c>
      <c r="Y1341">
        <v>0.4317241</v>
      </c>
      <c r="Z1341">
        <v>-6.1570180000000002E-2</v>
      </c>
      <c r="AA1341">
        <v>0.89990190000000003</v>
      </c>
      <c r="AB1341">
        <v>12</v>
      </c>
      <c r="AC1341">
        <v>-149.72029999999901</v>
      </c>
      <c r="AD1341">
        <v>12.137829</v>
      </c>
      <c r="AE1341">
        <v>-27.735700000000001</v>
      </c>
      <c r="AF1341">
        <v>65.847763119200494</v>
      </c>
      <c r="AG1341">
        <v>12.137829</v>
      </c>
      <c r="AH1341">
        <v>136.22643083390801</v>
      </c>
      <c r="AI1341">
        <v>85.413537096731403</v>
      </c>
      <c r="AJ1341">
        <v>64.202272827809196</v>
      </c>
      <c r="AK1341">
        <v>151.792276675663</v>
      </c>
      <c r="AL1341">
        <v>93.005448968889695</v>
      </c>
      <c r="AM1341">
        <v>77.5923734718791</v>
      </c>
      <c r="AN1341">
        <v>1.00000003586643</v>
      </c>
    </row>
    <row r="1342" spans="1:40" x14ac:dyDescent="0.25">
      <c r="A1342" t="str">
        <f>"20190312160938847"</f>
        <v>20190312160938847</v>
      </c>
      <c r="B1342" t="str">
        <f>"1552378178836601"</f>
        <v>1552378178836601</v>
      </c>
      <c r="C1342" t="s">
        <v>40</v>
      </c>
      <c r="D1342">
        <v>6.1102639999999999</v>
      </c>
      <c r="E1342">
        <v>0.59968049999999995</v>
      </c>
      <c r="F1342" t="s">
        <v>72</v>
      </c>
      <c r="G1342">
        <v>-351.48700000000002</v>
      </c>
      <c r="H1342">
        <v>13.45092</v>
      </c>
      <c r="I1342">
        <v>262.1413</v>
      </c>
      <c r="J1342">
        <v>-201.8672</v>
      </c>
      <c r="K1342">
        <v>1.107432</v>
      </c>
      <c r="L1342">
        <v>287.22199999999998</v>
      </c>
      <c r="M1342">
        <v>-0.81070359999999997</v>
      </c>
      <c r="N1342">
        <v>0</v>
      </c>
      <c r="O1342">
        <v>-0.58528349999999996</v>
      </c>
      <c r="P1342">
        <v>-0.91562220000000005</v>
      </c>
      <c r="Q1342">
        <v>-6.3613920000000004E-2</v>
      </c>
      <c r="R1342">
        <v>-0.39697539999999998</v>
      </c>
      <c r="S1342">
        <v>-3.0766749999999998</v>
      </c>
      <c r="T1342">
        <v>0.25365409999999999</v>
      </c>
      <c r="U1342">
        <v>-0.51666259999999997</v>
      </c>
      <c r="V1342">
        <v>0.2137406</v>
      </c>
      <c r="W1342">
        <v>-5.1200780000000001E-2</v>
      </c>
      <c r="X1342">
        <v>0.97554779999999996</v>
      </c>
      <c r="Y1342">
        <v>0.43988290000000002</v>
      </c>
      <c r="Z1342">
        <v>-6.2755699999999998E-2</v>
      </c>
      <c r="AA1342">
        <v>0.89585979999999998</v>
      </c>
      <c r="AB1342">
        <v>12</v>
      </c>
      <c r="AC1342">
        <v>-149.619799999999</v>
      </c>
      <c r="AD1342">
        <v>12.343488000000001</v>
      </c>
      <c r="AE1342">
        <v>-25.080699999999901</v>
      </c>
      <c r="AF1342">
        <v>66.801577605790499</v>
      </c>
      <c r="AG1342">
        <v>12.343488000000001</v>
      </c>
      <c r="AH1342">
        <v>135.09608190573101</v>
      </c>
      <c r="AI1342">
        <v>85.317787023799994</v>
      </c>
      <c r="AJ1342">
        <v>63.688775017883202</v>
      </c>
      <c r="AK1342">
        <v>151.21429764710899</v>
      </c>
      <c r="AL1342">
        <v>92.934871750910702</v>
      </c>
      <c r="AM1342">
        <v>77.641884136077607</v>
      </c>
      <c r="AN1342">
        <v>1.0000000370229001</v>
      </c>
    </row>
    <row r="1343" spans="1:40" x14ac:dyDescent="0.25">
      <c r="A1343" t="str">
        <f>"20190312160938868"</f>
        <v>20190312160938868</v>
      </c>
      <c r="B1343" t="str">
        <f>"1552378178866856"</f>
        <v>1552378178866856</v>
      </c>
      <c r="C1343" t="s">
        <v>40</v>
      </c>
      <c r="D1343">
        <v>5.9504729999999997</v>
      </c>
      <c r="E1343">
        <v>0.60206990000000005</v>
      </c>
      <c r="F1343" t="s">
        <v>72</v>
      </c>
      <c r="G1343">
        <v>-351.48700000000002</v>
      </c>
      <c r="H1343">
        <v>13.522550000000001</v>
      </c>
      <c r="I1343">
        <v>263.31580000000002</v>
      </c>
      <c r="J1343">
        <v>-201.9735</v>
      </c>
      <c r="K1343">
        <v>1.1074489999999999</v>
      </c>
      <c r="L1343">
        <v>287.15789999999998</v>
      </c>
      <c r="M1343">
        <v>-0.81568269999999998</v>
      </c>
      <c r="N1343">
        <v>0</v>
      </c>
      <c r="O1343">
        <v>-0.57832439999999996</v>
      </c>
      <c r="P1343">
        <v>-0.91838980000000003</v>
      </c>
      <c r="Q1343">
        <v>-6.2853900000000004E-2</v>
      </c>
      <c r="R1343">
        <v>-0.39065260000000002</v>
      </c>
      <c r="S1343">
        <v>-3.0807950000000002</v>
      </c>
      <c r="T1343">
        <v>0.2556388</v>
      </c>
      <c r="U1343">
        <v>-0.49224849999999998</v>
      </c>
      <c r="V1343">
        <v>0.21215690000000001</v>
      </c>
      <c r="W1343">
        <v>-5.0430280000000001E-2</v>
      </c>
      <c r="X1343">
        <v>0.97593350000000001</v>
      </c>
      <c r="Y1343">
        <v>0.43928899999999999</v>
      </c>
      <c r="Z1343">
        <v>-6.2745330000000002E-2</v>
      </c>
      <c r="AA1343">
        <v>0.8961519</v>
      </c>
      <c r="AB1343">
        <v>12</v>
      </c>
      <c r="AC1343">
        <v>-149.513499999999</v>
      </c>
      <c r="AD1343">
        <v>12.415101</v>
      </c>
      <c r="AE1343">
        <v>-23.842099999999899</v>
      </c>
      <c r="AF1343">
        <v>66.578824879325197</v>
      </c>
      <c r="AG1343">
        <v>12.415101</v>
      </c>
      <c r="AH1343">
        <v>134.851046102824</v>
      </c>
      <c r="AI1343">
        <v>85.280820293313099</v>
      </c>
      <c r="AJ1343">
        <v>63.723468446058199</v>
      </c>
      <c r="AK1343">
        <v>150.90288032432699</v>
      </c>
      <c r="AL1343">
        <v>92.890668410185697</v>
      </c>
      <c r="AM1343">
        <v>77.735369589216901</v>
      </c>
      <c r="AN1343">
        <v>0.99999997989036904</v>
      </c>
    </row>
    <row r="1344" spans="1:40" x14ac:dyDescent="0.25">
      <c r="A1344" t="str">
        <f>"20190312160938892"</f>
        <v>20190312160938892</v>
      </c>
      <c r="B1344" t="str">
        <f>"1552378178886376"</f>
        <v>1552378178886376</v>
      </c>
      <c r="C1344" t="s">
        <v>40</v>
      </c>
      <c r="D1344">
        <v>6.0719459999999996</v>
      </c>
      <c r="E1344">
        <v>0.60110769999999902</v>
      </c>
      <c r="F1344" t="s">
        <v>72</v>
      </c>
      <c r="G1344">
        <v>-351.48700000000002</v>
      </c>
      <c r="H1344">
        <v>14.45135</v>
      </c>
      <c r="I1344">
        <v>265.20060000000001</v>
      </c>
      <c r="J1344">
        <v>-202.08590000000001</v>
      </c>
      <c r="K1344">
        <v>1.1074660000000001</v>
      </c>
      <c r="L1344">
        <v>287.0915</v>
      </c>
      <c r="M1344">
        <v>-0.82085599999999903</v>
      </c>
      <c r="N1344">
        <v>0</v>
      </c>
      <c r="O1344">
        <v>-0.57095839999999998</v>
      </c>
      <c r="P1344">
        <v>-0.92137670000000005</v>
      </c>
      <c r="Q1344">
        <v>-6.1772100000000003E-2</v>
      </c>
      <c r="R1344">
        <v>-0.3837313</v>
      </c>
      <c r="S1344">
        <v>-3.0923159999999998</v>
      </c>
      <c r="T1344">
        <v>0.27598689999999998</v>
      </c>
      <c r="U1344">
        <v>-0.45413209999999998</v>
      </c>
      <c r="V1344">
        <v>0.21076710000000001</v>
      </c>
      <c r="W1344">
        <v>-4.9339050000000002E-2</v>
      </c>
      <c r="X1344">
        <v>0.9762904</v>
      </c>
      <c r="Y1344">
        <v>0.44202940000000002</v>
      </c>
      <c r="Z1344">
        <v>-6.7172529999999994E-2</v>
      </c>
      <c r="AA1344">
        <v>0.89448189999999905</v>
      </c>
      <c r="AB1344">
        <v>12</v>
      </c>
      <c r="AC1344">
        <v>-149.40109999999899</v>
      </c>
      <c r="AD1344">
        <v>13.343883999999999</v>
      </c>
      <c r="AE1344">
        <v>-21.890899999999899</v>
      </c>
      <c r="AF1344">
        <v>66.817514354977902</v>
      </c>
      <c r="AG1344">
        <v>13.343883999999999</v>
      </c>
      <c r="AH1344">
        <v>134.10193958478499</v>
      </c>
      <c r="AI1344">
        <v>84.910529895276298</v>
      </c>
      <c r="AJ1344">
        <v>63.514800455483901</v>
      </c>
      <c r="AK1344">
        <v>150.41931280651599</v>
      </c>
      <c r="AL1344">
        <v>92.828067455171507</v>
      </c>
      <c r="AM1344">
        <v>77.817625968986306</v>
      </c>
      <c r="AN1344">
        <v>1.0000000287147299</v>
      </c>
    </row>
    <row r="1345" spans="1:40" x14ac:dyDescent="0.25">
      <c r="A1345" t="str">
        <f>"20190312160938913"</f>
        <v>20190312160938913</v>
      </c>
      <c r="B1345" t="str">
        <f>"1552378178906873"</f>
        <v>1552378178906873</v>
      </c>
      <c r="C1345" t="s">
        <v>40</v>
      </c>
      <c r="D1345">
        <v>5.9511669999999999</v>
      </c>
      <c r="E1345">
        <v>0.59953639999999997</v>
      </c>
      <c r="F1345" t="s">
        <v>72</v>
      </c>
      <c r="G1345">
        <v>-351.48700000000002</v>
      </c>
      <c r="H1345">
        <v>14.491379999999999</v>
      </c>
      <c r="I1345">
        <v>265.94670000000002</v>
      </c>
      <c r="J1345">
        <v>-202.1883</v>
      </c>
      <c r="K1345">
        <v>1.107477</v>
      </c>
      <c r="L1345">
        <v>287.03210000000001</v>
      </c>
      <c r="M1345">
        <v>-0.82549050000000002</v>
      </c>
      <c r="N1345">
        <v>0</v>
      </c>
      <c r="O1345">
        <v>-0.56423730000000005</v>
      </c>
      <c r="P1345">
        <v>-0.92382880000000001</v>
      </c>
      <c r="Q1345">
        <v>-6.1351080000000002E-2</v>
      </c>
      <c r="R1345">
        <v>-0.37785809999999997</v>
      </c>
      <c r="S1345">
        <v>-3.092285</v>
      </c>
      <c r="T1345">
        <v>0.27701999999999999</v>
      </c>
      <c r="U1345">
        <v>-0.4376526</v>
      </c>
      <c r="V1345">
        <v>0.20903240000000001</v>
      </c>
      <c r="W1345">
        <v>-4.8904599999999999E-2</v>
      </c>
      <c r="X1345">
        <v>0.97668509999999997</v>
      </c>
      <c r="Y1345">
        <v>0.43938129999999997</v>
      </c>
      <c r="Z1345">
        <v>-6.6861840000000006E-2</v>
      </c>
      <c r="AA1345">
        <v>0.89580890000000002</v>
      </c>
      <c r="AB1345">
        <v>12</v>
      </c>
      <c r="AC1345">
        <v>-149.298699999999</v>
      </c>
      <c r="AD1345">
        <v>13.383903</v>
      </c>
      <c r="AE1345">
        <v>-21.0854</v>
      </c>
      <c r="AF1345">
        <v>66.318310993190593</v>
      </c>
      <c r="AG1345">
        <v>13.383903</v>
      </c>
      <c r="AH1345">
        <v>134.098881039536</v>
      </c>
      <c r="AI1345">
        <v>84.887720213958502</v>
      </c>
      <c r="AJ1345">
        <v>63.6854023748458</v>
      </c>
      <c r="AK1345">
        <v>150.199058347776</v>
      </c>
      <c r="AL1345">
        <v>92.803145314406805</v>
      </c>
      <c r="AM1345">
        <v>77.919673151523099</v>
      </c>
      <c r="AN1345">
        <v>0.99999999435646403</v>
      </c>
    </row>
    <row r="1346" spans="1:40" x14ac:dyDescent="0.25">
      <c r="A1346" t="str">
        <f>"20190312160938937"</f>
        <v>20190312160938937</v>
      </c>
      <c r="B1346" t="str">
        <f>"1552378178926393"</f>
        <v>1552378178926393</v>
      </c>
      <c r="C1346" t="s">
        <v>40</v>
      </c>
      <c r="D1346">
        <v>5.9515060000000002</v>
      </c>
      <c r="E1346">
        <v>0.59834869999999996</v>
      </c>
      <c r="F1346" t="s">
        <v>72</v>
      </c>
      <c r="G1346">
        <v>-351.48700000000002</v>
      </c>
      <c r="H1346">
        <v>14.0324299999999</v>
      </c>
      <c r="I1346">
        <v>266.31659999999999</v>
      </c>
      <c r="J1346">
        <v>-202.2996</v>
      </c>
      <c r="K1346">
        <v>1.107488</v>
      </c>
      <c r="L1346">
        <v>286.96879999999999</v>
      </c>
      <c r="M1346">
        <v>-0.83044240000000002</v>
      </c>
      <c r="N1346">
        <v>0</v>
      </c>
      <c r="O1346">
        <v>-0.55692369999999902</v>
      </c>
      <c r="P1346">
        <v>-0.92628100000000002</v>
      </c>
      <c r="Q1346">
        <v>-6.0227780000000002E-2</v>
      </c>
      <c r="R1346">
        <v>-0.37198979999999998</v>
      </c>
      <c r="S1346">
        <v>-3.0897670000000002</v>
      </c>
      <c r="T1346">
        <v>0.2674861</v>
      </c>
      <c r="U1346">
        <v>-0.42871090000000001</v>
      </c>
      <c r="V1346">
        <v>0.2066529</v>
      </c>
      <c r="W1346">
        <v>-4.7760770000000001E-2</v>
      </c>
      <c r="X1346">
        <v>0.97724789999999995</v>
      </c>
      <c r="Y1346">
        <v>0.43417020000000001</v>
      </c>
      <c r="Z1346">
        <v>-6.3902609999999999E-2</v>
      </c>
      <c r="AA1346">
        <v>0.89856150000000001</v>
      </c>
      <c r="AB1346">
        <v>12</v>
      </c>
      <c r="AC1346">
        <v>-149.187399999999</v>
      </c>
      <c r="AD1346">
        <v>12.9249419999999</v>
      </c>
      <c r="AE1346">
        <v>-20.652200000000001</v>
      </c>
      <c r="AF1346">
        <v>65.460090005142504</v>
      </c>
      <c r="AG1346">
        <v>12.9249419999999</v>
      </c>
      <c r="AH1346">
        <v>134.41695204730101</v>
      </c>
      <c r="AI1346">
        <v>85.059106453368102</v>
      </c>
      <c r="AJ1346">
        <v>64.034250564912298</v>
      </c>
      <c r="AK1346">
        <v>150.06663355613401</v>
      </c>
      <c r="AL1346">
        <v>92.737532021439193</v>
      </c>
      <c r="AM1346">
        <v>78.059898047876601</v>
      </c>
      <c r="AN1346">
        <v>0.99999998514190602</v>
      </c>
    </row>
    <row r="1347" spans="1:40" x14ac:dyDescent="0.25">
      <c r="A1347" t="str">
        <f>"20190312160938959"</f>
        <v>20190312160938959</v>
      </c>
      <c r="B1347" t="str">
        <f>"1552378178956649"</f>
        <v>1552378178956649</v>
      </c>
      <c r="C1347" t="s">
        <v>40</v>
      </c>
      <c r="D1347">
        <v>5.7500179999999999</v>
      </c>
      <c r="E1347">
        <v>0.5967884</v>
      </c>
      <c r="F1347" t="s">
        <v>72</v>
      </c>
      <c r="G1347">
        <v>-351.48700000000002</v>
      </c>
      <c r="H1347">
        <v>13.65138</v>
      </c>
      <c r="I1347">
        <v>266.83670000000001</v>
      </c>
      <c r="J1347">
        <v>-202.411</v>
      </c>
      <c r="K1347">
        <v>1.1075120000000001</v>
      </c>
      <c r="L1347">
        <v>286.90679999999998</v>
      </c>
      <c r="M1347">
        <v>-0.83530680000000002</v>
      </c>
      <c r="N1347">
        <v>0</v>
      </c>
      <c r="O1347">
        <v>-0.54960100000000001</v>
      </c>
      <c r="P1347">
        <v>-0.92867359999999999</v>
      </c>
      <c r="Q1347">
        <v>-5.954607E-2</v>
      </c>
      <c r="R1347">
        <v>-0.3660873</v>
      </c>
      <c r="S1347">
        <v>-3.0882719999999999</v>
      </c>
      <c r="T1347">
        <v>0.25966790000000001</v>
      </c>
      <c r="U1347">
        <v>-0.41674800000000001</v>
      </c>
      <c r="V1347">
        <v>0.2043121</v>
      </c>
      <c r="W1347">
        <v>-4.705877E-2</v>
      </c>
      <c r="X1347">
        <v>0.97777400000000003</v>
      </c>
      <c r="Y1347">
        <v>0.4298361</v>
      </c>
      <c r="Z1347">
        <v>-6.1411519999999997E-2</v>
      </c>
      <c r="AA1347">
        <v>0.90081610000000001</v>
      </c>
      <c r="AB1347">
        <v>12</v>
      </c>
      <c r="AC1347">
        <v>-149.07599999999999</v>
      </c>
      <c r="AD1347">
        <v>12.543868</v>
      </c>
      <c r="AE1347">
        <v>-20.070099999999901</v>
      </c>
      <c r="AF1347">
        <v>64.724084173652997</v>
      </c>
      <c r="AG1347">
        <v>12.543868</v>
      </c>
      <c r="AH1347">
        <v>134.632131707903</v>
      </c>
      <c r="AI1347">
        <v>85.200037760622493</v>
      </c>
      <c r="AJ1347">
        <v>64.324187550317504</v>
      </c>
      <c r="AK1347">
        <v>149.907860316708</v>
      </c>
      <c r="AL1347">
        <v>92.697265121402694</v>
      </c>
      <c r="AM1347">
        <v>78.197503192861504</v>
      </c>
      <c r="AN1347">
        <v>0.99999997855816103</v>
      </c>
    </row>
    <row r="1348" spans="1:40" x14ac:dyDescent="0.25">
      <c r="A1348" t="str">
        <f>"20190312160938985"</f>
        <v>20190312160938985</v>
      </c>
      <c r="B1348" t="str">
        <f>"1552378178977144"</f>
        <v>1552378178977144</v>
      </c>
      <c r="C1348" t="s">
        <v>40</v>
      </c>
      <c r="D1348">
        <v>5.6445970000000001</v>
      </c>
      <c r="E1348">
        <v>0.59586260000000002</v>
      </c>
      <c r="F1348" t="s">
        <v>72</v>
      </c>
      <c r="G1348">
        <v>-351.48700000000002</v>
      </c>
      <c r="H1348">
        <v>12.839079999999999</v>
      </c>
      <c r="I1348">
        <v>267.23140000000001</v>
      </c>
      <c r="J1348">
        <v>-202.53299999999999</v>
      </c>
      <c r="K1348">
        <v>1.1075299999999999</v>
      </c>
      <c r="L1348">
        <v>286.84019999999998</v>
      </c>
      <c r="M1348">
        <v>-0.84053989999999901</v>
      </c>
      <c r="N1348">
        <v>0</v>
      </c>
      <c r="O1348">
        <v>-0.54156419999999905</v>
      </c>
      <c r="P1348">
        <v>-0.9314481</v>
      </c>
      <c r="Q1348">
        <v>-5.8558390000000002E-2</v>
      </c>
      <c r="R1348">
        <v>-0.3591316</v>
      </c>
      <c r="S1348">
        <v>-3.0854490000000001</v>
      </c>
      <c r="T1348">
        <v>0.24281140000000001</v>
      </c>
      <c r="U1348">
        <v>-0.40722659999999999</v>
      </c>
      <c r="V1348">
        <v>0.2022902</v>
      </c>
      <c r="W1348">
        <v>-4.6053660000000003E-2</v>
      </c>
      <c r="X1348">
        <v>0.97824219999999895</v>
      </c>
      <c r="Y1348">
        <v>0.42422559999999898</v>
      </c>
      <c r="Z1348">
        <v>-5.676581E-2</v>
      </c>
      <c r="AA1348">
        <v>0.90377560000000001</v>
      </c>
      <c r="AB1348">
        <v>12</v>
      </c>
      <c r="AC1348">
        <v>-148.95399999999901</v>
      </c>
      <c r="AD1348">
        <v>11.73155</v>
      </c>
      <c r="AE1348">
        <v>-19.608799999999899</v>
      </c>
      <c r="AF1348">
        <v>63.8035873996417</v>
      </c>
      <c r="AG1348">
        <v>11.73155</v>
      </c>
      <c r="AH1348">
        <v>135.01162945017799</v>
      </c>
      <c r="AI1348">
        <v>85.507957457318298</v>
      </c>
      <c r="AJ1348">
        <v>64.705590934981203</v>
      </c>
      <c r="AK1348">
        <v>149.788741623856</v>
      </c>
      <c r="AL1348">
        <v>92.639613899633403</v>
      </c>
      <c r="AM1348">
        <v>78.316513648565902</v>
      </c>
      <c r="AN1348">
        <v>1.00000003323813</v>
      </c>
    </row>
    <row r="1349" spans="1:40" x14ac:dyDescent="0.25">
      <c r="A1349" t="str">
        <f>"20190312160939008"</f>
        <v>20190312160939008</v>
      </c>
      <c r="B1349" t="str">
        <f>"1552378178996665"</f>
        <v>1552378178996665</v>
      </c>
      <c r="C1349" t="s">
        <v>40</v>
      </c>
      <c r="D1349">
        <v>5.5592439999999996</v>
      </c>
      <c r="E1349">
        <v>0.59544589999999997</v>
      </c>
      <c r="F1349" t="s">
        <v>72</v>
      </c>
      <c r="G1349">
        <v>-352.08690000000001</v>
      </c>
      <c r="H1349">
        <v>12.442600000000001</v>
      </c>
      <c r="I1349">
        <v>267.94159999999999</v>
      </c>
      <c r="J1349">
        <v>-202.64779999999999</v>
      </c>
      <c r="K1349">
        <v>1.107542</v>
      </c>
      <c r="L1349">
        <v>286.77910000000003</v>
      </c>
      <c r="M1349">
        <v>-0.84536460000000002</v>
      </c>
      <c r="N1349">
        <v>0</v>
      </c>
      <c r="O1349">
        <v>-0.53400209999999904</v>
      </c>
      <c r="P1349">
        <v>-0.93372820000000001</v>
      </c>
      <c r="Q1349">
        <v>-5.8163819999999998E-2</v>
      </c>
      <c r="R1349">
        <v>-0.3532265</v>
      </c>
      <c r="S1349">
        <v>-3.085159</v>
      </c>
      <c r="T1349">
        <v>0.2338336</v>
      </c>
      <c r="U1349">
        <v>-0.38986209999999999</v>
      </c>
      <c r="V1349">
        <v>0.1997275</v>
      </c>
      <c r="W1349">
        <v>-4.5636509999999998E-2</v>
      </c>
      <c r="X1349">
        <v>0.97878810000000005</v>
      </c>
      <c r="Y1349">
        <v>0.4213209</v>
      </c>
      <c r="Z1349">
        <v>-5.41238E-2</v>
      </c>
      <c r="AA1349">
        <v>0.90529510000000002</v>
      </c>
      <c r="AB1349">
        <v>12</v>
      </c>
      <c r="AC1349">
        <v>-149.4391</v>
      </c>
      <c r="AD1349">
        <v>11.335058</v>
      </c>
      <c r="AE1349">
        <v>-18.837499999999999</v>
      </c>
      <c r="AF1349">
        <v>63.522889002600799</v>
      </c>
      <c r="AG1349">
        <v>11.335058</v>
      </c>
      <c r="AH1349">
        <v>135.635312795685</v>
      </c>
      <c r="AI1349">
        <v>85.672028993478705</v>
      </c>
      <c r="AJ1349">
        <v>64.904619319644596</v>
      </c>
      <c r="AK1349">
        <v>150.201794410997</v>
      </c>
      <c r="AL1349">
        <v>92.615688013799002</v>
      </c>
      <c r="AM1349">
        <v>78.466794024623795</v>
      </c>
      <c r="AN1349">
        <v>0.99999995500141903</v>
      </c>
    </row>
    <row r="1350" spans="1:40" x14ac:dyDescent="0.25">
      <c r="A1350" t="str">
        <f>"20190312160939048"</f>
        <v>20190312160939048</v>
      </c>
      <c r="B1350" t="str">
        <f>"1552378179036680"</f>
        <v>1552378179036680</v>
      </c>
      <c r="C1350" t="s">
        <v>40</v>
      </c>
      <c r="D1350">
        <v>5.0676579999999998</v>
      </c>
      <c r="E1350">
        <v>0.58259189999999905</v>
      </c>
      <c r="F1350" t="s">
        <v>72</v>
      </c>
      <c r="G1350">
        <v>-358.21519999999998</v>
      </c>
      <c r="H1350">
        <v>12.652799999999999</v>
      </c>
      <c r="I1350">
        <v>267.98379999999997</v>
      </c>
      <c r="J1350">
        <v>-202.83940000000001</v>
      </c>
      <c r="K1350">
        <v>1.107577</v>
      </c>
      <c r="L1350">
        <v>286.68</v>
      </c>
      <c r="M1350">
        <v>-0.85321880000000005</v>
      </c>
      <c r="N1350">
        <v>0</v>
      </c>
      <c r="O1350">
        <v>-0.52136139999999997</v>
      </c>
      <c r="P1350">
        <v>-0.93763700000000005</v>
      </c>
      <c r="Q1350">
        <v>-5.7144430000000003E-2</v>
      </c>
      <c r="R1350">
        <v>-0.34288770000000002</v>
      </c>
      <c r="S1350">
        <v>-3.0861510000000001</v>
      </c>
      <c r="T1350">
        <v>0.22903660000000001</v>
      </c>
      <c r="U1350">
        <v>-0.37286380000000002</v>
      </c>
      <c r="V1350">
        <v>0.19601859999999999</v>
      </c>
      <c r="W1350">
        <v>-4.4584260000000001E-2</v>
      </c>
      <c r="X1350">
        <v>0.97958610000000002</v>
      </c>
      <c r="Y1350">
        <v>0.41291650000000002</v>
      </c>
      <c r="Z1350">
        <v>-5.1929210000000003E-2</v>
      </c>
      <c r="AA1350">
        <v>0.90928730000000002</v>
      </c>
      <c r="AB1350">
        <v>12</v>
      </c>
      <c r="AC1350">
        <v>-155.375799999999</v>
      </c>
      <c r="AD1350">
        <v>11.545223</v>
      </c>
      <c r="AE1350">
        <v>-18.696200000000001</v>
      </c>
      <c r="AF1350">
        <v>64.709323228065898</v>
      </c>
      <c r="AG1350">
        <v>11.545223</v>
      </c>
      <c r="AH1350">
        <v>141.56082397027899</v>
      </c>
      <c r="AI1350">
        <v>85.757882666574901</v>
      </c>
      <c r="AJ1350">
        <v>65.434233536342106</v>
      </c>
      <c r="AK1350">
        <v>156.07708214180099</v>
      </c>
      <c r="AL1350">
        <v>92.555337004323107</v>
      </c>
      <c r="AM1350">
        <v>78.684366010324794</v>
      </c>
      <c r="AN1350">
        <v>0.99999998754945796</v>
      </c>
    </row>
    <row r="1351" spans="1:40" x14ac:dyDescent="0.25">
      <c r="A1351" t="str">
        <f>"20190312160939070"</f>
        <v>20190312160939070</v>
      </c>
      <c r="B1351" t="str">
        <f>"1552378179066938"</f>
        <v>1552378179066938</v>
      </c>
      <c r="C1351" t="s">
        <v>40</v>
      </c>
      <c r="D1351">
        <v>5.6665390000000002</v>
      </c>
      <c r="E1351">
        <v>0.5793741</v>
      </c>
      <c r="F1351" t="s">
        <v>61</v>
      </c>
      <c r="G1351">
        <v>-216.00229999999999</v>
      </c>
      <c r="H1351" s="1">
        <v>1.657337E-6</v>
      </c>
      <c r="I1351">
        <v>284.9273</v>
      </c>
      <c r="J1351">
        <v>-202.95400000000001</v>
      </c>
      <c r="K1351">
        <v>1.107602</v>
      </c>
      <c r="L1351">
        <v>286.62240000000003</v>
      </c>
      <c r="M1351">
        <v>-0.85779649999999996</v>
      </c>
      <c r="N1351">
        <v>0</v>
      </c>
      <c r="O1351">
        <v>-0.51379520000000001</v>
      </c>
      <c r="P1351">
        <v>-0.94017799999999996</v>
      </c>
      <c r="Q1351">
        <v>-5.6129489999999997E-2</v>
      </c>
      <c r="R1351">
        <v>-0.33602860000000001</v>
      </c>
      <c r="S1351">
        <v>-3.036133</v>
      </c>
      <c r="T1351">
        <v>-0.25547150000000002</v>
      </c>
      <c r="U1351">
        <v>-0.40426640000000003</v>
      </c>
      <c r="V1351">
        <v>0.19455210000000001</v>
      </c>
      <c r="W1351">
        <v>-4.3556039999999997E-2</v>
      </c>
      <c r="X1351">
        <v>0.97992469999999998</v>
      </c>
      <c r="Y1351">
        <v>0.39316089999999998</v>
      </c>
      <c r="Z1351">
        <v>5.7409050000000003E-2</v>
      </c>
      <c r="AA1351">
        <v>0.91767569999999998</v>
      </c>
      <c r="AB1351">
        <v>12</v>
      </c>
      <c r="AC1351">
        <v>-13.0482999999999</v>
      </c>
      <c r="AD1351">
        <v>-1.1076003426629999</v>
      </c>
      <c r="AE1351">
        <v>-1.69510000000002</v>
      </c>
      <c r="AF1351">
        <v>5.2136840261302702</v>
      </c>
      <c r="AG1351">
        <v>-1.1076003426629999</v>
      </c>
      <c r="AH1351">
        <v>11.980036423733701</v>
      </c>
      <c r="AI1351">
        <v>94.845593883672393</v>
      </c>
      <c r="AJ1351">
        <v>66.481436549645807</v>
      </c>
      <c r="AK1351">
        <v>13.1122291147379</v>
      </c>
      <c r="AL1351">
        <v>92.496366928230003</v>
      </c>
      <c r="AM1351">
        <v>78.770645461489096</v>
      </c>
      <c r="AN1351">
        <v>1.0000000329524901</v>
      </c>
    </row>
    <row r="1352" spans="1:40" x14ac:dyDescent="0.25">
      <c r="A1352" t="str">
        <f>"20190312160939093"</f>
        <v>20190312160939093</v>
      </c>
      <c r="B1352" t="str">
        <f>"1552378179086456"</f>
        <v>1552378179086456</v>
      </c>
      <c r="C1352" t="s">
        <v>40</v>
      </c>
      <c r="D1352">
        <v>5.8703919999999998</v>
      </c>
      <c r="E1352">
        <v>0.57808570000000004</v>
      </c>
      <c r="F1352" t="s">
        <v>61</v>
      </c>
      <c r="G1352">
        <v>-224.82689999999999</v>
      </c>
      <c r="H1352" s="1">
        <v>1.03186E-6</v>
      </c>
      <c r="I1352">
        <v>283.65109999999999</v>
      </c>
      <c r="J1352">
        <v>-203.06290000000001</v>
      </c>
      <c r="K1352">
        <v>1.1076220000000001</v>
      </c>
      <c r="L1352">
        <v>286.56889999999999</v>
      </c>
      <c r="M1352">
        <v>-0.86206709999999998</v>
      </c>
      <c r="N1352">
        <v>0</v>
      </c>
      <c r="O1352">
        <v>-0.50659709999999902</v>
      </c>
      <c r="P1352">
        <v>-0.94244570000000005</v>
      </c>
      <c r="Q1352">
        <v>-5.4727909999999998E-2</v>
      </c>
      <c r="R1352">
        <v>-0.32985039999999999</v>
      </c>
      <c r="S1352">
        <v>-3.0343779999999998</v>
      </c>
      <c r="T1352">
        <v>-0.15365479999999901</v>
      </c>
      <c r="U1352">
        <v>-0.41220089999999998</v>
      </c>
      <c r="V1352">
        <v>0.19283510000000001</v>
      </c>
      <c r="W1352">
        <v>-4.2138229999999999E-2</v>
      </c>
      <c r="X1352">
        <v>0.98032589999999997</v>
      </c>
      <c r="Y1352">
        <v>0.38492860000000001</v>
      </c>
      <c r="Z1352">
        <v>3.4059060000000002E-2</v>
      </c>
      <c r="AA1352">
        <v>0.92231770000000002</v>
      </c>
      <c r="AB1352">
        <v>12</v>
      </c>
      <c r="AC1352">
        <v>-21.7639999999999</v>
      </c>
      <c r="AD1352">
        <v>-1.10762096814</v>
      </c>
      <c r="AE1352">
        <v>-2.9178000000000002</v>
      </c>
      <c r="AF1352">
        <v>8.4894899325490201</v>
      </c>
      <c r="AG1352">
        <v>-1.10762096814</v>
      </c>
      <c r="AH1352">
        <v>20.190827067485301</v>
      </c>
      <c r="AI1352">
        <v>92.894947014216399</v>
      </c>
      <c r="AJ1352">
        <v>67.195061849543194</v>
      </c>
      <c r="AK1352">
        <v>21.930977205610599</v>
      </c>
      <c r="AL1352">
        <v>92.415057952702099</v>
      </c>
      <c r="AM1352">
        <v>78.871705191598394</v>
      </c>
      <c r="AN1352">
        <v>0.99999993821517397</v>
      </c>
    </row>
    <row r="1353" spans="1:40" x14ac:dyDescent="0.25">
      <c r="A1353" t="str">
        <f>"20190312160939114"</f>
        <v>20190312160939114</v>
      </c>
      <c r="B1353" t="str">
        <f>"1552378179106952"</f>
        <v>1552378179106952</v>
      </c>
      <c r="C1353" t="s">
        <v>40</v>
      </c>
      <c r="D1353">
        <v>5.1647369999999997</v>
      </c>
      <c r="E1353">
        <v>0.57699659999999997</v>
      </c>
      <c r="F1353" t="s">
        <v>61</v>
      </c>
      <c r="G1353">
        <v>-228.5248</v>
      </c>
      <c r="H1353" s="1">
        <v>2.9997100000000001E-6</v>
      </c>
      <c r="I1353">
        <v>283.18560000000002</v>
      </c>
      <c r="J1353">
        <v>-203.16739999999999</v>
      </c>
      <c r="K1353">
        <v>1.107645</v>
      </c>
      <c r="L1353">
        <v>286.51850000000002</v>
      </c>
      <c r="M1353">
        <v>-0.86608909999999995</v>
      </c>
      <c r="N1353">
        <v>0</v>
      </c>
      <c r="O1353">
        <v>-0.49969029999999998</v>
      </c>
      <c r="P1353">
        <v>-0.94438049999999996</v>
      </c>
      <c r="Q1353">
        <v>-5.3467779999999999E-2</v>
      </c>
      <c r="R1353">
        <v>-0.32447910000000002</v>
      </c>
      <c r="S1353">
        <v>-3.034424</v>
      </c>
      <c r="T1353">
        <v>-0.13200039999999999</v>
      </c>
      <c r="U1353">
        <v>-0.40319820000000001</v>
      </c>
      <c r="V1353">
        <v>0.19062770000000001</v>
      </c>
      <c r="W1353">
        <v>-4.0857039999999997E-2</v>
      </c>
      <c r="X1353">
        <v>0.98081180000000001</v>
      </c>
      <c r="Y1353">
        <v>0.38052429999999998</v>
      </c>
      <c r="Z1353">
        <v>2.8919810000000001E-2</v>
      </c>
      <c r="AA1353">
        <v>0.92431859999999999</v>
      </c>
      <c r="AB1353">
        <v>12</v>
      </c>
      <c r="AC1353">
        <v>-25.357399999999998</v>
      </c>
      <c r="AD1353">
        <v>-1.10764200029</v>
      </c>
      <c r="AE1353">
        <v>-3.3328999999999902</v>
      </c>
      <c r="AF1353">
        <v>9.7669142090712597</v>
      </c>
      <c r="AG1353">
        <v>-1.10764200029</v>
      </c>
      <c r="AH1353">
        <v>23.5853023872967</v>
      </c>
      <c r="AI1353">
        <v>92.484502796877706</v>
      </c>
      <c r="AJ1353">
        <v>67.505055287338607</v>
      </c>
      <c r="AK1353">
        <v>25.551633463800101</v>
      </c>
      <c r="AL1353">
        <v>92.341587726070202</v>
      </c>
      <c r="AM1353">
        <v>79.001283464296804</v>
      </c>
      <c r="AN1353">
        <v>1.0000000023720399</v>
      </c>
    </row>
    <row r="1354" spans="1:40" x14ac:dyDescent="0.25">
      <c r="A1354" t="str">
        <f>"20190312160939136"</f>
        <v>20190312160939136</v>
      </c>
      <c r="B1354" t="str">
        <f>"1552378179126948"</f>
        <v>1552378179126948</v>
      </c>
      <c r="C1354" t="s">
        <v>40</v>
      </c>
      <c r="D1354">
        <v>5.7931650000000001</v>
      </c>
      <c r="E1354">
        <v>0.579789</v>
      </c>
      <c r="F1354" t="s">
        <v>61</v>
      </c>
      <c r="G1354">
        <v>-230.83670000000001</v>
      </c>
      <c r="H1354" s="1">
        <v>-1.017401E-6</v>
      </c>
      <c r="I1354">
        <v>282.9205</v>
      </c>
      <c r="J1354">
        <v>-203.27850000000001</v>
      </c>
      <c r="K1354">
        <v>1.107661</v>
      </c>
      <c r="L1354">
        <v>286.46609999999998</v>
      </c>
      <c r="M1354">
        <v>-0.87028459999999996</v>
      </c>
      <c r="N1354">
        <v>0</v>
      </c>
      <c r="O1354">
        <v>-0.49234709999999998</v>
      </c>
      <c r="P1354">
        <v>-0.9464091</v>
      </c>
      <c r="Q1354">
        <v>-5.1799930000000001E-2</v>
      </c>
      <c r="R1354">
        <v>-0.31878990000000001</v>
      </c>
      <c r="S1354">
        <v>-3.0342250000000002</v>
      </c>
      <c r="T1354">
        <v>-0.1214648</v>
      </c>
      <c r="U1354">
        <v>-0.39456180000000002</v>
      </c>
      <c r="V1354">
        <v>0.18829419999999999</v>
      </c>
      <c r="W1354">
        <v>-3.9166220000000002E-2</v>
      </c>
      <c r="X1354">
        <v>0.98133139999999996</v>
      </c>
      <c r="Y1354">
        <v>0.3754035</v>
      </c>
      <c r="Z1354">
        <v>2.6267410000000001E-2</v>
      </c>
      <c r="AA1354">
        <v>0.92648920000000001</v>
      </c>
      <c r="AB1354">
        <v>12</v>
      </c>
      <c r="AC1354">
        <v>-27.558199999999999</v>
      </c>
      <c r="AD1354">
        <v>-1.1076620174009999</v>
      </c>
      <c r="AE1354">
        <v>-3.5455999999999701</v>
      </c>
      <c r="AF1354">
        <v>10.466927988033699</v>
      </c>
      <c r="AG1354">
        <v>-1.1076620174009999</v>
      </c>
      <c r="AH1354">
        <v>25.690875655203499</v>
      </c>
      <c r="AI1354">
        <v>92.286509610894299</v>
      </c>
      <c r="AJ1354">
        <v>67.833128289169906</v>
      </c>
      <c r="AK1354">
        <v>27.763367745693401</v>
      </c>
      <c r="AL1354">
        <v>92.244633213267306</v>
      </c>
      <c r="AM1354">
        <v>79.138312466121207</v>
      </c>
      <c r="AN1354">
        <v>1.00000000758434</v>
      </c>
    </row>
    <row r="1355" spans="1:40" x14ac:dyDescent="0.25">
      <c r="A1355" t="str">
        <f>"20190312160939160"</f>
        <v>20190312160939160</v>
      </c>
      <c r="B1355" t="str">
        <f>"1552378179157204"</f>
        <v>1552378179157204</v>
      </c>
      <c r="C1355" t="s">
        <v>40</v>
      </c>
      <c r="D1355">
        <v>5.0933070000000003</v>
      </c>
      <c r="E1355">
        <v>0.5805418</v>
      </c>
      <c r="F1355" t="s">
        <v>61</v>
      </c>
      <c r="G1355">
        <v>-227.79519999999999</v>
      </c>
      <c r="H1355" s="1">
        <v>2.6114359999999998E-6</v>
      </c>
      <c r="I1355">
        <v>283.61579999999998</v>
      </c>
      <c r="J1355">
        <v>-203.3913</v>
      </c>
      <c r="K1355">
        <v>1.1076889999999999</v>
      </c>
      <c r="L1355">
        <v>286.41399999999999</v>
      </c>
      <c r="M1355">
        <v>-0.87445349999999999</v>
      </c>
      <c r="N1355">
        <v>0</v>
      </c>
      <c r="O1355">
        <v>-0.48490430000000001</v>
      </c>
      <c r="P1355">
        <v>-0.94844479999999998</v>
      </c>
      <c r="Q1355">
        <v>-5.0812120000000002E-2</v>
      </c>
      <c r="R1355">
        <v>-0.31284289999999998</v>
      </c>
      <c r="S1355">
        <v>-3.0431819999999998</v>
      </c>
      <c r="T1355">
        <v>-0.13749040000000001</v>
      </c>
      <c r="U1355">
        <v>-0.3537903</v>
      </c>
      <c r="V1355">
        <v>0.18611720000000001</v>
      </c>
      <c r="W1355">
        <v>-3.8156679999999998E-2</v>
      </c>
      <c r="X1355">
        <v>0.98178639999999995</v>
      </c>
      <c r="Y1355">
        <v>0.37989129999999999</v>
      </c>
      <c r="Z1355">
        <v>2.9493109999999999E-2</v>
      </c>
      <c r="AA1355">
        <v>0.92456079999999996</v>
      </c>
      <c r="AB1355">
        <v>12</v>
      </c>
      <c r="AC1355">
        <v>-24.4039</v>
      </c>
      <c r="AD1355">
        <v>-1.10768638856399</v>
      </c>
      <c r="AE1355">
        <v>-2.7982</v>
      </c>
      <c r="AF1355">
        <v>9.3685430272642591</v>
      </c>
      <c r="AG1355">
        <v>-1.10768638856399</v>
      </c>
      <c r="AH1355">
        <v>22.653127523135598</v>
      </c>
      <c r="AI1355">
        <v>92.587204902342805</v>
      </c>
      <c r="AJ1355">
        <v>67.531720157829895</v>
      </c>
      <c r="AK1355">
        <v>24.538963999495898</v>
      </c>
      <c r="AL1355">
        <v>92.186747482266298</v>
      </c>
      <c r="AM1355">
        <v>79.265816252447493</v>
      </c>
      <c r="AN1355">
        <v>1.00000003979471</v>
      </c>
    </row>
    <row r="1356" spans="1:40" x14ac:dyDescent="0.25">
      <c r="A1356" t="str">
        <f>"20190312160939206"</f>
        <v>20190312160939206</v>
      </c>
      <c r="B1356" t="str">
        <f>"1552378179197220"</f>
        <v>1552378179197220</v>
      </c>
      <c r="C1356" t="s">
        <v>40</v>
      </c>
      <c r="D1356">
        <v>5.351451</v>
      </c>
      <c r="E1356">
        <v>0.58136669999999901</v>
      </c>
      <c r="F1356" t="s">
        <v>61</v>
      </c>
      <c r="G1356">
        <v>-222.9238</v>
      </c>
      <c r="H1356" s="1">
        <v>1.9100360000000001E-8</v>
      </c>
      <c r="I1356">
        <v>284.31950000000001</v>
      </c>
      <c r="J1356">
        <v>-203.6122</v>
      </c>
      <c r="K1356">
        <v>1.1077490000000001</v>
      </c>
      <c r="L1356">
        <v>286.3152</v>
      </c>
      <c r="M1356">
        <v>-0.88236579999999998</v>
      </c>
      <c r="N1356">
        <v>0</v>
      </c>
      <c r="O1356">
        <v>-0.47035369999999999</v>
      </c>
      <c r="P1356">
        <v>-0.95227019999999996</v>
      </c>
      <c r="Q1356">
        <v>-5.10269E-2</v>
      </c>
      <c r="R1356">
        <v>-0.30096260000000002</v>
      </c>
      <c r="S1356">
        <v>-3.0460660000000002</v>
      </c>
      <c r="T1356">
        <v>-0.1727426</v>
      </c>
      <c r="U1356">
        <v>-0.32662960000000002</v>
      </c>
      <c r="V1356">
        <v>0.18212690000000001</v>
      </c>
      <c r="W1356">
        <v>-3.8331589999999999E-2</v>
      </c>
      <c r="X1356">
        <v>0.98252759999999995</v>
      </c>
      <c r="Y1356">
        <v>0.3723572</v>
      </c>
      <c r="Z1356">
        <v>3.6104079999999997E-2</v>
      </c>
      <c r="AA1356">
        <v>0.92738690000000001</v>
      </c>
      <c r="AB1356">
        <v>12</v>
      </c>
      <c r="AC1356">
        <v>-19.311599999999999</v>
      </c>
      <c r="AD1356">
        <v>-1.1077489808996399</v>
      </c>
      <c r="AE1356">
        <v>-1.9957</v>
      </c>
      <c r="AF1356">
        <v>7.2993063625594603</v>
      </c>
      <c r="AG1356">
        <v>-1.1077489808996399</v>
      </c>
      <c r="AH1356">
        <v>17.922013202071</v>
      </c>
      <c r="AI1356">
        <v>93.276248898100505</v>
      </c>
      <c r="AJ1356">
        <v>67.839836157494702</v>
      </c>
      <c r="AK1356">
        <v>19.383125093606399</v>
      </c>
      <c r="AL1356">
        <v>92.196776507475903</v>
      </c>
      <c r="AM1356">
        <v>79.498524424270101</v>
      </c>
      <c r="AN1356">
        <v>1.0000000016286399</v>
      </c>
    </row>
    <row r="1357" spans="1:40" x14ac:dyDescent="0.25">
      <c r="A1357" t="str">
        <f>"20190312160939226"</f>
        <v>20190312160939226</v>
      </c>
      <c r="B1357" t="str">
        <f>"1552378179216740"</f>
        <v>1552378179216740</v>
      </c>
      <c r="C1357" t="s">
        <v>40</v>
      </c>
      <c r="D1357">
        <v>5.1003689999999997</v>
      </c>
      <c r="E1357">
        <v>0.58143369999999905</v>
      </c>
      <c r="F1357" t="s">
        <v>61</v>
      </c>
      <c r="G1357">
        <v>-220.26349999999999</v>
      </c>
      <c r="H1357" s="1">
        <v>-1.396565E-6</v>
      </c>
      <c r="I1357">
        <v>284.78429999999997</v>
      </c>
      <c r="J1357">
        <v>-203.7199</v>
      </c>
      <c r="K1357">
        <v>1.1077809999999999</v>
      </c>
      <c r="L1357">
        <v>286.26870000000002</v>
      </c>
      <c r="M1357">
        <v>-0.88609819999999995</v>
      </c>
      <c r="N1357">
        <v>0</v>
      </c>
      <c r="O1357">
        <v>-0.46328399999999997</v>
      </c>
      <c r="P1357">
        <v>-0.95411820000000003</v>
      </c>
      <c r="Q1357">
        <v>-4.9978670000000003E-2</v>
      </c>
      <c r="R1357">
        <v>-0.2952302</v>
      </c>
      <c r="S1357">
        <v>-3.0508120000000001</v>
      </c>
      <c r="T1357">
        <v>-0.20295930000000001</v>
      </c>
      <c r="U1357">
        <v>-0.28048709999999999</v>
      </c>
      <c r="V1357">
        <v>0.18021590000000001</v>
      </c>
      <c r="W1357">
        <v>-3.7264110000000003E-2</v>
      </c>
      <c r="X1357">
        <v>0.98292089999999999</v>
      </c>
      <c r="Y1357">
        <v>0.37848680000000001</v>
      </c>
      <c r="Z1357">
        <v>4.2185830000000001E-2</v>
      </c>
      <c r="AA1357">
        <v>0.92464480000000004</v>
      </c>
      <c r="AB1357">
        <v>12</v>
      </c>
      <c r="AC1357">
        <v>-16.543599999999898</v>
      </c>
      <c r="AD1357">
        <v>-1.107782396565</v>
      </c>
      <c r="AE1357">
        <v>-1.4844000000000499</v>
      </c>
      <c r="AF1357">
        <v>6.3215709408819603</v>
      </c>
      <c r="AG1357">
        <v>-1.107782396565</v>
      </c>
      <c r="AH1357">
        <v>15.280503934056799</v>
      </c>
      <c r="AI1357">
        <v>93.832524313575206</v>
      </c>
      <c r="AJ1357">
        <v>67.525035604653695</v>
      </c>
      <c r="AK1357">
        <v>16.573570571167402</v>
      </c>
      <c r="AL1357">
        <v>92.135570800110301</v>
      </c>
      <c r="AM1357">
        <v>79.610367589902197</v>
      </c>
      <c r="AN1357">
        <v>0.999999940081854</v>
      </c>
    </row>
    <row r="1358" spans="1:40" x14ac:dyDescent="0.25">
      <c r="A1358" t="str">
        <f>"20190312160939249"</f>
        <v>20190312160939249</v>
      </c>
      <c r="B1358" t="str">
        <f>"1552378179246996"</f>
        <v>1552378179246996</v>
      </c>
      <c r="C1358" t="s">
        <v>40</v>
      </c>
      <c r="D1358">
        <v>4.7912679999999996</v>
      </c>
      <c r="E1358">
        <v>0.58181609999999995</v>
      </c>
      <c r="F1358" t="s">
        <v>61</v>
      </c>
      <c r="G1358">
        <v>-219.6867</v>
      </c>
      <c r="H1358" s="1">
        <v>3.6179940000000002E-6</v>
      </c>
      <c r="I1358">
        <v>284.90370000000001</v>
      </c>
      <c r="J1358">
        <v>-203.83279999999999</v>
      </c>
      <c r="K1358">
        <v>1.1078059999999901</v>
      </c>
      <c r="L1358">
        <v>286.22089999999997</v>
      </c>
      <c r="M1358">
        <v>-0.88992689999999997</v>
      </c>
      <c r="N1358">
        <v>0</v>
      </c>
      <c r="O1358">
        <v>-0.45588630000000002</v>
      </c>
      <c r="P1358">
        <v>-0.95579250000000004</v>
      </c>
      <c r="Q1358">
        <v>-4.9132519999999999E-2</v>
      </c>
      <c r="R1358">
        <v>-0.28990860000000002</v>
      </c>
      <c r="S1358">
        <v>-3.0524439999999999</v>
      </c>
      <c r="T1358">
        <v>-0.21177860000000001</v>
      </c>
      <c r="U1358">
        <v>-0.26095580000000002</v>
      </c>
      <c r="V1358">
        <v>0.17753379999999999</v>
      </c>
      <c r="W1358">
        <v>-3.6393920000000003E-2</v>
      </c>
      <c r="X1358">
        <v>0.98344149999999997</v>
      </c>
      <c r="Y1358">
        <v>0.37655850000000002</v>
      </c>
      <c r="Z1358">
        <v>4.3490969999999997E-2</v>
      </c>
      <c r="AA1358">
        <v>0.92537139999999996</v>
      </c>
      <c r="AB1358">
        <v>12</v>
      </c>
      <c r="AC1358">
        <v>-15.853899999999999</v>
      </c>
      <c r="AD1358">
        <v>-1.1078023820059999</v>
      </c>
      <c r="AE1358">
        <v>-1.31719999999995</v>
      </c>
      <c r="AF1358">
        <v>6.02673854329033</v>
      </c>
      <c r="AG1358">
        <v>-1.1078023820059999</v>
      </c>
      <c r="AH1358">
        <v>14.639770134405801</v>
      </c>
      <c r="AI1358">
        <v>94.002658820471297</v>
      </c>
      <c r="AJ1358">
        <v>67.624557004605506</v>
      </c>
      <c r="AK1358">
        <v>15.8704654366216</v>
      </c>
      <c r="AL1358">
        <v>92.085678659069799</v>
      </c>
      <c r="AM1358">
        <v>79.767004212211603</v>
      </c>
      <c r="AN1358">
        <v>0.99999997573882704</v>
      </c>
    </row>
    <row r="1359" spans="1:40" x14ac:dyDescent="0.25">
      <c r="A1359" t="str">
        <f>"20190312160939272"</f>
        <v>20190312160939272</v>
      </c>
      <c r="B1359" t="str">
        <f>"1552378179266516"</f>
        <v>1552378179266516</v>
      </c>
      <c r="C1359" t="s">
        <v>40</v>
      </c>
      <c r="D1359">
        <v>4.9225820000000002</v>
      </c>
      <c r="E1359">
        <v>0.58267769999999997</v>
      </c>
      <c r="F1359" t="s">
        <v>61</v>
      </c>
      <c r="G1359">
        <v>-219.77619999999999</v>
      </c>
      <c r="H1359" s="1">
        <v>3.6656090000000001E-6</v>
      </c>
      <c r="I1359">
        <v>284.96510000000001</v>
      </c>
      <c r="J1359">
        <v>-203.94200000000001</v>
      </c>
      <c r="K1359">
        <v>1.1078209999999999</v>
      </c>
      <c r="L1359">
        <v>286.17570000000001</v>
      </c>
      <c r="M1359">
        <v>-0.89354889999999998</v>
      </c>
      <c r="N1359">
        <v>0</v>
      </c>
      <c r="O1359">
        <v>-0.44874619999999998</v>
      </c>
      <c r="P1359">
        <v>-0.95733849999999998</v>
      </c>
      <c r="Q1359">
        <v>-4.9043959999999998E-2</v>
      </c>
      <c r="R1359">
        <v>-0.28477740000000001</v>
      </c>
      <c r="S1359">
        <v>-3.0548709999999999</v>
      </c>
      <c r="T1359">
        <v>-0.2122629</v>
      </c>
      <c r="U1359">
        <v>-0.24063109999999999</v>
      </c>
      <c r="V1359">
        <v>0.1749406</v>
      </c>
      <c r="W1359">
        <v>-3.6282950000000001E-2</v>
      </c>
      <c r="X1359">
        <v>0.98391019999999896</v>
      </c>
      <c r="Y1359">
        <v>0.37533329999999998</v>
      </c>
      <c r="Z1359">
        <v>4.3092239999999997E-2</v>
      </c>
      <c r="AA1359">
        <v>0.92588760000000003</v>
      </c>
      <c r="AB1359">
        <v>12</v>
      </c>
      <c r="AC1359">
        <v>-15.8341999999999</v>
      </c>
      <c r="AD1359">
        <v>-1.1078173343910001</v>
      </c>
      <c r="AE1359">
        <v>-1.2105999999999899</v>
      </c>
      <c r="AF1359">
        <v>5.9952253468631804</v>
      </c>
      <c r="AG1359">
        <v>-1.1078173343910001</v>
      </c>
      <c r="AH1359">
        <v>14.6221748794269</v>
      </c>
      <c r="AI1359">
        <v>94.0098447188237</v>
      </c>
      <c r="AJ1359">
        <v>67.705922522306807</v>
      </c>
      <c r="AK1359">
        <v>15.8422846966777</v>
      </c>
      <c r="AL1359">
        <v>92.079316348189195</v>
      </c>
      <c r="AM1359">
        <v>79.918090652338194</v>
      </c>
      <c r="AN1359">
        <v>0.99999997382655004</v>
      </c>
    </row>
    <row r="1360" spans="1:40" x14ac:dyDescent="0.25">
      <c r="A1360" t="str">
        <f>"20190312160939293"</f>
        <v>20190312160939293</v>
      </c>
      <c r="B1360" t="str">
        <f>"1552378179287012"</f>
        <v>1552378179287012</v>
      </c>
      <c r="C1360" t="s">
        <v>40</v>
      </c>
      <c r="D1360">
        <v>5.0867879999999897</v>
      </c>
      <c r="E1360">
        <v>0.58228329999999995</v>
      </c>
      <c r="F1360" t="s">
        <v>61</v>
      </c>
      <c r="G1360">
        <v>-221.19</v>
      </c>
      <c r="H1360" s="1">
        <v>-9.0352029999999996E-7</v>
      </c>
      <c r="I1360">
        <v>284.9427</v>
      </c>
      <c r="J1360">
        <v>-204.04900000000001</v>
      </c>
      <c r="K1360">
        <v>1.1078479999999999</v>
      </c>
      <c r="L1360">
        <v>286.13240000000002</v>
      </c>
      <c r="M1360">
        <v>-0.89701160000000002</v>
      </c>
      <c r="N1360">
        <v>0</v>
      </c>
      <c r="O1360">
        <v>-0.44178440000000002</v>
      </c>
      <c r="P1360">
        <v>-0.95874409999999999</v>
      </c>
      <c r="Q1360">
        <v>-4.9300579999999997E-2</v>
      </c>
      <c r="R1360">
        <v>-0.27996300000000002</v>
      </c>
      <c r="S1360">
        <v>-3.0585939999999998</v>
      </c>
      <c r="T1360">
        <v>-0.1964504</v>
      </c>
      <c r="U1360">
        <v>-0.2186584</v>
      </c>
      <c r="V1360">
        <v>0.17222999999999999</v>
      </c>
      <c r="W1360">
        <v>-3.6515970000000002E-2</v>
      </c>
      <c r="X1360">
        <v>0.98437969999999997</v>
      </c>
      <c r="Y1360">
        <v>0.37512020000000001</v>
      </c>
      <c r="Z1360">
        <v>3.9453160000000001E-2</v>
      </c>
      <c r="AA1360">
        <v>0.92613619999999997</v>
      </c>
      <c r="AB1360">
        <v>12</v>
      </c>
      <c r="AC1360">
        <v>-17.140999999999899</v>
      </c>
      <c r="AD1360">
        <v>-1.1078489035203001</v>
      </c>
      <c r="AE1360">
        <v>-1.18970000000001</v>
      </c>
      <c r="AF1360">
        <v>6.4791565188595603</v>
      </c>
      <c r="AG1360">
        <v>-1.1078489035203001</v>
      </c>
      <c r="AH1360">
        <v>15.8369934610987</v>
      </c>
      <c r="AI1360">
        <v>93.704413327332702</v>
      </c>
      <c r="AJ1360">
        <v>67.749778623475905</v>
      </c>
      <c r="AK1360">
        <v>17.146928595984601</v>
      </c>
      <c r="AL1360">
        <v>92.092676227733705</v>
      </c>
      <c r="AM1360">
        <v>80.075812893405299</v>
      </c>
      <c r="AN1360">
        <v>0.99999999136856499</v>
      </c>
    </row>
    <row r="1361" spans="1:40" x14ac:dyDescent="0.25">
      <c r="A1361" t="str">
        <f>"20190312160939315"</f>
        <v>20190312160939315</v>
      </c>
      <c r="B1361" t="str">
        <f>"1552378179306532"</f>
        <v>1552378179306532</v>
      </c>
      <c r="C1361" t="s">
        <v>40</v>
      </c>
      <c r="D1361">
        <v>5.7386119999999998</v>
      </c>
      <c r="E1361">
        <v>0.56997219999999904</v>
      </c>
      <c r="F1361" t="s">
        <v>61</v>
      </c>
      <c r="G1361">
        <v>-220.9639</v>
      </c>
      <c r="H1361" s="1">
        <v>-1.0238269999999999E-6</v>
      </c>
      <c r="I1361">
        <v>284.99290000000002</v>
      </c>
      <c r="J1361">
        <v>-204.15559999999999</v>
      </c>
      <c r="K1361">
        <v>1.1078790000000001</v>
      </c>
      <c r="L1361">
        <v>286.09010000000001</v>
      </c>
      <c r="M1361">
        <v>-0.90038069999999903</v>
      </c>
      <c r="N1361">
        <v>0</v>
      </c>
      <c r="O1361">
        <v>-0.43487700000000001</v>
      </c>
      <c r="P1361">
        <v>-0.96021409999999996</v>
      </c>
      <c r="Q1361">
        <v>-4.9376549999999998E-2</v>
      </c>
      <c r="R1361">
        <v>-0.27486549999999998</v>
      </c>
      <c r="S1361">
        <v>-3.058624</v>
      </c>
      <c r="T1361">
        <v>-0.20032539999999999</v>
      </c>
      <c r="U1361">
        <v>-0.20605470000000001</v>
      </c>
      <c r="V1361">
        <v>0.16989560000000001</v>
      </c>
      <c r="W1361">
        <v>-3.657113E-2</v>
      </c>
      <c r="X1361">
        <v>0.98478319999999997</v>
      </c>
      <c r="Y1361">
        <v>0.37175069999999999</v>
      </c>
      <c r="Z1361">
        <v>3.9722E-2</v>
      </c>
      <c r="AA1361">
        <v>0.92748240000000004</v>
      </c>
      <c r="AB1361">
        <v>12</v>
      </c>
      <c r="AC1361">
        <v>-16.808299999999999</v>
      </c>
      <c r="AD1361">
        <v>-1.1078800238269999</v>
      </c>
      <c r="AE1361">
        <v>-1.09719999999998</v>
      </c>
      <c r="AF1361">
        <v>6.2950342387905298</v>
      </c>
      <c r="AG1361">
        <v>-1.1078800238269999</v>
      </c>
      <c r="AH1361">
        <v>15.5453009725453</v>
      </c>
      <c r="AI1361">
        <v>93.779309644988501</v>
      </c>
      <c r="AJ1361">
        <v>67.954625747140497</v>
      </c>
      <c r="AK1361">
        <v>16.808070577605299</v>
      </c>
      <c r="AL1361">
        <v>92.095838847985604</v>
      </c>
      <c r="AM1361">
        <v>80.211638204737</v>
      </c>
      <c r="AN1361">
        <v>0.99999995672553699</v>
      </c>
    </row>
    <row r="1362" spans="1:40" x14ac:dyDescent="0.25">
      <c r="A1362" t="str">
        <f>"20190312160939338"</f>
        <v>20190312160939338</v>
      </c>
      <c r="B1362" t="str">
        <f>"1552378179327028"</f>
        <v>1552378179327028</v>
      </c>
      <c r="C1362" t="s">
        <v>40</v>
      </c>
      <c r="D1362">
        <v>5.1460100000000004</v>
      </c>
      <c r="E1362">
        <v>0.57156240000000003</v>
      </c>
      <c r="F1362" t="s">
        <v>72</v>
      </c>
      <c r="G1362">
        <v>-385.97250000000003</v>
      </c>
      <c r="H1362">
        <v>1.028076</v>
      </c>
      <c r="I1362">
        <v>268.36970000000002</v>
      </c>
      <c r="J1362">
        <v>-204.2713</v>
      </c>
      <c r="K1362">
        <v>1.1079190000000001</v>
      </c>
      <c r="L1362">
        <v>286.0453</v>
      </c>
      <c r="M1362">
        <v>-0.90394450000000004</v>
      </c>
      <c r="N1362">
        <v>0</v>
      </c>
      <c r="O1362">
        <v>-0.42742089999999999</v>
      </c>
      <c r="P1362">
        <v>-0.96183030000000003</v>
      </c>
      <c r="Q1362">
        <v>-4.921677E-2</v>
      </c>
      <c r="R1362">
        <v>-0.26918550000000002</v>
      </c>
      <c r="S1362">
        <v>-3.039444</v>
      </c>
      <c r="T1362">
        <v>-1.3328789999999999E-3</v>
      </c>
      <c r="U1362">
        <v>-0.2962341</v>
      </c>
      <c r="V1362">
        <v>0.16758629999999999</v>
      </c>
      <c r="W1362">
        <v>-3.6390390000000002E-2</v>
      </c>
      <c r="X1362">
        <v>0.98518559999999999</v>
      </c>
      <c r="Y1362">
        <v>0.33775240000000001</v>
      </c>
      <c r="Z1362">
        <v>2.5522130000000002E-4</v>
      </c>
      <c r="AA1362">
        <v>0.94123489999999999</v>
      </c>
      <c r="AB1362">
        <v>12</v>
      </c>
      <c r="AC1362">
        <v>-181.7012</v>
      </c>
      <c r="AD1362">
        <v>-7.9843000000000094E-2</v>
      </c>
      <c r="AE1362">
        <v>-17.6755999999999</v>
      </c>
      <c r="AF1362">
        <v>61.691154474386899</v>
      </c>
      <c r="AG1362">
        <v>-7.9843000000000094E-2</v>
      </c>
      <c r="AH1362">
        <v>171.81950304494401</v>
      </c>
      <c r="AI1362">
        <v>90.025058583514607</v>
      </c>
      <c r="AJ1362">
        <v>70.249512786115005</v>
      </c>
      <c r="AK1362">
        <v>182.55888513545099</v>
      </c>
      <c r="AL1362">
        <v>92.085476121301994</v>
      </c>
      <c r="AM1362">
        <v>80.346034032128202</v>
      </c>
      <c r="AN1362">
        <v>1.0000000474396999</v>
      </c>
    </row>
    <row r="1363" spans="1:40" x14ac:dyDescent="0.25">
      <c r="A1363" t="str">
        <f>"20190312160939363"</f>
        <v>20190312160939363</v>
      </c>
      <c r="B1363" t="str">
        <f>"1552378179356309"</f>
        <v>1552378179356309</v>
      </c>
      <c r="C1363" t="s">
        <v>40</v>
      </c>
      <c r="D1363">
        <v>5.2478619999999996</v>
      </c>
      <c r="E1363">
        <v>0.58121610000000001</v>
      </c>
      <c r="F1363" t="s">
        <v>73</v>
      </c>
      <c r="G1363">
        <v>-440.6841</v>
      </c>
      <c r="H1363">
        <v>0.36004350000000002</v>
      </c>
      <c r="I1363">
        <v>265.4171</v>
      </c>
      <c r="J1363">
        <v>-204.3903</v>
      </c>
      <c r="K1363">
        <v>1.107972</v>
      </c>
      <c r="L1363">
        <v>286.00009999999997</v>
      </c>
      <c r="M1363">
        <v>-0.9075124</v>
      </c>
      <c r="N1363">
        <v>0</v>
      </c>
      <c r="O1363">
        <v>-0.41979250000000001</v>
      </c>
      <c r="P1363">
        <v>-0.96358529999999998</v>
      </c>
      <c r="Q1363">
        <v>-4.877037E-2</v>
      </c>
      <c r="R1363">
        <v>-0.26291619999999999</v>
      </c>
      <c r="S1363">
        <v>-3.044235</v>
      </c>
      <c r="T1363">
        <v>-9.6300840000000006E-3</v>
      </c>
      <c r="U1363">
        <v>-0.265625</v>
      </c>
      <c r="V1363">
        <v>0.16572089999999901</v>
      </c>
      <c r="W1363">
        <v>-3.5926760000000002E-2</v>
      </c>
      <c r="X1363">
        <v>0.98551800000000001</v>
      </c>
      <c r="Y1363">
        <v>0.33934769999999997</v>
      </c>
      <c r="Z1363">
        <v>1.8232070000000001E-3</v>
      </c>
      <c r="AA1363">
        <v>0.94065920000000003</v>
      </c>
      <c r="AB1363">
        <v>12</v>
      </c>
      <c r="AC1363">
        <v>-236.2938</v>
      </c>
      <c r="AD1363">
        <v>-0.7479285</v>
      </c>
      <c r="AE1363">
        <v>-20.582999999999899</v>
      </c>
      <c r="AF1363">
        <v>80.522108178850303</v>
      </c>
      <c r="AG1363">
        <v>-0.7479285</v>
      </c>
      <c r="AH1363">
        <v>223.099733582265</v>
      </c>
      <c r="AI1363">
        <v>90.180672406370107</v>
      </c>
      <c r="AJ1363">
        <v>70.154256536343198</v>
      </c>
      <c r="AK1363">
        <v>237.187395169063</v>
      </c>
      <c r="AL1363">
        <v>92.058894921827303</v>
      </c>
      <c r="AM1363">
        <v>80.454664023421302</v>
      </c>
      <c r="AN1363">
        <v>0.99999993855245195</v>
      </c>
    </row>
    <row r="1364" spans="1:40" x14ac:dyDescent="0.25">
      <c r="A1364" t="str">
        <f>"20190312160939385"</f>
        <v>20190312160939385</v>
      </c>
      <c r="B1364" t="str">
        <f>"1552378179376804"</f>
        <v>1552378179376804</v>
      </c>
      <c r="C1364" t="s">
        <v>40</v>
      </c>
      <c r="D1364">
        <v>5.2954189999999999</v>
      </c>
      <c r="E1364">
        <v>0.58113380000000003</v>
      </c>
      <c r="F1364" t="s">
        <v>61</v>
      </c>
      <c r="G1364">
        <v>-224.96610000000001</v>
      </c>
      <c r="H1364" s="1">
        <v>1.105937E-6</v>
      </c>
      <c r="I1364">
        <v>284.90969999999999</v>
      </c>
      <c r="J1364">
        <v>-204.50239999999999</v>
      </c>
      <c r="K1364">
        <v>1.1080110000000001</v>
      </c>
      <c r="L1364">
        <v>285.95859999999999</v>
      </c>
      <c r="M1364">
        <v>-0.91078000000000003</v>
      </c>
      <c r="N1364">
        <v>0</v>
      </c>
      <c r="O1364">
        <v>-0.41265560000000001</v>
      </c>
      <c r="P1364">
        <v>-0.96499089999999998</v>
      </c>
      <c r="Q1364">
        <v>-4.824436E-2</v>
      </c>
      <c r="R1364">
        <v>-0.25780900000000001</v>
      </c>
      <c r="S1364">
        <v>-3.0607449999999998</v>
      </c>
      <c r="T1364">
        <v>-0.16481570000000001</v>
      </c>
      <c r="U1364">
        <v>-0.16220090000000001</v>
      </c>
      <c r="V1364">
        <v>0.163222799999999</v>
      </c>
      <c r="W1364">
        <v>-3.5379729999999998E-2</v>
      </c>
      <c r="X1364">
        <v>0.98595460000000001</v>
      </c>
      <c r="Y1364">
        <v>0.36282809999999999</v>
      </c>
      <c r="Z1364">
        <v>3.1368229999999997E-2</v>
      </c>
      <c r="AA1364">
        <v>0.93132800000000004</v>
      </c>
      <c r="AB1364">
        <v>11</v>
      </c>
      <c r="AC1364">
        <v>-20.463699999999999</v>
      </c>
      <c r="AD1364">
        <v>-1.1080098940629901</v>
      </c>
      <c r="AE1364">
        <v>-1.0488999999999999</v>
      </c>
      <c r="AF1364">
        <v>7.4680374635340501</v>
      </c>
      <c r="AG1364">
        <v>-1.1080098940629901</v>
      </c>
      <c r="AH1364">
        <v>19.0170181935035</v>
      </c>
      <c r="AI1364">
        <v>93.104239058149005</v>
      </c>
      <c r="AJ1364">
        <v>68.559921862402703</v>
      </c>
      <c r="AK1364">
        <v>20.460846767769201</v>
      </c>
      <c r="AL1364">
        <v>92.027532465702905</v>
      </c>
      <c r="AM1364">
        <v>80.600052352535201</v>
      </c>
      <c r="AN1364">
        <v>0.99999994049793395</v>
      </c>
    </row>
    <row r="1365" spans="1:40" x14ac:dyDescent="0.25">
      <c r="A1365" t="str">
        <f>"20190312160939407"</f>
        <v>20190312160939407</v>
      </c>
      <c r="B1365" t="str">
        <f>"1552378179396324"</f>
        <v>1552378179396324</v>
      </c>
      <c r="C1365" t="s">
        <v>40</v>
      </c>
      <c r="D1365">
        <v>5.2570449999999997</v>
      </c>
      <c r="E1365">
        <v>0.58034680000000005</v>
      </c>
      <c r="F1365" t="s">
        <v>61</v>
      </c>
      <c r="G1365">
        <v>-223.67859999999999</v>
      </c>
      <c r="H1365" s="1">
        <v>4.2079530000000001E-7</v>
      </c>
      <c r="I1365">
        <v>285.04629999999997</v>
      </c>
      <c r="J1365">
        <v>-204.6097</v>
      </c>
      <c r="K1365">
        <v>1.1080449999999999</v>
      </c>
      <c r="L1365">
        <v>285.91969999999998</v>
      </c>
      <c r="M1365">
        <v>-0.91382390000000002</v>
      </c>
      <c r="N1365">
        <v>0</v>
      </c>
      <c r="O1365">
        <v>-0.40587079999999998</v>
      </c>
      <c r="P1365">
        <v>-0.9661959</v>
      </c>
      <c r="Q1365">
        <v>-4.8196839999999998E-2</v>
      </c>
      <c r="R1365">
        <v>-0.2532643</v>
      </c>
      <c r="S1365">
        <v>-3.061096</v>
      </c>
      <c r="T1365">
        <v>-0.17687139999999901</v>
      </c>
      <c r="U1365">
        <v>-0.14562990000000001</v>
      </c>
      <c r="V1365">
        <v>0.16053619999999999</v>
      </c>
      <c r="W1365">
        <v>-3.5311479999999999E-2</v>
      </c>
      <c r="X1365">
        <v>0.98639810000000006</v>
      </c>
      <c r="Y1365">
        <v>0.36078270000000001</v>
      </c>
      <c r="Z1365">
        <v>3.3246249999999998E-2</v>
      </c>
      <c r="AA1365">
        <v>0.93205709999999997</v>
      </c>
      <c r="AB1365">
        <v>11</v>
      </c>
      <c r="AC1365">
        <v>-19.0688999999999</v>
      </c>
      <c r="AD1365">
        <v>-1.1080445792047</v>
      </c>
      <c r="AE1365">
        <v>-0.87340000000000295</v>
      </c>
      <c r="AF1365">
        <v>6.9187399723666703</v>
      </c>
      <c r="AG1365">
        <v>-1.1080445792047</v>
      </c>
      <c r="AH1365">
        <v>17.7221229357726</v>
      </c>
      <c r="AI1365">
        <v>93.333263671663701</v>
      </c>
      <c r="AJ1365">
        <v>68.674261410225299</v>
      </c>
      <c r="AK1365">
        <v>19.057029331597501</v>
      </c>
      <c r="AL1365">
        <v>92.023619479473197</v>
      </c>
      <c r="AM1365">
        <v>80.756164011371695</v>
      </c>
      <c r="AN1365">
        <v>0.99999999190692002</v>
      </c>
    </row>
    <row r="1366" spans="1:40" x14ac:dyDescent="0.25">
      <c r="A1366" t="str">
        <f>"20190312160939450"</f>
        <v>20190312160939450</v>
      </c>
      <c r="B1366" t="str">
        <f>"1552378179447077"</f>
        <v>1552378179447077</v>
      </c>
      <c r="C1366" t="s">
        <v>40</v>
      </c>
      <c r="D1366">
        <v>5.302772</v>
      </c>
      <c r="E1366">
        <v>0.57845859999999905</v>
      </c>
      <c r="F1366" t="s">
        <v>61</v>
      </c>
      <c r="G1366">
        <v>-222.3571</v>
      </c>
      <c r="H1366" s="1">
        <v>-2.8243799999999998E-7</v>
      </c>
      <c r="I1366">
        <v>285.12869999999998</v>
      </c>
      <c r="J1366">
        <v>-204.8227</v>
      </c>
      <c r="K1366">
        <v>1.108093</v>
      </c>
      <c r="L1366">
        <v>285.8451</v>
      </c>
      <c r="M1366">
        <v>-0.91963879999999998</v>
      </c>
      <c r="N1366">
        <v>0</v>
      </c>
      <c r="O1366">
        <v>-0.39251829999999999</v>
      </c>
      <c r="P1366">
        <v>-0.96871870000000004</v>
      </c>
      <c r="Q1366">
        <v>-4.901933E-2</v>
      </c>
      <c r="R1366">
        <v>-0.24327299999999999</v>
      </c>
      <c r="S1366">
        <v>-3.0596920000000001</v>
      </c>
      <c r="T1366">
        <v>-0.19102949999999999</v>
      </c>
      <c r="U1366">
        <v>-0.13638310000000001</v>
      </c>
      <c r="V1366">
        <v>0.15634110000000001</v>
      </c>
      <c r="W1366">
        <v>-3.6109090000000003E-2</v>
      </c>
      <c r="X1366">
        <v>0.9870428</v>
      </c>
      <c r="Y1366">
        <v>0.34980719999999998</v>
      </c>
      <c r="Z1366">
        <v>3.4811719999999997E-2</v>
      </c>
      <c r="AA1366">
        <v>0.93617470000000003</v>
      </c>
      <c r="AB1366">
        <v>11</v>
      </c>
      <c r="AC1366">
        <v>-17.534400000000002</v>
      </c>
      <c r="AD1366">
        <v>-1.1080932824380001</v>
      </c>
      <c r="AE1366">
        <v>-0.71640000000002102</v>
      </c>
      <c r="AF1366">
        <v>6.19962906924924</v>
      </c>
      <c r="AG1366">
        <v>-1.1080932824380001</v>
      </c>
      <c r="AH1366">
        <v>16.342945853229502</v>
      </c>
      <c r="AI1366">
        <v>93.627381044836497</v>
      </c>
      <c r="AJ1366">
        <v>69.225965741439097</v>
      </c>
      <c r="AK1366">
        <v>17.514426924123299</v>
      </c>
      <c r="AL1366">
        <v>92.06934842631</v>
      </c>
      <c r="AM1366">
        <v>80.9994972318826</v>
      </c>
      <c r="AN1366">
        <v>0.99999994748083698</v>
      </c>
    </row>
    <row r="1367" spans="1:40" x14ac:dyDescent="0.25">
      <c r="A1367" t="str">
        <f>"20190312160939471"</f>
        <v>20190312160939471</v>
      </c>
      <c r="B1367" t="str">
        <f>"1552378179466597"</f>
        <v>1552378179466597</v>
      </c>
      <c r="C1367" t="s">
        <v>40</v>
      </c>
      <c r="D1367">
        <v>5.3374800000000002</v>
      </c>
      <c r="E1367">
        <v>0.57771689999999998</v>
      </c>
      <c r="F1367" t="s">
        <v>61</v>
      </c>
      <c r="G1367">
        <v>-221.8981</v>
      </c>
      <c r="H1367" s="1">
        <v>-5.2673309999999997E-7</v>
      </c>
      <c r="I1367">
        <v>285.17959999999999</v>
      </c>
      <c r="J1367">
        <v>-204.928</v>
      </c>
      <c r="K1367">
        <v>1.108114</v>
      </c>
      <c r="L1367">
        <v>285.80939999999998</v>
      </c>
      <c r="M1367">
        <v>-0.92240659999999997</v>
      </c>
      <c r="N1367">
        <v>0</v>
      </c>
      <c r="O1367">
        <v>-0.38596960000000002</v>
      </c>
      <c r="P1367">
        <v>-0.96998490000000004</v>
      </c>
      <c r="Q1367">
        <v>-4.9355110000000001E-2</v>
      </c>
      <c r="R1367">
        <v>-0.23810390000000001</v>
      </c>
      <c r="S1367">
        <v>-3.0569310000000001</v>
      </c>
      <c r="T1367">
        <v>-0.19837769999999999</v>
      </c>
      <c r="U1367">
        <v>-0.1191406</v>
      </c>
      <c r="V1367">
        <v>0.15458050000000001</v>
      </c>
      <c r="W1367">
        <v>-3.643681E-2</v>
      </c>
      <c r="X1367">
        <v>0.98730810000000002</v>
      </c>
      <c r="Y1367">
        <v>0.34828439999999999</v>
      </c>
      <c r="Z1367">
        <v>3.5747210000000001E-2</v>
      </c>
      <c r="AA1367">
        <v>0.93670710000000001</v>
      </c>
      <c r="AB1367">
        <v>11</v>
      </c>
      <c r="AC1367">
        <v>-16.970099999999999</v>
      </c>
      <c r="AD1367">
        <v>-1.1081145267331001</v>
      </c>
      <c r="AE1367">
        <v>-0.62979999999998804</v>
      </c>
      <c r="AF1367">
        <v>5.94427814754492</v>
      </c>
      <c r="AG1367">
        <v>-1.1081145267331001</v>
      </c>
      <c r="AH1367">
        <v>15.830548331753301</v>
      </c>
      <c r="AI1367">
        <v>93.749287803652507</v>
      </c>
      <c r="AJ1367">
        <v>69.419137163937606</v>
      </c>
      <c r="AK1367">
        <v>16.9460503063018</v>
      </c>
      <c r="AL1367">
        <v>92.088137596474198</v>
      </c>
      <c r="AM1367">
        <v>81.101575965176295</v>
      </c>
      <c r="AN1367">
        <v>1.0000000282144099</v>
      </c>
    </row>
    <row r="1368" spans="1:40" x14ac:dyDescent="0.25">
      <c r="A1368" t="str">
        <f>"20190312160939492"</f>
        <v>20190312160939492</v>
      </c>
      <c r="B1368" t="str">
        <f>"1552378179487092"</f>
        <v>1552378179487092</v>
      </c>
      <c r="C1368" t="s">
        <v>40</v>
      </c>
      <c r="D1368">
        <v>5.3504820000000004</v>
      </c>
      <c r="E1368">
        <v>0.5768413</v>
      </c>
      <c r="F1368" t="s">
        <v>61</v>
      </c>
      <c r="G1368">
        <v>-221.2852</v>
      </c>
      <c r="H1368" s="1">
        <v>-8.528678E-7</v>
      </c>
      <c r="I1368">
        <v>285.22969999999998</v>
      </c>
      <c r="J1368">
        <v>-205.03630000000001</v>
      </c>
      <c r="K1368">
        <v>1.1081299999999901</v>
      </c>
      <c r="L1368">
        <v>285.77339999999998</v>
      </c>
      <c r="M1368">
        <v>-0.92518350000000005</v>
      </c>
      <c r="N1368">
        <v>0</v>
      </c>
      <c r="O1368">
        <v>-0.37926549999999998</v>
      </c>
      <c r="P1368">
        <v>-0.97120300000000004</v>
      </c>
      <c r="Q1368">
        <v>-4.9477359999999998E-2</v>
      </c>
      <c r="R1368">
        <v>-0.23305999999999999</v>
      </c>
      <c r="S1368">
        <v>-3.0556950000000001</v>
      </c>
      <c r="T1368">
        <v>-0.2070072</v>
      </c>
      <c r="U1368">
        <v>-0.10827639999999999</v>
      </c>
      <c r="V1368">
        <v>0.15254589999999901</v>
      </c>
      <c r="W1368">
        <v>-3.65493E-2</v>
      </c>
      <c r="X1368">
        <v>0.98762030000000001</v>
      </c>
      <c r="Y1368">
        <v>0.3446804</v>
      </c>
      <c r="Z1368">
        <v>3.6775090000000003E-2</v>
      </c>
      <c r="AA1368">
        <v>0.93799949999999999</v>
      </c>
      <c r="AB1368">
        <v>11</v>
      </c>
      <c r="AC1368">
        <v>-16.2488999999999</v>
      </c>
      <c r="AD1368">
        <v>-1.10813085286779</v>
      </c>
      <c r="AE1368">
        <v>-0.54370000000000096</v>
      </c>
      <c r="AF1368">
        <v>5.6339979481642297</v>
      </c>
      <c r="AG1368">
        <v>-1.10813085286779</v>
      </c>
      <c r="AH1368">
        <v>15.170416231947099</v>
      </c>
      <c r="AI1368">
        <v>93.917258445327604</v>
      </c>
      <c r="AJ1368">
        <v>69.625981275365703</v>
      </c>
      <c r="AK1368">
        <v>16.220709464062299</v>
      </c>
      <c r="AL1368">
        <v>92.094587195630098</v>
      </c>
      <c r="AM1368">
        <v>81.219592759668501</v>
      </c>
      <c r="AN1368">
        <v>0.99999997995469403</v>
      </c>
    </row>
    <row r="1369" spans="1:40" x14ac:dyDescent="0.25">
      <c r="A1369" t="str">
        <f>"20190312160939516"</f>
        <v>20190312160939516</v>
      </c>
      <c r="B1369" t="str">
        <f>"1552378179506706"</f>
        <v>1552378179506706</v>
      </c>
      <c r="C1369" t="s">
        <v>40</v>
      </c>
      <c r="D1369">
        <v>5.5191559999999997</v>
      </c>
      <c r="E1369">
        <v>0.57630130000000002</v>
      </c>
      <c r="F1369" t="s">
        <v>61</v>
      </c>
      <c r="G1369">
        <v>-221.3125</v>
      </c>
      <c r="H1369" s="1">
        <v>-8.3831919999999996E-7</v>
      </c>
      <c r="I1369">
        <v>285.24560000000002</v>
      </c>
      <c r="J1369">
        <v>-205.15029999999999</v>
      </c>
      <c r="K1369">
        <v>1.108155</v>
      </c>
      <c r="L1369">
        <v>285.73649999999998</v>
      </c>
      <c r="M1369">
        <v>-0.92802980000000002</v>
      </c>
      <c r="N1369">
        <v>0</v>
      </c>
      <c r="O1369">
        <v>-0.3722472</v>
      </c>
      <c r="P1369">
        <v>-0.97257389999999999</v>
      </c>
      <c r="Q1369">
        <v>-4.8872110000000003E-2</v>
      </c>
      <c r="R1369">
        <v>-0.22740289999999999</v>
      </c>
      <c r="S1369">
        <v>-3.0545960000000001</v>
      </c>
      <c r="T1369">
        <v>-0.2079645</v>
      </c>
      <c r="U1369">
        <v>-9.9060060000000005E-2</v>
      </c>
      <c r="V1369">
        <v>0.15083199999999999</v>
      </c>
      <c r="W1369">
        <v>-3.593495E-2</v>
      </c>
      <c r="X1369">
        <v>0.98790599999999995</v>
      </c>
      <c r="Y1369">
        <v>0.34039360000000002</v>
      </c>
      <c r="Z1369">
        <v>3.6370760000000002E-2</v>
      </c>
      <c r="AA1369">
        <v>0.93957939999999995</v>
      </c>
      <c r="AB1369">
        <v>11</v>
      </c>
      <c r="AC1369">
        <v>-16.162199999999999</v>
      </c>
      <c r="AD1369">
        <v>-1.1081558383192001</v>
      </c>
      <c r="AE1369">
        <v>-0.49089999999995299</v>
      </c>
      <c r="AF1369">
        <v>5.5353016621985702</v>
      </c>
      <c r="AG1369">
        <v>-1.1081558383192001</v>
      </c>
      <c r="AH1369">
        <v>15.112223654369201</v>
      </c>
      <c r="AI1369">
        <v>93.938880869985795</v>
      </c>
      <c r="AJ1369">
        <v>69.883239932102697</v>
      </c>
      <c r="AK1369">
        <v>16.132169030642299</v>
      </c>
      <c r="AL1369">
        <v>92.059364476888305</v>
      </c>
      <c r="AM1369">
        <v>81.319204311149903</v>
      </c>
      <c r="AN1369">
        <v>0.999999938845749</v>
      </c>
    </row>
    <row r="1370" spans="1:40" x14ac:dyDescent="0.25">
      <c r="A1370" t="str">
        <f>"20190312160939539"</f>
        <v>20190312160939539</v>
      </c>
      <c r="B1370" t="str">
        <f>"1552378179536962"</f>
        <v>1552378179536962</v>
      </c>
      <c r="C1370" t="s">
        <v>40</v>
      </c>
      <c r="D1370">
        <v>5.160094</v>
      </c>
      <c r="E1370">
        <v>0.57791400000000004</v>
      </c>
      <c r="F1370" t="s">
        <v>61</v>
      </c>
      <c r="G1370">
        <v>-222.08680000000001</v>
      </c>
      <c r="H1370" s="1">
        <v>-4.2631250000000003E-7</v>
      </c>
      <c r="I1370">
        <v>285.26130000000001</v>
      </c>
      <c r="J1370">
        <v>-205.2647</v>
      </c>
      <c r="K1370">
        <v>1.108187</v>
      </c>
      <c r="L1370">
        <v>285.70030000000003</v>
      </c>
      <c r="M1370">
        <v>-0.93080130000000005</v>
      </c>
      <c r="N1370">
        <v>0</v>
      </c>
      <c r="O1370">
        <v>-0.36526259999999999</v>
      </c>
      <c r="P1370">
        <v>-0.97382950000000001</v>
      </c>
      <c r="Q1370">
        <v>-4.8961200000000003E-2</v>
      </c>
      <c r="R1370">
        <v>-0.22194520000000001</v>
      </c>
      <c r="S1370">
        <v>-3.0545040000000001</v>
      </c>
      <c r="T1370">
        <v>-0.1998569</v>
      </c>
      <c r="U1370">
        <v>-8.5693359999999996E-2</v>
      </c>
      <c r="V1370">
        <v>0.14894969999999999</v>
      </c>
      <c r="W1370">
        <v>-3.601244E-2</v>
      </c>
      <c r="X1370">
        <v>0.98818879999999998</v>
      </c>
      <c r="Y1370">
        <v>0.3375784</v>
      </c>
      <c r="Z1370">
        <v>3.4443210000000002E-2</v>
      </c>
      <c r="AA1370">
        <v>0.94066700000000003</v>
      </c>
      <c r="AB1370">
        <v>11</v>
      </c>
      <c r="AC1370">
        <v>-16.822099999999999</v>
      </c>
      <c r="AD1370">
        <v>-1.1081874263125</v>
      </c>
      <c r="AE1370">
        <v>-0.43900000000002098</v>
      </c>
      <c r="AF1370">
        <v>5.7116431227626396</v>
      </c>
      <c r="AG1370">
        <v>-1.1081874263125</v>
      </c>
      <c r="AH1370">
        <v>15.751591330759</v>
      </c>
      <c r="AI1370">
        <v>93.784034686352697</v>
      </c>
      <c r="AJ1370">
        <v>70.068982127691996</v>
      </c>
      <c r="AK1370">
        <v>16.791771079456801</v>
      </c>
      <c r="AL1370">
        <v>92.063807062617798</v>
      </c>
      <c r="AM1370">
        <v>81.428333109463296</v>
      </c>
      <c r="AN1370">
        <v>1.00000000670514</v>
      </c>
    </row>
    <row r="1371" spans="1:40" x14ac:dyDescent="0.25">
      <c r="A1371" t="str">
        <f>"20190312160939562"</f>
        <v>20190312160939562</v>
      </c>
      <c r="B1371" t="str">
        <f>"1552378179556482"</f>
        <v>1552378179556482</v>
      </c>
      <c r="C1371" t="s">
        <v>40</v>
      </c>
      <c r="D1371">
        <v>5.1557839999999997</v>
      </c>
      <c r="E1371">
        <v>0.58067500000000005</v>
      </c>
      <c r="F1371" t="s">
        <v>61</v>
      </c>
      <c r="G1371">
        <v>-226.66929999999999</v>
      </c>
      <c r="H1371" s="1">
        <v>2.012278E-6</v>
      </c>
      <c r="I1371">
        <v>285.28989999999999</v>
      </c>
      <c r="J1371">
        <v>-205.37729999999999</v>
      </c>
      <c r="K1371">
        <v>1.108228</v>
      </c>
      <c r="L1371">
        <v>285.66550000000001</v>
      </c>
      <c r="M1371">
        <v>-0.93345080000000002</v>
      </c>
      <c r="N1371">
        <v>0</v>
      </c>
      <c r="O1371">
        <v>-0.35843819999999998</v>
      </c>
      <c r="P1371">
        <v>-0.9750181</v>
      </c>
      <c r="Q1371">
        <v>-4.9385720000000001E-2</v>
      </c>
      <c r="R1371">
        <v>-0.21656690000000001</v>
      </c>
      <c r="S1371">
        <v>-3.0593110000000001</v>
      </c>
      <c r="T1371">
        <v>-0.15839039999999999</v>
      </c>
      <c r="U1371">
        <v>-5.8654789999999998E-2</v>
      </c>
      <c r="V1371">
        <v>0.147163299999999</v>
      </c>
      <c r="W1371">
        <v>-3.642517E-2</v>
      </c>
      <c r="X1371">
        <v>0.98844129999999997</v>
      </c>
      <c r="Y1371">
        <v>0.33959509999999998</v>
      </c>
      <c r="Z1371">
        <v>2.6994649999999999E-2</v>
      </c>
      <c r="AA1371">
        <v>0.94018420000000003</v>
      </c>
      <c r="AB1371">
        <v>11</v>
      </c>
      <c r="AC1371">
        <v>-21.291999999999899</v>
      </c>
      <c r="AD1371">
        <v>-1.108225987722</v>
      </c>
      <c r="AE1371">
        <v>-0.37560000000001897</v>
      </c>
      <c r="AF1371">
        <v>7.2622918045178597</v>
      </c>
      <c r="AG1371">
        <v>-1.108225987722</v>
      </c>
      <c r="AH1371">
        <v>19.957531662124399</v>
      </c>
      <c r="AI1371">
        <v>92.987086568950602</v>
      </c>
      <c r="AJ1371">
        <v>70.004197326720103</v>
      </c>
      <c r="AK1371">
        <v>21.266690319335702</v>
      </c>
      <c r="AL1371">
        <v>92.087470254626396</v>
      </c>
      <c r="AM1371">
        <v>81.531768003051994</v>
      </c>
      <c r="AN1371">
        <v>1.0000000167110501</v>
      </c>
    </row>
    <row r="1372" spans="1:40" x14ac:dyDescent="0.25">
      <c r="A1372" t="str">
        <f>"20190312160939585"</f>
        <v>20190312160939585</v>
      </c>
      <c r="B1372" t="str">
        <f>"1552378179576978"</f>
        <v>1552378179576978</v>
      </c>
      <c r="C1372" t="s">
        <v>40</v>
      </c>
      <c r="D1372">
        <v>5.2019549999999999</v>
      </c>
      <c r="E1372">
        <v>0.58016429999999997</v>
      </c>
      <c r="F1372" t="s">
        <v>45</v>
      </c>
      <c r="G1372">
        <v>0</v>
      </c>
      <c r="H1372">
        <v>0</v>
      </c>
      <c r="I1372">
        <v>0</v>
      </c>
      <c r="J1372">
        <v>-205.48949999999999</v>
      </c>
      <c r="K1372">
        <v>1.108266</v>
      </c>
      <c r="L1372">
        <v>285.63159999999999</v>
      </c>
      <c r="M1372">
        <v>-0.93601210000000001</v>
      </c>
      <c r="N1372">
        <v>0</v>
      </c>
      <c r="O1372">
        <v>-0.35169519999999999</v>
      </c>
      <c r="P1372">
        <v>-0.97611700000000001</v>
      </c>
      <c r="Q1372">
        <v>-5.0007040000000003E-2</v>
      </c>
      <c r="R1372">
        <v>-0.21141170000000001</v>
      </c>
      <c r="S1372">
        <v>-3.071259</v>
      </c>
      <c r="T1372">
        <v>2.78312E-2</v>
      </c>
      <c r="U1372">
        <v>-3.158569E-2</v>
      </c>
      <c r="V1372">
        <v>0.1452466</v>
      </c>
      <c r="W1372">
        <v>-3.7033789999999997E-2</v>
      </c>
      <c r="X1372">
        <v>0.98870210000000003</v>
      </c>
      <c r="Y1372">
        <v>0.34205580000000002</v>
      </c>
      <c r="Z1372">
        <v>-4.6828750000000004E-3</v>
      </c>
      <c r="AA1372">
        <v>0.93966799999999995</v>
      </c>
      <c r="AB1372">
        <v>11</v>
      </c>
      <c r="AC1372">
        <v>-3.071259</v>
      </c>
      <c r="AD1372">
        <v>2.78312E-2</v>
      </c>
      <c r="AE1372">
        <v>-3.158569E-2</v>
      </c>
      <c r="AF1372">
        <v>1.0505969816151199</v>
      </c>
      <c r="AG1372">
        <v>2.78312E-2</v>
      </c>
      <c r="AH1372">
        <v>2.8858840105769299</v>
      </c>
      <c r="AI1372">
        <v>89.480794927782597</v>
      </c>
      <c r="AJ1372">
        <v>69.996123874743404</v>
      </c>
      <c r="AK1372">
        <v>3.0712953482164198</v>
      </c>
      <c r="AL1372">
        <v>92.1223652789445</v>
      </c>
      <c r="AM1372">
        <v>81.642666173454998</v>
      </c>
      <c r="AN1372">
        <v>0.999999959478866</v>
      </c>
    </row>
    <row r="1373" spans="1:40" x14ac:dyDescent="0.25">
      <c r="A1373" t="str">
        <f>"20190312160939608"</f>
        <v>20190312160939608</v>
      </c>
      <c r="B1373" t="str">
        <f>"1552378179596498"</f>
        <v>1552378179596498</v>
      </c>
      <c r="C1373" t="s">
        <v>40</v>
      </c>
      <c r="D1373">
        <v>5.2117100000000001</v>
      </c>
      <c r="E1373">
        <v>0.57904109999999998</v>
      </c>
      <c r="F1373" t="s">
        <v>45</v>
      </c>
      <c r="G1373">
        <v>0</v>
      </c>
      <c r="H1373">
        <v>0</v>
      </c>
      <c r="I1373">
        <v>0</v>
      </c>
      <c r="J1373">
        <v>-205.59970000000001</v>
      </c>
      <c r="K1373">
        <v>1.108309</v>
      </c>
      <c r="L1373">
        <v>285.5992</v>
      </c>
      <c r="M1373">
        <v>-0.93845089999999998</v>
      </c>
      <c r="N1373">
        <v>0</v>
      </c>
      <c r="O1373">
        <v>-0.34513630000000001</v>
      </c>
      <c r="P1373">
        <v>-0.97721579999999997</v>
      </c>
      <c r="Q1373">
        <v>-5.0698229999999997E-2</v>
      </c>
      <c r="R1373">
        <v>-0.20610539999999999</v>
      </c>
      <c r="S1373">
        <v>-3.0697480000000001</v>
      </c>
      <c r="T1373">
        <v>5.1174159999999996E-3</v>
      </c>
      <c r="U1373">
        <v>-1.8096919999999999E-2</v>
      </c>
      <c r="V1373">
        <v>0.1436876</v>
      </c>
      <c r="W1373">
        <v>-3.7715789999999999E-2</v>
      </c>
      <c r="X1373">
        <v>0.98890409999999995</v>
      </c>
      <c r="Y1373">
        <v>0.33962940000000003</v>
      </c>
      <c r="Z1373">
        <v>-8.4922739999999995E-4</v>
      </c>
      <c r="AA1373">
        <v>0.94055900000000003</v>
      </c>
      <c r="AB1373">
        <v>11</v>
      </c>
      <c r="AC1373">
        <v>-3.0697480000000001</v>
      </c>
      <c r="AD1373">
        <v>5.1174159999999996E-3</v>
      </c>
      <c r="AE1373">
        <v>-1.8096919999999999E-2</v>
      </c>
      <c r="AF1373">
        <v>1.04259498932154</v>
      </c>
      <c r="AG1373">
        <v>5.1174159999999996E-3</v>
      </c>
      <c r="AH1373">
        <v>2.8873211796723202</v>
      </c>
      <c r="AI1373">
        <v>89.904486691708001</v>
      </c>
      <c r="AJ1373">
        <v>70.145641781056099</v>
      </c>
      <c r="AK1373">
        <v>3.069797077054</v>
      </c>
      <c r="AL1373">
        <v>92.161468315657899</v>
      </c>
      <c r="AM1373">
        <v>81.732788109874704</v>
      </c>
      <c r="AN1373">
        <v>0.99999996310294603</v>
      </c>
    </row>
    <row r="1374" spans="1:40" x14ac:dyDescent="0.25">
      <c r="A1374" t="str">
        <f>"20190312160939627"</f>
        <v>20190312160939627</v>
      </c>
      <c r="B1374" t="str">
        <f>"1552378179616994"</f>
        <v>1552378179616994</v>
      </c>
      <c r="C1374" t="s">
        <v>40</v>
      </c>
      <c r="D1374">
        <v>5.2245599999999897</v>
      </c>
      <c r="E1374">
        <v>0.57745979999999997</v>
      </c>
      <c r="F1374" t="s">
        <v>45</v>
      </c>
      <c r="G1374">
        <v>0</v>
      </c>
      <c r="H1374">
        <v>0</v>
      </c>
      <c r="I1374">
        <v>0</v>
      </c>
      <c r="J1374">
        <v>-205.6985</v>
      </c>
      <c r="K1374">
        <v>1.108339</v>
      </c>
      <c r="L1374">
        <v>285.57069999999999</v>
      </c>
      <c r="M1374">
        <v>-0.94057800000000003</v>
      </c>
      <c r="N1374">
        <v>0</v>
      </c>
      <c r="O1374">
        <v>-0.33929670000000001</v>
      </c>
      <c r="P1374">
        <v>-0.97807920000000004</v>
      </c>
      <c r="Q1374">
        <v>-5.0600100000000002E-2</v>
      </c>
      <c r="R1374">
        <v>-0.20199210000000001</v>
      </c>
      <c r="S1374">
        <v>-3.0677490000000001</v>
      </c>
      <c r="T1374">
        <v>-1.9990210000000001E-3</v>
      </c>
      <c r="U1374">
        <v>-9.9792479999999996E-3</v>
      </c>
      <c r="V1374">
        <v>0.14170759999999999</v>
      </c>
      <c r="W1374">
        <v>-3.7607189999999999E-2</v>
      </c>
      <c r="X1374">
        <v>0.98919389999999996</v>
      </c>
      <c r="Y1374">
        <v>0.33626729999999999</v>
      </c>
      <c r="Z1374">
        <v>3.2726370000000002E-4</v>
      </c>
      <c r="AA1374">
        <v>0.94176660000000001</v>
      </c>
      <c r="AB1374">
        <v>11</v>
      </c>
      <c r="AC1374">
        <v>-3.0677490000000001</v>
      </c>
      <c r="AD1374">
        <v>-1.9990210000000001E-3</v>
      </c>
      <c r="AE1374">
        <v>-9.9792479999999996E-3</v>
      </c>
      <c r="AF1374">
        <v>1.0315888185405999</v>
      </c>
      <c r="AG1374">
        <v>-1.9990210000000001E-3</v>
      </c>
      <c r="AH1374">
        <v>2.8891175174590602</v>
      </c>
      <c r="AI1374">
        <v>90.037335157763493</v>
      </c>
      <c r="AJ1374">
        <v>70.350377277952703</v>
      </c>
      <c r="AK1374">
        <v>3.06776457967552</v>
      </c>
      <c r="AL1374">
        <v>92.155241586771794</v>
      </c>
      <c r="AM1374">
        <v>81.847523631649096</v>
      </c>
      <c r="AN1374">
        <v>0.99999995821733201</v>
      </c>
    </row>
    <row r="1375" spans="1:40" x14ac:dyDescent="0.25">
      <c r="A1375" t="str">
        <f>"20190312160939651"</f>
        <v>20190312160939651</v>
      </c>
      <c r="B1375" t="str">
        <f>"1552378179646275"</f>
        <v>1552378179646275</v>
      </c>
      <c r="C1375" t="s">
        <v>40</v>
      </c>
      <c r="D1375">
        <v>5.3430030000000004</v>
      </c>
      <c r="E1375">
        <v>0.56481269999999995</v>
      </c>
      <c r="F1375" t="s">
        <v>52</v>
      </c>
      <c r="G1375">
        <v>-698.26660000000004</v>
      </c>
      <c r="H1375">
        <v>-0.1</v>
      </c>
      <c r="I1375">
        <v>284.11900000000003</v>
      </c>
      <c r="J1375">
        <v>-205.81280000000001</v>
      </c>
      <c r="K1375">
        <v>1.108365</v>
      </c>
      <c r="L1375">
        <v>285.5385</v>
      </c>
      <c r="M1375">
        <v>-0.94296930000000001</v>
      </c>
      <c r="N1375">
        <v>0</v>
      </c>
      <c r="O1375">
        <v>-0.33259379999999999</v>
      </c>
      <c r="P1375">
        <v>-0.97908930000000005</v>
      </c>
      <c r="Q1375">
        <v>-5.1277419999999997E-2</v>
      </c>
      <c r="R1375">
        <v>-0.19686310000000001</v>
      </c>
      <c r="S1375">
        <v>-3.0649570000000002</v>
      </c>
      <c r="T1375">
        <v>-7.5187680000000003E-3</v>
      </c>
      <c r="U1375">
        <v>-9.0332030000000001E-3</v>
      </c>
      <c r="V1375">
        <v>0.1398402</v>
      </c>
      <c r="W1375">
        <v>-3.8277899999999997E-2</v>
      </c>
      <c r="X1375">
        <v>0.98943389999999998</v>
      </c>
      <c r="Y1375">
        <v>0.32984269999999999</v>
      </c>
      <c r="Z1375">
        <v>1.208492E-3</v>
      </c>
      <c r="AA1375">
        <v>0.94403519999999996</v>
      </c>
      <c r="AB1375">
        <v>11</v>
      </c>
      <c r="AC1375">
        <v>-492.4538</v>
      </c>
      <c r="AD1375">
        <v>-1.2083649999999999</v>
      </c>
      <c r="AE1375">
        <v>-1.41949999999997</v>
      </c>
      <c r="AF1375">
        <v>162.463013786695</v>
      </c>
      <c r="AG1375">
        <v>-1.2083649999999999</v>
      </c>
      <c r="AH1375">
        <v>464.882360388584</v>
      </c>
      <c r="AI1375">
        <v>90.140590254119303</v>
      </c>
      <c r="AJ1375">
        <v>70.736947858207799</v>
      </c>
      <c r="AK1375">
        <v>492.45436336283001</v>
      </c>
      <c r="AL1375">
        <v>92.193698127374304</v>
      </c>
      <c r="AM1375">
        <v>81.955465682341497</v>
      </c>
      <c r="AN1375">
        <v>0.99999996081682896</v>
      </c>
    </row>
    <row r="1376" spans="1:40" x14ac:dyDescent="0.25">
      <c r="A1376" t="str">
        <f>"20190312160939674"</f>
        <v>20190312160939674</v>
      </c>
      <c r="B1376" t="str">
        <f>"1552378179666771"</f>
        <v>1552378179666771</v>
      </c>
      <c r="C1376" t="s">
        <v>40</v>
      </c>
      <c r="D1376">
        <v>5.4277689999999996</v>
      </c>
      <c r="E1376">
        <v>0.56452550000000001</v>
      </c>
      <c r="F1376" t="s">
        <v>61</v>
      </c>
      <c r="G1376">
        <v>-226.53909999999999</v>
      </c>
      <c r="H1376" s="1">
        <v>1.9430179999999999E-6</v>
      </c>
      <c r="I1376">
        <v>284.9751</v>
      </c>
      <c r="J1376">
        <v>-205.9255</v>
      </c>
      <c r="K1376">
        <v>1.1083809999999901</v>
      </c>
      <c r="L1376">
        <v>285.50760000000002</v>
      </c>
      <c r="M1376">
        <v>-0.9452564</v>
      </c>
      <c r="N1376">
        <v>0</v>
      </c>
      <c r="O1376">
        <v>-0.32603789999999999</v>
      </c>
      <c r="P1376">
        <v>-0.98006990000000005</v>
      </c>
      <c r="Q1376">
        <v>-5.2462689999999999E-2</v>
      </c>
      <c r="R1376">
        <v>-0.19160060000000001</v>
      </c>
      <c r="S1376">
        <v>-3.038986</v>
      </c>
      <c r="T1376">
        <v>-0.16251270000000001</v>
      </c>
      <c r="U1376">
        <v>-8.2611080000000003E-2</v>
      </c>
      <c r="V1376">
        <v>0.13826189999999999</v>
      </c>
      <c r="W1376">
        <v>-3.945924E-2</v>
      </c>
      <c r="X1376">
        <v>0.98960939999999997</v>
      </c>
      <c r="Y1376">
        <v>0.29938199999999998</v>
      </c>
      <c r="Z1376">
        <v>2.5154739999999998E-2</v>
      </c>
      <c r="AA1376">
        <v>0.95380169999999997</v>
      </c>
      <c r="AB1376">
        <v>11</v>
      </c>
      <c r="AC1376">
        <v>-20.613599999999899</v>
      </c>
      <c r="AD1376">
        <v>-1.10837905698199</v>
      </c>
      <c r="AE1376">
        <v>-0.53250000000002695</v>
      </c>
      <c r="AF1376">
        <v>6.2001418865135598</v>
      </c>
      <c r="AG1376">
        <v>-1.10837905698199</v>
      </c>
      <c r="AH1376">
        <v>19.603976659821701</v>
      </c>
      <c r="AI1376">
        <v>93.085638559543995</v>
      </c>
      <c r="AJ1376">
        <v>72.449420323261407</v>
      </c>
      <c r="AK1376">
        <v>20.590924321790201</v>
      </c>
      <c r="AL1376">
        <v>92.261434859435695</v>
      </c>
      <c r="AM1376">
        <v>82.046483843895899</v>
      </c>
      <c r="AN1376">
        <v>1.0000000745906701</v>
      </c>
    </row>
    <row r="1377" spans="1:40" x14ac:dyDescent="0.25">
      <c r="A1377" t="str">
        <f>"20190312160939695"</f>
        <v>20190312160939695</v>
      </c>
      <c r="B1377" t="str">
        <f>"1552378179686291"</f>
        <v>1552378179686291</v>
      </c>
      <c r="C1377" t="s">
        <v>40</v>
      </c>
      <c r="D1377">
        <v>5.3730909999999996</v>
      </c>
      <c r="E1377">
        <v>0.56445140000000005</v>
      </c>
      <c r="F1377" t="s">
        <v>61</v>
      </c>
      <c r="G1377">
        <v>-227.11109999999999</v>
      </c>
      <c r="H1377" s="1">
        <v>2.247397E-6</v>
      </c>
      <c r="I1377">
        <v>285.02679999999998</v>
      </c>
      <c r="J1377">
        <v>-206.02959999999999</v>
      </c>
      <c r="K1377">
        <v>1.1083889999999901</v>
      </c>
      <c r="L1377">
        <v>285.4796</v>
      </c>
      <c r="M1377">
        <v>-0.94730519999999996</v>
      </c>
      <c r="N1377">
        <v>0</v>
      </c>
      <c r="O1377">
        <v>-0.32003609999999999</v>
      </c>
      <c r="P1377">
        <v>-0.9807553</v>
      </c>
      <c r="Q1377">
        <v>-5.4053810000000001E-2</v>
      </c>
      <c r="R1377">
        <v>-0.18760879999999999</v>
      </c>
      <c r="S1377">
        <v>-3.0390009999999998</v>
      </c>
      <c r="T1377">
        <v>-0.15899289999999999</v>
      </c>
      <c r="U1377">
        <v>-6.8969730000000007E-2</v>
      </c>
      <c r="V1377">
        <v>0.13598299999999999</v>
      </c>
      <c r="W1377">
        <v>-4.1041069999999999E-2</v>
      </c>
      <c r="X1377">
        <v>0.98986070000000004</v>
      </c>
      <c r="Y1377">
        <v>0.29765760000000002</v>
      </c>
      <c r="Z1377">
        <v>2.427023E-2</v>
      </c>
      <c r="AA1377">
        <v>0.95436410000000005</v>
      </c>
      <c r="AB1377">
        <v>11</v>
      </c>
      <c r="AC1377">
        <v>-21.081499999999998</v>
      </c>
      <c r="AD1377">
        <v>-1.10838675260299</v>
      </c>
      <c r="AE1377">
        <v>-0.45280000000002402</v>
      </c>
      <c r="AF1377">
        <v>6.3010909006739402</v>
      </c>
      <c r="AG1377">
        <v>-1.10838675260299</v>
      </c>
      <c r="AH1377">
        <v>20.062004559736899</v>
      </c>
      <c r="AI1377">
        <v>93.017233215568993</v>
      </c>
      <c r="AJ1377">
        <v>72.5634962896536</v>
      </c>
      <c r="AK1377">
        <v>21.0574522363653</v>
      </c>
      <c r="AL1377">
        <v>92.352140782939401</v>
      </c>
      <c r="AM1377">
        <v>82.177902334081594</v>
      </c>
      <c r="AN1377">
        <v>0.99999997556011699</v>
      </c>
    </row>
    <row r="1378" spans="1:40" x14ac:dyDescent="0.25">
      <c r="A1378" t="str">
        <f>"20190312160939717"</f>
        <v>20190312160939717</v>
      </c>
      <c r="B1378" t="str">
        <f>"1552378179706786"</f>
        <v>1552378179706786</v>
      </c>
      <c r="C1378" t="s">
        <v>40</v>
      </c>
      <c r="D1378">
        <v>5.2720449999999897</v>
      </c>
      <c r="E1378">
        <v>0.56535440000000003</v>
      </c>
      <c r="F1378" t="s">
        <v>61</v>
      </c>
      <c r="G1378">
        <v>-227.77959999999999</v>
      </c>
      <c r="H1378" s="1">
        <v>2.6031289999999999E-6</v>
      </c>
      <c r="I1378">
        <v>285.06619999999998</v>
      </c>
      <c r="J1378">
        <v>-206.13740000000001</v>
      </c>
      <c r="K1378">
        <v>1.1084160000000001</v>
      </c>
      <c r="L1378">
        <v>285.45139999999998</v>
      </c>
      <c r="M1378">
        <v>-0.94935919999999896</v>
      </c>
      <c r="N1378">
        <v>0</v>
      </c>
      <c r="O1378">
        <v>-0.31389220000000001</v>
      </c>
      <c r="P1378">
        <v>-0.98157570000000005</v>
      </c>
      <c r="Q1378">
        <v>-5.5462890000000001E-2</v>
      </c>
      <c r="R1378">
        <v>-0.1828475</v>
      </c>
      <c r="S1378">
        <v>-3.0392760000000001</v>
      </c>
      <c r="T1378">
        <v>-0.15488279999999999</v>
      </c>
      <c r="U1378">
        <v>-5.776978E-2</v>
      </c>
      <c r="V1378">
        <v>0.13434660000000001</v>
      </c>
      <c r="W1378">
        <v>-4.2443460000000002E-2</v>
      </c>
      <c r="X1378">
        <v>0.99002500000000004</v>
      </c>
      <c r="Y1378">
        <v>0.29504330000000001</v>
      </c>
      <c r="Z1378">
        <v>2.3278710000000001E-2</v>
      </c>
      <c r="AA1378">
        <v>0.9552003</v>
      </c>
      <c r="AB1378">
        <v>11</v>
      </c>
      <c r="AC1378">
        <v>-21.6421999999999</v>
      </c>
      <c r="AD1378">
        <v>-1.1084133968709999</v>
      </c>
      <c r="AE1378">
        <v>-0.38519999999999699</v>
      </c>
      <c r="AF1378">
        <v>6.4114195266575402</v>
      </c>
      <c r="AG1378">
        <v>-1.1084133968709999</v>
      </c>
      <c r="AH1378">
        <v>20.615027771681898</v>
      </c>
      <c r="AI1378">
        <v>92.939072945042795</v>
      </c>
      <c r="AJ1378">
        <v>72.723936486937603</v>
      </c>
      <c r="AK1378">
        <v>21.617452454727101</v>
      </c>
      <c r="AL1378">
        <v>92.432561906898101</v>
      </c>
      <c r="AM1378">
        <v>82.272154922197004</v>
      </c>
      <c r="AN1378">
        <v>0.99999997842666499</v>
      </c>
    </row>
    <row r="1379" spans="1:40" x14ac:dyDescent="0.25">
      <c r="A1379" t="str">
        <f>"20190312160939744"</f>
        <v>20190312160939744</v>
      </c>
      <c r="B1379" t="str">
        <f>"1552378179737044"</f>
        <v>1552378179737044</v>
      </c>
      <c r="C1379" t="s">
        <v>40</v>
      </c>
      <c r="D1379">
        <v>5.2822649999999998</v>
      </c>
      <c r="E1379">
        <v>0.56545749999999995</v>
      </c>
      <c r="F1379" t="s">
        <v>61</v>
      </c>
      <c r="G1379">
        <v>-232.7689</v>
      </c>
      <c r="H1379" s="1">
        <v>-8.5285870000000005E-8</v>
      </c>
      <c r="I1379">
        <v>285.11849999999998</v>
      </c>
      <c r="J1379">
        <v>-206.26949999999999</v>
      </c>
      <c r="K1379">
        <v>1.108466</v>
      </c>
      <c r="L1379">
        <v>285.41770000000002</v>
      </c>
      <c r="M1379">
        <v>-0.95178819999999997</v>
      </c>
      <c r="N1379">
        <v>0</v>
      </c>
      <c r="O1379">
        <v>-0.3064481</v>
      </c>
      <c r="P1379">
        <v>-0.98256399999999999</v>
      </c>
      <c r="Q1379">
        <v>-5.6681679999999998E-2</v>
      </c>
      <c r="R1379">
        <v>-0.17707419999999999</v>
      </c>
      <c r="S1379">
        <v>-3.042068</v>
      </c>
      <c r="T1379">
        <v>-0.12661240000000001</v>
      </c>
      <c r="U1379">
        <v>-3.80249E-2</v>
      </c>
      <c r="V1379">
        <v>0.1323937</v>
      </c>
      <c r="W1379">
        <v>-4.3651589999999997E-2</v>
      </c>
      <c r="X1379">
        <v>0.99023559999999999</v>
      </c>
      <c r="Y1379">
        <v>0.294043099999999</v>
      </c>
      <c r="Z1379">
        <v>1.8702610000000001E-2</v>
      </c>
      <c r="AA1379">
        <v>0.95560909999999999</v>
      </c>
      <c r="AB1379">
        <v>11</v>
      </c>
      <c r="AC1379">
        <v>-26.499400000000001</v>
      </c>
      <c r="AD1379">
        <v>-1.1084660852858701</v>
      </c>
      <c r="AE1379">
        <v>-0.29920000000004099</v>
      </c>
      <c r="AF1379">
        <v>7.8229691130024896</v>
      </c>
      <c r="AG1379">
        <v>-1.1084660852858701</v>
      </c>
      <c r="AH1379">
        <v>25.2716820767765</v>
      </c>
      <c r="AI1379">
        <v>92.399310747018106</v>
      </c>
      <c r="AJ1379">
        <v>72.799841262246403</v>
      </c>
      <c r="AK1379">
        <v>26.4780183887482</v>
      </c>
      <c r="AL1379">
        <v>92.501846713194098</v>
      </c>
      <c r="AM1379">
        <v>82.384761590930196</v>
      </c>
      <c r="AN1379">
        <v>1.00000004830828</v>
      </c>
    </row>
    <row r="1380" spans="1:40" x14ac:dyDescent="0.25">
      <c r="A1380" t="str">
        <f>"20190312160939765"</f>
        <v>20190312160939765</v>
      </c>
      <c r="B1380" t="str">
        <f>"1552378179756562"</f>
        <v>1552378179756562</v>
      </c>
      <c r="C1380" t="s">
        <v>40</v>
      </c>
      <c r="D1380">
        <v>5.2853789999999998</v>
      </c>
      <c r="E1380">
        <v>0.56466930000000004</v>
      </c>
      <c r="F1380" t="s">
        <v>61</v>
      </c>
      <c r="G1380">
        <v>-235.1454</v>
      </c>
      <c r="H1380" s="1">
        <v>1.1746799999999901E-6</v>
      </c>
      <c r="I1380">
        <v>285.22680000000003</v>
      </c>
      <c r="J1380">
        <v>-206.36770000000001</v>
      </c>
      <c r="K1380">
        <v>1.108509</v>
      </c>
      <c r="L1380">
        <v>285.39319999999998</v>
      </c>
      <c r="M1380">
        <v>-0.95352320000000002</v>
      </c>
      <c r="N1380">
        <v>0</v>
      </c>
      <c r="O1380">
        <v>-0.30100769999999999</v>
      </c>
      <c r="P1380">
        <v>-0.98317509999999997</v>
      </c>
      <c r="Q1380">
        <v>-5.7498489999999999E-2</v>
      </c>
      <c r="R1380">
        <v>-0.17338190000000001</v>
      </c>
      <c r="S1380">
        <v>-3.0428769999999998</v>
      </c>
      <c r="T1380">
        <v>-0.11680749999999999</v>
      </c>
      <c r="U1380">
        <v>-2.011108E-2</v>
      </c>
      <c r="V1380">
        <v>0.1304476</v>
      </c>
      <c r="W1380">
        <v>-4.445727E-2</v>
      </c>
      <c r="X1380">
        <v>0.99045799999999995</v>
      </c>
      <c r="Y1380">
        <v>0.2942939</v>
      </c>
      <c r="Z1380">
        <v>1.7057900000000001E-2</v>
      </c>
      <c r="AA1380">
        <v>0.95556269999999999</v>
      </c>
      <c r="AB1380">
        <v>11</v>
      </c>
      <c r="AC1380">
        <v>-28.7776999999999</v>
      </c>
      <c r="AD1380">
        <v>-1.10850782532</v>
      </c>
      <c r="AE1380">
        <v>-0.166399999999953</v>
      </c>
      <c r="AF1380">
        <v>8.4918424525106992</v>
      </c>
      <c r="AG1380">
        <v>-1.10850782532</v>
      </c>
      <c r="AH1380">
        <v>27.452143769459202</v>
      </c>
      <c r="AI1380">
        <v>92.209157389848599</v>
      </c>
      <c r="AJ1380">
        <v>72.811458049411399</v>
      </c>
      <c r="AK1380">
        <v>28.756918739254999</v>
      </c>
      <c r="AL1380">
        <v>92.5480536642674</v>
      </c>
      <c r="AM1380">
        <v>82.497081251602694</v>
      </c>
      <c r="AN1380">
        <v>1.0000000374828</v>
      </c>
    </row>
    <row r="1381" spans="1:40" x14ac:dyDescent="0.25">
      <c r="A1381" t="str">
        <f>"20190312160939787"</f>
        <v>20190312160939787</v>
      </c>
      <c r="B1381" t="str">
        <f>"1552378179777058"</f>
        <v>1552378179777058</v>
      </c>
      <c r="C1381" t="s">
        <v>40</v>
      </c>
      <c r="D1381">
        <v>5.3280629999999896</v>
      </c>
      <c r="E1381">
        <v>0.56467889999999998</v>
      </c>
      <c r="F1381" t="s">
        <v>61</v>
      </c>
      <c r="G1381">
        <v>-234.72370000000001</v>
      </c>
      <c r="H1381" s="1">
        <v>9.4906489999999999E-7</v>
      </c>
      <c r="I1381">
        <v>285.2543</v>
      </c>
      <c r="J1381">
        <v>-206.47630000000001</v>
      </c>
      <c r="K1381">
        <v>1.1085529999999999</v>
      </c>
      <c r="L1381">
        <v>285.36680000000001</v>
      </c>
      <c r="M1381">
        <v>-0.95537709999999998</v>
      </c>
      <c r="N1381">
        <v>0</v>
      </c>
      <c r="O1381">
        <v>-0.29507090000000002</v>
      </c>
      <c r="P1381">
        <v>-0.98383620000000005</v>
      </c>
      <c r="Q1381">
        <v>-5.8795149999999997E-2</v>
      </c>
      <c r="R1381">
        <v>-0.1691434</v>
      </c>
      <c r="S1381">
        <v>-3.041763</v>
      </c>
      <c r="T1381">
        <v>-0.1189101</v>
      </c>
      <c r="U1381">
        <v>-1.4892580000000001E-2</v>
      </c>
      <c r="V1381">
        <v>0.1285338</v>
      </c>
      <c r="W1381">
        <v>-4.5747749999999997E-2</v>
      </c>
      <c r="X1381">
        <v>0.99064940000000001</v>
      </c>
      <c r="Y1381">
        <v>0.2899755</v>
      </c>
      <c r="Z1381">
        <v>1.706396E-2</v>
      </c>
      <c r="AA1381">
        <v>0.95688189999999995</v>
      </c>
      <c r="AB1381">
        <v>11</v>
      </c>
      <c r="AC1381">
        <v>-28.247399999999999</v>
      </c>
      <c r="AD1381">
        <v>-1.1085520509350999</v>
      </c>
      <c r="AE1381">
        <v>-0.11250000000001099</v>
      </c>
      <c r="AF1381">
        <v>8.2156254595118998</v>
      </c>
      <c r="AG1381">
        <v>-1.1085520509350999</v>
      </c>
      <c r="AH1381">
        <v>26.981098054098101</v>
      </c>
      <c r="AI1381">
        <v>92.250824583429406</v>
      </c>
      <c r="AJ1381">
        <v>73.064738560843097</v>
      </c>
      <c r="AK1381">
        <v>28.225963961315198</v>
      </c>
      <c r="AL1381">
        <v>92.622068105400501</v>
      </c>
      <c r="AM1381">
        <v>82.607342556769197</v>
      </c>
      <c r="AN1381">
        <v>1.00000001404643</v>
      </c>
    </row>
    <row r="1382" spans="1:40" x14ac:dyDescent="0.25">
      <c r="A1382" t="str">
        <f>"20190312160939809"</f>
        <v>20190312160939809</v>
      </c>
      <c r="B1382" t="str">
        <f>"1552378179796579"</f>
        <v>1552378179796579</v>
      </c>
      <c r="C1382" t="s">
        <v>40</v>
      </c>
      <c r="D1382">
        <v>5.3807809999999998</v>
      </c>
      <c r="E1382">
        <v>0.56449669999999996</v>
      </c>
      <c r="F1382" t="s">
        <v>61</v>
      </c>
      <c r="G1382">
        <v>-236.18010000000001</v>
      </c>
      <c r="H1382" s="1">
        <v>1.7201949999999999E-6</v>
      </c>
      <c r="I1382">
        <v>285.34320000000002</v>
      </c>
      <c r="J1382">
        <v>-206.58260000000001</v>
      </c>
      <c r="K1382">
        <v>1.1085969999999901</v>
      </c>
      <c r="L1382">
        <v>285.34140000000002</v>
      </c>
      <c r="M1382">
        <v>-0.95712949999999997</v>
      </c>
      <c r="N1382">
        <v>0</v>
      </c>
      <c r="O1382">
        <v>-0.28933809999999999</v>
      </c>
      <c r="P1382">
        <v>-0.98454759999999997</v>
      </c>
      <c r="Q1382">
        <v>-5.9884369999999999E-2</v>
      </c>
      <c r="R1382">
        <v>-0.16456279999999901</v>
      </c>
      <c r="S1382">
        <v>-3.042084</v>
      </c>
      <c r="T1382">
        <v>-0.1135309</v>
      </c>
      <c r="U1382">
        <v>-2.4108889999999998E-3</v>
      </c>
      <c r="V1382">
        <v>0.12718840000000001</v>
      </c>
      <c r="W1382">
        <v>-4.6840800000000002E-2</v>
      </c>
      <c r="X1382">
        <v>0.99077190000000004</v>
      </c>
      <c r="Y1382">
        <v>0.28820879999999999</v>
      </c>
      <c r="Z1382">
        <v>1.605316E-2</v>
      </c>
      <c r="AA1382">
        <v>0.95743299999999998</v>
      </c>
      <c r="AB1382">
        <v>11</v>
      </c>
      <c r="AC1382">
        <v>-29.5975</v>
      </c>
      <c r="AD1382">
        <v>-1.1085952798049901</v>
      </c>
      <c r="AE1382">
        <v>1.8000000000029099E-3</v>
      </c>
      <c r="AF1382">
        <v>8.5542054929890607</v>
      </c>
      <c r="AG1382">
        <v>-1.1085952798049901</v>
      </c>
      <c r="AH1382">
        <v>28.291072333150201</v>
      </c>
      <c r="AI1382">
        <v>92.148057705676706</v>
      </c>
      <c r="AJ1382">
        <v>73.176566389818106</v>
      </c>
      <c r="AK1382">
        <v>29.576818437252999</v>
      </c>
      <c r="AL1382">
        <v>92.684762639568405</v>
      </c>
      <c r="AM1382">
        <v>82.684775645746399</v>
      </c>
      <c r="AN1382">
        <v>0.99999995373440398</v>
      </c>
    </row>
    <row r="1383" spans="1:40" x14ac:dyDescent="0.25">
      <c r="A1383" t="str">
        <f>"20190312160939852"</f>
        <v>20190312160939852</v>
      </c>
      <c r="B1383" t="str">
        <f>"1552378179846354"</f>
        <v>1552378179846354</v>
      </c>
      <c r="C1383" t="s">
        <v>40</v>
      </c>
      <c r="D1383">
        <v>5.3752879999999896</v>
      </c>
      <c r="E1383">
        <v>0.56347130000000001</v>
      </c>
      <c r="F1383" t="s">
        <v>61</v>
      </c>
      <c r="G1383">
        <v>-236.5617</v>
      </c>
      <c r="H1383" s="1">
        <v>1.9189399999999998E-6</v>
      </c>
      <c r="I1383">
        <v>285.4418</v>
      </c>
      <c r="J1383">
        <v>-206.7911</v>
      </c>
      <c r="K1383">
        <v>1.108676</v>
      </c>
      <c r="L1383">
        <v>285.29320000000001</v>
      </c>
      <c r="M1383">
        <v>-0.96036960000000005</v>
      </c>
      <c r="N1383">
        <v>0</v>
      </c>
      <c r="O1383">
        <v>-0.2783968</v>
      </c>
      <c r="P1383">
        <v>-0.98564739999999995</v>
      </c>
      <c r="Q1383">
        <v>-6.1390309999999997E-2</v>
      </c>
      <c r="R1383">
        <v>-0.15725819999999999</v>
      </c>
      <c r="S1383">
        <v>-3.0419770000000002</v>
      </c>
      <c r="T1383">
        <v>-0.11248900000000001</v>
      </c>
      <c r="U1383">
        <v>1.019287E-2</v>
      </c>
      <c r="V1383">
        <v>0.12320879999999999</v>
      </c>
      <c r="W1383">
        <v>-4.8360470000000003E-2</v>
      </c>
      <c r="X1383">
        <v>0.99120169999999996</v>
      </c>
      <c r="Y1383">
        <v>0.28126050000000002</v>
      </c>
      <c r="Z1383">
        <v>1.538815E-2</v>
      </c>
      <c r="AA1383">
        <v>0.95950809999999997</v>
      </c>
      <c r="AB1383">
        <v>11</v>
      </c>
      <c r="AC1383">
        <v>-29.770600000000002</v>
      </c>
      <c r="AD1383">
        <v>-1.10867408106</v>
      </c>
      <c r="AE1383">
        <v>0.14859999999998699</v>
      </c>
      <c r="AF1383">
        <v>8.4198556901009205</v>
      </c>
      <c r="AG1383">
        <v>-1.10867408106</v>
      </c>
      <c r="AH1383">
        <v>28.5125152255236</v>
      </c>
      <c r="AI1383">
        <v>92.135670275153402</v>
      </c>
      <c r="AJ1383">
        <v>73.547926212765901</v>
      </c>
      <c r="AK1383">
        <v>29.750405922371101</v>
      </c>
      <c r="AL1383">
        <v>92.771932076634599</v>
      </c>
      <c r="AM1383">
        <v>82.914338808785402</v>
      </c>
      <c r="AN1383">
        <v>0.99999997676947505</v>
      </c>
    </row>
    <row r="1384" spans="1:40" x14ac:dyDescent="0.25">
      <c r="A1384" t="str">
        <f>"20190312160939873"</f>
        <v>20190312160939873</v>
      </c>
      <c r="B1384" t="str">
        <f>"1552378179866851"</f>
        <v>1552378179866851</v>
      </c>
      <c r="C1384" t="s">
        <v>40</v>
      </c>
      <c r="D1384">
        <v>5.3202379999999998</v>
      </c>
      <c r="E1384">
        <v>0.56285010000000002</v>
      </c>
      <c r="F1384" t="s">
        <v>61</v>
      </c>
      <c r="G1384">
        <v>-237.548</v>
      </c>
      <c r="H1384" s="1">
        <v>2.4396139999999999E-6</v>
      </c>
      <c r="I1384">
        <v>285.53769999999997</v>
      </c>
      <c r="J1384">
        <v>-206.8947</v>
      </c>
      <c r="K1384">
        <v>1.108722</v>
      </c>
      <c r="L1384">
        <v>285.27</v>
      </c>
      <c r="M1384">
        <v>-0.96188459999999998</v>
      </c>
      <c r="N1384">
        <v>0</v>
      </c>
      <c r="O1384">
        <v>-0.27311920000000001</v>
      </c>
      <c r="P1384">
        <v>-0.98620620000000003</v>
      </c>
      <c r="Q1384">
        <v>-6.2594940000000002E-2</v>
      </c>
      <c r="R1384">
        <v>-0.15323059999999999</v>
      </c>
      <c r="S1384">
        <v>-3.0406949999999999</v>
      </c>
      <c r="T1384">
        <v>-0.10960590000000001</v>
      </c>
      <c r="U1384">
        <v>2.4169920000000001E-2</v>
      </c>
      <c r="V1384">
        <v>0.12179710000000001</v>
      </c>
      <c r="W1384">
        <v>-4.9580689999999997E-2</v>
      </c>
      <c r="X1384">
        <v>0.99131590000000003</v>
      </c>
      <c r="Y1384">
        <v>0.2804257</v>
      </c>
      <c r="Z1384">
        <v>1.48022E-2</v>
      </c>
      <c r="AA1384">
        <v>0.95976159999999999</v>
      </c>
      <c r="AB1384">
        <v>11</v>
      </c>
      <c r="AC1384">
        <v>-30.653300000000002</v>
      </c>
      <c r="AD1384">
        <v>-1.1087195603860001</v>
      </c>
      <c r="AE1384">
        <v>0.26769999999999</v>
      </c>
      <c r="AF1384">
        <v>8.6190200279229394</v>
      </c>
      <c r="AG1384">
        <v>-1.1087195603860001</v>
      </c>
      <c r="AH1384">
        <v>29.3761000739926</v>
      </c>
      <c r="AI1384">
        <v>92.074094467756794</v>
      </c>
      <c r="AJ1384">
        <v>73.648181645849505</v>
      </c>
      <c r="AK1384">
        <v>30.634490706759699</v>
      </c>
      <c r="AL1384">
        <v>92.841929465481897</v>
      </c>
      <c r="AM1384">
        <v>82.995512515928795</v>
      </c>
      <c r="AN1384">
        <v>0.99999999599104805</v>
      </c>
    </row>
    <row r="1385" spans="1:40" x14ac:dyDescent="0.25">
      <c r="A1385" t="str">
        <f>"20190312160939896"</f>
        <v>20190312160939896</v>
      </c>
      <c r="B1385" t="str">
        <f>"1552378179886371"</f>
        <v>1552378179886371</v>
      </c>
      <c r="C1385" t="s">
        <v>40</v>
      </c>
      <c r="D1385">
        <v>5.4150809999999998</v>
      </c>
      <c r="E1385">
        <v>0.56219300000000005</v>
      </c>
      <c r="F1385" t="s">
        <v>61</v>
      </c>
      <c r="G1385">
        <v>-236.93020000000001</v>
      </c>
      <c r="H1385" s="1">
        <v>2.108899E-6</v>
      </c>
      <c r="I1385">
        <v>285.58269999999999</v>
      </c>
      <c r="J1385">
        <v>-207.00409999999999</v>
      </c>
      <c r="K1385">
        <v>1.1087720000000001</v>
      </c>
      <c r="L1385">
        <v>285.24599999999998</v>
      </c>
      <c r="M1385">
        <v>-0.96341940000000004</v>
      </c>
      <c r="N1385">
        <v>0</v>
      </c>
      <c r="O1385">
        <v>-0.26765699999999998</v>
      </c>
      <c r="P1385">
        <v>-0.98687230000000004</v>
      </c>
      <c r="Q1385">
        <v>-6.3328300000000004E-2</v>
      </c>
      <c r="R1385">
        <v>-0.148568899999999</v>
      </c>
      <c r="S1385">
        <v>-3.0397639999999999</v>
      </c>
      <c r="T1385">
        <v>-0.11220869999999999</v>
      </c>
      <c r="U1385">
        <v>3.1646729999999998E-2</v>
      </c>
      <c r="V1385">
        <v>0.12084839999999999</v>
      </c>
      <c r="W1385">
        <v>-5.0337970000000003E-2</v>
      </c>
      <c r="X1385">
        <v>0.99139390000000005</v>
      </c>
      <c r="Y1385">
        <v>0.27732950000000001</v>
      </c>
      <c r="Z1385">
        <v>1.490583E-2</v>
      </c>
      <c r="AA1385">
        <v>0.96065929999999999</v>
      </c>
      <c r="AB1385">
        <v>11</v>
      </c>
      <c r="AC1385">
        <v>-29.926100000000002</v>
      </c>
      <c r="AD1385">
        <v>-1.10876989110099</v>
      </c>
      <c r="AE1385">
        <v>0.33670000000000699</v>
      </c>
      <c r="AF1385">
        <v>8.3236506665110603</v>
      </c>
      <c r="AG1385">
        <v>-1.10876989110099</v>
      </c>
      <c r="AH1385">
        <v>28.704494059341101</v>
      </c>
      <c r="AI1385">
        <v>92.124628511474398</v>
      </c>
      <c r="AJ1385">
        <v>73.829042585052306</v>
      </c>
      <c r="AK1385">
        <v>29.907532668080002</v>
      </c>
      <c r="AL1385">
        <v>92.885372490935694</v>
      </c>
      <c r="AM1385">
        <v>83.050077508391198</v>
      </c>
      <c r="AN1385">
        <v>1.0000000559817399</v>
      </c>
    </row>
    <row r="1386" spans="1:40" x14ac:dyDescent="0.25">
      <c r="A1386" t="str">
        <f>"20190312160939918"</f>
        <v>20190312160939918</v>
      </c>
      <c r="B1386" t="str">
        <f>"1552378179906867"</f>
        <v>1552378179906867</v>
      </c>
      <c r="C1386" t="s">
        <v>40</v>
      </c>
      <c r="D1386">
        <v>5.4264669999999997</v>
      </c>
      <c r="E1386">
        <v>0.56159349999999997</v>
      </c>
      <c r="F1386" t="s">
        <v>61</v>
      </c>
      <c r="G1386">
        <v>-236.50210000000001</v>
      </c>
      <c r="H1386" s="1">
        <v>1.878421E-6</v>
      </c>
      <c r="I1386">
        <v>285.64359999999999</v>
      </c>
      <c r="J1386">
        <v>-207.11199999999999</v>
      </c>
      <c r="K1386">
        <v>1.108824</v>
      </c>
      <c r="L1386">
        <v>285.22280000000001</v>
      </c>
      <c r="M1386">
        <v>-0.96486380000000005</v>
      </c>
      <c r="N1386">
        <v>0</v>
      </c>
      <c r="O1386">
        <v>-0.26240469999999999</v>
      </c>
      <c r="P1386">
        <v>-0.98745119999999997</v>
      </c>
      <c r="Q1386">
        <v>-6.3566139999999993E-2</v>
      </c>
      <c r="R1386">
        <v>-0.144567</v>
      </c>
      <c r="S1386">
        <v>-3.0387420000000001</v>
      </c>
      <c r="T1386">
        <v>-0.1142201</v>
      </c>
      <c r="U1386">
        <v>4.0954589999999999E-2</v>
      </c>
      <c r="V1386">
        <v>0.1194704</v>
      </c>
      <c r="W1386">
        <v>-5.0600760000000002E-2</v>
      </c>
      <c r="X1386">
        <v>0.99154750000000003</v>
      </c>
      <c r="Y1386">
        <v>0.2750321</v>
      </c>
      <c r="Z1386">
        <v>1.494351E-2</v>
      </c>
      <c r="AA1386">
        <v>0.96131889999999998</v>
      </c>
      <c r="AB1386">
        <v>11</v>
      </c>
      <c r="AC1386">
        <v>-29.3901</v>
      </c>
      <c r="AD1386">
        <v>-1.108822121579</v>
      </c>
      <c r="AE1386">
        <v>0.42079999999998502</v>
      </c>
      <c r="AF1386">
        <v>8.1073149250888097</v>
      </c>
      <c r="AG1386">
        <v>-1.108822121579</v>
      </c>
      <c r="AH1386">
        <v>28.209444543123801</v>
      </c>
      <c r="AI1386">
        <v>92.163465971853796</v>
      </c>
      <c r="AJ1386">
        <v>73.965498015951795</v>
      </c>
      <c r="AK1386">
        <v>29.372279503359</v>
      </c>
      <c r="AL1386">
        <v>92.900448538820001</v>
      </c>
      <c r="AM1386">
        <v>83.129617774010597</v>
      </c>
      <c r="AN1386">
        <v>1.00000002907249</v>
      </c>
    </row>
    <row r="1387" spans="1:40" x14ac:dyDescent="0.25">
      <c r="A1387" t="str">
        <f>"20190312160939941"</f>
        <v>20190312160939941</v>
      </c>
      <c r="B1387" t="str">
        <f>"1552378179937122"</f>
        <v>1552378179937122</v>
      </c>
      <c r="C1387" t="s">
        <v>40</v>
      </c>
      <c r="D1387">
        <v>5.39053</v>
      </c>
      <c r="E1387">
        <v>0.56073629999999997</v>
      </c>
      <c r="F1387" t="s">
        <v>61</v>
      </c>
      <c r="G1387">
        <v>-236.2902</v>
      </c>
      <c r="H1387" s="1">
        <v>1.763672E-6</v>
      </c>
      <c r="I1387">
        <v>285.68830000000003</v>
      </c>
      <c r="J1387">
        <v>-207.21940000000001</v>
      </c>
      <c r="K1387">
        <v>1.1088789999999999</v>
      </c>
      <c r="L1387">
        <v>285.20010000000002</v>
      </c>
      <c r="M1387">
        <v>-0.96623309999999996</v>
      </c>
      <c r="N1387">
        <v>0</v>
      </c>
      <c r="O1387">
        <v>-0.25731999999999999</v>
      </c>
      <c r="P1387">
        <v>-0.98795460000000002</v>
      </c>
      <c r="Q1387">
        <v>-6.4387539999999993E-2</v>
      </c>
      <c r="R1387">
        <v>-0.14071320000000001</v>
      </c>
      <c r="S1387">
        <v>-3.0377960000000002</v>
      </c>
      <c r="T1387">
        <v>-0.11544160000000001</v>
      </c>
      <c r="U1387">
        <v>4.8461909999999997E-2</v>
      </c>
      <c r="V1387">
        <v>0.11811049999999999</v>
      </c>
      <c r="W1387">
        <v>-5.1451520000000001E-2</v>
      </c>
      <c r="X1387">
        <v>0.99166659999999995</v>
      </c>
      <c r="Y1387">
        <v>0.2723447</v>
      </c>
      <c r="Z1387">
        <v>1.4869200000000001E-2</v>
      </c>
      <c r="AA1387">
        <v>0.96208479999999996</v>
      </c>
      <c r="AB1387">
        <v>11</v>
      </c>
      <c r="AC1387">
        <v>-29.070799999999899</v>
      </c>
      <c r="AD1387">
        <v>-1.1088772363279999</v>
      </c>
      <c r="AE1387">
        <v>0.48820000000000602</v>
      </c>
      <c r="AF1387">
        <v>7.9413779266604196</v>
      </c>
      <c r="AG1387">
        <v>-1.1088772363279999</v>
      </c>
      <c r="AH1387">
        <v>27.925443707723598</v>
      </c>
      <c r="AI1387">
        <v>92.187298646955796</v>
      </c>
      <c r="AJ1387">
        <v>74.125421620368897</v>
      </c>
      <c r="AK1387">
        <v>29.0538379284482</v>
      </c>
      <c r="AL1387">
        <v>92.949257171943302</v>
      </c>
      <c r="AM1387">
        <v>83.207894816231402</v>
      </c>
      <c r="AN1387">
        <v>0.99999999733806</v>
      </c>
    </row>
    <row r="1388" spans="1:40" x14ac:dyDescent="0.25">
      <c r="A1388" t="str">
        <f>"20190312160939962"</f>
        <v>20190312160939962</v>
      </c>
      <c r="B1388" t="str">
        <f>"1552378179956643"</f>
        <v>1552378179956643</v>
      </c>
      <c r="C1388" t="s">
        <v>40</v>
      </c>
      <c r="D1388">
        <v>5.4466619999999999</v>
      </c>
      <c r="E1388">
        <v>0.56022099999999997</v>
      </c>
      <c r="F1388" t="s">
        <v>61</v>
      </c>
      <c r="G1388">
        <v>-235.87049999999999</v>
      </c>
      <c r="H1388" s="1">
        <v>1.5396470000000001E-6</v>
      </c>
      <c r="I1388">
        <v>285.70429999999999</v>
      </c>
      <c r="J1388">
        <v>-207.3235</v>
      </c>
      <c r="K1388">
        <v>1.1089389999999999</v>
      </c>
      <c r="L1388">
        <v>285.17849999999999</v>
      </c>
      <c r="M1388">
        <v>-0.96749470000000004</v>
      </c>
      <c r="N1388">
        <v>0</v>
      </c>
      <c r="O1388">
        <v>-0.2525386</v>
      </c>
      <c r="P1388">
        <v>-0.98844779999999999</v>
      </c>
      <c r="Q1388">
        <v>-6.4977560000000004E-2</v>
      </c>
      <c r="R1388">
        <v>-0.13692689999999999</v>
      </c>
      <c r="S1388">
        <v>-3.03653</v>
      </c>
      <c r="T1388">
        <v>-0.1175221</v>
      </c>
      <c r="U1388">
        <v>5.3436280000000003E-2</v>
      </c>
      <c r="V1388">
        <v>0.1170037</v>
      </c>
      <c r="W1388">
        <v>-5.207751E-2</v>
      </c>
      <c r="X1388">
        <v>0.99176509999999996</v>
      </c>
      <c r="Y1388">
        <v>0.26915899999999998</v>
      </c>
      <c r="Z1388">
        <v>1.4901559999999999E-2</v>
      </c>
      <c r="AA1388">
        <v>0.96298050000000002</v>
      </c>
      <c r="AB1388">
        <v>11</v>
      </c>
      <c r="AC1388">
        <v>-28.547000000000001</v>
      </c>
      <c r="AD1388">
        <v>-1.108937460353</v>
      </c>
      <c r="AE1388">
        <v>0.52580000000000304</v>
      </c>
      <c r="AF1388">
        <v>7.7069901132694696</v>
      </c>
      <c r="AG1388">
        <v>-1.108937460353</v>
      </c>
      <c r="AH1388">
        <v>27.447332247145201</v>
      </c>
      <c r="AI1388">
        <v>92.227569708299498</v>
      </c>
      <c r="AJ1388">
        <v>74.315685284916199</v>
      </c>
      <c r="AK1388">
        <v>28.530395832903999</v>
      </c>
      <c r="AL1388">
        <v>92.985171979922796</v>
      </c>
      <c r="AM1388">
        <v>83.271618668622807</v>
      </c>
      <c r="AN1388">
        <v>0.99999997321974898</v>
      </c>
    </row>
    <row r="1389" spans="1:40" x14ac:dyDescent="0.25">
      <c r="A1389" t="str">
        <f>"20190312160939986"</f>
        <v>20190312160939986</v>
      </c>
      <c r="B1389" t="str">
        <f>"1552378179977139"</f>
        <v>1552378179977139</v>
      </c>
      <c r="C1389" t="s">
        <v>40</v>
      </c>
      <c r="D1389">
        <v>5.4928129999999999</v>
      </c>
      <c r="E1389">
        <v>0.55957199999999996</v>
      </c>
      <c r="F1389" t="s">
        <v>61</v>
      </c>
      <c r="G1389">
        <v>-235.47290000000001</v>
      </c>
      <c r="H1389" s="1">
        <v>1.3262830000000001E-6</v>
      </c>
      <c r="I1389">
        <v>285.745</v>
      </c>
      <c r="J1389">
        <v>-207.43700000000001</v>
      </c>
      <c r="K1389">
        <v>1.1090070000000001</v>
      </c>
      <c r="L1389">
        <v>285.15530000000001</v>
      </c>
      <c r="M1389">
        <v>-0.96879789999999999</v>
      </c>
      <c r="N1389">
        <v>0</v>
      </c>
      <c r="O1389">
        <v>-0.24749650000000001</v>
      </c>
      <c r="P1389">
        <v>-0.98906070000000001</v>
      </c>
      <c r="Q1389">
        <v>-6.4714770000000005E-2</v>
      </c>
      <c r="R1389">
        <v>-0.1325557</v>
      </c>
      <c r="S1389">
        <v>-3.03566</v>
      </c>
      <c r="T1389">
        <v>-0.119588899999999</v>
      </c>
      <c r="U1389">
        <v>6.1096190000000002E-2</v>
      </c>
      <c r="V1389">
        <v>0.1162377</v>
      </c>
      <c r="W1389">
        <v>-5.18664E-2</v>
      </c>
      <c r="X1389">
        <v>0.99186620000000003</v>
      </c>
      <c r="Y1389">
        <v>0.26656809999999997</v>
      </c>
      <c r="Z1389">
        <v>1.4923280000000001E-2</v>
      </c>
      <c r="AA1389">
        <v>0.96370049999999996</v>
      </c>
      <c r="AB1389">
        <v>11</v>
      </c>
      <c r="AC1389">
        <v>-28.035900000000002</v>
      </c>
      <c r="AD1389">
        <v>-1.109005673717</v>
      </c>
      <c r="AE1389">
        <v>0.58969999999999301</v>
      </c>
      <c r="AF1389">
        <v>7.4990199107870703</v>
      </c>
      <c r="AG1389">
        <v>-1.109005673717</v>
      </c>
      <c r="AH1389">
        <v>26.975361107639198</v>
      </c>
      <c r="AI1389">
        <v>92.268284884855007</v>
      </c>
      <c r="AJ1389">
        <v>74.464326600824094</v>
      </c>
      <c r="AK1389">
        <v>28.0202658819336</v>
      </c>
      <c r="AL1389">
        <v>92.973059989961598</v>
      </c>
      <c r="AM1389">
        <v>83.315943307004801</v>
      </c>
      <c r="AN1389">
        <v>0.99999994252634306</v>
      </c>
    </row>
    <row r="1390" spans="1:40" x14ac:dyDescent="0.25">
      <c r="A1390" t="str">
        <f>"20190312160940052"</f>
        <v>20190312160940052</v>
      </c>
      <c r="B1390" t="str">
        <f>"1552378180046435"</f>
        <v>1552378180046435</v>
      </c>
      <c r="C1390" t="s">
        <v>40</v>
      </c>
      <c r="D1390">
        <v>5.6098290000000004</v>
      </c>
      <c r="E1390">
        <v>0.55811690000000003</v>
      </c>
      <c r="F1390" t="s">
        <v>61</v>
      </c>
      <c r="G1390">
        <v>-235.62860000000001</v>
      </c>
      <c r="H1390" s="1">
        <v>1.4068189999999999E-6</v>
      </c>
      <c r="I1390">
        <v>285.79860000000002</v>
      </c>
      <c r="J1390">
        <v>-207.75409999999999</v>
      </c>
      <c r="K1390">
        <v>1.109102</v>
      </c>
      <c r="L1390">
        <v>285.09269999999998</v>
      </c>
      <c r="M1390">
        <v>-0.97209199999999996</v>
      </c>
      <c r="N1390">
        <v>0</v>
      </c>
      <c r="O1390">
        <v>-0.2342378</v>
      </c>
      <c r="P1390">
        <v>-0.99047160000000001</v>
      </c>
      <c r="Q1390">
        <v>-6.5187739999999994E-2</v>
      </c>
      <c r="R1390">
        <v>-0.1213128</v>
      </c>
      <c r="S1390">
        <v>-3.034637</v>
      </c>
      <c r="T1390">
        <v>-0.119377</v>
      </c>
      <c r="U1390">
        <v>6.9244379999999994E-2</v>
      </c>
      <c r="V1390">
        <v>0.1139614</v>
      </c>
      <c r="W1390">
        <v>-5.2538500000000002E-2</v>
      </c>
      <c r="X1390">
        <v>0.99209499999999995</v>
      </c>
      <c r="Y1390">
        <v>0.25599719999999998</v>
      </c>
      <c r="Z1390">
        <v>1.418429E-2</v>
      </c>
      <c r="AA1390">
        <v>0.96657349999999997</v>
      </c>
      <c r="AB1390">
        <v>11</v>
      </c>
      <c r="AC1390">
        <v>-27.874500000000001</v>
      </c>
      <c r="AD1390">
        <v>-1.1091005931810001</v>
      </c>
      <c r="AE1390">
        <v>0.70590000000004205</v>
      </c>
      <c r="AF1390">
        <v>7.2046750382240798</v>
      </c>
      <c r="AG1390">
        <v>-1.1091005931810001</v>
      </c>
      <c r="AH1390">
        <v>26.8909709895144</v>
      </c>
      <c r="AI1390">
        <v>92.281414719339196</v>
      </c>
      <c r="AJ1390">
        <v>75.001468944361605</v>
      </c>
      <c r="AK1390">
        <v>27.8614746072621</v>
      </c>
      <c r="AL1390">
        <v>93.011620914800702</v>
      </c>
      <c r="AM1390">
        <v>83.447186440314596</v>
      </c>
      <c r="AN1390">
        <v>0.999999991848604</v>
      </c>
    </row>
    <row r="1391" spans="1:40" x14ac:dyDescent="0.25">
      <c r="A1391" t="str">
        <f>"20190312160940074"</f>
        <v>20190312160940074</v>
      </c>
      <c r="B1391" t="str">
        <f>"1552378180066931"</f>
        <v>1552378180066931</v>
      </c>
      <c r="C1391" t="s">
        <v>40</v>
      </c>
      <c r="D1391">
        <v>5.5532199999999996</v>
      </c>
      <c r="E1391">
        <v>0.54216940000000002</v>
      </c>
      <c r="F1391" t="s">
        <v>61</v>
      </c>
      <c r="G1391">
        <v>-236.11170000000001</v>
      </c>
      <c r="H1391" s="1">
        <v>1.6570490000000001E-6</v>
      </c>
      <c r="I1391">
        <v>285.9545</v>
      </c>
      <c r="J1391">
        <v>-207.8631</v>
      </c>
      <c r="K1391">
        <v>1.109103</v>
      </c>
      <c r="L1391">
        <v>285.0718</v>
      </c>
      <c r="M1391">
        <v>-0.97312659999999995</v>
      </c>
      <c r="N1391">
        <v>0</v>
      </c>
      <c r="O1391">
        <v>-0.2299059</v>
      </c>
      <c r="P1391">
        <v>-0.99093770000000003</v>
      </c>
      <c r="Q1391">
        <v>-6.5294690000000002E-2</v>
      </c>
      <c r="R1391">
        <v>-0.11738460000000001</v>
      </c>
      <c r="S1391">
        <v>-3.032349</v>
      </c>
      <c r="T1391">
        <v>-0.1185991</v>
      </c>
      <c r="U1391">
        <v>9.2163090000000003E-2</v>
      </c>
      <c r="V1391">
        <v>0.1134757</v>
      </c>
      <c r="W1391">
        <v>-5.2724859999999998E-2</v>
      </c>
      <c r="X1391">
        <v>0.99214080000000004</v>
      </c>
      <c r="Y1391">
        <v>0.25901269999999998</v>
      </c>
      <c r="Z1391">
        <v>1.399604E-2</v>
      </c>
      <c r="AA1391">
        <v>0.96577250000000003</v>
      </c>
      <c r="AB1391">
        <v>11</v>
      </c>
      <c r="AC1391">
        <v>-28.2486</v>
      </c>
      <c r="AD1391">
        <v>-1.1091013429509999</v>
      </c>
      <c r="AE1391">
        <v>0.88269999999999904</v>
      </c>
      <c r="AF1391">
        <v>7.34280802182972</v>
      </c>
      <c r="AG1391">
        <v>-1.1091013429509999</v>
      </c>
      <c r="AH1391">
        <v>27.246856543851599</v>
      </c>
      <c r="AI1391">
        <v>92.250763381462903</v>
      </c>
      <c r="AJ1391">
        <v>74.917560537488001</v>
      </c>
      <c r="AK1391">
        <v>28.240717536132301</v>
      </c>
      <c r="AL1391">
        <v>93.022313332823998</v>
      </c>
      <c r="AM1391">
        <v>83.475171589985194</v>
      </c>
      <c r="AN1391">
        <v>1.0000000061885701</v>
      </c>
    </row>
    <row r="1392" spans="1:40" x14ac:dyDescent="0.25">
      <c r="A1392" t="str">
        <f>"20190312160940097"</f>
        <v>20190312160940097</v>
      </c>
      <c r="B1392" t="str">
        <f>"1552378180086451"</f>
        <v>1552378180086451</v>
      </c>
      <c r="C1392" t="s">
        <v>40</v>
      </c>
      <c r="D1392">
        <v>5.4149979999999998</v>
      </c>
      <c r="E1392">
        <v>0.54120089999999998</v>
      </c>
      <c r="F1392" t="s">
        <v>61</v>
      </c>
      <c r="G1392">
        <v>-241.28380000000001</v>
      </c>
      <c r="H1392" s="1">
        <v>-8.5361129999999998E-7</v>
      </c>
      <c r="I1392">
        <v>284.81400000000002</v>
      </c>
      <c r="J1392">
        <v>-207.96979999999999</v>
      </c>
      <c r="K1392">
        <v>1.109102</v>
      </c>
      <c r="L1392">
        <v>285.05180000000001</v>
      </c>
      <c r="M1392">
        <v>-0.97409330000000005</v>
      </c>
      <c r="N1392">
        <v>0</v>
      </c>
      <c r="O1392">
        <v>-0.2257808</v>
      </c>
      <c r="P1392">
        <v>-0.99134160000000004</v>
      </c>
      <c r="Q1392">
        <v>-6.4997059999999995E-2</v>
      </c>
      <c r="R1392">
        <v>-0.11409320000000001</v>
      </c>
      <c r="S1392">
        <v>-3.0180660000000001</v>
      </c>
      <c r="T1392">
        <v>-0.10015789999999999</v>
      </c>
      <c r="U1392">
        <v>-2.3284909999999999E-2</v>
      </c>
      <c r="V1392">
        <v>0.11257399999999999</v>
      </c>
      <c r="W1392">
        <v>-5.2508220000000001E-2</v>
      </c>
      <c r="X1392">
        <v>0.992255</v>
      </c>
      <c r="Y1392">
        <v>0.21803449999999999</v>
      </c>
      <c r="Z1392">
        <v>1.10574E-2</v>
      </c>
      <c r="AA1392">
        <v>0.97587840000000003</v>
      </c>
      <c r="AB1392">
        <v>11</v>
      </c>
      <c r="AC1392">
        <v>-33.314</v>
      </c>
      <c r="AD1392">
        <v>-1.1091028536112999</v>
      </c>
      <c r="AE1392">
        <v>-0.23779999999999199</v>
      </c>
      <c r="AF1392">
        <v>7.2825532308183396</v>
      </c>
      <c r="AG1392">
        <v>-1.1091028536112999</v>
      </c>
      <c r="AH1392">
        <v>32.471332418836397</v>
      </c>
      <c r="AI1392">
        <v>91.908872661764306</v>
      </c>
      <c r="AJ1392">
        <v>77.359084622478903</v>
      </c>
      <c r="AK1392">
        <v>33.296443049583701</v>
      </c>
      <c r="AL1392">
        <v>93.009883570477101</v>
      </c>
      <c r="AM1392">
        <v>83.527316020724996</v>
      </c>
      <c r="AN1392">
        <v>1.0000000018342801</v>
      </c>
    </row>
    <row r="1393" spans="1:40" x14ac:dyDescent="0.25">
      <c r="A1393" t="str">
        <f>"20190312160940120"</f>
        <v>20190312160940120</v>
      </c>
      <c r="B1393" t="str">
        <f>"1552378180116706"</f>
        <v>1552378180116706</v>
      </c>
      <c r="C1393" t="s">
        <v>40</v>
      </c>
      <c r="D1393">
        <v>5.5949220000000004</v>
      </c>
      <c r="E1393">
        <v>0.54091730000000005</v>
      </c>
      <c r="F1393" t="s">
        <v>61</v>
      </c>
      <c r="G1393">
        <v>-236.03100000000001</v>
      </c>
      <c r="H1393" s="1">
        <v>1.6616520000000001E-6</v>
      </c>
      <c r="I1393">
        <v>284.86720000000003</v>
      </c>
      <c r="J1393">
        <v>-208.0788</v>
      </c>
      <c r="K1393">
        <v>1.109118</v>
      </c>
      <c r="L1393">
        <v>285.0317</v>
      </c>
      <c r="M1393">
        <v>-0.97503260000000003</v>
      </c>
      <c r="N1393">
        <v>0</v>
      </c>
      <c r="O1393">
        <v>-0.22169520000000001</v>
      </c>
      <c r="P1393">
        <v>-0.99174099999999998</v>
      </c>
      <c r="Q1393">
        <v>-6.474444E-2</v>
      </c>
      <c r="R1393">
        <v>-0.1107171</v>
      </c>
      <c r="S1393">
        <v>-3.0160680000000002</v>
      </c>
      <c r="T1393">
        <v>-0.1192081</v>
      </c>
      <c r="U1393">
        <v>-1.9836429999999999E-2</v>
      </c>
      <c r="V1393">
        <v>0.1118007</v>
      </c>
      <c r="W1393">
        <v>-5.2345040000000002E-2</v>
      </c>
      <c r="X1393">
        <v>0.99235110000000004</v>
      </c>
      <c r="Y1393">
        <v>0.2149568</v>
      </c>
      <c r="Z1393">
        <v>1.294906E-2</v>
      </c>
      <c r="AA1393">
        <v>0.97653769999999995</v>
      </c>
      <c r="AB1393">
        <v>11</v>
      </c>
      <c r="AC1393">
        <v>-27.952199999999898</v>
      </c>
      <c r="AD1393">
        <v>-1.1091163383480001</v>
      </c>
      <c r="AE1393">
        <v>-0.164499999999975</v>
      </c>
      <c r="AF1393">
        <v>6.0274772476301601</v>
      </c>
      <c r="AG1393">
        <v>-1.1091163383480001</v>
      </c>
      <c r="AH1393">
        <v>27.2500932646102</v>
      </c>
      <c r="AI1393">
        <v>92.275783515977494</v>
      </c>
      <c r="AJ1393">
        <v>77.527505051292593</v>
      </c>
      <c r="AK1393">
        <v>27.930775212167799</v>
      </c>
      <c r="AL1393">
        <v>93.000521017039503</v>
      </c>
      <c r="AM1393">
        <v>83.572022417322302</v>
      </c>
      <c r="AN1393">
        <v>1.00000005270214</v>
      </c>
    </row>
    <row r="1394" spans="1:40" x14ac:dyDescent="0.25">
      <c r="A1394" t="str">
        <f>"20190312160940142"</f>
        <v>20190312160940142</v>
      </c>
      <c r="B1394" t="str">
        <f>"1552378180136227"</f>
        <v>1552378180136227</v>
      </c>
      <c r="C1394" t="s">
        <v>40</v>
      </c>
      <c r="D1394">
        <v>5.506596</v>
      </c>
      <c r="E1394">
        <v>0.54194699999999996</v>
      </c>
      <c r="F1394" t="s">
        <v>61</v>
      </c>
      <c r="G1394">
        <v>-235.02369999999999</v>
      </c>
      <c r="H1394" s="1">
        <v>1.122967E-6</v>
      </c>
      <c r="I1394">
        <v>284.92809999999997</v>
      </c>
      <c r="J1394">
        <v>-208.184</v>
      </c>
      <c r="K1394">
        <v>1.109138</v>
      </c>
      <c r="L1394">
        <v>285.01260000000002</v>
      </c>
      <c r="M1394">
        <v>-0.97589789999999998</v>
      </c>
      <c r="N1394">
        <v>0</v>
      </c>
      <c r="O1394">
        <v>-0.2178609</v>
      </c>
      <c r="P1394">
        <v>-0.99208649999999998</v>
      </c>
      <c r="Q1394">
        <v>-6.5243399999999993E-2</v>
      </c>
      <c r="R1394">
        <v>-0.1072765</v>
      </c>
      <c r="S1394">
        <v>-3.015549</v>
      </c>
      <c r="T1394">
        <v>-0.1241269</v>
      </c>
      <c r="U1394">
        <v>-1.159668E-2</v>
      </c>
      <c r="V1394">
        <v>0.1113386</v>
      </c>
      <c r="W1394">
        <v>-5.2933220000000003E-2</v>
      </c>
      <c r="X1394">
        <v>0.99237180000000003</v>
      </c>
      <c r="Y1394">
        <v>0.21376029999999999</v>
      </c>
      <c r="Z1394">
        <v>1.330664E-2</v>
      </c>
      <c r="AA1394">
        <v>0.97679550000000004</v>
      </c>
      <c r="AB1394">
        <v>11</v>
      </c>
      <c r="AC1394">
        <v>-26.839699999999901</v>
      </c>
      <c r="AD1394">
        <v>-1.1091368770329999</v>
      </c>
      <c r="AE1394">
        <v>-8.4500000000048203E-2</v>
      </c>
      <c r="AF1394">
        <v>5.75549019985211</v>
      </c>
      <c r="AG1394">
        <v>-1.1091368770329999</v>
      </c>
      <c r="AH1394">
        <v>26.168624107919999</v>
      </c>
      <c r="AI1394">
        <v>92.370397078274806</v>
      </c>
      <c r="AJ1394">
        <v>77.595937799702298</v>
      </c>
      <c r="AK1394">
        <v>26.817023320163599</v>
      </c>
      <c r="AL1394">
        <v>93.034268195692505</v>
      </c>
      <c r="AM1394">
        <v>83.5985022542731</v>
      </c>
      <c r="AN1394">
        <v>0.99999999953238405</v>
      </c>
    </row>
    <row r="1395" spans="1:40" x14ac:dyDescent="0.25">
      <c r="A1395" t="str">
        <f>"20190312160940165"</f>
        <v>20190312160940165</v>
      </c>
      <c r="B1395" t="str">
        <f>"1552378180156723"</f>
        <v>1552378180156723</v>
      </c>
      <c r="C1395" t="s">
        <v>40</v>
      </c>
      <c r="D1395">
        <v>5.6675760000000004</v>
      </c>
      <c r="E1395">
        <v>0.54209540000000001</v>
      </c>
      <c r="F1395" t="s">
        <v>61</v>
      </c>
      <c r="G1395">
        <v>-234.3904</v>
      </c>
      <c r="H1395" s="1">
        <v>7.7945709999999898E-7</v>
      </c>
      <c r="I1395">
        <v>285.07589999999999</v>
      </c>
      <c r="J1395">
        <v>-208.2972</v>
      </c>
      <c r="K1395">
        <v>1.1091740000000001</v>
      </c>
      <c r="L1395">
        <v>284.9923</v>
      </c>
      <c r="M1395">
        <v>-0.97678330000000002</v>
      </c>
      <c r="N1395">
        <v>0</v>
      </c>
      <c r="O1395">
        <v>-0.2138622</v>
      </c>
      <c r="P1395">
        <v>-0.99241749999999995</v>
      </c>
      <c r="Q1395">
        <v>-6.5982280000000004E-2</v>
      </c>
      <c r="R1395">
        <v>-0.1037003</v>
      </c>
      <c r="S1395">
        <v>-3.016327</v>
      </c>
      <c r="T1395">
        <v>-0.12766060000000001</v>
      </c>
      <c r="U1395">
        <v>7.2937009999999997E-3</v>
      </c>
      <c r="V1395">
        <v>0.1108447</v>
      </c>
      <c r="W1395">
        <v>-5.3765970000000003E-2</v>
      </c>
      <c r="X1395">
        <v>0.99238230000000005</v>
      </c>
      <c r="Y1395">
        <v>0.21585799999999999</v>
      </c>
      <c r="Z1395">
        <v>1.3561439999999999E-2</v>
      </c>
      <c r="AA1395">
        <v>0.97633060000000005</v>
      </c>
      <c r="AB1395">
        <v>11</v>
      </c>
      <c r="AC1395">
        <v>-26.0932</v>
      </c>
      <c r="AD1395">
        <v>-1.1091732205428999</v>
      </c>
      <c r="AE1395">
        <v>8.3599999999989905E-2</v>
      </c>
      <c r="AF1395">
        <v>5.6522405731420502</v>
      </c>
      <c r="AG1395">
        <v>-1.1091732205428999</v>
      </c>
      <c r="AH1395">
        <v>25.425585031403301</v>
      </c>
      <c r="AI1395">
        <v>92.438451631481499</v>
      </c>
      <c r="AJ1395">
        <v>77.4666600904239</v>
      </c>
      <c r="AK1395">
        <v>26.0698765420737</v>
      </c>
      <c r="AL1395">
        <v>93.082049368557904</v>
      </c>
      <c r="AM1395">
        <v>83.626732109884998</v>
      </c>
      <c r="AN1395">
        <v>0.99999997820070996</v>
      </c>
    </row>
    <row r="1396" spans="1:40" x14ac:dyDescent="0.25">
      <c r="A1396" t="str">
        <f>"20190312160940186"</f>
        <v>20190312160940186</v>
      </c>
      <c r="B1396" t="str">
        <f>"1552378180176243"</f>
        <v>1552378180176243</v>
      </c>
      <c r="C1396" t="s">
        <v>40</v>
      </c>
      <c r="D1396">
        <v>5.7965220000000004</v>
      </c>
      <c r="E1396">
        <v>0.54182600000000003</v>
      </c>
      <c r="F1396" t="s">
        <v>61</v>
      </c>
      <c r="G1396">
        <v>-234.75360000000001</v>
      </c>
      <c r="H1396" s="1">
        <v>9.6902530000000004E-7</v>
      </c>
      <c r="I1396">
        <v>285.16090000000003</v>
      </c>
      <c r="J1396">
        <v>-208.3972</v>
      </c>
      <c r="K1396">
        <v>1.1092029999999999</v>
      </c>
      <c r="L1396">
        <v>284.97460000000001</v>
      </c>
      <c r="M1396">
        <v>-0.97752810000000001</v>
      </c>
      <c r="N1396">
        <v>0</v>
      </c>
      <c r="O1396">
        <v>-0.21043780000000001</v>
      </c>
      <c r="P1396">
        <v>-0.99273900000000004</v>
      </c>
      <c r="Q1396">
        <v>-6.6103750000000003E-2</v>
      </c>
      <c r="R1396">
        <v>-0.10049710000000001</v>
      </c>
      <c r="S1396">
        <v>-3.0165099999999998</v>
      </c>
      <c r="T1396">
        <v>-0.126466</v>
      </c>
      <c r="U1396">
        <v>1.9226070000000001E-2</v>
      </c>
      <c r="V1396">
        <v>0.1105724</v>
      </c>
      <c r="W1396">
        <v>-5.3971239999999997E-2</v>
      </c>
      <c r="X1396">
        <v>0.99240150000000005</v>
      </c>
      <c r="Y1396">
        <v>0.21630769999999999</v>
      </c>
      <c r="Z1396">
        <v>1.330304E-2</v>
      </c>
      <c r="AA1396">
        <v>0.97623459999999995</v>
      </c>
      <c r="AB1396">
        <v>11</v>
      </c>
      <c r="AC1396">
        <v>-26.356400000000001</v>
      </c>
      <c r="AD1396">
        <v>-1.1092020309746999</v>
      </c>
      <c r="AE1396">
        <v>0.18630000000001601</v>
      </c>
      <c r="AF1396">
        <v>5.7188113775959204</v>
      </c>
      <c r="AG1396">
        <v>-1.1092020309746999</v>
      </c>
      <c r="AH1396">
        <v>25.681424965464601</v>
      </c>
      <c r="AI1396">
        <v>92.414058140623098</v>
      </c>
      <c r="AJ1396">
        <v>77.446047938865604</v>
      </c>
      <c r="AK1396">
        <v>26.33383225007</v>
      </c>
      <c r="AL1396">
        <v>93.093827681615707</v>
      </c>
      <c r="AM1396">
        <v>83.642382255540298</v>
      </c>
      <c r="AN1396">
        <v>0.999999943795572</v>
      </c>
    </row>
    <row r="1397" spans="1:40" x14ac:dyDescent="0.25">
      <c r="A1397" t="str">
        <f>"20190312160940233"</f>
        <v>20190312160940233</v>
      </c>
      <c r="B1397" t="str">
        <f>"1552378180226995"</f>
        <v>1552378180226995</v>
      </c>
      <c r="C1397" t="s">
        <v>40</v>
      </c>
      <c r="D1397">
        <v>5.618112</v>
      </c>
      <c r="E1397">
        <v>0.53978000000000004</v>
      </c>
      <c r="F1397" t="s">
        <v>61</v>
      </c>
      <c r="G1397">
        <v>-232.7518</v>
      </c>
      <c r="H1397" s="1">
        <v>-9.7750100000000004E-8</v>
      </c>
      <c r="I1397">
        <v>285.19569999999999</v>
      </c>
      <c r="J1397">
        <v>-208.62389999999999</v>
      </c>
      <c r="K1397">
        <v>1.1092070000000001</v>
      </c>
      <c r="L1397">
        <v>284.93549999999999</v>
      </c>
      <c r="M1397">
        <v>-0.97910609999999998</v>
      </c>
      <c r="N1397">
        <v>0</v>
      </c>
      <c r="O1397">
        <v>-0.20298169999999999</v>
      </c>
      <c r="P1397">
        <v>-0.99343389999999998</v>
      </c>
      <c r="Q1397">
        <v>-6.5989519999999996E-2</v>
      </c>
      <c r="R1397">
        <v>-9.3459070000000005E-2</v>
      </c>
      <c r="S1397">
        <v>-3.0155789999999998</v>
      </c>
      <c r="T1397">
        <v>-0.1373414</v>
      </c>
      <c r="U1397">
        <v>2.7374269999999999E-2</v>
      </c>
      <c r="V1397">
        <v>0.1100478</v>
      </c>
      <c r="W1397">
        <v>-5.4057649999999999E-2</v>
      </c>
      <c r="X1397">
        <v>0.99245519999999998</v>
      </c>
      <c r="Y1397">
        <v>0.2114492</v>
      </c>
      <c r="Z1397">
        <v>1.4006319999999999E-2</v>
      </c>
      <c r="AA1397">
        <v>0.97728859999999995</v>
      </c>
      <c r="AB1397">
        <v>11</v>
      </c>
      <c r="AC1397">
        <v>-24.1279</v>
      </c>
      <c r="AD1397">
        <v>-1.1092070977501001</v>
      </c>
      <c r="AE1397">
        <v>0.26019999999999699</v>
      </c>
      <c r="AF1397">
        <v>5.1418056508664698</v>
      </c>
      <c r="AG1397">
        <v>-1.1092070977501001</v>
      </c>
      <c r="AH1397">
        <v>23.523014139075698</v>
      </c>
      <c r="AI1397">
        <v>92.637547820157707</v>
      </c>
      <c r="AJ1397">
        <v>77.669870942317502</v>
      </c>
      <c r="AK1397">
        <v>24.1039561052566</v>
      </c>
      <c r="AL1397">
        <v>93.098785562648104</v>
      </c>
      <c r="AM1397">
        <v>83.672639717941493</v>
      </c>
      <c r="AN1397">
        <v>1.0000000359076999</v>
      </c>
    </row>
    <row r="1398" spans="1:40" x14ac:dyDescent="0.25">
      <c r="A1398" t="str">
        <f>"20190312160940254"</f>
        <v>20190312160940254</v>
      </c>
      <c r="B1398" t="str">
        <f>"1552378180246514"</f>
        <v>1552378180246514</v>
      </c>
      <c r="C1398" t="s">
        <v>40</v>
      </c>
      <c r="D1398">
        <v>5.7565470000000003</v>
      </c>
      <c r="E1398">
        <v>0.53890079999999996</v>
      </c>
      <c r="F1398" t="s">
        <v>61</v>
      </c>
      <c r="G1398">
        <v>-229.14580000000001</v>
      </c>
      <c r="H1398" s="1">
        <v>3.3301550000000001E-6</v>
      </c>
      <c r="I1398">
        <v>285.1669</v>
      </c>
      <c r="J1398">
        <v>-208.7252</v>
      </c>
      <c r="K1398">
        <v>1.1091949999999999</v>
      </c>
      <c r="L1398">
        <v>284.91840000000002</v>
      </c>
      <c r="M1398">
        <v>-0.97976600000000003</v>
      </c>
      <c r="N1398">
        <v>0</v>
      </c>
      <c r="O1398">
        <v>-0.19977790000000001</v>
      </c>
      <c r="P1398">
        <v>-0.99371209999999999</v>
      </c>
      <c r="Q1398">
        <v>-6.474589E-2</v>
      </c>
      <c r="R1398">
        <v>-9.1348390000000002E-2</v>
      </c>
      <c r="S1398">
        <v>-3.012222</v>
      </c>
      <c r="T1398">
        <v>-0.1628097</v>
      </c>
      <c r="U1398">
        <v>3.3966059999999999E-2</v>
      </c>
      <c r="V1398">
        <v>0.10892880000000001</v>
      </c>
      <c r="W1398">
        <v>-5.2904619999999999E-2</v>
      </c>
      <c r="X1398">
        <v>0.99264070000000004</v>
      </c>
      <c r="Y1398">
        <v>0.21023210000000001</v>
      </c>
      <c r="Z1398">
        <v>1.6415740000000002E-2</v>
      </c>
      <c r="AA1398">
        <v>0.97751370000000004</v>
      </c>
      <c r="AB1398">
        <v>11</v>
      </c>
      <c r="AC1398">
        <v>-20.4206</v>
      </c>
      <c r="AD1398">
        <v>-1.109191669845</v>
      </c>
      <c r="AE1398">
        <v>0.24849999999997799</v>
      </c>
      <c r="AF1398">
        <v>4.3106588808505704</v>
      </c>
      <c r="AG1398">
        <v>-1.109191669845</v>
      </c>
      <c r="AH1398">
        <v>19.900530384644799</v>
      </c>
      <c r="AI1398">
        <v>93.118019406236897</v>
      </c>
      <c r="AJ1398">
        <v>77.777964803887997</v>
      </c>
      <c r="AK1398">
        <v>20.392233711334299</v>
      </c>
      <c r="AL1398">
        <v>93.032627324347999</v>
      </c>
      <c r="AM1398">
        <v>83.737625506096805</v>
      </c>
      <c r="AN1398">
        <v>0.99999997079163605</v>
      </c>
    </row>
    <row r="1399" spans="1:40" x14ac:dyDescent="0.25">
      <c r="A1399" t="str">
        <f>"20190312160940275"</f>
        <v>20190312160940275</v>
      </c>
      <c r="B1399" t="str">
        <f>"1552378180267011"</f>
        <v>1552378180267011</v>
      </c>
      <c r="C1399" t="s">
        <v>40</v>
      </c>
      <c r="D1399">
        <v>5.6462089999999998</v>
      </c>
      <c r="E1399">
        <v>0.53719619999999901</v>
      </c>
      <c r="F1399" t="s">
        <v>61</v>
      </c>
      <c r="G1399">
        <v>-228.74019999999999</v>
      </c>
      <c r="H1399" s="1">
        <v>3.1142850000000002E-6</v>
      </c>
      <c r="I1399">
        <v>285.14170000000001</v>
      </c>
      <c r="J1399">
        <v>-208.82579999999999</v>
      </c>
      <c r="K1399">
        <v>1.1091819999999999</v>
      </c>
      <c r="L1399">
        <v>284.90170000000001</v>
      </c>
      <c r="M1399">
        <v>-0.98039589999999999</v>
      </c>
      <c r="N1399">
        <v>0</v>
      </c>
      <c r="O1399">
        <v>-0.1966696</v>
      </c>
      <c r="P1399">
        <v>-0.99384609999999995</v>
      </c>
      <c r="Q1399">
        <v>-6.5077510000000005E-2</v>
      </c>
      <c r="R1399">
        <v>-8.9640620000000004E-2</v>
      </c>
      <c r="S1399">
        <v>-3.0112000000000001</v>
      </c>
      <c r="T1399">
        <v>-0.16687479999999999</v>
      </c>
      <c r="U1399">
        <v>3.3599850000000001E-2</v>
      </c>
      <c r="V1399">
        <v>0.1074823</v>
      </c>
      <c r="W1399">
        <v>-5.3326730000000003E-2</v>
      </c>
      <c r="X1399">
        <v>0.99277579999999999</v>
      </c>
      <c r="Y1399">
        <v>0.2069946</v>
      </c>
      <c r="Z1399">
        <v>1.6571410000000002E-2</v>
      </c>
      <c r="AA1399">
        <v>0.97820169999999995</v>
      </c>
      <c r="AB1399">
        <v>11</v>
      </c>
      <c r="AC1399">
        <v>-19.914400000000001</v>
      </c>
      <c r="AD1399">
        <v>-1.10917888571499</v>
      </c>
      <c r="AE1399">
        <v>0.24000000000000901</v>
      </c>
      <c r="AF1399">
        <v>4.1393139479735597</v>
      </c>
      <c r="AG1399">
        <v>-1.10917888571499</v>
      </c>
      <c r="AH1399">
        <v>19.4179775633222</v>
      </c>
      <c r="AI1399">
        <v>93.197563996572299</v>
      </c>
      <c r="AJ1399">
        <v>77.9664221862255</v>
      </c>
      <c r="AK1399">
        <v>19.885221910003601</v>
      </c>
      <c r="AL1399">
        <v>93.056846585916105</v>
      </c>
      <c r="AM1399">
        <v>83.820972286086004</v>
      </c>
      <c r="AN1399">
        <v>0.99999998700571102</v>
      </c>
    </row>
    <row r="1400" spans="1:40" x14ac:dyDescent="0.25">
      <c r="A1400" t="str">
        <f>"20190312160940299"</f>
        <v>20190312160940299</v>
      </c>
      <c r="B1400" t="str">
        <f>"1552378180287507"</f>
        <v>1552378180287507</v>
      </c>
      <c r="C1400" t="s">
        <v>40</v>
      </c>
      <c r="D1400">
        <v>5.5245980000000001</v>
      </c>
      <c r="E1400">
        <v>0.53637029999999997</v>
      </c>
      <c r="F1400" t="s">
        <v>61</v>
      </c>
      <c r="G1400">
        <v>-228.69059999999999</v>
      </c>
      <c r="H1400" s="1">
        <v>3.0879160000000001E-6</v>
      </c>
      <c r="I1400">
        <v>285.0686</v>
      </c>
      <c r="J1400">
        <v>-208.93469999999999</v>
      </c>
      <c r="K1400">
        <v>1.109181</v>
      </c>
      <c r="L1400">
        <v>284.88389999999998</v>
      </c>
      <c r="M1400">
        <v>-0.98104970000000002</v>
      </c>
      <c r="N1400">
        <v>0</v>
      </c>
      <c r="O1400">
        <v>-0.19338759999999999</v>
      </c>
      <c r="P1400">
        <v>-0.99402469999999998</v>
      </c>
      <c r="Q1400">
        <v>-6.5899189999999996E-2</v>
      </c>
      <c r="R1400">
        <v>-8.7020810000000004E-2</v>
      </c>
      <c r="S1400">
        <v>-3.0098880000000001</v>
      </c>
      <c r="T1400">
        <v>-0.16806160000000001</v>
      </c>
      <c r="U1400">
        <v>2.529907E-2</v>
      </c>
      <c r="V1400">
        <v>0.1067655</v>
      </c>
      <c r="W1400">
        <v>-5.4244090000000002E-2</v>
      </c>
      <c r="X1400">
        <v>0.99280349999999995</v>
      </c>
      <c r="Y1400">
        <v>0.20102919999999999</v>
      </c>
      <c r="Z1400">
        <v>1.6348919999999999E-2</v>
      </c>
      <c r="AA1400">
        <v>0.97944880000000001</v>
      </c>
      <c r="AB1400">
        <v>11</v>
      </c>
      <c r="AC1400">
        <v>-19.7559</v>
      </c>
      <c r="AD1400">
        <v>-1.109177912084</v>
      </c>
      <c r="AE1400">
        <v>0.18470000000001999</v>
      </c>
      <c r="AF1400">
        <v>3.9894572422806198</v>
      </c>
      <c r="AG1400">
        <v>-1.109177912084</v>
      </c>
      <c r="AH1400">
        <v>19.2863932063219</v>
      </c>
      <c r="AI1400">
        <v>93.223414893154299</v>
      </c>
      <c r="AJ1400">
        <v>78.312998251422798</v>
      </c>
      <c r="AK1400">
        <v>19.725896877898801</v>
      </c>
      <c r="AL1400">
        <v>93.109483466518697</v>
      </c>
      <c r="AM1400">
        <v>83.862034589089404</v>
      </c>
      <c r="AN1400">
        <v>1.00000004145121</v>
      </c>
    </row>
    <row r="1401" spans="1:40" x14ac:dyDescent="0.25">
      <c r="A1401" t="str">
        <f>"20190312160940321"</f>
        <v>20190312160940321</v>
      </c>
      <c r="B1401" t="str">
        <f>"1552378180316787"</f>
        <v>1552378180316787</v>
      </c>
      <c r="C1401" t="s">
        <v>40</v>
      </c>
      <c r="D1401">
        <v>5.4887980000000001</v>
      </c>
      <c r="E1401">
        <v>0.53511469999999906</v>
      </c>
      <c r="F1401" t="s">
        <v>61</v>
      </c>
      <c r="G1401">
        <v>-230.4512</v>
      </c>
      <c r="H1401" s="1">
        <v>-1.316492E-6</v>
      </c>
      <c r="I1401">
        <v>285.06990000000002</v>
      </c>
      <c r="J1401">
        <v>-209.04499999999999</v>
      </c>
      <c r="K1401">
        <v>1.1091869999999999</v>
      </c>
      <c r="L1401">
        <v>284.86610000000002</v>
      </c>
      <c r="M1401">
        <v>-0.98168549999999999</v>
      </c>
      <c r="N1401">
        <v>0</v>
      </c>
      <c r="O1401">
        <v>-0.19014020000000001</v>
      </c>
      <c r="P1401">
        <v>-0.99421749999999998</v>
      </c>
      <c r="Q1401">
        <v>-6.5956319999999999E-2</v>
      </c>
      <c r="R1401">
        <v>-8.4745529999999999E-2</v>
      </c>
      <c r="S1401">
        <v>-3.01004</v>
      </c>
      <c r="T1401">
        <v>-0.1551679</v>
      </c>
      <c r="U1401">
        <v>2.6031490000000001E-2</v>
      </c>
      <c r="V1401">
        <v>0.105754</v>
      </c>
      <c r="W1401">
        <v>-5.4386429999999999E-2</v>
      </c>
      <c r="X1401">
        <v>0.99290389999999995</v>
      </c>
      <c r="Y1401">
        <v>0.1981231</v>
      </c>
      <c r="Z1401">
        <v>1.4855790000000001E-2</v>
      </c>
      <c r="AA1401">
        <v>0.98006459999999995</v>
      </c>
      <c r="AB1401">
        <v>11</v>
      </c>
      <c r="AC1401">
        <v>-21.406199999999998</v>
      </c>
      <c r="AD1401">
        <v>-1.109188316492</v>
      </c>
      <c r="AE1401">
        <v>0.20380000000000101</v>
      </c>
      <c r="AF1401">
        <v>4.2591118681662197</v>
      </c>
      <c r="AG1401">
        <v>-1.109188316492</v>
      </c>
      <c r="AH1401">
        <v>20.920711628551199</v>
      </c>
      <c r="AI1401">
        <v>92.974012271774498</v>
      </c>
      <c r="AJ1401">
        <v>78.492781284592297</v>
      </c>
      <c r="AK1401">
        <v>21.378646067325999</v>
      </c>
      <c r="AL1401">
        <v>93.117651216244695</v>
      </c>
      <c r="AM1401">
        <v>83.920358440778898</v>
      </c>
      <c r="AN1401">
        <v>0.99999997345967695</v>
      </c>
    </row>
    <row r="1402" spans="1:40" x14ac:dyDescent="0.25">
      <c r="A1402" t="str">
        <f>"20190312160940344"</f>
        <v>20190312160940344</v>
      </c>
      <c r="B1402" t="str">
        <f>"1552378180337283"</f>
        <v>1552378180337283</v>
      </c>
      <c r="C1402" t="s">
        <v>40</v>
      </c>
      <c r="D1402">
        <v>6.067164</v>
      </c>
      <c r="E1402">
        <v>0.53439049999999999</v>
      </c>
      <c r="F1402" t="s">
        <v>61</v>
      </c>
      <c r="G1402">
        <v>-233.47880000000001</v>
      </c>
      <c r="H1402" s="1">
        <v>2.956822E-7</v>
      </c>
      <c r="I1402">
        <v>285.0455</v>
      </c>
      <c r="J1402">
        <v>-209.15170000000001</v>
      </c>
      <c r="K1402">
        <v>1.1091959999999901</v>
      </c>
      <c r="L1402">
        <v>284.8492</v>
      </c>
      <c r="M1402">
        <v>-0.98227609999999999</v>
      </c>
      <c r="N1402">
        <v>0</v>
      </c>
      <c r="O1402">
        <v>-0.1870706</v>
      </c>
      <c r="P1402">
        <v>-0.99434259999999997</v>
      </c>
      <c r="Q1402">
        <v>-6.6167439999999994E-2</v>
      </c>
      <c r="R1402">
        <v>-8.3096530000000002E-2</v>
      </c>
      <c r="S1402">
        <v>-3.0102540000000002</v>
      </c>
      <c r="T1402">
        <v>-0.1366521</v>
      </c>
      <c r="U1402">
        <v>2.209473E-2</v>
      </c>
      <c r="V1402">
        <v>0.1042971</v>
      </c>
      <c r="W1402">
        <v>-5.4667880000000002E-2</v>
      </c>
      <c r="X1402">
        <v>0.9930426</v>
      </c>
      <c r="Y1402">
        <v>0.19389780000000001</v>
      </c>
      <c r="Z1402">
        <v>1.285063E-2</v>
      </c>
      <c r="AA1402">
        <v>0.98093750000000002</v>
      </c>
      <c r="AB1402">
        <v>11</v>
      </c>
      <c r="AC1402">
        <v>-24.327100000000002</v>
      </c>
      <c r="AD1402">
        <v>-1.10919570431779</v>
      </c>
      <c r="AE1402">
        <v>0.196300000000007</v>
      </c>
      <c r="AF1402">
        <v>4.7341926244716497</v>
      </c>
      <c r="AG1402">
        <v>-1.10919570431779</v>
      </c>
      <c r="AH1402">
        <v>23.8113579937324</v>
      </c>
      <c r="AI1402">
        <v>92.615930991038198</v>
      </c>
      <c r="AJ1402">
        <v>78.755048269953605</v>
      </c>
      <c r="AK1402">
        <v>24.302750141121201</v>
      </c>
      <c r="AL1402">
        <v>93.133800951044194</v>
      </c>
      <c r="AM1402">
        <v>84.004330437064496</v>
      </c>
      <c r="AN1402">
        <v>1.0000000337934301</v>
      </c>
    </row>
    <row r="1403" spans="1:40" x14ac:dyDescent="0.25">
      <c r="A1403" t="str">
        <f>"20190312160940365"</f>
        <v>20190312160940365</v>
      </c>
      <c r="B1403" t="str">
        <f>"1552378180356803"</f>
        <v>1552378180356803</v>
      </c>
      <c r="C1403" t="s">
        <v>40</v>
      </c>
      <c r="D1403">
        <v>5.602036</v>
      </c>
      <c r="E1403">
        <v>0.53376159999999995</v>
      </c>
      <c r="F1403" t="s">
        <v>61</v>
      </c>
      <c r="G1403">
        <v>-235.19329999999999</v>
      </c>
      <c r="H1403" s="1">
        <v>1.2088350000000001E-6</v>
      </c>
      <c r="I1403">
        <v>285.02820000000003</v>
      </c>
      <c r="J1403">
        <v>-209.25800000000001</v>
      </c>
      <c r="K1403">
        <v>1.109208</v>
      </c>
      <c r="L1403">
        <v>284.83260000000001</v>
      </c>
      <c r="M1403">
        <v>-0.98283929999999997</v>
      </c>
      <c r="N1403">
        <v>0</v>
      </c>
      <c r="O1403">
        <v>-0.1840929</v>
      </c>
      <c r="P1403">
        <v>-0.99447700000000006</v>
      </c>
      <c r="Q1403">
        <v>-6.5643030000000005E-2</v>
      </c>
      <c r="R1403">
        <v>-8.1895519999999999E-2</v>
      </c>
      <c r="S1403">
        <v>-3.0102690000000001</v>
      </c>
      <c r="T1403">
        <v>-0.128217</v>
      </c>
      <c r="U1403">
        <v>2.0690920000000002E-2</v>
      </c>
      <c r="V1403">
        <v>0.102497699999999</v>
      </c>
      <c r="W1403">
        <v>-5.4202880000000002E-2</v>
      </c>
      <c r="X1403">
        <v>0.99325540000000001</v>
      </c>
      <c r="Y1403">
        <v>0.19051860000000001</v>
      </c>
      <c r="Z1403">
        <v>1.186095E-2</v>
      </c>
      <c r="AA1403">
        <v>0.98161189999999998</v>
      </c>
      <c r="AB1403">
        <v>11</v>
      </c>
      <c r="AC1403">
        <v>-25.935300000000002</v>
      </c>
      <c r="AD1403">
        <v>-1.1092067911650001</v>
      </c>
      <c r="AE1403">
        <v>0.19560000000001301</v>
      </c>
      <c r="AF1403">
        <v>4.9580192022820597</v>
      </c>
      <c r="AG1403">
        <v>-1.1092067911650001</v>
      </c>
      <c r="AH1403">
        <v>25.409489293179099</v>
      </c>
      <c r="AI1403">
        <v>92.453350488112804</v>
      </c>
      <c r="AJ1403">
        <v>78.958907609852901</v>
      </c>
      <c r="AK1403">
        <v>25.912437945047699</v>
      </c>
      <c r="AL1403">
        <v>93.107118926044194</v>
      </c>
      <c r="AM1403">
        <v>84.108290930068407</v>
      </c>
      <c r="AN1403">
        <v>1.0000000101673701</v>
      </c>
    </row>
    <row r="1404" spans="1:40" x14ac:dyDescent="0.25">
      <c r="A1404" t="str">
        <f>"20190312160940388"</f>
        <v>20190312160940388</v>
      </c>
      <c r="B1404" t="str">
        <f>"1552378180376323"</f>
        <v>1552378180376323</v>
      </c>
      <c r="C1404" t="s">
        <v>40</v>
      </c>
      <c r="D1404">
        <v>5.6010369999999998</v>
      </c>
      <c r="E1404">
        <v>0.53308279999999997</v>
      </c>
      <c r="F1404" t="s">
        <v>61</v>
      </c>
      <c r="G1404">
        <v>-237.46549999999999</v>
      </c>
      <c r="H1404" s="1">
        <v>2.4187269999999999E-6</v>
      </c>
      <c r="I1404">
        <v>285.01100000000002</v>
      </c>
      <c r="J1404">
        <v>-209.3657</v>
      </c>
      <c r="K1404">
        <v>1.1092200000000001</v>
      </c>
      <c r="L1404">
        <v>284.81610000000001</v>
      </c>
      <c r="M1404">
        <v>-0.98338610000000004</v>
      </c>
      <c r="N1404">
        <v>0</v>
      </c>
      <c r="O1404">
        <v>-0.18115329999999999</v>
      </c>
      <c r="P1404">
        <v>-0.99465440000000005</v>
      </c>
      <c r="Q1404">
        <v>-6.5205239999999998E-2</v>
      </c>
      <c r="R1404">
        <v>-8.0070310000000006E-2</v>
      </c>
      <c r="S1404">
        <v>-3.010437</v>
      </c>
      <c r="T1404">
        <v>-0.1183797</v>
      </c>
      <c r="U1404">
        <v>1.9042969999999999E-2</v>
      </c>
      <c r="V1404">
        <v>0.1013593</v>
      </c>
      <c r="W1404">
        <v>-5.3820399999999997E-2</v>
      </c>
      <c r="X1404">
        <v>0.99339299999999997</v>
      </c>
      <c r="Y1404">
        <v>0.1870993</v>
      </c>
      <c r="Z1404">
        <v>1.076968E-2</v>
      </c>
      <c r="AA1404">
        <v>0.98228199999999999</v>
      </c>
      <c r="AB1404">
        <v>11</v>
      </c>
      <c r="AC1404">
        <v>-28.099799999999899</v>
      </c>
      <c r="AD1404">
        <v>-1.1092175812729901</v>
      </c>
      <c r="AE1404">
        <v>0.19489999999996099</v>
      </c>
      <c r="AF1404">
        <v>5.2741728177486102</v>
      </c>
      <c r="AG1404">
        <v>-1.1092175812729901</v>
      </c>
      <c r="AH1404">
        <v>27.556575606562401</v>
      </c>
      <c r="AI1404">
        <v>92.2639965060729</v>
      </c>
      <c r="AJ1404">
        <v>79.164945972532493</v>
      </c>
      <c r="AK1404">
        <v>28.078677349801801</v>
      </c>
      <c r="AL1404">
        <v>93.085172439364001</v>
      </c>
      <c r="AM1404">
        <v>84.174076536842804</v>
      </c>
      <c r="AN1404">
        <v>0.99999999780082505</v>
      </c>
    </row>
    <row r="1405" spans="1:40" x14ac:dyDescent="0.25">
      <c r="A1405" t="str">
        <f>"20190312160940412"</f>
        <v>20190312160940412</v>
      </c>
      <c r="B1405" t="str">
        <f>"1552378180406579"</f>
        <v>1552378180406579</v>
      </c>
      <c r="C1405" t="s">
        <v>40</v>
      </c>
      <c r="D1405">
        <v>5.5969280000000001</v>
      </c>
      <c r="E1405">
        <v>0.5326092</v>
      </c>
      <c r="F1405" t="s">
        <v>61</v>
      </c>
      <c r="G1405">
        <v>-239.53469999999999</v>
      </c>
      <c r="H1405" s="1">
        <v>3.5201349999999999E-6</v>
      </c>
      <c r="I1405">
        <v>285.00479999999999</v>
      </c>
      <c r="J1405">
        <v>-209.48769999999999</v>
      </c>
      <c r="K1405">
        <v>1.1092229999999901</v>
      </c>
      <c r="L1405">
        <v>284.79750000000001</v>
      </c>
      <c r="M1405">
        <v>-0.98398169999999996</v>
      </c>
      <c r="N1405">
        <v>0</v>
      </c>
      <c r="O1405">
        <v>-0.1778933</v>
      </c>
      <c r="P1405">
        <v>-0.99483849999999996</v>
      </c>
      <c r="Q1405">
        <v>-6.5046880000000001E-2</v>
      </c>
      <c r="R1405">
        <v>-7.7880119999999997E-2</v>
      </c>
      <c r="S1405">
        <v>-3.0103909999999998</v>
      </c>
      <c r="T1405">
        <v>-0.1106824</v>
      </c>
      <c r="U1405">
        <v>1.8829350000000002E-2</v>
      </c>
      <c r="V1405">
        <v>0.10025770000000001</v>
      </c>
      <c r="W1405">
        <v>-5.3720419999999998E-2</v>
      </c>
      <c r="X1405">
        <v>0.99351020000000001</v>
      </c>
      <c r="Y1405">
        <v>0.18381310000000001</v>
      </c>
      <c r="Z1405">
        <v>9.8912730000000008E-3</v>
      </c>
      <c r="AA1405">
        <v>0.98291150000000005</v>
      </c>
      <c r="AB1405">
        <v>11</v>
      </c>
      <c r="AC1405">
        <v>-30.047000000000001</v>
      </c>
      <c r="AD1405">
        <v>-1.1092194798649999</v>
      </c>
      <c r="AE1405">
        <v>0.207299999999975</v>
      </c>
      <c r="AF1405">
        <v>5.5419589546680799</v>
      </c>
      <c r="AG1405">
        <v>-1.1092194798649999</v>
      </c>
      <c r="AH1405">
        <v>29.490611360321498</v>
      </c>
      <c r="AI1405">
        <v>92.117007499777003</v>
      </c>
      <c r="AJ1405">
        <v>79.3569432831857</v>
      </c>
      <c r="AK1405">
        <v>30.0273181505652</v>
      </c>
      <c r="AL1405">
        <v>93.079435689885202</v>
      </c>
      <c r="AM1405">
        <v>84.237640981867401</v>
      </c>
      <c r="AN1405">
        <v>1.0000000037191501</v>
      </c>
    </row>
    <row r="1406" spans="1:40" x14ac:dyDescent="0.25">
      <c r="A1406" t="str">
        <f>"20190312160940437"</f>
        <v>20190312160940437</v>
      </c>
      <c r="B1406" t="str">
        <f>"1552378180427075"</f>
        <v>1552378180427075</v>
      </c>
      <c r="C1406" t="s">
        <v>40</v>
      </c>
      <c r="D1406">
        <v>5.5335619999999999</v>
      </c>
      <c r="E1406">
        <v>0.53224609999999895</v>
      </c>
      <c r="F1406" t="s">
        <v>61</v>
      </c>
      <c r="G1406">
        <v>-240.97309999999999</v>
      </c>
      <c r="H1406" s="1">
        <v>-1.0189309999999999E-6</v>
      </c>
      <c r="I1406">
        <v>285.02350000000001</v>
      </c>
      <c r="J1406">
        <v>-209.60919999999999</v>
      </c>
      <c r="K1406">
        <v>1.1092150000000001</v>
      </c>
      <c r="L1406">
        <v>284.77940000000001</v>
      </c>
      <c r="M1406">
        <v>-0.98455309999999996</v>
      </c>
      <c r="N1406">
        <v>0</v>
      </c>
      <c r="O1406">
        <v>-0.17470749999999999</v>
      </c>
      <c r="P1406">
        <v>-0.99503249999999999</v>
      </c>
      <c r="Q1406">
        <v>-6.4920039999999998E-2</v>
      </c>
      <c r="R1406">
        <v>-7.5469729999999999E-2</v>
      </c>
      <c r="S1406">
        <v>-3.0103</v>
      </c>
      <c r="T1406">
        <v>-0.10605199999999999</v>
      </c>
      <c r="U1406">
        <v>2.1606449999999999E-2</v>
      </c>
      <c r="V1406">
        <v>9.9450419999999998E-2</v>
      </c>
      <c r="W1406">
        <v>-5.3651589999999999E-2</v>
      </c>
      <c r="X1406">
        <v>0.99359509999999995</v>
      </c>
      <c r="Y1406">
        <v>0.18156120000000001</v>
      </c>
      <c r="Z1406">
        <v>9.3275700000000003E-3</v>
      </c>
      <c r="AA1406">
        <v>0.98333539999999997</v>
      </c>
      <c r="AB1406">
        <v>11</v>
      </c>
      <c r="AC1406">
        <v>-31.363900000000001</v>
      </c>
      <c r="AD1406">
        <v>-1.1092160189309901</v>
      </c>
      <c r="AE1406">
        <v>0.24410000000000301</v>
      </c>
      <c r="AF1406">
        <v>5.7130716799969701</v>
      </c>
      <c r="AG1406">
        <v>-1.1092160189309901</v>
      </c>
      <c r="AH1406">
        <v>30.800300458218398</v>
      </c>
      <c r="AI1406">
        <v>92.027948709458201</v>
      </c>
      <c r="AJ1406">
        <v>79.491775141154903</v>
      </c>
      <c r="AK1406">
        <v>31.345303579866101</v>
      </c>
      <c r="AL1406">
        <v>93.075486180500704</v>
      </c>
      <c r="AM1406">
        <v>84.284216477897601</v>
      </c>
      <c r="AN1406">
        <v>1.00000005094585</v>
      </c>
    </row>
    <row r="1407" spans="1:40" x14ac:dyDescent="0.25">
      <c r="A1407" t="str">
        <f>"20190312160940457"</f>
        <v>20190312160940457</v>
      </c>
      <c r="B1407" t="str">
        <f>"1552378180446595"</f>
        <v>1552378180446595</v>
      </c>
      <c r="C1407" t="s">
        <v>40</v>
      </c>
      <c r="D1407">
        <v>5.584873</v>
      </c>
      <c r="E1407">
        <v>0.53190190000000004</v>
      </c>
      <c r="F1407" t="s">
        <v>61</v>
      </c>
      <c r="G1407">
        <v>-241.2655</v>
      </c>
      <c r="H1407" s="1">
        <v>-8.6333759999999998E-7</v>
      </c>
      <c r="I1407">
        <v>285.0539</v>
      </c>
      <c r="J1407">
        <v>-209.70480000000001</v>
      </c>
      <c r="K1407">
        <v>1.1092109999999999</v>
      </c>
      <c r="L1407">
        <v>284.76549999999997</v>
      </c>
      <c r="M1407">
        <v>-0.9849871</v>
      </c>
      <c r="N1407">
        <v>0</v>
      </c>
      <c r="O1407">
        <v>-0.17224719999999999</v>
      </c>
      <c r="P1407">
        <v>-0.99518600000000002</v>
      </c>
      <c r="Q1407">
        <v>-6.4257099999999998E-2</v>
      </c>
      <c r="R1407">
        <v>-7.4000389999999999E-2</v>
      </c>
      <c r="S1407">
        <v>-3.0100709999999999</v>
      </c>
      <c r="T1407">
        <v>-0.10547089999999899</v>
      </c>
      <c r="U1407">
        <v>2.6092529999999999E-2</v>
      </c>
      <c r="V1407">
        <v>9.8443829999999996E-2</v>
      </c>
      <c r="W1407">
        <v>-5.3031160000000001E-2</v>
      </c>
      <c r="X1407">
        <v>0.99372859999999996</v>
      </c>
      <c r="Y1407">
        <v>0.18057480000000001</v>
      </c>
      <c r="Z1407">
        <v>9.1748430000000002E-3</v>
      </c>
      <c r="AA1407">
        <v>0.98351849999999996</v>
      </c>
      <c r="AB1407">
        <v>11</v>
      </c>
      <c r="AC1407">
        <v>-31.560700000000001</v>
      </c>
      <c r="AD1407">
        <v>-1.1092118633376</v>
      </c>
      <c r="AE1407">
        <v>0.28840000000002403</v>
      </c>
      <c r="AF1407">
        <v>5.7136312396232096</v>
      </c>
      <c r="AG1407">
        <v>-1.1092118633376</v>
      </c>
      <c r="AH1407">
        <v>31.0009552512191</v>
      </c>
      <c r="AI1407">
        <v>92.015251712056795</v>
      </c>
      <c r="AJ1407">
        <v>79.557289120088299</v>
      </c>
      <c r="AK1407">
        <v>31.542592781638199</v>
      </c>
      <c r="AL1407">
        <v>93.0398876021126</v>
      </c>
      <c r="AM1407">
        <v>84.342446834418197</v>
      </c>
      <c r="AN1407">
        <v>1.00000001102698</v>
      </c>
    </row>
    <row r="1408" spans="1:40" x14ac:dyDescent="0.25">
      <c r="A1408" t="str">
        <f>"20190312160940477"</f>
        <v>20190312160940477</v>
      </c>
      <c r="B1408" t="str">
        <f>"1552378180467091"</f>
        <v>1552378180467091</v>
      </c>
      <c r="C1408" t="s">
        <v>40</v>
      </c>
      <c r="D1408">
        <v>5.6367620000000001</v>
      </c>
      <c r="E1408">
        <v>0.53163499999999997</v>
      </c>
      <c r="F1408" t="s">
        <v>61</v>
      </c>
      <c r="G1408">
        <v>-241.84010000000001</v>
      </c>
      <c r="H1408" s="1">
        <v>-5.5757259999999999E-7</v>
      </c>
      <c r="I1408">
        <v>285.06200000000001</v>
      </c>
      <c r="J1408">
        <v>-209.80439999999999</v>
      </c>
      <c r="K1408">
        <v>1.1092139999999999</v>
      </c>
      <c r="L1408">
        <v>284.75110000000001</v>
      </c>
      <c r="M1408">
        <v>-0.98542510000000005</v>
      </c>
      <c r="N1408">
        <v>0</v>
      </c>
      <c r="O1408">
        <v>-0.16972579999999901</v>
      </c>
      <c r="P1408">
        <v>-0.9953244</v>
      </c>
      <c r="Q1408">
        <v>-6.4124990000000007E-2</v>
      </c>
      <c r="R1408">
        <v>-7.2231840000000005E-2</v>
      </c>
      <c r="S1408">
        <v>-3.0098720000000001</v>
      </c>
      <c r="T1408">
        <v>-0.1038915</v>
      </c>
      <c r="U1408">
        <v>2.7771000000000001E-2</v>
      </c>
      <c r="V1408">
        <v>9.766859E-2</v>
      </c>
      <c r="W1408">
        <v>-5.2940389999999997E-2</v>
      </c>
      <c r="X1408">
        <v>0.99380990000000002</v>
      </c>
      <c r="Y1408">
        <v>0.17861529999999901</v>
      </c>
      <c r="Z1408">
        <v>8.9183030000000007E-3</v>
      </c>
      <c r="AA1408">
        <v>0.98387860000000005</v>
      </c>
      <c r="AB1408">
        <v>11</v>
      </c>
      <c r="AC1408">
        <v>-32.035699999999999</v>
      </c>
      <c r="AD1408">
        <v>-1.1092145575726</v>
      </c>
      <c r="AE1408">
        <v>0.31090000000000301</v>
      </c>
      <c r="AF1408">
        <v>5.7371510552604104</v>
      </c>
      <c r="AG1408">
        <v>-1.1092145575726</v>
      </c>
      <c r="AH1408">
        <v>31.4803356834047</v>
      </c>
      <c r="AI1408">
        <v>91.985317428302807</v>
      </c>
      <c r="AJ1408">
        <v>79.671452549382295</v>
      </c>
      <c r="AK1408">
        <v>32.018069802932402</v>
      </c>
      <c r="AL1408">
        <v>93.034679649107602</v>
      </c>
      <c r="AM1408">
        <v>84.387170383567593</v>
      </c>
      <c r="AN1408">
        <v>0.99999997785197403</v>
      </c>
    </row>
    <row r="1409" spans="1:40" x14ac:dyDescent="0.25">
      <c r="A1409" t="str">
        <f>"20190312160940500"</f>
        <v>20190312160940500</v>
      </c>
      <c r="B1409" t="str">
        <f>"1552378180496371"</f>
        <v>1552378180496371</v>
      </c>
      <c r="C1409" t="s">
        <v>40</v>
      </c>
      <c r="D1409">
        <v>5.648155</v>
      </c>
      <c r="E1409">
        <v>0.53122939999999996</v>
      </c>
      <c r="F1409" t="s">
        <v>61</v>
      </c>
      <c r="G1409">
        <v>-242.1294</v>
      </c>
      <c r="H1409" s="1">
        <v>-4.0364830000000002E-7</v>
      </c>
      <c r="I1409">
        <v>285.08479999999997</v>
      </c>
      <c r="J1409">
        <v>-209.91329999999999</v>
      </c>
      <c r="K1409">
        <v>1.109213</v>
      </c>
      <c r="L1409">
        <v>284.73570000000001</v>
      </c>
      <c r="M1409">
        <v>-0.98588730000000002</v>
      </c>
      <c r="N1409">
        <v>0</v>
      </c>
      <c r="O1409">
        <v>-0.167022799999999</v>
      </c>
      <c r="P1409">
        <v>-0.99552940000000001</v>
      </c>
      <c r="Q1409">
        <v>-6.3123769999999996E-2</v>
      </c>
      <c r="R1409">
        <v>-7.026222E-2</v>
      </c>
      <c r="S1409">
        <v>-3.009674</v>
      </c>
      <c r="T1409">
        <v>-0.10327550000000001</v>
      </c>
      <c r="U1409">
        <v>3.106689E-2</v>
      </c>
      <c r="V1409">
        <v>9.6923280000000001E-2</v>
      </c>
      <c r="W1409">
        <v>-5.1977530000000001E-2</v>
      </c>
      <c r="X1409">
        <v>0.99393370000000003</v>
      </c>
      <c r="Y1409">
        <v>0.17699970000000001</v>
      </c>
      <c r="Z1409">
        <v>8.7466599999999999E-3</v>
      </c>
      <c r="AA1409">
        <v>0.98417200000000005</v>
      </c>
      <c r="AB1409">
        <v>11</v>
      </c>
      <c r="AC1409">
        <v>-32.216099999999997</v>
      </c>
      <c r="AD1409">
        <v>-1.1092134036482999</v>
      </c>
      <c r="AE1409">
        <v>0.34909999999996399</v>
      </c>
      <c r="AF1409">
        <v>5.7185892230800901</v>
      </c>
      <c r="AG1409">
        <v>-1.1092134036482999</v>
      </c>
      <c r="AH1409">
        <v>31.667654897882802</v>
      </c>
      <c r="AI1409">
        <v>91.974157690998396</v>
      </c>
      <c r="AJ1409">
        <v>79.763763623636393</v>
      </c>
      <c r="AK1409">
        <v>32.1989593590936</v>
      </c>
      <c r="AL1409">
        <v>92.9794357201868</v>
      </c>
      <c r="AM1409">
        <v>84.430420987596506</v>
      </c>
      <c r="AN1409">
        <v>0.99999999291327402</v>
      </c>
    </row>
    <row r="1410" spans="1:40" x14ac:dyDescent="0.25">
      <c r="A1410" t="str">
        <f>"20190312160940521"</f>
        <v>20190312160940521</v>
      </c>
      <c r="B1410" t="str">
        <f>"1552378180516867"</f>
        <v>1552378180516867</v>
      </c>
      <c r="C1410" t="s">
        <v>40</v>
      </c>
      <c r="D1410">
        <v>5.2202359999999999</v>
      </c>
      <c r="E1410">
        <v>0.53079489999999996</v>
      </c>
      <c r="F1410" t="s">
        <v>61</v>
      </c>
      <c r="G1410">
        <v>-244.07929999999999</v>
      </c>
      <c r="H1410" s="1">
        <v>6.3403679999999996E-7</v>
      </c>
      <c r="I1410">
        <v>285.11810000000003</v>
      </c>
      <c r="J1410">
        <v>-210.01849999999999</v>
      </c>
      <c r="K1410">
        <v>1.1092229999999901</v>
      </c>
      <c r="L1410">
        <v>284.721</v>
      </c>
      <c r="M1410">
        <v>-0.98631869999999999</v>
      </c>
      <c r="N1410">
        <v>0</v>
      </c>
      <c r="O1410">
        <v>-0.16445960000000001</v>
      </c>
      <c r="P1410">
        <v>-0.99568619999999997</v>
      </c>
      <c r="Q1410">
        <v>-6.2347880000000001E-2</v>
      </c>
      <c r="R1410">
        <v>-6.8716970000000002E-2</v>
      </c>
      <c r="S1410">
        <v>-3.0096590000000001</v>
      </c>
      <c r="T1410">
        <v>-9.7709539999999998E-2</v>
      </c>
      <c r="U1410">
        <v>3.3691409999999998E-2</v>
      </c>
      <c r="V1410">
        <v>9.5893649999999997E-2</v>
      </c>
      <c r="W1410">
        <v>-5.1231989999999998E-2</v>
      </c>
      <c r="X1410">
        <v>0.99407230000000002</v>
      </c>
      <c r="Y1410">
        <v>0.1753226</v>
      </c>
      <c r="Z1410">
        <v>8.1660420000000001E-3</v>
      </c>
      <c r="AA1410">
        <v>0.98447720000000005</v>
      </c>
      <c r="AB1410">
        <v>11</v>
      </c>
      <c r="AC1410">
        <v>-34.0608</v>
      </c>
      <c r="AD1410">
        <v>-1.1092223659631999</v>
      </c>
      <c r="AE1410">
        <v>0.39710000000002299</v>
      </c>
      <c r="AF1410">
        <v>5.9873287458289202</v>
      </c>
      <c r="AG1410">
        <v>-1.1092223659631999</v>
      </c>
      <c r="AH1410">
        <v>33.496131710307097</v>
      </c>
      <c r="AI1410">
        <v>91.867082079361694</v>
      </c>
      <c r="AJ1410">
        <v>79.865587143667597</v>
      </c>
      <c r="AK1410">
        <v>34.045107127486403</v>
      </c>
      <c r="AL1410">
        <v>92.936662342506096</v>
      </c>
      <c r="AM1410">
        <v>84.489984895537603</v>
      </c>
      <c r="AN1410">
        <v>1.00000002326848</v>
      </c>
    </row>
    <row r="1411" spans="1:40" x14ac:dyDescent="0.25">
      <c r="A1411" t="str">
        <f>"20190312160940544"</f>
        <v>20190312160940544</v>
      </c>
      <c r="B1411" t="str">
        <f>"1552378180536387"</f>
        <v>1552378180536387</v>
      </c>
      <c r="C1411" t="s">
        <v>40</v>
      </c>
      <c r="D1411">
        <v>5.6457269999999999</v>
      </c>
      <c r="E1411">
        <v>0.53027619999999998</v>
      </c>
      <c r="F1411" t="s">
        <v>61</v>
      </c>
      <c r="G1411">
        <v>-245.1711</v>
      </c>
      <c r="H1411" s="1">
        <v>1.2150269999999999E-6</v>
      </c>
      <c r="I1411">
        <v>285.12630000000001</v>
      </c>
      <c r="J1411">
        <v>-210.1266</v>
      </c>
      <c r="K1411">
        <v>1.1092360000000001</v>
      </c>
      <c r="L1411">
        <v>284.70609999999999</v>
      </c>
      <c r="M1411">
        <v>-0.98674680000000003</v>
      </c>
      <c r="N1411">
        <v>0</v>
      </c>
      <c r="O1411">
        <v>-0.16187379999999901</v>
      </c>
      <c r="P1411">
        <v>-0.99583350000000004</v>
      </c>
      <c r="Q1411">
        <v>-6.1698030000000001E-2</v>
      </c>
      <c r="R1411">
        <v>-6.7150849999999998E-2</v>
      </c>
      <c r="S1411">
        <v>-3.0094150000000002</v>
      </c>
      <c r="T1411">
        <v>-9.4960329999999996E-2</v>
      </c>
      <c r="U1411">
        <v>3.4698489999999999E-2</v>
      </c>
      <c r="V1411">
        <v>9.4861630000000002E-2</v>
      </c>
      <c r="W1411">
        <v>-5.06087E-2</v>
      </c>
      <c r="X1411">
        <v>0.99420319999999995</v>
      </c>
      <c r="Y1411">
        <v>0.1730843</v>
      </c>
      <c r="Z1411">
        <v>7.8209719999999903E-3</v>
      </c>
      <c r="AA1411">
        <v>0.98487599999999997</v>
      </c>
      <c r="AB1411">
        <v>11</v>
      </c>
      <c r="AC1411">
        <v>-35.044499999999999</v>
      </c>
      <c r="AD1411">
        <v>-1.109234784973</v>
      </c>
      <c r="AE1411">
        <v>0.420200000000022</v>
      </c>
      <c r="AF1411">
        <v>6.0817137292171797</v>
      </c>
      <c r="AG1411">
        <v>-1.109234784973</v>
      </c>
      <c r="AH1411">
        <v>34.479692507303199</v>
      </c>
      <c r="AI1411">
        <v>91.814615468952695</v>
      </c>
      <c r="AJ1411">
        <v>79.9967547915235</v>
      </c>
      <c r="AK1411">
        <v>35.0295138289204</v>
      </c>
      <c r="AL1411">
        <v>92.900904175606399</v>
      </c>
      <c r="AM1411">
        <v>84.549638673945907</v>
      </c>
      <c r="AN1411">
        <v>0.99999998612609298</v>
      </c>
    </row>
    <row r="1412" spans="1:40" x14ac:dyDescent="0.25">
      <c r="A1412" t="str">
        <f>"20190312160940566"</f>
        <v>20190312160940566</v>
      </c>
      <c r="B1412" t="str">
        <f>"1552378180556884"</f>
        <v>1552378180556884</v>
      </c>
      <c r="C1412" t="s">
        <v>40</v>
      </c>
      <c r="D1412">
        <v>5.652685</v>
      </c>
      <c r="E1412">
        <v>0.52976290000000004</v>
      </c>
      <c r="F1412" t="s">
        <v>61</v>
      </c>
      <c r="G1412">
        <v>-246.95249999999999</v>
      </c>
      <c r="H1412" s="1">
        <v>2.1629679999999998E-6</v>
      </c>
      <c r="I1412">
        <v>285.1386</v>
      </c>
      <c r="J1412">
        <v>-210.238</v>
      </c>
      <c r="K1412">
        <v>1.1092439999999999</v>
      </c>
      <c r="L1412">
        <v>284.69099999999997</v>
      </c>
      <c r="M1412">
        <v>-0.98717080000000001</v>
      </c>
      <c r="N1412">
        <v>0</v>
      </c>
      <c r="O1412">
        <v>-0.1592692</v>
      </c>
      <c r="P1412">
        <v>-0.99597630000000004</v>
      </c>
      <c r="Q1412">
        <v>-6.1091489999999998E-2</v>
      </c>
      <c r="R1412">
        <v>-6.5568440000000006E-2</v>
      </c>
      <c r="S1412">
        <v>-3.0093079999999999</v>
      </c>
      <c r="T1412">
        <v>-9.064353E-2</v>
      </c>
      <c r="U1412">
        <v>3.533936E-2</v>
      </c>
      <c r="V1412">
        <v>9.3827270000000004E-2</v>
      </c>
      <c r="W1412">
        <v>-5.0025220000000002E-2</v>
      </c>
      <c r="X1412">
        <v>0.99433090000000002</v>
      </c>
      <c r="Y1412">
        <v>0.1707118</v>
      </c>
      <c r="Z1412">
        <v>7.3524590000000004E-3</v>
      </c>
      <c r="AA1412">
        <v>0.98529359999999999</v>
      </c>
      <c r="AB1412">
        <v>11</v>
      </c>
      <c r="AC1412">
        <v>-36.714500000000001</v>
      </c>
      <c r="AD1412">
        <v>-1.1092418370320001</v>
      </c>
      <c r="AE1412">
        <v>0.44760000000002198</v>
      </c>
      <c r="AF1412">
        <v>6.2840113106823896</v>
      </c>
      <c r="AG1412">
        <v>-1.1092418370320001</v>
      </c>
      <c r="AH1412">
        <v>36.141507823322002</v>
      </c>
      <c r="AI1412">
        <v>91.731979942873494</v>
      </c>
      <c r="AJ1412">
        <v>80.136452474455396</v>
      </c>
      <c r="AK1412">
        <v>36.700515028389603</v>
      </c>
      <c r="AL1412">
        <v>92.867430766992996</v>
      </c>
      <c r="AM1412">
        <v>84.609404995928202</v>
      </c>
      <c r="AN1412">
        <v>1.0000000089632499</v>
      </c>
    </row>
    <row r="1413" spans="1:40" x14ac:dyDescent="0.25">
      <c r="A1413" t="str">
        <f>"20190312160940589"</f>
        <v>20190312160940589</v>
      </c>
      <c r="B1413" t="str">
        <f>"1552378180576403"</f>
        <v>1552378180576403</v>
      </c>
      <c r="C1413" t="s">
        <v>40</v>
      </c>
      <c r="D1413">
        <v>5.892093</v>
      </c>
      <c r="E1413">
        <v>0.52926030000000002</v>
      </c>
      <c r="F1413" t="s">
        <v>61</v>
      </c>
      <c r="G1413">
        <v>-248.61689999999999</v>
      </c>
      <c r="H1413" s="1">
        <v>3.0486770000000001E-6</v>
      </c>
      <c r="I1413">
        <v>285.15190000000001</v>
      </c>
      <c r="J1413">
        <v>-210.3458</v>
      </c>
      <c r="K1413">
        <v>1.109259</v>
      </c>
      <c r="L1413">
        <v>284.67660000000001</v>
      </c>
      <c r="M1413">
        <v>-0.98756639999999996</v>
      </c>
      <c r="N1413">
        <v>0</v>
      </c>
      <c r="O1413">
        <v>-0.15679939999999901</v>
      </c>
      <c r="P1413">
        <v>-0.99608149999999995</v>
      </c>
      <c r="Q1413">
        <v>-6.0964129999999998E-2</v>
      </c>
      <c r="R1413">
        <v>-6.4072149999999994E-2</v>
      </c>
      <c r="S1413">
        <v>-3.0091549999999998</v>
      </c>
      <c r="T1413">
        <v>-8.6971759999999995E-2</v>
      </c>
      <c r="U1413">
        <v>3.6132810000000001E-2</v>
      </c>
      <c r="V1413">
        <v>9.283727E-2</v>
      </c>
      <c r="W1413">
        <v>-4.991777E-2</v>
      </c>
      <c r="X1413">
        <v>0.99442920000000001</v>
      </c>
      <c r="Y1413">
        <v>0.1685208</v>
      </c>
      <c r="Z1413">
        <v>6.9527469999999996E-3</v>
      </c>
      <c r="AA1413">
        <v>0.98567360000000004</v>
      </c>
      <c r="AB1413">
        <v>11</v>
      </c>
      <c r="AC1413">
        <v>-38.271099999999898</v>
      </c>
      <c r="AD1413">
        <v>-1.109255951323</v>
      </c>
      <c r="AE1413">
        <v>0.475300000000004</v>
      </c>
      <c r="AF1413">
        <v>6.4652547788233701</v>
      </c>
      <c r="AG1413">
        <v>-1.109255951323</v>
      </c>
      <c r="AH1413">
        <v>37.691453746176101</v>
      </c>
      <c r="AI1413">
        <v>91.661471296799704</v>
      </c>
      <c r="AJ1413">
        <v>80.266717373725996</v>
      </c>
      <c r="AK1413">
        <v>38.258014240427798</v>
      </c>
      <c r="AL1413">
        <v>92.861266693979999</v>
      </c>
      <c r="AM1413">
        <v>84.666477229605405</v>
      </c>
      <c r="AN1413">
        <v>0.99999998813773205</v>
      </c>
    </row>
    <row r="1414" spans="1:40" x14ac:dyDescent="0.25">
      <c r="A1414" t="str">
        <f>"20190312160940613"</f>
        <v>20190312160940613</v>
      </c>
      <c r="B1414" t="str">
        <f>"1552378180606658"</f>
        <v>1552378180606658</v>
      </c>
      <c r="C1414" t="s">
        <v>40</v>
      </c>
      <c r="D1414">
        <v>5.7373390000000004</v>
      </c>
      <c r="E1414">
        <v>0.52851419999999905</v>
      </c>
      <c r="F1414" t="s">
        <v>61</v>
      </c>
      <c r="G1414">
        <v>-249.6525</v>
      </c>
      <c r="H1414" s="1">
        <v>3.599769E-6</v>
      </c>
      <c r="I1414">
        <v>285.15620000000001</v>
      </c>
      <c r="J1414">
        <v>-210.4666</v>
      </c>
      <c r="K1414">
        <v>1.1092649999999999</v>
      </c>
      <c r="L1414">
        <v>284.66070000000002</v>
      </c>
      <c r="M1414">
        <v>-0.98799409999999999</v>
      </c>
      <c r="N1414">
        <v>0</v>
      </c>
      <c r="O1414">
        <v>-0.15408339999999901</v>
      </c>
      <c r="P1414">
        <v>-0.99617489999999997</v>
      </c>
      <c r="Q1414">
        <v>-6.1069239999999997E-2</v>
      </c>
      <c r="R1414">
        <v>-6.2500390000000003E-2</v>
      </c>
      <c r="S1414">
        <v>-3.008972</v>
      </c>
      <c r="T1414">
        <v>-8.4914920000000005E-2</v>
      </c>
      <c r="U1414">
        <v>3.6712649999999999E-2</v>
      </c>
      <c r="V1414">
        <v>9.1672149999999994E-2</v>
      </c>
      <c r="W1414">
        <v>-5.0043009999999999E-2</v>
      </c>
      <c r="X1414">
        <v>0.99453100000000005</v>
      </c>
      <c r="Y1414">
        <v>0.16600899999999999</v>
      </c>
      <c r="Z1414">
        <v>6.6774109999999899E-3</v>
      </c>
      <c r="AA1414">
        <v>0.98610160000000002</v>
      </c>
      <c r="AB1414">
        <v>11</v>
      </c>
      <c r="AC1414">
        <v>-39.185899999999997</v>
      </c>
      <c r="AD1414">
        <v>-1.1092614002309999</v>
      </c>
      <c r="AE1414">
        <v>0.495499999999992</v>
      </c>
      <c r="AF1414">
        <v>6.5226330250541196</v>
      </c>
      <c r="AG1414">
        <v>-1.1092614002309999</v>
      </c>
      <c r="AH1414">
        <v>38.610588834368897</v>
      </c>
      <c r="AI1414">
        <v>91.622645594698895</v>
      </c>
      <c r="AJ1414">
        <v>80.411338681289095</v>
      </c>
      <c r="AK1414">
        <v>39.173368154529001</v>
      </c>
      <c r="AL1414">
        <v>92.868451368778494</v>
      </c>
      <c r="AM1414">
        <v>84.733570913416003</v>
      </c>
      <c r="AN1414">
        <v>0.99999999794824102</v>
      </c>
    </row>
    <row r="1415" spans="1:40" x14ac:dyDescent="0.25">
      <c r="A1415" t="str">
        <f>"20190312160940634"</f>
        <v>20190312160940634</v>
      </c>
      <c r="B1415" t="str">
        <f>"1552378180627156"</f>
        <v>1552378180627156</v>
      </c>
      <c r="C1415" t="s">
        <v>40</v>
      </c>
      <c r="D1415">
        <v>5.951695</v>
      </c>
      <c r="E1415">
        <v>0.52828529999999996</v>
      </c>
      <c r="F1415" t="s">
        <v>61</v>
      </c>
      <c r="G1415">
        <v>-250.6395</v>
      </c>
      <c r="H1415" s="1">
        <v>-1.1964709999999999E-6</v>
      </c>
      <c r="I1415">
        <v>285.13249999999999</v>
      </c>
      <c r="J1415">
        <v>-210.57089999999999</v>
      </c>
      <c r="K1415">
        <v>1.1092630000000001</v>
      </c>
      <c r="L1415">
        <v>284.6472</v>
      </c>
      <c r="M1415">
        <v>-0.98835139999999999</v>
      </c>
      <c r="N1415">
        <v>0</v>
      </c>
      <c r="O1415">
        <v>-0.15177560000000001</v>
      </c>
      <c r="P1415">
        <v>-0.99633590000000005</v>
      </c>
      <c r="Q1415">
        <v>-6.0448750000000002E-2</v>
      </c>
      <c r="R1415">
        <v>-6.0506249999999998E-2</v>
      </c>
      <c r="S1415">
        <v>-3.008667</v>
      </c>
      <c r="T1415">
        <v>-8.3076239999999996E-2</v>
      </c>
      <c r="U1415">
        <v>3.533936E-2</v>
      </c>
      <c r="V1415">
        <v>9.1347239999999996E-2</v>
      </c>
      <c r="W1415">
        <v>-4.943931E-2</v>
      </c>
      <c r="X1415">
        <v>0.99459109999999995</v>
      </c>
      <c r="Y1415">
        <v>0.16326389999999999</v>
      </c>
      <c r="Z1415">
        <v>6.4324589999999997E-3</v>
      </c>
      <c r="AA1415">
        <v>0.98656149999999998</v>
      </c>
      <c r="AB1415">
        <v>11</v>
      </c>
      <c r="AC1415">
        <v>-40.068600000000004</v>
      </c>
      <c r="AD1415">
        <v>-1.1092641964709999</v>
      </c>
      <c r="AE1415">
        <v>0.48529999999999501</v>
      </c>
      <c r="AF1415">
        <v>6.55647085573864</v>
      </c>
      <c r="AG1415">
        <v>-1.1092641964709999</v>
      </c>
      <c r="AH1415">
        <v>39.500415234277</v>
      </c>
      <c r="AI1415">
        <v>91.586876808770995</v>
      </c>
      <c r="AJ1415">
        <v>80.575690884524207</v>
      </c>
      <c r="AK1415">
        <v>40.056217754800898</v>
      </c>
      <c r="AL1415">
        <v>92.833819002250607</v>
      </c>
      <c r="AM1415">
        <v>84.752447451198094</v>
      </c>
      <c r="AN1415">
        <v>1.00000000991405</v>
      </c>
    </row>
    <row r="1416" spans="1:40" x14ac:dyDescent="0.25">
      <c r="A1416" t="str">
        <f>"20190312160940656"</f>
        <v>20190312160940656</v>
      </c>
      <c r="B1416" t="str">
        <f>"1552378180646675"</f>
        <v>1552378180646675</v>
      </c>
      <c r="C1416" t="s">
        <v>40</v>
      </c>
      <c r="D1416">
        <v>5.7765380000000004</v>
      </c>
      <c r="E1416">
        <v>0.52778800000000003</v>
      </c>
      <c r="F1416" t="s">
        <v>61</v>
      </c>
      <c r="G1416">
        <v>-251.87440000000001</v>
      </c>
      <c r="H1416" s="1">
        <v>-5.393381E-7</v>
      </c>
      <c r="I1416">
        <v>285.19310000000002</v>
      </c>
      <c r="J1416">
        <v>-210.679</v>
      </c>
      <c r="K1416">
        <v>1.1092580000000001</v>
      </c>
      <c r="L1416">
        <v>284.63350000000003</v>
      </c>
      <c r="M1416">
        <v>-0.98871039999999999</v>
      </c>
      <c r="N1416">
        <v>0</v>
      </c>
      <c r="O1416">
        <v>-0.14942030000000001</v>
      </c>
      <c r="P1416">
        <v>-0.99648619999999999</v>
      </c>
      <c r="Q1416">
        <v>-5.9949450000000001E-2</v>
      </c>
      <c r="R1416">
        <v>-5.8492549999999997E-2</v>
      </c>
      <c r="S1416">
        <v>-3.0085449999999998</v>
      </c>
      <c r="T1416">
        <v>-8.0798750000000003E-2</v>
      </c>
      <c r="U1416">
        <v>3.9764399999999998E-2</v>
      </c>
      <c r="V1416">
        <v>9.0992600000000007E-2</v>
      </c>
      <c r="W1416">
        <v>-4.8955329999999998E-2</v>
      </c>
      <c r="X1416">
        <v>0.99464759999999997</v>
      </c>
      <c r="Y1416">
        <v>0.16237209999999999</v>
      </c>
      <c r="Z1416">
        <v>6.181789E-3</v>
      </c>
      <c r="AA1416">
        <v>0.98671030000000004</v>
      </c>
      <c r="AB1416">
        <v>11</v>
      </c>
      <c r="AC1416">
        <v>-41.195399999999999</v>
      </c>
      <c r="AD1416">
        <v>-1.1092585393381</v>
      </c>
      <c r="AE1416">
        <v>0.559599999999989</v>
      </c>
      <c r="AF1416">
        <v>6.7042717329054602</v>
      </c>
      <c r="AG1416">
        <v>-1.1092585393381</v>
      </c>
      <c r="AH1416">
        <v>40.619805984068698</v>
      </c>
      <c r="AI1416">
        <v>91.543392107078901</v>
      </c>
      <c r="AJ1416">
        <v>80.627863474368397</v>
      </c>
      <c r="AK1416">
        <v>41.184297397905397</v>
      </c>
      <c r="AL1416">
        <v>92.806055222544998</v>
      </c>
      <c r="AM1416">
        <v>84.773002382136099</v>
      </c>
      <c r="AN1416">
        <v>1.00000006288796</v>
      </c>
    </row>
    <row r="1417" spans="1:40" x14ac:dyDescent="0.25">
      <c r="A1417" t="str">
        <f>"20190312160940677"</f>
        <v>20190312160940677</v>
      </c>
      <c r="B1417" t="str">
        <f>"1552378180667171"</f>
        <v>1552378180667171</v>
      </c>
      <c r="C1417" t="s">
        <v>40</v>
      </c>
      <c r="D1417">
        <v>5.7369059999999896</v>
      </c>
      <c r="E1417">
        <v>0.52729059999999905</v>
      </c>
      <c r="F1417" t="s">
        <v>61</v>
      </c>
      <c r="G1417">
        <v>-252.8629</v>
      </c>
      <c r="H1417" s="1">
        <v>-1.3289680000000001E-8</v>
      </c>
      <c r="I1417">
        <v>285.21890000000002</v>
      </c>
      <c r="J1417">
        <v>-210.78579999999999</v>
      </c>
      <c r="K1417">
        <v>1.1092569999999999</v>
      </c>
      <c r="L1417">
        <v>284.62009999999998</v>
      </c>
      <c r="M1417">
        <v>-0.98905399999999999</v>
      </c>
      <c r="N1417">
        <v>0</v>
      </c>
      <c r="O1417">
        <v>-0.14712999999999901</v>
      </c>
      <c r="P1417">
        <v>-0.99661900000000003</v>
      </c>
      <c r="Q1417">
        <v>-5.9799030000000003E-2</v>
      </c>
      <c r="R1417">
        <v>-5.6345590000000001E-2</v>
      </c>
      <c r="S1417">
        <v>-3.008286</v>
      </c>
      <c r="T1417">
        <v>-7.9105140000000004E-2</v>
      </c>
      <c r="U1417">
        <v>4.1748050000000002E-2</v>
      </c>
      <c r="V1417">
        <v>9.0833720000000007E-2</v>
      </c>
      <c r="W1417">
        <v>-4.881833E-2</v>
      </c>
      <c r="X1417">
        <v>0.99466880000000002</v>
      </c>
      <c r="Y1417">
        <v>0.1607441</v>
      </c>
      <c r="Z1417">
        <v>5.9716589999999998E-3</v>
      </c>
      <c r="AA1417">
        <v>0.98697809999999997</v>
      </c>
      <c r="AB1417">
        <v>11</v>
      </c>
      <c r="AC1417">
        <v>-42.077100000000002</v>
      </c>
      <c r="AD1417">
        <v>-1.10925701328968</v>
      </c>
      <c r="AE1417">
        <v>0.59880000000003897</v>
      </c>
      <c r="AF1417">
        <v>6.7787629070392397</v>
      </c>
      <c r="AG1417">
        <v>-1.10925701328968</v>
      </c>
      <c r="AH1417">
        <v>41.5021799377202</v>
      </c>
      <c r="AI1417">
        <v>91.5110053617435</v>
      </c>
      <c r="AJ1417">
        <v>80.723502932184005</v>
      </c>
      <c r="AK1417">
        <v>42.066768562064397</v>
      </c>
      <c r="AL1417">
        <v>92.7981964586141</v>
      </c>
      <c r="AM1417">
        <v>84.782189293331001</v>
      </c>
      <c r="AN1417">
        <v>1.0000000078632301</v>
      </c>
    </row>
    <row r="1418" spans="1:40" x14ac:dyDescent="0.25">
      <c r="A1418" t="str">
        <f>"20190312160940702"</f>
        <v>20190312160940702</v>
      </c>
      <c r="B1418" t="str">
        <f>"1552378180696451"</f>
        <v>1552378180696451</v>
      </c>
      <c r="C1418" t="s">
        <v>40</v>
      </c>
      <c r="D1418">
        <v>5.9075879999999996</v>
      </c>
      <c r="E1418">
        <v>0.52682649999999998</v>
      </c>
      <c r="F1418" t="s">
        <v>61</v>
      </c>
      <c r="G1418">
        <v>-253.2715</v>
      </c>
      <c r="H1418" s="1">
        <v>2.0413129999999999E-7</v>
      </c>
      <c r="I1418">
        <v>285.24770000000001</v>
      </c>
      <c r="J1418">
        <v>-210.9032</v>
      </c>
      <c r="K1418">
        <v>1.1092630000000001</v>
      </c>
      <c r="L1418">
        <v>284.60570000000001</v>
      </c>
      <c r="M1418">
        <v>-0.98941959999999995</v>
      </c>
      <c r="N1418">
        <v>0</v>
      </c>
      <c r="O1418">
        <v>-0.14465129999999901</v>
      </c>
      <c r="P1418">
        <v>-0.99671299999999996</v>
      </c>
      <c r="Q1418">
        <v>-6.0326690000000002E-2</v>
      </c>
      <c r="R1418">
        <v>-5.4074089999999998E-2</v>
      </c>
      <c r="S1418">
        <v>-3.007965</v>
      </c>
      <c r="T1418">
        <v>-7.8534839999999995E-2</v>
      </c>
      <c r="U1418">
        <v>4.4433590000000002E-2</v>
      </c>
      <c r="V1418">
        <v>9.0603900000000001E-2</v>
      </c>
      <c r="W1418">
        <v>-4.9358159999999998E-2</v>
      </c>
      <c r="X1418">
        <v>0.99466310000000002</v>
      </c>
      <c r="Y1418">
        <v>0.1591562</v>
      </c>
      <c r="Z1418">
        <v>5.8443419999999998E-3</v>
      </c>
      <c r="AA1418">
        <v>0.98723609999999995</v>
      </c>
      <c r="AB1418">
        <v>11</v>
      </c>
      <c r="AC1418">
        <v>-42.368299999999998</v>
      </c>
      <c r="AD1418">
        <v>-1.10926279586869</v>
      </c>
      <c r="AE1418">
        <v>0.64199999999999502</v>
      </c>
      <c r="AF1418">
        <v>6.7596269108293896</v>
      </c>
      <c r="AG1418">
        <v>-1.10926279586869</v>
      </c>
      <c r="AH1418">
        <v>41.801125014217199</v>
      </c>
      <c r="AI1418">
        <v>91.500598116736498</v>
      </c>
      <c r="AJ1418">
        <v>80.814262535830096</v>
      </c>
      <c r="AK1418">
        <v>42.358671749455503</v>
      </c>
      <c r="AL1418">
        <v>92.829163826797</v>
      </c>
      <c r="AM1418">
        <v>84.795288710841604</v>
      </c>
      <c r="AN1418">
        <v>0.999999988577702</v>
      </c>
    </row>
    <row r="1419" spans="1:40" x14ac:dyDescent="0.25">
      <c r="A1419" t="str">
        <f>"20190312160940721"</f>
        <v>20190312160940721</v>
      </c>
      <c r="B1419" t="str">
        <f>"1552378180716948"</f>
        <v>1552378180716948</v>
      </c>
      <c r="C1419" t="s">
        <v>40</v>
      </c>
      <c r="D1419">
        <v>5.5923800000000004</v>
      </c>
      <c r="E1419">
        <v>0.52641499999999997</v>
      </c>
      <c r="F1419" t="s">
        <v>61</v>
      </c>
      <c r="G1419">
        <v>-252.69730000000001</v>
      </c>
      <c r="H1419" s="1">
        <v>-1.0142689999999999E-7</v>
      </c>
      <c r="I1419">
        <v>285.26799999999997</v>
      </c>
      <c r="J1419">
        <v>-211.0027</v>
      </c>
      <c r="K1419">
        <v>1.1092679999999999</v>
      </c>
      <c r="L1419">
        <v>284.59359999999998</v>
      </c>
      <c r="M1419">
        <v>-0.9897203</v>
      </c>
      <c r="N1419">
        <v>0</v>
      </c>
      <c r="O1419">
        <v>-0.14258119999999999</v>
      </c>
      <c r="P1419">
        <v>-0.99681249999999999</v>
      </c>
      <c r="Q1419">
        <v>-6.0299180000000001E-2</v>
      </c>
      <c r="R1419">
        <v>-5.2239500000000001E-2</v>
      </c>
      <c r="S1419">
        <v>-3.00766</v>
      </c>
      <c r="T1419">
        <v>-7.9826709999999995E-2</v>
      </c>
      <c r="U1419">
        <v>4.7668460000000003E-2</v>
      </c>
      <c r="V1419">
        <v>9.035493E-2</v>
      </c>
      <c r="W1419">
        <v>-4.9338489999999999E-2</v>
      </c>
      <c r="X1419">
        <v>0.99468670000000003</v>
      </c>
      <c r="Y1419">
        <v>0.1581516</v>
      </c>
      <c r="Z1419">
        <v>5.8732130000000004E-3</v>
      </c>
      <c r="AA1419">
        <v>0.98739739999999998</v>
      </c>
      <c r="AB1419">
        <v>11</v>
      </c>
      <c r="AC1419">
        <v>-41.694600000000001</v>
      </c>
      <c r="AD1419">
        <v>-1.1092681014268999</v>
      </c>
      <c r="AE1419">
        <v>0.67439999999999101</v>
      </c>
      <c r="AF1419">
        <v>6.6080685646949897</v>
      </c>
      <c r="AG1419">
        <v>-1.1092681014268999</v>
      </c>
      <c r="AH1419">
        <v>41.143281013869803</v>
      </c>
      <c r="AI1419">
        <v>91.524850254098794</v>
      </c>
      <c r="AJ1419">
        <v>80.8755855766412</v>
      </c>
      <c r="AK1419">
        <v>41.685328575684899</v>
      </c>
      <c r="AL1419">
        <v>92.828035509149402</v>
      </c>
      <c r="AM1419">
        <v>84.809634960995794</v>
      </c>
      <c r="AN1419">
        <v>0.99999996556383697</v>
      </c>
    </row>
    <row r="1420" spans="1:40" x14ac:dyDescent="0.25">
      <c r="A1420" t="str">
        <f>"20190312160940746"</f>
        <v>20190312160940746</v>
      </c>
      <c r="B1420" t="str">
        <f>"1552378180736467"</f>
        <v>1552378180736467</v>
      </c>
      <c r="C1420" t="s">
        <v>40</v>
      </c>
      <c r="D1420">
        <v>5.9559350000000002</v>
      </c>
      <c r="E1420">
        <v>0.52594209999999997</v>
      </c>
      <c r="F1420" t="s">
        <v>61</v>
      </c>
      <c r="G1420">
        <v>-252.8802</v>
      </c>
      <c r="H1420" s="1">
        <v>-4.1021200000000003E-9</v>
      </c>
      <c r="I1420">
        <v>285.29180000000002</v>
      </c>
      <c r="J1420">
        <v>-211.12129999999999</v>
      </c>
      <c r="K1420">
        <v>1.1092789999999999</v>
      </c>
      <c r="L1420">
        <v>284.57940000000002</v>
      </c>
      <c r="M1420">
        <v>-0.99006740000000004</v>
      </c>
      <c r="N1420">
        <v>0</v>
      </c>
      <c r="O1420">
        <v>-0.1401519</v>
      </c>
      <c r="P1420">
        <v>-0.99695610000000001</v>
      </c>
      <c r="Q1420">
        <v>-6.0356750000000001E-2</v>
      </c>
      <c r="R1420">
        <v>-4.935324E-2</v>
      </c>
      <c r="S1420">
        <v>-3.0074010000000002</v>
      </c>
      <c r="T1420">
        <v>-7.9661369999999995E-2</v>
      </c>
      <c r="U1420">
        <v>5.0140379999999998E-2</v>
      </c>
      <c r="V1420">
        <v>9.0793990000000005E-2</v>
      </c>
      <c r="W1420">
        <v>-4.9405549999999999E-2</v>
      </c>
      <c r="X1420">
        <v>0.99464339999999996</v>
      </c>
      <c r="Y1420">
        <v>0.15654270000000001</v>
      </c>
      <c r="Z1420">
        <v>5.7763850000000002E-3</v>
      </c>
      <c r="AA1420">
        <v>0.98765429999999999</v>
      </c>
      <c r="AB1420">
        <v>11</v>
      </c>
      <c r="AC1420">
        <v>-41.758899999999997</v>
      </c>
      <c r="AD1420">
        <v>-1.1092790041021201</v>
      </c>
      <c r="AE1420">
        <v>0.71240000000000203</v>
      </c>
      <c r="AF1420">
        <v>6.5536965749511902</v>
      </c>
      <c r="AG1420">
        <v>-1.1092790041021201</v>
      </c>
      <c r="AH1420">
        <v>41.217762021028101</v>
      </c>
      <c r="AI1420">
        <v>91.522492668240503</v>
      </c>
      <c r="AJ1420">
        <v>80.965499219589006</v>
      </c>
      <c r="AK1420">
        <v>41.750273588655404</v>
      </c>
      <c r="AL1420">
        <v>92.831882428806395</v>
      </c>
      <c r="AM1420">
        <v>84.784326482523596</v>
      </c>
      <c r="AN1420">
        <v>0.99999997507724103</v>
      </c>
    </row>
    <row r="1421" spans="1:40" x14ac:dyDescent="0.25">
      <c r="A1421" t="str">
        <f>"20190312160940771"</f>
        <v>20190312160940771</v>
      </c>
      <c r="B1421" t="str">
        <f>"1552378180766724"</f>
        <v>1552378180766724</v>
      </c>
      <c r="C1421" t="s">
        <v>40</v>
      </c>
      <c r="D1421">
        <v>5.95139</v>
      </c>
      <c r="E1421">
        <v>0.52525089999999997</v>
      </c>
      <c r="F1421" t="s">
        <v>61</v>
      </c>
      <c r="G1421">
        <v>-252.68440000000001</v>
      </c>
      <c r="H1421" s="1">
        <v>-1.08268E-7</v>
      </c>
      <c r="I1421">
        <v>285.34210000000002</v>
      </c>
      <c r="J1421">
        <v>-211.23830000000001</v>
      </c>
      <c r="K1421">
        <v>1.109286</v>
      </c>
      <c r="L1421">
        <v>284.56580000000002</v>
      </c>
      <c r="M1421">
        <v>-0.99039849999999996</v>
      </c>
      <c r="N1421">
        <v>0</v>
      </c>
      <c r="O1421">
        <v>-0.13779269999999999</v>
      </c>
      <c r="P1421">
        <v>-0.99709119999999996</v>
      </c>
      <c r="Q1421">
        <v>-6.0240130000000003E-2</v>
      </c>
      <c r="R1421">
        <v>-4.6694649999999997E-2</v>
      </c>
      <c r="S1421">
        <v>-3.007034</v>
      </c>
      <c r="T1421">
        <v>-8.0254790000000006E-2</v>
      </c>
      <c r="U1421">
        <v>5.5175780000000001E-2</v>
      </c>
      <c r="V1421">
        <v>9.1078419999999993E-2</v>
      </c>
      <c r="W1421">
        <v>-4.9296529999999998E-2</v>
      </c>
      <c r="X1421">
        <v>0.99462280000000003</v>
      </c>
      <c r="Y1421">
        <v>0.1558445</v>
      </c>
      <c r="Z1421">
        <v>5.748291E-3</v>
      </c>
      <c r="AA1421">
        <v>0.98776489999999995</v>
      </c>
      <c r="AB1421">
        <v>11</v>
      </c>
      <c r="AC1421">
        <v>-41.446100000000001</v>
      </c>
      <c r="AD1421">
        <v>-1.1092861082679999</v>
      </c>
      <c r="AE1421">
        <v>0.776299999999992</v>
      </c>
      <c r="AF1421">
        <v>6.4755810126426399</v>
      </c>
      <c r="AG1421">
        <v>-1.1092861082679999</v>
      </c>
      <c r="AH1421">
        <v>40.914426637386399</v>
      </c>
      <c r="AI1421">
        <v>91.533958005545102</v>
      </c>
      <c r="AJ1421">
        <v>81.006321859903096</v>
      </c>
      <c r="AK1421">
        <v>41.438556589091803</v>
      </c>
      <c r="AL1421">
        <v>92.825628435539002</v>
      </c>
      <c r="AM1421">
        <v>84.7679701375625</v>
      </c>
      <c r="AN1421">
        <v>0.99999997036978805</v>
      </c>
    </row>
    <row r="1422" spans="1:40" x14ac:dyDescent="0.25">
      <c r="A1422" t="str">
        <f>"20190312160940790"</f>
        <v>20190312160940790</v>
      </c>
      <c r="B1422" t="str">
        <f>"1552378180787219"</f>
        <v>1552378180787219</v>
      </c>
      <c r="C1422" t="s">
        <v>40</v>
      </c>
      <c r="D1422">
        <v>5.9528660000000002</v>
      </c>
      <c r="E1422">
        <v>0.52481099999999903</v>
      </c>
      <c r="F1422" t="s">
        <v>61</v>
      </c>
      <c r="G1422">
        <v>-253.1146</v>
      </c>
      <c r="H1422" s="1">
        <v>1.20645299999999E-7</v>
      </c>
      <c r="I1422">
        <v>285.37</v>
      </c>
      <c r="J1422">
        <v>-211.3409</v>
      </c>
      <c r="K1422">
        <v>1.109281</v>
      </c>
      <c r="L1422">
        <v>284.55399999999997</v>
      </c>
      <c r="M1422">
        <v>-0.99068089999999998</v>
      </c>
      <c r="N1422">
        <v>0</v>
      </c>
      <c r="O1422">
        <v>-0.1357479</v>
      </c>
      <c r="P1422">
        <v>-0.9972377</v>
      </c>
      <c r="Q1422">
        <v>-5.9524359999999998E-2</v>
      </c>
      <c r="R1422">
        <v>-4.4428660000000002E-2</v>
      </c>
      <c r="S1422">
        <v>-3.006653</v>
      </c>
      <c r="T1422">
        <v>-7.964504E-2</v>
      </c>
      <c r="U1422">
        <v>5.7739260000000001E-2</v>
      </c>
      <c r="V1422">
        <v>9.1292659999999998E-2</v>
      </c>
      <c r="W1422">
        <v>-4.8586839999999999E-2</v>
      </c>
      <c r="X1422">
        <v>0.99463809999999997</v>
      </c>
      <c r="Y1422">
        <v>0.15465209999999999</v>
      </c>
      <c r="Z1422">
        <v>5.6357689999999997E-3</v>
      </c>
      <c r="AA1422">
        <v>0.98795290000000002</v>
      </c>
      <c r="AB1422">
        <v>11</v>
      </c>
      <c r="AC1422">
        <v>-41.773699999999899</v>
      </c>
      <c r="AD1422">
        <v>-1.1092808793547</v>
      </c>
      <c r="AE1422">
        <v>0.81599999999997397</v>
      </c>
      <c r="AF1422">
        <v>6.4749249521714898</v>
      </c>
      <c r="AG1422">
        <v>-1.1092808793547</v>
      </c>
      <c r="AH1422">
        <v>41.247118760256903</v>
      </c>
      <c r="AI1422">
        <v>91.521886400951004</v>
      </c>
      <c r="AJ1422">
        <v>81.078581022213498</v>
      </c>
      <c r="AK1422">
        <v>41.766972157774298</v>
      </c>
      <c r="AL1422">
        <v>92.784917349368598</v>
      </c>
      <c r="AM1422">
        <v>84.755811812001198</v>
      </c>
      <c r="AN1422">
        <v>0.99999999038133502</v>
      </c>
    </row>
    <row r="1423" spans="1:40" x14ac:dyDescent="0.25">
      <c r="A1423" t="str">
        <f>"20190312160940836"</f>
        <v>20190312160940836</v>
      </c>
      <c r="B1423" t="str">
        <f>"1552378180827235"</f>
        <v>1552378180827235</v>
      </c>
      <c r="C1423" t="s">
        <v>40</v>
      </c>
      <c r="D1423">
        <v>5.7376860000000001</v>
      </c>
      <c r="E1423">
        <v>0.52402559999999998</v>
      </c>
      <c r="F1423" t="s">
        <v>61</v>
      </c>
      <c r="G1423">
        <v>-254.4478</v>
      </c>
      <c r="H1423" s="1">
        <v>8.3013269999999898E-7</v>
      </c>
      <c r="I1423">
        <v>285.43220000000002</v>
      </c>
      <c r="J1423">
        <v>-211.56880000000001</v>
      </c>
      <c r="K1423">
        <v>1.109278</v>
      </c>
      <c r="L1423">
        <v>284.52839999999998</v>
      </c>
      <c r="M1423">
        <v>-0.99128139999999998</v>
      </c>
      <c r="N1423">
        <v>0</v>
      </c>
      <c r="O1423">
        <v>-0.13129260000000001</v>
      </c>
      <c r="P1423">
        <v>-0.99749390000000004</v>
      </c>
      <c r="Q1423">
        <v>-5.8801230000000003E-2</v>
      </c>
      <c r="R1423">
        <v>-3.9352659999999998E-2</v>
      </c>
      <c r="S1423">
        <v>-3.0064389999999999</v>
      </c>
      <c r="T1423">
        <v>-7.7365279999999995E-2</v>
      </c>
      <c r="U1423">
        <v>6.1248780000000003E-2</v>
      </c>
      <c r="V1423">
        <v>9.1889579999999998E-2</v>
      </c>
      <c r="W1423">
        <v>-4.7884200000000002E-2</v>
      </c>
      <c r="X1423">
        <v>0.99461719999999998</v>
      </c>
      <c r="Y1423">
        <v>0.15137210000000001</v>
      </c>
      <c r="Z1423">
        <v>5.3187819999999898E-3</v>
      </c>
      <c r="AA1423">
        <v>0.98846259999999997</v>
      </c>
      <c r="AB1423">
        <v>11</v>
      </c>
      <c r="AC1423">
        <v>-42.878999999999898</v>
      </c>
      <c r="AD1423">
        <v>-1.1092771698673001</v>
      </c>
      <c r="AE1423">
        <v>0.90380000000004601</v>
      </c>
      <c r="AF1423">
        <v>6.5216556157711301</v>
      </c>
      <c r="AG1423">
        <v>-1.1092771698673001</v>
      </c>
      <c r="AH1423">
        <v>42.360771700174503</v>
      </c>
      <c r="AI1423">
        <v>91.482569599452006</v>
      </c>
      <c r="AJ1423">
        <v>81.247741631488907</v>
      </c>
      <c r="AK1423">
        <v>42.874205145338998</v>
      </c>
      <c r="AL1423">
        <v>92.744612146132795</v>
      </c>
      <c r="AM1423">
        <v>84.721605281992396</v>
      </c>
      <c r="AN1423">
        <v>0.99999998302902804</v>
      </c>
    </row>
    <row r="1424" spans="1:40" x14ac:dyDescent="0.25">
      <c r="A1424" t="str">
        <f>"20190312160940858"</f>
        <v>20190312160940858</v>
      </c>
      <c r="B1424" t="str">
        <f>"1552378180846756"</f>
        <v>1552378180846756</v>
      </c>
      <c r="C1424" t="s">
        <v>40</v>
      </c>
      <c r="D1424">
        <v>5.9119529999999996</v>
      </c>
      <c r="E1424">
        <v>0.5079243</v>
      </c>
      <c r="F1424" t="s">
        <v>61</v>
      </c>
      <c r="G1424">
        <v>-255.99789999999999</v>
      </c>
      <c r="H1424" s="1">
        <v>1.655005E-6</v>
      </c>
      <c r="I1424">
        <v>285.57080000000002</v>
      </c>
      <c r="J1424">
        <v>-211.67699999999999</v>
      </c>
      <c r="K1424">
        <v>1.1092770000000001</v>
      </c>
      <c r="L1424">
        <v>284.51659999999998</v>
      </c>
      <c r="M1424">
        <v>-0.99155380000000004</v>
      </c>
      <c r="N1424">
        <v>0</v>
      </c>
      <c r="O1424">
        <v>-0.12922059999999999</v>
      </c>
      <c r="P1424">
        <v>-0.99759209999999998</v>
      </c>
      <c r="Q1424">
        <v>-5.8775180000000003E-2</v>
      </c>
      <c r="R1424">
        <v>-3.6820859999999997E-2</v>
      </c>
      <c r="S1424">
        <v>-3.00589</v>
      </c>
      <c r="T1424">
        <v>-7.5049039999999997E-2</v>
      </c>
      <c r="U1424">
        <v>7.0526119999999998E-2</v>
      </c>
      <c r="V1424">
        <v>9.2335539999999994E-2</v>
      </c>
      <c r="W1424">
        <v>-4.7873400000000003E-2</v>
      </c>
      <c r="X1424">
        <v>0.99457649999999997</v>
      </c>
      <c r="Y1424">
        <v>0.1523649</v>
      </c>
      <c r="Z1424">
        <v>5.1214909999999997E-3</v>
      </c>
      <c r="AA1424">
        <v>0.9883111</v>
      </c>
      <c r="AB1424">
        <v>11</v>
      </c>
      <c r="AC1424">
        <v>-44.320899999999902</v>
      </c>
      <c r="AD1424">
        <v>-1.1092753449949999</v>
      </c>
      <c r="AE1424">
        <v>1.05420000000003</v>
      </c>
      <c r="AF1424">
        <v>6.7686486044977201</v>
      </c>
      <c r="AG1424">
        <v>-1.1092753449949999</v>
      </c>
      <c r="AH1424">
        <v>43.785616771882303</v>
      </c>
      <c r="AI1424">
        <v>91.434206523074195</v>
      </c>
      <c r="AJ1424">
        <v>81.212425693663704</v>
      </c>
      <c r="AK1424">
        <v>44.3195818100343</v>
      </c>
      <c r="AL1424">
        <v>92.743992417874097</v>
      </c>
      <c r="AM1424">
        <v>84.695918030056703</v>
      </c>
      <c r="AN1424">
        <v>1.0000000643634399</v>
      </c>
    </row>
    <row r="1425" spans="1:40" x14ac:dyDescent="0.25">
      <c r="A1425" t="str">
        <f>"20190312160940878"</f>
        <v>20190312160940878</v>
      </c>
      <c r="B1425" t="str">
        <f>"1552378180867251"</f>
        <v>1552378180867251</v>
      </c>
      <c r="C1425" t="s">
        <v>40</v>
      </c>
      <c r="D1425">
        <v>5.9611070000000002</v>
      </c>
      <c r="E1425">
        <v>0.50789300000000004</v>
      </c>
      <c r="F1425" t="s">
        <v>61</v>
      </c>
      <c r="G1425">
        <v>-252.07599999999999</v>
      </c>
      <c r="H1425" s="1">
        <v>-4.3203809999999999E-7</v>
      </c>
      <c r="I1425">
        <v>283.84359999999998</v>
      </c>
      <c r="J1425">
        <v>-211.78039999999999</v>
      </c>
      <c r="K1425">
        <v>1.1092789999999999</v>
      </c>
      <c r="L1425">
        <v>284.50549999999998</v>
      </c>
      <c r="M1425">
        <v>-0.99180690000000005</v>
      </c>
      <c r="N1425">
        <v>0</v>
      </c>
      <c r="O1425">
        <v>-0.12726499999999999</v>
      </c>
      <c r="P1425">
        <v>-0.99767819999999996</v>
      </c>
      <c r="Q1425">
        <v>-5.8488209999999999E-2</v>
      </c>
      <c r="R1425">
        <v>-3.4895179999999998E-2</v>
      </c>
      <c r="S1425">
        <v>-3.0005489999999999</v>
      </c>
      <c r="T1425">
        <v>-8.2389119999999996E-2</v>
      </c>
      <c r="U1425">
        <v>-4.9987789999999997E-2</v>
      </c>
      <c r="V1425">
        <v>9.2297260000000006E-2</v>
      </c>
      <c r="W1425">
        <v>-4.7602159999999998E-2</v>
      </c>
      <c r="X1425">
        <v>0.99459299999999995</v>
      </c>
      <c r="Y1425">
        <v>0.11064400000000001</v>
      </c>
      <c r="Z1425">
        <v>5.0043379999999997E-3</v>
      </c>
      <c r="AA1425">
        <v>0.99384749999999999</v>
      </c>
      <c r="AB1425">
        <v>11</v>
      </c>
      <c r="AC1425">
        <v>-40.2956</v>
      </c>
      <c r="AD1425">
        <v>-1.1092794320381001</v>
      </c>
      <c r="AE1425">
        <v>-0.66190000000000204</v>
      </c>
      <c r="AF1425">
        <v>4.4686313881534199</v>
      </c>
      <c r="AG1425">
        <v>-1.1092794320381001</v>
      </c>
      <c r="AH1425">
        <v>40.021826753553</v>
      </c>
      <c r="AI1425">
        <v>91.577852788677603</v>
      </c>
      <c r="AJ1425">
        <v>83.629035616228805</v>
      </c>
      <c r="AK1425">
        <v>40.285801270831698</v>
      </c>
      <c r="AL1425">
        <v>92.728433968773203</v>
      </c>
      <c r="AM1425">
        <v>84.698191891240498</v>
      </c>
      <c r="AN1425">
        <v>0.99999999274458595</v>
      </c>
    </row>
    <row r="1426" spans="1:40" x14ac:dyDescent="0.25">
      <c r="A1426" t="str">
        <f>"20190312160940903"</f>
        <v>20190312160940903</v>
      </c>
      <c r="B1426" t="str">
        <f>"1552378180896532"</f>
        <v>1552378180896532</v>
      </c>
      <c r="C1426" t="s">
        <v>40</v>
      </c>
      <c r="D1426">
        <v>5.8990660000000004</v>
      </c>
      <c r="E1426">
        <v>0.50774149999999996</v>
      </c>
      <c r="F1426" t="s">
        <v>61</v>
      </c>
      <c r="G1426">
        <v>-250.06200000000001</v>
      </c>
      <c r="H1426" s="1">
        <v>-1.5037819999999901E-6</v>
      </c>
      <c r="I1426">
        <v>283.94130000000001</v>
      </c>
      <c r="J1426">
        <v>-211.8997</v>
      </c>
      <c r="K1426">
        <v>1.1092850000000001</v>
      </c>
      <c r="L1426">
        <v>284.49290000000002</v>
      </c>
      <c r="M1426">
        <v>-0.99208909999999995</v>
      </c>
      <c r="N1426">
        <v>0</v>
      </c>
      <c r="O1426">
        <v>-0.12504769999999901</v>
      </c>
      <c r="P1426">
        <v>-0.99779130000000005</v>
      </c>
      <c r="Q1426">
        <v>-5.8036459999999998E-2</v>
      </c>
      <c r="R1426">
        <v>-3.2320479999999999E-2</v>
      </c>
      <c r="S1426">
        <v>-3.0003359999999999</v>
      </c>
      <c r="T1426">
        <v>-8.6940290000000003E-2</v>
      </c>
      <c r="U1426">
        <v>-4.4219969999999997E-2</v>
      </c>
      <c r="V1426">
        <v>9.2645720000000001E-2</v>
      </c>
      <c r="W1426">
        <v>-4.7172230000000002E-2</v>
      </c>
      <c r="X1426">
        <v>0.9945811</v>
      </c>
      <c r="Y1426">
        <v>0.1103222</v>
      </c>
      <c r="Z1426">
        <v>5.2127520000000002E-3</v>
      </c>
      <c r="AA1426">
        <v>0.99388220000000005</v>
      </c>
      <c r="AB1426">
        <v>11</v>
      </c>
      <c r="AC1426">
        <v>-38.162300000000002</v>
      </c>
      <c r="AD1426">
        <v>-1.1092865037819899</v>
      </c>
      <c r="AE1426">
        <v>-0.55160000000000697</v>
      </c>
      <c r="AF1426">
        <v>4.2215636870031199</v>
      </c>
      <c r="AG1426">
        <v>-1.1092865037819899</v>
      </c>
      <c r="AH1426">
        <v>37.899681868263301</v>
      </c>
      <c r="AI1426">
        <v>91.666213780007894</v>
      </c>
      <c r="AJ1426">
        <v>83.644146710663193</v>
      </c>
      <c r="AK1426">
        <v>38.150203174117799</v>
      </c>
      <c r="AL1426">
        <v>92.703773052300406</v>
      </c>
      <c r="AM1426">
        <v>84.678226792226496</v>
      </c>
      <c r="AN1426">
        <v>1.00000000659735</v>
      </c>
    </row>
    <row r="1427" spans="1:40" x14ac:dyDescent="0.25">
      <c r="A1427" t="str">
        <f>"20190312160940923"</f>
        <v>20190312160940923</v>
      </c>
      <c r="B1427" t="str">
        <f>"1552378180917027"</f>
        <v>1552378180917027</v>
      </c>
      <c r="C1427" t="s">
        <v>40</v>
      </c>
      <c r="D1427">
        <v>5.9496890000000002</v>
      </c>
      <c r="E1427">
        <v>0.50711300000000004</v>
      </c>
      <c r="F1427" t="s">
        <v>61</v>
      </c>
      <c r="G1427">
        <v>-252.27189999999999</v>
      </c>
      <c r="H1427" s="1">
        <v>-3.2779909999999997E-7</v>
      </c>
      <c r="I1427">
        <v>283.9837</v>
      </c>
      <c r="J1427">
        <v>-212.00299999999999</v>
      </c>
      <c r="K1427">
        <v>1.1092959999999901</v>
      </c>
      <c r="L1427">
        <v>284.4821</v>
      </c>
      <c r="M1427">
        <v>-0.99232480000000001</v>
      </c>
      <c r="N1427">
        <v>0</v>
      </c>
      <c r="O1427">
        <v>-0.1231657</v>
      </c>
      <c r="P1427">
        <v>-0.99787060000000005</v>
      </c>
      <c r="Q1427">
        <v>-5.7588670000000002E-2</v>
      </c>
      <c r="R1427">
        <v>-3.0623029999999999E-2</v>
      </c>
      <c r="S1427">
        <v>-3.000626</v>
      </c>
      <c r="T1427">
        <v>-8.2446580000000005E-2</v>
      </c>
      <c r="U1427">
        <v>-3.7841800000000002E-2</v>
      </c>
      <c r="V1427">
        <v>9.2456609999999995E-2</v>
      </c>
      <c r="W1427">
        <v>-4.67435E-2</v>
      </c>
      <c r="X1427">
        <v>0.99461900000000003</v>
      </c>
      <c r="Y1427">
        <v>0.1105612</v>
      </c>
      <c r="Z1427">
        <v>4.8950349999999998E-3</v>
      </c>
      <c r="AA1427">
        <v>0.99385730000000005</v>
      </c>
      <c r="AB1427">
        <v>11</v>
      </c>
      <c r="AC1427">
        <v>-40.268900000000002</v>
      </c>
      <c r="AD1427">
        <v>-1.1092963277990999</v>
      </c>
      <c r="AE1427">
        <v>-0.49840000000000301</v>
      </c>
      <c r="AF1427">
        <v>4.4620587984359199</v>
      </c>
      <c r="AG1427">
        <v>-1.1092963277990999</v>
      </c>
      <c r="AH1427">
        <v>39.993305220794298</v>
      </c>
      <c r="AI1427">
        <v>91.579016253484994</v>
      </c>
      <c r="AJ1427">
        <v>83.633829691203502</v>
      </c>
      <c r="AK1427">
        <v>40.256738188124203</v>
      </c>
      <c r="AL1427">
        <v>92.679181342206405</v>
      </c>
      <c r="AM1427">
        <v>84.689228722780797</v>
      </c>
      <c r="AN1427">
        <v>1.0000000673429601</v>
      </c>
    </row>
    <row r="1428" spans="1:40" x14ac:dyDescent="0.25">
      <c r="A1428" t="str">
        <f>"20190312160940945"</f>
        <v>20190312160940945</v>
      </c>
      <c r="B1428" t="str">
        <f>"1552378180937054"</f>
        <v>1552378180937054</v>
      </c>
      <c r="C1428" t="s">
        <v>40</v>
      </c>
      <c r="D1428">
        <v>6.00298</v>
      </c>
      <c r="E1428">
        <v>0.50684960000000001</v>
      </c>
      <c r="F1428" t="s">
        <v>61</v>
      </c>
      <c r="G1428">
        <v>-254.45920000000001</v>
      </c>
      <c r="H1428" s="1">
        <v>8.3616619999999898E-7</v>
      </c>
      <c r="I1428">
        <v>283.95190000000002</v>
      </c>
      <c r="J1428">
        <v>-212.11349999999999</v>
      </c>
      <c r="K1428">
        <v>1.109313</v>
      </c>
      <c r="L1428">
        <v>284.4708</v>
      </c>
      <c r="M1428">
        <v>-0.99256770000000005</v>
      </c>
      <c r="N1428">
        <v>0</v>
      </c>
      <c r="O1428">
        <v>-0.121194899999999</v>
      </c>
      <c r="P1428">
        <v>-0.99793569999999998</v>
      </c>
      <c r="Q1428">
        <v>-5.7407E-2</v>
      </c>
      <c r="R1428">
        <v>-2.8783940000000001E-2</v>
      </c>
      <c r="S1428">
        <v>-3.0007320000000002</v>
      </c>
      <c r="T1428">
        <v>-7.8403120000000007E-2</v>
      </c>
      <c r="U1428">
        <v>-3.7475590000000003E-2</v>
      </c>
      <c r="V1428">
        <v>9.2317930000000006E-2</v>
      </c>
      <c r="W1428">
        <v>-4.6581530000000003E-2</v>
      </c>
      <c r="X1428">
        <v>0.99463939999999995</v>
      </c>
      <c r="Y1428">
        <v>0.1087187</v>
      </c>
      <c r="Z1428">
        <v>4.5796539999999998E-3</v>
      </c>
      <c r="AA1428">
        <v>0.994062</v>
      </c>
      <c r="AB1428">
        <v>11</v>
      </c>
      <c r="AC1428">
        <v>-42.345700000000001</v>
      </c>
      <c r="AD1428">
        <v>-1.1093121638337999</v>
      </c>
      <c r="AE1428">
        <v>-0.51889999999997305</v>
      </c>
      <c r="AF1428">
        <v>4.6141531814020098</v>
      </c>
      <c r="AG1428">
        <v>-1.1093121638337999</v>
      </c>
      <c r="AH1428">
        <v>42.0675473488823</v>
      </c>
      <c r="AI1428">
        <v>91.501526291816106</v>
      </c>
      <c r="AJ1428">
        <v>83.740569172732407</v>
      </c>
      <c r="AK1428">
        <v>42.3343775554658</v>
      </c>
      <c r="AL1428">
        <v>92.669891238681103</v>
      </c>
      <c r="AM1428">
        <v>84.697257292637005</v>
      </c>
      <c r="AN1428">
        <v>0.99999998758449204</v>
      </c>
    </row>
    <row r="1429" spans="1:40" x14ac:dyDescent="0.25">
      <c r="A1429" t="str">
        <f>"20190312160940967"</f>
        <v>20190312160940967</v>
      </c>
      <c r="B1429" t="str">
        <f>"1552378180957550"</f>
        <v>1552378180957550</v>
      </c>
      <c r="C1429" t="s">
        <v>40</v>
      </c>
      <c r="D1429">
        <v>6.0019790000000004</v>
      </c>
      <c r="E1429">
        <v>0.50652779999999997</v>
      </c>
      <c r="F1429" t="s">
        <v>61</v>
      </c>
      <c r="G1429">
        <v>-256.10930000000002</v>
      </c>
      <c r="H1429" s="1">
        <v>1.714306E-6</v>
      </c>
      <c r="I1429">
        <v>283.971</v>
      </c>
      <c r="J1429">
        <v>-212.22630000000001</v>
      </c>
      <c r="K1429">
        <v>1.109324</v>
      </c>
      <c r="L1429">
        <v>284.45940000000002</v>
      </c>
      <c r="M1429">
        <v>-0.99280590000000002</v>
      </c>
      <c r="N1429">
        <v>0</v>
      </c>
      <c r="O1429">
        <v>-0.1192294</v>
      </c>
      <c r="P1429">
        <v>-0.99803589999999998</v>
      </c>
      <c r="Q1429">
        <v>-5.6261810000000002E-2</v>
      </c>
      <c r="R1429">
        <v>-2.7548220000000002E-2</v>
      </c>
      <c r="S1429">
        <v>-3.0008699999999999</v>
      </c>
      <c r="T1429">
        <v>-7.5663919999999996E-2</v>
      </c>
      <c r="U1429">
        <v>-3.4088130000000001E-2</v>
      </c>
      <c r="V1429">
        <v>9.1591740000000005E-2</v>
      </c>
      <c r="W1429">
        <v>-4.5452649999999997E-2</v>
      </c>
      <c r="X1429">
        <v>0.99475880000000005</v>
      </c>
      <c r="Y1429">
        <v>0.10787919999999999</v>
      </c>
      <c r="Z1429">
        <v>4.35974E-3</v>
      </c>
      <c r="AA1429">
        <v>0.99415450000000005</v>
      </c>
      <c r="AB1429">
        <v>11</v>
      </c>
      <c r="AC1429">
        <v>-43.883000000000003</v>
      </c>
      <c r="AD1429">
        <v>-1.1093222856939999</v>
      </c>
      <c r="AE1429">
        <v>-0.48840000000001199</v>
      </c>
      <c r="AF1429">
        <v>4.7445125857331103</v>
      </c>
      <c r="AG1429">
        <v>-1.1093222856939999</v>
      </c>
      <c r="AH1429">
        <v>43.600309504502803</v>
      </c>
      <c r="AI1429">
        <v>91.448911899555497</v>
      </c>
      <c r="AJ1429">
        <v>83.789605709718103</v>
      </c>
      <c r="AK1429">
        <v>43.871721923103898</v>
      </c>
      <c r="AL1429">
        <v>92.605142472413405</v>
      </c>
      <c r="AM1429">
        <v>84.739362608182802</v>
      </c>
      <c r="AN1429">
        <v>1.00000003020284</v>
      </c>
    </row>
    <row r="1430" spans="1:40" x14ac:dyDescent="0.25">
      <c r="A1430" t="str">
        <f>"20190312160940992"</f>
        <v>20190312160940992</v>
      </c>
      <c r="B1430" t="str">
        <f>"1552378180986830"</f>
        <v>1552378180986830</v>
      </c>
      <c r="C1430" t="s">
        <v>40</v>
      </c>
      <c r="D1430">
        <v>5.7937820000000002</v>
      </c>
      <c r="E1430">
        <v>0.50628130000000005</v>
      </c>
      <c r="F1430" t="s">
        <v>61</v>
      </c>
      <c r="G1430">
        <v>-258.34460000000001</v>
      </c>
      <c r="H1430" s="1">
        <v>2.9037959999999999E-6</v>
      </c>
      <c r="I1430">
        <v>283.9547</v>
      </c>
      <c r="J1430">
        <v>-212.34950000000001</v>
      </c>
      <c r="K1430">
        <v>1.109334</v>
      </c>
      <c r="L1430">
        <v>284.44709999999998</v>
      </c>
      <c r="M1430">
        <v>-0.99305670000000001</v>
      </c>
      <c r="N1430">
        <v>0</v>
      </c>
      <c r="O1430">
        <v>-0.1171258</v>
      </c>
      <c r="P1430">
        <v>-0.99812789999999996</v>
      </c>
      <c r="Q1430">
        <v>-5.5665140000000002E-2</v>
      </c>
      <c r="R1430">
        <v>-2.5347250000000002E-2</v>
      </c>
      <c r="S1430">
        <v>-3.0009000000000001</v>
      </c>
      <c r="T1430">
        <v>-7.2183129999999998E-2</v>
      </c>
      <c r="U1430">
        <v>-3.2836909999999997E-2</v>
      </c>
      <c r="V1430">
        <v>9.1684070000000006E-2</v>
      </c>
      <c r="W1430">
        <v>-4.4876060000000002E-2</v>
      </c>
      <c r="X1430">
        <v>0.99477640000000001</v>
      </c>
      <c r="Y1430">
        <v>0.106195</v>
      </c>
      <c r="Z1430">
        <v>4.0886610000000004E-3</v>
      </c>
      <c r="AA1430">
        <v>0.99433689999999997</v>
      </c>
      <c r="AB1430">
        <v>11</v>
      </c>
      <c r="AC1430">
        <v>-45.995100000000001</v>
      </c>
      <c r="AD1430">
        <v>-1.1093310962039999</v>
      </c>
      <c r="AE1430">
        <v>-0.49239999999997502</v>
      </c>
      <c r="AF1430">
        <v>4.8956780411834897</v>
      </c>
      <c r="AG1430">
        <v>-1.1093310962039999</v>
      </c>
      <c r="AH1430">
        <v>45.7095715683582</v>
      </c>
      <c r="AI1430">
        <v>91.382342360769499</v>
      </c>
      <c r="AJ1430">
        <v>83.886697416568097</v>
      </c>
      <c r="AK1430">
        <v>45.9843800863596</v>
      </c>
      <c r="AL1430">
        <v>92.572072740445293</v>
      </c>
      <c r="AM1430">
        <v>84.734182009082105</v>
      </c>
      <c r="AN1430">
        <v>0.99999995772492301</v>
      </c>
    </row>
    <row r="1431" spans="1:40" x14ac:dyDescent="0.25">
      <c r="A1431" t="str">
        <f>"20190312160941012"</f>
        <v>20190312160941012</v>
      </c>
      <c r="B1431" t="str">
        <f>"1552378181006350"</f>
        <v>1552378181006350</v>
      </c>
      <c r="C1431" t="s">
        <v>40</v>
      </c>
      <c r="D1431">
        <v>5.951308</v>
      </c>
      <c r="E1431">
        <v>0.50604649999999995</v>
      </c>
      <c r="F1431" t="s">
        <v>61</v>
      </c>
      <c r="G1431">
        <v>-258.03899999999999</v>
      </c>
      <c r="H1431" s="1">
        <v>2.7411540000000001E-6</v>
      </c>
      <c r="I1431">
        <v>284.01920000000001</v>
      </c>
      <c r="J1431">
        <v>-212.4495</v>
      </c>
      <c r="K1431">
        <v>1.1093360000000001</v>
      </c>
      <c r="L1431">
        <v>284.43740000000003</v>
      </c>
      <c r="M1431">
        <v>-0.99325319999999995</v>
      </c>
      <c r="N1431">
        <v>0</v>
      </c>
      <c r="O1431">
        <v>-0.1154492</v>
      </c>
      <c r="P1431">
        <v>-0.99815640000000005</v>
      </c>
      <c r="Q1431">
        <v>-5.6069540000000001E-2</v>
      </c>
      <c r="R1431">
        <v>-2.3246369999999999E-2</v>
      </c>
      <c r="S1431">
        <v>-3.000839</v>
      </c>
      <c r="T1431">
        <v>-7.2859759999999996E-2</v>
      </c>
      <c r="U1431">
        <v>-2.810669E-2</v>
      </c>
      <c r="V1431">
        <v>9.2095780000000002E-2</v>
      </c>
      <c r="W1431">
        <v>-4.5300970000000003E-2</v>
      </c>
      <c r="X1431">
        <v>0.99471909999999997</v>
      </c>
      <c r="Y1431">
        <v>0.1060826</v>
      </c>
      <c r="Z1431">
        <v>4.0853080000000002E-3</v>
      </c>
      <c r="AA1431">
        <v>0.99434889999999998</v>
      </c>
      <c r="AB1431">
        <v>11</v>
      </c>
      <c r="AC1431">
        <v>-45.589500000000001</v>
      </c>
      <c r="AD1431">
        <v>-1.1093332588460001</v>
      </c>
      <c r="AE1431">
        <v>-0.41820000000001201</v>
      </c>
      <c r="AF1431">
        <v>4.8453139905166598</v>
      </c>
      <c r="AG1431">
        <v>-1.1093332588460001</v>
      </c>
      <c r="AH1431">
        <v>45.3060843298598</v>
      </c>
      <c r="AI1431">
        <v>91.394674388754197</v>
      </c>
      <c r="AJ1431">
        <v>83.895635866865305</v>
      </c>
      <c r="AK1431">
        <v>45.577943846231697</v>
      </c>
      <c r="AL1431">
        <v>92.596443098112502</v>
      </c>
      <c r="AM1431">
        <v>84.710366561092698</v>
      </c>
      <c r="AN1431">
        <v>0.99999994924077795</v>
      </c>
    </row>
    <row r="1432" spans="1:40" x14ac:dyDescent="0.25">
      <c r="A1432" t="str">
        <f>"20190312160941037"</f>
        <v>20190312160941037</v>
      </c>
      <c r="B1432" t="str">
        <f>"1552378181026375"</f>
        <v>1552378181026375</v>
      </c>
      <c r="C1432" t="s">
        <v>40</v>
      </c>
      <c r="D1432">
        <v>5.8572800000000003</v>
      </c>
      <c r="E1432">
        <v>0.5057971</v>
      </c>
      <c r="F1432" t="s">
        <v>61</v>
      </c>
      <c r="G1432">
        <v>-255.76820000000001</v>
      </c>
      <c r="H1432" s="1">
        <v>1.5327580000000001E-6</v>
      </c>
      <c r="I1432">
        <v>284.09859999999998</v>
      </c>
      <c r="J1432">
        <v>-212.57259999999999</v>
      </c>
      <c r="K1432">
        <v>1.1093390000000001</v>
      </c>
      <c r="L1432">
        <v>284.4255</v>
      </c>
      <c r="M1432">
        <v>-0.9934868</v>
      </c>
      <c r="N1432">
        <v>0</v>
      </c>
      <c r="O1432">
        <v>-0.1134252</v>
      </c>
      <c r="P1432">
        <v>-0.99820379999999997</v>
      </c>
      <c r="Q1432">
        <v>-5.6129829999999999E-2</v>
      </c>
      <c r="R1432">
        <v>-2.0949309999999999E-2</v>
      </c>
      <c r="S1432">
        <v>-3.000702</v>
      </c>
      <c r="T1432">
        <v>-7.6843980000000006E-2</v>
      </c>
      <c r="U1432">
        <v>-2.3468019999999999E-2</v>
      </c>
      <c r="V1432">
        <v>9.2358010000000004E-2</v>
      </c>
      <c r="W1432">
        <v>-4.5388970000000001E-2</v>
      </c>
      <c r="X1432">
        <v>0.99469079999999999</v>
      </c>
      <c r="Y1432">
        <v>0.10558670000000001</v>
      </c>
      <c r="Z1432">
        <v>4.2510209999999998E-3</v>
      </c>
      <c r="AA1432">
        <v>0.99440099999999998</v>
      </c>
      <c r="AB1432">
        <v>11</v>
      </c>
      <c r="AC1432">
        <v>-43.195599999999999</v>
      </c>
      <c r="AD1432">
        <v>-1.10933746724199</v>
      </c>
      <c r="AE1432">
        <v>-0.32690000000002301</v>
      </c>
      <c r="AF1432">
        <v>4.5719550073369</v>
      </c>
      <c r="AG1432">
        <v>-1.10933746724199</v>
      </c>
      <c r="AH1432">
        <v>42.925576569900599</v>
      </c>
      <c r="AI1432">
        <v>91.472058678781394</v>
      </c>
      <c r="AJ1432">
        <v>83.920410901734002</v>
      </c>
      <c r="AK1432">
        <v>43.182618332654897</v>
      </c>
      <c r="AL1432">
        <v>92.601490253867198</v>
      </c>
      <c r="AM1432">
        <v>84.695240799581399</v>
      </c>
      <c r="AN1432">
        <v>0.99999997410673003</v>
      </c>
    </row>
    <row r="1433" spans="1:40" x14ac:dyDescent="0.25">
      <c r="A1433" t="str">
        <f>"20190312160941058"</f>
        <v>20190312160941058</v>
      </c>
      <c r="B1433" t="str">
        <f>"1552378181046871"</f>
        <v>1552378181046871</v>
      </c>
      <c r="C1433" t="s">
        <v>40</v>
      </c>
      <c r="D1433">
        <v>5.8025219999999997</v>
      </c>
      <c r="E1433">
        <v>0.50533809999999901</v>
      </c>
      <c r="F1433" t="s">
        <v>61</v>
      </c>
      <c r="G1433">
        <v>-254.39529999999999</v>
      </c>
      <c r="H1433" s="1">
        <v>8.0215289999999995E-7</v>
      </c>
      <c r="I1433">
        <v>284.17070000000001</v>
      </c>
      <c r="J1433">
        <v>-212.6849</v>
      </c>
      <c r="K1433">
        <v>1.109348</v>
      </c>
      <c r="L1433">
        <v>284.41489999999999</v>
      </c>
      <c r="M1433">
        <v>-0.99369160000000001</v>
      </c>
      <c r="N1433">
        <v>0</v>
      </c>
      <c r="O1433">
        <v>-0.1116185</v>
      </c>
      <c r="P1433">
        <v>-0.99828830000000002</v>
      </c>
      <c r="Q1433">
        <v>-5.5249260000000001E-2</v>
      </c>
      <c r="R1433">
        <v>-1.9192879999999999E-2</v>
      </c>
      <c r="S1433">
        <v>-3.0005489999999999</v>
      </c>
      <c r="T1433">
        <v>-7.9589010000000002E-2</v>
      </c>
      <c r="U1433">
        <v>-1.8280029999999999E-2</v>
      </c>
      <c r="V1433">
        <v>9.2306719999999995E-2</v>
      </c>
      <c r="W1433">
        <v>-4.4532080000000002E-2</v>
      </c>
      <c r="X1433">
        <v>0.99473429999999996</v>
      </c>
      <c r="Y1433">
        <v>0.1054928</v>
      </c>
      <c r="Z1433">
        <v>4.3542249999999998E-3</v>
      </c>
      <c r="AA1433">
        <v>0.99441049999999997</v>
      </c>
      <c r="AB1433">
        <v>11</v>
      </c>
      <c r="AC1433">
        <v>-41.7103999999999</v>
      </c>
      <c r="AD1433">
        <v>-1.1093471978470999</v>
      </c>
      <c r="AE1433">
        <v>-0.24419999999997799</v>
      </c>
      <c r="AF1433">
        <v>4.4101343902561396</v>
      </c>
      <c r="AG1433">
        <v>-1.1093471978470999</v>
      </c>
      <c r="AH1433">
        <v>41.447667281450997</v>
      </c>
      <c r="AI1433">
        <v>91.524554312249407</v>
      </c>
      <c r="AJ1433">
        <v>83.926439029636896</v>
      </c>
      <c r="AK1433">
        <v>41.696391446015497</v>
      </c>
      <c r="AL1433">
        <v>92.552344351955995</v>
      </c>
      <c r="AM1433">
        <v>84.698400475811397</v>
      </c>
      <c r="AN1433">
        <v>0.99999998215138697</v>
      </c>
    </row>
    <row r="1434" spans="1:40" x14ac:dyDescent="0.25">
      <c r="A1434" t="str">
        <f>"20190312160941102"</f>
        <v>20190312160941102</v>
      </c>
      <c r="B1434" t="str">
        <f>"1552378181096647"</f>
        <v>1552378181096647</v>
      </c>
      <c r="C1434" t="s">
        <v>40</v>
      </c>
      <c r="D1434">
        <v>6.0085059999999997</v>
      </c>
      <c r="E1434">
        <v>0.5043687</v>
      </c>
      <c r="F1434" t="s">
        <v>61</v>
      </c>
      <c r="G1434">
        <v>-252.77930000000001</v>
      </c>
      <c r="H1434" s="1">
        <v>-5.7764569999999997E-8</v>
      </c>
      <c r="I1434">
        <v>284.19380000000001</v>
      </c>
      <c r="J1434">
        <v>-212.9033</v>
      </c>
      <c r="K1434">
        <v>1.109367</v>
      </c>
      <c r="L1434">
        <v>284.39460000000003</v>
      </c>
      <c r="M1434">
        <v>-0.99406850000000002</v>
      </c>
      <c r="N1434">
        <v>0</v>
      </c>
      <c r="O1434">
        <v>-0.108214</v>
      </c>
      <c r="P1434">
        <v>-0.99845450000000002</v>
      </c>
      <c r="Q1434">
        <v>-5.3065139999999997E-2</v>
      </c>
      <c r="R1434">
        <v>-1.6517750000000001E-2</v>
      </c>
      <c r="S1434">
        <v>-3.0002439999999999</v>
      </c>
      <c r="T1434">
        <v>-8.3011870000000001E-2</v>
      </c>
      <c r="U1434">
        <v>-1.6540530000000001E-2</v>
      </c>
      <c r="V1434">
        <v>9.1582750000000004E-2</v>
      </c>
      <c r="W1434">
        <v>-4.2383700000000003E-2</v>
      </c>
      <c r="X1434">
        <v>0.99489510000000003</v>
      </c>
      <c r="Y1434">
        <v>0.1026576</v>
      </c>
      <c r="Z1434">
        <v>4.4089560000000003E-3</v>
      </c>
      <c r="AA1434">
        <v>0.99470700000000001</v>
      </c>
      <c r="AB1434">
        <v>11</v>
      </c>
      <c r="AC1434">
        <v>-39.875999999999998</v>
      </c>
      <c r="AD1434">
        <v>-1.10936705776457</v>
      </c>
      <c r="AE1434">
        <v>-0.20080000000001499</v>
      </c>
      <c r="AF1434">
        <v>4.1125914504693704</v>
      </c>
      <c r="AG1434">
        <v>-1.10936705776457</v>
      </c>
      <c r="AH1434">
        <v>39.632862024213203</v>
      </c>
      <c r="AI1434">
        <v>91.594794105547606</v>
      </c>
      <c r="AJ1434">
        <v>84.075779476470998</v>
      </c>
      <c r="AK1434">
        <v>39.861107058606002</v>
      </c>
      <c r="AL1434">
        <v>92.429134728373398</v>
      </c>
      <c r="AM1434">
        <v>84.740592650801702</v>
      </c>
      <c r="AN1434">
        <v>1.00000001906363</v>
      </c>
    </row>
    <row r="1435" spans="1:40" x14ac:dyDescent="0.25">
      <c r="A1435" t="str">
        <f>"20190312160941125"</f>
        <v>20190312160941125</v>
      </c>
      <c r="B1435" t="str">
        <f>"1552378181117143"</f>
        <v>1552378181117143</v>
      </c>
      <c r="C1435" t="s">
        <v>40</v>
      </c>
      <c r="D1435">
        <v>5.8729820000000004</v>
      </c>
      <c r="E1435">
        <v>0.50409359999999903</v>
      </c>
      <c r="F1435" t="s">
        <v>61</v>
      </c>
      <c r="G1435">
        <v>-252.20699999999999</v>
      </c>
      <c r="H1435" s="1">
        <v>-3.6234699999999998E-7</v>
      </c>
      <c r="I1435">
        <v>284.18470000000002</v>
      </c>
      <c r="J1435">
        <v>-213.0222</v>
      </c>
      <c r="K1435">
        <v>1.1093789999999999</v>
      </c>
      <c r="L1435">
        <v>284.38380000000001</v>
      </c>
      <c r="M1435">
        <v>-0.99426300000000001</v>
      </c>
      <c r="N1435">
        <v>0</v>
      </c>
      <c r="O1435">
        <v>-0.1064152</v>
      </c>
      <c r="P1435">
        <v>-0.99848559999999997</v>
      </c>
      <c r="Q1435">
        <v>-5.3039509999999998E-2</v>
      </c>
      <c r="R1435">
        <v>-1.462255E-2</v>
      </c>
      <c r="S1435">
        <v>-2.9998930000000001</v>
      </c>
      <c r="T1435">
        <v>-8.4673639999999994E-2</v>
      </c>
      <c r="U1435">
        <v>-1.6021730000000001E-2</v>
      </c>
      <c r="V1435">
        <v>9.1672249999999997E-2</v>
      </c>
      <c r="W1435">
        <v>-4.2375540000000003E-2</v>
      </c>
      <c r="X1435">
        <v>0.99488719999999997</v>
      </c>
      <c r="Y1435">
        <v>0.10102700000000001</v>
      </c>
      <c r="Z1435">
        <v>4.4241710000000002E-3</v>
      </c>
      <c r="AA1435">
        <v>0.99487380000000003</v>
      </c>
      <c r="AB1435">
        <v>11</v>
      </c>
      <c r="AC1435">
        <v>-39.184800000000003</v>
      </c>
      <c r="AD1435">
        <v>-1.1093793623469901</v>
      </c>
      <c r="AE1435">
        <v>-0.19909999999998701</v>
      </c>
      <c r="AF1435">
        <v>3.9689515387343</v>
      </c>
      <c r="AG1435">
        <v>-1.1093793623469901</v>
      </c>
      <c r="AH1435">
        <v>38.952241611698597</v>
      </c>
      <c r="AI1435">
        <v>91.622972842466595</v>
      </c>
      <c r="AJ1435">
        <v>84.182053487739296</v>
      </c>
      <c r="AK1435">
        <v>39.169636524514303</v>
      </c>
      <c r="AL1435">
        <v>92.428666786058599</v>
      </c>
      <c r="AM1435">
        <v>84.735440148716094</v>
      </c>
      <c r="AN1435">
        <v>1.00000001426709</v>
      </c>
    </row>
    <row r="1436" spans="1:40" x14ac:dyDescent="0.25">
      <c r="A1436" t="str">
        <f>"20190312160941146"</f>
        <v>20190312160941146</v>
      </c>
      <c r="B1436" t="str">
        <f>"1552378181137169"</f>
        <v>1552378181137169</v>
      </c>
      <c r="C1436" t="s">
        <v>40</v>
      </c>
      <c r="D1436">
        <v>5.8601679999999998</v>
      </c>
      <c r="E1436">
        <v>0.50401220000000002</v>
      </c>
      <c r="F1436" t="s">
        <v>61</v>
      </c>
      <c r="G1436">
        <v>-250.63640000000001</v>
      </c>
      <c r="H1436" s="1">
        <v>-1.198114E-6</v>
      </c>
      <c r="I1436">
        <v>284.23110000000003</v>
      </c>
      <c r="J1436">
        <v>-213.13220000000001</v>
      </c>
      <c r="K1436">
        <v>1.1093919999999999</v>
      </c>
      <c r="L1436">
        <v>284.37400000000002</v>
      </c>
      <c r="M1436">
        <v>-0.99443579999999998</v>
      </c>
      <c r="N1436">
        <v>0</v>
      </c>
      <c r="O1436">
        <v>-0.1047886</v>
      </c>
      <c r="P1436">
        <v>-0.99851319999999999</v>
      </c>
      <c r="Q1436">
        <v>-5.2910480000000003E-2</v>
      </c>
      <c r="R1436">
        <v>-1.312022E-2</v>
      </c>
      <c r="S1436">
        <v>-2.9996640000000001</v>
      </c>
      <c r="T1436">
        <v>-8.8471060000000004E-2</v>
      </c>
      <c r="U1436">
        <v>-1.217651E-2</v>
      </c>
      <c r="V1436">
        <v>9.1543810000000003E-2</v>
      </c>
      <c r="W1436">
        <v>-4.2260409999999998E-2</v>
      </c>
      <c r="X1436">
        <v>0.99490389999999995</v>
      </c>
      <c r="Y1436">
        <v>0.1006678</v>
      </c>
      <c r="Z1436">
        <v>4.569867E-3</v>
      </c>
      <c r="AA1436">
        <v>0.99490959999999995</v>
      </c>
      <c r="AB1436">
        <v>11</v>
      </c>
      <c r="AC1436">
        <v>-37.504199999999997</v>
      </c>
      <c r="AD1436">
        <v>-1.1093931981139999</v>
      </c>
      <c r="AE1436">
        <v>-0.142899999999997</v>
      </c>
      <c r="AF1436">
        <v>3.7848172577232702</v>
      </c>
      <c r="AG1436">
        <v>-1.1093931981139999</v>
      </c>
      <c r="AH1436">
        <v>37.280052531861003</v>
      </c>
      <c r="AI1436">
        <v>91.695813427041898</v>
      </c>
      <c r="AJ1436">
        <v>84.202969998176997</v>
      </c>
      <c r="AK1436">
        <v>37.488103602618999</v>
      </c>
      <c r="AL1436">
        <v>92.422064465426502</v>
      </c>
      <c r="AM1436">
        <v>84.742862601032499</v>
      </c>
      <c r="AN1436">
        <v>0.99999999081894697</v>
      </c>
    </row>
    <row r="1437" spans="1:40" x14ac:dyDescent="0.25">
      <c r="A1437" t="str">
        <f>"20190312160941191"</f>
        <v>20190312160941191</v>
      </c>
      <c r="B1437" t="str">
        <f>"1552378181186946"</f>
        <v>1552378181186946</v>
      </c>
      <c r="C1437" t="s">
        <v>40</v>
      </c>
      <c r="D1437">
        <v>5.7727069999999996</v>
      </c>
      <c r="E1437">
        <v>0.5035617</v>
      </c>
      <c r="F1437" t="s">
        <v>61</v>
      </c>
      <c r="G1437">
        <v>-250.23079999999999</v>
      </c>
      <c r="H1437" s="1">
        <v>-1.4139740000000001E-6</v>
      </c>
      <c r="I1437">
        <v>284.26979999999998</v>
      </c>
      <c r="J1437">
        <v>-213.36250000000001</v>
      </c>
      <c r="K1437">
        <v>1.1093949999999999</v>
      </c>
      <c r="L1437">
        <v>284.35390000000001</v>
      </c>
      <c r="M1437">
        <v>-0.99477859999999996</v>
      </c>
      <c r="N1437">
        <v>0</v>
      </c>
      <c r="O1437">
        <v>-0.1014882</v>
      </c>
      <c r="P1437">
        <v>-0.99855300000000002</v>
      </c>
      <c r="Q1437">
        <v>-5.298953E-2</v>
      </c>
      <c r="R1437">
        <v>-9.1663749999999992E-3</v>
      </c>
      <c r="S1437">
        <v>-2.999603</v>
      </c>
      <c r="T1437">
        <v>-8.9699860000000006E-2</v>
      </c>
      <c r="U1437">
        <v>-8.4228519999999998E-3</v>
      </c>
      <c r="V1437">
        <v>9.2182249999999993E-2</v>
      </c>
      <c r="W1437">
        <v>-4.2372769999999997E-2</v>
      </c>
      <c r="X1437">
        <v>0.99484019999999995</v>
      </c>
      <c r="Y1437">
        <v>9.8610859999999995E-2</v>
      </c>
      <c r="Z1437">
        <v>4.504442E-3</v>
      </c>
      <c r="AA1437">
        <v>0.99511590000000005</v>
      </c>
      <c r="AB1437">
        <v>11</v>
      </c>
      <c r="AC1437">
        <v>-36.868299999999898</v>
      </c>
      <c r="AD1437">
        <v>-1.109396413974</v>
      </c>
      <c r="AE1437">
        <v>-8.4100000000034897E-2</v>
      </c>
      <c r="AF1437">
        <v>3.6549387585493398</v>
      </c>
      <c r="AG1437">
        <v>-1.109396413974</v>
      </c>
      <c r="AH1437">
        <v>36.653265321296203</v>
      </c>
      <c r="AI1437">
        <v>91.725110579976601</v>
      </c>
      <c r="AJ1437">
        <v>84.305484537224601</v>
      </c>
      <c r="AK1437">
        <v>36.851746179053897</v>
      </c>
      <c r="AL1437">
        <v>92.428507917239898</v>
      </c>
      <c r="AM1437">
        <v>84.706069099172694</v>
      </c>
      <c r="AN1437">
        <v>1.0000000211942801</v>
      </c>
    </row>
    <row r="1438" spans="1:40" x14ac:dyDescent="0.25">
      <c r="A1438" t="str">
        <f>"20190312160941214"</f>
        <v>20190312160941214</v>
      </c>
      <c r="B1438" t="str">
        <f>"1552378181206465"</f>
        <v>1552378181206465</v>
      </c>
      <c r="C1438" t="s">
        <v>40</v>
      </c>
      <c r="D1438">
        <v>5.7885369999999998</v>
      </c>
      <c r="E1438">
        <v>0.50329409999999997</v>
      </c>
      <c r="F1438" t="s">
        <v>61</v>
      </c>
      <c r="G1438">
        <v>-246.02879999999999</v>
      </c>
      <c r="H1438" s="1">
        <v>1.6714429999999999E-6</v>
      </c>
      <c r="I1438">
        <v>284.35430000000002</v>
      </c>
      <c r="J1438">
        <v>-213.47890000000001</v>
      </c>
      <c r="K1438">
        <v>1.109394</v>
      </c>
      <c r="L1438">
        <v>284.34399999999999</v>
      </c>
      <c r="M1438">
        <v>-0.99494249999999995</v>
      </c>
      <c r="N1438">
        <v>0</v>
      </c>
      <c r="O1438">
        <v>-9.9870539999999994E-2</v>
      </c>
      <c r="P1438">
        <v>-0.99859629999999999</v>
      </c>
      <c r="Q1438">
        <v>-5.2438419999999999E-2</v>
      </c>
      <c r="R1438">
        <v>-7.4837089999999998E-3</v>
      </c>
      <c r="S1438">
        <v>-2.9989469999999998</v>
      </c>
      <c r="T1438">
        <v>-0.10184840000000001</v>
      </c>
      <c r="U1438" s="1">
        <v>3.0517579999999999E-5</v>
      </c>
      <c r="V1438">
        <v>9.2245030000000006E-2</v>
      </c>
      <c r="W1438">
        <v>-4.1842079999999997E-2</v>
      </c>
      <c r="X1438">
        <v>0.99485679999999999</v>
      </c>
      <c r="Y1438">
        <v>9.9771460000000006E-2</v>
      </c>
      <c r="Z1438">
        <v>5.0804079999999998E-3</v>
      </c>
      <c r="AA1438">
        <v>0.99499740000000003</v>
      </c>
      <c r="AB1438">
        <v>11</v>
      </c>
      <c r="AC1438">
        <v>-32.549899999999901</v>
      </c>
      <c r="AD1438">
        <v>-1.109392328557</v>
      </c>
      <c r="AE1438">
        <v>1.0300000000029201E-2</v>
      </c>
      <c r="AF1438">
        <v>3.25742805351023</v>
      </c>
      <c r="AG1438">
        <v>-1.109392328557</v>
      </c>
      <c r="AH1438">
        <v>32.348539972144003</v>
      </c>
      <c r="AI1438">
        <v>91.954311737764996</v>
      </c>
      <c r="AJ1438">
        <v>84.249822276810605</v>
      </c>
      <c r="AK1438">
        <v>32.531056349154298</v>
      </c>
      <c r="AL1438">
        <v>92.398074730254706</v>
      </c>
      <c r="AM1438">
        <v>84.702572104996605</v>
      </c>
      <c r="AN1438">
        <v>0.99999997886233305</v>
      </c>
    </row>
    <row r="1439" spans="1:40" x14ac:dyDescent="0.25">
      <c r="A1439" t="str">
        <f>"20190312160941237"</f>
        <v>20190312160941237</v>
      </c>
      <c r="B1439" t="str">
        <f>"1552378181226963"</f>
        <v>1552378181226963</v>
      </c>
      <c r="C1439" t="s">
        <v>40</v>
      </c>
      <c r="D1439">
        <v>5.8786949999999996</v>
      </c>
      <c r="E1439">
        <v>0.50293859999999901</v>
      </c>
      <c r="F1439" t="s">
        <v>61</v>
      </c>
      <c r="G1439">
        <v>-245.81299999999999</v>
      </c>
      <c r="H1439" s="1">
        <v>1.5566019999999999E-6</v>
      </c>
      <c r="I1439">
        <v>284.37819999999999</v>
      </c>
      <c r="J1439">
        <v>-213.59690000000001</v>
      </c>
      <c r="K1439">
        <v>1.1093959999999901</v>
      </c>
      <c r="L1439">
        <v>284.33409999999998</v>
      </c>
      <c r="M1439">
        <v>-0.99510259999999995</v>
      </c>
      <c r="N1439">
        <v>0</v>
      </c>
      <c r="O1439">
        <v>-9.8264809999999994E-2</v>
      </c>
      <c r="P1439">
        <v>-0.99857870000000004</v>
      </c>
      <c r="Q1439">
        <v>-5.3023290000000001E-2</v>
      </c>
      <c r="R1439">
        <v>-5.4332790000000001E-3</v>
      </c>
      <c r="S1439">
        <v>-2.99884</v>
      </c>
      <c r="T1439">
        <v>-0.102891</v>
      </c>
      <c r="U1439">
        <v>3.1738280000000001E-3</v>
      </c>
      <c r="V1439">
        <v>9.2679090000000006E-2</v>
      </c>
      <c r="W1439">
        <v>-4.2451339999999997E-2</v>
      </c>
      <c r="X1439">
        <v>0.99479070000000003</v>
      </c>
      <c r="Y1439">
        <v>9.9207569999999995E-2</v>
      </c>
      <c r="Z1439">
        <v>5.0680630000000003E-3</v>
      </c>
      <c r="AA1439">
        <v>0.99505379999999999</v>
      </c>
      <c r="AB1439">
        <v>11</v>
      </c>
      <c r="AC1439">
        <v>-32.216099999999898</v>
      </c>
      <c r="AD1439">
        <v>-1.1093944433980001</v>
      </c>
      <c r="AE1439">
        <v>4.4100000000014399E-2</v>
      </c>
      <c r="AF1439">
        <v>3.2059755185326</v>
      </c>
      <c r="AG1439">
        <v>-1.1093944433980001</v>
      </c>
      <c r="AH1439">
        <v>32.017864145666898</v>
      </c>
      <c r="AI1439">
        <v>91.974594660862493</v>
      </c>
      <c r="AJ1439">
        <v>84.281984803340805</v>
      </c>
      <c r="AK1439">
        <v>32.197090854716301</v>
      </c>
      <c r="AL1439">
        <v>92.433013671116498</v>
      </c>
      <c r="AM1439">
        <v>84.677436201364799</v>
      </c>
      <c r="AN1439">
        <v>1.00000003339875</v>
      </c>
    </row>
    <row r="1440" spans="1:40" x14ac:dyDescent="0.25">
      <c r="A1440" t="str">
        <f>"20190312160941281"</f>
        <v>20190312160941281</v>
      </c>
      <c r="B1440" t="str">
        <f>"1552378181276738"</f>
        <v>1552378181276738</v>
      </c>
      <c r="C1440" t="s">
        <v>40</v>
      </c>
      <c r="D1440">
        <v>5.8391219999999997</v>
      </c>
      <c r="E1440">
        <v>0.50225200000000003</v>
      </c>
      <c r="F1440" t="s">
        <v>61</v>
      </c>
      <c r="G1440">
        <v>-245.09889999999999</v>
      </c>
      <c r="H1440" s="1">
        <v>1.1766150000000001E-6</v>
      </c>
      <c r="I1440">
        <v>284.40179999999998</v>
      </c>
      <c r="J1440">
        <v>-213.81899999999999</v>
      </c>
      <c r="K1440">
        <v>1.1094029999999999</v>
      </c>
      <c r="L1440">
        <v>284.31580000000002</v>
      </c>
      <c r="M1440">
        <v>-0.99538740000000003</v>
      </c>
      <c r="N1440">
        <v>0</v>
      </c>
      <c r="O1440">
        <v>-9.5342079999999996E-2</v>
      </c>
      <c r="P1440">
        <v>-0.99849929999999998</v>
      </c>
      <c r="Q1440">
        <v>-5.4734970000000001E-2</v>
      </c>
      <c r="R1440">
        <v>-1.838356E-3</v>
      </c>
      <c r="S1440">
        <v>-2.9987029999999999</v>
      </c>
      <c r="T1440">
        <v>-0.1056039</v>
      </c>
      <c r="U1440">
        <v>6.4392090000000004E-3</v>
      </c>
      <c r="V1440">
        <v>9.3329659999999995E-2</v>
      </c>
      <c r="W1440">
        <v>-4.4215520000000001E-2</v>
      </c>
      <c r="X1440">
        <v>0.99465300000000001</v>
      </c>
      <c r="Y1440">
        <v>9.7365499999999994E-2</v>
      </c>
      <c r="Z1440">
        <v>5.0669230000000001E-3</v>
      </c>
      <c r="AA1440">
        <v>0.9952358</v>
      </c>
      <c r="AB1440">
        <v>11</v>
      </c>
      <c r="AC1440">
        <v>-31.279899999999898</v>
      </c>
      <c r="AD1440">
        <v>-1.109401823385</v>
      </c>
      <c r="AE1440">
        <v>8.5999999999955806E-2</v>
      </c>
      <c r="AF1440">
        <v>3.0642141865487802</v>
      </c>
      <c r="AG1440">
        <v>-1.109401823385</v>
      </c>
      <c r="AH1440">
        <v>31.090082395846299</v>
      </c>
      <c r="AI1440">
        <v>92.033798888723297</v>
      </c>
      <c r="AJ1440">
        <v>84.371151902011704</v>
      </c>
      <c r="AK1440">
        <v>31.2604127350758</v>
      </c>
      <c r="AL1440">
        <v>92.534188835617996</v>
      </c>
      <c r="AM1440">
        <v>84.639553091757605</v>
      </c>
      <c r="AN1440">
        <v>1.00000001402679</v>
      </c>
    </row>
    <row r="1441" spans="1:40" x14ac:dyDescent="0.25">
      <c r="A1441" t="str">
        <f>"20190312160941304"</f>
        <v>20190312160941304</v>
      </c>
      <c r="B1441" t="str">
        <f>"1552378181297234"</f>
        <v>1552378181297234</v>
      </c>
      <c r="C1441" t="s">
        <v>40</v>
      </c>
      <c r="D1441">
        <v>5.8458579999999998</v>
      </c>
      <c r="E1441">
        <v>0.5020694</v>
      </c>
      <c r="F1441" t="s">
        <v>61</v>
      </c>
      <c r="G1441">
        <v>-242.6165</v>
      </c>
      <c r="H1441" s="1">
        <v>-1.4443530000000001E-7</v>
      </c>
      <c r="I1441">
        <v>284.43009999999998</v>
      </c>
      <c r="J1441">
        <v>-213.9367</v>
      </c>
      <c r="K1441">
        <v>1.109416</v>
      </c>
      <c r="L1441">
        <v>284.3064</v>
      </c>
      <c r="M1441">
        <v>-0.99553020000000003</v>
      </c>
      <c r="N1441">
        <v>0</v>
      </c>
      <c r="O1441">
        <v>-9.3842690000000006E-2</v>
      </c>
      <c r="P1441">
        <v>-0.99853349999999996</v>
      </c>
      <c r="Q1441">
        <v>-5.4139369999999999E-2</v>
      </c>
      <c r="R1441">
        <v>-3.0586470000000001E-4</v>
      </c>
      <c r="S1441">
        <v>-2.9981840000000002</v>
      </c>
      <c r="T1441">
        <v>-0.11550299999999999</v>
      </c>
      <c r="U1441">
        <v>1.190186E-2</v>
      </c>
      <c r="V1441">
        <v>9.3362860000000006E-2</v>
      </c>
      <c r="W1441">
        <v>-4.3646190000000001E-2</v>
      </c>
      <c r="X1441">
        <v>0.99467499999999998</v>
      </c>
      <c r="Y1441">
        <v>9.765749E-2</v>
      </c>
      <c r="Z1441">
        <v>5.4906340000000003E-3</v>
      </c>
      <c r="AA1441">
        <v>0.99520489999999995</v>
      </c>
      <c r="AB1441">
        <v>11</v>
      </c>
      <c r="AC1441">
        <v>-28.6798</v>
      </c>
      <c r="AD1441">
        <v>-1.1094161444352999</v>
      </c>
      <c r="AE1441">
        <v>0.123699999999985</v>
      </c>
      <c r="AF1441">
        <v>2.8104905075725801</v>
      </c>
      <c r="AG1441">
        <v>-1.1094161444352999</v>
      </c>
      <c r="AH1441">
        <v>28.4989697805891</v>
      </c>
      <c r="AI1441">
        <v>92.218549871406395</v>
      </c>
      <c r="AJ1441">
        <v>84.367857924211705</v>
      </c>
      <c r="AK1441">
        <v>28.658697451727001</v>
      </c>
      <c r="AL1441">
        <v>92.501537180369894</v>
      </c>
      <c r="AM1441">
        <v>84.637775254519994</v>
      </c>
      <c r="AN1441">
        <v>0.99999998457694705</v>
      </c>
    </row>
    <row r="1442" spans="1:40" x14ac:dyDescent="0.25">
      <c r="A1442" t="str">
        <f>"20190312160941325"</f>
        <v>20190312160941325</v>
      </c>
      <c r="B1442" t="str">
        <f>"1552378181316753"</f>
        <v>1552378181316753</v>
      </c>
      <c r="C1442" t="s">
        <v>40</v>
      </c>
      <c r="D1442">
        <v>5.8163839999999896</v>
      </c>
      <c r="E1442">
        <v>0.50187320000000002</v>
      </c>
      <c r="F1442" t="s">
        <v>61</v>
      </c>
      <c r="G1442">
        <v>-242.4289</v>
      </c>
      <c r="H1442" s="1">
        <v>-2.4427239999999997E-7</v>
      </c>
      <c r="I1442">
        <v>284.44990000000001</v>
      </c>
      <c r="J1442">
        <v>-214.0497</v>
      </c>
      <c r="K1442">
        <v>1.1094329999999999</v>
      </c>
      <c r="L1442">
        <v>284.29739999999998</v>
      </c>
      <c r="M1442">
        <v>-0.99566140000000003</v>
      </c>
      <c r="N1442">
        <v>0</v>
      </c>
      <c r="O1442">
        <v>-9.2442499999999997E-2</v>
      </c>
      <c r="P1442">
        <v>-0.99856529999999999</v>
      </c>
      <c r="Q1442">
        <v>-5.3524620000000002E-2</v>
      </c>
      <c r="R1442">
        <v>1.6411539999999999E-3</v>
      </c>
      <c r="S1442">
        <v>-2.998062</v>
      </c>
      <c r="T1442">
        <v>-0.11673749999999999</v>
      </c>
      <c r="U1442">
        <v>1.51062E-2</v>
      </c>
      <c r="V1442">
        <v>9.3907710000000005E-2</v>
      </c>
      <c r="W1442">
        <v>-4.3058590000000001E-2</v>
      </c>
      <c r="X1442">
        <v>0.99464940000000002</v>
      </c>
      <c r="Y1442">
        <v>9.7319890000000006E-2</v>
      </c>
      <c r="Z1442">
        <v>5.4886319999999898E-3</v>
      </c>
      <c r="AA1442">
        <v>0.99523799999999996</v>
      </c>
      <c r="AB1442">
        <v>12</v>
      </c>
      <c r="AC1442">
        <v>-28.379200000000001</v>
      </c>
      <c r="AD1442">
        <v>-1.10943324427239</v>
      </c>
      <c r="AE1442">
        <v>0.152500000000031</v>
      </c>
      <c r="AF1442">
        <v>2.7712039993855702</v>
      </c>
      <c r="AG1442">
        <v>-1.10943324427239</v>
      </c>
      <c r="AH1442">
        <v>28.200472063426201</v>
      </c>
      <c r="AI1442">
        <v>92.242119839098606</v>
      </c>
      <c r="AJ1442">
        <v>84.387677349234096</v>
      </c>
      <c r="AK1442">
        <v>28.3580154159241</v>
      </c>
      <c r="AL1442">
        <v>92.467838299802395</v>
      </c>
      <c r="AM1442">
        <v>84.606528211436796</v>
      </c>
      <c r="AN1442">
        <v>1.00000006454529</v>
      </c>
    </row>
    <row r="1443" spans="1:40" x14ac:dyDescent="0.25">
      <c r="A1443" t="str">
        <f>"20190312160941347"</f>
        <v>20190312160941347</v>
      </c>
      <c r="B1443" t="str">
        <f>"1552378181337249"</f>
        <v>1552378181337249</v>
      </c>
      <c r="C1443" t="s">
        <v>40</v>
      </c>
      <c r="D1443">
        <v>5.8090330000000003</v>
      </c>
      <c r="E1443">
        <v>0.50165859999999995</v>
      </c>
      <c r="F1443" t="s">
        <v>61</v>
      </c>
      <c r="G1443">
        <v>-242.37880000000001</v>
      </c>
      <c r="H1443" s="1">
        <v>-2.7091329999999999E-7</v>
      </c>
      <c r="I1443">
        <v>284.48050000000001</v>
      </c>
      <c r="J1443">
        <v>-214.16720000000001</v>
      </c>
      <c r="K1443">
        <v>1.10945</v>
      </c>
      <c r="L1443">
        <v>284.28820000000002</v>
      </c>
      <c r="M1443">
        <v>-0.99579200000000001</v>
      </c>
      <c r="N1443">
        <v>0</v>
      </c>
      <c r="O1443">
        <v>-9.1029659999999998E-2</v>
      </c>
      <c r="P1443">
        <v>-0.9985946</v>
      </c>
      <c r="Q1443">
        <v>-5.2901289999999997E-2</v>
      </c>
      <c r="R1443">
        <v>3.2246570000000001E-3</v>
      </c>
      <c r="S1443">
        <v>-2.997986</v>
      </c>
      <c r="T1443">
        <v>-0.11740829999999999</v>
      </c>
      <c r="U1443">
        <v>1.9378659999999999E-2</v>
      </c>
      <c r="V1443">
        <v>9.4078309999999998E-2</v>
      </c>
      <c r="W1443">
        <v>-4.24649E-2</v>
      </c>
      <c r="X1443">
        <v>0.99465870000000001</v>
      </c>
      <c r="Y1443">
        <v>9.7325529999999993E-2</v>
      </c>
      <c r="Z1443">
        <v>5.4652900000000003E-3</v>
      </c>
      <c r="AA1443">
        <v>0.99523759999999994</v>
      </c>
      <c r="AB1443">
        <v>12</v>
      </c>
      <c r="AC1443">
        <v>-28.211600000000001</v>
      </c>
      <c r="AD1443">
        <v>-1.1094502709133001</v>
      </c>
      <c r="AE1443">
        <v>0.19229999999998801</v>
      </c>
      <c r="AF1443">
        <v>2.75547631324025</v>
      </c>
      <c r="AG1443">
        <v>-1.1094502709133001</v>
      </c>
      <c r="AH1443">
        <v>28.033598468899399</v>
      </c>
      <c r="AI1443">
        <v>92.255481934605896</v>
      </c>
      <c r="AJ1443">
        <v>84.386319773973398</v>
      </c>
      <c r="AK1443">
        <v>28.190533388567498</v>
      </c>
      <c r="AL1443">
        <v>92.433791474981604</v>
      </c>
      <c r="AM1443">
        <v>84.596838171016799</v>
      </c>
      <c r="AN1443">
        <v>0.99999996281507697</v>
      </c>
    </row>
    <row r="1444" spans="1:40" x14ac:dyDescent="0.25">
      <c r="A1444" t="str">
        <f>"20190312160941370"</f>
        <v>20190312160941370</v>
      </c>
      <c r="B1444" t="str">
        <f>"1552378181366530"</f>
        <v>1552378181366530</v>
      </c>
      <c r="C1444" t="s">
        <v>40</v>
      </c>
      <c r="D1444">
        <v>5.9504599999999996</v>
      </c>
      <c r="E1444">
        <v>0.50120070000000005</v>
      </c>
      <c r="F1444" t="s">
        <v>61</v>
      </c>
      <c r="G1444">
        <v>-242.45500000000001</v>
      </c>
      <c r="H1444" s="1">
        <v>-2.303333E-7</v>
      </c>
      <c r="I1444">
        <v>284.50009999999997</v>
      </c>
      <c r="J1444">
        <v>-214.2851</v>
      </c>
      <c r="K1444">
        <v>1.109456</v>
      </c>
      <c r="L1444">
        <v>284.27910000000003</v>
      </c>
      <c r="M1444">
        <v>-0.99591799999999997</v>
      </c>
      <c r="N1444">
        <v>0</v>
      </c>
      <c r="O1444">
        <v>-8.9644570000000007E-2</v>
      </c>
      <c r="P1444">
        <v>-0.99860190000000004</v>
      </c>
      <c r="Q1444">
        <v>-5.2646680000000001E-2</v>
      </c>
      <c r="R1444">
        <v>4.7644879999999999E-3</v>
      </c>
      <c r="S1444">
        <v>-2.9979399999999998</v>
      </c>
      <c r="T1444">
        <v>-0.11757910000000001</v>
      </c>
      <c r="U1444">
        <v>2.2460939999999999E-2</v>
      </c>
      <c r="V1444">
        <v>9.4231079999999995E-2</v>
      </c>
      <c r="W1444">
        <v>-4.224091E-2</v>
      </c>
      <c r="X1444">
        <v>0.99465380000000003</v>
      </c>
      <c r="Y1444">
        <v>9.6965430000000005E-2</v>
      </c>
      <c r="Z1444">
        <v>5.4121330000000004E-3</v>
      </c>
      <c r="AA1444">
        <v>0.99527310000000002</v>
      </c>
      <c r="AB1444">
        <v>12</v>
      </c>
      <c r="AC1444">
        <v>-28.169899999999998</v>
      </c>
      <c r="AD1444">
        <v>-1.1094562303333</v>
      </c>
      <c r="AE1444">
        <v>0.22099999999994599</v>
      </c>
      <c r="AF1444">
        <v>2.7412772593365902</v>
      </c>
      <c r="AG1444">
        <v>-1.1094562303333</v>
      </c>
      <c r="AH1444">
        <v>27.993239101881301</v>
      </c>
      <c r="AI1444">
        <v>92.258822685703606</v>
      </c>
      <c r="AJ1444">
        <v>84.407062796077099</v>
      </c>
      <c r="AK1444">
        <v>28.149012941037199</v>
      </c>
      <c r="AL1444">
        <v>92.420946209891696</v>
      </c>
      <c r="AM1444">
        <v>84.588089741919603</v>
      </c>
      <c r="AN1444">
        <v>0.99999998638501697</v>
      </c>
    </row>
    <row r="1445" spans="1:40" x14ac:dyDescent="0.25">
      <c r="A1445" t="str">
        <f>"20190312160941392"</f>
        <v>20190312160941392</v>
      </c>
      <c r="B1445" t="str">
        <f>"1552378181387025"</f>
        <v>1552378181387025</v>
      </c>
      <c r="C1445" t="s">
        <v>40</v>
      </c>
      <c r="D1445">
        <v>5.7384649999999997</v>
      </c>
      <c r="E1445">
        <v>0.50095579999999995</v>
      </c>
      <c r="F1445" t="s">
        <v>61</v>
      </c>
      <c r="G1445">
        <v>-242.4228</v>
      </c>
      <c r="H1445" s="1">
        <v>-2.4749019999999999E-7</v>
      </c>
      <c r="I1445">
        <v>284.4982</v>
      </c>
      <c r="J1445">
        <v>-214.39830000000001</v>
      </c>
      <c r="K1445">
        <v>1.1094630000000001</v>
      </c>
      <c r="L1445">
        <v>284.2704</v>
      </c>
      <c r="M1445">
        <v>-0.99603439999999999</v>
      </c>
      <c r="N1445">
        <v>0</v>
      </c>
      <c r="O1445">
        <v>-8.8343740000000004E-2</v>
      </c>
      <c r="P1445">
        <v>-0.99859249999999999</v>
      </c>
      <c r="Q1445">
        <v>-5.262791E-2</v>
      </c>
      <c r="R1445">
        <v>6.592428E-3</v>
      </c>
      <c r="S1445">
        <v>-2.997849</v>
      </c>
      <c r="T1445">
        <v>-0.1182035</v>
      </c>
      <c r="U1445">
        <v>2.3345950000000001E-2</v>
      </c>
      <c r="V1445">
        <v>9.4753089999999998E-2</v>
      </c>
      <c r="W1445">
        <v>-4.225069E-2</v>
      </c>
      <c r="X1445">
        <v>0.99460380000000004</v>
      </c>
      <c r="Y1445">
        <v>9.5959749999999996E-2</v>
      </c>
      <c r="Z1445">
        <v>5.3700769999999896E-3</v>
      </c>
      <c r="AA1445">
        <v>0.99537070000000005</v>
      </c>
      <c r="AB1445">
        <v>12</v>
      </c>
      <c r="AC1445">
        <v>-28.0244999999999</v>
      </c>
      <c r="AD1445">
        <v>-1.10946324749019</v>
      </c>
      <c r="AE1445">
        <v>0.227800000000001</v>
      </c>
      <c r="AF1445">
        <v>2.6986063705968499</v>
      </c>
      <c r="AG1445">
        <v>-1.10946324749019</v>
      </c>
      <c r="AH1445">
        <v>27.851139554466201</v>
      </c>
      <c r="AI1445">
        <v>92.270575725636505</v>
      </c>
      <c r="AJ1445">
        <v>84.465663177671601</v>
      </c>
      <c r="AK1445">
        <v>28.003559765203299</v>
      </c>
      <c r="AL1445">
        <v>92.421507045063905</v>
      </c>
      <c r="AM1445">
        <v>84.558017046291297</v>
      </c>
      <c r="AN1445">
        <v>0.99999999392223204</v>
      </c>
    </row>
    <row r="1446" spans="1:40" x14ac:dyDescent="0.25">
      <c r="A1446" t="str">
        <f>"20190312160941414"</f>
        <v>20190312160941414</v>
      </c>
      <c r="B1446" t="str">
        <f>"1552378181406546"</f>
        <v>1552378181406546</v>
      </c>
      <c r="C1446" t="s">
        <v>40</v>
      </c>
      <c r="D1446">
        <v>5.9482460000000001</v>
      </c>
      <c r="E1446">
        <v>0.50073579999999995</v>
      </c>
      <c r="F1446" t="s">
        <v>61</v>
      </c>
      <c r="G1446">
        <v>-242.1164</v>
      </c>
      <c r="H1446" s="1">
        <v>-4.1052899999999998E-7</v>
      </c>
      <c r="I1446">
        <v>284.52069999999998</v>
      </c>
      <c r="J1446">
        <v>-214.5129</v>
      </c>
      <c r="K1446">
        <v>1.109459</v>
      </c>
      <c r="L1446">
        <v>284.26179999999999</v>
      </c>
      <c r="M1446">
        <v>-0.99614820000000004</v>
      </c>
      <c r="N1446">
        <v>0</v>
      </c>
      <c r="O1446">
        <v>-8.7057570000000001E-2</v>
      </c>
      <c r="P1446">
        <v>-0.9985771</v>
      </c>
      <c r="Q1446">
        <v>-5.269041E-2</v>
      </c>
      <c r="R1446">
        <v>8.2353059999999995E-3</v>
      </c>
      <c r="S1446">
        <v>-2.9977260000000001</v>
      </c>
      <c r="T1446">
        <v>-0.1199889</v>
      </c>
      <c r="U1446">
        <v>2.7069090000000001E-2</v>
      </c>
      <c r="V1446">
        <v>9.5105049999999997E-2</v>
      </c>
      <c r="W1446">
        <v>-4.2338920000000002E-2</v>
      </c>
      <c r="X1446">
        <v>0.99456639999999996</v>
      </c>
      <c r="Y1446">
        <v>9.5907619999999999E-2</v>
      </c>
      <c r="Z1446">
        <v>5.3989980000000003E-3</v>
      </c>
      <c r="AA1446">
        <v>0.99537560000000003</v>
      </c>
      <c r="AB1446">
        <v>12</v>
      </c>
      <c r="AC1446">
        <v>-27.6035</v>
      </c>
      <c r="AD1446">
        <v>-1.1094594105290001</v>
      </c>
      <c r="AE1446">
        <v>0.25889999999998198</v>
      </c>
      <c r="AF1446">
        <v>2.65685078548653</v>
      </c>
      <c r="AG1446">
        <v>-1.1094594105290001</v>
      </c>
      <c r="AH1446">
        <v>27.4318343724545</v>
      </c>
      <c r="AI1446">
        <v>92.305246227647203</v>
      </c>
      <c r="AJ1446">
        <v>84.467996160702796</v>
      </c>
      <c r="AK1446">
        <v>27.5825178930011</v>
      </c>
      <c r="AL1446">
        <v>92.426566911815698</v>
      </c>
      <c r="AM1446">
        <v>84.537720690770897</v>
      </c>
      <c r="AN1446">
        <v>0.99999993934561204</v>
      </c>
    </row>
    <row r="1447" spans="1:40" x14ac:dyDescent="0.25">
      <c r="A1447" t="str">
        <f>"20190312160941437"</f>
        <v>20190312160941437</v>
      </c>
      <c r="B1447" t="str">
        <f>"1552378181427041"</f>
        <v>1552378181427041</v>
      </c>
      <c r="C1447" t="s">
        <v>40</v>
      </c>
      <c r="D1447">
        <v>5.7925019999999998</v>
      </c>
      <c r="E1447">
        <v>0.50059709999999902</v>
      </c>
      <c r="F1447" t="s">
        <v>61</v>
      </c>
      <c r="G1447">
        <v>-241.76159999999999</v>
      </c>
      <c r="H1447" s="1">
        <v>-5.9936669999999899E-7</v>
      </c>
      <c r="I1447">
        <v>284.53640000000001</v>
      </c>
      <c r="J1447">
        <v>-214.6362</v>
      </c>
      <c r="K1447">
        <v>1.109448</v>
      </c>
      <c r="L1447">
        <v>284.25259999999997</v>
      </c>
      <c r="M1447">
        <v>-0.99626539999999997</v>
      </c>
      <c r="N1447">
        <v>0</v>
      </c>
      <c r="O1447">
        <v>-8.5707409999999998E-2</v>
      </c>
      <c r="P1447">
        <v>-0.9985465</v>
      </c>
      <c r="Q1447">
        <v>-5.3111119999999998E-2</v>
      </c>
      <c r="R1447">
        <v>9.1872910000000002E-3</v>
      </c>
      <c r="S1447">
        <v>-2.9976039999999999</v>
      </c>
      <c r="T1447">
        <v>-0.1220506</v>
      </c>
      <c r="U1447">
        <v>3.02124E-2</v>
      </c>
      <c r="V1447">
        <v>9.4703780000000001E-2</v>
      </c>
      <c r="W1447">
        <v>-4.27786E-2</v>
      </c>
      <c r="X1447">
        <v>0.99458590000000002</v>
      </c>
      <c r="Y1447">
        <v>9.5598900000000001E-2</v>
      </c>
      <c r="Z1447">
        <v>5.4308359999999996E-3</v>
      </c>
      <c r="AA1447">
        <v>0.99540510000000004</v>
      </c>
      <c r="AB1447">
        <v>12</v>
      </c>
      <c r="AC1447">
        <v>-27.1253999999999</v>
      </c>
      <c r="AD1447">
        <v>-1.10944859936669</v>
      </c>
      <c r="AE1447">
        <v>0.28380000000004102</v>
      </c>
      <c r="AF1447">
        <v>2.6033760355312601</v>
      </c>
      <c r="AG1447">
        <v>-1.10944859936669</v>
      </c>
      <c r="AH1447">
        <v>26.956162770161299</v>
      </c>
      <c r="AI1447">
        <v>92.345918661966195</v>
      </c>
      <c r="AJ1447">
        <v>84.483588929671299</v>
      </c>
      <c r="AK1447">
        <v>27.104301397904401</v>
      </c>
      <c r="AL1447">
        <v>92.451781507923997</v>
      </c>
      <c r="AM1447">
        <v>84.560734789909901</v>
      </c>
      <c r="AN1447">
        <v>0.99999996352152798</v>
      </c>
    </row>
    <row r="1448" spans="1:40" x14ac:dyDescent="0.25">
      <c r="A1448" t="str">
        <f>"20190312160941462"</f>
        <v>20190312160941462</v>
      </c>
      <c r="B1448" t="str">
        <f>"1552378181457298"</f>
        <v>1552378181457298</v>
      </c>
      <c r="C1448" t="s">
        <v>40</v>
      </c>
      <c r="D1448">
        <v>5.7832800000000004</v>
      </c>
      <c r="E1448">
        <v>0.50017769999999995</v>
      </c>
      <c r="F1448" t="s">
        <v>61</v>
      </c>
      <c r="G1448">
        <v>-241.43279999999999</v>
      </c>
      <c r="H1448" s="1">
        <v>-7.7434749999999998E-7</v>
      </c>
      <c r="I1448">
        <v>284.53829999999999</v>
      </c>
      <c r="J1448">
        <v>-214.76130000000001</v>
      </c>
      <c r="K1448">
        <v>1.109445</v>
      </c>
      <c r="L1448">
        <v>284.24349999999998</v>
      </c>
      <c r="M1448">
        <v>-0.99637940000000003</v>
      </c>
      <c r="N1448">
        <v>0</v>
      </c>
      <c r="O1448">
        <v>-8.4372000000000003E-2</v>
      </c>
      <c r="P1448">
        <v>-0.99847169999999996</v>
      </c>
      <c r="Q1448">
        <v>-5.4343830000000003E-2</v>
      </c>
      <c r="R1448">
        <v>1.0053029999999999E-2</v>
      </c>
      <c r="S1448">
        <v>-2.9974669999999999</v>
      </c>
      <c r="T1448">
        <v>-0.124103</v>
      </c>
      <c r="U1448">
        <v>3.1951899999999998E-2</v>
      </c>
      <c r="V1448">
        <v>9.4227099999999994E-2</v>
      </c>
      <c r="W1448">
        <v>-4.4014169999999998E-2</v>
      </c>
      <c r="X1448">
        <v>0.9945773</v>
      </c>
      <c r="Y1448">
        <v>9.4839419999999994E-2</v>
      </c>
      <c r="Z1448">
        <v>5.451493E-3</v>
      </c>
      <c r="AA1448">
        <v>0.99547770000000002</v>
      </c>
      <c r="AB1448">
        <v>12</v>
      </c>
      <c r="AC1448">
        <v>-26.671499999999899</v>
      </c>
      <c r="AD1448">
        <v>-1.1094457743474999</v>
      </c>
      <c r="AE1448">
        <v>0.294800000000009</v>
      </c>
      <c r="AF1448">
        <v>2.5398056418948598</v>
      </c>
      <c r="AG1448">
        <v>-1.1094457743474999</v>
      </c>
      <c r="AH1448">
        <v>26.5056567644632</v>
      </c>
      <c r="AI1448">
        <v>92.3859114660534</v>
      </c>
      <c r="AJ1448">
        <v>84.526556798457506</v>
      </c>
      <c r="AK1448">
        <v>26.6501655368283</v>
      </c>
      <c r="AL1448">
        <v>92.522641124838898</v>
      </c>
      <c r="AM1448">
        <v>84.587903186045097</v>
      </c>
      <c r="AN1448">
        <v>0.99999999960524399</v>
      </c>
    </row>
    <row r="1449" spans="1:40" x14ac:dyDescent="0.25">
      <c r="A1449" t="str">
        <f>"20190312160941504"</f>
        <v>20190312160941504</v>
      </c>
      <c r="B1449" t="str">
        <f>"1552378181497316"</f>
        <v>1552378181497316</v>
      </c>
      <c r="C1449" t="s">
        <v>40</v>
      </c>
      <c r="D1449">
        <v>5.8032450000000004</v>
      </c>
      <c r="E1449">
        <v>0.49977369999999999</v>
      </c>
      <c r="F1449" t="s">
        <v>61</v>
      </c>
      <c r="G1449">
        <v>-240.24780000000001</v>
      </c>
      <c r="H1449" s="1">
        <v>-1.404949E-6</v>
      </c>
      <c r="I1449">
        <v>284.50920000000002</v>
      </c>
      <c r="J1449">
        <v>-214.98599999999999</v>
      </c>
      <c r="K1449">
        <v>1.109461</v>
      </c>
      <c r="L1449">
        <v>284.22730000000001</v>
      </c>
      <c r="M1449">
        <v>-0.99657229999999997</v>
      </c>
      <c r="N1449">
        <v>0</v>
      </c>
      <c r="O1449">
        <v>-8.2056870000000004E-2</v>
      </c>
      <c r="P1449">
        <v>-0.99829389999999996</v>
      </c>
      <c r="Q1449">
        <v>-5.7203820000000002E-2</v>
      </c>
      <c r="R1449">
        <v>1.170818E-2</v>
      </c>
      <c r="S1449">
        <v>-2.9971770000000002</v>
      </c>
      <c r="T1449">
        <v>-0.13046959999999999</v>
      </c>
      <c r="U1449">
        <v>3.125E-2</v>
      </c>
      <c r="V1449">
        <v>9.3551490000000001E-2</v>
      </c>
      <c r="W1449">
        <v>-4.6831570000000003E-2</v>
      </c>
      <c r="X1449">
        <v>0.99451239999999996</v>
      </c>
      <c r="Y1449">
        <v>9.2282690000000001E-2</v>
      </c>
      <c r="Z1449">
        <v>5.5753419999999996E-3</v>
      </c>
      <c r="AA1449">
        <v>0.99571719999999997</v>
      </c>
      <c r="AB1449">
        <v>12</v>
      </c>
      <c r="AC1449">
        <v>-25.261800000000001</v>
      </c>
      <c r="AD1449">
        <v>-1.1094624049490001</v>
      </c>
      <c r="AE1449">
        <v>0.28190000000000698</v>
      </c>
      <c r="AF1449">
        <v>2.34943669219538</v>
      </c>
      <c r="AG1449">
        <v>-1.1094624049490001</v>
      </c>
      <c r="AH1449">
        <v>25.1050481764232</v>
      </c>
      <c r="AI1449">
        <v>92.519420327475103</v>
      </c>
      <c r="AJ1449">
        <v>84.653590070484</v>
      </c>
      <c r="AK1449">
        <v>25.239140309035001</v>
      </c>
      <c r="AL1449">
        <v>92.684233106335</v>
      </c>
      <c r="AM1449">
        <v>84.626131447142896</v>
      </c>
      <c r="AN1449">
        <v>0.99999999549182195</v>
      </c>
    </row>
    <row r="1450" spans="1:40" x14ac:dyDescent="0.25">
      <c r="A1450" t="str">
        <f>"20190312160941526"</f>
        <v>20190312160941526</v>
      </c>
      <c r="B1450" t="str">
        <f>"1552378181516834"</f>
        <v>1552378181516834</v>
      </c>
      <c r="C1450" t="s">
        <v>40</v>
      </c>
      <c r="D1450">
        <v>5.7131569999999998</v>
      </c>
      <c r="E1450">
        <v>0.49948589999999998</v>
      </c>
      <c r="F1450" t="s">
        <v>61</v>
      </c>
      <c r="G1450">
        <v>-238.46469999999999</v>
      </c>
      <c r="H1450" s="1">
        <v>2.9734530000000002E-6</v>
      </c>
      <c r="I1450">
        <v>284.48509999999999</v>
      </c>
      <c r="J1450">
        <v>-215.10310000000001</v>
      </c>
      <c r="K1450">
        <v>1.10947</v>
      </c>
      <c r="L1450">
        <v>284.21910000000003</v>
      </c>
      <c r="M1450">
        <v>-0.99666779999999999</v>
      </c>
      <c r="N1450">
        <v>0</v>
      </c>
      <c r="O1450">
        <v>-8.0885369999999998E-2</v>
      </c>
      <c r="P1450">
        <v>-0.99824610000000003</v>
      </c>
      <c r="Q1450">
        <v>-5.795115E-2</v>
      </c>
      <c r="R1450">
        <v>1.2111240000000001E-2</v>
      </c>
      <c r="S1450">
        <v>-2.9966279999999998</v>
      </c>
      <c r="T1450">
        <v>-0.14160200000000001</v>
      </c>
      <c r="U1450">
        <v>3.2897950000000002E-2</v>
      </c>
      <c r="V1450">
        <v>9.2780669999999996E-2</v>
      </c>
      <c r="W1450">
        <v>-4.7546339999999999E-2</v>
      </c>
      <c r="X1450">
        <v>0.99455070000000001</v>
      </c>
      <c r="Y1450">
        <v>9.1634289999999993E-2</v>
      </c>
      <c r="Z1450">
        <v>5.9811559999999996E-3</v>
      </c>
      <c r="AA1450">
        <v>0.99577470000000001</v>
      </c>
      <c r="AB1450">
        <v>12</v>
      </c>
      <c r="AC1450">
        <v>-23.3615999999999</v>
      </c>
      <c r="AD1450">
        <v>-1.1094670265469999</v>
      </c>
      <c r="AE1450">
        <v>0.26599999999996199</v>
      </c>
      <c r="AF1450">
        <v>2.1499962601921601</v>
      </c>
      <c r="AG1450">
        <v>-1.1094670265469999</v>
      </c>
      <c r="AH1450">
        <v>23.211184697442501</v>
      </c>
      <c r="AI1450">
        <v>92.724940120516493</v>
      </c>
      <c r="AJ1450">
        <v>84.707930249415199</v>
      </c>
      <c r="AK1450">
        <v>23.3369341615522</v>
      </c>
      <c r="AL1450">
        <v>92.725232070292506</v>
      </c>
      <c r="AM1450">
        <v>84.670357606471995</v>
      </c>
      <c r="AN1450">
        <v>1.00000000102176</v>
      </c>
    </row>
    <row r="1451" spans="1:40" x14ac:dyDescent="0.25">
      <c r="A1451" t="str">
        <f>"20190312160941549"</f>
        <v>20190312160941549</v>
      </c>
      <c r="B1451" t="str">
        <f>"1552378181536357"</f>
        <v>1552378181536357</v>
      </c>
      <c r="C1451" t="s">
        <v>40</v>
      </c>
      <c r="D1451">
        <v>5.7250069999999997</v>
      </c>
      <c r="E1451">
        <v>0.49934240000000002</v>
      </c>
      <c r="F1451" t="s">
        <v>61</v>
      </c>
      <c r="G1451">
        <v>-237.9478</v>
      </c>
      <c r="H1451" s="1">
        <v>2.6993769999999999E-6</v>
      </c>
      <c r="I1451">
        <v>284.46269999999998</v>
      </c>
      <c r="J1451">
        <v>-215.22059999999999</v>
      </c>
      <c r="K1451">
        <v>1.1094740000000001</v>
      </c>
      <c r="L1451">
        <v>284.21100000000001</v>
      </c>
      <c r="M1451">
        <v>-0.9967608</v>
      </c>
      <c r="N1451">
        <v>0</v>
      </c>
      <c r="O1451">
        <v>-7.9726930000000001E-2</v>
      </c>
      <c r="P1451">
        <v>-0.99824210000000002</v>
      </c>
      <c r="Q1451">
        <v>-5.7929870000000001E-2</v>
      </c>
      <c r="R1451">
        <v>1.2539440000000001E-2</v>
      </c>
      <c r="S1451">
        <v>-2.996445</v>
      </c>
      <c r="T1451">
        <v>-0.14552409999999999</v>
      </c>
      <c r="U1451">
        <v>3.1951899999999998E-2</v>
      </c>
      <c r="V1451">
        <v>9.2051910000000001E-2</v>
      </c>
      <c r="W1451">
        <v>-4.7494309999999998E-2</v>
      </c>
      <c r="X1451">
        <v>0.99462090000000003</v>
      </c>
      <c r="Y1451">
        <v>9.0155460000000007E-2</v>
      </c>
      <c r="Z1451">
        <v>6.0550119999999898E-3</v>
      </c>
      <c r="AA1451">
        <v>0.9959093</v>
      </c>
      <c r="AB1451">
        <v>12</v>
      </c>
      <c r="AC1451">
        <v>-22.7272</v>
      </c>
      <c r="AD1451">
        <v>-1.1094713006229999</v>
      </c>
      <c r="AE1451">
        <v>0.251699999999971</v>
      </c>
      <c r="AF1451">
        <v>2.05806566325868</v>
      </c>
      <c r="AG1451">
        <v>-1.1094713006229999</v>
      </c>
      <c r="AH1451">
        <v>22.580971117143498</v>
      </c>
      <c r="AI1451">
        <v>92.801260593453605</v>
      </c>
      <c r="AJ1451">
        <v>84.792359212509595</v>
      </c>
      <c r="AK1451">
        <v>22.701691950919798</v>
      </c>
      <c r="AL1451">
        <v>92.722247604297493</v>
      </c>
      <c r="AM1451">
        <v>84.712352959862898</v>
      </c>
      <c r="AN1451">
        <v>0.99999999916691695</v>
      </c>
    </row>
    <row r="1452" spans="1:40" x14ac:dyDescent="0.25">
      <c r="A1452" t="str">
        <f>"20190312160941571"</f>
        <v>20190312160941571</v>
      </c>
      <c r="B1452" t="str">
        <f>"1552378181556853"</f>
        <v>1552378181556853</v>
      </c>
      <c r="C1452" t="s">
        <v>40</v>
      </c>
      <c r="D1452">
        <v>5.8063219999999998</v>
      </c>
      <c r="E1452">
        <v>0.49904169999999998</v>
      </c>
      <c r="F1452" t="s">
        <v>61</v>
      </c>
      <c r="G1452">
        <v>-237.9701</v>
      </c>
      <c r="H1452" s="1">
        <v>2.711545E-6</v>
      </c>
      <c r="I1452">
        <v>284.45499999999998</v>
      </c>
      <c r="J1452">
        <v>-215.33860000000001</v>
      </c>
      <c r="K1452">
        <v>1.109475</v>
      </c>
      <c r="L1452">
        <v>284.2029</v>
      </c>
      <c r="M1452">
        <v>-0.99685179999999995</v>
      </c>
      <c r="N1452">
        <v>0</v>
      </c>
      <c r="O1452">
        <v>-7.8576690000000005E-2</v>
      </c>
      <c r="P1452">
        <v>-0.99818260000000003</v>
      </c>
      <c r="Q1452">
        <v>-5.8790769999999999E-2</v>
      </c>
      <c r="R1452">
        <v>1.3234650000000001E-2</v>
      </c>
      <c r="S1452">
        <v>-2.9963839999999999</v>
      </c>
      <c r="T1452">
        <v>-0.14613090000000001</v>
      </c>
      <c r="U1452">
        <v>3.2135009999999999E-2</v>
      </c>
      <c r="V1452">
        <v>9.1592170000000001E-2</v>
      </c>
      <c r="W1452">
        <v>-4.8328040000000003E-2</v>
      </c>
      <c r="X1452">
        <v>0.99462320000000004</v>
      </c>
      <c r="Y1452">
        <v>8.906828E-2</v>
      </c>
      <c r="Z1452">
        <v>5.9979179999999997E-3</v>
      </c>
      <c r="AA1452">
        <v>0.99600739999999999</v>
      </c>
      <c r="AB1452">
        <v>12</v>
      </c>
      <c r="AC1452">
        <v>-22.6314999999999</v>
      </c>
      <c r="AD1452">
        <v>-1.1094722884549999</v>
      </c>
      <c r="AE1452">
        <v>0.252099999999984</v>
      </c>
      <c r="AF1452">
        <v>2.0248628324937701</v>
      </c>
      <c r="AG1452">
        <v>-1.1094722884549999</v>
      </c>
      <c r="AH1452">
        <v>22.4876691776212</v>
      </c>
      <c r="AI1452">
        <v>92.813144144973293</v>
      </c>
      <c r="AJ1452">
        <v>84.854777282564996</v>
      </c>
      <c r="AK1452">
        <v>22.605890013255401</v>
      </c>
      <c r="AL1452">
        <v>92.770071686339307</v>
      </c>
      <c r="AM1452">
        <v>84.738624872155199</v>
      </c>
      <c r="AN1452">
        <v>1.0000000175168899</v>
      </c>
    </row>
    <row r="1453" spans="1:40" x14ac:dyDescent="0.25">
      <c r="A1453" t="str">
        <f>"20190312160941615"</f>
        <v>20190312160941615</v>
      </c>
      <c r="B1453" t="str">
        <f>"1552378181606626"</f>
        <v>1552378181606626</v>
      </c>
      <c r="C1453" t="s">
        <v>40</v>
      </c>
      <c r="D1453">
        <v>9.5527370000000005</v>
      </c>
      <c r="E1453">
        <v>0.49875439999999999</v>
      </c>
      <c r="F1453" t="s">
        <v>61</v>
      </c>
      <c r="G1453">
        <v>-237.3784</v>
      </c>
      <c r="H1453" s="1">
        <v>2.3974160000000001E-6</v>
      </c>
      <c r="I1453">
        <v>284.43790000000001</v>
      </c>
      <c r="J1453">
        <v>-215.57390000000001</v>
      </c>
      <c r="K1453">
        <v>1.109486</v>
      </c>
      <c r="L1453">
        <v>284.18720000000002</v>
      </c>
      <c r="M1453">
        <v>-0.997027</v>
      </c>
      <c r="N1453">
        <v>0</v>
      </c>
      <c r="O1453">
        <v>-7.6317060000000006E-2</v>
      </c>
      <c r="P1453">
        <v>-0.99812820000000002</v>
      </c>
      <c r="Q1453">
        <v>-5.8994520000000002E-2</v>
      </c>
      <c r="R1453">
        <v>1.6130889999999998E-2</v>
      </c>
      <c r="S1453">
        <v>-2.9961549999999999</v>
      </c>
      <c r="T1453">
        <v>-0.1508253</v>
      </c>
      <c r="U1453">
        <v>3.1951899999999998E-2</v>
      </c>
      <c r="V1453">
        <v>9.2221929999999994E-2</v>
      </c>
      <c r="W1453">
        <v>-4.8485460000000001E-2</v>
      </c>
      <c r="X1453">
        <v>0.99455729999999998</v>
      </c>
      <c r="Y1453">
        <v>8.6743269999999997E-2</v>
      </c>
      <c r="Z1453">
        <v>6.0189010000000001E-3</v>
      </c>
      <c r="AA1453">
        <v>0.99621249999999995</v>
      </c>
      <c r="AB1453">
        <v>12</v>
      </c>
      <c r="AC1453">
        <v>-21.804499999999901</v>
      </c>
      <c r="AD1453">
        <v>-1.109483602584</v>
      </c>
      <c r="AE1453">
        <v>0.25069999999999398</v>
      </c>
      <c r="AF1453">
        <v>1.9091756266263</v>
      </c>
      <c r="AG1453">
        <v>-1.109483602584</v>
      </c>
      <c r="AH1453">
        <v>21.665681122128401</v>
      </c>
      <c r="AI1453">
        <v>92.9202177473028</v>
      </c>
      <c r="AJ1453">
        <v>84.964114836233193</v>
      </c>
      <c r="AK1453">
        <v>21.777916427506501</v>
      </c>
      <c r="AL1453">
        <v>92.779101895879805</v>
      </c>
      <c r="AM1453">
        <v>84.702305350581796</v>
      </c>
      <c r="AN1453">
        <v>0.99999997359381199</v>
      </c>
    </row>
    <row r="1454" spans="1:40" x14ac:dyDescent="0.25">
      <c r="A1454" t="str">
        <f>"20190312160941637"</f>
        <v>20190312160941637</v>
      </c>
      <c r="B1454" t="str">
        <f>"1552378181627122"</f>
        <v>1552378181627122</v>
      </c>
      <c r="C1454" t="s">
        <v>40</v>
      </c>
      <c r="D1454">
        <v>5.9149849999999997</v>
      </c>
      <c r="E1454">
        <v>0.49850519999999998</v>
      </c>
      <c r="F1454" t="s">
        <v>61</v>
      </c>
      <c r="G1454">
        <v>-237.2199</v>
      </c>
      <c r="H1454" s="1">
        <v>2.3119299999999998E-6</v>
      </c>
      <c r="I1454">
        <v>284.46429999999998</v>
      </c>
      <c r="J1454">
        <v>-215.69370000000001</v>
      </c>
      <c r="K1454">
        <v>1.1094900000000001</v>
      </c>
      <c r="L1454">
        <v>284.17939999999999</v>
      </c>
      <c r="M1454">
        <v>-0.99711280000000002</v>
      </c>
      <c r="N1454">
        <v>0</v>
      </c>
      <c r="O1454">
        <v>-7.5182180000000001E-2</v>
      </c>
      <c r="P1454">
        <v>-0.99819460000000004</v>
      </c>
      <c r="Q1454">
        <v>-5.7542679999999999E-2</v>
      </c>
      <c r="R1454">
        <v>1.7226289999999998E-2</v>
      </c>
      <c r="S1454">
        <v>-2.9959410000000002</v>
      </c>
      <c r="T1454">
        <v>-0.15355920000000001</v>
      </c>
      <c r="U1454">
        <v>3.8360600000000002E-2</v>
      </c>
      <c r="V1454">
        <v>9.2188820000000005E-2</v>
      </c>
      <c r="W1454">
        <v>-4.7011839999999999E-2</v>
      </c>
      <c r="X1454">
        <v>0.99463120000000005</v>
      </c>
      <c r="Y1454">
        <v>8.7733459999999999E-2</v>
      </c>
      <c r="Z1454">
        <v>6.0956409999999997E-3</v>
      </c>
      <c r="AA1454">
        <v>0.99612529999999999</v>
      </c>
      <c r="AB1454">
        <v>12</v>
      </c>
      <c r="AC1454">
        <v>-21.5261999999999</v>
      </c>
      <c r="AD1454">
        <v>-1.10948768806999</v>
      </c>
      <c r="AE1454">
        <v>0.28489999999999299</v>
      </c>
      <c r="AF1454">
        <v>1.8975323312399901</v>
      </c>
      <c r="AG1454">
        <v>-1.10948768806999</v>
      </c>
      <c r="AH1454">
        <v>21.387044524003102</v>
      </c>
      <c r="AI1454">
        <v>92.958050532994093</v>
      </c>
      <c r="AJ1454">
        <v>84.929797036514898</v>
      </c>
      <c r="AK1454">
        <v>21.499703843303799</v>
      </c>
      <c r="AL1454">
        <v>92.694573037381005</v>
      </c>
      <c r="AM1454">
        <v>84.704587775879503</v>
      </c>
      <c r="AN1454">
        <v>1.0000000578232999</v>
      </c>
    </row>
    <row r="1455" spans="1:40" x14ac:dyDescent="0.25">
      <c r="A1455" t="str">
        <f>"20190312160941661"</f>
        <v>20190312160941661</v>
      </c>
      <c r="B1455" t="str">
        <f>"1552378181656401"</f>
        <v>1552378181656401</v>
      </c>
      <c r="C1455" t="s">
        <v>40</v>
      </c>
      <c r="D1455">
        <v>5.9325199999999896</v>
      </c>
      <c r="E1455">
        <v>0.4980851</v>
      </c>
      <c r="F1455" t="s">
        <v>61</v>
      </c>
      <c r="G1455">
        <v>-237.89359999999999</v>
      </c>
      <c r="H1455" s="1">
        <v>2.670082E-6</v>
      </c>
      <c r="I1455">
        <v>284.47239999999999</v>
      </c>
      <c r="J1455">
        <v>-215.8169</v>
      </c>
      <c r="K1455">
        <v>1.1094900000000001</v>
      </c>
      <c r="L1455">
        <v>284.17140000000001</v>
      </c>
      <c r="M1455">
        <v>-0.9971991</v>
      </c>
      <c r="N1455">
        <v>0</v>
      </c>
      <c r="O1455">
        <v>-7.402657E-2</v>
      </c>
      <c r="P1455">
        <v>-0.99819829999999998</v>
      </c>
      <c r="Q1455">
        <v>-5.6961390000000001E-2</v>
      </c>
      <c r="R1455">
        <v>1.885775E-2</v>
      </c>
      <c r="S1455">
        <v>-2.9960939999999998</v>
      </c>
      <c r="T1455">
        <v>-0.14973590000000001</v>
      </c>
      <c r="U1455">
        <v>3.9550780000000001E-2</v>
      </c>
      <c r="V1455">
        <v>9.2664479999999994E-2</v>
      </c>
      <c r="W1455">
        <v>-4.6411880000000003E-2</v>
      </c>
      <c r="X1455">
        <v>0.99461509999999997</v>
      </c>
      <c r="Y1455">
        <v>8.6986910000000001E-2</v>
      </c>
      <c r="Z1455">
        <v>5.8675069999999897E-3</v>
      </c>
      <c r="AA1455">
        <v>0.99619219999999997</v>
      </c>
      <c r="AB1455">
        <v>12</v>
      </c>
      <c r="AC1455">
        <v>-22.076699999999899</v>
      </c>
      <c r="AD1455">
        <v>-1.1094873299179999</v>
      </c>
      <c r="AE1455">
        <v>0.300999999999987</v>
      </c>
      <c r="AF1455">
        <v>1.9296568314846301</v>
      </c>
      <c r="AG1455">
        <v>-1.1094873299179999</v>
      </c>
      <c r="AH1455">
        <v>21.9384383698462</v>
      </c>
      <c r="AI1455">
        <v>92.884023225281894</v>
      </c>
      <c r="AJ1455">
        <v>84.973325580939104</v>
      </c>
      <c r="AK1455">
        <v>22.051068358020299</v>
      </c>
      <c r="AL1455">
        <v>92.660160497920302</v>
      </c>
      <c r="AM1455">
        <v>84.677336277188701</v>
      </c>
      <c r="AN1455">
        <v>0.99999998280340696</v>
      </c>
    </row>
    <row r="1456" spans="1:40" x14ac:dyDescent="0.25">
      <c r="A1456" t="str">
        <f>"20190312160941683"</f>
        <v>20190312160941683</v>
      </c>
      <c r="B1456" t="str">
        <f>"1552378181676897"</f>
        <v>1552378181676897</v>
      </c>
      <c r="C1456" t="s">
        <v>40</v>
      </c>
      <c r="D1456">
        <v>5.8034089999999896</v>
      </c>
      <c r="E1456">
        <v>0.4979594</v>
      </c>
      <c r="F1456" t="s">
        <v>61</v>
      </c>
      <c r="G1456">
        <v>-238.12119999999999</v>
      </c>
      <c r="H1456" s="1">
        <v>2.7910079999999998E-6</v>
      </c>
      <c r="I1456">
        <v>284.47719999999998</v>
      </c>
      <c r="J1456">
        <v>-215.9349</v>
      </c>
      <c r="K1456">
        <v>1.109488</v>
      </c>
      <c r="L1456">
        <v>284.16399999999999</v>
      </c>
      <c r="M1456">
        <v>-0.99727949999999999</v>
      </c>
      <c r="N1456">
        <v>0</v>
      </c>
      <c r="O1456">
        <v>-7.2932940000000002E-2</v>
      </c>
      <c r="P1456">
        <v>-0.99820730000000002</v>
      </c>
      <c r="Q1456">
        <v>-5.6426299999999999E-2</v>
      </c>
      <c r="R1456">
        <v>1.9958210000000001E-2</v>
      </c>
      <c r="S1456">
        <v>-2.99614</v>
      </c>
      <c r="T1456">
        <v>-0.14903710000000001</v>
      </c>
      <c r="U1456">
        <v>4.1076660000000001E-2</v>
      </c>
      <c r="V1456">
        <v>9.2673030000000003E-2</v>
      </c>
      <c r="W1456">
        <v>-4.5859940000000002E-2</v>
      </c>
      <c r="X1456">
        <v>0.99463990000000002</v>
      </c>
      <c r="Y1456">
        <v>8.6405419999999997E-2</v>
      </c>
      <c r="Z1456">
        <v>5.771343E-3</v>
      </c>
      <c r="AA1456">
        <v>0.9962434</v>
      </c>
      <c r="AB1456">
        <v>12</v>
      </c>
      <c r="AC1456">
        <v>-22.1862999999999</v>
      </c>
      <c r="AD1456">
        <v>-1.109485208992</v>
      </c>
      <c r="AE1456">
        <v>0.31319999999999398</v>
      </c>
      <c r="AF1456">
        <v>1.9257555367467301</v>
      </c>
      <c r="AG1456">
        <v>-1.109485208992</v>
      </c>
      <c r="AH1456">
        <v>22.049234797926701</v>
      </c>
      <c r="AI1456">
        <v>92.869704167225507</v>
      </c>
      <c r="AJ1456">
        <v>85.0085167182216</v>
      </c>
      <c r="AK1456">
        <v>22.160962230697098</v>
      </c>
      <c r="AL1456">
        <v>92.628502968196898</v>
      </c>
      <c r="AM1456">
        <v>84.676979947960405</v>
      </c>
      <c r="AN1456">
        <v>0.99999997762909698</v>
      </c>
    </row>
    <row r="1457" spans="1:40" x14ac:dyDescent="0.25">
      <c r="A1457" t="str">
        <f>"20190312160941706"</f>
        <v>20190312160941706</v>
      </c>
      <c r="B1457" t="str">
        <f>"1552378181696418"</f>
        <v>1552378181696418</v>
      </c>
      <c r="C1457" t="s">
        <v>40</v>
      </c>
      <c r="D1457">
        <v>5.986542</v>
      </c>
      <c r="E1457">
        <v>0.49767529999999999</v>
      </c>
      <c r="F1457" t="s">
        <v>61</v>
      </c>
      <c r="G1457">
        <v>-238.45359999999999</v>
      </c>
      <c r="H1457" s="1">
        <v>2.9672160000000002E-6</v>
      </c>
      <c r="I1457">
        <v>284.49169999999998</v>
      </c>
      <c r="J1457">
        <v>-216.05289999999999</v>
      </c>
      <c r="K1457">
        <v>1.1094949999999999</v>
      </c>
      <c r="L1457">
        <v>284.15660000000003</v>
      </c>
      <c r="M1457">
        <v>-0.99735779999999996</v>
      </c>
      <c r="N1457">
        <v>0</v>
      </c>
      <c r="O1457">
        <v>-7.1854349999999997E-2</v>
      </c>
      <c r="P1457">
        <v>-0.99816329999999998</v>
      </c>
      <c r="Q1457">
        <v>-5.6736059999999998E-2</v>
      </c>
      <c r="R1457">
        <v>2.1245739999999999E-2</v>
      </c>
      <c r="S1457">
        <v>-2.9961850000000001</v>
      </c>
      <c r="T1457">
        <v>-0.1476208</v>
      </c>
      <c r="U1457">
        <v>4.3609620000000002E-2</v>
      </c>
      <c r="V1457">
        <v>9.2879219999999998E-2</v>
      </c>
      <c r="W1457">
        <v>-4.6158770000000002E-2</v>
      </c>
      <c r="X1457">
        <v>0.99460689999999996</v>
      </c>
      <c r="Y1457">
        <v>8.6175150000000006E-2</v>
      </c>
      <c r="Z1457">
        <v>5.6577819999999897E-3</v>
      </c>
      <c r="AA1457">
        <v>0.99626389999999998</v>
      </c>
      <c r="AB1457">
        <v>12</v>
      </c>
      <c r="AC1457">
        <v>-22.400700000000001</v>
      </c>
      <c r="AD1457">
        <v>-1.1094920327840001</v>
      </c>
      <c r="AE1457">
        <v>0.33509999999995399</v>
      </c>
      <c r="AF1457">
        <v>1.93915751192632</v>
      </c>
      <c r="AG1457">
        <v>-1.1094920327840001</v>
      </c>
      <c r="AH1457">
        <v>22.264105714159399</v>
      </c>
      <c r="AI1457">
        <v>92.842130907371498</v>
      </c>
      <c r="AJ1457">
        <v>85.022218100454495</v>
      </c>
      <c r="AK1457">
        <v>22.375918029840399</v>
      </c>
      <c r="AL1457">
        <v>92.6456426693548</v>
      </c>
      <c r="AM1457">
        <v>84.665028933041398</v>
      </c>
      <c r="AN1457">
        <v>1.0000000335416599</v>
      </c>
    </row>
    <row r="1458" spans="1:40" x14ac:dyDescent="0.25">
      <c r="A1458" t="str">
        <f>"20190312160941726"</f>
        <v>20190312160941726</v>
      </c>
      <c r="B1458" t="str">
        <f>"1552378181716914"</f>
        <v>1552378181716914</v>
      </c>
      <c r="C1458" t="s">
        <v>40</v>
      </c>
      <c r="D1458">
        <v>5.8359709999999998</v>
      </c>
      <c r="E1458">
        <v>0.49740020000000001</v>
      </c>
      <c r="F1458" t="s">
        <v>61</v>
      </c>
      <c r="G1458">
        <v>-238.39660000000001</v>
      </c>
      <c r="H1458" s="1">
        <v>2.9368640000000001E-6</v>
      </c>
      <c r="I1458">
        <v>284.49299999999999</v>
      </c>
      <c r="J1458">
        <v>-216.16810000000001</v>
      </c>
      <c r="K1458">
        <v>1.109497</v>
      </c>
      <c r="L1458">
        <v>284.14960000000002</v>
      </c>
      <c r="M1458">
        <v>-0.99743159999999997</v>
      </c>
      <c r="N1458">
        <v>0</v>
      </c>
      <c r="O1458">
        <v>-7.0819850000000004E-2</v>
      </c>
      <c r="P1458">
        <v>-0.99814539999999996</v>
      </c>
      <c r="Q1458">
        <v>-5.664164E-2</v>
      </c>
      <c r="R1458">
        <v>2.2307759999999999E-2</v>
      </c>
      <c r="S1458">
        <v>-2.9960939999999998</v>
      </c>
      <c r="T1458">
        <v>-0.14877319999999999</v>
      </c>
      <c r="U1458">
        <v>4.5104980000000003E-2</v>
      </c>
      <c r="V1458">
        <v>9.2907030000000002E-2</v>
      </c>
      <c r="W1458">
        <v>-4.6059469999999998E-2</v>
      </c>
      <c r="X1458">
        <v>0.99460890000000002</v>
      </c>
      <c r="Y1458">
        <v>8.5638309999999995E-2</v>
      </c>
      <c r="Z1458">
        <v>5.6374930000000004E-3</v>
      </c>
      <c r="AA1458">
        <v>0.99631040000000004</v>
      </c>
      <c r="AB1458">
        <v>12</v>
      </c>
      <c r="AC1458">
        <v>-22.2285</v>
      </c>
      <c r="AD1458">
        <v>-1.109494063136</v>
      </c>
      <c r="AE1458">
        <v>0.343399999999974</v>
      </c>
      <c r="AF1458">
        <v>1.91208455212533</v>
      </c>
      <c r="AG1458">
        <v>-1.109494063136</v>
      </c>
      <c r="AH1458">
        <v>22.093331164689602</v>
      </c>
      <c r="AI1458">
        <v>92.864204535132203</v>
      </c>
      <c r="AJ1458">
        <v>85.053617320833993</v>
      </c>
      <c r="AK1458">
        <v>22.203655698178501</v>
      </c>
      <c r="AL1458">
        <v>92.639947156939499</v>
      </c>
      <c r="AM1458">
        <v>84.663451420149102</v>
      </c>
      <c r="AN1458">
        <v>1.0000000274796501</v>
      </c>
    </row>
    <row r="1459" spans="1:40" x14ac:dyDescent="0.25">
      <c r="A1459" t="str">
        <f>"20190312160941750"</f>
        <v>20190312160941750</v>
      </c>
      <c r="B1459" t="str">
        <f>"1552378181736434"</f>
        <v>1552378181736434</v>
      </c>
      <c r="C1459" t="s">
        <v>40</v>
      </c>
      <c r="D1459">
        <v>5.8919319999999997</v>
      </c>
      <c r="E1459">
        <v>0.49712889999999998</v>
      </c>
      <c r="F1459" t="s">
        <v>61</v>
      </c>
      <c r="G1459">
        <v>-238.43989999999999</v>
      </c>
      <c r="H1459" s="1">
        <v>2.9598789999999999E-6</v>
      </c>
      <c r="I1459">
        <v>284.49329999999998</v>
      </c>
      <c r="J1459">
        <v>-216.29159999999999</v>
      </c>
      <c r="K1459">
        <v>1.1094999999999999</v>
      </c>
      <c r="L1459">
        <v>284.1422</v>
      </c>
      <c r="M1459">
        <v>-0.99750850000000002</v>
      </c>
      <c r="N1459">
        <v>0</v>
      </c>
      <c r="O1459">
        <v>-6.9728719999999994E-2</v>
      </c>
      <c r="P1459">
        <v>-0.99809829999999999</v>
      </c>
      <c r="Q1459">
        <v>-5.7006420000000002E-2</v>
      </c>
      <c r="R1459">
        <v>2.34545E-2</v>
      </c>
      <c r="S1459">
        <v>-2.9960629999999999</v>
      </c>
      <c r="T1459">
        <v>-0.1492522</v>
      </c>
      <c r="U1459">
        <v>4.6234129999999998E-2</v>
      </c>
      <c r="V1459">
        <v>9.2960539999999994E-2</v>
      </c>
      <c r="W1459">
        <v>-4.642375E-2</v>
      </c>
      <c r="X1459">
        <v>0.99458690000000005</v>
      </c>
      <c r="Y1459">
        <v>8.4924970000000002E-2</v>
      </c>
      <c r="Z1459">
        <v>5.5836820000000004E-3</v>
      </c>
      <c r="AA1459">
        <v>0.99637169999999997</v>
      </c>
      <c r="AB1459">
        <v>12</v>
      </c>
      <c r="AC1459">
        <v>-22.148299999999999</v>
      </c>
      <c r="AD1459">
        <v>-1.109497040121</v>
      </c>
      <c r="AE1459">
        <v>0.35109999999997399</v>
      </c>
      <c r="AF1459">
        <v>1.8899650019765799</v>
      </c>
      <c r="AG1459">
        <v>-1.109497040121</v>
      </c>
      <c r="AH1459">
        <v>22.0146715381014</v>
      </c>
      <c r="AI1459">
        <v>92.874599841026395</v>
      </c>
      <c r="AJ1459">
        <v>85.093174410078603</v>
      </c>
      <c r="AK1459">
        <v>22.123487842589999</v>
      </c>
      <c r="AL1459">
        <v>92.660841382483895</v>
      </c>
      <c r="AM1459">
        <v>84.660278156088296</v>
      </c>
      <c r="AN1459">
        <v>0.99999996410638103</v>
      </c>
    </row>
    <row r="1460" spans="1:40" x14ac:dyDescent="0.25">
      <c r="A1460" t="str">
        <f>"20190312160941772"</f>
        <v>20190312160941772</v>
      </c>
      <c r="B1460" t="str">
        <f>"1552378181766690"</f>
        <v>1552378181766690</v>
      </c>
      <c r="C1460" t="s">
        <v>40</v>
      </c>
      <c r="D1460">
        <v>5.9329640000000001</v>
      </c>
      <c r="E1460">
        <v>0.49674279999999998</v>
      </c>
      <c r="F1460" t="s">
        <v>61</v>
      </c>
      <c r="G1460">
        <v>-238.28149999999999</v>
      </c>
      <c r="H1460" s="1">
        <v>2.8756879999999999E-6</v>
      </c>
      <c r="I1460">
        <v>284.49090000000001</v>
      </c>
      <c r="J1460">
        <v>-216.41319999999999</v>
      </c>
      <c r="K1460">
        <v>1.1095090000000001</v>
      </c>
      <c r="L1460">
        <v>284.13490000000002</v>
      </c>
      <c r="M1460">
        <v>-0.99758170000000002</v>
      </c>
      <c r="N1460">
        <v>0</v>
      </c>
      <c r="O1460">
        <v>-6.8675009999999995E-2</v>
      </c>
      <c r="P1460">
        <v>-0.99806010000000001</v>
      </c>
      <c r="Q1460">
        <v>-5.7229080000000002E-2</v>
      </c>
      <c r="R1460">
        <v>2.4521000000000001E-2</v>
      </c>
      <c r="S1460">
        <v>-2.9959560000000001</v>
      </c>
      <c r="T1460">
        <v>-0.15116099999999999</v>
      </c>
      <c r="U1460">
        <v>4.7515870000000002E-2</v>
      </c>
      <c r="V1460">
        <v>9.297271E-2</v>
      </c>
      <c r="W1460">
        <v>-4.6647040000000001E-2</v>
      </c>
      <c r="X1460">
        <v>0.99457530000000005</v>
      </c>
      <c r="Y1460">
        <v>8.4296380000000004E-2</v>
      </c>
      <c r="Z1460">
        <v>5.5862999999999998E-3</v>
      </c>
      <c r="AA1460">
        <v>0.99642509999999995</v>
      </c>
      <c r="AB1460">
        <v>12</v>
      </c>
      <c r="AC1460">
        <v>-21.868300000000001</v>
      </c>
      <c r="AD1460">
        <v>-1.1095061243119999</v>
      </c>
      <c r="AE1460">
        <v>0.35599999999999399</v>
      </c>
      <c r="AF1460">
        <v>1.8522843755151599</v>
      </c>
      <c r="AG1460">
        <v>-1.1095061243119999</v>
      </c>
      <c r="AH1460">
        <v>21.7362781323286</v>
      </c>
      <c r="AI1460">
        <v>92.911534393087294</v>
      </c>
      <c r="AJ1460">
        <v>85.129235279278205</v>
      </c>
      <c r="AK1460">
        <v>21.843254068329902</v>
      </c>
      <c r="AL1460">
        <v>92.673648872364893</v>
      </c>
      <c r="AM1460">
        <v>84.659521217230804</v>
      </c>
      <c r="AN1460">
        <v>0.99999994925779601</v>
      </c>
    </row>
    <row r="1461" spans="1:40" x14ac:dyDescent="0.25">
      <c r="A1461" t="str">
        <f>"20190312160941795"</f>
        <v>20190312160941795</v>
      </c>
      <c r="B1461" t="str">
        <f>"1552378181787186"</f>
        <v>1552378181787186</v>
      </c>
      <c r="C1461" t="s">
        <v>40</v>
      </c>
      <c r="D1461">
        <v>5.9280499999999998</v>
      </c>
      <c r="E1461">
        <v>0.49649890000000002</v>
      </c>
      <c r="F1461" t="s">
        <v>61</v>
      </c>
      <c r="G1461">
        <v>-238.13249999999999</v>
      </c>
      <c r="H1461" s="1">
        <v>2.796876E-6</v>
      </c>
      <c r="I1461">
        <v>284.48</v>
      </c>
      <c r="J1461">
        <v>-216.53659999999999</v>
      </c>
      <c r="K1461">
        <v>1.109518</v>
      </c>
      <c r="L1461">
        <v>284.12759999999997</v>
      </c>
      <c r="M1461">
        <v>-0.99765289999999995</v>
      </c>
      <c r="N1461">
        <v>0</v>
      </c>
      <c r="O1461">
        <v>-6.7630739999999995E-2</v>
      </c>
      <c r="P1461">
        <v>-0.99804970000000004</v>
      </c>
      <c r="Q1461">
        <v>-5.6809060000000002E-2</v>
      </c>
      <c r="R1461">
        <v>2.588099E-2</v>
      </c>
      <c r="S1461">
        <v>-2.995911</v>
      </c>
      <c r="T1461">
        <v>-0.15304300000000001</v>
      </c>
      <c r="U1461">
        <v>4.7607419999999998E-2</v>
      </c>
      <c r="V1461">
        <v>9.3289590000000006E-2</v>
      </c>
      <c r="W1461">
        <v>-4.6227820000000003E-2</v>
      </c>
      <c r="X1461">
        <v>0.99456520000000004</v>
      </c>
      <c r="Y1461">
        <v>8.3281820000000006E-2</v>
      </c>
      <c r="Z1461">
        <v>5.5767239999999999E-3</v>
      </c>
      <c r="AA1461">
        <v>0.99651040000000002</v>
      </c>
      <c r="AB1461">
        <v>12</v>
      </c>
      <c r="AC1461">
        <v>-21.5959</v>
      </c>
      <c r="AD1461">
        <v>-1.1095152031240001</v>
      </c>
      <c r="AE1461">
        <v>0.35240000000004501</v>
      </c>
      <c r="AF1461">
        <v>1.80745405160413</v>
      </c>
      <c r="AG1461">
        <v>-1.1095152031240001</v>
      </c>
      <c r="AH1461">
        <v>21.465969710048299</v>
      </c>
      <c r="AI1461">
        <v>92.948408779276093</v>
      </c>
      <c r="AJ1461">
        <v>85.1869965512535</v>
      </c>
      <c r="AK1461">
        <v>21.5704837620146</v>
      </c>
      <c r="AL1461">
        <v>92.649603397373198</v>
      </c>
      <c r="AM1461">
        <v>84.641370875724803</v>
      </c>
      <c r="AN1461">
        <v>0.999999947997679</v>
      </c>
    </row>
    <row r="1462" spans="1:40" x14ac:dyDescent="0.25">
      <c r="A1462" t="str">
        <f>"20190312160941840"</f>
        <v>20190312160941840</v>
      </c>
      <c r="B1462" t="str">
        <f>"1552378181836962"</f>
        <v>1552378181836962</v>
      </c>
      <c r="C1462" t="s">
        <v>40</v>
      </c>
      <c r="D1462">
        <v>5.8017830000000004</v>
      </c>
      <c r="E1462">
        <v>0.49611719999999998</v>
      </c>
      <c r="F1462" t="s">
        <v>61</v>
      </c>
      <c r="G1462">
        <v>-238.27780000000001</v>
      </c>
      <c r="H1462" s="1">
        <v>2.8738649999999998E-6</v>
      </c>
      <c r="I1462">
        <v>284.48820000000001</v>
      </c>
      <c r="J1462">
        <v>-216.77719999999999</v>
      </c>
      <c r="K1462">
        <v>1.1095429999999999</v>
      </c>
      <c r="L1462">
        <v>284.11380000000003</v>
      </c>
      <c r="M1462">
        <v>-0.99778310000000003</v>
      </c>
      <c r="N1462">
        <v>0</v>
      </c>
      <c r="O1462">
        <v>-6.5682199999999996E-2</v>
      </c>
      <c r="P1462">
        <v>-0.99808450000000004</v>
      </c>
      <c r="Q1462">
        <v>-5.5275280000000003E-2</v>
      </c>
      <c r="R1462">
        <v>2.779098E-2</v>
      </c>
      <c r="S1462">
        <v>-2.9958650000000002</v>
      </c>
      <c r="T1462">
        <v>-0.1528872</v>
      </c>
      <c r="U1462">
        <v>4.9682619999999997E-2</v>
      </c>
      <c r="V1462">
        <v>9.3259949999999994E-2</v>
      </c>
      <c r="W1462">
        <v>-4.4693370000000003E-2</v>
      </c>
      <c r="X1462">
        <v>0.99463809999999997</v>
      </c>
      <c r="Y1462">
        <v>8.2030459999999999E-2</v>
      </c>
      <c r="Z1462">
        <v>5.439986E-3</v>
      </c>
      <c r="AA1462">
        <v>0.99661500000000003</v>
      </c>
      <c r="AB1462">
        <v>12</v>
      </c>
      <c r="AC1462">
        <v>-21.500599999999999</v>
      </c>
      <c r="AD1462">
        <v>-1.109540126135</v>
      </c>
      <c r="AE1462">
        <v>0.37439999999998003</v>
      </c>
      <c r="AF1462">
        <v>1.78113727507094</v>
      </c>
      <c r="AG1462">
        <v>-1.109540126135</v>
      </c>
      <c r="AH1462">
        <v>21.372673318497299</v>
      </c>
      <c r="AI1462">
        <v>92.961535179897396</v>
      </c>
      <c r="AJ1462">
        <v>85.236142222601799</v>
      </c>
      <c r="AK1462">
        <v>21.4754439782593</v>
      </c>
      <c r="AL1462">
        <v>92.561594925098007</v>
      </c>
      <c r="AM1462">
        <v>84.643453857077304</v>
      </c>
      <c r="AN1462">
        <v>0.99999993278378196</v>
      </c>
    </row>
    <row r="1463" spans="1:40" x14ac:dyDescent="0.25">
      <c r="A1463" t="str">
        <f>"20190312160941864"</f>
        <v>20190312160941864</v>
      </c>
      <c r="B1463" t="str">
        <f>"1552378181856481"</f>
        <v>1552378181856481</v>
      </c>
      <c r="C1463" t="s">
        <v>40</v>
      </c>
      <c r="D1463">
        <v>5.8057179999999997</v>
      </c>
      <c r="E1463">
        <v>0.48394229999999999</v>
      </c>
      <c r="F1463" t="s">
        <v>61</v>
      </c>
      <c r="G1463">
        <v>-239.10220000000001</v>
      </c>
      <c r="H1463" s="1">
        <v>3.3118440000000002E-6</v>
      </c>
      <c r="I1463">
        <v>284.50400000000002</v>
      </c>
      <c r="J1463">
        <v>-216.904</v>
      </c>
      <c r="K1463">
        <v>1.109556</v>
      </c>
      <c r="L1463">
        <v>284.10660000000001</v>
      </c>
      <c r="M1463">
        <v>-0.99784720000000005</v>
      </c>
      <c r="N1463">
        <v>0</v>
      </c>
      <c r="O1463">
        <v>-6.4703549999999999E-2</v>
      </c>
      <c r="P1463">
        <v>-0.99813339999999995</v>
      </c>
      <c r="Q1463">
        <v>-5.4060299999999999E-2</v>
      </c>
      <c r="R1463">
        <v>2.8422800000000002E-2</v>
      </c>
      <c r="S1463">
        <v>-2.9960330000000002</v>
      </c>
      <c r="T1463">
        <v>-0.14890100000000001</v>
      </c>
      <c r="U1463">
        <v>5.2368159999999997E-2</v>
      </c>
      <c r="V1463">
        <v>9.2920740000000002E-2</v>
      </c>
      <c r="W1463">
        <v>-4.3477000000000002E-2</v>
      </c>
      <c r="X1463">
        <v>0.99472380000000005</v>
      </c>
      <c r="Y1463">
        <v>8.1956329999999994E-2</v>
      </c>
      <c r="Z1463">
        <v>5.2476279999999998E-3</v>
      </c>
      <c r="AA1463">
        <v>0.99662209999999996</v>
      </c>
      <c r="AB1463">
        <v>12</v>
      </c>
      <c r="AC1463">
        <v>-22.1981999999999</v>
      </c>
      <c r="AD1463">
        <v>-1.1095526881559901</v>
      </c>
      <c r="AE1463">
        <v>0.39740000000000397</v>
      </c>
      <c r="AF1463">
        <v>1.82838512676554</v>
      </c>
      <c r="AG1463">
        <v>-1.1095526881559901</v>
      </c>
      <c r="AH1463">
        <v>22.070840429700301</v>
      </c>
      <c r="AI1463">
        <v>92.8681613523934</v>
      </c>
      <c r="AJ1463">
        <v>85.264335795681802</v>
      </c>
      <c r="AK1463">
        <v>22.174221443217899</v>
      </c>
      <c r="AL1463">
        <v>92.491834118266993</v>
      </c>
      <c r="AM1463">
        <v>84.663281422326904</v>
      </c>
      <c r="AN1463">
        <v>0.99999997586879297</v>
      </c>
    </row>
    <row r="1464" spans="1:40" x14ac:dyDescent="0.25">
      <c r="A1464" t="str">
        <f>"20190312160941885"</f>
        <v>20190312160941885</v>
      </c>
      <c r="B1464" t="str">
        <f>"1552378181876978"</f>
        <v>1552378181876978</v>
      </c>
      <c r="C1464" t="s">
        <v>40</v>
      </c>
      <c r="D1464">
        <v>5.7989059999999997</v>
      </c>
      <c r="E1464">
        <v>0.48407519999999998</v>
      </c>
      <c r="F1464" t="s">
        <v>61</v>
      </c>
      <c r="G1464">
        <v>-235.40459999999999</v>
      </c>
      <c r="H1464" s="1">
        <v>1.373092E-6</v>
      </c>
      <c r="I1464">
        <v>283.84210000000002</v>
      </c>
      <c r="J1464">
        <v>-217.0197</v>
      </c>
      <c r="K1464">
        <v>1.1095759999999999</v>
      </c>
      <c r="L1464">
        <v>284.10019999999997</v>
      </c>
      <c r="M1464">
        <v>-0.99790290000000004</v>
      </c>
      <c r="N1464">
        <v>0</v>
      </c>
      <c r="O1464">
        <v>-6.3839320000000005E-2</v>
      </c>
      <c r="P1464">
        <v>-0.99819210000000003</v>
      </c>
      <c r="Q1464">
        <v>-5.273949E-2</v>
      </c>
      <c r="R1464">
        <v>2.8838340000000001E-2</v>
      </c>
      <c r="S1464">
        <v>-2.9971160000000001</v>
      </c>
      <c r="T1464">
        <v>-0.17974899999999999</v>
      </c>
      <c r="U1464">
        <v>-4.2846679999999998E-2</v>
      </c>
      <c r="V1464">
        <v>9.2480229999999997E-2</v>
      </c>
      <c r="W1464">
        <v>-4.2154589999999999E-2</v>
      </c>
      <c r="X1464">
        <v>0.99482179999999998</v>
      </c>
      <c r="Y1464">
        <v>4.9367889999999998E-2</v>
      </c>
      <c r="Z1464">
        <v>5.3018859999999996E-3</v>
      </c>
      <c r="AA1464">
        <v>0.99876659999999995</v>
      </c>
      <c r="AB1464">
        <v>12</v>
      </c>
      <c r="AC1464">
        <v>-18.384899999999899</v>
      </c>
      <c r="AD1464">
        <v>-1.109574626908</v>
      </c>
      <c r="AE1464">
        <v>-0.25809999999995598</v>
      </c>
      <c r="AF1464">
        <v>0.91284882920810395</v>
      </c>
      <c r="AG1464">
        <v>-1.109574626908</v>
      </c>
      <c r="AH1464">
        <v>18.2972387107699</v>
      </c>
      <c r="AI1464">
        <v>93.465960347061795</v>
      </c>
      <c r="AJ1464">
        <v>87.143882907961697</v>
      </c>
      <c r="AK1464">
        <v>18.3535662277542</v>
      </c>
      <c r="AL1464">
        <v>92.415995976462298</v>
      </c>
      <c r="AM1464">
        <v>84.688956446712496</v>
      </c>
      <c r="AN1464">
        <v>1.0000000080770799</v>
      </c>
    </row>
    <row r="1465" spans="1:40" x14ac:dyDescent="0.25">
      <c r="A1465" t="str">
        <f>"20190312160941906"</f>
        <v>20190312160941906</v>
      </c>
      <c r="B1465" t="str">
        <f>"1552378181896498"</f>
        <v>1552378181896498</v>
      </c>
      <c r="C1465" t="s">
        <v>40</v>
      </c>
      <c r="D1465">
        <v>5.7160690000000001</v>
      </c>
      <c r="E1465">
        <v>0.48396430000000001</v>
      </c>
      <c r="F1465" t="s">
        <v>61</v>
      </c>
      <c r="G1465">
        <v>-236.10910000000001</v>
      </c>
      <c r="H1465" s="1">
        <v>1.7479940000000001E-6</v>
      </c>
      <c r="I1465">
        <v>283.84230000000002</v>
      </c>
      <c r="J1465">
        <v>-217.13290000000001</v>
      </c>
      <c r="K1465">
        <v>1.1095889999999999</v>
      </c>
      <c r="L1465">
        <v>284.09390000000002</v>
      </c>
      <c r="M1465">
        <v>-0.99795529999999999</v>
      </c>
      <c r="N1465">
        <v>0</v>
      </c>
      <c r="O1465">
        <v>-6.3016059999999999E-2</v>
      </c>
      <c r="P1465">
        <v>-0.99820929999999997</v>
      </c>
      <c r="Q1465">
        <v>-5.1938869999999998E-2</v>
      </c>
      <c r="R1465">
        <v>2.9682770000000001E-2</v>
      </c>
      <c r="S1465">
        <v>-2.9974059999999998</v>
      </c>
      <c r="T1465">
        <v>-0.1742244</v>
      </c>
      <c r="U1465">
        <v>-4.0496829999999998E-2</v>
      </c>
      <c r="V1465">
        <v>9.2505080000000003E-2</v>
      </c>
      <c r="W1465">
        <v>-4.1353769999999998E-2</v>
      </c>
      <c r="X1465">
        <v>0.99485310000000005</v>
      </c>
      <c r="Y1465">
        <v>4.9341910000000003E-2</v>
      </c>
      <c r="Z1465">
        <v>5.09028E-3</v>
      </c>
      <c r="AA1465">
        <v>0.99876900000000002</v>
      </c>
      <c r="AB1465">
        <v>12</v>
      </c>
      <c r="AC1465">
        <v>-18.976199999999999</v>
      </c>
      <c r="AD1465">
        <v>-1.1095872520059999</v>
      </c>
      <c r="AE1465">
        <v>-0.25159999999999599</v>
      </c>
      <c r="AF1465">
        <v>0.94155509974282003</v>
      </c>
      <c r="AG1465">
        <v>-1.1095872520059999</v>
      </c>
      <c r="AH1465">
        <v>18.889762945528201</v>
      </c>
      <c r="AI1465">
        <v>93.357540290624996</v>
      </c>
      <c r="AJ1465">
        <v>87.146469075895595</v>
      </c>
      <c r="AK1465">
        <v>18.9457344543281</v>
      </c>
      <c r="AL1465">
        <v>92.370072321795405</v>
      </c>
      <c r="AM1465">
        <v>84.687703685203104</v>
      </c>
      <c r="AN1465">
        <v>1.00000000734931</v>
      </c>
    </row>
    <row r="1466" spans="1:40" x14ac:dyDescent="0.25">
      <c r="A1466" t="str">
        <f>"20190312160941928"</f>
        <v>20190312160941928</v>
      </c>
      <c r="B1466" t="str">
        <f>"1552378181916994"</f>
        <v>1552378181916994</v>
      </c>
      <c r="C1466" t="s">
        <v>40</v>
      </c>
      <c r="D1466">
        <v>5.7342870000000001</v>
      </c>
      <c r="E1466">
        <v>0.48369240000000002</v>
      </c>
      <c r="F1466" t="s">
        <v>61</v>
      </c>
      <c r="G1466">
        <v>-237.0187</v>
      </c>
      <c r="H1466" s="1">
        <v>2.2322840000000002E-6</v>
      </c>
      <c r="I1466">
        <v>283.83679999999998</v>
      </c>
      <c r="J1466">
        <v>-217.25479999999999</v>
      </c>
      <c r="K1466">
        <v>1.1095969999999999</v>
      </c>
      <c r="L1466">
        <v>284.0872</v>
      </c>
      <c r="M1466">
        <v>-0.9980097</v>
      </c>
      <c r="N1466">
        <v>0</v>
      </c>
      <c r="O1466">
        <v>-6.21472E-2</v>
      </c>
      <c r="P1466">
        <v>-0.99816550000000004</v>
      </c>
      <c r="Q1466">
        <v>-5.1946060000000002E-2</v>
      </c>
      <c r="R1466">
        <v>3.1099999999999999E-2</v>
      </c>
      <c r="S1466">
        <v>-2.9978180000000001</v>
      </c>
      <c r="T1466">
        <v>-0.1672719</v>
      </c>
      <c r="U1466">
        <v>-3.8757319999999998E-2</v>
      </c>
      <c r="V1466">
        <v>9.3051419999999996E-2</v>
      </c>
      <c r="W1466">
        <v>-4.1363810000000001E-2</v>
      </c>
      <c r="X1466">
        <v>0.99480170000000001</v>
      </c>
      <c r="Y1466">
        <v>4.9070290000000003E-2</v>
      </c>
      <c r="Z1466">
        <v>4.8309039999999996E-3</v>
      </c>
      <c r="AA1466">
        <v>0.99878359999999999</v>
      </c>
      <c r="AB1466">
        <v>12</v>
      </c>
      <c r="AC1466">
        <v>-19.7639</v>
      </c>
      <c r="AD1466">
        <v>-1.1095947677160001</v>
      </c>
      <c r="AE1466">
        <v>-0.250400000000013</v>
      </c>
      <c r="AF1466">
        <v>0.975351571622872</v>
      </c>
      <c r="AG1466">
        <v>-1.1095947677160001</v>
      </c>
      <c r="AH1466">
        <v>19.6792358377025</v>
      </c>
      <c r="AI1466">
        <v>93.223202374739998</v>
      </c>
      <c r="AJ1466">
        <v>87.162601321178997</v>
      </c>
      <c r="AK1466">
        <v>19.7346100643698</v>
      </c>
      <c r="AL1466">
        <v>92.3706481361952</v>
      </c>
      <c r="AM1466">
        <v>84.656235564714905</v>
      </c>
      <c r="AN1466">
        <v>0.99999997693231102</v>
      </c>
    </row>
    <row r="1467" spans="1:40" x14ac:dyDescent="0.25">
      <c r="A1467" t="str">
        <f>"20190312160941951"</f>
        <v>20190312160941951</v>
      </c>
      <c r="B1467" t="str">
        <f>"1552378181947249"</f>
        <v>1552378181947249</v>
      </c>
      <c r="C1467" t="s">
        <v>40</v>
      </c>
      <c r="D1467">
        <v>5.6121699999999999</v>
      </c>
      <c r="E1467">
        <v>0.48369119999999999</v>
      </c>
      <c r="F1467" t="s">
        <v>61</v>
      </c>
      <c r="G1467">
        <v>-236.63659999999999</v>
      </c>
      <c r="H1467" s="1">
        <v>2.0284290000000001E-6</v>
      </c>
      <c r="I1467">
        <v>283.84910000000002</v>
      </c>
      <c r="J1467">
        <v>-217.37739999999999</v>
      </c>
      <c r="K1467">
        <v>1.1095930000000001</v>
      </c>
      <c r="L1467">
        <v>284.08069999999998</v>
      </c>
      <c r="M1467">
        <v>-0.99806309999999998</v>
      </c>
      <c r="N1467">
        <v>0</v>
      </c>
      <c r="O1467">
        <v>-6.1285880000000001E-2</v>
      </c>
      <c r="P1467">
        <v>-0.99821130000000002</v>
      </c>
      <c r="Q1467">
        <v>-5.0612799999999999E-2</v>
      </c>
      <c r="R1467">
        <v>3.182662E-2</v>
      </c>
      <c r="S1467">
        <v>-2.9976959999999999</v>
      </c>
      <c r="T1467">
        <v>-0.17161580000000001</v>
      </c>
      <c r="U1467">
        <v>-3.6834720000000001E-2</v>
      </c>
      <c r="V1467">
        <v>9.2922050000000006E-2</v>
      </c>
      <c r="W1467">
        <v>-4.0037339999999998E-2</v>
      </c>
      <c r="X1467">
        <v>0.99486810000000003</v>
      </c>
      <c r="Y1467">
        <v>4.8840929999999998E-2</v>
      </c>
      <c r="Z1467">
        <v>4.9006450000000003E-3</v>
      </c>
      <c r="AA1467">
        <v>0.99879459999999998</v>
      </c>
      <c r="AB1467">
        <v>12</v>
      </c>
      <c r="AC1467">
        <v>-19.2592</v>
      </c>
      <c r="AD1467">
        <v>-1.109590971571</v>
      </c>
      <c r="AE1467">
        <v>-0.23159999999995701</v>
      </c>
      <c r="AF1467">
        <v>0.94607986625610796</v>
      </c>
      <c r="AG1467">
        <v>-1.109590971571</v>
      </c>
      <c r="AH1467">
        <v>19.173554084022999</v>
      </c>
      <c r="AI1467">
        <v>93.308048932278794</v>
      </c>
      <c r="AJ1467">
        <v>87.175147875782997</v>
      </c>
      <c r="AK1467">
        <v>19.2289218483638</v>
      </c>
      <c r="AL1467">
        <v>92.294583878405504</v>
      </c>
      <c r="AM1467">
        <v>84.663976222765498</v>
      </c>
      <c r="AN1467">
        <v>1.0000000161840401</v>
      </c>
    </row>
    <row r="1468" spans="1:40" x14ac:dyDescent="0.25">
      <c r="A1468" t="str">
        <f>"20190312160941972"</f>
        <v>20190312160941972</v>
      </c>
      <c r="B1468" t="str">
        <f>"1552378181966771"</f>
        <v>1552378181966771</v>
      </c>
      <c r="C1468" t="s">
        <v>40</v>
      </c>
      <c r="D1468">
        <v>5.9526899999999996</v>
      </c>
      <c r="E1468">
        <v>0.48344690000000001</v>
      </c>
      <c r="F1468" t="s">
        <v>61</v>
      </c>
      <c r="G1468">
        <v>-237.45779999999999</v>
      </c>
      <c r="H1468" s="1">
        <v>2.4654090000000002E-6</v>
      </c>
      <c r="I1468">
        <v>283.84930000000003</v>
      </c>
      <c r="J1468">
        <v>-217.49350000000001</v>
      </c>
      <c r="K1468">
        <v>1.1095919999999999</v>
      </c>
      <c r="L1468">
        <v>284.0745</v>
      </c>
      <c r="M1468">
        <v>-0.99811240000000001</v>
      </c>
      <c r="N1468">
        <v>0</v>
      </c>
      <c r="O1468">
        <v>-6.0478740000000003E-2</v>
      </c>
      <c r="P1468">
        <v>-0.9982394</v>
      </c>
      <c r="Q1468">
        <v>-4.9537400000000002E-2</v>
      </c>
      <c r="R1468">
        <v>3.2621699999999997E-2</v>
      </c>
      <c r="S1468">
        <v>-2.9980929999999999</v>
      </c>
      <c r="T1468">
        <v>-0.16566719999999999</v>
      </c>
      <c r="U1468">
        <v>-3.4545899999999997E-2</v>
      </c>
      <c r="V1468">
        <v>9.2913259999999998E-2</v>
      </c>
      <c r="W1468">
        <v>-3.8973689999999998E-2</v>
      </c>
      <c r="X1468">
        <v>0.99491110000000005</v>
      </c>
      <c r="Y1468">
        <v>4.8810810000000003E-2</v>
      </c>
      <c r="Z1468">
        <v>4.6851260000000004E-3</v>
      </c>
      <c r="AA1468">
        <v>0.99879709999999999</v>
      </c>
      <c r="AB1468">
        <v>12</v>
      </c>
      <c r="AC1468">
        <v>-19.964299999999898</v>
      </c>
      <c r="AD1468">
        <v>-1.1095895345909901</v>
      </c>
      <c r="AE1468">
        <v>-0.22519999999997201</v>
      </c>
      <c r="AF1468">
        <v>0.97967098260923102</v>
      </c>
      <c r="AG1468">
        <v>-1.1095895345909901</v>
      </c>
      <c r="AH1468">
        <v>19.8799702607092</v>
      </c>
      <c r="AI1468">
        <v>93.190753691775001</v>
      </c>
      <c r="AJ1468">
        <v>87.178786443589999</v>
      </c>
      <c r="AK1468">
        <v>19.934998413246099</v>
      </c>
      <c r="AL1468">
        <v>92.233593735056999</v>
      </c>
      <c r="AM1468">
        <v>84.664707343138801</v>
      </c>
      <c r="AN1468">
        <v>0.99999995964962596</v>
      </c>
    </row>
    <row r="1469" spans="1:40" x14ac:dyDescent="0.25">
      <c r="A1469" t="str">
        <f>"20190312160941997"</f>
        <v>20190312160941997</v>
      </c>
      <c r="B1469" t="str">
        <f>"1552378181987266"</f>
        <v>1552378181987266</v>
      </c>
      <c r="C1469" t="s">
        <v>40</v>
      </c>
      <c r="D1469">
        <v>5.7795740000000002</v>
      </c>
      <c r="E1469">
        <v>0.4833249</v>
      </c>
      <c r="F1469" t="s">
        <v>61</v>
      </c>
      <c r="G1469">
        <v>-238.0333</v>
      </c>
      <c r="H1469" s="1">
        <v>2.7721129999999998E-6</v>
      </c>
      <c r="I1469">
        <v>283.83949999999999</v>
      </c>
      <c r="J1469">
        <v>-217.6268</v>
      </c>
      <c r="K1469">
        <v>1.109583</v>
      </c>
      <c r="L1469">
        <v>284.0675</v>
      </c>
      <c r="M1469">
        <v>-0.9981679</v>
      </c>
      <c r="N1469">
        <v>0</v>
      </c>
      <c r="O1469">
        <v>-5.9558550000000002E-2</v>
      </c>
      <c r="P1469">
        <v>-0.99819000000000002</v>
      </c>
      <c r="Q1469">
        <v>-4.9584709999999997E-2</v>
      </c>
      <c r="R1469">
        <v>3.4031599999999898E-2</v>
      </c>
      <c r="S1469">
        <v>-2.998367</v>
      </c>
      <c r="T1469">
        <v>-0.1619757</v>
      </c>
      <c r="U1469">
        <v>-3.4301760000000001E-2</v>
      </c>
      <c r="V1469">
        <v>9.3399940000000001E-2</v>
      </c>
      <c r="W1469">
        <v>-3.9038040000000003E-2</v>
      </c>
      <c r="X1469">
        <v>0.99486300000000005</v>
      </c>
      <c r="Y1469">
        <v>4.798227E-2</v>
      </c>
      <c r="Z1469">
        <v>4.5085079999999996E-3</v>
      </c>
      <c r="AA1469">
        <v>0.998838</v>
      </c>
      <c r="AB1469">
        <v>12</v>
      </c>
      <c r="AC1469">
        <v>-20.406499999999902</v>
      </c>
      <c r="AD1469">
        <v>-1.1095802278869999</v>
      </c>
      <c r="AE1469">
        <v>-0.228000000000008</v>
      </c>
      <c r="AF1469">
        <v>0.984943752867526</v>
      </c>
      <c r="AG1469">
        <v>-1.1095802278869999</v>
      </c>
      <c r="AH1469">
        <v>20.323770594030101</v>
      </c>
      <c r="AI1469">
        <v>93.121315944750194</v>
      </c>
      <c r="AJ1469">
        <v>87.225465528239297</v>
      </c>
      <c r="AK1469">
        <v>20.377853999800699</v>
      </c>
      <c r="AL1469">
        <v>92.237283541358707</v>
      </c>
      <c r="AM1469">
        <v>84.636665805902794</v>
      </c>
      <c r="AN1469">
        <v>0.99999995306402101</v>
      </c>
    </row>
    <row r="1470" spans="1:40" x14ac:dyDescent="0.25">
      <c r="A1470" t="str">
        <f>"20190312160942017"</f>
        <v>20190312160942017</v>
      </c>
      <c r="B1470" t="str">
        <f>"1552378182007762"</f>
        <v>1552378182007762</v>
      </c>
      <c r="C1470" t="s">
        <v>40</v>
      </c>
      <c r="D1470">
        <v>5.827566</v>
      </c>
      <c r="E1470">
        <v>0.48332249999999999</v>
      </c>
      <c r="F1470" t="s">
        <v>61</v>
      </c>
      <c r="G1470">
        <v>-238.2139</v>
      </c>
      <c r="H1470" s="1">
        <v>2.867542E-6</v>
      </c>
      <c r="I1470">
        <v>283.85419999999999</v>
      </c>
      <c r="J1470">
        <v>-217.73929999999999</v>
      </c>
      <c r="K1470">
        <v>1.1095790000000001</v>
      </c>
      <c r="L1470">
        <v>284.06169999999997</v>
      </c>
      <c r="M1470">
        <v>-0.99821380000000004</v>
      </c>
      <c r="N1470">
        <v>0</v>
      </c>
      <c r="O1470">
        <v>-5.8787060000000002E-2</v>
      </c>
      <c r="P1470">
        <v>-0.99807389999999996</v>
      </c>
      <c r="Q1470">
        <v>-5.0464460000000003E-2</v>
      </c>
      <c r="R1470">
        <v>3.6086640000000003E-2</v>
      </c>
      <c r="S1470">
        <v>-2.9984739999999999</v>
      </c>
      <c r="T1470">
        <v>-0.16160829999999901</v>
      </c>
      <c r="U1470">
        <v>-3.106689E-2</v>
      </c>
      <c r="V1470">
        <v>9.4675129999999996E-2</v>
      </c>
      <c r="W1470">
        <v>-3.9932919999999997E-2</v>
      </c>
      <c r="X1470">
        <v>0.99470700000000001</v>
      </c>
      <c r="Y1470">
        <v>4.8289510000000001E-2</v>
      </c>
      <c r="Z1470">
        <v>4.4649700000000004E-3</v>
      </c>
      <c r="AA1470">
        <v>0.99882340000000003</v>
      </c>
      <c r="AB1470">
        <v>12</v>
      </c>
      <c r="AC1470">
        <v>-20.474599999999999</v>
      </c>
      <c r="AD1470">
        <v>-1.109576132458</v>
      </c>
      <c r="AE1470">
        <v>-0.20749999999998101</v>
      </c>
      <c r="AF1470">
        <v>0.99365071381247005</v>
      </c>
      <c r="AG1470">
        <v>-1.109576132458</v>
      </c>
      <c r="AH1470">
        <v>20.391504237925002</v>
      </c>
      <c r="AI1470">
        <v>93.110916891865998</v>
      </c>
      <c r="AJ1470">
        <v>87.210260003469401</v>
      </c>
      <c r="AK1470">
        <v>20.445829550793299</v>
      </c>
      <c r="AL1470">
        <v>92.288596262673096</v>
      </c>
      <c r="AM1470">
        <v>84.5630284581475</v>
      </c>
      <c r="AN1470">
        <v>1.0000000170946199</v>
      </c>
    </row>
    <row r="1471" spans="1:40" x14ac:dyDescent="0.25">
      <c r="A1471" t="str">
        <f>"20190312160942040"</f>
        <v>20190312160942040</v>
      </c>
      <c r="B1471" t="str">
        <f>"1552378182037042"</f>
        <v>1552378182037042</v>
      </c>
      <c r="C1471" t="s">
        <v>40</v>
      </c>
      <c r="D1471">
        <v>5.7493819999999998</v>
      </c>
      <c r="E1471">
        <v>0.48324509999999998</v>
      </c>
      <c r="F1471" t="s">
        <v>61</v>
      </c>
      <c r="G1471">
        <v>-237.7124</v>
      </c>
      <c r="H1471" s="1">
        <v>2.5988290000000002E-6</v>
      </c>
      <c r="I1471">
        <v>283.89620000000002</v>
      </c>
      <c r="J1471">
        <v>-217.86660000000001</v>
      </c>
      <c r="K1471">
        <v>1.109578</v>
      </c>
      <c r="L1471">
        <v>284.05520000000001</v>
      </c>
      <c r="M1471">
        <v>-0.9982645</v>
      </c>
      <c r="N1471">
        <v>0</v>
      </c>
      <c r="O1471">
        <v>-5.7922750000000002E-2</v>
      </c>
      <c r="P1471">
        <v>-0.99805549999999998</v>
      </c>
      <c r="Q1471">
        <v>-4.9792919999999997E-2</v>
      </c>
      <c r="R1471">
        <v>3.749926E-2</v>
      </c>
      <c r="S1471">
        <v>-2.998291</v>
      </c>
      <c r="T1471">
        <v>-0.16656609999999999</v>
      </c>
      <c r="U1471">
        <v>-2.4841309999999998E-2</v>
      </c>
      <c r="V1471">
        <v>9.5223779999999994E-2</v>
      </c>
      <c r="W1471">
        <v>-3.9273889999999999E-2</v>
      </c>
      <c r="X1471">
        <v>0.99468080000000003</v>
      </c>
      <c r="Y1471">
        <v>4.9487570000000002E-2</v>
      </c>
      <c r="Z1471">
        <v>4.5874519999999997E-3</v>
      </c>
      <c r="AA1471">
        <v>0.99876419999999999</v>
      </c>
      <c r="AB1471">
        <v>12</v>
      </c>
      <c r="AC1471">
        <v>-19.845800000000001</v>
      </c>
      <c r="AD1471">
        <v>-1.109575401171</v>
      </c>
      <c r="AE1471">
        <v>-0.15899999999999101</v>
      </c>
      <c r="AF1471">
        <v>0.98776773863299505</v>
      </c>
      <c r="AG1471">
        <v>-1.109575401171</v>
      </c>
      <c r="AH1471">
        <v>19.759922954987001</v>
      </c>
      <c r="AI1471">
        <v>93.209944760592293</v>
      </c>
      <c r="AJ1471">
        <v>87.138255416660797</v>
      </c>
      <c r="AK1471">
        <v>19.8156856521138</v>
      </c>
      <c r="AL1471">
        <v>92.250807128929793</v>
      </c>
      <c r="AM1471">
        <v>84.531568044922594</v>
      </c>
      <c r="AN1471">
        <v>0.99999995030092903</v>
      </c>
    </row>
    <row r="1472" spans="1:40" x14ac:dyDescent="0.25">
      <c r="A1472" t="str">
        <f>"20190312160942063"</f>
        <v>20190312160942063</v>
      </c>
      <c r="B1472" t="str">
        <f>"1552378182056562"</f>
        <v>1552378182056562</v>
      </c>
      <c r="C1472" t="s">
        <v>40</v>
      </c>
      <c r="D1472">
        <v>5.7746019999999998</v>
      </c>
      <c r="E1472">
        <v>0.48404659999999999</v>
      </c>
      <c r="F1472" t="s">
        <v>61</v>
      </c>
      <c r="G1472">
        <v>-238.03</v>
      </c>
      <c r="H1472" s="1">
        <v>2.767087E-6</v>
      </c>
      <c r="I1472">
        <v>283.91340000000002</v>
      </c>
      <c r="J1472">
        <v>-217.98769999999999</v>
      </c>
      <c r="K1472">
        <v>1.109583</v>
      </c>
      <c r="L1472">
        <v>284.04919999999998</v>
      </c>
      <c r="M1472">
        <v>-0.99831110000000001</v>
      </c>
      <c r="N1472">
        <v>0</v>
      </c>
      <c r="O1472">
        <v>-5.7113949999999997E-2</v>
      </c>
      <c r="P1472">
        <v>-0.99807820000000003</v>
      </c>
      <c r="Q1472">
        <v>-4.9036929999999999E-2</v>
      </c>
      <c r="R1472">
        <v>3.7883640000000003E-2</v>
      </c>
      <c r="S1472">
        <v>-2.9983979999999999</v>
      </c>
      <c r="T1472">
        <v>-0.1649997</v>
      </c>
      <c r="U1472">
        <v>-2.1087649999999999E-2</v>
      </c>
      <c r="V1472">
        <v>9.4804139999999995E-2</v>
      </c>
      <c r="W1472">
        <v>-3.8525829999999997E-2</v>
      </c>
      <c r="X1472">
        <v>0.99475020000000003</v>
      </c>
      <c r="Y1472">
        <v>4.9932579999999997E-2</v>
      </c>
      <c r="Z1472">
        <v>4.5120840000000004E-3</v>
      </c>
      <c r="AA1472">
        <v>0.99874240000000003</v>
      </c>
      <c r="AB1472">
        <v>12</v>
      </c>
      <c r="AC1472">
        <v>-20.042300000000001</v>
      </c>
      <c r="AD1472">
        <v>-1.109580232913</v>
      </c>
      <c r="AE1472">
        <v>-0.13579999999996001</v>
      </c>
      <c r="AF1472">
        <v>1.0060977748831501</v>
      </c>
      <c r="AG1472">
        <v>-1.109580232913</v>
      </c>
      <c r="AH1472">
        <v>19.956175369784901</v>
      </c>
      <c r="AI1472">
        <v>93.178388665193097</v>
      </c>
      <c r="AJ1472">
        <v>87.113856212711198</v>
      </c>
      <c r="AK1472">
        <v>20.012304625292501</v>
      </c>
      <c r="AL1472">
        <v>92.207913842414598</v>
      </c>
      <c r="AM1472">
        <v>84.555899216970403</v>
      </c>
      <c r="AN1472">
        <v>1.0000000124691799</v>
      </c>
    </row>
    <row r="1473" spans="1:40" x14ac:dyDescent="0.25">
      <c r="A1473" t="str">
        <f>"20190312160942153"</f>
        <v>20190312160942153</v>
      </c>
      <c r="B1473" t="str">
        <f>"1552378182146354"</f>
        <v>1552378182146354</v>
      </c>
      <c r="C1473" t="s">
        <v>40</v>
      </c>
      <c r="D1473">
        <v>5.7871709999999998</v>
      </c>
      <c r="E1473">
        <v>0.48371740000000002</v>
      </c>
      <c r="F1473" t="s">
        <v>61</v>
      </c>
      <c r="G1473">
        <v>-234.16589999999999</v>
      </c>
      <c r="H1473" s="1">
        <v>7.0823470000000004E-7</v>
      </c>
      <c r="I1473">
        <v>283.97219999999999</v>
      </c>
      <c r="J1473">
        <v>-218.4836</v>
      </c>
      <c r="K1473">
        <v>1.1096269999999999</v>
      </c>
      <c r="L1473">
        <v>284.02510000000001</v>
      </c>
      <c r="M1473">
        <v>-0.99848130000000002</v>
      </c>
      <c r="N1473">
        <v>0</v>
      </c>
      <c r="O1473">
        <v>-5.4064920000000002E-2</v>
      </c>
      <c r="P1473">
        <v>-0.99822250000000001</v>
      </c>
      <c r="Q1473">
        <v>-4.506127E-2</v>
      </c>
      <c r="R1473">
        <v>3.9008830000000001E-2</v>
      </c>
      <c r="S1473">
        <v>-2.9962010000000001</v>
      </c>
      <c r="T1473">
        <v>-0.20549490000000001</v>
      </c>
      <c r="U1473">
        <v>-1.4251710000000001E-2</v>
      </c>
      <c r="V1473">
        <v>9.2905950000000001E-2</v>
      </c>
      <c r="W1473">
        <v>-3.4571619999999997E-2</v>
      </c>
      <c r="X1473">
        <v>0.99507449999999997</v>
      </c>
      <c r="Y1473">
        <v>4.9075569999999999E-2</v>
      </c>
      <c r="Z1473">
        <v>5.3833550000000003E-3</v>
      </c>
      <c r="AA1473">
        <v>0.99878049999999996</v>
      </c>
      <c r="AB1473">
        <v>12</v>
      </c>
      <c r="AC1473">
        <v>-15.6822999999999</v>
      </c>
      <c r="AD1473">
        <v>-1.1096262917652999</v>
      </c>
      <c r="AE1473">
        <v>-5.2900000000022297E-2</v>
      </c>
      <c r="AF1473">
        <v>0.79112646406111597</v>
      </c>
      <c r="AG1473">
        <v>-1.1096262917652999</v>
      </c>
      <c r="AH1473">
        <v>15.5841996834141</v>
      </c>
      <c r="AI1473">
        <v>94.067481204496005</v>
      </c>
      <c r="AJ1473">
        <v>87.093894406851703</v>
      </c>
      <c r="AK1473">
        <v>15.6436706486055</v>
      </c>
      <c r="AL1473">
        <v>91.981202731967898</v>
      </c>
      <c r="AM1473">
        <v>84.665995658369397</v>
      </c>
      <c r="AN1473">
        <v>0.99999998650253796</v>
      </c>
    </row>
    <row r="1474" spans="1:40" x14ac:dyDescent="0.25">
      <c r="A1474" t="str">
        <f>"20190312160942174"</f>
        <v>20190312160942174</v>
      </c>
      <c r="B1474" t="str">
        <f>"1552378182166851"</f>
        <v>1552378182166851</v>
      </c>
      <c r="C1474" t="s">
        <v>40</v>
      </c>
      <c r="D1474">
        <v>5.7517990000000001</v>
      </c>
      <c r="E1474">
        <v>0.48354540000000001</v>
      </c>
      <c r="F1474" t="s">
        <v>61</v>
      </c>
      <c r="G1474">
        <v>-235.54</v>
      </c>
      <c r="H1474" s="1">
        <v>1.4405539999999901E-6</v>
      </c>
      <c r="I1474">
        <v>283.94819999999999</v>
      </c>
      <c r="J1474">
        <v>-218.60140000000001</v>
      </c>
      <c r="K1474">
        <v>1.1096459999999999</v>
      </c>
      <c r="L1474">
        <v>284.01949999999999</v>
      </c>
      <c r="M1474">
        <v>-0.99851639999999997</v>
      </c>
      <c r="N1474">
        <v>0</v>
      </c>
      <c r="O1474">
        <v>-5.3416169999999999E-2</v>
      </c>
      <c r="P1474">
        <v>-0.99830779999999997</v>
      </c>
      <c r="Q1474">
        <v>-4.3407250000000001E-2</v>
      </c>
      <c r="R1474">
        <v>3.8695760000000003E-2</v>
      </c>
      <c r="S1474">
        <v>-2.9970699999999999</v>
      </c>
      <c r="T1474">
        <v>-0.19497819999999999</v>
      </c>
      <c r="U1474">
        <v>-1.351929E-2</v>
      </c>
      <c r="V1474">
        <v>9.1953400000000005E-2</v>
      </c>
      <c r="W1474">
        <v>-3.2927749999999999E-2</v>
      </c>
      <c r="X1474">
        <v>0.99521879999999996</v>
      </c>
      <c r="Y1474">
        <v>4.8698489999999997E-2</v>
      </c>
      <c r="Z1474">
        <v>5.0526089999999996E-3</v>
      </c>
      <c r="AA1474">
        <v>0.99880080000000004</v>
      </c>
      <c r="AB1474">
        <v>12</v>
      </c>
      <c r="AC1474">
        <v>-16.938599999999902</v>
      </c>
      <c r="AD1474">
        <v>-1.1096445594459901</v>
      </c>
      <c r="AE1474">
        <v>-7.1300000000007899E-2</v>
      </c>
      <c r="AF1474">
        <v>0.83008520588022106</v>
      </c>
      <c r="AG1474">
        <v>-1.1096445594459901</v>
      </c>
      <c r="AH1474">
        <v>16.8459298421886</v>
      </c>
      <c r="AI1474">
        <v>93.764085731483902</v>
      </c>
      <c r="AJ1474">
        <v>87.179025285899101</v>
      </c>
      <c r="AK1474">
        <v>16.902831264177902</v>
      </c>
      <c r="AL1474">
        <v>91.886962076909398</v>
      </c>
      <c r="AM1474">
        <v>84.721134908743906</v>
      </c>
      <c r="AN1474">
        <v>1.00000006218252</v>
      </c>
    </row>
    <row r="1475" spans="1:40" x14ac:dyDescent="0.25">
      <c r="A1475" t="str">
        <f>"20190312160942196"</f>
        <v>20190312160942196</v>
      </c>
      <c r="B1475" t="str">
        <f>"1552378182186371"</f>
        <v>1552378182186371</v>
      </c>
      <c r="C1475" t="s">
        <v>40</v>
      </c>
      <c r="D1475">
        <v>5.7042789999999997</v>
      </c>
      <c r="E1475">
        <v>0.48427409999999999</v>
      </c>
      <c r="F1475" t="s">
        <v>61</v>
      </c>
      <c r="G1475">
        <v>-236.52850000000001</v>
      </c>
      <c r="H1475" s="1">
        <v>1.9675659999999999E-6</v>
      </c>
      <c r="I1475">
        <v>283.92509999999999</v>
      </c>
      <c r="J1475">
        <v>-218.7251</v>
      </c>
      <c r="K1475">
        <v>1.109669</v>
      </c>
      <c r="L1475">
        <v>284.0136</v>
      </c>
      <c r="M1475">
        <v>-0.99855079999999996</v>
      </c>
      <c r="N1475">
        <v>0</v>
      </c>
      <c r="O1475">
        <v>-5.2770640000000001E-2</v>
      </c>
      <c r="P1475">
        <v>-0.99835149999999995</v>
      </c>
      <c r="Q1475">
        <v>-4.2203669999999999E-2</v>
      </c>
      <c r="R1475">
        <v>3.8899030000000001E-2</v>
      </c>
      <c r="S1475">
        <v>-2.9976500000000001</v>
      </c>
      <c r="T1475">
        <v>-0.18554770000000001</v>
      </c>
      <c r="U1475">
        <v>-1.5777590000000001E-2</v>
      </c>
      <c r="V1475">
        <v>9.1517059999999997E-2</v>
      </c>
      <c r="W1475">
        <v>-3.1737290000000001E-2</v>
      </c>
      <c r="X1475">
        <v>0.9952976</v>
      </c>
      <c r="Y1475">
        <v>4.732546E-2</v>
      </c>
      <c r="Z1475">
        <v>4.7254259999999996E-3</v>
      </c>
      <c r="AA1475">
        <v>0.99886830000000004</v>
      </c>
      <c r="AB1475">
        <v>12</v>
      </c>
      <c r="AC1475">
        <v>-17.8034</v>
      </c>
      <c r="AD1475">
        <v>-1.1096670324339999</v>
      </c>
      <c r="AE1475">
        <v>-8.8500000000010404E-2</v>
      </c>
      <c r="AF1475">
        <v>0.84787870609754801</v>
      </c>
      <c r="AG1475">
        <v>-1.1096670324339999</v>
      </c>
      <c r="AH1475">
        <v>17.7144444018207</v>
      </c>
      <c r="AI1475">
        <v>93.580346659485002</v>
      </c>
      <c r="AJ1475">
        <v>87.259703806465595</v>
      </c>
      <c r="AK1475">
        <v>17.769406284069301</v>
      </c>
      <c r="AL1475">
        <v>91.818718230570695</v>
      </c>
      <c r="AM1475">
        <v>84.746457459140899</v>
      </c>
      <c r="AN1475">
        <v>0.99999997020667297</v>
      </c>
    </row>
    <row r="1476" spans="1:40" x14ac:dyDescent="0.25">
      <c r="A1476" t="str">
        <f>"20190312160942218"</f>
        <v>20190312160942218</v>
      </c>
      <c r="B1476" t="str">
        <f>"1552378182206866"</f>
        <v>1552378182206866</v>
      </c>
      <c r="C1476" t="s">
        <v>40</v>
      </c>
      <c r="D1476">
        <v>9.200075</v>
      </c>
      <c r="E1476">
        <v>0.48481340000000001</v>
      </c>
      <c r="F1476" t="s">
        <v>61</v>
      </c>
      <c r="G1476">
        <v>-238.14789999999999</v>
      </c>
      <c r="H1476" s="1">
        <v>2.8280700000000001E-6</v>
      </c>
      <c r="I1476">
        <v>283.95359999999999</v>
      </c>
      <c r="J1476">
        <v>-218.8493</v>
      </c>
      <c r="K1476">
        <v>1.1096900000000001</v>
      </c>
      <c r="L1476">
        <v>284.00779999999997</v>
      </c>
      <c r="M1476">
        <v>-0.99858329999999995</v>
      </c>
      <c r="N1476">
        <v>0</v>
      </c>
      <c r="O1476">
        <v>-5.2157410000000001E-2</v>
      </c>
      <c r="P1476">
        <v>-0.998359</v>
      </c>
      <c r="Q1476">
        <v>-4.1413209999999999E-2</v>
      </c>
      <c r="R1476">
        <v>3.9555310000000003E-2</v>
      </c>
      <c r="S1476">
        <v>-2.9980769999999999</v>
      </c>
      <c r="T1476">
        <v>-0.171287299999999</v>
      </c>
      <c r="U1476">
        <v>-9.2773439999999999E-3</v>
      </c>
      <c r="V1476">
        <v>9.1563489999999997E-2</v>
      </c>
      <c r="W1476">
        <v>-3.0959859999999999E-2</v>
      </c>
      <c r="X1476">
        <v>0.99531780000000003</v>
      </c>
      <c r="Y1476">
        <v>4.8905110000000002E-2</v>
      </c>
      <c r="Z1476">
        <v>4.3724239999999998E-3</v>
      </c>
      <c r="AA1476">
        <v>0.99879379999999995</v>
      </c>
      <c r="AB1476">
        <v>12</v>
      </c>
      <c r="AC1476">
        <v>-19.2986</v>
      </c>
      <c r="AD1476">
        <v>-1.1096871719299899</v>
      </c>
      <c r="AE1476">
        <v>-5.4199999999980202E-2</v>
      </c>
      <c r="AF1476">
        <v>0.94935575882199996</v>
      </c>
      <c r="AG1476">
        <v>-1.1096871719299899</v>
      </c>
      <c r="AH1476">
        <v>19.2116363872771</v>
      </c>
      <c r="AI1476">
        <v>93.301779870518502</v>
      </c>
      <c r="AJ1476">
        <v>87.170992267920596</v>
      </c>
      <c r="AK1476">
        <v>19.2670613912269</v>
      </c>
      <c r="AL1476">
        <v>91.774152895140602</v>
      </c>
      <c r="AM1476">
        <v>84.743913144198302</v>
      </c>
      <c r="AN1476">
        <v>0.99999995431451805</v>
      </c>
    </row>
    <row r="1477" spans="1:40" x14ac:dyDescent="0.25">
      <c r="A1477" t="str">
        <f>"20190312160942242"</f>
        <v>20190312160942242</v>
      </c>
      <c r="B1477" t="str">
        <f>"1552378182237122"</f>
        <v>1552378182237122</v>
      </c>
      <c r="C1477" t="s">
        <v>40</v>
      </c>
      <c r="D1477">
        <v>5.7046349999999997</v>
      </c>
      <c r="E1477">
        <v>0.48563400000000001</v>
      </c>
      <c r="F1477" t="s">
        <v>61</v>
      </c>
      <c r="G1477">
        <v>-239.23589999999999</v>
      </c>
      <c r="H1477" s="1">
        <v>3.405575E-6</v>
      </c>
      <c r="I1477">
        <v>283.98770000000002</v>
      </c>
      <c r="J1477">
        <v>-218.97659999999999</v>
      </c>
      <c r="K1477">
        <v>1.1097090000000001</v>
      </c>
      <c r="L1477">
        <v>284.00189999999998</v>
      </c>
      <c r="M1477">
        <v>-0.99861429999999995</v>
      </c>
      <c r="N1477">
        <v>0</v>
      </c>
      <c r="O1477">
        <v>-5.1560630000000003E-2</v>
      </c>
      <c r="P1477">
        <v>-0.99834109999999998</v>
      </c>
      <c r="Q1477">
        <v>-4.151266E-2</v>
      </c>
      <c r="R1477">
        <v>3.9895880000000002E-2</v>
      </c>
      <c r="S1477">
        <v>-2.9982600000000001</v>
      </c>
      <c r="T1477">
        <v>-0.1632015</v>
      </c>
      <c r="U1477">
        <v>-2.960205E-3</v>
      </c>
      <c r="V1477">
        <v>9.1308909999999993E-2</v>
      </c>
      <c r="W1477">
        <v>-3.107089E-2</v>
      </c>
      <c r="X1477">
        <v>0.99533780000000005</v>
      </c>
      <c r="Y1477">
        <v>5.0426550000000001E-2</v>
      </c>
      <c r="Z1477">
        <v>4.1750729999999996E-3</v>
      </c>
      <c r="AA1477">
        <v>0.99871900000000002</v>
      </c>
      <c r="AB1477">
        <v>12</v>
      </c>
      <c r="AC1477">
        <v>-20.2593</v>
      </c>
      <c r="AD1477">
        <v>-1.1097055944250001</v>
      </c>
      <c r="AE1477">
        <v>-1.41999999999598E-2</v>
      </c>
      <c r="AF1477">
        <v>1.02737667979853</v>
      </c>
      <c r="AG1477">
        <v>-1.1097055944250001</v>
      </c>
      <c r="AH1477">
        <v>20.172557653208099</v>
      </c>
      <c r="AI1477">
        <v>93.144637249229604</v>
      </c>
      <c r="AJ1477">
        <v>87.084478152845506</v>
      </c>
      <c r="AK1477">
        <v>20.229162899648099</v>
      </c>
      <c r="AL1477">
        <v>91.780517378912094</v>
      </c>
      <c r="AM1477">
        <v>84.758550212185796</v>
      </c>
      <c r="AN1477">
        <v>1.0000000266797999</v>
      </c>
    </row>
    <row r="1478" spans="1:40" x14ac:dyDescent="0.25">
      <c r="A1478" t="str">
        <f>"20190312160942265"</f>
        <v>20190312160942265</v>
      </c>
      <c r="B1478" t="str">
        <f>"1552378182256643"</f>
        <v>1552378182256643</v>
      </c>
      <c r="C1478" t="s">
        <v>40</v>
      </c>
      <c r="D1478">
        <v>5.7238670000000003</v>
      </c>
      <c r="E1478">
        <v>0.48596220000000001</v>
      </c>
      <c r="F1478" t="s">
        <v>61</v>
      </c>
      <c r="G1478">
        <v>-240.37280000000001</v>
      </c>
      <c r="H1478" s="1">
        <v>-1.3383909999999999E-6</v>
      </c>
      <c r="I1478">
        <v>284.03590000000003</v>
      </c>
      <c r="J1478">
        <v>-219.10499999999999</v>
      </c>
      <c r="K1478">
        <v>1.109712</v>
      </c>
      <c r="L1478">
        <v>283.99590000000001</v>
      </c>
      <c r="M1478">
        <v>-0.99864390000000003</v>
      </c>
      <c r="N1478">
        <v>0</v>
      </c>
      <c r="O1478">
        <v>-5.0991830000000002E-2</v>
      </c>
      <c r="P1478">
        <v>-0.99834449999999997</v>
      </c>
      <c r="Q1478">
        <v>-4.0813080000000002E-2</v>
      </c>
      <c r="R1478">
        <v>4.0532789999999999E-2</v>
      </c>
      <c r="S1478">
        <v>-2.9983219999999999</v>
      </c>
      <c r="T1478">
        <v>-0.15550710000000001</v>
      </c>
      <c r="U1478">
        <v>4.7607420000000001E-3</v>
      </c>
      <c r="V1478">
        <v>9.1379550000000004E-2</v>
      </c>
      <c r="W1478">
        <v>-3.0385309999999999E-2</v>
      </c>
      <c r="X1478">
        <v>0.99535240000000003</v>
      </c>
      <c r="Y1478">
        <v>5.2441330000000001E-2</v>
      </c>
      <c r="Z1478">
        <v>4.0012240000000003E-3</v>
      </c>
      <c r="AA1478">
        <v>0.99861599999999995</v>
      </c>
      <c r="AB1478">
        <v>12</v>
      </c>
      <c r="AC1478">
        <v>-21.267800000000001</v>
      </c>
      <c r="AD1478">
        <v>-1.1097133383910001</v>
      </c>
      <c r="AE1478">
        <v>4.0000000000020401E-2</v>
      </c>
      <c r="AF1478">
        <v>1.1214385899124499</v>
      </c>
      <c r="AG1478">
        <v>-1.1097133383910001</v>
      </c>
      <c r="AH1478">
        <v>21.180424610887599</v>
      </c>
      <c r="AI1478">
        <v>92.994987911234304</v>
      </c>
      <c r="AJ1478">
        <v>86.969194070155396</v>
      </c>
      <c r="AK1478">
        <v>21.2391024975596</v>
      </c>
      <c r="AL1478">
        <v>91.741218123507807</v>
      </c>
      <c r="AM1478">
        <v>84.754594353801593</v>
      </c>
      <c r="AN1478">
        <v>0.99999994470387699</v>
      </c>
    </row>
    <row r="1479" spans="1:40" x14ac:dyDescent="0.25">
      <c r="A1479" t="str">
        <f>"20190312160942310"</f>
        <v>20190312160942310</v>
      </c>
      <c r="B1479" t="str">
        <f>"1552378182296658"</f>
        <v>1552378182296658</v>
      </c>
      <c r="C1479" t="s">
        <v>40</v>
      </c>
      <c r="D1479">
        <v>5.7056069999999997</v>
      </c>
      <c r="E1479">
        <v>0.48644890000000002</v>
      </c>
      <c r="F1479" t="s">
        <v>61</v>
      </c>
      <c r="G1479">
        <v>-241.44929999999999</v>
      </c>
      <c r="H1479" s="1">
        <v>-7.6554480000000001E-7</v>
      </c>
      <c r="I1479">
        <v>284.06529999999998</v>
      </c>
      <c r="J1479">
        <v>-219.35759999999999</v>
      </c>
      <c r="K1479">
        <v>1.1097349999999999</v>
      </c>
      <c r="L1479">
        <v>283.98430000000002</v>
      </c>
      <c r="M1479">
        <v>-0.99869609999999998</v>
      </c>
      <c r="N1479">
        <v>0</v>
      </c>
      <c r="O1479">
        <v>-4.9968100000000001E-2</v>
      </c>
      <c r="P1479">
        <v>-0.99837489999999995</v>
      </c>
      <c r="Q1479">
        <v>-3.845705E-2</v>
      </c>
      <c r="R1479">
        <v>4.2061380000000002E-2</v>
      </c>
      <c r="S1479">
        <v>-2.9985200000000001</v>
      </c>
      <c r="T1479">
        <v>-0.14891949999999901</v>
      </c>
      <c r="U1479">
        <v>9.3078610000000006E-3</v>
      </c>
      <c r="V1479">
        <v>9.1889899999999899E-2</v>
      </c>
      <c r="W1479">
        <v>-2.806821E-2</v>
      </c>
      <c r="X1479">
        <v>0.99537350000000002</v>
      </c>
      <c r="Y1479">
        <v>5.2944039999999998E-2</v>
      </c>
      <c r="Z1479">
        <v>3.7934079999999998E-3</v>
      </c>
      <c r="AA1479">
        <v>0.99859030000000004</v>
      </c>
      <c r="AB1479">
        <v>13</v>
      </c>
      <c r="AC1479">
        <v>-22.091699999999999</v>
      </c>
      <c r="AD1479">
        <v>-1.1097357655447999</v>
      </c>
      <c r="AE1479">
        <v>8.0999999999960395E-2</v>
      </c>
      <c r="AF1479">
        <v>1.18185718292242</v>
      </c>
      <c r="AG1479">
        <v>-1.1097357655447999</v>
      </c>
      <c r="AH1479">
        <v>22.004527894277398</v>
      </c>
      <c r="AI1479">
        <v>92.882955352128405</v>
      </c>
      <c r="AJ1479">
        <v>86.925613324679702</v>
      </c>
      <c r="AK1479">
        <v>22.064168865384101</v>
      </c>
      <c r="AL1479">
        <v>91.608401222237006</v>
      </c>
      <c r="AM1479">
        <v>84.7255749946668</v>
      </c>
      <c r="AN1479">
        <v>0.99999999131843198</v>
      </c>
    </row>
    <row r="1480" spans="1:40" x14ac:dyDescent="0.25">
      <c r="A1480" t="str">
        <f>"20190312160942331"</f>
        <v>20190312160942331</v>
      </c>
      <c r="B1480" t="str">
        <f>"1552378182326914"</f>
        <v>1552378182326914</v>
      </c>
      <c r="C1480" t="s">
        <v>40</v>
      </c>
      <c r="D1480">
        <v>5.744313</v>
      </c>
      <c r="E1480">
        <v>0.4867591</v>
      </c>
      <c r="F1480" t="s">
        <v>61</v>
      </c>
      <c r="G1480">
        <v>-242.99979999999999</v>
      </c>
      <c r="H1480" s="1">
        <v>5.9532110000000002E-8</v>
      </c>
      <c r="I1480">
        <v>284.12439999999998</v>
      </c>
      <c r="J1480">
        <v>-219.4804</v>
      </c>
      <c r="K1480">
        <v>1.1097410000000001</v>
      </c>
      <c r="L1480">
        <v>283.9787</v>
      </c>
      <c r="M1480">
        <v>-0.99871929999999998</v>
      </c>
      <c r="N1480">
        <v>0</v>
      </c>
      <c r="O1480">
        <v>-4.9505319999999998E-2</v>
      </c>
      <c r="P1480">
        <v>-0.99837670000000001</v>
      </c>
      <c r="Q1480">
        <v>-3.8078670000000002E-2</v>
      </c>
      <c r="R1480">
        <v>4.235647E-2</v>
      </c>
      <c r="S1480">
        <v>-2.9987029999999999</v>
      </c>
      <c r="T1480">
        <v>-0.1407553</v>
      </c>
      <c r="U1480">
        <v>1.7761229999999999E-2</v>
      </c>
      <c r="V1480">
        <v>9.1724E-2</v>
      </c>
      <c r="W1480">
        <v>-2.770972E-2</v>
      </c>
      <c r="X1480">
        <v>0.99539889999999998</v>
      </c>
      <c r="Y1480">
        <v>5.5307380000000003E-2</v>
      </c>
      <c r="Z1480">
        <v>3.6192199999999998E-3</v>
      </c>
      <c r="AA1480">
        <v>0.99846279999999998</v>
      </c>
      <c r="AB1480">
        <v>13</v>
      </c>
      <c r="AC1480">
        <v>-23.519399999999901</v>
      </c>
      <c r="AD1480">
        <v>-1.10974094046789</v>
      </c>
      <c r="AE1480">
        <v>0.14569999999997599</v>
      </c>
      <c r="AF1480">
        <v>1.3070104737327899</v>
      </c>
      <c r="AG1480">
        <v>-1.10974094046789</v>
      </c>
      <c r="AH1480">
        <v>23.4311817726865</v>
      </c>
      <c r="AI1480">
        <v>92.707397582760095</v>
      </c>
      <c r="AJ1480">
        <v>86.807303195977397</v>
      </c>
      <c r="AK1480">
        <v>23.493830692291802</v>
      </c>
      <c r="AL1480">
        <v>91.587853179394699</v>
      </c>
      <c r="AM1480">
        <v>84.735177585284006</v>
      </c>
      <c r="AN1480">
        <v>1.0000000454398399</v>
      </c>
    </row>
    <row r="1481" spans="1:40" x14ac:dyDescent="0.25">
      <c r="A1481" t="str">
        <f>"20190312160942374"</f>
        <v>20190312160942374</v>
      </c>
      <c r="B1481" t="str">
        <f>"1552378182366931"</f>
        <v>1552378182366931</v>
      </c>
      <c r="C1481" t="s">
        <v>40</v>
      </c>
      <c r="D1481">
        <v>5.7666620000000002</v>
      </c>
      <c r="E1481">
        <v>0.4868672</v>
      </c>
      <c r="F1481" t="s">
        <v>61</v>
      </c>
      <c r="G1481">
        <v>-243.47499999999999</v>
      </c>
      <c r="H1481" s="1">
        <v>3.1242759999999998E-7</v>
      </c>
      <c r="I1481">
        <v>284.14890000000003</v>
      </c>
      <c r="J1481">
        <v>-219.72489999999999</v>
      </c>
      <c r="K1481">
        <v>1.109753</v>
      </c>
      <c r="L1481">
        <v>283.96769999999998</v>
      </c>
      <c r="M1481">
        <v>-0.99876129999999996</v>
      </c>
      <c r="N1481">
        <v>0</v>
      </c>
      <c r="O1481">
        <v>-4.8661509999999998E-2</v>
      </c>
      <c r="P1481">
        <v>-0.99845879999999998</v>
      </c>
      <c r="Q1481">
        <v>-3.7396499999999999E-2</v>
      </c>
      <c r="R1481">
        <v>4.1007790000000002E-2</v>
      </c>
      <c r="S1481">
        <v>-2.998688</v>
      </c>
      <c r="T1481">
        <v>-0.13868820000000001</v>
      </c>
      <c r="U1481">
        <v>2.1270750000000001E-2</v>
      </c>
      <c r="V1481">
        <v>8.9541209999999996E-2</v>
      </c>
      <c r="W1481">
        <v>-2.7072849999999999E-2</v>
      </c>
      <c r="X1481">
        <v>0.99561509999999998</v>
      </c>
      <c r="Y1481">
        <v>5.563622E-2</v>
      </c>
      <c r="Z1481">
        <v>3.5347719999999998E-3</v>
      </c>
      <c r="AA1481">
        <v>0.99844489999999997</v>
      </c>
      <c r="AB1481">
        <v>13</v>
      </c>
      <c r="AC1481">
        <v>-23.7501</v>
      </c>
      <c r="AD1481">
        <v>-1.1097526875724</v>
      </c>
      <c r="AE1481">
        <v>0.18120000000004599</v>
      </c>
      <c r="AF1481">
        <v>1.33385132947122</v>
      </c>
      <c r="AG1481">
        <v>-1.1097526875724</v>
      </c>
      <c r="AH1481">
        <v>23.661484839850399</v>
      </c>
      <c r="AI1481">
        <v>92.681024280603097</v>
      </c>
      <c r="AJ1481">
        <v>86.773522374152407</v>
      </c>
      <c r="AK1481">
        <v>23.725020025769702</v>
      </c>
      <c r="AL1481">
        <v>91.5513495952505</v>
      </c>
      <c r="AM1481">
        <v>84.860897455533205</v>
      </c>
      <c r="AN1481">
        <v>0.99999999742169798</v>
      </c>
    </row>
    <row r="1482" spans="1:40" x14ac:dyDescent="0.25">
      <c r="A1482" t="str">
        <f>"20190312160942397"</f>
        <v>20190312160942397</v>
      </c>
      <c r="B1482" t="str">
        <f>"1552378182387426"</f>
        <v>1552378182387426</v>
      </c>
      <c r="C1482" t="s">
        <v>40</v>
      </c>
      <c r="D1482">
        <v>5.8005149999999999</v>
      </c>
      <c r="E1482">
        <v>0.4868709</v>
      </c>
      <c r="F1482" t="s">
        <v>61</v>
      </c>
      <c r="G1482">
        <v>-244.04949999999999</v>
      </c>
      <c r="H1482" s="1">
        <v>6.1814669999999995E-7</v>
      </c>
      <c r="I1482">
        <v>284.11380000000003</v>
      </c>
      <c r="J1482">
        <v>-219.85140000000001</v>
      </c>
      <c r="K1482">
        <v>1.109756</v>
      </c>
      <c r="L1482">
        <v>283.96199999999999</v>
      </c>
      <c r="M1482">
        <v>-0.99878069999999997</v>
      </c>
      <c r="N1482">
        <v>0</v>
      </c>
      <c r="O1482">
        <v>-4.826809E-2</v>
      </c>
      <c r="P1482">
        <v>-0.99851889999999999</v>
      </c>
      <c r="Q1482">
        <v>-3.6352639999999999E-2</v>
      </c>
      <c r="R1482">
        <v>4.0478130000000001E-2</v>
      </c>
      <c r="S1482">
        <v>-2.9987490000000001</v>
      </c>
      <c r="T1482">
        <v>-0.13681090000000001</v>
      </c>
      <c r="U1482">
        <v>1.800537E-2</v>
      </c>
      <c r="V1482">
        <v>8.862391E-2</v>
      </c>
      <c r="W1482">
        <v>-2.6059269999999999E-2</v>
      </c>
      <c r="X1482">
        <v>0.99572419999999995</v>
      </c>
      <c r="Y1482">
        <v>5.4160479999999997E-2</v>
      </c>
      <c r="Z1482">
        <v>3.435329E-3</v>
      </c>
      <c r="AA1482">
        <v>0.99852629999999998</v>
      </c>
      <c r="AB1482">
        <v>13</v>
      </c>
      <c r="AC1482">
        <v>-24.198099999999901</v>
      </c>
      <c r="AD1482">
        <v>-1.1097553818532999</v>
      </c>
      <c r="AE1482">
        <v>0.15180000000003699</v>
      </c>
      <c r="AF1482">
        <v>1.3169120915824599</v>
      </c>
      <c r="AG1482">
        <v>-1.1097553818532999</v>
      </c>
      <c r="AH1482">
        <v>24.111853188322499</v>
      </c>
      <c r="AI1482">
        <v>92.631279904078397</v>
      </c>
      <c r="AJ1482">
        <v>86.873794292855806</v>
      </c>
      <c r="AK1482">
        <v>24.1732761255012</v>
      </c>
      <c r="AL1482">
        <v>91.493255254537999</v>
      </c>
      <c r="AM1482">
        <v>84.913821508059698</v>
      </c>
      <c r="AN1482">
        <v>0.99999998272113</v>
      </c>
    </row>
    <row r="1483" spans="1:40" x14ac:dyDescent="0.25">
      <c r="A1483" t="str">
        <f>"20190312160942419"</f>
        <v>20190312160942419</v>
      </c>
      <c r="B1483" t="str">
        <f>"1552378182406946"</f>
        <v>1552378182406946</v>
      </c>
      <c r="C1483" t="s">
        <v>40</v>
      </c>
      <c r="D1483">
        <v>5.7784890000000004</v>
      </c>
      <c r="E1483">
        <v>0.48691990000000002</v>
      </c>
      <c r="F1483" t="s">
        <v>61</v>
      </c>
      <c r="G1483">
        <v>-244.71090000000001</v>
      </c>
      <c r="H1483" s="1">
        <v>9.7009930000000004E-7</v>
      </c>
      <c r="I1483">
        <v>284.09879999999998</v>
      </c>
      <c r="J1483">
        <v>-219.97749999999999</v>
      </c>
      <c r="K1483">
        <v>1.109761</v>
      </c>
      <c r="L1483">
        <v>283.9563</v>
      </c>
      <c r="M1483">
        <v>-0.99879859999999998</v>
      </c>
      <c r="N1483">
        <v>0</v>
      </c>
      <c r="O1483">
        <v>-4.7905900000000001E-2</v>
      </c>
      <c r="P1483">
        <v>-0.99850939999999999</v>
      </c>
      <c r="Q1483">
        <v>-3.6654949999999999E-2</v>
      </c>
      <c r="R1483">
        <v>4.0442480000000003E-2</v>
      </c>
      <c r="S1483">
        <v>-2.998901</v>
      </c>
      <c r="T1483">
        <v>-0.13387449999999901</v>
      </c>
      <c r="U1483">
        <v>1.6510009999999999E-2</v>
      </c>
      <c r="V1483">
        <v>8.8227639999999996E-2</v>
      </c>
      <c r="W1483">
        <v>-2.6397279999999999E-2</v>
      </c>
      <c r="X1483">
        <v>0.99575049999999998</v>
      </c>
      <c r="Y1483">
        <v>5.3305900000000003E-2</v>
      </c>
      <c r="Z1483">
        <v>3.3262840000000001E-3</v>
      </c>
      <c r="AA1483">
        <v>0.99857269999999998</v>
      </c>
      <c r="AB1483">
        <v>13</v>
      </c>
      <c r="AC1483">
        <v>-24.7334</v>
      </c>
      <c r="AD1483">
        <v>-1.1097600299007</v>
      </c>
      <c r="AE1483">
        <v>0.142499999999984</v>
      </c>
      <c r="AF1483">
        <v>1.3246085526356299</v>
      </c>
      <c r="AG1483">
        <v>-1.1097600299007</v>
      </c>
      <c r="AH1483">
        <v>24.648551223511799</v>
      </c>
      <c r="AI1483">
        <v>92.574196830623407</v>
      </c>
      <c r="AJ1483">
        <v>86.923894432714206</v>
      </c>
      <c r="AK1483">
        <v>24.709051632140099</v>
      </c>
      <c r="AL1483">
        <v>91.512628446767096</v>
      </c>
      <c r="AM1483">
        <v>84.936578228395007</v>
      </c>
      <c r="AN1483">
        <v>0.99999999555080898</v>
      </c>
    </row>
    <row r="1484" spans="1:40" x14ac:dyDescent="0.25">
      <c r="A1484" t="str">
        <f>"20190312160942445"</f>
        <v>20190312160942445</v>
      </c>
      <c r="B1484" t="str">
        <f>"1552378182437203"</f>
        <v>1552378182437203</v>
      </c>
      <c r="C1484" t="s">
        <v>40</v>
      </c>
      <c r="D1484">
        <v>5.7818889999999996</v>
      </c>
      <c r="E1484">
        <v>0.4870893</v>
      </c>
      <c r="F1484" t="s">
        <v>61</v>
      </c>
      <c r="G1484">
        <v>-244.48660000000001</v>
      </c>
      <c r="H1484" s="1">
        <v>8.5073799999999995E-7</v>
      </c>
      <c r="I1484">
        <v>284.09249999999997</v>
      </c>
      <c r="J1484">
        <v>-220.11930000000001</v>
      </c>
      <c r="K1484">
        <v>1.1097680000000001</v>
      </c>
      <c r="L1484">
        <v>283.95</v>
      </c>
      <c r="M1484">
        <v>-0.99881679999999995</v>
      </c>
      <c r="N1484">
        <v>0</v>
      </c>
      <c r="O1484">
        <v>-4.7532600000000001E-2</v>
      </c>
      <c r="P1484">
        <v>-0.99849810000000006</v>
      </c>
      <c r="Q1484">
        <v>-3.6571970000000002E-2</v>
      </c>
      <c r="R1484">
        <v>4.0790769999999997E-2</v>
      </c>
      <c r="S1484">
        <v>-2.99884</v>
      </c>
      <c r="T1484">
        <v>-0.135786299999999</v>
      </c>
      <c r="U1484">
        <v>1.6662599999999899E-2</v>
      </c>
      <c r="V1484">
        <v>8.8203699999999996E-2</v>
      </c>
      <c r="W1484">
        <v>-2.635873E-2</v>
      </c>
      <c r="X1484">
        <v>0.99575360000000002</v>
      </c>
      <c r="Y1484">
        <v>5.2981399999999998E-2</v>
      </c>
      <c r="Z1484">
        <v>3.34958E-3</v>
      </c>
      <c r="AA1484">
        <v>0.99858990000000003</v>
      </c>
      <c r="AB1484">
        <v>13</v>
      </c>
      <c r="AC1484">
        <v>-24.3673</v>
      </c>
      <c r="AD1484">
        <v>-1.109767149262</v>
      </c>
      <c r="AE1484">
        <v>0.142499999999984</v>
      </c>
      <c r="AF1484">
        <v>1.2979491241115999</v>
      </c>
      <c r="AG1484">
        <v>-1.109767149262</v>
      </c>
      <c r="AH1484">
        <v>24.282615583553</v>
      </c>
      <c r="AI1484">
        <v>92.612993158121895</v>
      </c>
      <c r="AJ1484">
        <v>86.940350051975898</v>
      </c>
      <c r="AK1484">
        <v>24.342589727327098</v>
      </c>
      <c r="AL1484">
        <v>91.510418988968993</v>
      </c>
      <c r="AM1484">
        <v>84.937960693193403</v>
      </c>
      <c r="AN1484">
        <v>0.99999995362692995</v>
      </c>
    </row>
    <row r="1485" spans="1:40" x14ac:dyDescent="0.25">
      <c r="A1485" t="str">
        <f>"20190312160942463"</f>
        <v>20190312160942463</v>
      </c>
      <c r="B1485" t="str">
        <f>"1552378182456722"</f>
        <v>1552378182456722</v>
      </c>
      <c r="C1485" t="s">
        <v>40</v>
      </c>
      <c r="D1485">
        <v>5.7853560000000002</v>
      </c>
      <c r="E1485">
        <v>0.4871124</v>
      </c>
      <c r="F1485" t="s">
        <v>61</v>
      </c>
      <c r="G1485">
        <v>-243.95750000000001</v>
      </c>
      <c r="H1485" s="1">
        <v>5.6920279999999998E-7</v>
      </c>
      <c r="I1485">
        <v>284.10090000000002</v>
      </c>
      <c r="J1485">
        <v>-220.22810000000001</v>
      </c>
      <c r="K1485">
        <v>1.1097729999999999</v>
      </c>
      <c r="L1485">
        <v>283.94510000000002</v>
      </c>
      <c r="M1485">
        <v>-0.99882950000000004</v>
      </c>
      <c r="N1485">
        <v>0</v>
      </c>
      <c r="O1485">
        <v>-4.7272880000000003E-2</v>
      </c>
      <c r="P1485">
        <v>-0.99852839999999998</v>
      </c>
      <c r="Q1485">
        <v>-3.5781500000000001E-2</v>
      </c>
      <c r="R1485">
        <v>4.0748119999999999E-2</v>
      </c>
      <c r="S1485">
        <v>-2.9986269999999999</v>
      </c>
      <c r="T1485">
        <v>-0.13959859999999999</v>
      </c>
      <c r="U1485">
        <v>1.8981930000000001E-2</v>
      </c>
      <c r="V1485">
        <v>8.7904319999999994E-2</v>
      </c>
      <c r="W1485">
        <v>-2.5605300000000001E-2</v>
      </c>
      <c r="X1485">
        <v>0.99579980000000001</v>
      </c>
      <c r="Y1485">
        <v>5.3488309999999997E-2</v>
      </c>
      <c r="Z1485">
        <v>3.443485E-3</v>
      </c>
      <c r="AA1485">
        <v>0.99856250000000002</v>
      </c>
      <c r="AB1485">
        <v>13</v>
      </c>
      <c r="AC1485">
        <v>-23.729399999999998</v>
      </c>
      <c r="AD1485">
        <v>-1.1097724307971999</v>
      </c>
      <c r="AE1485">
        <v>0.15579999999999899</v>
      </c>
      <c r="AF1485">
        <v>1.2746538810232699</v>
      </c>
      <c r="AG1485">
        <v>-1.1097724307971999</v>
      </c>
      <c r="AH1485">
        <v>23.643790374624601</v>
      </c>
      <c r="AI1485">
        <v>92.683437999547095</v>
      </c>
      <c r="AJ1485">
        <v>86.9141302290369</v>
      </c>
      <c r="AK1485">
        <v>23.704116955578701</v>
      </c>
      <c r="AL1485">
        <v>91.467235949402607</v>
      </c>
      <c r="AM1485">
        <v>84.955286244235197</v>
      </c>
      <c r="AN1485">
        <v>1.00000002127139</v>
      </c>
    </row>
    <row r="1486" spans="1:40" x14ac:dyDescent="0.25">
      <c r="A1486" t="str">
        <f>"20190312160942488"</f>
        <v>20190312160942488</v>
      </c>
      <c r="B1486" t="str">
        <f>"1552378182477218"</f>
        <v>1552378182477218</v>
      </c>
      <c r="C1486" t="s">
        <v>40</v>
      </c>
      <c r="D1486">
        <v>5.6672099999999999</v>
      </c>
      <c r="E1486">
        <v>0.487155</v>
      </c>
      <c r="F1486" t="s">
        <v>61</v>
      </c>
      <c r="G1486">
        <v>-244.42699999999999</v>
      </c>
      <c r="H1486" s="1">
        <v>8.1905680000000002E-7</v>
      </c>
      <c r="I1486">
        <v>284.09730000000002</v>
      </c>
      <c r="J1486">
        <v>-220.37090000000001</v>
      </c>
      <c r="K1486">
        <v>1.1097600000000001</v>
      </c>
      <c r="L1486">
        <v>283.93869999999998</v>
      </c>
      <c r="M1486">
        <v>-0.99884499999999998</v>
      </c>
      <c r="N1486">
        <v>0</v>
      </c>
      <c r="O1486">
        <v>-4.696028E-2</v>
      </c>
      <c r="P1486">
        <v>-0.99854869999999996</v>
      </c>
      <c r="Q1486">
        <v>-3.5043570000000003E-2</v>
      </c>
      <c r="R1486">
        <v>4.0898619999999997E-2</v>
      </c>
      <c r="S1486">
        <v>-2.9987180000000002</v>
      </c>
      <c r="T1486">
        <v>-0.13752220000000001</v>
      </c>
      <c r="U1486">
        <v>1.8859859999999999E-2</v>
      </c>
      <c r="V1486">
        <v>8.7744699999999995E-2</v>
      </c>
      <c r="W1486">
        <v>-2.49207E-2</v>
      </c>
      <c r="X1486">
        <v>0.99583129999999997</v>
      </c>
      <c r="Y1486">
        <v>5.3138829999999998E-2</v>
      </c>
      <c r="Z1486">
        <v>3.3698880000000001E-3</v>
      </c>
      <c r="AA1486">
        <v>0.99858150000000001</v>
      </c>
      <c r="AB1486">
        <v>13</v>
      </c>
      <c r="AC1486">
        <v>-24.056100000000001</v>
      </c>
      <c r="AD1486">
        <v>-1.1097591809431999</v>
      </c>
      <c r="AE1486">
        <v>0.15860000000003499</v>
      </c>
      <c r="AF1486">
        <v>1.2854291099025801</v>
      </c>
      <c r="AG1486">
        <v>-1.1097591809431999</v>
      </c>
      <c r="AH1486">
        <v>23.9710968179795</v>
      </c>
      <c r="AI1486">
        <v>92.6468592894268</v>
      </c>
      <c r="AJ1486">
        <v>86.930503822336405</v>
      </c>
      <c r="AK1486">
        <v>24.031175087648599</v>
      </c>
      <c r="AL1486">
        <v>91.427998657872493</v>
      </c>
      <c r="AM1486">
        <v>84.964557952237499</v>
      </c>
      <c r="AN1486">
        <v>1.00000007586313</v>
      </c>
    </row>
    <row r="1487" spans="1:40" x14ac:dyDescent="0.25">
      <c r="A1487" t="str">
        <f>"20190312160942511"</f>
        <v>20190312160942511</v>
      </c>
      <c r="B1487" t="str">
        <f>"1552378182506499"</f>
        <v>1552378182506499</v>
      </c>
      <c r="C1487" t="s">
        <v>40</v>
      </c>
      <c r="D1487">
        <v>5.7532209999999999</v>
      </c>
      <c r="E1487">
        <v>0.48719849999999998</v>
      </c>
      <c r="F1487" t="s">
        <v>61</v>
      </c>
      <c r="G1487">
        <v>-244.86250000000001</v>
      </c>
      <c r="H1487" s="1">
        <v>1.0508E-6</v>
      </c>
      <c r="I1487">
        <v>284.10000000000002</v>
      </c>
      <c r="J1487">
        <v>-220.50219999999999</v>
      </c>
      <c r="K1487">
        <v>1.1097589999999999</v>
      </c>
      <c r="L1487">
        <v>283.93279999999999</v>
      </c>
      <c r="M1487">
        <v>-0.99885760000000001</v>
      </c>
      <c r="N1487">
        <v>0</v>
      </c>
      <c r="O1487">
        <v>-4.670117E-2</v>
      </c>
      <c r="P1487">
        <v>-0.99853890000000001</v>
      </c>
      <c r="Q1487">
        <v>-3.4899920000000001E-2</v>
      </c>
      <c r="R1487">
        <v>4.125794E-2</v>
      </c>
      <c r="S1487">
        <v>-2.9987949999999999</v>
      </c>
      <c r="T1487">
        <v>-0.13588059999999999</v>
      </c>
      <c r="U1487">
        <v>1.9744870000000001E-2</v>
      </c>
      <c r="V1487">
        <v>8.7845199999999998E-2</v>
      </c>
      <c r="W1487">
        <v>-2.4830310000000001E-2</v>
      </c>
      <c r="X1487">
        <v>0.99582459999999995</v>
      </c>
      <c r="Y1487">
        <v>5.3177040000000002E-2</v>
      </c>
      <c r="Z1487">
        <v>3.3187569999999999E-3</v>
      </c>
      <c r="AA1487">
        <v>0.99857960000000001</v>
      </c>
      <c r="AB1487">
        <v>13</v>
      </c>
      <c r="AC1487">
        <v>-24.360299999999999</v>
      </c>
      <c r="AD1487">
        <v>-1.1097579492</v>
      </c>
      <c r="AE1487">
        <v>0.16720000000003599</v>
      </c>
      <c r="AF1487">
        <v>1.3020283318949299</v>
      </c>
      <c r="AG1487">
        <v>-1.1097579492</v>
      </c>
      <c r="AH1487">
        <v>24.275531198899699</v>
      </c>
      <c r="AI1487">
        <v>92.613707427838605</v>
      </c>
      <c r="AJ1487">
        <v>86.929858516968096</v>
      </c>
      <c r="AK1487">
        <v>24.335740290191001</v>
      </c>
      <c r="AL1487">
        <v>91.422818227919393</v>
      </c>
      <c r="AM1487">
        <v>84.958786476083304</v>
      </c>
      <c r="AN1487">
        <v>0.99999997871144697</v>
      </c>
    </row>
    <row r="1488" spans="1:40" x14ac:dyDescent="0.25">
      <c r="A1488" t="str">
        <f>"20190312160942532"</f>
        <v>20190312160942532</v>
      </c>
      <c r="B1488" t="str">
        <f>"1552378182526995"</f>
        <v>1552378182526995</v>
      </c>
      <c r="C1488" t="s">
        <v>40</v>
      </c>
      <c r="D1488">
        <v>5.5829659999999999</v>
      </c>
      <c r="E1488">
        <v>0.48721130000000001</v>
      </c>
      <c r="F1488" t="s">
        <v>61</v>
      </c>
      <c r="G1488">
        <v>-244.8544</v>
      </c>
      <c r="H1488" s="1">
        <v>1.0464649999999999E-6</v>
      </c>
      <c r="I1488">
        <v>284.10509999999999</v>
      </c>
      <c r="J1488">
        <v>-220.6181</v>
      </c>
      <c r="K1488">
        <v>1.1097520000000001</v>
      </c>
      <c r="L1488">
        <v>283.92770000000002</v>
      </c>
      <c r="M1488">
        <v>-0.99886790000000003</v>
      </c>
      <c r="N1488">
        <v>0</v>
      </c>
      <c r="O1488">
        <v>-4.6492360000000003E-2</v>
      </c>
      <c r="P1488">
        <v>-0.99853069999999999</v>
      </c>
      <c r="Q1488">
        <v>-3.5029829999999998E-2</v>
      </c>
      <c r="R1488">
        <v>4.1349690000000001E-2</v>
      </c>
      <c r="S1488">
        <v>-2.9987339999999998</v>
      </c>
      <c r="T1488">
        <v>-0.13665579999999999</v>
      </c>
      <c r="U1488">
        <v>2.1209720000000001E-2</v>
      </c>
      <c r="V1488">
        <v>8.7728730000000005E-2</v>
      </c>
      <c r="W1488">
        <v>-2.500813E-2</v>
      </c>
      <c r="X1488">
        <v>0.9958304</v>
      </c>
      <c r="Y1488">
        <v>5.3454920000000003E-2</v>
      </c>
      <c r="Z1488">
        <v>3.3345620000000001E-3</v>
      </c>
      <c r="AA1488">
        <v>0.99856469999999997</v>
      </c>
      <c r="AB1488">
        <v>13</v>
      </c>
      <c r="AC1488">
        <v>-24.2363</v>
      </c>
      <c r="AD1488">
        <v>-1.1097509535349901</v>
      </c>
      <c r="AE1488">
        <v>0.17739999999997699</v>
      </c>
      <c r="AF1488">
        <v>1.3013397935992601</v>
      </c>
      <c r="AG1488">
        <v>-1.1097509535349901</v>
      </c>
      <c r="AH1488">
        <v>24.151208107655101</v>
      </c>
      <c r="AI1488">
        <v>92.627091842989202</v>
      </c>
      <c r="AJ1488">
        <v>86.915713569260703</v>
      </c>
      <c r="AK1488">
        <v>24.2116890260994</v>
      </c>
      <c r="AL1488">
        <v>91.433009753693995</v>
      </c>
      <c r="AM1488">
        <v>84.965465192138296</v>
      </c>
      <c r="AN1488">
        <v>0.99999996109883404</v>
      </c>
    </row>
    <row r="1489" spans="1:40" x14ac:dyDescent="0.25">
      <c r="A1489" t="str">
        <f>"20190312160942554"</f>
        <v>20190312160942554</v>
      </c>
      <c r="B1489" t="str">
        <f>"1552378182546515"</f>
        <v>1552378182546515</v>
      </c>
      <c r="C1489" t="s">
        <v>40</v>
      </c>
      <c r="D1489">
        <v>5.6815220000000002</v>
      </c>
      <c r="E1489">
        <v>0.4873323</v>
      </c>
      <c r="F1489" t="s">
        <v>61</v>
      </c>
      <c r="G1489">
        <v>-244.75620000000001</v>
      </c>
      <c r="H1489" s="1">
        <v>9.9421319999999997E-7</v>
      </c>
      <c r="I1489">
        <v>284.10160000000002</v>
      </c>
      <c r="J1489">
        <v>-220.7466</v>
      </c>
      <c r="K1489">
        <v>1.109756</v>
      </c>
      <c r="L1489">
        <v>283.92189999999999</v>
      </c>
      <c r="M1489">
        <v>-0.9988783</v>
      </c>
      <c r="N1489">
        <v>0</v>
      </c>
      <c r="O1489">
        <v>-4.6281170000000003E-2</v>
      </c>
      <c r="P1489">
        <v>-0.99854889999999996</v>
      </c>
      <c r="Q1489">
        <v>-3.4882660000000003E-2</v>
      </c>
      <c r="R1489">
        <v>4.1033310000000003E-2</v>
      </c>
      <c r="S1489">
        <v>-2.998688</v>
      </c>
      <c r="T1489">
        <v>-0.13786519999999999</v>
      </c>
      <c r="U1489">
        <v>2.1606449999999999E-2</v>
      </c>
      <c r="V1489">
        <v>8.7203149999999993E-2</v>
      </c>
      <c r="W1489">
        <v>-2.491117E-2</v>
      </c>
      <c r="X1489">
        <v>0.99587910000000002</v>
      </c>
      <c r="Y1489">
        <v>5.3374440000000002E-2</v>
      </c>
      <c r="Z1489">
        <v>3.3525450000000002E-3</v>
      </c>
      <c r="AA1489">
        <v>0.99856900000000004</v>
      </c>
      <c r="AB1489">
        <v>13</v>
      </c>
      <c r="AC1489">
        <v>-24.009599999999999</v>
      </c>
      <c r="AD1489">
        <v>-1.1097550057868</v>
      </c>
      <c r="AE1489">
        <v>0.17970000000002501</v>
      </c>
      <c r="AF1489">
        <v>1.28800392614582</v>
      </c>
      <c r="AG1489">
        <v>-1.1097550057868</v>
      </c>
      <c r="AH1489">
        <v>23.9244433216098</v>
      </c>
      <c r="AI1489">
        <v>92.651973326603198</v>
      </c>
      <c r="AJ1489">
        <v>86.918381128820101</v>
      </c>
      <c r="AK1489">
        <v>23.984776391193598</v>
      </c>
      <c r="AL1489">
        <v>91.427452469668296</v>
      </c>
      <c r="AM1489">
        <v>84.995716783319097</v>
      </c>
      <c r="AN1489">
        <v>1.00000006878874</v>
      </c>
    </row>
    <row r="1490" spans="1:40" x14ac:dyDescent="0.25">
      <c r="A1490" t="str">
        <f>"20190312160942575"</f>
        <v>20190312160942575</v>
      </c>
      <c r="B1490" t="str">
        <f>"1552378182567011"</f>
        <v>1552378182567011</v>
      </c>
      <c r="C1490" t="s">
        <v>40</v>
      </c>
      <c r="D1490">
        <v>5.7494880000000004</v>
      </c>
      <c r="E1490">
        <v>0.48736429999999997</v>
      </c>
      <c r="F1490" t="s">
        <v>61</v>
      </c>
      <c r="G1490">
        <v>-244.572</v>
      </c>
      <c r="H1490" s="1">
        <v>8.9622059999999997E-7</v>
      </c>
      <c r="I1490">
        <v>284.09359999999998</v>
      </c>
      <c r="J1490">
        <v>-220.87530000000001</v>
      </c>
      <c r="K1490">
        <v>1.1097549999999901</v>
      </c>
      <c r="L1490">
        <v>283.9162</v>
      </c>
      <c r="M1490">
        <v>-0.99888750000000004</v>
      </c>
      <c r="N1490">
        <v>0</v>
      </c>
      <c r="O1490">
        <v>-4.6092420000000002E-2</v>
      </c>
      <c r="P1490">
        <v>-0.99856299999999998</v>
      </c>
      <c r="Q1490">
        <v>-3.4939390000000001E-2</v>
      </c>
      <c r="R1490">
        <v>4.063986E-2</v>
      </c>
      <c r="S1490">
        <v>-2.9986109999999999</v>
      </c>
      <c r="T1490">
        <v>-0.13967099999999999</v>
      </c>
      <c r="U1490">
        <v>2.1606449999999999E-2</v>
      </c>
      <c r="V1490">
        <v>8.6622920000000006E-2</v>
      </c>
      <c r="W1490">
        <v>-2.5015280000000001E-2</v>
      </c>
      <c r="X1490">
        <v>0.99592700000000001</v>
      </c>
      <c r="Y1490">
        <v>5.318353E-2</v>
      </c>
      <c r="Z1490">
        <v>3.3832699999999999E-3</v>
      </c>
      <c r="AA1490">
        <v>0.99857899999999999</v>
      </c>
      <c r="AB1490">
        <v>13</v>
      </c>
      <c r="AC1490">
        <v>-23.6967</v>
      </c>
      <c r="AD1490">
        <v>-1.1097541037794001</v>
      </c>
      <c r="AE1490">
        <v>0.17739999999997699</v>
      </c>
      <c r="AF1490">
        <v>1.2667258683977201</v>
      </c>
      <c r="AG1490">
        <v>-1.1097541037794001</v>
      </c>
      <c r="AH1490">
        <v>23.611553060430701</v>
      </c>
      <c r="AI1490">
        <v>92.687089793822096</v>
      </c>
      <c r="AJ1490">
        <v>86.929107743824403</v>
      </c>
      <c r="AK1490">
        <v>23.671535364696101</v>
      </c>
      <c r="AL1490">
        <v>91.433419574236794</v>
      </c>
      <c r="AM1490">
        <v>85.029084636714799</v>
      </c>
      <c r="AN1490">
        <v>0.99999994191590003</v>
      </c>
    </row>
    <row r="1491" spans="1:40" x14ac:dyDescent="0.25">
      <c r="A1491" t="str">
        <f>"20190312160942597"</f>
        <v>20190312160942597</v>
      </c>
      <c r="B1491" t="str">
        <f>"1552378182586534"</f>
        <v>1552378182586534</v>
      </c>
      <c r="C1491" t="s">
        <v>40</v>
      </c>
      <c r="D1491">
        <v>5.006202</v>
      </c>
      <c r="E1491">
        <v>0.47065230000000002</v>
      </c>
      <c r="F1491" t="s">
        <v>61</v>
      </c>
      <c r="G1491">
        <v>-244.68530000000001</v>
      </c>
      <c r="H1491" s="1">
        <v>9.5649669999999996E-7</v>
      </c>
      <c r="I1491">
        <v>284.08049999999997</v>
      </c>
      <c r="J1491">
        <v>-220.9999</v>
      </c>
      <c r="K1491">
        <v>1.1097570000000001</v>
      </c>
      <c r="L1491">
        <v>283.91059999999999</v>
      </c>
      <c r="M1491">
        <v>-0.99889530000000004</v>
      </c>
      <c r="N1491">
        <v>0</v>
      </c>
      <c r="O1491">
        <v>-4.593266E-2</v>
      </c>
      <c r="P1491">
        <v>-0.99856389999999995</v>
      </c>
      <c r="Q1491">
        <v>-3.4863789999999999E-2</v>
      </c>
      <c r="R1491">
        <v>4.0679510000000002E-2</v>
      </c>
      <c r="S1491">
        <v>-2.9985810000000002</v>
      </c>
      <c r="T1491">
        <v>-0.13976</v>
      </c>
      <c r="U1491">
        <v>2.0690920000000002E-2</v>
      </c>
      <c r="V1491">
        <v>8.6503739999999996E-2</v>
      </c>
      <c r="W1491">
        <v>-2.4985239999999999E-2</v>
      </c>
      <c r="X1491">
        <v>0.9959382</v>
      </c>
      <c r="Y1491">
        <v>5.2719540000000002E-2</v>
      </c>
      <c r="Z1491">
        <v>3.3672139999999999E-3</v>
      </c>
      <c r="AA1491">
        <v>0.99860369999999998</v>
      </c>
      <c r="AB1491">
        <v>13</v>
      </c>
      <c r="AC1491">
        <v>-23.685400000000001</v>
      </c>
      <c r="AD1491">
        <v>-1.10975604350329</v>
      </c>
      <c r="AE1491">
        <v>0.16989999999998401</v>
      </c>
      <c r="AF1491">
        <v>1.2549527445544499</v>
      </c>
      <c r="AG1491">
        <v>-1.10975604350329</v>
      </c>
      <c r="AH1491">
        <v>23.6007860600293</v>
      </c>
      <c r="AI1491">
        <v>92.688386395451602</v>
      </c>
      <c r="AJ1491">
        <v>86.956209789477199</v>
      </c>
      <c r="AK1491">
        <v>23.660168374684702</v>
      </c>
      <c r="AL1491">
        <v>91.431697746467094</v>
      </c>
      <c r="AM1491">
        <v>85.0359452103894</v>
      </c>
      <c r="AN1491">
        <v>1.0000000287355399</v>
      </c>
    </row>
    <row r="1492" spans="1:40" x14ac:dyDescent="0.25">
      <c r="A1492" t="str">
        <f>"20190312160942619"</f>
        <v>20190312160942619</v>
      </c>
      <c r="B1492" t="str">
        <f>"1552378182616787"</f>
        <v>1552378182616787</v>
      </c>
      <c r="C1492" t="s">
        <v>40</v>
      </c>
      <c r="D1492">
        <v>5.7188420000000004</v>
      </c>
      <c r="E1492">
        <v>0.47014309999999998</v>
      </c>
      <c r="F1492" t="s">
        <v>42</v>
      </c>
      <c r="G1492">
        <v>-221.69739999999999</v>
      </c>
      <c r="H1492">
        <v>0.89463040000000005</v>
      </c>
      <c r="I1492">
        <v>283.8818</v>
      </c>
      <c r="J1492">
        <v>-221.1293</v>
      </c>
      <c r="K1492">
        <v>1.109764</v>
      </c>
      <c r="L1492">
        <v>283.90480000000002</v>
      </c>
      <c r="M1492">
        <v>-0.99890230000000002</v>
      </c>
      <c r="N1492">
        <v>0</v>
      </c>
      <c r="O1492">
        <v>-4.579366E-2</v>
      </c>
      <c r="P1492">
        <v>-0.99855740000000004</v>
      </c>
      <c r="Q1492">
        <v>-3.4686790000000002E-2</v>
      </c>
      <c r="R1492">
        <v>4.0990579999999999E-2</v>
      </c>
      <c r="S1492">
        <v>-2.9772799999999999</v>
      </c>
      <c r="T1492">
        <v>-0.91833089999999995</v>
      </c>
      <c r="U1492">
        <v>-0.1234741</v>
      </c>
      <c r="V1492">
        <v>8.6676299999999998E-2</v>
      </c>
      <c r="W1492">
        <v>-2.4857379999999998E-2</v>
      </c>
      <c r="X1492">
        <v>0.99592639999999999</v>
      </c>
      <c r="Y1492">
        <v>2.1409469999999998E-3</v>
      </c>
      <c r="Z1492">
        <v>1.41148E-2</v>
      </c>
      <c r="AA1492">
        <v>0.99989810000000001</v>
      </c>
      <c r="AB1492">
        <v>13</v>
      </c>
      <c r="AC1492">
        <v>-0.56809999999998695</v>
      </c>
      <c r="AD1492">
        <v>-0.21513359999999901</v>
      </c>
      <c r="AE1492">
        <v>-2.3000000000024501E-2</v>
      </c>
      <c r="AF1492">
        <v>2.6599454701584399E-3</v>
      </c>
      <c r="AG1492">
        <v>-0.21513359999999901</v>
      </c>
      <c r="AH1492">
        <v>0.49735093845898798</v>
      </c>
      <c r="AI1492">
        <v>113.391029162322</v>
      </c>
      <c r="AJ1492">
        <v>89.693572115138195</v>
      </c>
      <c r="AK1492">
        <v>0.54189251438352604</v>
      </c>
      <c r="AL1492">
        <v>91.424369627273805</v>
      </c>
      <c r="AM1492">
        <v>85.026033769998506</v>
      </c>
      <c r="AN1492">
        <v>1.0000000322695499</v>
      </c>
    </row>
    <row r="1493" spans="1:40" x14ac:dyDescent="0.25">
      <c r="A1493" t="str">
        <f>"20190312160942641"</f>
        <v>20190312160942641</v>
      </c>
      <c r="B1493" t="str">
        <f>"1552378182637035"</f>
        <v>1552378182637035</v>
      </c>
      <c r="C1493" t="s">
        <v>40</v>
      </c>
      <c r="D1493">
        <v>5.8785980000000002</v>
      </c>
      <c r="E1493">
        <v>0.46930569999999999</v>
      </c>
      <c r="F1493" t="s">
        <v>42</v>
      </c>
      <c r="G1493">
        <v>-221.8107</v>
      </c>
      <c r="H1493">
        <v>0.88684810000000003</v>
      </c>
      <c r="I1493">
        <v>283.87549999999999</v>
      </c>
      <c r="J1493">
        <v>-221.25550000000001</v>
      </c>
      <c r="K1493">
        <v>1.109775</v>
      </c>
      <c r="L1493">
        <v>283.89920000000001</v>
      </c>
      <c r="M1493">
        <v>-0.99890760000000001</v>
      </c>
      <c r="N1493">
        <v>0</v>
      </c>
      <c r="O1493">
        <v>-4.5687119999999998E-2</v>
      </c>
      <c r="P1493">
        <v>-0.9986024</v>
      </c>
      <c r="Q1493">
        <v>-3.3811910000000001E-2</v>
      </c>
      <c r="R1493">
        <v>4.0619860000000001E-2</v>
      </c>
      <c r="S1493">
        <v>-2.975784</v>
      </c>
      <c r="T1493">
        <v>-0.97364249999999997</v>
      </c>
      <c r="U1493">
        <v>-0.12820429999999999</v>
      </c>
      <c r="V1493">
        <v>8.6202390000000004E-2</v>
      </c>
      <c r="W1493">
        <v>-2.403129E-2</v>
      </c>
      <c r="X1493">
        <v>0.99598779999999998</v>
      </c>
      <c r="Y1493">
        <v>2.5919920000000001E-4</v>
      </c>
      <c r="Z1493">
        <v>1.4596680000000001E-2</v>
      </c>
      <c r="AA1493">
        <v>0.99989340000000004</v>
      </c>
      <c r="AB1493">
        <v>13</v>
      </c>
      <c r="AC1493">
        <v>-0.55519999999998404</v>
      </c>
      <c r="AD1493">
        <v>-0.22292689999999901</v>
      </c>
      <c r="AE1493">
        <v>-2.3700000000019299E-2</v>
      </c>
      <c r="AF1493">
        <v>1.4569881240421301E-3</v>
      </c>
      <c r="AG1493">
        <v>-0.22292689999999901</v>
      </c>
      <c r="AH1493">
        <v>0.47867083187533699</v>
      </c>
      <c r="AI1493">
        <v>114.972267089139</v>
      </c>
      <c r="AJ1493">
        <v>89.8256024663646</v>
      </c>
      <c r="AK1493">
        <v>0.52803815283200095</v>
      </c>
      <c r="AL1493">
        <v>91.3770240178943</v>
      </c>
      <c r="AM1493">
        <v>85.053397480688105</v>
      </c>
      <c r="AN1493">
        <v>1.0000000263447999</v>
      </c>
    </row>
    <row r="1494" spans="1:40" x14ac:dyDescent="0.25">
      <c r="A1494" t="str">
        <f>"20190312160942666"</f>
        <v>20190312160942666</v>
      </c>
      <c r="B1494" t="str">
        <f>"1552378182656555"</f>
        <v>1552378182656555</v>
      </c>
      <c r="C1494" t="s">
        <v>40</v>
      </c>
      <c r="D1494">
        <v>5.6644779999999999</v>
      </c>
      <c r="E1494">
        <v>0.47057700000000002</v>
      </c>
      <c r="F1494" t="s">
        <v>42</v>
      </c>
      <c r="G1494">
        <v>-221.93299999999999</v>
      </c>
      <c r="H1494">
        <v>0.89922569999999902</v>
      </c>
      <c r="I1494">
        <v>283.86869999999999</v>
      </c>
      <c r="J1494">
        <v>-221.39789999999999</v>
      </c>
      <c r="K1494">
        <v>1.109783</v>
      </c>
      <c r="L1494">
        <v>283.89280000000002</v>
      </c>
      <c r="M1494">
        <v>-0.99891189999999996</v>
      </c>
      <c r="N1494">
        <v>0</v>
      </c>
      <c r="O1494">
        <v>-4.5604209999999999E-2</v>
      </c>
      <c r="P1494">
        <v>-0.99862949999999995</v>
      </c>
      <c r="Q1494">
        <v>-3.3446570000000002E-2</v>
      </c>
      <c r="R1494">
        <v>4.0259440000000001E-2</v>
      </c>
      <c r="S1494">
        <v>-2.9783330000000001</v>
      </c>
      <c r="T1494">
        <v>-0.92561210000000005</v>
      </c>
      <c r="U1494">
        <v>-0.13491819999999999</v>
      </c>
      <c r="V1494">
        <v>8.5762099999999994E-2</v>
      </c>
      <c r="W1494">
        <v>-2.3719279999999999E-2</v>
      </c>
      <c r="X1494">
        <v>0.99603330000000001</v>
      </c>
      <c r="Y1494">
        <v>-1.711338E-3</v>
      </c>
      <c r="Z1494">
        <v>1.357352E-2</v>
      </c>
      <c r="AA1494">
        <v>0.99990639999999997</v>
      </c>
      <c r="AB1494">
        <v>13</v>
      </c>
      <c r="AC1494">
        <v>-0.53509999999999902</v>
      </c>
      <c r="AD1494">
        <v>-0.2105573</v>
      </c>
      <c r="AE1494">
        <v>-2.4100000000032599E-2</v>
      </c>
      <c r="AF1494">
        <v>2.8501113228641901E-4</v>
      </c>
      <c r="AG1494">
        <v>-0.2105573</v>
      </c>
      <c r="AH1494">
        <v>0.46395155827353002</v>
      </c>
      <c r="AI1494">
        <v>114.410189932454</v>
      </c>
      <c r="AJ1494">
        <v>89.964802504380302</v>
      </c>
      <c r="AK1494">
        <v>0.50949534466869495</v>
      </c>
      <c r="AL1494">
        <v>91.359142048429305</v>
      </c>
      <c r="AM1494">
        <v>85.078762209097107</v>
      </c>
      <c r="AN1494">
        <v>1.0000000383745</v>
      </c>
    </row>
    <row r="1495" spans="1:40" x14ac:dyDescent="0.25">
      <c r="A1495" t="str">
        <f>"20190312160942689"</f>
        <v>20190312160942689</v>
      </c>
      <c r="B1495" t="str">
        <f>"1552378182677050"</f>
        <v>1552378182677050</v>
      </c>
      <c r="C1495" t="s">
        <v>40</v>
      </c>
      <c r="D1495">
        <v>5.7244449999999896</v>
      </c>
      <c r="E1495">
        <v>0.45975159999999998</v>
      </c>
      <c r="F1495" t="s">
        <v>42</v>
      </c>
      <c r="G1495">
        <v>-222.17160000000001</v>
      </c>
      <c r="H1495">
        <v>0.90786230000000001</v>
      </c>
      <c r="I1495">
        <v>283.86090000000002</v>
      </c>
      <c r="J1495">
        <v>-221.5359</v>
      </c>
      <c r="K1495">
        <v>1.1097900000000001</v>
      </c>
      <c r="L1495">
        <v>283.88650000000001</v>
      </c>
      <c r="M1495">
        <v>-0.99891410000000003</v>
      </c>
      <c r="N1495">
        <v>0</v>
      </c>
      <c r="O1495">
        <v>-4.5566259999999997E-2</v>
      </c>
      <c r="P1495">
        <v>-0.9986235</v>
      </c>
      <c r="Q1495">
        <v>-3.4058999999999999E-2</v>
      </c>
      <c r="R1495">
        <v>3.9891490000000002E-2</v>
      </c>
      <c r="S1495">
        <v>-2.9830019999999999</v>
      </c>
      <c r="T1495">
        <v>-0.77854259999999997</v>
      </c>
      <c r="U1495">
        <v>-0.1228943</v>
      </c>
      <c r="V1495">
        <v>8.5357379999999997E-2</v>
      </c>
      <c r="W1495">
        <v>-2.4378259999999999E-2</v>
      </c>
      <c r="X1495">
        <v>0.9960521</v>
      </c>
      <c r="Y1495">
        <v>2.793542E-3</v>
      </c>
      <c r="Z1495">
        <v>1.204502E-2</v>
      </c>
      <c r="AA1495">
        <v>0.99992349999999997</v>
      </c>
      <c r="AB1495">
        <v>13</v>
      </c>
      <c r="AC1495">
        <v>-0.63570000000001403</v>
      </c>
      <c r="AD1495">
        <v>-0.20192769999999999</v>
      </c>
      <c r="AE1495">
        <v>-2.5599999999997101E-2</v>
      </c>
      <c r="AF1495">
        <v>3.08378339063215E-3</v>
      </c>
      <c r="AG1495">
        <v>-0.20192769999999999</v>
      </c>
      <c r="AH1495">
        <v>0.57798267827114302</v>
      </c>
      <c r="AI1495">
        <v>109.25744262983901</v>
      </c>
      <c r="AJ1495">
        <v>89.694305550476699</v>
      </c>
      <c r="AK1495">
        <v>0.61224854604055601</v>
      </c>
      <c r="AL1495">
        <v>91.396909819488997</v>
      </c>
      <c r="AM1495">
        <v>85.101964775423795</v>
      </c>
      <c r="AN1495">
        <v>0.99999998389775002</v>
      </c>
    </row>
    <row r="1496" spans="1:40" x14ac:dyDescent="0.25">
      <c r="A1496" t="str">
        <f>"20190312160942713"</f>
        <v>20190312160942713</v>
      </c>
      <c r="B1496" t="str">
        <f>"1552378182707308"</f>
        <v>1552378182707308</v>
      </c>
      <c r="C1496" t="s">
        <v>40</v>
      </c>
      <c r="D1496">
        <v>5.7026260000000004</v>
      </c>
      <c r="E1496">
        <v>0.47169840000000002</v>
      </c>
      <c r="F1496" t="s">
        <v>61</v>
      </c>
      <c r="G1496">
        <v>-238.48830000000001</v>
      </c>
      <c r="H1496" s="1">
        <v>3.0620979999999998E-6</v>
      </c>
      <c r="I1496">
        <v>282.74459999999999</v>
      </c>
      <c r="J1496">
        <v>-221.6721</v>
      </c>
      <c r="K1496">
        <v>1.1097939999999999</v>
      </c>
      <c r="L1496">
        <v>283.88029999999998</v>
      </c>
      <c r="M1496">
        <v>-0.998915</v>
      </c>
      <c r="N1496">
        <v>0</v>
      </c>
      <c r="O1496">
        <v>-4.555762E-2</v>
      </c>
      <c r="P1496">
        <v>-0.99862519999999999</v>
      </c>
      <c r="Q1496">
        <v>-3.4013729999999999E-2</v>
      </c>
      <c r="R1496">
        <v>3.9888659999999999E-2</v>
      </c>
      <c r="S1496">
        <v>-3.0055079999999998</v>
      </c>
      <c r="T1496">
        <v>-0.1967547</v>
      </c>
      <c r="U1496">
        <v>-0.20245360000000001</v>
      </c>
      <c r="V1496">
        <v>8.5346779999999997E-2</v>
      </c>
      <c r="W1496">
        <v>-2.437448E-2</v>
      </c>
      <c r="X1496">
        <v>0.99605310000000002</v>
      </c>
      <c r="Y1496">
        <v>-2.1732709999999999E-2</v>
      </c>
      <c r="Z1496">
        <v>2.2642920000000002E-3</v>
      </c>
      <c r="AA1496">
        <v>0.99976120000000002</v>
      </c>
      <c r="AB1496">
        <v>13</v>
      </c>
      <c r="AC1496">
        <v>-16.816199999999998</v>
      </c>
      <c r="AD1496">
        <v>-1.1097909379019999</v>
      </c>
      <c r="AE1496">
        <v>-1.1356999999999799</v>
      </c>
      <c r="AF1496">
        <v>-0.36678865340723399</v>
      </c>
      <c r="AG1496">
        <v>-1.1097909379019999</v>
      </c>
      <c r="AH1496">
        <v>16.777738784929301</v>
      </c>
      <c r="AI1496">
        <v>93.783508552453299</v>
      </c>
      <c r="AJ1496">
        <v>91.252379421784497</v>
      </c>
      <c r="AK1496">
        <v>16.818403270746</v>
      </c>
      <c r="AL1496">
        <v>91.396693178212601</v>
      </c>
      <c r="AM1496">
        <v>85.102574966205395</v>
      </c>
      <c r="AN1496">
        <v>0.99999998307562399</v>
      </c>
    </row>
    <row r="1497" spans="1:40" x14ac:dyDescent="0.25">
      <c r="A1497" t="str">
        <f>"20190312160942755"</f>
        <v>20190312160942755</v>
      </c>
      <c r="B1497" t="str">
        <f>"1552378182746856"</f>
        <v>1552378182746856</v>
      </c>
      <c r="C1497" t="s">
        <v>40</v>
      </c>
      <c r="D1497">
        <v>5.8109010000000003</v>
      </c>
      <c r="E1497">
        <v>0.47609289999999999</v>
      </c>
      <c r="F1497" t="s">
        <v>61</v>
      </c>
      <c r="G1497">
        <v>-241.64330000000001</v>
      </c>
      <c r="H1497" s="1">
        <v>-6.623209E-7</v>
      </c>
      <c r="I1497">
        <v>283.16989999999998</v>
      </c>
      <c r="J1497">
        <v>-221.9298</v>
      </c>
      <c r="K1497">
        <v>1.109782</v>
      </c>
      <c r="L1497">
        <v>283.86849999999998</v>
      </c>
      <c r="M1497">
        <v>-0.99891399999999997</v>
      </c>
      <c r="N1497">
        <v>0</v>
      </c>
      <c r="O1497">
        <v>-4.5593179999999997E-2</v>
      </c>
      <c r="P1497">
        <v>-0.99868650000000003</v>
      </c>
      <c r="Q1497">
        <v>-3.3991319999999998E-2</v>
      </c>
      <c r="R1497">
        <v>3.8336639999999998E-2</v>
      </c>
      <c r="S1497">
        <v>-3.0027010000000001</v>
      </c>
      <c r="T1497">
        <v>-0.16685949999999999</v>
      </c>
      <c r="U1497">
        <v>-0.1068115</v>
      </c>
      <c r="V1497">
        <v>8.3834500000000006E-2</v>
      </c>
      <c r="W1497">
        <v>-2.4428149999999999E-2</v>
      </c>
      <c r="X1497">
        <v>0.99618019999999996</v>
      </c>
      <c r="Y1497">
        <v>9.9685490000000002E-3</v>
      </c>
      <c r="Z1497">
        <v>2.806472E-3</v>
      </c>
      <c r="AA1497">
        <v>0.99994640000000001</v>
      </c>
      <c r="AB1497">
        <v>13</v>
      </c>
      <c r="AC1497">
        <v>-19.7135</v>
      </c>
      <c r="AD1497">
        <v>-1.1097826623208999</v>
      </c>
      <c r="AE1497">
        <v>-0.698599999999999</v>
      </c>
      <c r="AF1497">
        <v>0.20033498313831299</v>
      </c>
      <c r="AG1497">
        <v>-1.1097826623208999</v>
      </c>
      <c r="AH1497">
        <v>19.662614292969302</v>
      </c>
      <c r="AI1497">
        <v>93.230251119290301</v>
      </c>
      <c r="AJ1497">
        <v>89.416255046523304</v>
      </c>
      <c r="AK1497">
        <v>19.694927075192201</v>
      </c>
      <c r="AL1497">
        <v>91.399769170808398</v>
      </c>
      <c r="AM1497">
        <v>85.189553586201797</v>
      </c>
      <c r="AN1497">
        <v>0.999999974387355</v>
      </c>
    </row>
    <row r="1498" spans="1:40" x14ac:dyDescent="0.25">
      <c r="A1498" t="str">
        <f>"20190312160942801"</f>
        <v>20190312160942801</v>
      </c>
      <c r="B1498" t="str">
        <f>"1552378182796633"</f>
        <v>1552378182796633</v>
      </c>
      <c r="C1498" t="s">
        <v>40</v>
      </c>
      <c r="D1498">
        <v>5.9458529999999996</v>
      </c>
      <c r="E1498">
        <v>0.47715540000000001</v>
      </c>
      <c r="F1498" t="s">
        <v>61</v>
      </c>
      <c r="G1498">
        <v>-241.63939999999999</v>
      </c>
      <c r="H1498" s="1">
        <v>-6.6437810000000001E-7</v>
      </c>
      <c r="I1498">
        <v>283.36599999999999</v>
      </c>
      <c r="J1498">
        <v>-222.20349999999999</v>
      </c>
      <c r="K1498">
        <v>1.109758</v>
      </c>
      <c r="L1498">
        <v>283.85590000000002</v>
      </c>
      <c r="M1498">
        <v>-0.99891039999999998</v>
      </c>
      <c r="N1498">
        <v>0</v>
      </c>
      <c r="O1498">
        <v>-4.5691660000000002E-2</v>
      </c>
      <c r="P1498">
        <v>-0.99861659999999997</v>
      </c>
      <c r="Q1498">
        <v>-3.5221339999999997E-2</v>
      </c>
      <c r="R1498">
        <v>3.90415E-2</v>
      </c>
      <c r="S1498">
        <v>-3.0011290000000002</v>
      </c>
      <c r="T1498">
        <v>-0.16898369999999999</v>
      </c>
      <c r="U1498">
        <v>-7.6507569999999997E-2</v>
      </c>
      <c r="V1498">
        <v>8.463329E-2</v>
      </c>
      <c r="W1498">
        <v>-2.57445E-2</v>
      </c>
      <c r="X1498">
        <v>0.99607950000000001</v>
      </c>
      <c r="Y1498">
        <v>2.0116749999999999E-2</v>
      </c>
      <c r="Z1498">
        <v>3.1351780000000002E-3</v>
      </c>
      <c r="AA1498">
        <v>0.99979269999999998</v>
      </c>
      <c r="AB1498">
        <v>13</v>
      </c>
      <c r="AC1498">
        <v>-19.4359</v>
      </c>
      <c r="AD1498">
        <v>-1.1097586643780999</v>
      </c>
      <c r="AE1498">
        <v>-0.48990000000003397</v>
      </c>
      <c r="AF1498">
        <v>0.397415486966742</v>
      </c>
      <c r="AG1498">
        <v>-1.1097586643780999</v>
      </c>
      <c r="AH1498">
        <v>19.3748581664242</v>
      </c>
      <c r="AI1498">
        <v>93.277534185382294</v>
      </c>
      <c r="AJ1498">
        <v>88.824918495541098</v>
      </c>
      <c r="AK1498">
        <v>19.410683458639401</v>
      </c>
      <c r="AL1498">
        <v>91.475214224960297</v>
      </c>
      <c r="AM1498">
        <v>85.143448371182899</v>
      </c>
      <c r="AN1498">
        <v>0.99999997168836097</v>
      </c>
    </row>
    <row r="1499" spans="1:40" x14ac:dyDescent="0.25">
      <c r="A1499" t="str">
        <f>"20190312160942822"</f>
        <v>20190312160942822</v>
      </c>
      <c r="B1499" t="str">
        <f>"1552378182817128"</f>
        <v>1552378182817128</v>
      </c>
      <c r="C1499" t="s">
        <v>40</v>
      </c>
      <c r="D1499">
        <v>5.6378199999999996</v>
      </c>
      <c r="E1499">
        <v>0.47758329999999999</v>
      </c>
      <c r="F1499" t="s">
        <v>61</v>
      </c>
      <c r="G1499">
        <v>-241.71119999999999</v>
      </c>
      <c r="H1499" s="1">
        <v>-6.2618929999999997E-7</v>
      </c>
      <c r="I1499">
        <v>283.42630000000003</v>
      </c>
      <c r="J1499">
        <v>-222.33430000000001</v>
      </c>
      <c r="K1499">
        <v>1.1097459999999999</v>
      </c>
      <c r="L1499">
        <v>283.84980000000002</v>
      </c>
      <c r="M1499">
        <v>-0.99890769999999995</v>
      </c>
      <c r="N1499">
        <v>0</v>
      </c>
      <c r="O1499">
        <v>-4.576098E-2</v>
      </c>
      <c r="P1499">
        <v>-0.99862150000000005</v>
      </c>
      <c r="Q1499">
        <v>-3.538181E-2</v>
      </c>
      <c r="R1499">
        <v>3.8777029999999997E-2</v>
      </c>
      <c r="S1499">
        <v>-3.0007169999999999</v>
      </c>
      <c r="T1499">
        <v>-0.17070569999999999</v>
      </c>
      <c r="U1499">
        <v>-6.607056E-2</v>
      </c>
      <c r="V1499">
        <v>8.4438689999999997E-2</v>
      </c>
      <c r="W1499">
        <v>-2.5945869999999999E-2</v>
      </c>
      <c r="X1499">
        <v>0.99609080000000005</v>
      </c>
      <c r="Y1499">
        <v>2.3649969999999999E-2</v>
      </c>
      <c r="Z1499">
        <v>3.2720319999999998E-3</v>
      </c>
      <c r="AA1499">
        <v>0.99971500000000002</v>
      </c>
      <c r="AB1499">
        <v>13</v>
      </c>
      <c r="AC1499">
        <v>-19.3768999999999</v>
      </c>
      <c r="AD1499">
        <v>-1.1097466261893001</v>
      </c>
      <c r="AE1499">
        <v>-0.42349999999999</v>
      </c>
      <c r="AF1499">
        <v>0.462174010572241</v>
      </c>
      <c r="AG1499">
        <v>-1.1097466261893001</v>
      </c>
      <c r="AH1499">
        <v>19.312663872516801</v>
      </c>
      <c r="AI1499">
        <v>93.287781265878493</v>
      </c>
      <c r="AJ1499">
        <v>88.629108497252105</v>
      </c>
      <c r="AK1499">
        <v>19.350042073421999</v>
      </c>
      <c r="AL1499">
        <v>91.486755717649501</v>
      </c>
      <c r="AM1499">
        <v>85.154616673260904</v>
      </c>
      <c r="AN1499">
        <v>0.999999981191806</v>
      </c>
    </row>
    <row r="1500" spans="1:40" x14ac:dyDescent="0.25">
      <c r="A1500" t="str">
        <f>"20190312160942844"</f>
        <v>20190312160942844</v>
      </c>
      <c r="B1500" t="str">
        <f>"1552378182837091"</f>
        <v>1552378182837091</v>
      </c>
      <c r="C1500" t="s">
        <v>40</v>
      </c>
      <c r="D1500">
        <v>5.7393070000000002</v>
      </c>
      <c r="E1500">
        <v>0.47812149999999998</v>
      </c>
      <c r="F1500" t="s">
        <v>61</v>
      </c>
      <c r="G1500">
        <v>-242.04300000000001</v>
      </c>
      <c r="H1500" s="1">
        <v>-4.4961919999999998E-7</v>
      </c>
      <c r="I1500">
        <v>283.43349999999998</v>
      </c>
      <c r="J1500">
        <v>-222.46190000000001</v>
      </c>
      <c r="K1500">
        <v>1.1097440000000001</v>
      </c>
      <c r="L1500">
        <v>283.84390000000002</v>
      </c>
      <c r="M1500">
        <v>-0.99890429999999997</v>
      </c>
      <c r="N1500">
        <v>0</v>
      </c>
      <c r="O1500">
        <v>-4.5840499999999999E-2</v>
      </c>
      <c r="P1500">
        <v>-0.99864149999999996</v>
      </c>
      <c r="Q1500">
        <v>-3.4704569999999997E-2</v>
      </c>
      <c r="R1500">
        <v>3.8872879999999999E-2</v>
      </c>
      <c r="S1500">
        <v>-3.0005950000000001</v>
      </c>
      <c r="T1500">
        <v>-0.1689562</v>
      </c>
      <c r="U1500">
        <v>-6.3385010000000006E-2</v>
      </c>
      <c r="V1500">
        <v>8.4614980000000006E-2</v>
      </c>
      <c r="W1500">
        <v>-2.530721E-2</v>
      </c>
      <c r="X1500">
        <v>0.99609230000000004</v>
      </c>
      <c r="Y1500">
        <v>2.4623570000000001E-2</v>
      </c>
      <c r="Z1500">
        <v>3.2705809999999998E-3</v>
      </c>
      <c r="AA1500">
        <v>0.99969140000000001</v>
      </c>
      <c r="AB1500">
        <v>13</v>
      </c>
      <c r="AC1500">
        <v>-19.5810999999999</v>
      </c>
      <c r="AD1500">
        <v>-1.1097444496191999</v>
      </c>
      <c r="AE1500">
        <v>-0.41040000000003801</v>
      </c>
      <c r="AF1500">
        <v>0.48611804284826499</v>
      </c>
      <c r="AG1500">
        <v>-1.1097444496191999</v>
      </c>
      <c r="AH1500">
        <v>19.516668268276899</v>
      </c>
      <c r="AI1500">
        <v>93.253405115685496</v>
      </c>
      <c r="AJ1500">
        <v>88.573180931459206</v>
      </c>
      <c r="AK1500">
        <v>19.554236977929101</v>
      </c>
      <c r="AL1500">
        <v>91.450151130691694</v>
      </c>
      <c r="AM1500">
        <v>85.144556134691499</v>
      </c>
      <c r="AN1500">
        <v>1.00000000991883</v>
      </c>
    </row>
    <row r="1501" spans="1:40" x14ac:dyDescent="0.25">
      <c r="A1501" t="str">
        <f>"20190312160942867"</f>
        <v>20190312160942867</v>
      </c>
      <c r="B1501" t="str">
        <f>"1552378182856611"</f>
        <v>1552378182856611</v>
      </c>
      <c r="C1501" t="s">
        <v>40</v>
      </c>
      <c r="D1501">
        <v>5.8676820000000003</v>
      </c>
      <c r="E1501">
        <v>0.47859249999999998</v>
      </c>
      <c r="F1501" t="s">
        <v>61</v>
      </c>
      <c r="G1501">
        <v>-242.40389999999999</v>
      </c>
      <c r="H1501" s="1">
        <v>-2.5754670000000002E-7</v>
      </c>
      <c r="I1501">
        <v>283.45429999999999</v>
      </c>
      <c r="J1501">
        <v>-222.60079999999999</v>
      </c>
      <c r="K1501">
        <v>1.1097509999999999</v>
      </c>
      <c r="L1501">
        <v>283.8374</v>
      </c>
      <c r="M1501">
        <v>-0.99890009999999996</v>
      </c>
      <c r="N1501">
        <v>0</v>
      </c>
      <c r="O1501">
        <v>-4.5940429999999997E-2</v>
      </c>
      <c r="P1501">
        <v>-0.9986621</v>
      </c>
      <c r="Q1501">
        <v>-3.4563139999999999E-2</v>
      </c>
      <c r="R1501">
        <v>3.8464100000000001E-2</v>
      </c>
      <c r="S1501">
        <v>-3.0005799999999998</v>
      </c>
      <c r="T1501">
        <v>-0.16697799999999999</v>
      </c>
      <c r="U1501">
        <v>-5.8624269999999999E-2</v>
      </c>
      <c r="V1501">
        <v>8.4307649999999998E-2</v>
      </c>
      <c r="W1501">
        <v>-2.5204049999999999E-2</v>
      </c>
      <c r="X1501">
        <v>0.99612100000000003</v>
      </c>
      <c r="Y1501">
        <v>2.6308709999999999E-2</v>
      </c>
      <c r="Z1501">
        <v>3.2848370000000001E-3</v>
      </c>
      <c r="AA1501">
        <v>0.99964850000000005</v>
      </c>
      <c r="AB1501">
        <v>14</v>
      </c>
      <c r="AC1501">
        <v>-19.803100000000001</v>
      </c>
      <c r="AD1501">
        <v>-1.1097512575466999</v>
      </c>
      <c r="AE1501">
        <v>-0.38310000000001299</v>
      </c>
      <c r="AF1501">
        <v>0.52545798118408504</v>
      </c>
      <c r="AG1501">
        <v>-1.1097512575466999</v>
      </c>
      <c r="AH1501">
        <v>19.737828740345901</v>
      </c>
      <c r="AI1501">
        <v>93.216906043338199</v>
      </c>
      <c r="AJ1501">
        <v>88.4750391927533</v>
      </c>
      <c r="AK1501">
        <v>19.7759838523104</v>
      </c>
      <c r="AL1501">
        <v>91.444238575508805</v>
      </c>
      <c r="AM1501">
        <v>85.1622464602234</v>
      </c>
      <c r="AN1501">
        <v>1.0000000353129599</v>
      </c>
    </row>
    <row r="1502" spans="1:40" x14ac:dyDescent="0.25">
      <c r="A1502" t="str">
        <f>"20190312160942889"</f>
        <v>20190312160942889</v>
      </c>
      <c r="B1502" t="str">
        <f>"1552378182877107"</f>
        <v>1552378182877107</v>
      </c>
      <c r="C1502" t="s">
        <v>40</v>
      </c>
      <c r="D1502">
        <v>5.8524079999999996</v>
      </c>
      <c r="E1502">
        <v>0.4788019</v>
      </c>
      <c r="F1502" t="s">
        <v>61</v>
      </c>
      <c r="G1502">
        <v>-242.58619999999999</v>
      </c>
      <c r="H1502" s="1">
        <v>-1.6054279999999899E-7</v>
      </c>
      <c r="I1502">
        <v>283.46319999999997</v>
      </c>
      <c r="J1502">
        <v>-222.738</v>
      </c>
      <c r="K1502">
        <v>1.1097539999999999</v>
      </c>
      <c r="L1502">
        <v>283.83100000000002</v>
      </c>
      <c r="M1502">
        <v>-0.99889530000000004</v>
      </c>
      <c r="N1502">
        <v>0</v>
      </c>
      <c r="O1502">
        <v>-4.6050849999999997E-2</v>
      </c>
      <c r="P1502">
        <v>-0.99860079999999996</v>
      </c>
      <c r="Q1502">
        <v>-3.5814220000000001E-2</v>
      </c>
      <c r="R1502">
        <v>3.890768E-2</v>
      </c>
      <c r="S1502">
        <v>-3.0004119999999999</v>
      </c>
      <c r="T1502">
        <v>-0.1666069</v>
      </c>
      <c r="U1502">
        <v>-5.6182860000000001E-2</v>
      </c>
      <c r="V1502">
        <v>8.485856E-2</v>
      </c>
      <c r="W1502">
        <v>-2.6490030000000001E-2</v>
      </c>
      <c r="X1502">
        <v>0.99604079999999995</v>
      </c>
      <c r="Y1502">
        <v>2.72301E-2</v>
      </c>
      <c r="Z1502">
        <v>3.3094470000000001E-3</v>
      </c>
      <c r="AA1502">
        <v>0.9996237</v>
      </c>
      <c r="AB1502">
        <v>14</v>
      </c>
      <c r="AC1502">
        <v>-19.848199999999899</v>
      </c>
      <c r="AD1502">
        <v>-1.1097541605428001</v>
      </c>
      <c r="AE1502">
        <v>-0.36779999999998803</v>
      </c>
      <c r="AF1502">
        <v>0.54495367805442596</v>
      </c>
      <c r="AG1502">
        <v>-1.1097541605428001</v>
      </c>
      <c r="AH1502">
        <v>19.782258091468002</v>
      </c>
      <c r="AI1502">
        <v>93.209624385617801</v>
      </c>
      <c r="AJ1502">
        <v>88.422038018745894</v>
      </c>
      <c r="AK1502">
        <v>19.8208542703264</v>
      </c>
      <c r="AL1502">
        <v>91.517944503713906</v>
      </c>
      <c r="AM1502">
        <v>85.130395385488995</v>
      </c>
      <c r="AN1502">
        <v>0.99999998607965701</v>
      </c>
    </row>
    <row r="1503" spans="1:40" x14ac:dyDescent="0.25">
      <c r="A1503" t="str">
        <f>"20190312160942913"</f>
        <v>20190312160942913</v>
      </c>
      <c r="B1503" t="str">
        <f>"1552378182907364"</f>
        <v>1552378182907364</v>
      </c>
      <c r="C1503" t="s">
        <v>40</v>
      </c>
      <c r="D1503">
        <v>5.631456</v>
      </c>
      <c r="E1503">
        <v>0.47900160000000003</v>
      </c>
      <c r="F1503" t="s">
        <v>61</v>
      </c>
      <c r="G1503">
        <v>-241.75470000000001</v>
      </c>
      <c r="H1503" s="1">
        <v>-6.03012E-7</v>
      </c>
      <c r="I1503">
        <v>283.49340000000001</v>
      </c>
      <c r="J1503">
        <v>-222.87809999999999</v>
      </c>
      <c r="K1503">
        <v>1.109756</v>
      </c>
      <c r="L1503">
        <v>283.82440000000003</v>
      </c>
      <c r="M1503">
        <v>-0.9988899</v>
      </c>
      <c r="N1503">
        <v>0</v>
      </c>
      <c r="O1503">
        <v>-4.6175910000000001E-2</v>
      </c>
      <c r="P1503">
        <v>-0.99857600000000002</v>
      </c>
      <c r="Q1503">
        <v>-3.6200629999999998E-2</v>
      </c>
      <c r="R1503">
        <v>3.9189910000000001E-2</v>
      </c>
      <c r="S1503">
        <v>-2.9999850000000001</v>
      </c>
      <c r="T1503">
        <v>-0.17506949999999999</v>
      </c>
      <c r="U1503">
        <v>-5.3253170000000002E-2</v>
      </c>
      <c r="V1503">
        <v>8.5264489999999998E-2</v>
      </c>
      <c r="W1503">
        <v>-2.6907919999999998E-2</v>
      </c>
      <c r="X1503">
        <v>0.99599490000000002</v>
      </c>
      <c r="Y1503">
        <v>2.8314590000000001E-2</v>
      </c>
      <c r="Z1503">
        <v>3.5167060000000001E-3</v>
      </c>
      <c r="AA1503">
        <v>0.99959290000000001</v>
      </c>
      <c r="AB1503">
        <v>14</v>
      </c>
      <c r="AC1503">
        <v>-18.8766</v>
      </c>
      <c r="AD1503">
        <v>-1.1097566030120001</v>
      </c>
      <c r="AE1503">
        <v>-0.331000000000017</v>
      </c>
      <c r="AF1503">
        <v>0.53917214169096805</v>
      </c>
      <c r="AG1503">
        <v>-1.1097566030120001</v>
      </c>
      <c r="AH1503">
        <v>18.8067665976466</v>
      </c>
      <c r="AI1503">
        <v>93.375630751528803</v>
      </c>
      <c r="AJ1503">
        <v>88.357834210636298</v>
      </c>
      <c r="AK1503">
        <v>18.847194384699801</v>
      </c>
      <c r="AL1503">
        <v>91.541896423662706</v>
      </c>
      <c r="AM1503">
        <v>85.106989538007099</v>
      </c>
      <c r="AN1503">
        <v>0.99999995511984696</v>
      </c>
    </row>
    <row r="1504" spans="1:40" x14ac:dyDescent="0.25">
      <c r="A1504" t="str">
        <f>"20190312160942936"</f>
        <v>20190312160942936</v>
      </c>
      <c r="B1504" t="str">
        <f>"1552378182926883"</f>
        <v>1552378182926883</v>
      </c>
      <c r="C1504" t="s">
        <v>40</v>
      </c>
      <c r="D1504">
        <v>5.712523</v>
      </c>
      <c r="E1504">
        <v>0.47899360000000002</v>
      </c>
      <c r="F1504" t="s">
        <v>61</v>
      </c>
      <c r="G1504">
        <v>-241.41480000000001</v>
      </c>
      <c r="H1504" s="1">
        <v>-7.8388190000000001E-7</v>
      </c>
      <c r="I1504">
        <v>283.50889999999998</v>
      </c>
      <c r="J1504">
        <v>-223.01840000000001</v>
      </c>
      <c r="K1504">
        <v>1.1097509999999999</v>
      </c>
      <c r="L1504">
        <v>283.8177</v>
      </c>
      <c r="M1504">
        <v>-0.99888370000000004</v>
      </c>
      <c r="N1504">
        <v>0</v>
      </c>
      <c r="O1504">
        <v>-4.6313609999999998E-2</v>
      </c>
      <c r="P1504">
        <v>-0.99860269999999995</v>
      </c>
      <c r="Q1504">
        <v>-3.5264160000000003E-2</v>
      </c>
      <c r="R1504">
        <v>3.935963E-2</v>
      </c>
      <c r="S1504">
        <v>-2.999771</v>
      </c>
      <c r="T1504">
        <v>-0.17959020000000001</v>
      </c>
      <c r="U1504">
        <v>-5.1055910000000003E-2</v>
      </c>
      <c r="V1504">
        <v>8.5572389999999998E-2</v>
      </c>
      <c r="W1504">
        <v>-2.5999029999999999E-2</v>
      </c>
      <c r="X1504">
        <v>0.99599269999999995</v>
      </c>
      <c r="Y1504">
        <v>2.9174640000000002E-2</v>
      </c>
      <c r="Z1504">
        <v>3.6415940000000002E-3</v>
      </c>
      <c r="AA1504">
        <v>0.99956769999999995</v>
      </c>
      <c r="AB1504">
        <v>14</v>
      </c>
      <c r="AC1504">
        <v>-18.3964</v>
      </c>
      <c r="AD1504">
        <v>-1.10975178388189</v>
      </c>
      <c r="AE1504">
        <v>-0.308800000000019</v>
      </c>
      <c r="AF1504">
        <v>0.54160154138016803</v>
      </c>
      <c r="AG1504">
        <v>-1.10975178388189</v>
      </c>
      <c r="AH1504">
        <v>18.324296340629399</v>
      </c>
      <c r="AI1504">
        <v>93.464191644478404</v>
      </c>
      <c r="AJ1504">
        <v>88.307031798493597</v>
      </c>
      <c r="AK1504">
        <v>18.3658573889339</v>
      </c>
      <c r="AL1504">
        <v>91.489802529902406</v>
      </c>
      <c r="AM1504">
        <v>85.089395759076496</v>
      </c>
      <c r="AN1504">
        <v>1.0000000209722699</v>
      </c>
    </row>
    <row r="1505" spans="1:40" x14ac:dyDescent="0.25">
      <c r="A1505" t="str">
        <f>"20190312160942957"</f>
        <v>20190312160942957</v>
      </c>
      <c r="B1505" t="str">
        <f>"1552378182946909"</f>
        <v>1552378182946909</v>
      </c>
      <c r="C1505" t="s">
        <v>40</v>
      </c>
      <c r="D1505">
        <v>5.7080479999999998</v>
      </c>
      <c r="E1505">
        <v>0.4788097</v>
      </c>
      <c r="F1505" t="s">
        <v>61</v>
      </c>
      <c r="G1505">
        <v>-241.47880000000001</v>
      </c>
      <c r="H1505" s="1">
        <v>-7.4984519999999901E-7</v>
      </c>
      <c r="I1505">
        <v>283.50670000000002</v>
      </c>
      <c r="J1505">
        <v>-223.15299999999999</v>
      </c>
      <c r="K1505">
        <v>1.1097490000000001</v>
      </c>
      <c r="L1505">
        <v>283.81130000000002</v>
      </c>
      <c r="M1505">
        <v>-0.99887740000000003</v>
      </c>
      <c r="N1505">
        <v>0</v>
      </c>
      <c r="O1505">
        <v>-4.6458100000000002E-2</v>
      </c>
      <c r="P1505">
        <v>-0.99859960000000003</v>
      </c>
      <c r="Q1505">
        <v>-3.5280430000000002E-2</v>
      </c>
      <c r="R1505">
        <v>3.9428350000000001E-2</v>
      </c>
      <c r="S1505">
        <v>-2.9998019999999999</v>
      </c>
      <c r="T1505">
        <v>-0.18033389999999999</v>
      </c>
      <c r="U1505">
        <v>-5.0537110000000003E-2</v>
      </c>
      <c r="V1505">
        <v>8.5784990000000005E-2</v>
      </c>
      <c r="W1505">
        <v>-2.6041129999999999E-2</v>
      </c>
      <c r="X1505">
        <v>0.99597329999999995</v>
      </c>
      <c r="Y1505">
        <v>2.9490260000000001E-2</v>
      </c>
      <c r="Z1505">
        <v>3.6747619999999998E-3</v>
      </c>
      <c r="AA1505">
        <v>0.99955830000000001</v>
      </c>
      <c r="AB1505">
        <v>14</v>
      </c>
      <c r="AC1505">
        <v>-18.325800000000001</v>
      </c>
      <c r="AD1505">
        <v>-1.10974974984519</v>
      </c>
      <c r="AE1505">
        <v>-0.30459999999999299</v>
      </c>
      <c r="AF1505">
        <v>0.54514863795202995</v>
      </c>
      <c r="AG1505">
        <v>-1.10974974984519</v>
      </c>
      <c r="AH1505">
        <v>18.253244361902301</v>
      </c>
      <c r="AI1505">
        <v>93.477604994655593</v>
      </c>
      <c r="AJ1505">
        <v>88.289321409880401</v>
      </c>
      <c r="AK1505">
        <v>18.295072049053498</v>
      </c>
      <c r="AL1505">
        <v>91.492215516070203</v>
      </c>
      <c r="AM1505">
        <v>85.077160088813201</v>
      </c>
      <c r="AN1505">
        <v>1.0000000096369299</v>
      </c>
    </row>
    <row r="1506" spans="1:40" x14ac:dyDescent="0.25">
      <c r="A1506" t="str">
        <f>"20190312160942978"</f>
        <v>20190312160942978</v>
      </c>
      <c r="B1506" t="str">
        <f>"1552378182967406"</f>
        <v>1552378182967406</v>
      </c>
      <c r="C1506" t="s">
        <v>40</v>
      </c>
      <c r="D1506">
        <v>5.7135470000000002</v>
      </c>
      <c r="E1506">
        <v>0.47870430000000003</v>
      </c>
      <c r="F1506" t="s">
        <v>61</v>
      </c>
      <c r="G1506">
        <v>-241.21190000000001</v>
      </c>
      <c r="H1506" s="1">
        <v>-8.9188319999999897E-7</v>
      </c>
      <c r="I1506">
        <v>283.49860000000001</v>
      </c>
      <c r="J1506">
        <v>-223.28020000000001</v>
      </c>
      <c r="K1506">
        <v>1.1097440000000001</v>
      </c>
      <c r="L1506">
        <v>283.80520000000001</v>
      </c>
      <c r="M1506">
        <v>-0.9988707</v>
      </c>
      <c r="N1506">
        <v>0</v>
      </c>
      <c r="O1506">
        <v>-4.6604850000000003E-2</v>
      </c>
      <c r="P1506">
        <v>-0.99857810000000002</v>
      </c>
      <c r="Q1506">
        <v>-3.5294300000000001E-2</v>
      </c>
      <c r="R1506">
        <v>3.9953460000000003E-2</v>
      </c>
      <c r="S1506">
        <v>-2.9997410000000002</v>
      </c>
      <c r="T1506">
        <v>-0.18433949999999999</v>
      </c>
      <c r="U1506">
        <v>-5.1940920000000002E-2</v>
      </c>
      <c r="V1506">
        <v>8.645477E-2</v>
      </c>
      <c r="W1506">
        <v>-2.6081279999999998E-2</v>
      </c>
      <c r="X1506">
        <v>0.99591430000000003</v>
      </c>
      <c r="Y1506">
        <v>2.9163310000000001E-2</v>
      </c>
      <c r="Z1506">
        <v>3.755254E-3</v>
      </c>
      <c r="AA1506">
        <v>0.9995676</v>
      </c>
      <c r="AB1506">
        <v>14</v>
      </c>
      <c r="AC1506">
        <v>-17.931699999999999</v>
      </c>
      <c r="AD1506">
        <v>-1.1097448918832</v>
      </c>
      <c r="AE1506">
        <v>-0.30660000000000298</v>
      </c>
      <c r="AF1506">
        <v>0.52745344029418195</v>
      </c>
      <c r="AG1506">
        <v>-1.1097448918832</v>
      </c>
      <c r="AH1506">
        <v>17.858126114710899</v>
      </c>
      <c r="AI1506">
        <v>93.554372489282699</v>
      </c>
      <c r="AJ1506">
        <v>88.308217078082393</v>
      </c>
      <c r="AK1506">
        <v>17.900346621941701</v>
      </c>
      <c r="AL1506">
        <v>91.494516772463498</v>
      </c>
      <c r="AM1506">
        <v>85.0386228791576</v>
      </c>
      <c r="AN1506">
        <v>0.99999997668333995</v>
      </c>
    </row>
    <row r="1507" spans="1:40" x14ac:dyDescent="0.25">
      <c r="A1507" t="str">
        <f>"20190312160943001"</f>
        <v>20190312160943001</v>
      </c>
      <c r="B1507" t="str">
        <f>"1552378182996686"</f>
        <v>1552378182996686</v>
      </c>
      <c r="C1507" t="s">
        <v>40</v>
      </c>
      <c r="D1507">
        <v>5.74064</v>
      </c>
      <c r="E1507">
        <v>0.47863869999999997</v>
      </c>
      <c r="F1507" t="s">
        <v>61</v>
      </c>
      <c r="G1507">
        <v>-241.3433</v>
      </c>
      <c r="H1507" s="1">
        <v>-8.2196619999999897E-7</v>
      </c>
      <c r="I1507">
        <v>283.49689999999998</v>
      </c>
      <c r="J1507">
        <v>-223.42500000000001</v>
      </c>
      <c r="K1507">
        <v>1.109748</v>
      </c>
      <c r="L1507">
        <v>283.79829999999998</v>
      </c>
      <c r="M1507">
        <v>-0.99886260000000004</v>
      </c>
      <c r="N1507">
        <v>0</v>
      </c>
      <c r="O1507">
        <v>-4.6782129999999998E-2</v>
      </c>
      <c r="P1507">
        <v>-0.99862910000000005</v>
      </c>
      <c r="Q1507">
        <v>-3.4255529999999999E-2</v>
      </c>
      <c r="R1507">
        <v>3.9582720000000002E-2</v>
      </c>
      <c r="S1507">
        <v>-2.9998019999999999</v>
      </c>
      <c r="T1507">
        <v>-0.18429960000000001</v>
      </c>
      <c r="U1507">
        <v>-5.1208499999999997E-2</v>
      </c>
      <c r="V1507">
        <v>8.6263629999999994E-2</v>
      </c>
      <c r="W1507">
        <v>-2.5072460000000001E-2</v>
      </c>
      <c r="X1507">
        <v>0.99595679999999998</v>
      </c>
      <c r="Y1507">
        <v>2.9583979999999999E-2</v>
      </c>
      <c r="Z1507">
        <v>3.778156E-3</v>
      </c>
      <c r="AA1507">
        <v>0.99955519999999998</v>
      </c>
      <c r="AB1507">
        <v>14</v>
      </c>
      <c r="AC1507">
        <v>-17.918299999999899</v>
      </c>
      <c r="AD1507">
        <v>-1.1097488219661999</v>
      </c>
      <c r="AE1507">
        <v>-0.301400000000001</v>
      </c>
      <c r="AF1507">
        <v>0.53516964602950201</v>
      </c>
      <c r="AG1507">
        <v>-1.1097488219661999</v>
      </c>
      <c r="AH1507">
        <v>17.844352640194099</v>
      </c>
      <c r="AI1507">
        <v>93.557073489209102</v>
      </c>
      <c r="AJ1507">
        <v>88.282158268293401</v>
      </c>
      <c r="AK1507">
        <v>17.8868351070135</v>
      </c>
      <c r="AL1507">
        <v>91.436696699005907</v>
      </c>
      <c r="AM1507">
        <v>85.049747453973197</v>
      </c>
      <c r="AN1507">
        <v>0.99999999478873403</v>
      </c>
    </row>
    <row r="1508" spans="1:40" x14ac:dyDescent="0.25">
      <c r="A1508" t="str">
        <f>"20190312160943023"</f>
        <v>20190312160943023</v>
      </c>
      <c r="B1508" t="str">
        <f>"1552378183017181"</f>
        <v>1552378183017181</v>
      </c>
      <c r="C1508" t="s">
        <v>40</v>
      </c>
      <c r="D1508">
        <v>5.7355080000000003</v>
      </c>
      <c r="E1508">
        <v>0.47859420000000003</v>
      </c>
      <c r="F1508" t="s">
        <v>61</v>
      </c>
      <c r="G1508">
        <v>-241.74600000000001</v>
      </c>
      <c r="H1508" s="1">
        <v>-6.076746E-7</v>
      </c>
      <c r="I1508">
        <v>283.47660000000002</v>
      </c>
      <c r="J1508">
        <v>-223.55619999999999</v>
      </c>
      <c r="K1508">
        <v>1.109753</v>
      </c>
      <c r="L1508">
        <v>283.7919</v>
      </c>
      <c r="M1508">
        <v>-0.99885480000000004</v>
      </c>
      <c r="N1508">
        <v>0</v>
      </c>
      <c r="O1508">
        <v>-4.6954559999999999E-2</v>
      </c>
      <c r="P1508">
        <v>-0.99865219999999999</v>
      </c>
      <c r="Q1508">
        <v>-3.3916870000000002E-2</v>
      </c>
      <c r="R1508">
        <v>3.929001E-2</v>
      </c>
      <c r="S1508">
        <v>-2.9999850000000001</v>
      </c>
      <c r="T1508">
        <v>-0.18171660000000001</v>
      </c>
      <c r="U1508">
        <v>-5.2673339999999999E-2</v>
      </c>
      <c r="V1508">
        <v>8.6144470000000001E-2</v>
      </c>
      <c r="W1508">
        <v>-2.4759389999999999E-2</v>
      </c>
      <c r="X1508">
        <v>0.99597500000000005</v>
      </c>
      <c r="Y1508">
        <v>2.927391E-2</v>
      </c>
      <c r="Z1508">
        <v>3.7260919999999999E-3</v>
      </c>
      <c r="AA1508">
        <v>0.99956449999999997</v>
      </c>
      <c r="AB1508">
        <v>14</v>
      </c>
      <c r="AC1508">
        <v>-18.189799999999899</v>
      </c>
      <c r="AD1508">
        <v>-1.1097536076746</v>
      </c>
      <c r="AE1508">
        <v>-0.31529999999997899</v>
      </c>
      <c r="AF1508">
        <v>0.53717900351270498</v>
      </c>
      <c r="AG1508">
        <v>-1.1097536076746</v>
      </c>
      <c r="AH1508">
        <v>18.117125899760801</v>
      </c>
      <c r="AI1508">
        <v>93.503702801793295</v>
      </c>
      <c r="AJ1508">
        <v>88.301658043155001</v>
      </c>
      <c r="AK1508">
        <v>18.159029853473601</v>
      </c>
      <c r="AL1508">
        <v>91.4187534619589</v>
      </c>
      <c r="AM1508">
        <v>85.056641448619999</v>
      </c>
      <c r="AN1508">
        <v>1.0000000488648699</v>
      </c>
    </row>
    <row r="1509" spans="1:40" x14ac:dyDescent="0.25">
      <c r="A1509" t="str">
        <f>"20190312160943066"</f>
        <v>20190312160943066</v>
      </c>
      <c r="B1509" t="str">
        <f>"1552378183057197"</f>
        <v>1552378183057197</v>
      </c>
      <c r="C1509" t="s">
        <v>40</v>
      </c>
      <c r="D1509">
        <v>5.7291930000000004</v>
      </c>
      <c r="E1509">
        <v>0.47827039999999998</v>
      </c>
      <c r="F1509" t="s">
        <v>61</v>
      </c>
      <c r="G1509">
        <v>-241.85659999999999</v>
      </c>
      <c r="H1509" s="1">
        <v>-5.4882880000000001E-7</v>
      </c>
      <c r="I1509">
        <v>283.46350000000001</v>
      </c>
      <c r="J1509">
        <v>-223.83349999999999</v>
      </c>
      <c r="K1509">
        <v>1.109761</v>
      </c>
      <c r="L1509">
        <v>283.77839999999998</v>
      </c>
      <c r="M1509">
        <v>-0.99883599999999995</v>
      </c>
      <c r="N1509">
        <v>0</v>
      </c>
      <c r="O1509">
        <v>-4.7361359999999998E-2</v>
      </c>
      <c r="P1509">
        <v>-0.99867159999999999</v>
      </c>
      <c r="Q1509">
        <v>-3.3931999999999997E-2</v>
      </c>
      <c r="R1509">
        <v>3.8777399999999997E-2</v>
      </c>
      <c r="S1509">
        <v>-3</v>
      </c>
      <c r="T1509">
        <v>-0.18192330000000001</v>
      </c>
      <c r="U1509">
        <v>-5.3833010000000001E-2</v>
      </c>
      <c r="V1509">
        <v>8.6039760000000007E-2</v>
      </c>
      <c r="W1509">
        <v>-2.4823319999999999E-2</v>
      </c>
      <c r="X1509">
        <v>0.99598240000000005</v>
      </c>
      <c r="Y1509">
        <v>2.9293699999999999E-2</v>
      </c>
      <c r="Z1509">
        <v>3.755502E-3</v>
      </c>
      <c r="AA1509">
        <v>0.9995638</v>
      </c>
      <c r="AB1509">
        <v>14</v>
      </c>
      <c r="AC1509">
        <v>-18.023099999999999</v>
      </c>
      <c r="AD1509">
        <v>-1.1097615488288</v>
      </c>
      <c r="AE1509">
        <v>-0.31489999999996598</v>
      </c>
      <c r="AF1509">
        <v>0.53705202976517497</v>
      </c>
      <c r="AG1509">
        <v>-1.1097615488288</v>
      </c>
      <c r="AH1509">
        <v>17.949753836486199</v>
      </c>
      <c r="AI1509">
        <v>93.536287435995106</v>
      </c>
      <c r="AJ1509">
        <v>88.286236236217306</v>
      </c>
      <c r="AK1509">
        <v>17.992044307648399</v>
      </c>
      <c r="AL1509">
        <v>91.422417591844294</v>
      </c>
      <c r="AM1509">
        <v>85.062656963220903</v>
      </c>
      <c r="AN1509">
        <v>0.99999998931321898</v>
      </c>
    </row>
    <row r="1510" spans="1:40" x14ac:dyDescent="0.25">
      <c r="A1510" t="str">
        <f>"20190312160943092"</f>
        <v>20190312160943092</v>
      </c>
      <c r="B1510" t="str">
        <f>"1552378183086478"</f>
        <v>1552378183086478</v>
      </c>
      <c r="C1510" t="s">
        <v>40</v>
      </c>
      <c r="D1510">
        <v>5.7517880000000003</v>
      </c>
      <c r="E1510">
        <v>0.47823209999999999</v>
      </c>
      <c r="F1510" t="s">
        <v>61</v>
      </c>
      <c r="G1510">
        <v>-241.78989999999999</v>
      </c>
      <c r="H1510" s="1">
        <v>-5.8427180000000005E-7</v>
      </c>
      <c r="I1510">
        <v>283.42970000000003</v>
      </c>
      <c r="J1510">
        <v>-223.99119999999999</v>
      </c>
      <c r="K1510">
        <v>1.1097669999999999</v>
      </c>
      <c r="L1510">
        <v>283.7706</v>
      </c>
      <c r="M1510">
        <v>-0.99882420000000005</v>
      </c>
      <c r="N1510">
        <v>0</v>
      </c>
      <c r="O1510">
        <v>-4.7617710000000001E-2</v>
      </c>
      <c r="P1510">
        <v>-0.99873009999999995</v>
      </c>
      <c r="Q1510">
        <v>-3.3004480000000003E-2</v>
      </c>
      <c r="R1510">
        <v>3.8067110000000001E-2</v>
      </c>
      <c r="S1510">
        <v>-2.9999389999999999</v>
      </c>
      <c r="T1510">
        <v>-0.18540480000000001</v>
      </c>
      <c r="U1510">
        <v>-5.825806E-2</v>
      </c>
      <c r="V1510">
        <v>8.5588849999999994E-2</v>
      </c>
      <c r="W1510">
        <v>-2.3926920000000001E-2</v>
      </c>
      <c r="X1510">
        <v>0.99604320000000002</v>
      </c>
      <c r="Y1510">
        <v>2.8072369999999999E-2</v>
      </c>
      <c r="Z1510">
        <v>3.8053449999999999E-3</v>
      </c>
      <c r="AA1510">
        <v>0.9995986</v>
      </c>
      <c r="AB1510">
        <v>14</v>
      </c>
      <c r="AC1510">
        <v>-17.798699999999901</v>
      </c>
      <c r="AD1510">
        <v>-1.1097675842718</v>
      </c>
      <c r="AE1510">
        <v>-0.340899999999976</v>
      </c>
      <c r="AF1510">
        <v>0.50509224704766498</v>
      </c>
      <c r="AG1510">
        <v>-1.1097675842718</v>
      </c>
      <c r="AH1510">
        <v>17.7258549228515</v>
      </c>
      <c r="AI1510">
        <v>93.581007466240393</v>
      </c>
      <c r="AJ1510">
        <v>88.367817773332206</v>
      </c>
      <c r="AK1510">
        <v>17.767741415697898</v>
      </c>
      <c r="AL1510">
        <v>91.371042370259403</v>
      </c>
      <c r="AM1510">
        <v>85.088703616055597</v>
      </c>
      <c r="AN1510">
        <v>1.0000000025056199</v>
      </c>
    </row>
    <row r="1511" spans="1:40" x14ac:dyDescent="0.25">
      <c r="A1511" t="str">
        <f>"20190312160943136"</f>
        <v>20190312160943136</v>
      </c>
      <c r="B1511" t="str">
        <f>"1552378183126495"</f>
        <v>1552378183126495</v>
      </c>
      <c r="C1511" t="s">
        <v>40</v>
      </c>
      <c r="D1511">
        <v>5.6674899999999999</v>
      </c>
      <c r="E1511">
        <v>0.47826849999999999</v>
      </c>
      <c r="F1511" t="s">
        <v>61</v>
      </c>
      <c r="G1511">
        <v>-242.3663</v>
      </c>
      <c r="H1511" s="1">
        <v>-2.7757929999999998E-7</v>
      </c>
      <c r="I1511">
        <v>283.39999999999998</v>
      </c>
      <c r="J1511">
        <v>-224.2741</v>
      </c>
      <c r="K1511">
        <v>1.10978</v>
      </c>
      <c r="L1511">
        <v>283.75650000000002</v>
      </c>
      <c r="M1511">
        <v>-0.99880080000000004</v>
      </c>
      <c r="N1511">
        <v>0</v>
      </c>
      <c r="O1511">
        <v>-4.8120870000000003E-2</v>
      </c>
      <c r="P1511">
        <v>-0.99873789999999996</v>
      </c>
      <c r="Q1511">
        <v>-3.2701639999999997E-2</v>
      </c>
      <c r="R1511">
        <v>3.812604E-2</v>
      </c>
      <c r="S1511">
        <v>-3.0001530000000001</v>
      </c>
      <c r="T1511">
        <v>-0.18119540000000001</v>
      </c>
      <c r="U1511">
        <v>-6.0516359999999998E-2</v>
      </c>
      <c r="V1511">
        <v>8.6150450000000003E-2</v>
      </c>
      <c r="W1511">
        <v>-2.368077E-2</v>
      </c>
      <c r="X1511">
        <v>0.99600060000000001</v>
      </c>
      <c r="Y1511">
        <v>2.7831160000000001E-2</v>
      </c>
      <c r="Z1511">
        <v>3.7418500000000001E-3</v>
      </c>
      <c r="AA1511">
        <v>0.99960570000000004</v>
      </c>
      <c r="AB1511">
        <v>14</v>
      </c>
      <c r="AC1511">
        <v>-18.092199999999899</v>
      </c>
      <c r="AD1511">
        <v>-1.1097802775793</v>
      </c>
      <c r="AE1511">
        <v>-0.35650000000003901</v>
      </c>
      <c r="AF1511">
        <v>0.51263275006079401</v>
      </c>
      <c r="AG1511">
        <v>-1.1097802775793</v>
      </c>
      <c r="AH1511">
        <v>18.020616076002899</v>
      </c>
      <c r="AI1511">
        <v>93.522627000586894</v>
      </c>
      <c r="AJ1511">
        <v>88.370545496637206</v>
      </c>
      <c r="AK1511">
        <v>18.062032232271999</v>
      </c>
      <c r="AL1511">
        <v>91.356935105623194</v>
      </c>
      <c r="AM1511">
        <v>85.056426427032093</v>
      </c>
      <c r="AN1511">
        <v>0.999999937051675</v>
      </c>
    </row>
    <row r="1512" spans="1:40" x14ac:dyDescent="0.25">
      <c r="A1512" t="str">
        <f>"20190312160943157"</f>
        <v>20190312160943157</v>
      </c>
      <c r="B1512" t="str">
        <f>"1552378183146520"</f>
        <v>1552378183146520</v>
      </c>
      <c r="C1512" t="s">
        <v>40</v>
      </c>
      <c r="D1512">
        <v>5.7553970000000003</v>
      </c>
      <c r="E1512">
        <v>0.47829769999999999</v>
      </c>
      <c r="F1512" t="s">
        <v>61</v>
      </c>
      <c r="G1512">
        <v>-242.976</v>
      </c>
      <c r="H1512" s="1">
        <v>4.6891329999999999E-8</v>
      </c>
      <c r="I1512">
        <v>283.38080000000002</v>
      </c>
      <c r="J1512">
        <v>-224.40260000000001</v>
      </c>
      <c r="K1512">
        <v>1.109782</v>
      </c>
      <c r="L1512">
        <v>283.75009999999997</v>
      </c>
      <c r="M1512">
        <v>-0.99878900000000004</v>
      </c>
      <c r="N1512">
        <v>0</v>
      </c>
      <c r="O1512">
        <v>-4.8368399999999999E-2</v>
      </c>
      <c r="P1512">
        <v>-0.99877130000000003</v>
      </c>
      <c r="Q1512">
        <v>-3.2036700000000001E-2</v>
      </c>
      <c r="R1512">
        <v>3.7813199999999998E-2</v>
      </c>
      <c r="S1512">
        <v>-3.0002439999999999</v>
      </c>
      <c r="T1512">
        <v>-0.178036</v>
      </c>
      <c r="U1512">
        <v>-6.0272220000000001E-2</v>
      </c>
      <c r="V1512">
        <v>8.6086319999999994E-2</v>
      </c>
      <c r="W1512">
        <v>-2.3042449999999999E-2</v>
      </c>
      <c r="X1512">
        <v>0.99602120000000005</v>
      </c>
      <c r="Y1512">
        <v>2.816457E-2</v>
      </c>
      <c r="Z1512">
        <v>3.7011539999999999E-3</v>
      </c>
      <c r="AA1512">
        <v>0.9995965</v>
      </c>
      <c r="AB1512">
        <v>14</v>
      </c>
      <c r="AC1512">
        <v>-18.5733999999999</v>
      </c>
      <c r="AD1512">
        <v>-1.1097819531086699</v>
      </c>
      <c r="AE1512">
        <v>-0.369299999999952</v>
      </c>
      <c r="AF1512">
        <v>0.52765124196751401</v>
      </c>
      <c r="AG1512">
        <v>-1.1097819531086699</v>
      </c>
      <c r="AH1512">
        <v>18.5034873987433</v>
      </c>
      <c r="AI1512">
        <v>93.430920645781001</v>
      </c>
      <c r="AJ1512">
        <v>88.366578265717607</v>
      </c>
      <c r="AK1512">
        <v>18.544246485960301</v>
      </c>
      <c r="AL1512">
        <v>91.320351967054606</v>
      </c>
      <c r="AM1512">
        <v>85.060189847332396</v>
      </c>
      <c r="AN1512">
        <v>1.00000001992129</v>
      </c>
    </row>
    <row r="1513" spans="1:40" x14ac:dyDescent="0.25">
      <c r="A1513" t="str">
        <f>"20190312160943180"</f>
        <v>20190312160943180</v>
      </c>
      <c r="B1513" t="str">
        <f>"1552378183176776"</f>
        <v>1552378183176776</v>
      </c>
      <c r="C1513" t="s">
        <v>40</v>
      </c>
      <c r="D1513">
        <v>5.6970150000000004</v>
      </c>
      <c r="E1513">
        <v>0.47815449999999998</v>
      </c>
      <c r="F1513" t="s">
        <v>61</v>
      </c>
      <c r="G1513">
        <v>-243.42590000000001</v>
      </c>
      <c r="H1513" s="1">
        <v>2.8630750000000001E-7</v>
      </c>
      <c r="I1513">
        <v>283.36189999999999</v>
      </c>
      <c r="J1513">
        <v>-224.55260000000001</v>
      </c>
      <c r="K1513">
        <v>1.109782</v>
      </c>
      <c r="L1513">
        <v>283.74239999999998</v>
      </c>
      <c r="M1513">
        <v>-0.99877459999999996</v>
      </c>
      <c r="N1513">
        <v>0</v>
      </c>
      <c r="O1513">
        <v>-4.8669539999999997E-2</v>
      </c>
      <c r="P1513">
        <v>-0.99880429999999998</v>
      </c>
      <c r="Q1513">
        <v>-3.1244790000000001E-2</v>
      </c>
      <c r="R1513">
        <v>3.7601379999999997E-2</v>
      </c>
      <c r="S1513">
        <v>-3.000397</v>
      </c>
      <c r="T1513">
        <v>-0.175037</v>
      </c>
      <c r="U1513">
        <v>-6.1218259999999997E-2</v>
      </c>
      <c r="V1513">
        <v>8.6176639999999999E-2</v>
      </c>
      <c r="W1513">
        <v>-2.2283230000000001E-2</v>
      </c>
      <c r="X1513">
        <v>0.99603059999999999</v>
      </c>
      <c r="Y1513">
        <v>2.8155920000000001E-2</v>
      </c>
      <c r="Z1513">
        <v>3.6559930000000002E-3</v>
      </c>
      <c r="AA1513">
        <v>0.99959679999999995</v>
      </c>
      <c r="AB1513">
        <v>14</v>
      </c>
      <c r="AC1513">
        <v>-18.8733</v>
      </c>
      <c r="AD1513">
        <v>-1.1097817136924999</v>
      </c>
      <c r="AE1513">
        <v>-0.38049999999998302</v>
      </c>
      <c r="AF1513">
        <v>0.53668787266775297</v>
      </c>
      <c r="AG1513">
        <v>-1.1097817136924999</v>
      </c>
      <c r="AH1513">
        <v>18.8044590460729</v>
      </c>
      <c r="AI1513">
        <v>93.376132620695998</v>
      </c>
      <c r="AJ1513">
        <v>88.365195998496603</v>
      </c>
      <c r="AK1513">
        <v>18.844822348330801</v>
      </c>
      <c r="AL1513">
        <v>91.276840771713694</v>
      </c>
      <c r="AM1513">
        <v>85.0550792213281</v>
      </c>
      <c r="AN1513">
        <v>0.99999995587863999</v>
      </c>
    </row>
    <row r="1514" spans="1:40" x14ac:dyDescent="0.25">
      <c r="A1514" t="str">
        <f>"20190312160943201"</f>
        <v>20190312160943201</v>
      </c>
      <c r="B1514" t="str">
        <f>"1552378183197272"</f>
        <v>1552378183197272</v>
      </c>
      <c r="C1514" t="s">
        <v>40</v>
      </c>
      <c r="D1514">
        <v>5.700539</v>
      </c>
      <c r="E1514">
        <v>0.45659889999999997</v>
      </c>
      <c r="F1514" t="s">
        <v>61</v>
      </c>
      <c r="G1514">
        <v>-244.01400000000001</v>
      </c>
      <c r="H1514" s="1">
        <v>5.9925660000000004E-7</v>
      </c>
      <c r="I1514">
        <v>283.3349</v>
      </c>
      <c r="J1514">
        <v>-224.68299999999999</v>
      </c>
      <c r="K1514">
        <v>1.1097809999999999</v>
      </c>
      <c r="L1514">
        <v>283.73579999999998</v>
      </c>
      <c r="M1514">
        <v>-0.99876180000000003</v>
      </c>
      <c r="N1514">
        <v>0</v>
      </c>
      <c r="O1514">
        <v>-4.8938860000000001E-2</v>
      </c>
      <c r="P1514">
        <v>-0.99880899999999995</v>
      </c>
      <c r="Q1514">
        <v>-3.1047209999999999E-2</v>
      </c>
      <c r="R1514">
        <v>3.7641220000000003E-2</v>
      </c>
      <c r="S1514">
        <v>-3.000626</v>
      </c>
      <c r="T1514">
        <v>-0.17110999999999901</v>
      </c>
      <c r="U1514">
        <v>-6.283569E-2</v>
      </c>
      <c r="V1514">
        <v>8.6485190000000003E-2</v>
      </c>
      <c r="W1514">
        <v>-2.2113569999999999E-2</v>
      </c>
      <c r="X1514">
        <v>0.99600770000000005</v>
      </c>
      <c r="Y1514">
        <v>2.7894209999999999E-2</v>
      </c>
      <c r="Z1514">
        <v>3.5816749999999999E-3</v>
      </c>
      <c r="AA1514">
        <v>0.99960450000000001</v>
      </c>
      <c r="AB1514">
        <v>14</v>
      </c>
      <c r="AC1514">
        <v>-19.331</v>
      </c>
      <c r="AD1514">
        <v>-1.10978040074339</v>
      </c>
      <c r="AE1514">
        <v>-0.400899999999978</v>
      </c>
      <c r="AF1514">
        <v>0.54386357010630304</v>
      </c>
      <c r="AG1514">
        <v>-1.10978040074339</v>
      </c>
      <c r="AH1514">
        <v>19.263992012114301</v>
      </c>
      <c r="AI1514">
        <v>93.295801216597397</v>
      </c>
      <c r="AJ1514">
        <v>88.382847536494396</v>
      </c>
      <c r="AK1514">
        <v>19.303595218600201</v>
      </c>
      <c r="AL1514">
        <v>91.267117494318597</v>
      </c>
      <c r="AM1514">
        <v>85.037348974187594</v>
      </c>
      <c r="AN1514">
        <v>1.0000000182633799</v>
      </c>
    </row>
    <row r="1515" spans="1:40" x14ac:dyDescent="0.25">
      <c r="A1515" t="str">
        <f>"20190312160943222"</f>
        <v>20190312160943222</v>
      </c>
      <c r="B1515" t="str">
        <f>"1552378183216792"</f>
        <v>1552378183216792</v>
      </c>
      <c r="C1515" t="s">
        <v>40</v>
      </c>
      <c r="D1515">
        <v>5.7031489999999998</v>
      </c>
      <c r="E1515">
        <v>0.45624520000000002</v>
      </c>
      <c r="F1515" t="s">
        <v>61</v>
      </c>
      <c r="G1515">
        <v>-250.244</v>
      </c>
      <c r="H1515" s="1">
        <v>-1.4069349999999999E-6</v>
      </c>
      <c r="I1515">
        <v>281.74979999999999</v>
      </c>
      <c r="J1515">
        <v>-224.82069999999999</v>
      </c>
      <c r="K1515">
        <v>1.1097790000000001</v>
      </c>
      <c r="L1515">
        <v>283.72859999999997</v>
      </c>
      <c r="M1515">
        <v>-0.99874779999999996</v>
      </c>
      <c r="N1515">
        <v>0</v>
      </c>
      <c r="O1515">
        <v>-4.922783E-2</v>
      </c>
      <c r="P1515">
        <v>-0.99878829999999996</v>
      </c>
      <c r="Q1515">
        <v>-3.1700770000000003E-2</v>
      </c>
      <c r="R1515">
        <v>3.7648540000000001E-2</v>
      </c>
      <c r="S1515">
        <v>-3.0083310000000001</v>
      </c>
      <c r="T1515">
        <v>-0.1306126</v>
      </c>
      <c r="U1515">
        <v>-0.2337341</v>
      </c>
      <c r="V1515">
        <v>8.6780060000000006E-2</v>
      </c>
      <c r="W1515">
        <v>-2.2794490000000001E-2</v>
      </c>
      <c r="X1515">
        <v>0.99596669999999998</v>
      </c>
      <c r="Y1515">
        <v>-2.830591E-2</v>
      </c>
      <c r="Z1515">
        <v>1.5182609999999999E-3</v>
      </c>
      <c r="AA1515">
        <v>0.99959810000000004</v>
      </c>
      <c r="AB1515">
        <v>14</v>
      </c>
      <c r="AC1515">
        <v>-25.423300000000001</v>
      </c>
      <c r="AD1515">
        <v>-1.1097804069349999</v>
      </c>
      <c r="AE1515">
        <v>-1.9787999999999699</v>
      </c>
      <c r="AF1515">
        <v>-0.72344682012063299</v>
      </c>
      <c r="AG1515">
        <v>-1.1097804069349999</v>
      </c>
      <c r="AH1515">
        <v>25.4417022314279</v>
      </c>
      <c r="AI1515">
        <v>92.496680727123803</v>
      </c>
      <c r="AJ1515">
        <v>91.628793647044304</v>
      </c>
      <c r="AK1515">
        <v>25.476169262387199</v>
      </c>
      <c r="AL1515">
        <v>91.306141176268596</v>
      </c>
      <c r="AM1515">
        <v>85.020309859669396</v>
      </c>
      <c r="AN1515">
        <v>1.0000000175484201</v>
      </c>
    </row>
    <row r="1516" spans="1:40" x14ac:dyDescent="0.25">
      <c r="A1516" t="str">
        <f>"20190312160943246"</f>
        <v>20190312160943246</v>
      </c>
      <c r="B1516" t="str">
        <f>"1552378183236817"</f>
        <v>1552378183236817</v>
      </c>
      <c r="C1516" t="s">
        <v>40</v>
      </c>
      <c r="D1516">
        <v>5.6958989999999998</v>
      </c>
      <c r="E1516">
        <v>0.45623930000000001</v>
      </c>
      <c r="F1516" t="s">
        <v>61</v>
      </c>
      <c r="G1516">
        <v>-249.10939999999999</v>
      </c>
      <c r="H1516" s="1">
        <v>3.3107899999999999E-6</v>
      </c>
      <c r="I1516">
        <v>281.81630000000001</v>
      </c>
      <c r="J1516">
        <v>-224.9734</v>
      </c>
      <c r="K1516">
        <v>1.109774</v>
      </c>
      <c r="L1516">
        <v>283.7208</v>
      </c>
      <c r="M1516">
        <v>-0.99873210000000001</v>
      </c>
      <c r="N1516">
        <v>0</v>
      </c>
      <c r="O1516">
        <v>-4.955027E-2</v>
      </c>
      <c r="P1516">
        <v>-0.99882559999999998</v>
      </c>
      <c r="Q1516">
        <v>-3.1854790000000001E-2</v>
      </c>
      <c r="R1516">
        <v>3.6510840000000003E-2</v>
      </c>
      <c r="S1516">
        <v>-3.0082089999999999</v>
      </c>
      <c r="T1516">
        <v>-0.1374483</v>
      </c>
      <c r="U1516">
        <v>-0.2368469</v>
      </c>
      <c r="V1516">
        <v>8.5966929999999997E-2</v>
      </c>
      <c r="W1516">
        <v>-2.2975209999999999E-2</v>
      </c>
      <c r="X1516">
        <v>0.9960331</v>
      </c>
      <c r="Y1516">
        <v>-2.9016090000000001E-2</v>
      </c>
      <c r="Z1516">
        <v>1.59611E-3</v>
      </c>
      <c r="AA1516">
        <v>0.99957759999999996</v>
      </c>
      <c r="AB1516">
        <v>14</v>
      </c>
      <c r="AC1516">
        <v>-24.135999999999999</v>
      </c>
      <c r="AD1516">
        <v>-1.1097706892100001</v>
      </c>
      <c r="AE1516">
        <v>-1.9044999999999801</v>
      </c>
      <c r="AF1516">
        <v>-0.70468725264381904</v>
      </c>
      <c r="AG1516">
        <v>-1.1097706892100001</v>
      </c>
      <c r="AH1516">
        <v>24.149981189262601</v>
      </c>
      <c r="AI1516">
        <v>92.629959817355498</v>
      </c>
      <c r="AJ1516">
        <v>91.671394760741507</v>
      </c>
      <c r="AK1516">
        <v>24.185734773796</v>
      </c>
      <c r="AL1516">
        <v>91.3164983327828</v>
      </c>
      <c r="AM1516">
        <v>85.067065508179297</v>
      </c>
      <c r="AN1516">
        <v>1.0000000548118799</v>
      </c>
    </row>
    <row r="1517" spans="1:40" x14ac:dyDescent="0.25">
      <c r="A1517" t="str">
        <f>"20190312160943269"</f>
        <v>20190312160943269</v>
      </c>
      <c r="B1517" t="str">
        <f>"1552378183257314"</f>
        <v>1552378183257314</v>
      </c>
      <c r="C1517" t="s">
        <v>40</v>
      </c>
      <c r="D1517">
        <v>9.2916910000000001</v>
      </c>
      <c r="E1517">
        <v>0.45621869999999998</v>
      </c>
      <c r="F1517" t="s">
        <v>61</v>
      </c>
      <c r="G1517">
        <v>-248.1798</v>
      </c>
      <c r="H1517" s="1">
        <v>2.8161029999999999E-6</v>
      </c>
      <c r="I1517">
        <v>281.86610000000002</v>
      </c>
      <c r="J1517">
        <v>-225.11920000000001</v>
      </c>
      <c r="K1517">
        <v>1.10975</v>
      </c>
      <c r="L1517">
        <v>283.7131</v>
      </c>
      <c r="M1517">
        <v>-0.99871710000000002</v>
      </c>
      <c r="N1517">
        <v>0</v>
      </c>
      <c r="O1517">
        <v>-4.9858989999999999E-2</v>
      </c>
      <c r="P1517">
        <v>-0.99887800000000004</v>
      </c>
      <c r="Q1517">
        <v>-3.1924290000000001E-2</v>
      </c>
      <c r="R1517">
        <v>3.4984689999999999E-2</v>
      </c>
      <c r="S1517">
        <v>-3.0077509999999998</v>
      </c>
      <c r="T1517">
        <v>-0.14383609999999999</v>
      </c>
      <c r="U1517">
        <v>-0.24038699999999999</v>
      </c>
      <c r="V1517">
        <v>8.4752980000000006E-2</v>
      </c>
      <c r="W1517">
        <v>-2.3071399999999999E-2</v>
      </c>
      <c r="X1517">
        <v>0.99613490000000005</v>
      </c>
      <c r="Y1517">
        <v>-2.9889519999999999E-2</v>
      </c>
      <c r="Z1517">
        <v>1.6642269999999999E-3</v>
      </c>
      <c r="AA1517">
        <v>0.99955179999999999</v>
      </c>
      <c r="AB1517">
        <v>14</v>
      </c>
      <c r="AC1517">
        <v>-23.060599999999901</v>
      </c>
      <c r="AD1517">
        <v>-1.1097471838969999</v>
      </c>
      <c r="AE1517">
        <v>-1.84699999999998</v>
      </c>
      <c r="AF1517">
        <v>-0.69328414616086598</v>
      </c>
      <c r="AG1517">
        <v>-1.1097471838969999</v>
      </c>
      <c r="AH1517">
        <v>23.070921879943199</v>
      </c>
      <c r="AI1517">
        <v>92.752652721640203</v>
      </c>
      <c r="AJ1517">
        <v>91.721227514243907</v>
      </c>
      <c r="AK1517">
        <v>23.1079990070523</v>
      </c>
      <c r="AL1517">
        <v>91.322011083715495</v>
      </c>
      <c r="AM1517">
        <v>85.1368822435048</v>
      </c>
      <c r="AN1517">
        <v>1.00000004805742</v>
      </c>
    </row>
    <row r="1518" spans="1:40" x14ac:dyDescent="0.25">
      <c r="A1518" t="str">
        <f>"20190312160943302"</f>
        <v>20190312160943302</v>
      </c>
      <c r="B1518" t="str">
        <f>"1552378183297330"</f>
        <v>1552378183297330</v>
      </c>
      <c r="C1518" t="s">
        <v>40</v>
      </c>
      <c r="D1518">
        <v>5.5952349999999997</v>
      </c>
      <c r="E1518">
        <v>0.4562311</v>
      </c>
      <c r="F1518" t="s">
        <v>61</v>
      </c>
      <c r="G1518">
        <v>-248.952</v>
      </c>
      <c r="H1518" s="1">
        <v>3.2270370000000002E-6</v>
      </c>
      <c r="I1518">
        <v>281.77289999999999</v>
      </c>
      <c r="J1518">
        <v>-225.33709999999999</v>
      </c>
      <c r="K1518">
        <v>1.109731</v>
      </c>
      <c r="L1518">
        <v>283.70170000000002</v>
      </c>
      <c r="M1518">
        <v>-0.99869439999999998</v>
      </c>
      <c r="N1518">
        <v>0</v>
      </c>
      <c r="O1518">
        <v>-5.0318399999999999E-2</v>
      </c>
      <c r="P1518">
        <v>-0.99886229999999998</v>
      </c>
      <c r="Q1518">
        <v>-3.354244E-2</v>
      </c>
      <c r="R1518">
        <v>3.390108E-2</v>
      </c>
      <c r="S1518">
        <v>-3.0075069999999999</v>
      </c>
      <c r="T1518">
        <v>-0.14004079999999999</v>
      </c>
      <c r="U1518">
        <v>-0.24484249999999999</v>
      </c>
      <c r="V1518">
        <v>8.4128209999999995E-2</v>
      </c>
      <c r="W1518">
        <v>-2.4734579999999999E-2</v>
      </c>
      <c r="X1518">
        <v>0.99614789999999998</v>
      </c>
      <c r="Y1518">
        <v>-3.0905620000000002E-2</v>
      </c>
      <c r="Z1518">
        <v>1.6180739999999999E-3</v>
      </c>
      <c r="AA1518">
        <v>0.99952099999999999</v>
      </c>
      <c r="AB1518">
        <v>15</v>
      </c>
      <c r="AC1518">
        <v>-23.614899999999999</v>
      </c>
      <c r="AD1518">
        <v>-1.109727772963</v>
      </c>
      <c r="AE1518">
        <v>-1.9288000000000201</v>
      </c>
      <c r="AF1518">
        <v>-0.73643090142673495</v>
      </c>
      <c r="AG1518">
        <v>-1.109727772963</v>
      </c>
      <c r="AH1518">
        <v>23.630203773892902</v>
      </c>
      <c r="AI1518">
        <v>92.687460944822107</v>
      </c>
      <c r="AJ1518">
        <v>91.785034549157402</v>
      </c>
      <c r="AK1518">
        <v>23.667707041417501</v>
      </c>
      <c r="AL1518">
        <v>91.417331591901501</v>
      </c>
      <c r="AM1518">
        <v>85.172624144446303</v>
      </c>
      <c r="AN1518">
        <v>0.99999999691999497</v>
      </c>
    </row>
    <row r="1519" spans="1:40" x14ac:dyDescent="0.25">
      <c r="A1519" t="str">
        <f>"20190312160943325"</f>
        <v>20190312160943325</v>
      </c>
      <c r="B1519" t="str">
        <f>"1552378183316850"</f>
        <v>1552378183316850</v>
      </c>
      <c r="C1519" t="s">
        <v>40</v>
      </c>
      <c r="D1519">
        <v>5.6859970000000004</v>
      </c>
      <c r="E1519">
        <v>0.45637709999999998</v>
      </c>
      <c r="F1519" t="s">
        <v>61</v>
      </c>
      <c r="G1519">
        <v>-249.74549999999999</v>
      </c>
      <c r="H1519" s="1">
        <v>3.6492620000000002E-6</v>
      </c>
      <c r="I1519">
        <v>281.68939999999998</v>
      </c>
      <c r="J1519">
        <v>-225.48509999999999</v>
      </c>
      <c r="K1519">
        <v>1.109723</v>
      </c>
      <c r="L1519">
        <v>283.69380000000001</v>
      </c>
      <c r="M1519">
        <v>-0.99867899999999998</v>
      </c>
      <c r="N1519">
        <v>0</v>
      </c>
      <c r="O1519">
        <v>-5.0626749999999998E-2</v>
      </c>
      <c r="P1519">
        <v>-0.99882530000000003</v>
      </c>
      <c r="Q1519">
        <v>-3.47009E-2</v>
      </c>
      <c r="R1519">
        <v>3.3826790000000002E-2</v>
      </c>
      <c r="S1519">
        <v>-3.0072480000000001</v>
      </c>
      <c r="T1519">
        <v>-0.13672490000000001</v>
      </c>
      <c r="U1519">
        <v>-0.2479248</v>
      </c>
      <c r="V1519">
        <v>8.4359829999999997E-2</v>
      </c>
      <c r="W1519">
        <v>-2.5922500000000001E-2</v>
      </c>
      <c r="X1519">
        <v>0.99609809999999999</v>
      </c>
      <c r="Y1519">
        <v>-3.1620229999999999E-2</v>
      </c>
      <c r="Z1519">
        <v>1.577609E-3</v>
      </c>
      <c r="AA1519">
        <v>0.99949869999999996</v>
      </c>
      <c r="AB1519">
        <v>15</v>
      </c>
      <c r="AC1519">
        <v>-24.260400000000001</v>
      </c>
      <c r="AD1519">
        <v>-1.1097193507379901</v>
      </c>
      <c r="AE1519">
        <v>-2.0044000000000302</v>
      </c>
      <c r="AF1519">
        <v>-0.77195260701257695</v>
      </c>
      <c r="AG1519">
        <v>-1.1097193507379901</v>
      </c>
      <c r="AH1519">
        <v>24.280309284779001</v>
      </c>
      <c r="AI1519">
        <v>92.615534002726093</v>
      </c>
      <c r="AJ1519">
        <v>91.821011922972701</v>
      </c>
      <c r="AK1519">
        <v>24.317911234918999</v>
      </c>
      <c r="AL1519">
        <v>91.485416250350497</v>
      </c>
      <c r="AM1519">
        <v>85.159155725593294</v>
      </c>
      <c r="AN1519">
        <v>0.99999999087374403</v>
      </c>
    </row>
    <row r="1520" spans="1:40" x14ac:dyDescent="0.25">
      <c r="A1520" t="str">
        <f>"20190312160943348"</f>
        <v>20190312160943348</v>
      </c>
      <c r="B1520" t="str">
        <f>"1552378183336876"</f>
        <v>1552378183336876</v>
      </c>
      <c r="C1520" t="s">
        <v>40</v>
      </c>
      <c r="D1520">
        <v>5.6930329999999998</v>
      </c>
      <c r="E1520">
        <v>0.45652399999999999</v>
      </c>
      <c r="F1520" t="s">
        <v>61</v>
      </c>
      <c r="G1520">
        <v>-249.56710000000001</v>
      </c>
      <c r="H1520" s="1">
        <v>3.5543290000000002E-6</v>
      </c>
      <c r="I1520">
        <v>281.7149</v>
      </c>
      <c r="J1520">
        <v>-225.6414</v>
      </c>
      <c r="K1520">
        <v>1.109715</v>
      </c>
      <c r="L1520">
        <v>283.68549999999999</v>
      </c>
      <c r="M1520">
        <v>-0.99866290000000002</v>
      </c>
      <c r="N1520">
        <v>0</v>
      </c>
      <c r="O1520">
        <v>-5.0949059999999997E-2</v>
      </c>
      <c r="P1520">
        <v>-0.99883440000000001</v>
      </c>
      <c r="Q1520">
        <v>-3.4365659999999999E-2</v>
      </c>
      <c r="R1520">
        <v>3.3896599999999999E-2</v>
      </c>
      <c r="S1520">
        <v>-3.0070800000000002</v>
      </c>
      <c r="T1520">
        <v>-0.1385692</v>
      </c>
      <c r="U1520">
        <v>-0.24710080000000001</v>
      </c>
      <c r="V1520">
        <v>8.4751099999999996E-2</v>
      </c>
      <c r="W1520">
        <v>-2.5618709999999999E-2</v>
      </c>
      <c r="X1520">
        <v>0.99607279999999998</v>
      </c>
      <c r="Y1520">
        <v>-3.1031690000000001E-2</v>
      </c>
      <c r="Z1520">
        <v>1.627297E-3</v>
      </c>
      <c r="AA1520">
        <v>0.99951710000000005</v>
      </c>
      <c r="AB1520">
        <v>15</v>
      </c>
      <c r="AC1520">
        <v>-23.925699999999999</v>
      </c>
      <c r="AD1520">
        <v>-1.109711445671</v>
      </c>
      <c r="AE1520">
        <v>-1.9705999999999899</v>
      </c>
      <c r="AF1520">
        <v>-0.74740485451734695</v>
      </c>
      <c r="AG1520">
        <v>-1.109711445671</v>
      </c>
      <c r="AH1520">
        <v>23.943866091301299</v>
      </c>
      <c r="AI1520">
        <v>92.6522629747883</v>
      </c>
      <c r="AJ1520">
        <v>91.787900216486094</v>
      </c>
      <c r="AK1520">
        <v>23.981217586006299</v>
      </c>
      <c r="AL1520">
        <v>91.468004502964504</v>
      </c>
      <c r="AM1520">
        <v>85.136687870879996</v>
      </c>
      <c r="AN1520">
        <v>1.00000004507655</v>
      </c>
    </row>
    <row r="1521" spans="1:40" x14ac:dyDescent="0.25">
      <c r="A1521" t="str">
        <f>"20190312160943371"</f>
        <v>20190312160943371</v>
      </c>
      <c r="B1521" t="str">
        <f>"1552378183367131"</f>
        <v>1552378183367131</v>
      </c>
      <c r="C1521" t="s">
        <v>40</v>
      </c>
      <c r="D1521">
        <v>5.7021689999999996</v>
      </c>
      <c r="E1521">
        <v>0.45663500000000001</v>
      </c>
      <c r="F1521" t="s">
        <v>61</v>
      </c>
      <c r="G1521">
        <v>-248.82429999999999</v>
      </c>
      <c r="H1521" s="1">
        <v>3.159054E-6</v>
      </c>
      <c r="I1521">
        <v>281.78910000000002</v>
      </c>
      <c r="J1521">
        <v>-225.79079999999999</v>
      </c>
      <c r="K1521">
        <v>1.1097189999999999</v>
      </c>
      <c r="L1521">
        <v>283.67750000000001</v>
      </c>
      <c r="M1521">
        <v>-0.99864770000000003</v>
      </c>
      <c r="N1521">
        <v>0</v>
      </c>
      <c r="O1521">
        <v>-5.1253729999999997E-2</v>
      </c>
      <c r="P1521">
        <v>-0.99890690000000004</v>
      </c>
      <c r="Q1521">
        <v>-3.3266270000000001E-2</v>
      </c>
      <c r="R1521">
        <v>3.2847679999999997E-2</v>
      </c>
      <c r="S1521">
        <v>-3.0068969999999999</v>
      </c>
      <c r="T1521">
        <v>-0.1439337</v>
      </c>
      <c r="U1521">
        <v>-0.24597169999999999</v>
      </c>
      <c r="V1521">
        <v>8.4010760000000004E-2</v>
      </c>
      <c r="W1521">
        <v>-2.4550470000000001E-2</v>
      </c>
      <c r="X1521">
        <v>0.9961624</v>
      </c>
      <c r="Y1521">
        <v>-3.0361659999999999E-2</v>
      </c>
      <c r="Z1521">
        <v>1.7208799999999999E-3</v>
      </c>
      <c r="AA1521">
        <v>0.99953749999999997</v>
      </c>
      <c r="AB1521">
        <v>15</v>
      </c>
      <c r="AC1521">
        <v>-23.0335</v>
      </c>
      <c r="AD1521">
        <v>-1.109715840946</v>
      </c>
      <c r="AE1521">
        <v>-1.8883999999999801</v>
      </c>
      <c r="AF1521">
        <v>-0.70369778380469705</v>
      </c>
      <c r="AG1521">
        <v>-1.109715840946</v>
      </c>
      <c r="AH1521">
        <v>23.046877004551899</v>
      </c>
      <c r="AI1521">
        <v>92.755402211688505</v>
      </c>
      <c r="AJ1521">
        <v>91.748887300544496</v>
      </c>
      <c r="AK1521">
        <v>23.084306346120101</v>
      </c>
      <c r="AL1521">
        <v>91.406779614620007</v>
      </c>
      <c r="AM1521">
        <v>85.179401619782794</v>
      </c>
      <c r="AN1521">
        <v>1.00000003027337</v>
      </c>
    </row>
    <row r="1522" spans="1:40" x14ac:dyDescent="0.25">
      <c r="A1522" t="str">
        <f>"20190312160943390"</f>
        <v>20190312160943390</v>
      </c>
      <c r="B1522" t="str">
        <f>"1552378183386652"</f>
        <v>1552378183386652</v>
      </c>
      <c r="C1522" t="s">
        <v>40</v>
      </c>
      <c r="D1522">
        <v>5.6748399999999997</v>
      </c>
      <c r="E1522">
        <v>0.45714680000000002</v>
      </c>
      <c r="F1522" t="s">
        <v>61</v>
      </c>
      <c r="G1522">
        <v>-248.78550000000001</v>
      </c>
      <c r="H1522" s="1">
        <v>3.1384290000000001E-6</v>
      </c>
      <c r="I1522">
        <v>281.78070000000002</v>
      </c>
      <c r="J1522">
        <v>-225.91929999999999</v>
      </c>
      <c r="K1522">
        <v>1.1097170000000001</v>
      </c>
      <c r="L1522">
        <v>283.67059999999998</v>
      </c>
      <c r="M1522">
        <v>-0.99863460000000004</v>
      </c>
      <c r="N1522">
        <v>0</v>
      </c>
      <c r="O1522">
        <v>-5.1513240000000002E-2</v>
      </c>
      <c r="P1522">
        <v>-0.9989941</v>
      </c>
      <c r="Q1522">
        <v>-3.2144499999999999E-2</v>
      </c>
      <c r="R1522">
        <v>3.127282E-2</v>
      </c>
      <c r="S1522">
        <v>-3.0065919999999999</v>
      </c>
      <c r="T1522">
        <v>-0.145097</v>
      </c>
      <c r="U1522">
        <v>-0.2480164</v>
      </c>
      <c r="V1522">
        <v>8.2700860000000001E-2</v>
      </c>
      <c r="W1522">
        <v>-2.345527E-2</v>
      </c>
      <c r="X1522">
        <v>0.99629840000000003</v>
      </c>
      <c r="Y1522">
        <v>-3.0785570000000002E-2</v>
      </c>
      <c r="Z1522">
        <v>1.7371540000000001E-3</v>
      </c>
      <c r="AA1522">
        <v>0.99952450000000004</v>
      </c>
      <c r="AB1522">
        <v>15</v>
      </c>
      <c r="AC1522">
        <v>-22.866199999999999</v>
      </c>
      <c r="AD1522">
        <v>-1.109713861571</v>
      </c>
      <c r="AE1522">
        <v>-1.88989999999995</v>
      </c>
      <c r="AF1522">
        <v>-0.70777852661638196</v>
      </c>
      <c r="AG1522">
        <v>-1.109713861571</v>
      </c>
      <c r="AH1522">
        <v>22.879675687162798</v>
      </c>
      <c r="AI1522">
        <v>92.775467810215801</v>
      </c>
      <c r="AJ1522">
        <v>91.771869259284003</v>
      </c>
      <c r="AK1522">
        <v>22.917503678347</v>
      </c>
      <c r="AL1522">
        <v>91.344011175805406</v>
      </c>
      <c r="AM1522">
        <v>85.2548634890789</v>
      </c>
      <c r="AN1522">
        <v>1.00000004188903</v>
      </c>
    </row>
    <row r="1523" spans="1:40" x14ac:dyDescent="0.25">
      <c r="A1523" t="str">
        <f>"20190312160943413"</f>
        <v>20190312160943413</v>
      </c>
      <c r="B1523" t="str">
        <f>"1552378183407147"</f>
        <v>1552378183407147</v>
      </c>
      <c r="C1523" t="s">
        <v>40</v>
      </c>
      <c r="D1523">
        <v>5.8471489999999999</v>
      </c>
      <c r="E1523">
        <v>0.4830835</v>
      </c>
      <c r="F1523" t="s">
        <v>61</v>
      </c>
      <c r="G1523">
        <v>-249.3039</v>
      </c>
      <c r="H1523" s="1">
        <v>3.4143040000000002E-6</v>
      </c>
      <c r="I1523">
        <v>281.73590000000002</v>
      </c>
      <c r="J1523">
        <v>-226.07230000000001</v>
      </c>
      <c r="K1523">
        <v>1.10971</v>
      </c>
      <c r="L1523">
        <v>283.66239999999999</v>
      </c>
      <c r="M1523">
        <v>-0.99861920000000004</v>
      </c>
      <c r="N1523">
        <v>0</v>
      </c>
      <c r="O1523">
        <v>-5.1812999999999998E-2</v>
      </c>
      <c r="P1523">
        <v>-0.99903430000000004</v>
      </c>
      <c r="Q1523">
        <v>-3.2394079999999999E-2</v>
      </c>
      <c r="R1523">
        <v>2.9683299999999999E-2</v>
      </c>
      <c r="S1523">
        <v>-3.0062259999999998</v>
      </c>
      <c r="T1523">
        <v>-0.14265949999999999</v>
      </c>
      <c r="U1523">
        <v>-0.2487183</v>
      </c>
      <c r="V1523">
        <v>8.1414470000000003E-2</v>
      </c>
      <c r="W1523">
        <v>-2.3735079999999999E-2</v>
      </c>
      <c r="X1523">
        <v>0.99639770000000005</v>
      </c>
      <c r="Y1523">
        <v>-3.0726920000000001E-2</v>
      </c>
      <c r="Z1523">
        <v>1.72374299999999E-3</v>
      </c>
      <c r="AA1523">
        <v>0.99952629999999998</v>
      </c>
      <c r="AB1523">
        <v>15</v>
      </c>
      <c r="AC1523">
        <v>-23.231599999999901</v>
      </c>
      <c r="AD1523">
        <v>-1.109706585696</v>
      </c>
      <c r="AE1523">
        <v>-1.9264999999999699</v>
      </c>
      <c r="AF1523">
        <v>-0.71853974998931103</v>
      </c>
      <c r="AG1523">
        <v>-1.109706585696</v>
      </c>
      <c r="AH1523">
        <v>23.247533000544699</v>
      </c>
      <c r="AI1523">
        <v>92.731601608927207</v>
      </c>
      <c r="AJ1523">
        <v>91.770346671863607</v>
      </c>
      <c r="AK1523">
        <v>23.285092627904</v>
      </c>
      <c r="AL1523">
        <v>91.360047597208407</v>
      </c>
      <c r="AM1523">
        <v>85.328807089576202</v>
      </c>
      <c r="AN1523">
        <v>1.00000002325663</v>
      </c>
    </row>
    <row r="1524" spans="1:40" x14ac:dyDescent="0.25">
      <c r="A1524" t="str">
        <f>"20190312160943435"</f>
        <v>20190312160943435</v>
      </c>
      <c r="B1524" t="str">
        <f>"1552378183426668"</f>
        <v>1552378183426668</v>
      </c>
      <c r="C1524" t="s">
        <v>40</v>
      </c>
      <c r="D1524">
        <v>5.7837719999999999</v>
      </c>
      <c r="E1524">
        <v>0.48332779999999997</v>
      </c>
      <c r="F1524" t="s">
        <v>61</v>
      </c>
      <c r="G1524">
        <v>-243.70410000000001</v>
      </c>
      <c r="H1524" s="1">
        <v>4.3432240000000001E-7</v>
      </c>
      <c r="I1524">
        <v>283.38220000000001</v>
      </c>
      <c r="J1524">
        <v>-226.2227</v>
      </c>
      <c r="K1524">
        <v>1.109699</v>
      </c>
      <c r="L1524">
        <v>283.6542</v>
      </c>
      <c r="M1524">
        <v>-0.99860499999999996</v>
      </c>
      <c r="N1524">
        <v>0</v>
      </c>
      <c r="O1524">
        <v>-5.2089829999999997E-2</v>
      </c>
      <c r="P1524">
        <v>-0.99905719999999998</v>
      </c>
      <c r="Q1524">
        <v>-3.266194E-2</v>
      </c>
      <c r="R1524">
        <v>2.8606449999999999E-2</v>
      </c>
      <c r="S1524">
        <v>-2.9981840000000002</v>
      </c>
      <c r="T1524">
        <v>-0.18870000000000001</v>
      </c>
      <c r="U1524">
        <v>-4.7637939999999997E-2</v>
      </c>
      <c r="V1524">
        <v>8.0616019999999997E-2</v>
      </c>
      <c r="W1524">
        <v>-2.4030530000000001E-2</v>
      </c>
      <c r="X1524">
        <v>0.99645550000000005</v>
      </c>
      <c r="Y1524">
        <v>3.6045609999999999E-2</v>
      </c>
      <c r="Z1524">
        <v>4.4067869999999997E-3</v>
      </c>
      <c r="AA1524">
        <v>0.99934040000000002</v>
      </c>
      <c r="AB1524">
        <v>15</v>
      </c>
      <c r="AC1524">
        <v>-17.481400000000001</v>
      </c>
      <c r="AD1524">
        <v>-1.1096985656775999</v>
      </c>
      <c r="AE1524">
        <v>-0.27199999999999103</v>
      </c>
      <c r="AF1524">
        <v>0.63644250011306902</v>
      </c>
      <c r="AG1524">
        <v>-1.1096985656775999</v>
      </c>
      <c r="AH1524">
        <v>17.401730153077999</v>
      </c>
      <c r="AI1524">
        <v>93.646347766656802</v>
      </c>
      <c r="AJ1524">
        <v>87.905425330270702</v>
      </c>
      <c r="AK1524">
        <v>17.4486876951581</v>
      </c>
      <c r="AL1524">
        <v>91.376980515722096</v>
      </c>
      <c r="AM1524">
        <v>85.374685901559403</v>
      </c>
      <c r="AN1524">
        <v>0.99999998626648501</v>
      </c>
    </row>
    <row r="1525" spans="1:40" x14ac:dyDescent="0.25">
      <c r="A1525" t="str">
        <f>"20190312160943458"</f>
        <v>20190312160943458</v>
      </c>
      <c r="B1525" t="str">
        <f>"1552378183447163"</f>
        <v>1552378183447163</v>
      </c>
      <c r="C1525" t="s">
        <v>40</v>
      </c>
      <c r="D1525">
        <v>5.9460089999999903</v>
      </c>
      <c r="E1525">
        <v>0.4846761</v>
      </c>
      <c r="F1525" t="s">
        <v>61</v>
      </c>
      <c r="G1525">
        <v>-244.601</v>
      </c>
      <c r="H1525" s="1">
        <v>9.1164380000000005E-7</v>
      </c>
      <c r="I1525">
        <v>283.35579999999999</v>
      </c>
      <c r="J1525">
        <v>-226.37649999999999</v>
      </c>
      <c r="K1525">
        <v>1.10968</v>
      </c>
      <c r="L1525">
        <v>283.64580000000001</v>
      </c>
      <c r="M1525">
        <v>-0.99859200000000004</v>
      </c>
      <c r="N1525">
        <v>0</v>
      </c>
      <c r="O1525">
        <v>-5.2343550000000003E-2</v>
      </c>
      <c r="P1525">
        <v>-0.99912389999999995</v>
      </c>
      <c r="Q1525">
        <v>-3.1636989999999997E-2</v>
      </c>
      <c r="R1525">
        <v>2.740035E-2</v>
      </c>
      <c r="S1525">
        <v>-2.998291</v>
      </c>
      <c r="T1525">
        <v>-0.18103949999999999</v>
      </c>
      <c r="U1525">
        <v>-4.8675540000000003E-2</v>
      </c>
      <c r="V1525">
        <v>7.9666819999999999E-2</v>
      </c>
      <c r="W1525">
        <v>-2.30339E-2</v>
      </c>
      <c r="X1525">
        <v>0.99655539999999998</v>
      </c>
      <c r="Y1525">
        <v>3.5967869999999999E-2</v>
      </c>
      <c r="Z1525">
        <v>4.2409919999999999E-3</v>
      </c>
      <c r="AA1525">
        <v>0.99934389999999995</v>
      </c>
      <c r="AB1525">
        <v>15</v>
      </c>
      <c r="AC1525">
        <v>-18.224499999999999</v>
      </c>
      <c r="AD1525">
        <v>-1.1096790883562</v>
      </c>
      <c r="AE1525">
        <v>-0.29000000000002002</v>
      </c>
      <c r="AF1525">
        <v>0.66191454512431103</v>
      </c>
      <c r="AG1525">
        <v>-1.1096790883562</v>
      </c>
      <c r="AH1525">
        <v>18.147430104174699</v>
      </c>
      <c r="AI1525">
        <v>93.496846043138206</v>
      </c>
      <c r="AJ1525">
        <v>87.911103394259996</v>
      </c>
      <c r="AK1525">
        <v>18.193370713809198</v>
      </c>
      <c r="AL1525">
        <v>91.319861965892997</v>
      </c>
      <c r="AM1525">
        <v>85.429370025208001</v>
      </c>
      <c r="AN1525">
        <v>1.00000001401364</v>
      </c>
    </row>
    <row r="1526" spans="1:40" x14ac:dyDescent="0.25">
      <c r="A1526" t="str">
        <f>"20190312160943481"</f>
        <v>20190312160943481</v>
      </c>
      <c r="B1526" t="str">
        <f>"1552378183477420"</f>
        <v>1552378183477420</v>
      </c>
      <c r="C1526" t="s">
        <v>40</v>
      </c>
      <c r="D1526">
        <v>5.8437830000000002</v>
      </c>
      <c r="E1526">
        <v>0.48667929999999998</v>
      </c>
      <c r="F1526" t="s">
        <v>61</v>
      </c>
      <c r="G1526">
        <v>-243.49189999999999</v>
      </c>
      <c r="H1526" s="1">
        <v>3.2144370000000003E-7</v>
      </c>
      <c r="I1526">
        <v>283.40640000000002</v>
      </c>
      <c r="J1526">
        <v>-226.5204</v>
      </c>
      <c r="K1526">
        <v>1.1096520000000001</v>
      </c>
      <c r="L1526">
        <v>283.63799999999998</v>
      </c>
      <c r="M1526">
        <v>-0.99858179999999996</v>
      </c>
      <c r="N1526">
        <v>0</v>
      </c>
      <c r="O1526">
        <v>-5.2542720000000001E-2</v>
      </c>
      <c r="P1526">
        <v>-0.99918110000000004</v>
      </c>
      <c r="Q1526">
        <v>-3.0827839999999999E-2</v>
      </c>
      <c r="R1526">
        <v>2.621592E-2</v>
      </c>
      <c r="S1526">
        <v>-2.99762</v>
      </c>
      <c r="T1526">
        <v>-0.19435040000000001</v>
      </c>
      <c r="U1526">
        <v>-4.193115E-2</v>
      </c>
      <c r="V1526">
        <v>7.8684260000000006E-2</v>
      </c>
      <c r="W1526">
        <v>-2.2254920000000001E-2</v>
      </c>
      <c r="X1526">
        <v>0.99665119999999896</v>
      </c>
      <c r="Y1526">
        <v>3.83813E-2</v>
      </c>
      <c r="Z1526">
        <v>4.6443580000000003E-3</v>
      </c>
      <c r="AA1526">
        <v>0.99925240000000004</v>
      </c>
      <c r="AB1526">
        <v>15</v>
      </c>
      <c r="AC1526">
        <v>-16.971499999999899</v>
      </c>
      <c r="AD1526">
        <v>-1.1096516785563</v>
      </c>
      <c r="AE1526">
        <v>-0.23159999999995701</v>
      </c>
      <c r="AF1526">
        <v>0.65767055345691805</v>
      </c>
      <c r="AG1526">
        <v>-1.1096516785563</v>
      </c>
      <c r="AH1526">
        <v>16.888042093947998</v>
      </c>
      <c r="AI1526">
        <v>93.756453783855903</v>
      </c>
      <c r="AJ1526">
        <v>87.7698589740004</v>
      </c>
      <c r="AK1526">
        <v>16.9372318627209</v>
      </c>
      <c r="AL1526">
        <v>91.275218200187595</v>
      </c>
      <c r="AM1526">
        <v>85.4859389540308</v>
      </c>
      <c r="AN1526">
        <v>1.00000005434869</v>
      </c>
    </row>
    <row r="1527" spans="1:40" x14ac:dyDescent="0.25">
      <c r="A1527" t="str">
        <f>"20190312160943504"</f>
        <v>20190312160943504</v>
      </c>
      <c r="B1527" t="str">
        <f>"1552378183496939"</f>
        <v>1552378183496939</v>
      </c>
      <c r="C1527" t="s">
        <v>40</v>
      </c>
      <c r="D1527">
        <v>5.8544489999999998</v>
      </c>
      <c r="E1527">
        <v>0.48716890000000002</v>
      </c>
      <c r="F1527" t="s">
        <v>61</v>
      </c>
      <c r="G1527">
        <v>-244.8383</v>
      </c>
      <c r="H1527" s="1">
        <v>1.0378930000000001E-6</v>
      </c>
      <c r="I1527">
        <v>283.46140000000003</v>
      </c>
      <c r="J1527">
        <v>-226.6842</v>
      </c>
      <c r="K1527">
        <v>1.109607</v>
      </c>
      <c r="L1527">
        <v>283.62920000000003</v>
      </c>
      <c r="M1527">
        <v>-0.99857300000000004</v>
      </c>
      <c r="N1527">
        <v>0</v>
      </c>
      <c r="O1527">
        <v>-5.2712889999999998E-2</v>
      </c>
      <c r="P1527">
        <v>-0.99918340000000005</v>
      </c>
      <c r="Q1527">
        <v>-3.1313809999999997E-2</v>
      </c>
      <c r="R1527">
        <v>2.55324E-2</v>
      </c>
      <c r="S1527">
        <v>-2.9976349999999998</v>
      </c>
      <c r="T1527">
        <v>-0.1815891</v>
      </c>
      <c r="U1527">
        <v>-2.8900149999999999E-2</v>
      </c>
      <c r="V1527">
        <v>7.816948E-2</v>
      </c>
      <c r="W1527">
        <v>-2.2779170000000001E-2</v>
      </c>
      <c r="X1527">
        <v>0.9966798</v>
      </c>
      <c r="Y1527">
        <v>4.2910070000000002E-2</v>
      </c>
      <c r="Z1527">
        <v>4.4874909999999997E-3</v>
      </c>
      <c r="AA1527">
        <v>0.99906890000000004</v>
      </c>
      <c r="AB1527">
        <v>15</v>
      </c>
      <c r="AC1527">
        <v>-18.1541</v>
      </c>
      <c r="AD1527">
        <v>-1.109605962107</v>
      </c>
      <c r="AE1527">
        <v>-0.16779999999999901</v>
      </c>
      <c r="AF1527">
        <v>0.78648553363969598</v>
      </c>
      <c r="AG1527">
        <v>-1.109605962107</v>
      </c>
      <c r="AH1527">
        <v>18.070202621153001</v>
      </c>
      <c r="AI1527">
        <v>93.510536552982799</v>
      </c>
      <c r="AJ1527">
        <v>87.507837588181303</v>
      </c>
      <c r="AK1527">
        <v>18.121313629405901</v>
      </c>
      <c r="AL1527">
        <v>91.305263211678906</v>
      </c>
      <c r="AM1527">
        <v>85.515478819404095</v>
      </c>
      <c r="AN1527">
        <v>0.99999999095869896</v>
      </c>
    </row>
    <row r="1528" spans="1:40" x14ac:dyDescent="0.25">
      <c r="A1528" t="str">
        <f>"20190312160943526"</f>
        <v>20190312160943526</v>
      </c>
      <c r="B1528" t="str">
        <f>"1552378183517435"</f>
        <v>1552378183517435</v>
      </c>
      <c r="C1528" t="s">
        <v>40</v>
      </c>
      <c r="D1528">
        <v>5.7476279999999997</v>
      </c>
      <c r="E1528">
        <v>0.48789779999999999</v>
      </c>
      <c r="F1528" t="s">
        <v>42</v>
      </c>
      <c r="G1528">
        <v>-227.55699999999999</v>
      </c>
      <c r="H1528">
        <v>1.053874</v>
      </c>
      <c r="I1528">
        <v>283.62139999999999</v>
      </c>
      <c r="J1528">
        <v>-226.83150000000001</v>
      </c>
      <c r="K1528">
        <v>1.1095549999999901</v>
      </c>
      <c r="L1528">
        <v>283.62130000000002</v>
      </c>
      <c r="M1528">
        <v>-0.99856869999999998</v>
      </c>
      <c r="N1528">
        <v>0</v>
      </c>
      <c r="O1528">
        <v>-5.2798779999999997E-2</v>
      </c>
      <c r="P1528">
        <v>-0.9991217</v>
      </c>
      <c r="Q1528">
        <v>-3.2529299999999997E-2</v>
      </c>
      <c r="R1528">
        <v>2.6414690000000001E-2</v>
      </c>
      <c r="S1528">
        <v>-2.997147</v>
      </c>
      <c r="T1528">
        <v>-0.19151750000000001</v>
      </c>
      <c r="U1528">
        <v>-2.7221680000000002E-2</v>
      </c>
      <c r="V1528">
        <v>7.9130549999999994E-2</v>
      </c>
      <c r="W1528">
        <v>-2.403334E-2</v>
      </c>
      <c r="X1528">
        <v>0.99657450000000003</v>
      </c>
      <c r="Y1528">
        <v>4.3532679999999997E-2</v>
      </c>
      <c r="Z1528">
        <v>4.7584990000000002E-3</v>
      </c>
      <c r="AA1528">
        <v>0.9990407</v>
      </c>
      <c r="AB1528">
        <v>15</v>
      </c>
      <c r="AC1528">
        <v>-0.72550000000001003</v>
      </c>
      <c r="AD1528">
        <v>-5.56809999999998E-2</v>
      </c>
      <c r="AE1528" s="1">
        <v>9.9999999974897906E-5</v>
      </c>
      <c r="AF1528">
        <v>3.8181866982691499E-2</v>
      </c>
      <c r="AG1528">
        <v>-5.56809999999998E-2</v>
      </c>
      <c r="AH1528">
        <v>0.72024024949847998</v>
      </c>
      <c r="AI1528">
        <v>94.414507935622893</v>
      </c>
      <c r="AJ1528">
        <v>86.965437681257001</v>
      </c>
      <c r="AK1528">
        <v>0.72339770923394298</v>
      </c>
      <c r="AL1528">
        <v>91.377141558630001</v>
      </c>
      <c r="AM1528">
        <v>85.460094402576303</v>
      </c>
      <c r="AN1528">
        <v>0.99999998971255399</v>
      </c>
    </row>
    <row r="1529" spans="1:40" x14ac:dyDescent="0.25">
      <c r="A1529" t="str">
        <f>"20190312160943549"</f>
        <v>20190312160943549</v>
      </c>
      <c r="B1529" t="str">
        <f>"1552378183536955"</f>
        <v>1552378183536955</v>
      </c>
      <c r="C1529" t="s">
        <v>40</v>
      </c>
      <c r="D1529">
        <v>5.6502129999999999</v>
      </c>
      <c r="E1529">
        <v>0.48845880000000003</v>
      </c>
      <c r="F1529" t="s">
        <v>42</v>
      </c>
      <c r="G1529">
        <v>-227.6943</v>
      </c>
      <c r="H1529">
        <v>1.0546310000000001</v>
      </c>
      <c r="I1529">
        <v>283.61599999999999</v>
      </c>
      <c r="J1529">
        <v>-226.98840000000001</v>
      </c>
      <c r="K1529">
        <v>1.1095109999999999</v>
      </c>
      <c r="L1529">
        <v>283.61290000000002</v>
      </c>
      <c r="M1529">
        <v>-0.99856710000000004</v>
      </c>
      <c r="N1529">
        <v>0</v>
      </c>
      <c r="O1529">
        <v>-5.28345E-2</v>
      </c>
      <c r="P1529">
        <v>-0.9991023</v>
      </c>
      <c r="Q1529">
        <v>-3.2715609999999999E-2</v>
      </c>
      <c r="R1529">
        <v>2.6907830000000001E-2</v>
      </c>
      <c r="S1529">
        <v>-2.9968870000000001</v>
      </c>
      <c r="T1529">
        <v>-0.19084989999999999</v>
      </c>
      <c r="U1529">
        <v>-1.8798829999999999E-2</v>
      </c>
      <c r="V1529">
        <v>7.9655390000000006E-2</v>
      </c>
      <c r="W1529">
        <v>-2.426126E-2</v>
      </c>
      <c r="X1529">
        <v>0.99652719999999995</v>
      </c>
      <c r="Y1529">
        <v>4.637061E-2</v>
      </c>
      <c r="Z1529">
        <v>4.8350090000000004E-3</v>
      </c>
      <c r="AA1529">
        <v>0.99891260000000004</v>
      </c>
      <c r="AB1529">
        <v>15</v>
      </c>
      <c r="AC1529">
        <v>-0.70589999999998498</v>
      </c>
      <c r="AD1529">
        <v>-5.4880000000000199E-2</v>
      </c>
      <c r="AE1529">
        <v>3.0999999999607999E-3</v>
      </c>
      <c r="AF1529">
        <v>4.0150218077351897E-2</v>
      </c>
      <c r="AG1529">
        <v>-5.4880000000000199E-2</v>
      </c>
      <c r="AH1529">
        <v>0.700516185207256</v>
      </c>
      <c r="AI1529">
        <v>94.472219881580003</v>
      </c>
      <c r="AJ1529">
        <v>86.719670378985995</v>
      </c>
      <c r="AK1529">
        <v>0.70380876674632697</v>
      </c>
      <c r="AL1529">
        <v>91.390204172554405</v>
      </c>
      <c r="AM1529">
        <v>85.429894232503202</v>
      </c>
      <c r="AN1529">
        <v>1.0000000251163299</v>
      </c>
    </row>
    <row r="1530" spans="1:40" x14ac:dyDescent="0.25">
      <c r="A1530" t="str">
        <f>"20190312160943571"</f>
        <v>20190312160943571</v>
      </c>
      <c r="B1530" t="str">
        <f>"1552378183567212"</f>
        <v>1552378183567212</v>
      </c>
      <c r="C1530" t="s">
        <v>40</v>
      </c>
      <c r="D1530">
        <v>5.768643</v>
      </c>
      <c r="E1530">
        <v>0.48872009999999999</v>
      </c>
      <c r="F1530" t="s">
        <v>42</v>
      </c>
      <c r="G1530">
        <v>-227.8372</v>
      </c>
      <c r="H1530">
        <v>1.0550839999999999</v>
      </c>
      <c r="I1530">
        <v>283.60950000000003</v>
      </c>
      <c r="J1530">
        <v>-227.13740000000001</v>
      </c>
      <c r="K1530">
        <v>1.109478</v>
      </c>
      <c r="L1530">
        <v>283.60509999999999</v>
      </c>
      <c r="M1530">
        <v>-0.99856809999999996</v>
      </c>
      <c r="N1530">
        <v>0</v>
      </c>
      <c r="O1530">
        <v>-5.2820869999999999E-2</v>
      </c>
      <c r="P1530">
        <v>-0.99908200000000003</v>
      </c>
      <c r="Q1530">
        <v>-3.3218610000000003E-2</v>
      </c>
      <c r="R1530">
        <v>2.7053319999999999E-2</v>
      </c>
      <c r="S1530">
        <v>-2.99675</v>
      </c>
      <c r="T1530">
        <v>-0.19226119999999999</v>
      </c>
      <c r="U1530">
        <v>-1.2847900000000001E-2</v>
      </c>
      <c r="V1530">
        <v>7.9784430000000003E-2</v>
      </c>
      <c r="W1530">
        <v>-2.480154E-2</v>
      </c>
      <c r="X1530">
        <v>0.99650349999999999</v>
      </c>
      <c r="Y1530">
        <v>4.8333149999999998E-2</v>
      </c>
      <c r="Z1530">
        <v>4.9329980000000001E-3</v>
      </c>
      <c r="AA1530">
        <v>0.99881909999999896</v>
      </c>
      <c r="AB1530">
        <v>15</v>
      </c>
      <c r="AC1530">
        <v>-0.69979999999998199</v>
      </c>
      <c r="AD1530">
        <v>-5.4393999999999998E-2</v>
      </c>
      <c r="AE1530">
        <v>4.4000000000323702E-3</v>
      </c>
      <c r="AF1530">
        <v>4.1110860546017203E-2</v>
      </c>
      <c r="AG1530">
        <v>-5.4393999999999998E-2</v>
      </c>
      <c r="AH1530">
        <v>0.69439547671456503</v>
      </c>
      <c r="AI1530">
        <v>94.471200162876002</v>
      </c>
      <c r="AJ1530">
        <v>86.611826261393304</v>
      </c>
      <c r="AK1530">
        <v>0.69773482654406904</v>
      </c>
      <c r="AL1530">
        <v>91.421169363330193</v>
      </c>
      <c r="AM1530">
        <v>85.422413793815707</v>
      </c>
      <c r="AN1530">
        <v>0.99999994858452101</v>
      </c>
    </row>
    <row r="1531" spans="1:40" x14ac:dyDescent="0.25">
      <c r="A1531" t="str">
        <f>"20190312160943592"</f>
        <v>20190312160943592</v>
      </c>
      <c r="B1531" t="str">
        <f>"1552378183586732"</f>
        <v>1552378183586732</v>
      </c>
      <c r="C1531" t="s">
        <v>40</v>
      </c>
      <c r="D1531">
        <v>5.8643049999999999</v>
      </c>
      <c r="E1531">
        <v>0.48888789999999999</v>
      </c>
      <c r="F1531" t="s">
        <v>61</v>
      </c>
      <c r="G1531">
        <v>-244.67410000000001</v>
      </c>
      <c r="H1531" s="1">
        <v>9.5054929999999995E-7</v>
      </c>
      <c r="I1531">
        <v>283.54489999999998</v>
      </c>
      <c r="J1531">
        <v>-227.2886</v>
      </c>
      <c r="K1531">
        <v>1.109448</v>
      </c>
      <c r="L1531">
        <v>283.59710000000001</v>
      </c>
      <c r="M1531">
        <v>-0.99857189999999996</v>
      </c>
      <c r="N1531">
        <v>0</v>
      </c>
      <c r="O1531">
        <v>-5.2753540000000002E-2</v>
      </c>
      <c r="P1531">
        <v>-0.99908059999999999</v>
      </c>
      <c r="Q1531">
        <v>-3.3016169999999997E-2</v>
      </c>
      <c r="R1531">
        <v>2.734932E-2</v>
      </c>
      <c r="S1531">
        <v>-2.9967190000000001</v>
      </c>
      <c r="T1531">
        <v>-0.18959010000000001</v>
      </c>
      <c r="U1531">
        <v>-1.0284420000000001E-2</v>
      </c>
      <c r="V1531">
        <v>8.0011349999999995E-2</v>
      </c>
      <c r="W1531">
        <v>-2.4634719999999999E-2</v>
      </c>
      <c r="X1531">
        <v>0.99648950000000003</v>
      </c>
      <c r="Y1531">
        <v>4.9124420000000002E-2</v>
      </c>
      <c r="Z1531">
        <v>4.885431E-3</v>
      </c>
      <c r="AA1531">
        <v>0.99878069999999997</v>
      </c>
      <c r="AB1531">
        <v>15</v>
      </c>
      <c r="AC1531">
        <v>-17.3855</v>
      </c>
      <c r="AD1531">
        <v>-1.1094470494507001</v>
      </c>
      <c r="AE1531">
        <v>-5.2200000000027502E-2</v>
      </c>
      <c r="AF1531">
        <v>0.861543599022772</v>
      </c>
      <c r="AG1531">
        <v>-1.1094470494507001</v>
      </c>
      <c r="AH1531">
        <v>17.293619871270799</v>
      </c>
      <c r="AI1531">
        <v>93.666162911932204</v>
      </c>
      <c r="AJ1531">
        <v>87.147963500027899</v>
      </c>
      <c r="AK1531">
        <v>17.350574007235799</v>
      </c>
      <c r="AL1531">
        <v>91.411608280557601</v>
      </c>
      <c r="AM1531">
        <v>85.409385736348398</v>
      </c>
      <c r="AN1531">
        <v>1.0000000045842701</v>
      </c>
    </row>
    <row r="1532" spans="1:40" x14ac:dyDescent="0.25">
      <c r="A1532" t="str">
        <f>"20190312160943615"</f>
        <v>20190312160943615</v>
      </c>
      <c r="B1532" t="str">
        <f>"1552378183607227"</f>
        <v>1552378183607227</v>
      </c>
      <c r="C1532" t="s">
        <v>40</v>
      </c>
      <c r="D1532">
        <v>5.8470829999999996</v>
      </c>
      <c r="E1532">
        <v>0.48907299999999998</v>
      </c>
      <c r="F1532" t="s">
        <v>61</v>
      </c>
      <c r="G1532">
        <v>-244.7843</v>
      </c>
      <c r="H1532" s="1">
        <v>1.0091819999999999E-6</v>
      </c>
      <c r="I1532">
        <v>283.54930000000002</v>
      </c>
      <c r="J1532">
        <v>-227.44069999999999</v>
      </c>
      <c r="K1532">
        <v>1.109416</v>
      </c>
      <c r="L1532">
        <v>283.58920000000001</v>
      </c>
      <c r="M1532">
        <v>-0.99857899999999999</v>
      </c>
      <c r="N1532">
        <v>0</v>
      </c>
      <c r="O1532">
        <v>-5.2625039999999998E-2</v>
      </c>
      <c r="P1532">
        <v>-0.99908750000000002</v>
      </c>
      <c r="Q1532">
        <v>-3.3042160000000001E-2</v>
      </c>
      <c r="R1532">
        <v>2.7060689999999998E-2</v>
      </c>
      <c r="S1532">
        <v>-2.9967190000000001</v>
      </c>
      <c r="T1532">
        <v>-0.19002910000000001</v>
      </c>
      <c r="U1532">
        <v>-8.178711E-3</v>
      </c>
      <c r="V1532">
        <v>7.9593860000000002E-2</v>
      </c>
      <c r="W1532">
        <v>-2.469874E-2</v>
      </c>
      <c r="X1532">
        <v>0.9965214</v>
      </c>
      <c r="Y1532">
        <v>4.9695839999999998E-2</v>
      </c>
      <c r="Z1532">
        <v>4.9067090000000004E-3</v>
      </c>
      <c r="AA1532">
        <v>0.99875239999999998</v>
      </c>
      <c r="AB1532">
        <v>15</v>
      </c>
      <c r="AC1532">
        <v>-17.343599999999999</v>
      </c>
      <c r="AD1532">
        <v>-1.109414990818</v>
      </c>
      <c r="AE1532">
        <v>-3.9899999999988701E-2</v>
      </c>
      <c r="AF1532">
        <v>0.86933805024180999</v>
      </c>
      <c r="AG1532">
        <v>-1.109414990818</v>
      </c>
      <c r="AH1532">
        <v>17.251079021573499</v>
      </c>
      <c r="AI1532">
        <v>93.674967682236002</v>
      </c>
      <c r="AJ1532">
        <v>87.115119466839701</v>
      </c>
      <c r="AK1532">
        <v>17.3085608204733</v>
      </c>
      <c r="AL1532">
        <v>91.415277400721294</v>
      </c>
      <c r="AM1532">
        <v>85.433383018667101</v>
      </c>
      <c r="AN1532">
        <v>1.0000000554826201</v>
      </c>
    </row>
    <row r="1533" spans="1:40" x14ac:dyDescent="0.25">
      <c r="A1533" t="str">
        <f>"20190312160943636"</f>
        <v>20190312160943636</v>
      </c>
      <c r="B1533" t="str">
        <f>"1552378183626748"</f>
        <v>1552378183626748</v>
      </c>
      <c r="C1533" t="s">
        <v>40</v>
      </c>
      <c r="D1533">
        <v>5.7545869999999999</v>
      </c>
      <c r="E1533">
        <v>0.4892977</v>
      </c>
      <c r="F1533" t="s">
        <v>61</v>
      </c>
      <c r="G1533">
        <v>-245.12180000000001</v>
      </c>
      <c r="H1533" s="1">
        <v>1.188802E-6</v>
      </c>
      <c r="I1533">
        <v>283.54570000000001</v>
      </c>
      <c r="J1533">
        <v>-227.5968</v>
      </c>
      <c r="K1533">
        <v>1.10938</v>
      </c>
      <c r="L1533">
        <v>283.58120000000002</v>
      </c>
      <c r="M1533">
        <v>-0.99858990000000003</v>
      </c>
      <c r="N1533">
        <v>0</v>
      </c>
      <c r="O1533">
        <v>-5.2426609999999998E-2</v>
      </c>
      <c r="P1533">
        <v>-0.99910220000000005</v>
      </c>
      <c r="Q1533">
        <v>-3.2972950000000001E-2</v>
      </c>
      <c r="R1533">
        <v>2.6604829999999999E-2</v>
      </c>
      <c r="S1533">
        <v>-2.9967039999999998</v>
      </c>
      <c r="T1533">
        <v>-0.1880299</v>
      </c>
      <c r="U1533">
        <v>-7.385254E-3</v>
      </c>
      <c r="V1533">
        <v>7.8939789999999996E-2</v>
      </c>
      <c r="W1533">
        <v>-2.4674970000000001E-2</v>
      </c>
      <c r="X1533">
        <v>0.99657399999999996</v>
      </c>
      <c r="Y1533">
        <v>4.9766320000000003E-2</v>
      </c>
      <c r="Z1533">
        <v>4.8450020000000002E-3</v>
      </c>
      <c r="AA1533">
        <v>0.99874909999999995</v>
      </c>
      <c r="AB1533">
        <v>15</v>
      </c>
      <c r="AC1533">
        <v>-17.524999999999999</v>
      </c>
      <c r="AD1533">
        <v>-1.1093788111980001</v>
      </c>
      <c r="AE1533">
        <v>-3.5500000000013097E-2</v>
      </c>
      <c r="AF1533">
        <v>0.87983149970474495</v>
      </c>
      <c r="AG1533">
        <v>-1.1093788111980001</v>
      </c>
      <c r="AH1533">
        <v>17.432901528492799</v>
      </c>
      <c r="AI1533">
        <v>93.636609525717205</v>
      </c>
      <c r="AJ1533">
        <v>87.1107566244428</v>
      </c>
      <c r="AK1533">
        <v>17.490308188157599</v>
      </c>
      <c r="AL1533">
        <v>91.4139150853579</v>
      </c>
      <c r="AM1533">
        <v>85.470990902557205</v>
      </c>
      <c r="AN1533">
        <v>1.00000004103287</v>
      </c>
    </row>
    <row r="1534" spans="1:40" x14ac:dyDescent="0.25">
      <c r="A1534" t="str">
        <f>"20190312160943660"</f>
        <v>20190312160943660</v>
      </c>
      <c r="B1534" t="str">
        <f>"1552378183657004"</f>
        <v>1552378183657004</v>
      </c>
      <c r="C1534" t="s">
        <v>40</v>
      </c>
      <c r="D1534">
        <v>5.9757850000000001</v>
      </c>
      <c r="E1534">
        <v>0.51053800000000005</v>
      </c>
      <c r="F1534" t="s">
        <v>61</v>
      </c>
      <c r="G1534">
        <v>-245.48310000000001</v>
      </c>
      <c r="H1534" s="1">
        <v>1.3810340000000001E-6</v>
      </c>
      <c r="I1534">
        <v>283.54000000000002</v>
      </c>
      <c r="J1534">
        <v>-227.75980000000001</v>
      </c>
      <c r="K1534">
        <v>1.109324</v>
      </c>
      <c r="L1534">
        <v>283.5729</v>
      </c>
      <c r="M1534">
        <v>-0.99860490000000002</v>
      </c>
      <c r="N1534">
        <v>0</v>
      </c>
      <c r="O1534">
        <v>-5.2148449999999999E-2</v>
      </c>
      <c r="P1534">
        <v>-0.99909029999999999</v>
      </c>
      <c r="Q1534">
        <v>-3.3789390000000002E-2</v>
      </c>
      <c r="R1534">
        <v>2.6024660000000002E-2</v>
      </c>
      <c r="S1534">
        <v>-2.99675</v>
      </c>
      <c r="T1534">
        <v>-0.1858706</v>
      </c>
      <c r="U1534">
        <v>-6.8969729999999998E-3</v>
      </c>
      <c r="V1534">
        <v>7.8079670000000004E-2</v>
      </c>
      <c r="W1534">
        <v>-2.5545789999999999E-2</v>
      </c>
      <c r="X1534">
        <v>0.99661979999999994</v>
      </c>
      <c r="Y1534">
        <v>4.9656209999999999E-2</v>
      </c>
      <c r="Z1534">
        <v>4.7687729999999996E-3</v>
      </c>
      <c r="AA1534">
        <v>0.99875499999999995</v>
      </c>
      <c r="AB1534">
        <v>16</v>
      </c>
      <c r="AC1534">
        <v>-17.723299999999899</v>
      </c>
      <c r="AD1534">
        <v>-1.1093226189659999</v>
      </c>
      <c r="AE1534">
        <v>-3.2899999999983699E-2</v>
      </c>
      <c r="AF1534">
        <v>0.88794054912356002</v>
      </c>
      <c r="AG1534">
        <v>-1.1093226189659999</v>
      </c>
      <c r="AH1534">
        <v>17.631823543728899</v>
      </c>
      <c r="AI1534">
        <v>93.595527685395993</v>
      </c>
      <c r="AJ1534">
        <v>87.117013892503294</v>
      </c>
      <c r="AK1534">
        <v>17.6889863069912</v>
      </c>
      <c r="AL1534">
        <v>91.463825157941301</v>
      </c>
      <c r="AM1534">
        <v>85.520341589877106</v>
      </c>
      <c r="AN1534">
        <v>1.00000002400303</v>
      </c>
    </row>
    <row r="1535" spans="1:40" x14ac:dyDescent="0.25">
      <c r="A1535" t="str">
        <f>"20190312160943681"</f>
        <v>20190312160943681</v>
      </c>
      <c r="B1535" t="str">
        <f>"1552378183677501"</f>
        <v>1552378183677501</v>
      </c>
      <c r="C1535" t="s">
        <v>40</v>
      </c>
      <c r="D1535">
        <v>5.7757889999999996</v>
      </c>
      <c r="E1535">
        <v>0.51581899999999903</v>
      </c>
      <c r="F1535" t="s">
        <v>42</v>
      </c>
      <c r="G1535">
        <v>-228.5017</v>
      </c>
      <c r="H1535">
        <v>1.008016</v>
      </c>
      <c r="I1535">
        <v>283.61200000000002</v>
      </c>
      <c r="J1535">
        <v>-227.90770000000001</v>
      </c>
      <c r="K1535">
        <v>1.109272</v>
      </c>
      <c r="L1535">
        <v>283.56549999999999</v>
      </c>
      <c r="M1535">
        <v>-0.99862189999999995</v>
      </c>
      <c r="N1535">
        <v>0</v>
      </c>
      <c r="O1535">
        <v>-5.1829729999999997E-2</v>
      </c>
      <c r="P1535">
        <v>-0.99907420000000002</v>
      </c>
      <c r="Q1535">
        <v>-3.3859500000000001E-2</v>
      </c>
      <c r="R1535">
        <v>2.6540680000000001E-2</v>
      </c>
      <c r="S1535">
        <v>-2.9848479999999999</v>
      </c>
      <c r="T1535">
        <v>-0.40755960000000002</v>
      </c>
      <c r="U1535">
        <v>0.1573792</v>
      </c>
      <c r="V1535">
        <v>7.8273620000000002E-2</v>
      </c>
      <c r="W1535">
        <v>-2.567295E-2</v>
      </c>
      <c r="X1535">
        <v>0.99660130000000002</v>
      </c>
      <c r="Y1535">
        <v>0.10290920000000001</v>
      </c>
      <c r="Z1535">
        <v>1.4028250000000001E-2</v>
      </c>
      <c r="AA1535">
        <v>0.99459180000000003</v>
      </c>
      <c r="AB1535">
        <v>16</v>
      </c>
      <c r="AC1535">
        <v>-0.59399999999999398</v>
      </c>
      <c r="AD1535">
        <v>-0.101256</v>
      </c>
      <c r="AE1535">
        <v>4.6500000000037199E-2</v>
      </c>
      <c r="AF1535">
        <v>7.50576475339991E-2</v>
      </c>
      <c r="AG1535">
        <v>-0.101256</v>
      </c>
      <c r="AH1535">
        <v>0.57420759958855205</v>
      </c>
      <c r="AI1535">
        <v>99.918068781664104</v>
      </c>
      <c r="AJ1535">
        <v>82.552795981540498</v>
      </c>
      <c r="AK1535">
        <v>0.587878214781416</v>
      </c>
      <c r="AL1535">
        <v>91.471113306550393</v>
      </c>
      <c r="AM1535">
        <v>85.509176551447993</v>
      </c>
      <c r="AN1535">
        <v>1.0000000055556399</v>
      </c>
    </row>
    <row r="1536" spans="1:40" x14ac:dyDescent="0.25">
      <c r="A1536" t="str">
        <f>"20190312160943702"</f>
        <v>20190312160943702</v>
      </c>
      <c r="B1536" t="str">
        <f>"1552378183697020"</f>
        <v>1552378183697020</v>
      </c>
      <c r="C1536" t="s">
        <v>40</v>
      </c>
      <c r="D1536">
        <v>5.9074309999999999</v>
      </c>
      <c r="E1536">
        <v>0.51869140000000002</v>
      </c>
      <c r="F1536" t="s">
        <v>42</v>
      </c>
      <c r="G1536">
        <v>-228.63589999999999</v>
      </c>
      <c r="H1536">
        <v>0.99334960000000005</v>
      </c>
      <c r="I1536">
        <v>283.61430000000001</v>
      </c>
      <c r="J1536">
        <v>-228.06209999999999</v>
      </c>
      <c r="K1536">
        <v>1.109219</v>
      </c>
      <c r="L1536">
        <v>283.55799999999999</v>
      </c>
      <c r="M1536">
        <v>-0.99864319999999895</v>
      </c>
      <c r="N1536">
        <v>0</v>
      </c>
      <c r="O1536">
        <v>-5.1426180000000002E-2</v>
      </c>
      <c r="P1536">
        <v>-0.99908669999999999</v>
      </c>
      <c r="Q1536">
        <v>-3.2976169999999999E-2</v>
      </c>
      <c r="R1536">
        <v>2.717607E-2</v>
      </c>
      <c r="S1536">
        <v>-2.9813540000000001</v>
      </c>
      <c r="T1536">
        <v>-0.47454570000000001</v>
      </c>
      <c r="U1536">
        <v>0.19982910000000001</v>
      </c>
      <c r="V1536">
        <v>7.8503760000000006E-2</v>
      </c>
      <c r="W1536">
        <v>-2.4856969999999999E-2</v>
      </c>
      <c r="X1536">
        <v>0.99660389999999999</v>
      </c>
      <c r="Y1536">
        <v>0.1160008</v>
      </c>
      <c r="Z1536">
        <v>1.7290630000000001E-2</v>
      </c>
      <c r="AA1536">
        <v>0.99309860000000005</v>
      </c>
      <c r="AB1536">
        <v>16</v>
      </c>
      <c r="AC1536">
        <v>-0.57380000000000497</v>
      </c>
      <c r="AD1536">
        <v>-0.1158694</v>
      </c>
      <c r="AE1536">
        <v>5.63000000000215E-2</v>
      </c>
      <c r="AF1536">
        <v>8.2406570818455802E-2</v>
      </c>
      <c r="AG1536">
        <v>-0.1158694</v>
      </c>
      <c r="AH1536">
        <v>0.54801203782295205</v>
      </c>
      <c r="AI1536">
        <v>101.809566243654</v>
      </c>
      <c r="AJ1536">
        <v>81.448298018050394</v>
      </c>
      <c r="AK1536">
        <v>0.56615700505185196</v>
      </c>
      <c r="AL1536">
        <v>91.424346144238797</v>
      </c>
      <c r="AM1536">
        <v>85.496038588374702</v>
      </c>
      <c r="AN1536">
        <v>1.0000000213934599</v>
      </c>
    </row>
    <row r="1537" spans="1:40" x14ac:dyDescent="0.25">
      <c r="A1537" t="str">
        <f>"20190312160943728"</f>
        <v>20190312160943728</v>
      </c>
      <c r="B1537" t="str">
        <f>"1552378183716540"</f>
        <v>1552378183716540</v>
      </c>
      <c r="C1537" t="s">
        <v>40</v>
      </c>
      <c r="D1537">
        <v>5.904363</v>
      </c>
      <c r="E1537">
        <v>0.51993940000000005</v>
      </c>
      <c r="F1537" t="s">
        <v>42</v>
      </c>
      <c r="G1537">
        <v>-228.77500000000001</v>
      </c>
      <c r="H1537">
        <v>0.98802650000000003</v>
      </c>
      <c r="I1537">
        <v>283.61180000000002</v>
      </c>
      <c r="J1537">
        <v>-228.23769999999999</v>
      </c>
      <c r="K1537">
        <v>1.109156</v>
      </c>
      <c r="L1537">
        <v>283.5496</v>
      </c>
      <c r="M1537">
        <v>-0.99867240000000002</v>
      </c>
      <c r="N1537">
        <v>0</v>
      </c>
      <c r="O1537">
        <v>-5.0867809999999999E-2</v>
      </c>
      <c r="P1537">
        <v>-0.9990523</v>
      </c>
      <c r="Q1537">
        <v>-3.2920810000000002E-2</v>
      </c>
      <c r="R1537">
        <v>2.8474949999999999E-2</v>
      </c>
      <c r="S1537">
        <v>-2.9799190000000002</v>
      </c>
      <c r="T1537">
        <v>-0.50650260000000003</v>
      </c>
      <c r="U1537">
        <v>0.22494510000000001</v>
      </c>
      <c r="V1537">
        <v>7.923914E-2</v>
      </c>
      <c r="W1537">
        <v>-2.4885480000000001E-2</v>
      </c>
      <c r="X1537">
        <v>0.99654500000000001</v>
      </c>
      <c r="Y1537">
        <v>0.12341299999999999</v>
      </c>
      <c r="Z1537">
        <v>1.8973380000000001E-2</v>
      </c>
      <c r="AA1537">
        <v>0.992174</v>
      </c>
      <c r="AB1537">
        <v>16</v>
      </c>
      <c r="AC1537">
        <v>-0.53730000000001599</v>
      </c>
      <c r="AD1537">
        <v>-0.1211295</v>
      </c>
      <c r="AE1537">
        <v>6.22000000000184E-2</v>
      </c>
      <c r="AF1537">
        <v>8.5179745527324602E-2</v>
      </c>
      <c r="AG1537">
        <v>-0.1211295</v>
      </c>
      <c r="AH1537">
        <v>0.50796502688562095</v>
      </c>
      <c r="AI1537">
        <v>103.234146799719</v>
      </c>
      <c r="AJ1537">
        <v>80.480739079484394</v>
      </c>
      <c r="AK1537">
        <v>0.52910907510385796</v>
      </c>
      <c r="AL1537">
        <v>91.425980136176193</v>
      </c>
      <c r="AM1537">
        <v>85.4537564252077</v>
      </c>
      <c r="AN1537">
        <v>1.0000000327238801</v>
      </c>
    </row>
    <row r="1538" spans="1:40" x14ac:dyDescent="0.25">
      <c r="A1538" t="str">
        <f>"20190312160943750"</f>
        <v>20190312160943750</v>
      </c>
      <c r="B1538" t="str">
        <f>"1552378183746796"</f>
        <v>1552378183746796</v>
      </c>
      <c r="C1538" t="s">
        <v>40</v>
      </c>
      <c r="D1538">
        <v>5.6146459999999996</v>
      </c>
      <c r="E1538">
        <v>0.52089839999999998</v>
      </c>
      <c r="F1538" t="s">
        <v>42</v>
      </c>
      <c r="G1538">
        <v>-229.05170000000001</v>
      </c>
      <c r="H1538">
        <v>0.96879530000000003</v>
      </c>
      <c r="I1538">
        <v>283.61500000000001</v>
      </c>
      <c r="J1538">
        <v>-228.40020000000001</v>
      </c>
      <c r="K1538">
        <v>1.1091</v>
      </c>
      <c r="L1538">
        <v>283.54199999999997</v>
      </c>
      <c r="M1538">
        <v>-0.99870340000000002</v>
      </c>
      <c r="N1538">
        <v>0</v>
      </c>
      <c r="O1538">
        <v>-5.0266749999999999E-2</v>
      </c>
      <c r="P1538">
        <v>-0.99892049999999999</v>
      </c>
      <c r="Q1538">
        <v>-3.463745E-2</v>
      </c>
      <c r="R1538">
        <v>3.095465E-2</v>
      </c>
      <c r="S1538">
        <v>-2.9791110000000001</v>
      </c>
      <c r="T1538">
        <v>-0.51378409999999997</v>
      </c>
      <c r="U1538">
        <v>0.2388306</v>
      </c>
      <c r="V1538">
        <v>8.1104999999999997E-2</v>
      </c>
      <c r="W1538">
        <v>-2.6683849999999999E-2</v>
      </c>
      <c r="X1538">
        <v>0.99634829999999996</v>
      </c>
      <c r="Y1538">
        <v>0.12731149999999999</v>
      </c>
      <c r="Z1538">
        <v>1.947465E-2</v>
      </c>
      <c r="AA1538">
        <v>0.99167159999999999</v>
      </c>
      <c r="AB1538">
        <v>16</v>
      </c>
      <c r="AC1538">
        <v>-0.65149999999999797</v>
      </c>
      <c r="AD1538">
        <v>-0.14030469999999901</v>
      </c>
      <c r="AE1538">
        <v>7.2999999999978998E-2</v>
      </c>
      <c r="AF1538">
        <v>0.101030046044165</v>
      </c>
      <c r="AG1538">
        <v>-0.14030469999999901</v>
      </c>
      <c r="AH1538">
        <v>0.61866962311178797</v>
      </c>
      <c r="AI1538">
        <v>102.616005122422</v>
      </c>
      <c r="AJ1538">
        <v>80.725345071426503</v>
      </c>
      <c r="AK1538">
        <v>0.64237417570062605</v>
      </c>
      <c r="AL1538">
        <v>91.529053489954194</v>
      </c>
      <c r="AM1538">
        <v>85.3462552310327</v>
      </c>
      <c r="AN1538">
        <v>0.99999999189435596</v>
      </c>
    </row>
    <row r="1539" spans="1:40" x14ac:dyDescent="0.25">
      <c r="A1539" t="str">
        <f>"20190312160943795"</f>
        <v>20190312160943795</v>
      </c>
      <c r="B1539" t="str">
        <f>"1552378183786813"</f>
        <v>1552378183786813</v>
      </c>
      <c r="C1539" t="s">
        <v>40</v>
      </c>
      <c r="D1539">
        <v>5.8391799999999998</v>
      </c>
      <c r="E1539">
        <v>0.52170349999999999</v>
      </c>
      <c r="F1539" t="s">
        <v>42</v>
      </c>
      <c r="G1539">
        <v>-229.19540000000001</v>
      </c>
      <c r="H1539">
        <v>0.96929810000000005</v>
      </c>
      <c r="I1539">
        <v>283.61</v>
      </c>
      <c r="J1539">
        <v>-228.72</v>
      </c>
      <c r="K1539">
        <v>1.109024</v>
      </c>
      <c r="L1539">
        <v>283.52760000000001</v>
      </c>
      <c r="M1539">
        <v>-0.99877229999999995</v>
      </c>
      <c r="N1539">
        <v>0</v>
      </c>
      <c r="O1539">
        <v>-4.8899110000000003E-2</v>
      </c>
      <c r="P1539">
        <v>-0.99869319999999895</v>
      </c>
      <c r="Q1539">
        <v>-3.517663E-2</v>
      </c>
      <c r="R1539">
        <v>3.7075619999999997E-2</v>
      </c>
      <c r="S1539">
        <v>-2.9772340000000002</v>
      </c>
      <c r="T1539">
        <v>-0.52347559999999904</v>
      </c>
      <c r="U1539">
        <v>0.25338749999999999</v>
      </c>
      <c r="V1539">
        <v>8.5839120000000005E-2</v>
      </c>
      <c r="W1539">
        <v>-2.7382569999999998E-2</v>
      </c>
      <c r="X1539">
        <v>0.99593259999999995</v>
      </c>
      <c r="Y1539">
        <v>0.1306872</v>
      </c>
      <c r="Z1539">
        <v>1.9900910000000001E-2</v>
      </c>
      <c r="AA1539">
        <v>0.99122390000000005</v>
      </c>
      <c r="AB1539">
        <v>16</v>
      </c>
      <c r="AC1539">
        <v>-0.47540000000000698</v>
      </c>
      <c r="AD1539">
        <v>-0.13972589999999999</v>
      </c>
      <c r="AE1539">
        <v>8.2400000000006898E-2</v>
      </c>
      <c r="AF1539">
        <v>9.7381864884261093E-2</v>
      </c>
      <c r="AG1539">
        <v>-0.13972589999999999</v>
      </c>
      <c r="AH1539">
        <v>0.43437317027439498</v>
      </c>
      <c r="AI1539">
        <v>107.426093359581</v>
      </c>
      <c r="AJ1539">
        <v>77.363829642740697</v>
      </c>
      <c r="AK1539">
        <v>0.466568972171719</v>
      </c>
      <c r="AL1539">
        <v>91.569101897466297</v>
      </c>
      <c r="AM1539">
        <v>85.073868761411504</v>
      </c>
      <c r="AN1539">
        <v>0.99999995170246803</v>
      </c>
    </row>
    <row r="1540" spans="1:40" x14ac:dyDescent="0.25">
      <c r="A1540" t="str">
        <f>"20190312160943827"</f>
        <v>20190312160943827</v>
      </c>
      <c r="B1540" t="str">
        <f>"1552378183817067"</f>
        <v>1552378183817067</v>
      </c>
      <c r="C1540" t="s">
        <v>40</v>
      </c>
      <c r="D1540">
        <v>6.0649600000000001</v>
      </c>
      <c r="E1540">
        <v>0.52600049999999998</v>
      </c>
      <c r="F1540" t="s">
        <v>42</v>
      </c>
      <c r="G1540">
        <v>-229.4863</v>
      </c>
      <c r="H1540">
        <v>0.97318119999999997</v>
      </c>
      <c r="I1540">
        <v>283.59910000000002</v>
      </c>
      <c r="J1540">
        <v>-228.9545</v>
      </c>
      <c r="K1540">
        <v>1.108975</v>
      </c>
      <c r="L1540">
        <v>283.51740000000001</v>
      </c>
      <c r="M1540">
        <v>-0.99882789999999999</v>
      </c>
      <c r="N1540">
        <v>0</v>
      </c>
      <c r="O1540">
        <v>-4.7770649999999998E-2</v>
      </c>
      <c r="P1540">
        <v>-0.99862189999999995</v>
      </c>
      <c r="Q1540">
        <v>-3.4741370000000001E-2</v>
      </c>
      <c r="R1540">
        <v>3.9336330000000003E-2</v>
      </c>
      <c r="S1540">
        <v>-2.9750369999999999</v>
      </c>
      <c r="T1540">
        <v>-0.52738439999999998</v>
      </c>
      <c r="U1540">
        <v>0.27771000000000001</v>
      </c>
      <c r="V1540">
        <v>8.6967790000000003E-2</v>
      </c>
      <c r="W1540">
        <v>-2.7062050000000001E-2</v>
      </c>
      <c r="X1540">
        <v>0.99584349999999999</v>
      </c>
      <c r="Y1540">
        <v>0.13753479999999901</v>
      </c>
      <c r="Z1540">
        <v>2.0457920000000001E-2</v>
      </c>
      <c r="AA1540">
        <v>0.99028559999999999</v>
      </c>
      <c r="AB1540">
        <v>16</v>
      </c>
      <c r="AC1540">
        <v>-0.53180000000000305</v>
      </c>
      <c r="AD1540">
        <v>-0.13579379999999999</v>
      </c>
      <c r="AE1540">
        <v>8.1700000000012096E-2</v>
      </c>
      <c r="AF1540">
        <v>0.100603583433935</v>
      </c>
      <c r="AG1540">
        <v>-0.13579379999999999</v>
      </c>
      <c r="AH1540">
        <v>0.49571342869844998</v>
      </c>
      <c r="AI1540">
        <v>105.02747479756999</v>
      </c>
      <c r="AJ1540">
        <v>78.527800159345304</v>
      </c>
      <c r="AK1540">
        <v>0.52372973995197403</v>
      </c>
      <c r="AL1540">
        <v>91.550730548668696</v>
      </c>
      <c r="AM1540">
        <v>85.008977445592507</v>
      </c>
      <c r="AN1540">
        <v>1.0000000137699601</v>
      </c>
    </row>
    <row r="1541" spans="1:40" x14ac:dyDescent="0.25">
      <c r="A1541" t="str">
        <f>"20190312160943850"</f>
        <v>20190312160943850</v>
      </c>
      <c r="B1541" t="str">
        <f>"1552378183847323"</f>
        <v>1552378183847323</v>
      </c>
      <c r="C1541" t="s">
        <v>40</v>
      </c>
      <c r="D1541">
        <v>5.911594</v>
      </c>
      <c r="E1541">
        <v>0.52496469999999995</v>
      </c>
      <c r="F1541" t="s">
        <v>42</v>
      </c>
      <c r="G1541">
        <v>-229.7646</v>
      </c>
      <c r="H1541">
        <v>0.9418069</v>
      </c>
      <c r="I1541">
        <v>283.60419999999999</v>
      </c>
      <c r="J1541">
        <v>-229.12370000000001</v>
      </c>
      <c r="K1541">
        <v>1.108949</v>
      </c>
      <c r="L1541">
        <v>283.51029999999997</v>
      </c>
      <c r="M1541">
        <v>-0.99886980000000003</v>
      </c>
      <c r="N1541">
        <v>0</v>
      </c>
      <c r="O1541">
        <v>-4.6900450000000003E-2</v>
      </c>
      <c r="P1541">
        <v>-0.99854350000000003</v>
      </c>
      <c r="Q1541">
        <v>-3.5567809999999998E-2</v>
      </c>
      <c r="R1541">
        <v>4.0569899999999999E-2</v>
      </c>
      <c r="S1541">
        <v>-2.9703369999999998</v>
      </c>
      <c r="T1541">
        <v>-0.61296740000000005</v>
      </c>
      <c r="U1541">
        <v>0.31765749999999998</v>
      </c>
      <c r="V1541">
        <v>8.7327080000000001E-2</v>
      </c>
      <c r="W1541">
        <v>-2.7970769999999999E-2</v>
      </c>
      <c r="X1541">
        <v>0.99578690000000003</v>
      </c>
      <c r="Y1541">
        <v>0.1487743</v>
      </c>
      <c r="Z1541">
        <v>2.4703599999999999E-2</v>
      </c>
      <c r="AA1541">
        <v>0.98856259999999996</v>
      </c>
      <c r="AB1541">
        <v>16</v>
      </c>
      <c r="AC1541">
        <v>-0.64089999999998704</v>
      </c>
      <c r="AD1541">
        <v>-0.16714209999999899</v>
      </c>
      <c r="AE1541">
        <v>9.3900000000019204E-2</v>
      </c>
      <c r="AF1541">
        <v>0.11612409546302201</v>
      </c>
      <c r="AG1541">
        <v>-0.16714209999999899</v>
      </c>
      <c r="AH1541">
        <v>0.59610011755585401</v>
      </c>
      <c r="AI1541">
        <v>105.387920161309</v>
      </c>
      <c r="AJ1541">
        <v>78.976479589872099</v>
      </c>
      <c r="AK1541">
        <v>0.62988620979476795</v>
      </c>
      <c r="AL1541">
        <v>91.602816168314106</v>
      </c>
      <c r="AM1541">
        <v>84.988179425984001</v>
      </c>
      <c r="AN1541">
        <v>0.99999996654366397</v>
      </c>
    </row>
    <row r="1542" spans="1:40" x14ac:dyDescent="0.25">
      <c r="A1542" t="str">
        <f>"20190312160943870"</f>
        <v>20190312160943870</v>
      </c>
      <c r="B1542" t="str">
        <f>"1552378183866845"</f>
        <v>1552378183866845</v>
      </c>
      <c r="C1542" t="s">
        <v>40</v>
      </c>
      <c r="D1542">
        <v>5.9777740000000001</v>
      </c>
      <c r="E1542">
        <v>0.52275479999999996</v>
      </c>
      <c r="F1542" t="s">
        <v>42</v>
      </c>
      <c r="G1542">
        <v>-229.91470000000001</v>
      </c>
      <c r="H1542">
        <v>0.94942139999999997</v>
      </c>
      <c r="I1542">
        <v>283.59390000000002</v>
      </c>
      <c r="J1542">
        <v>-229.27209999999999</v>
      </c>
      <c r="K1542">
        <v>1.108927</v>
      </c>
      <c r="L1542">
        <v>283.5043</v>
      </c>
      <c r="M1542">
        <v>-0.99890710000000005</v>
      </c>
      <c r="N1542">
        <v>0</v>
      </c>
      <c r="O1542">
        <v>-4.6110659999999998E-2</v>
      </c>
      <c r="P1542">
        <v>-0.99848000000000003</v>
      </c>
      <c r="Q1542">
        <v>-3.6710850000000003E-2</v>
      </c>
      <c r="R1542">
        <v>4.111546E-2</v>
      </c>
      <c r="S1542">
        <v>-2.9703219999999999</v>
      </c>
      <c r="T1542">
        <v>-0.5989641</v>
      </c>
      <c r="U1542">
        <v>0.3131409</v>
      </c>
      <c r="V1542">
        <v>8.7079989999999996E-2</v>
      </c>
      <c r="W1542">
        <v>-2.9183710000000002E-2</v>
      </c>
      <c r="X1542">
        <v>0.99577380000000004</v>
      </c>
      <c r="Y1542">
        <v>0.14674470000000001</v>
      </c>
      <c r="Z1542">
        <v>2.3792959999999998E-2</v>
      </c>
      <c r="AA1542">
        <v>0.98888819999999999</v>
      </c>
      <c r="AB1542">
        <v>16</v>
      </c>
      <c r="AC1542">
        <v>-0.64260000000001505</v>
      </c>
      <c r="AD1542">
        <v>-0.1595056</v>
      </c>
      <c r="AE1542">
        <v>8.9600000000018498E-2</v>
      </c>
      <c r="AF1542">
        <v>0.112346311640018</v>
      </c>
      <c r="AG1542">
        <v>-0.1595056</v>
      </c>
      <c r="AH1542">
        <v>0.60143543246409503</v>
      </c>
      <c r="AI1542">
        <v>104.611717597503</v>
      </c>
      <c r="AJ1542">
        <v>79.4192627447935</v>
      </c>
      <c r="AK1542">
        <v>0.63228815392489301</v>
      </c>
      <c r="AL1542">
        <v>91.6723407943513</v>
      </c>
      <c r="AM1542">
        <v>85.002222922892201</v>
      </c>
      <c r="AN1542">
        <v>1.0000000371771001</v>
      </c>
    </row>
    <row r="1543" spans="1:40" x14ac:dyDescent="0.25">
      <c r="A1543" t="str">
        <f>"20190312160943894"</f>
        <v>20190312160943894</v>
      </c>
      <c r="B1543" t="str">
        <f>"1552378183887339"</f>
        <v>1552378183887339</v>
      </c>
      <c r="C1543" t="s">
        <v>40</v>
      </c>
      <c r="D1543">
        <v>5.9227860000000003</v>
      </c>
      <c r="E1543">
        <v>0.52144959999999996</v>
      </c>
      <c r="F1543" t="s">
        <v>42</v>
      </c>
      <c r="G1543">
        <v>-230.06270000000001</v>
      </c>
      <c r="H1543">
        <v>0.95084550000000001</v>
      </c>
      <c r="I1543">
        <v>283.58339999999998</v>
      </c>
      <c r="J1543">
        <v>-229.44560000000001</v>
      </c>
      <c r="K1543">
        <v>1.108903</v>
      </c>
      <c r="L1543">
        <v>283.49740000000003</v>
      </c>
      <c r="M1543">
        <v>-0.99895100000000003</v>
      </c>
      <c r="N1543">
        <v>0</v>
      </c>
      <c r="O1543">
        <v>-4.5161439999999997E-2</v>
      </c>
      <c r="P1543">
        <v>-0.99844809999999995</v>
      </c>
      <c r="Q1543">
        <v>-3.6697059999999997E-2</v>
      </c>
      <c r="R1543">
        <v>4.1893609999999998E-2</v>
      </c>
      <c r="S1543">
        <v>-2.9705349999999999</v>
      </c>
      <c r="T1543">
        <v>-0.5939856</v>
      </c>
      <c r="U1543">
        <v>0.29626459999999999</v>
      </c>
      <c r="V1543">
        <v>8.6909070000000005E-2</v>
      </c>
      <c r="W1543">
        <v>-2.9251909999999999E-2</v>
      </c>
      <c r="X1543">
        <v>0.99578670000000002</v>
      </c>
      <c r="Y1543">
        <v>0.1404386</v>
      </c>
      <c r="Z1543">
        <v>2.2793330000000001E-2</v>
      </c>
      <c r="AA1543">
        <v>0.98982700000000001</v>
      </c>
      <c r="AB1543">
        <v>16</v>
      </c>
      <c r="AC1543">
        <v>-0.61709999999999299</v>
      </c>
      <c r="AD1543">
        <v>-0.15805749999999899</v>
      </c>
      <c r="AE1543">
        <v>8.5999999999955806E-2</v>
      </c>
      <c r="AF1543">
        <v>0.106902718171121</v>
      </c>
      <c r="AG1543">
        <v>-0.15805749999999899</v>
      </c>
      <c r="AH1543">
        <v>0.57554837802225101</v>
      </c>
      <c r="AI1543">
        <v>105.109719552408</v>
      </c>
      <c r="AJ1543">
        <v>79.4777566156707</v>
      </c>
      <c r="AK1543">
        <v>0.60635492898356802</v>
      </c>
      <c r="AL1543">
        <v>91.676250087132999</v>
      </c>
      <c r="AM1543">
        <v>85.0120472790408</v>
      </c>
      <c r="AN1543">
        <v>1.0000000062918999</v>
      </c>
    </row>
    <row r="1544" spans="1:40" x14ac:dyDescent="0.25">
      <c r="A1544" t="str">
        <f>"20190312160943916"</f>
        <v>20190312160943916</v>
      </c>
      <c r="B1544" t="str">
        <f>"1552378183906860"</f>
        <v>1552378183906860</v>
      </c>
      <c r="C1544" t="s">
        <v>40</v>
      </c>
      <c r="D1544">
        <v>5.952871</v>
      </c>
      <c r="E1544">
        <v>0.52149330000000005</v>
      </c>
      <c r="F1544" t="s">
        <v>42</v>
      </c>
      <c r="G1544">
        <v>-230.21360000000001</v>
      </c>
      <c r="H1544">
        <v>0.95690719999999996</v>
      </c>
      <c r="I1544">
        <v>283.57190000000003</v>
      </c>
      <c r="J1544">
        <v>-229.61340000000001</v>
      </c>
      <c r="K1544">
        <v>1.108887</v>
      </c>
      <c r="L1544">
        <v>283.49090000000001</v>
      </c>
      <c r="M1544">
        <v>-0.99899340000000003</v>
      </c>
      <c r="N1544">
        <v>0</v>
      </c>
      <c r="O1544">
        <v>-4.4226199999999903E-2</v>
      </c>
      <c r="P1544">
        <v>-0.9984497</v>
      </c>
      <c r="Q1544">
        <v>-3.6270829999999997E-2</v>
      </c>
      <c r="R1544">
        <v>4.2221370000000001E-2</v>
      </c>
      <c r="S1544">
        <v>-2.9709780000000001</v>
      </c>
      <c r="T1544">
        <v>-0.58802679999999996</v>
      </c>
      <c r="U1544">
        <v>0.28796389999999999</v>
      </c>
      <c r="V1544">
        <v>8.6304339999999993E-2</v>
      </c>
      <c r="W1544">
        <v>-2.8905340000000002E-2</v>
      </c>
      <c r="X1544">
        <v>0.9958494</v>
      </c>
      <c r="Y1544">
        <v>0.13691539999999999</v>
      </c>
      <c r="Z1544">
        <v>2.2041080000000001E-2</v>
      </c>
      <c r="AA1544">
        <v>0.99033749999999998</v>
      </c>
      <c r="AB1544">
        <v>17</v>
      </c>
      <c r="AC1544">
        <v>-0.60020000000000095</v>
      </c>
      <c r="AD1544">
        <v>-0.1519798</v>
      </c>
      <c r="AE1544">
        <v>8.1000000000017197E-2</v>
      </c>
      <c r="AF1544">
        <v>0.101099694589896</v>
      </c>
      <c r="AG1544">
        <v>-0.1519798</v>
      </c>
      <c r="AH1544">
        <v>0.56072106033774605</v>
      </c>
      <c r="AI1544">
        <v>104.93546776965</v>
      </c>
      <c r="AJ1544">
        <v>79.7792108580948</v>
      </c>
      <c r="AK1544">
        <v>0.58968391139702703</v>
      </c>
      <c r="AL1544">
        <v>91.656384710951698</v>
      </c>
      <c r="AM1544">
        <v>85.046891453741296</v>
      </c>
      <c r="AN1544">
        <v>0.99999999263185502</v>
      </c>
    </row>
    <row r="1545" spans="1:40" x14ac:dyDescent="0.25">
      <c r="A1545" t="str">
        <f>"20190312160943941"</f>
        <v>20190312160943941</v>
      </c>
      <c r="B1545" t="str">
        <f>"1552378183937116"</f>
        <v>1552378183937116</v>
      </c>
      <c r="C1545" t="s">
        <v>40</v>
      </c>
      <c r="D1545">
        <v>5.8478830000000004</v>
      </c>
      <c r="E1545">
        <v>0.521065</v>
      </c>
      <c r="F1545" t="s">
        <v>42</v>
      </c>
      <c r="G1545">
        <v>-230.36490000000001</v>
      </c>
      <c r="H1545">
        <v>0.96159170000000005</v>
      </c>
      <c r="I1545">
        <v>283.5643</v>
      </c>
      <c r="J1545">
        <v>-229.79689999999999</v>
      </c>
      <c r="K1545">
        <v>1.1088750000000001</v>
      </c>
      <c r="L1545">
        <v>283.48399999999998</v>
      </c>
      <c r="M1545">
        <v>-0.99903920000000002</v>
      </c>
      <c r="N1545">
        <v>0</v>
      </c>
      <c r="O1545">
        <v>-4.3192019999999998E-2</v>
      </c>
      <c r="P1545">
        <v>-0.99846040000000003</v>
      </c>
      <c r="Q1545">
        <v>-3.5463389999999997E-2</v>
      </c>
      <c r="R1545">
        <v>4.2651029999999999E-2</v>
      </c>
      <c r="S1545">
        <v>-2.9712830000000001</v>
      </c>
      <c r="T1545">
        <v>-0.58246290000000001</v>
      </c>
      <c r="U1545">
        <v>0.2890625</v>
      </c>
      <c r="V1545">
        <v>8.5703950000000001E-2</v>
      </c>
      <c r="W1545">
        <v>-2.8184939999999999E-2</v>
      </c>
      <c r="X1545">
        <v>0.99592190000000003</v>
      </c>
      <c r="Y1545">
        <v>0.13633970000000001</v>
      </c>
      <c r="Z1545">
        <v>2.157765E-2</v>
      </c>
      <c r="AA1545">
        <v>0.9904271</v>
      </c>
      <c r="AB1545">
        <v>17</v>
      </c>
      <c r="AC1545">
        <v>-0.56800000000001205</v>
      </c>
      <c r="AD1545">
        <v>-0.14728330000000001</v>
      </c>
      <c r="AE1545">
        <v>8.0299999999965593E-2</v>
      </c>
      <c r="AF1545">
        <v>9.8280190888861696E-2</v>
      </c>
      <c r="AG1545">
        <v>-0.14728330000000001</v>
      </c>
      <c r="AH1545">
        <v>0.52912187733515803</v>
      </c>
      <c r="AI1545">
        <v>105.305560333789</v>
      </c>
      <c r="AJ1545">
        <v>79.477677043835399</v>
      </c>
      <c r="AK1545">
        <v>0.55796176164207101</v>
      </c>
      <c r="AL1545">
        <v>91.615092000749996</v>
      </c>
      <c r="AM1545">
        <v>85.081535226008896</v>
      </c>
      <c r="AN1545">
        <v>0.999999994394008</v>
      </c>
    </row>
    <row r="1546" spans="1:40" x14ac:dyDescent="0.25">
      <c r="A1546" t="str">
        <f>"20190312160943963"</f>
        <v>20190312160943963</v>
      </c>
      <c r="B1546" t="str">
        <f>"1552378183956636"</f>
        <v>1552378183956636</v>
      </c>
      <c r="C1546" t="s">
        <v>40</v>
      </c>
      <c r="D1546">
        <v>5.9015879999999896</v>
      </c>
      <c r="E1546">
        <v>0.52097870000000002</v>
      </c>
      <c r="F1546" t="s">
        <v>42</v>
      </c>
      <c r="G1546">
        <v>-230.5179</v>
      </c>
      <c r="H1546">
        <v>0.96873569999999998</v>
      </c>
      <c r="I1546">
        <v>283.55380000000002</v>
      </c>
      <c r="J1546">
        <v>-229.97239999999999</v>
      </c>
      <c r="K1546">
        <v>1.108862</v>
      </c>
      <c r="L1546">
        <v>283.47750000000002</v>
      </c>
      <c r="M1546">
        <v>-0.99908249999999998</v>
      </c>
      <c r="N1546">
        <v>0</v>
      </c>
      <c r="O1546">
        <v>-4.2197470000000001E-2</v>
      </c>
      <c r="P1546">
        <v>-0.99844500000000003</v>
      </c>
      <c r="Q1546">
        <v>-3.5482220000000002E-2</v>
      </c>
      <c r="R1546">
        <v>4.3002199999999997E-2</v>
      </c>
      <c r="S1546">
        <v>-2.971848</v>
      </c>
      <c r="T1546">
        <v>-0.57751549999999996</v>
      </c>
      <c r="U1546">
        <v>0.28717039999999999</v>
      </c>
      <c r="V1546">
        <v>8.5062910000000005E-2</v>
      </c>
      <c r="W1546">
        <v>-2.8284690000000001E-2</v>
      </c>
      <c r="X1546">
        <v>0.99597409999999997</v>
      </c>
      <c r="Y1546">
        <v>0.1348155</v>
      </c>
      <c r="Z1546">
        <v>2.105686E-2</v>
      </c>
      <c r="AA1546">
        <v>0.99064700000000006</v>
      </c>
      <c r="AB1546">
        <v>17</v>
      </c>
      <c r="AC1546">
        <v>-0.54550000000000398</v>
      </c>
      <c r="AD1546">
        <v>-0.14012630000000001</v>
      </c>
      <c r="AE1546">
        <v>7.6300000000003296E-2</v>
      </c>
      <c r="AF1546">
        <v>9.3218326134906604E-2</v>
      </c>
      <c r="AG1546">
        <v>-0.14012630000000001</v>
      </c>
      <c r="AH1546">
        <v>0.50886109411941804</v>
      </c>
      <c r="AI1546">
        <v>105.155757062109</v>
      </c>
      <c r="AJ1546">
        <v>79.619080942408402</v>
      </c>
      <c r="AK1546">
        <v>0.53597075422777996</v>
      </c>
      <c r="AL1546">
        <v>91.620809419622603</v>
      </c>
      <c r="AM1546">
        <v>85.118400044460401</v>
      </c>
      <c r="AN1546">
        <v>1.00000006510843</v>
      </c>
    </row>
    <row r="1547" spans="1:40" x14ac:dyDescent="0.25">
      <c r="A1547" t="str">
        <f>"20190312160943983"</f>
        <v>20190312160943983</v>
      </c>
      <c r="B1547" t="str">
        <f>"1552378183977132"</f>
        <v>1552378183977132</v>
      </c>
      <c r="C1547" t="s">
        <v>40</v>
      </c>
      <c r="D1547">
        <v>5.8275410000000001</v>
      </c>
      <c r="E1547">
        <v>0.52101560000000002</v>
      </c>
      <c r="F1547" t="s">
        <v>42</v>
      </c>
      <c r="G1547">
        <v>-230.67080000000001</v>
      </c>
      <c r="H1547">
        <v>0.97350009999999998</v>
      </c>
      <c r="I1547">
        <v>283.5453</v>
      </c>
      <c r="J1547">
        <v>-230.1215</v>
      </c>
      <c r="K1547">
        <v>1.10886</v>
      </c>
      <c r="L1547">
        <v>283.47219999999999</v>
      </c>
      <c r="M1547">
        <v>-0.99911819999999896</v>
      </c>
      <c r="N1547">
        <v>0</v>
      </c>
      <c r="O1547">
        <v>-4.1352960000000001E-2</v>
      </c>
      <c r="P1547">
        <v>-0.99844489999999997</v>
      </c>
      <c r="Q1547">
        <v>-3.5016480000000003E-2</v>
      </c>
      <c r="R1547">
        <v>4.3378600000000003E-2</v>
      </c>
      <c r="S1547">
        <v>-2.971832</v>
      </c>
      <c r="T1547">
        <v>-0.57607819999999899</v>
      </c>
      <c r="U1547">
        <v>0.28738399999999997</v>
      </c>
      <c r="V1547">
        <v>8.4598000000000007E-2</v>
      </c>
      <c r="W1547">
        <v>-2.7882649999999998E-2</v>
      </c>
      <c r="X1547">
        <v>0.99602500000000005</v>
      </c>
      <c r="Y1547">
        <v>0.1340944</v>
      </c>
      <c r="Z1547">
        <v>2.077447E-2</v>
      </c>
      <c r="AA1547">
        <v>0.99075080000000004</v>
      </c>
      <c r="AB1547">
        <v>17</v>
      </c>
      <c r="AC1547">
        <v>-0.549300000000016</v>
      </c>
      <c r="AD1547">
        <v>-0.13535989999999901</v>
      </c>
      <c r="AE1547">
        <v>7.3100000000010795E-2</v>
      </c>
      <c r="AF1547">
        <v>9.0361608034464996E-2</v>
      </c>
      <c r="AG1547">
        <v>-0.13535989999999901</v>
      </c>
      <c r="AH1547">
        <v>0.51507401375225104</v>
      </c>
      <c r="AI1547">
        <v>104.512155153728</v>
      </c>
      <c r="AJ1547">
        <v>80.049616558804999</v>
      </c>
      <c r="AK1547">
        <v>0.54017475170303697</v>
      </c>
      <c r="AL1547">
        <v>91.597765189146699</v>
      </c>
      <c r="AM1547">
        <v>85.145199395441196</v>
      </c>
      <c r="AN1547">
        <v>1.00000003220001</v>
      </c>
    </row>
    <row r="1548" spans="1:40" x14ac:dyDescent="0.25">
      <c r="A1548" t="str">
        <f>"20190312160944006"</f>
        <v>20190312160944006</v>
      </c>
      <c r="B1548" t="str">
        <f>"1552378183996652"</f>
        <v>1552378183996652</v>
      </c>
      <c r="C1548" t="s">
        <v>40</v>
      </c>
      <c r="D1548">
        <v>5.9508289999999997</v>
      </c>
      <c r="E1548">
        <v>0.52132990000000001</v>
      </c>
      <c r="F1548" t="s">
        <v>42</v>
      </c>
      <c r="G1548">
        <v>-230.82230000000001</v>
      </c>
      <c r="H1548">
        <v>0.97333000000000003</v>
      </c>
      <c r="I1548">
        <v>283.54039999999998</v>
      </c>
      <c r="J1548">
        <v>-230.29339999999999</v>
      </c>
      <c r="K1548">
        <v>1.108859</v>
      </c>
      <c r="L1548">
        <v>283.46629999999999</v>
      </c>
      <c r="M1548">
        <v>-0.9991584</v>
      </c>
      <c r="N1548">
        <v>0</v>
      </c>
      <c r="O1548">
        <v>-4.0382590000000003E-2</v>
      </c>
      <c r="P1548">
        <v>-0.99844999999999995</v>
      </c>
      <c r="Q1548">
        <v>-3.4570869999999997E-2</v>
      </c>
      <c r="R1548">
        <v>4.3620609999999997E-2</v>
      </c>
      <c r="S1548">
        <v>-2.9719540000000002</v>
      </c>
      <c r="T1548">
        <v>-0.57481099999999996</v>
      </c>
      <c r="U1548">
        <v>0.28887940000000001</v>
      </c>
      <c r="V1548">
        <v>8.3873729999999994E-2</v>
      </c>
      <c r="W1548">
        <v>-2.750234E-2</v>
      </c>
      <c r="X1548">
        <v>0.9960968</v>
      </c>
      <c r="Y1548">
        <v>0.1336627</v>
      </c>
      <c r="Z1548">
        <v>2.0501419999999999E-2</v>
      </c>
      <c r="AA1548">
        <v>0.9908148</v>
      </c>
      <c r="AB1548">
        <v>17</v>
      </c>
      <c r="AC1548">
        <v>-0.52890000000002102</v>
      </c>
      <c r="AD1548">
        <v>-0.13552900000000001</v>
      </c>
      <c r="AE1548">
        <v>7.4099999999987107E-2</v>
      </c>
      <c r="AF1548">
        <v>8.9626641573297403E-2</v>
      </c>
      <c r="AG1548">
        <v>-0.13552900000000001</v>
      </c>
      <c r="AH1548">
        <v>0.49368366524665902</v>
      </c>
      <c r="AI1548">
        <v>105.115490047796</v>
      </c>
      <c r="AJ1548">
        <v>79.710211113862499</v>
      </c>
      <c r="AK1548">
        <v>0.51973513066954002</v>
      </c>
      <c r="AL1548">
        <v>91.575966709789597</v>
      </c>
      <c r="AM1548">
        <v>85.186912070920698</v>
      </c>
      <c r="AN1548">
        <v>1.0000000081299101</v>
      </c>
    </row>
    <row r="1549" spans="1:40" x14ac:dyDescent="0.25">
      <c r="A1549" t="str">
        <f>"20190312160944027"</f>
        <v>20190312160944027</v>
      </c>
      <c r="B1549" t="str">
        <f>"1552378184017149"</f>
        <v>1552378184017149</v>
      </c>
      <c r="C1549" t="s">
        <v>40</v>
      </c>
      <c r="D1549">
        <v>6.0238420000000001</v>
      </c>
      <c r="E1549">
        <v>0.53972589999999998</v>
      </c>
      <c r="F1549" t="s">
        <v>42</v>
      </c>
      <c r="G1549">
        <v>-231.1173</v>
      </c>
      <c r="H1549">
        <v>0.94950009999999996</v>
      </c>
      <c r="I1549">
        <v>283.54719999999998</v>
      </c>
      <c r="J1549">
        <v>-230.45869999999999</v>
      </c>
      <c r="K1549">
        <v>1.10886</v>
      </c>
      <c r="L1549">
        <v>283.46069999999997</v>
      </c>
      <c r="M1549">
        <v>-0.99919590000000003</v>
      </c>
      <c r="N1549">
        <v>0</v>
      </c>
      <c r="O1549">
        <v>-3.945539E-2</v>
      </c>
      <c r="P1549">
        <v>-0.99840709999999999</v>
      </c>
      <c r="Q1549">
        <v>-3.4638509999999997E-2</v>
      </c>
      <c r="R1549">
        <v>4.4537260000000002E-2</v>
      </c>
      <c r="S1549">
        <v>-2.972</v>
      </c>
      <c r="T1549">
        <v>-0.57484409999999997</v>
      </c>
      <c r="U1549">
        <v>0.29196169999999999</v>
      </c>
      <c r="V1549">
        <v>8.3864090000000002E-2</v>
      </c>
      <c r="W1549">
        <v>-2.7626209999999998E-2</v>
      </c>
      <c r="X1549">
        <v>0.99609420000000004</v>
      </c>
      <c r="Y1549">
        <v>0.13377500000000001</v>
      </c>
      <c r="Z1549">
        <v>2.0334689999999999E-2</v>
      </c>
      <c r="AA1549">
        <v>0.99080310000000005</v>
      </c>
      <c r="AB1549">
        <v>17</v>
      </c>
      <c r="AC1549">
        <v>-0.65860000000000696</v>
      </c>
      <c r="AD1549">
        <v>-0.159359899999999</v>
      </c>
      <c r="AE1549">
        <v>8.6500000000000896E-2</v>
      </c>
      <c r="AF1549">
        <v>0.106300445146106</v>
      </c>
      <c r="AG1549">
        <v>-0.159359899999999</v>
      </c>
      <c r="AH1549">
        <v>0.61904472715233705</v>
      </c>
      <c r="AI1549">
        <v>104.236416626313</v>
      </c>
      <c r="AJ1549">
        <v>80.256373508215603</v>
      </c>
      <c r="AK1549">
        <v>0.64800596955690304</v>
      </c>
      <c r="AL1549">
        <v>91.583066610278607</v>
      </c>
      <c r="AM1549">
        <v>85.187450160607099</v>
      </c>
      <c r="AN1549">
        <v>1.0000000241720599</v>
      </c>
    </row>
    <row r="1550" spans="1:40" x14ac:dyDescent="0.25">
      <c r="A1550" t="str">
        <f>"20190312160944050"</f>
        <v>20190312160944050</v>
      </c>
      <c r="B1550" t="str">
        <f>"1552378184046428"</f>
        <v>1552378184046428</v>
      </c>
      <c r="C1550" t="s">
        <v>40</v>
      </c>
      <c r="D1550">
        <v>6.0299160000000001</v>
      </c>
      <c r="E1550">
        <v>0.53141369999999999</v>
      </c>
      <c r="F1550" t="s">
        <v>42</v>
      </c>
      <c r="G1550">
        <v>-231.24930000000001</v>
      </c>
      <c r="H1550">
        <v>0.89332749999999905</v>
      </c>
      <c r="I1550">
        <v>283.57769999999999</v>
      </c>
      <c r="J1550">
        <v>-230.631</v>
      </c>
      <c r="K1550">
        <v>1.108859</v>
      </c>
      <c r="L1550">
        <v>283.45499999999998</v>
      </c>
      <c r="M1550">
        <v>-0.99923379999999995</v>
      </c>
      <c r="N1550">
        <v>0</v>
      </c>
      <c r="O1550">
        <v>-3.8494809999999997E-2</v>
      </c>
      <c r="P1550">
        <v>-0.99832829999999995</v>
      </c>
      <c r="Q1550">
        <v>-3.4744629999999999E-2</v>
      </c>
      <c r="R1550">
        <v>4.6195100000000003E-2</v>
      </c>
      <c r="S1550">
        <v>-2.9573209999999999</v>
      </c>
      <c r="T1550">
        <v>-0.80620059999999905</v>
      </c>
      <c r="U1550">
        <v>0.43698120000000001</v>
      </c>
      <c r="V1550">
        <v>8.4560430000000006E-2</v>
      </c>
      <c r="W1550">
        <v>-2.7785319999999999E-2</v>
      </c>
      <c r="X1550">
        <v>0.99603090000000005</v>
      </c>
      <c r="Y1550">
        <v>0.17645910000000001</v>
      </c>
      <c r="Z1550">
        <v>3.3759270000000001E-2</v>
      </c>
      <c r="AA1550">
        <v>0.98372890000000002</v>
      </c>
      <c r="AB1550">
        <v>17</v>
      </c>
      <c r="AC1550">
        <v>-0.61830000000003305</v>
      </c>
      <c r="AD1550">
        <v>-0.21553149999999999</v>
      </c>
      <c r="AE1550">
        <v>0.122700000000008</v>
      </c>
      <c r="AF1550">
        <v>0.13108586358789501</v>
      </c>
      <c r="AG1550">
        <v>-0.21553149999999999</v>
      </c>
      <c r="AH1550">
        <v>0.54894198263442395</v>
      </c>
      <c r="AI1550">
        <v>110.901513418752</v>
      </c>
      <c r="AJ1550">
        <v>76.569441064612604</v>
      </c>
      <c r="AK1550">
        <v>0.60413130313156804</v>
      </c>
      <c r="AL1550">
        <v>91.592186445844803</v>
      </c>
      <c r="AM1550">
        <v>85.147373723628704</v>
      </c>
      <c r="AN1550">
        <v>1.00000002204204</v>
      </c>
    </row>
    <row r="1551" spans="1:40" x14ac:dyDescent="0.25">
      <c r="A1551" t="str">
        <f>"20190312160944071"</f>
        <v>20190312160944071</v>
      </c>
      <c r="B1551" t="str">
        <f>"1552378184066923"</f>
        <v>1552378184066923</v>
      </c>
      <c r="C1551" t="s">
        <v>40</v>
      </c>
      <c r="D1551">
        <v>5.9843260000000003</v>
      </c>
      <c r="E1551">
        <v>0.53242559999999906</v>
      </c>
      <c r="F1551" t="s">
        <v>42</v>
      </c>
      <c r="G1551">
        <v>-231.41560000000001</v>
      </c>
      <c r="H1551">
        <v>0.92482359999999997</v>
      </c>
      <c r="I1551">
        <v>283.55500000000001</v>
      </c>
      <c r="J1551">
        <v>-230.79740000000001</v>
      </c>
      <c r="K1551">
        <v>1.1088559999999901</v>
      </c>
      <c r="L1551">
        <v>283.44970000000001</v>
      </c>
      <c r="M1551">
        <v>-0.99926910000000002</v>
      </c>
      <c r="N1551">
        <v>0</v>
      </c>
      <c r="O1551">
        <v>-3.757286E-2</v>
      </c>
      <c r="P1551">
        <v>-0.9981854</v>
      </c>
      <c r="Q1551">
        <v>-3.5019160000000001E-2</v>
      </c>
      <c r="R1551">
        <v>4.8985830000000001E-2</v>
      </c>
      <c r="S1551">
        <v>-2.9633790000000002</v>
      </c>
      <c r="T1551">
        <v>-0.69519089999999995</v>
      </c>
      <c r="U1551">
        <v>0.37734990000000002</v>
      </c>
      <c r="V1551">
        <v>8.6424570000000006E-2</v>
      </c>
      <c r="W1551">
        <v>-2.8110619999999999E-2</v>
      </c>
      <c r="X1551">
        <v>0.99586169999999996</v>
      </c>
      <c r="Y1551">
        <v>0.1582624</v>
      </c>
      <c r="Z1551">
        <v>2.6910799999999999E-2</v>
      </c>
      <c r="AA1551">
        <v>0.98703030000000003</v>
      </c>
      <c r="AB1551">
        <v>17</v>
      </c>
      <c r="AC1551">
        <v>-0.61820000000000097</v>
      </c>
      <c r="AD1551">
        <v>-0.18403240000000001</v>
      </c>
      <c r="AE1551">
        <v>0.10529999999999901</v>
      </c>
      <c r="AF1551">
        <v>0.118268359814398</v>
      </c>
      <c r="AG1551">
        <v>-0.18403240000000001</v>
      </c>
      <c r="AH1551">
        <v>0.56513674591137897</v>
      </c>
      <c r="AI1551">
        <v>107.67902546452</v>
      </c>
      <c r="AJ1551">
        <v>78.180073052703094</v>
      </c>
      <c r="AK1551">
        <v>0.60599906828496897</v>
      </c>
      <c r="AL1551">
        <v>91.610832130784303</v>
      </c>
      <c r="AM1551">
        <v>85.040086664610001</v>
      </c>
      <c r="AN1551">
        <v>0.99999996939167901</v>
      </c>
    </row>
    <row r="1552" spans="1:40" x14ac:dyDescent="0.25">
      <c r="A1552" t="str">
        <f>"20190312160944094"</f>
        <v>20190312160944094</v>
      </c>
      <c r="B1552" t="str">
        <f>"1552378184087420"</f>
        <v>1552378184087420</v>
      </c>
      <c r="C1552" t="s">
        <v>40</v>
      </c>
      <c r="D1552">
        <v>5.9757049999999996</v>
      </c>
      <c r="E1552">
        <v>0.53020970000000001</v>
      </c>
      <c r="F1552" t="s">
        <v>42</v>
      </c>
      <c r="G1552">
        <v>-231.5719</v>
      </c>
      <c r="H1552">
        <v>0.92650779999999999</v>
      </c>
      <c r="I1552">
        <v>283.55270000000002</v>
      </c>
      <c r="J1552">
        <v>-230.9742</v>
      </c>
      <c r="K1552">
        <v>1.1088480000000001</v>
      </c>
      <c r="L1552">
        <v>283.44420000000002</v>
      </c>
      <c r="M1552">
        <v>-0.99930569999999996</v>
      </c>
      <c r="N1552">
        <v>0</v>
      </c>
      <c r="O1552">
        <v>-3.6597949999999997E-2</v>
      </c>
      <c r="P1552">
        <v>-0.99809859999999995</v>
      </c>
      <c r="Q1552">
        <v>-3.438687E-2</v>
      </c>
      <c r="R1552">
        <v>5.1157090000000002E-2</v>
      </c>
      <c r="S1552">
        <v>-2.9617</v>
      </c>
      <c r="T1552">
        <v>-0.69727469999999903</v>
      </c>
      <c r="U1552">
        <v>0.3930054</v>
      </c>
      <c r="V1552">
        <v>8.7620619999999996E-2</v>
      </c>
      <c r="W1552">
        <v>-2.7528830000000001E-2</v>
      </c>
      <c r="X1552">
        <v>0.99577340000000003</v>
      </c>
      <c r="Y1552">
        <v>0.162382</v>
      </c>
      <c r="Z1552">
        <v>2.7246289999999999E-2</v>
      </c>
      <c r="AA1552">
        <v>0.98635170000000005</v>
      </c>
      <c r="AB1552">
        <v>17</v>
      </c>
      <c r="AC1552">
        <v>-0.59770000000000301</v>
      </c>
      <c r="AD1552">
        <v>-0.18234019999999901</v>
      </c>
      <c r="AE1552">
        <v>0.10849999999999201</v>
      </c>
      <c r="AF1552">
        <v>0.11953271154633301</v>
      </c>
      <c r="AG1552">
        <v>-0.18234019999999901</v>
      </c>
      <c r="AH1552">
        <v>0.54428894030887798</v>
      </c>
      <c r="AI1552">
        <v>108.118540566348</v>
      </c>
      <c r="AJ1552">
        <v>77.613754646440199</v>
      </c>
      <c r="AK1552">
        <v>0.58633306934559004</v>
      </c>
      <c r="AL1552">
        <v>91.5774851623476</v>
      </c>
      <c r="AM1552">
        <v>84.9713511731252</v>
      </c>
      <c r="AN1552">
        <v>0.99999993683895405</v>
      </c>
    </row>
    <row r="1553" spans="1:40" x14ac:dyDescent="0.25">
      <c r="A1553" t="str">
        <f>"20190312160944118"</f>
        <v>20190312160944118</v>
      </c>
      <c r="B1553" t="str">
        <f>"1552378184106940"</f>
        <v>1552378184106940</v>
      </c>
      <c r="C1553" t="s">
        <v>40</v>
      </c>
      <c r="D1553">
        <v>6.0356560000000004</v>
      </c>
      <c r="E1553">
        <v>0.52878369999999997</v>
      </c>
      <c r="F1553" t="s">
        <v>42</v>
      </c>
      <c r="G1553">
        <v>-231.73330000000001</v>
      </c>
      <c r="H1553">
        <v>0.93889420000000001</v>
      </c>
      <c r="I1553">
        <v>283.5421</v>
      </c>
      <c r="J1553">
        <v>-231.15979999999999</v>
      </c>
      <c r="K1553">
        <v>1.108841</v>
      </c>
      <c r="L1553">
        <v>283.43860000000001</v>
      </c>
      <c r="M1553">
        <v>-0.99934290000000003</v>
      </c>
      <c r="N1553">
        <v>0</v>
      </c>
      <c r="O1553">
        <v>-3.5576190000000001E-2</v>
      </c>
      <c r="P1553">
        <v>-0.99804530000000002</v>
      </c>
      <c r="Q1553">
        <v>-3.3960320000000002E-2</v>
      </c>
      <c r="R1553">
        <v>5.2464049999999998E-2</v>
      </c>
      <c r="S1553">
        <v>-2.9632420000000002</v>
      </c>
      <c r="T1553">
        <v>-0.66349049999999998</v>
      </c>
      <c r="U1553">
        <v>0.38250729999999999</v>
      </c>
      <c r="V1553">
        <v>8.7907070000000004E-2</v>
      </c>
      <c r="W1553">
        <v>-2.714958E-2</v>
      </c>
      <c r="X1553">
        <v>0.9957587</v>
      </c>
      <c r="Y1553">
        <v>0.15849250000000001</v>
      </c>
      <c r="Z1553">
        <v>2.5297340000000001E-2</v>
      </c>
      <c r="AA1553">
        <v>0.98703600000000002</v>
      </c>
      <c r="AB1553">
        <v>17</v>
      </c>
      <c r="AC1553">
        <v>-0.57350000000002399</v>
      </c>
      <c r="AD1553">
        <v>-0.16994680000000001</v>
      </c>
      <c r="AE1553">
        <v>0.103499999999996</v>
      </c>
      <c r="AF1553">
        <v>0.11413177829460899</v>
      </c>
      <c r="AG1553">
        <v>-0.16994680000000001</v>
      </c>
      <c r="AH1553">
        <v>0.52482214246815295</v>
      </c>
      <c r="AI1553">
        <v>107.55852663611699</v>
      </c>
      <c r="AJ1553">
        <v>77.731055672945899</v>
      </c>
      <c r="AK1553">
        <v>0.56333494376950599</v>
      </c>
      <c r="AL1553">
        <v>91.555747403063904</v>
      </c>
      <c r="AM1553">
        <v>84.954922087023306</v>
      </c>
      <c r="AN1553">
        <v>1.00000007063792</v>
      </c>
    </row>
    <row r="1554" spans="1:40" x14ac:dyDescent="0.25">
      <c r="A1554" t="str">
        <f>"20190312160944142"</f>
        <v>20190312160944142</v>
      </c>
      <c r="B1554" t="str">
        <f>"1552378184137196"</f>
        <v>1552378184137196</v>
      </c>
      <c r="C1554" t="s">
        <v>40</v>
      </c>
      <c r="D1554">
        <v>5.8756539999999999</v>
      </c>
      <c r="E1554">
        <v>0.527761699999999</v>
      </c>
      <c r="F1554" t="s">
        <v>42</v>
      </c>
      <c r="G1554">
        <v>-231.8946</v>
      </c>
      <c r="H1554">
        <v>0.94919279999999995</v>
      </c>
      <c r="I1554">
        <v>283.53210000000001</v>
      </c>
      <c r="J1554">
        <v>-231.34309999999999</v>
      </c>
      <c r="K1554">
        <v>1.1088260000000001</v>
      </c>
      <c r="L1554">
        <v>283.43329999999997</v>
      </c>
      <c r="M1554">
        <v>-0.99937860000000001</v>
      </c>
      <c r="N1554">
        <v>0</v>
      </c>
      <c r="O1554">
        <v>-3.4566E-2</v>
      </c>
      <c r="P1554">
        <v>-0.99793969999999999</v>
      </c>
      <c r="Q1554">
        <v>-3.4045829999999999E-2</v>
      </c>
      <c r="R1554">
        <v>5.438134E-2</v>
      </c>
      <c r="S1554">
        <v>-2.964188</v>
      </c>
      <c r="T1554">
        <v>-0.64395459999999904</v>
      </c>
      <c r="U1554">
        <v>0.37631229999999999</v>
      </c>
      <c r="V1554">
        <v>8.8812669999999996E-2</v>
      </c>
      <c r="W1554">
        <v>-2.7277349999999999E-2</v>
      </c>
      <c r="X1554">
        <v>0.99567479999999997</v>
      </c>
      <c r="Y1554">
        <v>0.15578339999999999</v>
      </c>
      <c r="Z1554">
        <v>2.4059000000000001E-2</v>
      </c>
      <c r="AA1554">
        <v>0.98749819999999999</v>
      </c>
      <c r="AB1554">
        <v>17</v>
      </c>
      <c r="AC1554">
        <v>-0.55150000000000399</v>
      </c>
      <c r="AD1554">
        <v>-0.1596332</v>
      </c>
      <c r="AE1554">
        <v>9.8800000000039703E-2</v>
      </c>
      <c r="AF1554">
        <v>0.108959489429675</v>
      </c>
      <c r="AG1554">
        <v>-0.1596332</v>
      </c>
      <c r="AH1554">
        <v>0.50662834452692196</v>
      </c>
      <c r="AI1554">
        <v>107.121223042423</v>
      </c>
      <c r="AJ1554">
        <v>77.862401894225897</v>
      </c>
      <c r="AK1554">
        <v>0.54224275777284903</v>
      </c>
      <c r="AL1554">
        <v>91.563070866711101</v>
      </c>
      <c r="AM1554">
        <v>84.902793911124206</v>
      </c>
      <c r="AN1554">
        <v>1.0000000257652899</v>
      </c>
    </row>
    <row r="1555" spans="1:40" x14ac:dyDescent="0.25">
      <c r="A1555" t="str">
        <f>"20190312160944163"</f>
        <v>20190312160944163</v>
      </c>
      <c r="B1555" t="str">
        <f>"1552378184156716"</f>
        <v>1552378184156716</v>
      </c>
      <c r="C1555" t="s">
        <v>40</v>
      </c>
      <c r="D1555">
        <v>5.7974030000000001</v>
      </c>
      <c r="E1555">
        <v>0.5269722</v>
      </c>
      <c r="F1555" t="s">
        <v>42</v>
      </c>
      <c r="G1555">
        <v>-232.05609999999999</v>
      </c>
      <c r="H1555">
        <v>0.95806610000000003</v>
      </c>
      <c r="I1555">
        <v>283.52319999999997</v>
      </c>
      <c r="J1555">
        <v>-231.51769999999999</v>
      </c>
      <c r="K1555">
        <v>1.1088290000000001</v>
      </c>
      <c r="L1555">
        <v>283.42829999999998</v>
      </c>
      <c r="M1555">
        <v>-0.99941179999999996</v>
      </c>
      <c r="N1555">
        <v>0</v>
      </c>
      <c r="O1555">
        <v>-3.3601720000000002E-2</v>
      </c>
      <c r="P1555">
        <v>-0.9978245</v>
      </c>
      <c r="Q1555">
        <v>-3.4319809999999999E-2</v>
      </c>
      <c r="R1555">
        <v>5.629178E-2</v>
      </c>
      <c r="S1555">
        <v>-2.964432</v>
      </c>
      <c r="T1555">
        <v>-0.62680209999999903</v>
      </c>
      <c r="U1555">
        <v>0.37396239999999997</v>
      </c>
      <c r="V1555">
        <v>8.9756879999999997E-2</v>
      </c>
      <c r="W1555">
        <v>-2.7586200000000002E-2</v>
      </c>
      <c r="X1555">
        <v>0.99558159999999896</v>
      </c>
      <c r="Y1555">
        <v>0.15433060000000001</v>
      </c>
      <c r="Z1555">
        <v>2.3078919999999999E-2</v>
      </c>
      <c r="AA1555">
        <v>0.98774969999999995</v>
      </c>
      <c r="AB1555">
        <v>18</v>
      </c>
      <c r="AC1555">
        <v>-0.53839999999999499</v>
      </c>
      <c r="AD1555">
        <v>-0.15076290000000001</v>
      </c>
      <c r="AE1555">
        <v>9.4899999999995502E-2</v>
      </c>
      <c r="AF1555">
        <v>0.104956223757405</v>
      </c>
      <c r="AG1555">
        <v>-0.15076290000000001</v>
      </c>
      <c r="AH1555">
        <v>0.49710307641375301</v>
      </c>
      <c r="AI1555">
        <v>106.527780975167</v>
      </c>
      <c r="AJ1555">
        <v>78.077910779094395</v>
      </c>
      <c r="AK1555">
        <v>0.529959177203152</v>
      </c>
      <c r="AL1555">
        <v>91.580773356007001</v>
      </c>
      <c r="AM1555">
        <v>84.848413467552604</v>
      </c>
      <c r="AN1555">
        <v>1.00000000909816</v>
      </c>
    </row>
    <row r="1556" spans="1:40" x14ac:dyDescent="0.25">
      <c r="A1556" t="str">
        <f>"20190312160944184"</f>
        <v>20190312160944184</v>
      </c>
      <c r="B1556" t="str">
        <f>"1552378184177212"</f>
        <v>1552378184177212</v>
      </c>
      <c r="C1556" t="s">
        <v>40</v>
      </c>
      <c r="D1556">
        <v>5.8842679999999996</v>
      </c>
      <c r="E1556">
        <v>0.52688539999999995</v>
      </c>
      <c r="F1556" t="s">
        <v>42</v>
      </c>
      <c r="G1556">
        <v>-232.21680000000001</v>
      </c>
      <c r="H1556">
        <v>0.96289919999999996</v>
      </c>
      <c r="I1556">
        <v>283.51659999999998</v>
      </c>
      <c r="J1556">
        <v>-231.6816</v>
      </c>
      <c r="K1556">
        <v>1.1088249999999999</v>
      </c>
      <c r="L1556">
        <v>283.4239</v>
      </c>
      <c r="M1556">
        <v>-0.99944200000000005</v>
      </c>
      <c r="N1556">
        <v>0</v>
      </c>
      <c r="O1556">
        <v>-3.2693239999999998E-2</v>
      </c>
      <c r="P1556">
        <v>-0.99776730000000002</v>
      </c>
      <c r="Q1556">
        <v>-3.3750830000000002E-2</v>
      </c>
      <c r="R1556">
        <v>5.7633299999999998E-2</v>
      </c>
      <c r="S1556">
        <v>-2.9642029999999999</v>
      </c>
      <c r="T1556">
        <v>-0.61874490000000004</v>
      </c>
      <c r="U1556">
        <v>0.37316890000000003</v>
      </c>
      <c r="V1556">
        <v>9.0191300000000002E-2</v>
      </c>
      <c r="W1556">
        <v>-2.7044350000000002E-2</v>
      </c>
      <c r="X1556">
        <v>0.99555720000000003</v>
      </c>
      <c r="Y1556">
        <v>0.15332570000000001</v>
      </c>
      <c r="Z1556">
        <v>2.250017E-2</v>
      </c>
      <c r="AA1556">
        <v>0.98791949999999995</v>
      </c>
      <c r="AB1556">
        <v>18</v>
      </c>
      <c r="AC1556">
        <v>-0.53520000000000301</v>
      </c>
      <c r="AD1556">
        <v>-0.145925799999999</v>
      </c>
      <c r="AE1556">
        <v>9.2699999999979299E-2</v>
      </c>
      <c r="AF1556">
        <v>0.102733362211861</v>
      </c>
      <c r="AG1556">
        <v>-0.145925799999999</v>
      </c>
      <c r="AH1556">
        <v>0.4960780767911</v>
      </c>
      <c r="AI1556">
        <v>106.06889140265601</v>
      </c>
      <c r="AJ1556">
        <v>78.299941165230607</v>
      </c>
      <c r="AK1556">
        <v>0.52720199268378198</v>
      </c>
      <c r="AL1556">
        <v>91.549716058816301</v>
      </c>
      <c r="AM1556">
        <v>84.823488930138893</v>
      </c>
      <c r="AN1556">
        <v>1.00000000296722</v>
      </c>
    </row>
    <row r="1557" spans="1:40" x14ac:dyDescent="0.25">
      <c r="A1557" t="str">
        <f>"20190312160944207"</f>
        <v>20190312160944207</v>
      </c>
      <c r="B1557" t="str">
        <f>"1552378184196732"</f>
        <v>1552378184196732</v>
      </c>
      <c r="C1557" t="s">
        <v>40</v>
      </c>
      <c r="D1557">
        <v>5.4682950000000003</v>
      </c>
      <c r="E1557">
        <v>0.52649869999999899</v>
      </c>
      <c r="F1557" t="s">
        <v>42</v>
      </c>
      <c r="G1557">
        <v>-232.37629999999999</v>
      </c>
      <c r="H1557">
        <v>0.96357519999999997</v>
      </c>
      <c r="I1557">
        <v>283.51190000000003</v>
      </c>
      <c r="J1557">
        <v>-231.86510000000001</v>
      </c>
      <c r="K1557">
        <v>1.1088169999999999</v>
      </c>
      <c r="L1557">
        <v>283.41910000000001</v>
      </c>
      <c r="M1557">
        <v>-0.999475</v>
      </c>
      <c r="N1557">
        <v>0</v>
      </c>
      <c r="O1557">
        <v>-3.1673189999999997E-2</v>
      </c>
      <c r="P1557">
        <v>-0.99774750000000001</v>
      </c>
      <c r="Q1557">
        <v>-3.3070429999999998E-2</v>
      </c>
      <c r="R1557">
        <v>5.8363560000000002E-2</v>
      </c>
      <c r="S1557">
        <v>-2.9640200000000001</v>
      </c>
      <c r="T1557">
        <v>-0.6197684</v>
      </c>
      <c r="U1557">
        <v>0.375946</v>
      </c>
      <c r="V1557">
        <v>8.9904929999999994E-2</v>
      </c>
      <c r="W1557">
        <v>-2.6387830000000001E-2</v>
      </c>
      <c r="X1557">
        <v>0.99560070000000001</v>
      </c>
      <c r="Y1557">
        <v>0.1532471</v>
      </c>
      <c r="Z1557">
        <v>2.2318279999999999E-2</v>
      </c>
      <c r="AA1557">
        <v>0.98793580000000003</v>
      </c>
      <c r="AB1557">
        <v>18</v>
      </c>
      <c r="AC1557">
        <v>-0.51119999999997301</v>
      </c>
      <c r="AD1557">
        <v>-0.14524179999999901</v>
      </c>
      <c r="AE1557">
        <v>9.2800000000011096E-2</v>
      </c>
      <c r="AF1557">
        <v>0.101048375470183</v>
      </c>
      <c r="AG1557">
        <v>-0.14524179999999901</v>
      </c>
      <c r="AH1557">
        <v>0.471182022219721</v>
      </c>
      <c r="AI1557">
        <v>106.77264288430401</v>
      </c>
      <c r="AJ1557">
        <v>77.895849403051699</v>
      </c>
      <c r="AK1557">
        <v>0.50330751307274302</v>
      </c>
      <c r="AL1557">
        <v>91.512086830556001</v>
      </c>
      <c r="AM1557">
        <v>84.840060445891396</v>
      </c>
      <c r="AN1557">
        <v>0.99999998392545097</v>
      </c>
    </row>
    <row r="1558" spans="1:40" x14ac:dyDescent="0.25">
      <c r="A1558" t="str">
        <f>"20190312160944228"</f>
        <v>20190312160944228</v>
      </c>
      <c r="B1558" t="str">
        <f>"1552378184217232"</f>
        <v>1552378184217232</v>
      </c>
      <c r="C1558" t="s">
        <v>40</v>
      </c>
      <c r="D1558">
        <v>6.2694619999999999</v>
      </c>
      <c r="E1558">
        <v>0.52667489999999995</v>
      </c>
      <c r="F1558" t="s">
        <v>42</v>
      </c>
      <c r="G1558">
        <v>-232.68690000000001</v>
      </c>
      <c r="H1558">
        <v>0.93922589999999995</v>
      </c>
      <c r="I1558">
        <v>283.52330000000001</v>
      </c>
      <c r="J1558">
        <v>-232.04069999999999</v>
      </c>
      <c r="K1558">
        <v>1.1088039999999999</v>
      </c>
      <c r="L1558">
        <v>283.41469999999998</v>
      </c>
      <c r="M1558">
        <v>-0.99950559999999999</v>
      </c>
      <c r="N1558">
        <v>0</v>
      </c>
      <c r="O1558">
        <v>-3.069477E-2</v>
      </c>
      <c r="P1558">
        <v>-0.9977473</v>
      </c>
      <c r="Q1558">
        <v>-3.2015399999999999E-2</v>
      </c>
      <c r="R1558">
        <v>5.8952739999999997E-2</v>
      </c>
      <c r="S1558">
        <v>-2.9645229999999998</v>
      </c>
      <c r="T1558">
        <v>-0.61170639999999998</v>
      </c>
      <c r="U1558">
        <v>0.3756409</v>
      </c>
      <c r="V1558">
        <v>8.9520310000000006E-2</v>
      </c>
      <c r="W1558">
        <v>-2.5350520000000001E-2</v>
      </c>
      <c r="X1558">
        <v>0.9956623</v>
      </c>
      <c r="Y1558">
        <v>0.1523012</v>
      </c>
      <c r="Z1558">
        <v>2.1735089999999999E-2</v>
      </c>
      <c r="AA1558">
        <v>0.9880951</v>
      </c>
      <c r="AB1558">
        <v>18</v>
      </c>
      <c r="AC1558">
        <v>-0.64620000000002098</v>
      </c>
      <c r="AD1558">
        <v>-0.16957810000000001</v>
      </c>
      <c r="AE1558">
        <v>0.108600000000024</v>
      </c>
      <c r="AF1558">
        <v>0.120325506149533</v>
      </c>
      <c r="AG1558">
        <v>-0.16957810000000001</v>
      </c>
      <c r="AH1558">
        <v>0.602228050152399</v>
      </c>
      <c r="AI1558">
        <v>105.436262588383</v>
      </c>
      <c r="AJ1558">
        <v>78.701055104850496</v>
      </c>
      <c r="AK1558">
        <v>0.63711347797712703</v>
      </c>
      <c r="AL1558">
        <v>91.452633457698496</v>
      </c>
      <c r="AM1558">
        <v>84.862332825504595</v>
      </c>
      <c r="AN1558">
        <v>0.99999997520402695</v>
      </c>
    </row>
    <row r="1559" spans="1:40" x14ac:dyDescent="0.25">
      <c r="A1559" t="str">
        <f>"20190312160944251"</f>
        <v>20190312160944251</v>
      </c>
      <c r="B1559" t="str">
        <f>"1552378184246508"</f>
        <v>1552378184246508</v>
      </c>
      <c r="C1559" t="s">
        <v>40</v>
      </c>
      <c r="D1559">
        <v>6.175014</v>
      </c>
      <c r="E1559">
        <v>0.48884559999999999</v>
      </c>
      <c r="F1559" t="s">
        <v>42</v>
      </c>
      <c r="G1559">
        <v>-232.8494</v>
      </c>
      <c r="H1559">
        <v>0.94156479999999998</v>
      </c>
      <c r="I1559">
        <v>283.5181</v>
      </c>
      <c r="J1559">
        <v>-232.22550000000001</v>
      </c>
      <c r="K1559">
        <v>1.1087990000000001</v>
      </c>
      <c r="L1559">
        <v>283.41019999999997</v>
      </c>
      <c r="M1559">
        <v>-0.99953689999999995</v>
      </c>
      <c r="N1559">
        <v>0</v>
      </c>
      <c r="O1559">
        <v>-2.9663789999999999E-2</v>
      </c>
      <c r="P1559">
        <v>-0.99769399999999997</v>
      </c>
      <c r="Q1559">
        <v>-3.2575159999999999E-2</v>
      </c>
      <c r="R1559">
        <v>5.954682E-2</v>
      </c>
      <c r="S1559">
        <v>-2.9647060000000001</v>
      </c>
      <c r="T1559">
        <v>-0.61302009999999996</v>
      </c>
      <c r="U1559">
        <v>0.37872309999999998</v>
      </c>
      <c r="V1559">
        <v>8.9084640000000007E-2</v>
      </c>
      <c r="W1559">
        <v>-2.592477E-2</v>
      </c>
      <c r="X1559">
        <v>0.99568659999999998</v>
      </c>
      <c r="Y1559">
        <v>0.15229239999999999</v>
      </c>
      <c r="Z1559">
        <v>2.1566990000000001E-2</v>
      </c>
      <c r="AA1559">
        <v>0.98810019999999998</v>
      </c>
      <c r="AB1559">
        <v>18</v>
      </c>
      <c r="AC1559">
        <v>-0.62389999999999102</v>
      </c>
      <c r="AD1559">
        <v>-0.167234199999999</v>
      </c>
      <c r="AE1559">
        <v>0.107900000000029</v>
      </c>
      <c r="AF1559">
        <v>0.118119861158405</v>
      </c>
      <c r="AG1559">
        <v>-0.167234199999999</v>
      </c>
      <c r="AH1559">
        <v>0.57996492191277504</v>
      </c>
      <c r="AI1559">
        <v>105.77772591894301</v>
      </c>
      <c r="AJ1559">
        <v>78.488174218099999</v>
      </c>
      <c r="AK1559">
        <v>0.61504381136550901</v>
      </c>
      <c r="AL1559">
        <v>91.485546362587002</v>
      </c>
      <c r="AM1559">
        <v>84.887327670529899</v>
      </c>
      <c r="AN1559">
        <v>0.99999998610152097</v>
      </c>
    </row>
    <row r="1560" spans="1:40" x14ac:dyDescent="0.25">
      <c r="A1560" t="str">
        <f>"20190312160944272"</f>
        <v>20190312160944272</v>
      </c>
      <c r="B1560" t="str">
        <f>"1552378184267004"</f>
        <v>1552378184267004</v>
      </c>
      <c r="C1560" t="s">
        <v>40</v>
      </c>
      <c r="D1560">
        <v>5.7864559999999896</v>
      </c>
      <c r="E1560">
        <v>0.48730469999999998</v>
      </c>
      <c r="F1560" t="s">
        <v>42</v>
      </c>
      <c r="G1560">
        <v>-233.04470000000001</v>
      </c>
      <c r="H1560">
        <v>1.0172270000000001</v>
      </c>
      <c r="I1560">
        <v>283.43340000000001</v>
      </c>
      <c r="J1560">
        <v>-232.39660000000001</v>
      </c>
      <c r="K1560">
        <v>1.108787</v>
      </c>
      <c r="L1560">
        <v>283.40629999999999</v>
      </c>
      <c r="M1560">
        <v>-0.99956480000000003</v>
      </c>
      <c r="N1560">
        <v>0</v>
      </c>
      <c r="O1560">
        <v>-2.8708879999999999E-2</v>
      </c>
      <c r="P1560">
        <v>-0.99762070000000003</v>
      </c>
      <c r="Q1560">
        <v>-3.3245249999999997E-2</v>
      </c>
      <c r="R1560">
        <v>6.0398500000000001E-2</v>
      </c>
      <c r="S1560">
        <v>-2.9909520000000001</v>
      </c>
      <c r="T1560">
        <v>-0.33433020000000002</v>
      </c>
      <c r="U1560">
        <v>8.5113530000000007E-2</v>
      </c>
      <c r="V1560">
        <v>8.8981840000000006E-2</v>
      </c>
      <c r="W1560">
        <v>-2.6605030000000002E-2</v>
      </c>
      <c r="X1560">
        <v>0.9956779</v>
      </c>
      <c r="Y1560">
        <v>5.6600739999999997E-2</v>
      </c>
      <c r="Z1560">
        <v>6.3515380000000003E-3</v>
      </c>
      <c r="AA1560">
        <v>0.99837670000000001</v>
      </c>
      <c r="AB1560">
        <v>18</v>
      </c>
      <c r="AC1560">
        <v>-0.64809999999999901</v>
      </c>
      <c r="AD1560">
        <v>-9.1560000000000002E-2</v>
      </c>
      <c r="AE1560">
        <v>2.7100000000018502E-2</v>
      </c>
      <c r="AF1560">
        <v>4.48028463570656E-2</v>
      </c>
      <c r="AG1560">
        <v>-9.1560000000000002E-2</v>
      </c>
      <c r="AH1560">
        <v>0.63441496225038196</v>
      </c>
      <c r="AI1560">
        <v>98.192208677630305</v>
      </c>
      <c r="AJ1560">
        <v>85.960436930398501</v>
      </c>
      <c r="AK1560">
        <v>0.64255184457664505</v>
      </c>
      <c r="AL1560">
        <v>91.524535762367805</v>
      </c>
      <c r="AM1560">
        <v>84.893151882746295</v>
      </c>
      <c r="AN1560">
        <v>1.00000003800974</v>
      </c>
    </row>
    <row r="1561" spans="1:40" x14ac:dyDescent="0.25">
      <c r="A1561" t="str">
        <f>"20190312160944296"</f>
        <v>20190312160944296</v>
      </c>
      <c r="B1561" t="str">
        <f>"1552378184286524"</f>
        <v>1552378184286524</v>
      </c>
      <c r="C1561" t="s">
        <v>40</v>
      </c>
      <c r="D1561">
        <v>6.0568289999999996</v>
      </c>
      <c r="E1561">
        <v>0.48595729999999998</v>
      </c>
      <c r="F1561" t="s">
        <v>42</v>
      </c>
      <c r="G1561">
        <v>-233.21770000000001</v>
      </c>
      <c r="H1561">
        <v>1.0374909999999999</v>
      </c>
      <c r="I1561">
        <v>283.42759999999998</v>
      </c>
      <c r="J1561">
        <v>-232.58879999999999</v>
      </c>
      <c r="K1561">
        <v>1.108786</v>
      </c>
      <c r="L1561">
        <v>283.40199999999999</v>
      </c>
      <c r="M1561">
        <v>-0.99959520000000002</v>
      </c>
      <c r="N1561">
        <v>0</v>
      </c>
      <c r="O1561">
        <v>-2.763548E-2</v>
      </c>
      <c r="P1561">
        <v>-0.99753530000000001</v>
      </c>
      <c r="Q1561">
        <v>-3.392278E-2</v>
      </c>
      <c r="R1561">
        <v>6.1424619999999999E-2</v>
      </c>
      <c r="S1561">
        <v>-2.9938660000000001</v>
      </c>
      <c r="T1561">
        <v>-0.26000770000000001</v>
      </c>
      <c r="U1561">
        <v>7.6660160000000005E-2</v>
      </c>
      <c r="V1561">
        <v>8.8934879999999994E-2</v>
      </c>
      <c r="W1561">
        <v>-2.7290450000000001E-2</v>
      </c>
      <c r="X1561">
        <v>0.99566350000000003</v>
      </c>
      <c r="Y1561">
        <v>5.2911609999999998E-2</v>
      </c>
      <c r="Z1561">
        <v>4.6881049999999997E-3</v>
      </c>
      <c r="AA1561">
        <v>0.99858820000000004</v>
      </c>
      <c r="AB1561">
        <v>18</v>
      </c>
      <c r="AC1561">
        <v>-0.628900000000015</v>
      </c>
      <c r="AD1561">
        <v>-7.1295000000000094E-2</v>
      </c>
      <c r="AE1561">
        <v>2.5599999999997101E-2</v>
      </c>
      <c r="AF1561">
        <v>4.2426232537985401E-2</v>
      </c>
      <c r="AG1561">
        <v>-7.1295000000000094E-2</v>
      </c>
      <c r="AH1561">
        <v>0.61999756823438401</v>
      </c>
      <c r="AI1561">
        <v>96.544594084008295</v>
      </c>
      <c r="AJ1561">
        <v>86.085371017589495</v>
      </c>
      <c r="AK1561">
        <v>0.62552373803790695</v>
      </c>
      <c r="AL1561">
        <v>91.563821771573998</v>
      </c>
      <c r="AM1561">
        <v>84.895759341891903</v>
      </c>
      <c r="AN1561">
        <v>0.99999999338703305</v>
      </c>
    </row>
    <row r="1562" spans="1:40" x14ac:dyDescent="0.25">
      <c r="A1562" t="str">
        <f>"20190312160944317"</f>
        <v>20190312160944317</v>
      </c>
      <c r="B1562" t="str">
        <f>"1552378184307020"</f>
        <v>1552378184307020</v>
      </c>
      <c r="C1562" t="s">
        <v>40</v>
      </c>
      <c r="D1562">
        <v>5.8100680000000002</v>
      </c>
      <c r="E1562">
        <v>0.48457109999999898</v>
      </c>
      <c r="F1562" t="s">
        <v>42</v>
      </c>
      <c r="G1562">
        <v>-233.3897</v>
      </c>
      <c r="H1562">
        <v>1.0505770000000001</v>
      </c>
      <c r="I1562">
        <v>283.42079999999999</v>
      </c>
      <c r="J1562">
        <v>-232.77119999999999</v>
      </c>
      <c r="K1562">
        <v>1.108776</v>
      </c>
      <c r="L1562">
        <v>283.3981</v>
      </c>
      <c r="M1562">
        <v>-0.99962289999999998</v>
      </c>
      <c r="N1562">
        <v>0</v>
      </c>
      <c r="O1562">
        <v>-2.6616460000000002E-2</v>
      </c>
      <c r="P1562">
        <v>-0.99753639999999999</v>
      </c>
      <c r="Q1562">
        <v>-3.3260940000000003E-2</v>
      </c>
      <c r="R1562">
        <v>6.1765670000000002E-2</v>
      </c>
      <c r="S1562">
        <v>-2.9957120000000002</v>
      </c>
      <c r="T1562">
        <v>-0.21777460000000001</v>
      </c>
      <c r="U1562">
        <v>6.9946289999999994E-2</v>
      </c>
      <c r="V1562">
        <v>8.8261510000000001E-2</v>
      </c>
      <c r="W1562">
        <v>-2.6631780000000001E-2</v>
      </c>
      <c r="X1562">
        <v>0.99574119999999999</v>
      </c>
      <c r="Y1562">
        <v>4.974257E-2</v>
      </c>
      <c r="Z1562">
        <v>3.7375070000000002E-3</v>
      </c>
      <c r="AA1562">
        <v>0.99875510000000001</v>
      </c>
      <c r="AB1562">
        <v>18</v>
      </c>
      <c r="AC1562">
        <v>-0.61850000000001104</v>
      </c>
      <c r="AD1562">
        <v>-5.81989999999998E-2</v>
      </c>
      <c r="AE1562">
        <v>2.2699999999986099E-2</v>
      </c>
      <c r="AF1562">
        <v>3.8811429787690803E-2</v>
      </c>
      <c r="AG1562">
        <v>-5.81989999999998E-2</v>
      </c>
      <c r="AH1562">
        <v>0.61226282611689298</v>
      </c>
      <c r="AI1562">
        <v>95.419156614658604</v>
      </c>
      <c r="AJ1562">
        <v>86.372865308442201</v>
      </c>
      <c r="AK1562">
        <v>0.61624607011145305</v>
      </c>
      <c r="AL1562">
        <v>91.526069114815101</v>
      </c>
      <c r="AM1562">
        <v>84.934597462121701</v>
      </c>
      <c r="AN1562">
        <v>0.99999994161544203</v>
      </c>
    </row>
    <row r="1563" spans="1:40" x14ac:dyDescent="0.25">
      <c r="A1563" t="str">
        <f>"20190312160944342"</f>
        <v>20190312160944342</v>
      </c>
      <c r="B1563" t="str">
        <f>"1552378184337276"</f>
        <v>1552378184337276</v>
      </c>
      <c r="C1563" t="s">
        <v>40</v>
      </c>
      <c r="D1563">
        <v>5.8351129999999998</v>
      </c>
      <c r="E1563">
        <v>0.48431869999999999</v>
      </c>
      <c r="F1563" t="s">
        <v>61</v>
      </c>
      <c r="G1563">
        <v>-250.41820000000001</v>
      </c>
      <c r="H1563" s="1">
        <v>-1.3142409999999999E-6</v>
      </c>
      <c r="I1563">
        <v>283.75569999999999</v>
      </c>
      <c r="J1563">
        <v>-232.9676</v>
      </c>
      <c r="K1563">
        <v>1.108771</v>
      </c>
      <c r="L1563">
        <v>283.39420000000001</v>
      </c>
      <c r="M1563">
        <v>-0.99965159999999997</v>
      </c>
      <c r="N1563">
        <v>0</v>
      </c>
      <c r="O1563">
        <v>-2.551935E-2</v>
      </c>
      <c r="P1563">
        <v>-0.99749770000000004</v>
      </c>
      <c r="Q1563">
        <v>-3.3676360000000002E-2</v>
      </c>
      <c r="R1563">
        <v>6.2166020000000002E-2</v>
      </c>
      <c r="S1563">
        <v>-2.9973749999999999</v>
      </c>
      <c r="T1563">
        <v>-0.1883283</v>
      </c>
      <c r="U1563">
        <v>6.0729980000000003E-2</v>
      </c>
      <c r="V1563">
        <v>8.7567480000000003E-2</v>
      </c>
      <c r="W1563">
        <v>-2.70485E-2</v>
      </c>
      <c r="X1563">
        <v>0.99579130000000005</v>
      </c>
      <c r="Y1563">
        <v>4.562476E-2</v>
      </c>
      <c r="Z1563">
        <v>3.033441E-3</v>
      </c>
      <c r="AA1563">
        <v>0.99895409999999996</v>
      </c>
      <c r="AB1563">
        <v>18</v>
      </c>
      <c r="AC1563">
        <v>-17.450600000000001</v>
      </c>
      <c r="AD1563">
        <v>-1.108772314241</v>
      </c>
      <c r="AE1563">
        <v>0.36149999999997801</v>
      </c>
      <c r="AF1563">
        <v>0.80347806305602998</v>
      </c>
      <c r="AG1563">
        <v>-1.108772314241</v>
      </c>
      <c r="AH1563">
        <v>17.365615353799001</v>
      </c>
      <c r="AI1563">
        <v>93.649409554722396</v>
      </c>
      <c r="AJ1563">
        <v>87.350909106653305</v>
      </c>
      <c r="AK1563">
        <v>17.419516343995902</v>
      </c>
      <c r="AL1563">
        <v>91.549953929419402</v>
      </c>
      <c r="AM1563">
        <v>84.9744751921004</v>
      </c>
      <c r="AN1563">
        <v>0.99999999903074499</v>
      </c>
    </row>
    <row r="1564" spans="1:40" x14ac:dyDescent="0.25">
      <c r="A1564" t="str">
        <f>"20190312160944365"</f>
        <v>20190312160944365</v>
      </c>
      <c r="B1564" t="str">
        <f>"1552378184356796"</f>
        <v>1552378184356796</v>
      </c>
      <c r="C1564" t="s">
        <v>40</v>
      </c>
      <c r="D1564">
        <v>5.8889329999999998</v>
      </c>
      <c r="E1564">
        <v>0.48411789999999999</v>
      </c>
      <c r="F1564" t="s">
        <v>61</v>
      </c>
      <c r="G1564">
        <v>-251.8031</v>
      </c>
      <c r="H1564" s="1">
        <v>-5.7724330000000001E-7</v>
      </c>
      <c r="I1564">
        <v>283.77229999999997</v>
      </c>
      <c r="J1564">
        <v>-233.15700000000001</v>
      </c>
      <c r="K1564">
        <v>1.1087689999999999</v>
      </c>
      <c r="L1564">
        <v>283.39049999999997</v>
      </c>
      <c r="M1564">
        <v>-0.99967799999999996</v>
      </c>
      <c r="N1564">
        <v>0</v>
      </c>
      <c r="O1564">
        <v>-2.446255E-2</v>
      </c>
      <c r="P1564">
        <v>-0.99741860000000004</v>
      </c>
      <c r="Q1564">
        <v>-3.4069250000000002E-2</v>
      </c>
      <c r="R1564">
        <v>6.3210619999999995E-2</v>
      </c>
      <c r="S1564">
        <v>-2.9978180000000001</v>
      </c>
      <c r="T1564">
        <v>-0.1764696</v>
      </c>
      <c r="U1564">
        <v>6.0180659999999997E-2</v>
      </c>
      <c r="V1564">
        <v>8.7556250000000002E-2</v>
      </c>
      <c r="W1564">
        <v>-2.744185E-2</v>
      </c>
      <c r="X1564">
        <v>0.99578149999999999</v>
      </c>
      <c r="Y1564">
        <v>4.4403770000000002E-2</v>
      </c>
      <c r="Z1564">
        <v>2.7443099999999998E-3</v>
      </c>
      <c r="AA1564">
        <v>0.99900990000000001</v>
      </c>
      <c r="AB1564">
        <v>18</v>
      </c>
      <c r="AC1564">
        <v>-18.646099999999901</v>
      </c>
      <c r="AD1564">
        <v>-1.1087695772432999</v>
      </c>
      <c r="AE1564">
        <v>0.38179999999999797</v>
      </c>
      <c r="AF1564">
        <v>0.83487641909431098</v>
      </c>
      <c r="AG1564">
        <v>-1.1087695772432999</v>
      </c>
      <c r="AH1564">
        <v>18.5655603800055</v>
      </c>
      <c r="AI1564">
        <v>93.414308015873999</v>
      </c>
      <c r="AJ1564">
        <v>87.425195410208602</v>
      </c>
      <c r="AK1564">
        <v>18.617368794601699</v>
      </c>
      <c r="AL1564">
        <v>91.572499633367897</v>
      </c>
      <c r="AM1564">
        <v>84.975067186148806</v>
      </c>
      <c r="AN1564">
        <v>0.99999997389386697</v>
      </c>
    </row>
    <row r="1565" spans="1:40" x14ac:dyDescent="0.25">
      <c r="A1565" t="str">
        <f>"20190312160944385"</f>
        <v>20190312160944385</v>
      </c>
      <c r="B1565" t="str">
        <f>"1552378184377292"</f>
        <v>1552378184377292</v>
      </c>
      <c r="C1565" t="s">
        <v>40</v>
      </c>
      <c r="D1565">
        <v>5.8423569999999998</v>
      </c>
      <c r="E1565">
        <v>0.48408820000000002</v>
      </c>
      <c r="F1565" t="s">
        <v>42</v>
      </c>
      <c r="G1565">
        <v>-234.0676</v>
      </c>
      <c r="H1565">
        <v>1.0557730000000001</v>
      </c>
      <c r="I1565">
        <v>283.40929999999997</v>
      </c>
      <c r="J1565">
        <v>-233.32579999999999</v>
      </c>
      <c r="K1565">
        <v>1.1087629999999999</v>
      </c>
      <c r="L1565">
        <v>283.38749999999999</v>
      </c>
      <c r="M1565">
        <v>-0.99970049999999999</v>
      </c>
      <c r="N1565">
        <v>0</v>
      </c>
      <c r="O1565">
        <v>-2.3521859999999999E-2</v>
      </c>
      <c r="P1565">
        <v>-0.99738300000000002</v>
      </c>
      <c r="Q1565">
        <v>-3.3488990000000003E-2</v>
      </c>
      <c r="R1565">
        <v>6.407997E-2</v>
      </c>
      <c r="S1565">
        <v>-2.9979100000000001</v>
      </c>
      <c r="T1565">
        <v>-0.17446639999999999</v>
      </c>
      <c r="U1565">
        <v>6.1706539999999997E-2</v>
      </c>
      <c r="V1565">
        <v>8.7488389999999999E-2</v>
      </c>
      <c r="W1565">
        <v>-2.6856930000000001E-2</v>
      </c>
      <c r="X1565">
        <v>0.99580340000000001</v>
      </c>
      <c r="Y1565">
        <v>4.3976389999999997E-2</v>
      </c>
      <c r="Z1565">
        <v>2.6460049999999999E-3</v>
      </c>
      <c r="AA1565">
        <v>0.99902899999999994</v>
      </c>
      <c r="AB1565">
        <v>19</v>
      </c>
      <c r="AC1565">
        <v>-0.74180000000001201</v>
      </c>
      <c r="AD1565">
        <v>-5.2990000000000002E-2</v>
      </c>
      <c r="AE1565">
        <v>2.17999999999847E-2</v>
      </c>
      <c r="AF1565">
        <v>3.9043818571344403E-2</v>
      </c>
      <c r="AG1565">
        <v>-5.2990000000000002E-2</v>
      </c>
      <c r="AH1565">
        <v>0.73732275053330398</v>
      </c>
      <c r="AI1565">
        <v>94.1049408951489</v>
      </c>
      <c r="AJ1565">
        <v>86.968819173496399</v>
      </c>
      <c r="AK1565">
        <v>0.74025481985774899</v>
      </c>
      <c r="AL1565">
        <v>91.538973844529096</v>
      </c>
      <c r="AM1565">
        <v>84.979051676975601</v>
      </c>
      <c r="AN1565">
        <v>0.99999996226268695</v>
      </c>
    </row>
    <row r="1566" spans="1:40" x14ac:dyDescent="0.25">
      <c r="A1566" t="str">
        <f>"20190312160944407"</f>
        <v>20190312160944407</v>
      </c>
      <c r="B1566" t="str">
        <f>"1552378184396814"</f>
        <v>1552378184396814</v>
      </c>
      <c r="C1566" t="s">
        <v>40</v>
      </c>
      <c r="D1566">
        <v>5.7645970000000002</v>
      </c>
      <c r="E1566">
        <v>0.48478529999999997</v>
      </c>
      <c r="F1566" t="s">
        <v>61</v>
      </c>
      <c r="G1566">
        <v>-252.8852</v>
      </c>
      <c r="H1566" s="1">
        <v>-1.4167940000000001E-9</v>
      </c>
      <c r="I1566">
        <v>283.8064</v>
      </c>
      <c r="J1566">
        <v>-233.51439999999999</v>
      </c>
      <c r="K1566">
        <v>1.10876</v>
      </c>
      <c r="L1566">
        <v>283.3843</v>
      </c>
      <c r="M1566">
        <v>-0.99972439999999996</v>
      </c>
      <c r="N1566">
        <v>0</v>
      </c>
      <c r="O1566">
        <v>-2.247093E-2</v>
      </c>
      <c r="P1566">
        <v>-0.99732180000000004</v>
      </c>
      <c r="Q1566">
        <v>-3.343836E-2</v>
      </c>
      <c r="R1566">
        <v>6.5046419999999994E-2</v>
      </c>
      <c r="S1566">
        <v>-2.998062</v>
      </c>
      <c r="T1566">
        <v>-0.16995060000000001</v>
      </c>
      <c r="U1566">
        <v>6.4208979999999999E-2</v>
      </c>
      <c r="V1566">
        <v>8.7406239999999996E-2</v>
      </c>
      <c r="W1566">
        <v>-2.6794040000000002E-2</v>
      </c>
      <c r="X1566">
        <v>0.99581240000000004</v>
      </c>
      <c r="Y1566">
        <v>4.3766510000000002E-2</v>
      </c>
      <c r="Z1566">
        <v>2.5120189999999999E-3</v>
      </c>
      <c r="AA1566">
        <v>0.9990386</v>
      </c>
      <c r="AB1566">
        <v>19</v>
      </c>
      <c r="AC1566">
        <v>-19.370799999999999</v>
      </c>
      <c r="AD1566">
        <v>-1.10876000141679</v>
      </c>
      <c r="AE1566">
        <v>0.42209999999999998</v>
      </c>
      <c r="AF1566">
        <v>0.85448515819239601</v>
      </c>
      <c r="AG1566">
        <v>-1.10876000141679</v>
      </c>
      <c r="AH1566">
        <v>19.293243466920501</v>
      </c>
      <c r="AI1566">
        <v>93.285889216635198</v>
      </c>
      <c r="AJ1566">
        <v>87.464064580812305</v>
      </c>
      <c r="AK1566">
        <v>19.3439586719002</v>
      </c>
      <c r="AL1566">
        <v>91.535369075231799</v>
      </c>
      <c r="AM1566">
        <v>84.983787294659194</v>
      </c>
      <c r="AN1566">
        <v>1.0000000536821001</v>
      </c>
    </row>
    <row r="1567" spans="1:40" x14ac:dyDescent="0.25">
      <c r="A1567" t="str">
        <f>"20190312160944430"</f>
        <v>20190312160944430</v>
      </c>
      <c r="B1567" t="str">
        <f>"1552378184427069"</f>
        <v>1552378184427069</v>
      </c>
      <c r="C1567" t="s">
        <v>40</v>
      </c>
      <c r="D1567">
        <v>6.3258900000000002</v>
      </c>
      <c r="E1567">
        <v>0.48452679999999998</v>
      </c>
      <c r="F1567" t="s">
        <v>61</v>
      </c>
      <c r="G1567">
        <v>-253.0421</v>
      </c>
      <c r="H1567" s="1">
        <v>8.2086640000000003E-8</v>
      </c>
      <c r="I1567">
        <v>283.8569</v>
      </c>
      <c r="J1567">
        <v>-233.70830000000001</v>
      </c>
      <c r="K1567">
        <v>1.1087579999999999</v>
      </c>
      <c r="L1567">
        <v>283.38119999999998</v>
      </c>
      <c r="M1567">
        <v>-0.99974799999999997</v>
      </c>
      <c r="N1567">
        <v>0</v>
      </c>
      <c r="O1567">
        <v>-2.1392359999999999E-2</v>
      </c>
      <c r="P1567">
        <v>-0.99724480000000004</v>
      </c>
      <c r="Q1567">
        <v>-3.3667370000000002E-2</v>
      </c>
      <c r="R1567">
        <v>6.6101090000000001E-2</v>
      </c>
      <c r="S1567">
        <v>-2.99762</v>
      </c>
      <c r="T1567">
        <v>-0.17020089999999999</v>
      </c>
      <c r="U1567">
        <v>7.2540279999999999E-2</v>
      </c>
      <c r="V1567">
        <v>8.7384210000000004E-2</v>
      </c>
      <c r="W1567">
        <v>-2.700207E-2</v>
      </c>
      <c r="X1567">
        <v>0.99580869999999999</v>
      </c>
      <c r="Y1567">
        <v>4.5465640000000002E-2</v>
      </c>
      <c r="Z1567">
        <v>2.5030260000000002E-3</v>
      </c>
      <c r="AA1567">
        <v>0.99896280000000004</v>
      </c>
      <c r="AB1567">
        <v>19</v>
      </c>
      <c r="AC1567">
        <v>-19.3338</v>
      </c>
      <c r="AD1567">
        <v>-1.10875791791336</v>
      </c>
      <c r="AE1567">
        <v>0.475700000000017</v>
      </c>
      <c r="AF1567">
        <v>0.88628326466669805</v>
      </c>
      <c r="AG1567">
        <v>-1.10875791791336</v>
      </c>
      <c r="AH1567">
        <v>19.2559080716469</v>
      </c>
      <c r="AI1567">
        <v>93.291982902618898</v>
      </c>
      <c r="AJ1567">
        <v>87.364732038070002</v>
      </c>
      <c r="AK1567">
        <v>19.3081546971605</v>
      </c>
      <c r="AL1567">
        <v>91.547292651781206</v>
      </c>
      <c r="AM1567">
        <v>84.985026601895598</v>
      </c>
      <c r="AN1567">
        <v>1.0000000394686399</v>
      </c>
    </row>
    <row r="1568" spans="1:40" x14ac:dyDescent="0.25">
      <c r="A1568" t="str">
        <f>"20190312160944452"</f>
        <v>20190312160944452</v>
      </c>
      <c r="B1568" t="str">
        <f>"1552378184446588"</f>
        <v>1552378184446588</v>
      </c>
      <c r="C1568" t="s">
        <v>40</v>
      </c>
      <c r="D1568">
        <v>6.0452089999999998</v>
      </c>
      <c r="E1568">
        <v>0.48435060000000002</v>
      </c>
      <c r="F1568" t="s">
        <v>61</v>
      </c>
      <c r="G1568">
        <v>-253.89150000000001</v>
      </c>
      <c r="H1568" s="1">
        <v>5.3406880000000001E-7</v>
      </c>
      <c r="I1568">
        <v>283.8784</v>
      </c>
      <c r="J1568">
        <v>-233.89240000000001</v>
      </c>
      <c r="K1568">
        <v>1.1087640000000001</v>
      </c>
      <c r="L1568">
        <v>283.37849999999997</v>
      </c>
      <c r="M1568">
        <v>-0.99976920000000002</v>
      </c>
      <c r="N1568">
        <v>0</v>
      </c>
      <c r="O1568">
        <v>-2.036876E-2</v>
      </c>
      <c r="P1568">
        <v>-0.99713839999999998</v>
      </c>
      <c r="Q1568">
        <v>-3.3936019999999997E-2</v>
      </c>
      <c r="R1568">
        <v>6.7556530000000004E-2</v>
      </c>
      <c r="S1568">
        <v>-2.9978180000000001</v>
      </c>
      <c r="T1568">
        <v>-0.16468379999999999</v>
      </c>
      <c r="U1568">
        <v>7.3852539999999994E-2</v>
      </c>
      <c r="V1568">
        <v>8.7817259999999994E-2</v>
      </c>
      <c r="W1568">
        <v>-2.7244560000000001E-2</v>
      </c>
      <c r="X1568">
        <v>0.99576399999999998</v>
      </c>
      <c r="Y1568">
        <v>4.4887570000000002E-2</v>
      </c>
      <c r="Z1568">
        <v>2.3497990000000001E-3</v>
      </c>
      <c r="AA1568">
        <v>0.99898929999999997</v>
      </c>
      <c r="AB1568">
        <v>19</v>
      </c>
      <c r="AC1568">
        <v>-19.999099999999999</v>
      </c>
      <c r="AD1568">
        <v>-1.10876346593119</v>
      </c>
      <c r="AE1568">
        <v>0.49990000000002499</v>
      </c>
      <c r="AF1568">
        <v>0.90438461368381695</v>
      </c>
      <c r="AG1568">
        <v>-1.10876346593119</v>
      </c>
      <c r="AH1568">
        <v>19.923567929545701</v>
      </c>
      <c r="AI1568">
        <v>93.182003366204199</v>
      </c>
      <c r="AJ1568">
        <v>87.400973778941193</v>
      </c>
      <c r="AK1568">
        <v>19.974879899415502</v>
      </c>
      <c r="AL1568">
        <v>91.561191416731404</v>
      </c>
      <c r="AM1568">
        <v>84.960076502979206</v>
      </c>
      <c r="AN1568">
        <v>1.00000004044974</v>
      </c>
    </row>
    <row r="1569" spans="1:40" x14ac:dyDescent="0.25">
      <c r="A1569" t="str">
        <f>"20190312160944473"</f>
        <v>20190312160944473</v>
      </c>
      <c r="B1569" t="str">
        <f>"1552378184467085"</f>
        <v>1552378184467085</v>
      </c>
      <c r="C1569" t="s">
        <v>40</v>
      </c>
      <c r="D1569">
        <v>5.8949199999999999</v>
      </c>
      <c r="E1569">
        <v>0.48399969999999998</v>
      </c>
      <c r="F1569" t="s">
        <v>61</v>
      </c>
      <c r="G1569">
        <v>-254.5634</v>
      </c>
      <c r="H1569" s="1">
        <v>8.916388E-7</v>
      </c>
      <c r="I1569">
        <v>283.90899999999999</v>
      </c>
      <c r="J1569">
        <v>-234.08019999999999</v>
      </c>
      <c r="K1569">
        <v>1.108762</v>
      </c>
      <c r="L1569">
        <v>283.3759</v>
      </c>
      <c r="M1569">
        <v>-0.9997897</v>
      </c>
      <c r="N1569">
        <v>0</v>
      </c>
      <c r="O1569">
        <v>-1.9324689999999999E-2</v>
      </c>
      <c r="P1569">
        <v>-0.9970116</v>
      </c>
      <c r="Q1569">
        <v>-3.4277009999999997E-2</v>
      </c>
      <c r="R1569">
        <v>6.9231929999999997E-2</v>
      </c>
      <c r="S1569">
        <v>-2.997925</v>
      </c>
      <c r="T1569">
        <v>-0.16080420000000001</v>
      </c>
      <c r="U1569">
        <v>7.6934810000000006E-2</v>
      </c>
      <c r="V1569">
        <v>8.8449310000000003E-2</v>
      </c>
      <c r="W1569">
        <v>-2.755254E-2</v>
      </c>
      <c r="X1569">
        <v>0.99569949999999996</v>
      </c>
      <c r="Y1569">
        <v>4.4875999999999999E-2</v>
      </c>
      <c r="Z1569">
        <v>2.2381509999999999E-3</v>
      </c>
      <c r="AA1569">
        <v>0.99899009999999999</v>
      </c>
      <c r="AB1569">
        <v>19</v>
      </c>
      <c r="AC1569">
        <v>-20.4832</v>
      </c>
      <c r="AD1569">
        <v>-1.1087611083611999</v>
      </c>
      <c r="AE1569">
        <v>0.53309999999999003</v>
      </c>
      <c r="AF1569">
        <v>0.92612945736511998</v>
      </c>
      <c r="AG1569">
        <v>-1.1087611083611999</v>
      </c>
      <c r="AH1569">
        <v>20.409312008969</v>
      </c>
      <c r="AI1569">
        <v>93.106416930915202</v>
      </c>
      <c r="AJ1569">
        <v>87.401826556507203</v>
      </c>
      <c r="AK1569">
        <v>20.4603783847381</v>
      </c>
      <c r="AL1569">
        <v>91.578844126490296</v>
      </c>
      <c r="AM1569">
        <v>84.923664234339199</v>
      </c>
      <c r="AN1569">
        <v>0.99999995860008795</v>
      </c>
    </row>
    <row r="1570" spans="1:40" x14ac:dyDescent="0.25">
      <c r="A1570" t="str">
        <f>"20190312160944497"</f>
        <v>20190312160944497</v>
      </c>
      <c r="B1570" t="str">
        <f>"1552378184486604"</f>
        <v>1552378184486604</v>
      </c>
      <c r="C1570" t="s">
        <v>40</v>
      </c>
      <c r="D1570">
        <v>6.0238149999999999</v>
      </c>
      <c r="E1570">
        <v>0.48397000000000001</v>
      </c>
      <c r="F1570" t="s">
        <v>61</v>
      </c>
      <c r="G1570">
        <v>-254.2679</v>
      </c>
      <c r="H1570" s="1">
        <v>7.3439160000000003E-7</v>
      </c>
      <c r="I1570">
        <v>283.90809999999999</v>
      </c>
      <c r="J1570">
        <v>-234.27670000000001</v>
      </c>
      <c r="K1570">
        <v>1.1087629999999999</v>
      </c>
      <c r="L1570">
        <v>283.37329999999997</v>
      </c>
      <c r="M1570">
        <v>-0.99980990000000003</v>
      </c>
      <c r="N1570">
        <v>0</v>
      </c>
      <c r="O1570">
        <v>-1.8232950000000001E-2</v>
      </c>
      <c r="P1570">
        <v>-0.99695579999999995</v>
      </c>
      <c r="Q1570">
        <v>-3.4801550000000001E-2</v>
      </c>
      <c r="R1570">
        <v>6.9772589999999995E-2</v>
      </c>
      <c r="S1570">
        <v>-2.9978790000000002</v>
      </c>
      <c r="T1570">
        <v>-0.1646512</v>
      </c>
      <c r="U1570">
        <v>7.9040529999999998E-2</v>
      </c>
      <c r="V1570">
        <v>8.7900939999999997E-2</v>
      </c>
      <c r="W1570">
        <v>-2.8033800000000001E-2</v>
      </c>
      <c r="X1570">
        <v>0.99573469999999997</v>
      </c>
      <c r="Y1570">
        <v>4.448452E-2</v>
      </c>
      <c r="Z1570">
        <v>2.220985E-3</v>
      </c>
      <c r="AA1570">
        <v>0.9990076</v>
      </c>
      <c r="AB1570">
        <v>19</v>
      </c>
      <c r="AC1570">
        <v>-19.9911999999999</v>
      </c>
      <c r="AD1570">
        <v>-1.1087622656084</v>
      </c>
      <c r="AE1570">
        <v>0.53480000000001804</v>
      </c>
      <c r="AF1570">
        <v>0.89646271310218595</v>
      </c>
      <c r="AG1570">
        <v>-1.1087622656084</v>
      </c>
      <c r="AH1570">
        <v>19.916903021629601</v>
      </c>
      <c r="AI1570">
        <v>93.183117367543105</v>
      </c>
      <c r="AJ1570">
        <v>87.422848021153996</v>
      </c>
      <c r="AK1570">
        <v>19.9678748275979</v>
      </c>
      <c r="AL1570">
        <v>91.606428834577997</v>
      </c>
      <c r="AM1570">
        <v>84.955151113990695</v>
      </c>
      <c r="AN1570">
        <v>1.0000000309896999</v>
      </c>
    </row>
    <row r="1571" spans="1:40" x14ac:dyDescent="0.25">
      <c r="A1571" t="str">
        <f>"20190312160944520"</f>
        <v>20190312160944520</v>
      </c>
      <c r="B1571" t="str">
        <f>"1552378184516861"</f>
        <v>1552378184516861</v>
      </c>
      <c r="C1571" t="s">
        <v>40</v>
      </c>
      <c r="D1571">
        <v>5.9331639999999997</v>
      </c>
      <c r="E1571">
        <v>0.4838903</v>
      </c>
      <c r="F1571" t="s">
        <v>61</v>
      </c>
      <c r="G1571">
        <v>-254.39349999999999</v>
      </c>
      <c r="H1571" s="1">
        <v>8.0123599999999999E-7</v>
      </c>
      <c r="I1571">
        <v>283.9135</v>
      </c>
      <c r="J1571">
        <v>-234.47620000000001</v>
      </c>
      <c r="K1571">
        <v>1.10877</v>
      </c>
      <c r="L1571">
        <v>283.37099999999998</v>
      </c>
      <c r="M1571">
        <v>-0.99982910000000003</v>
      </c>
      <c r="N1571">
        <v>0</v>
      </c>
      <c r="O1571">
        <v>-1.7124790000000001E-2</v>
      </c>
      <c r="P1571">
        <v>-0.99693279999999995</v>
      </c>
      <c r="Q1571">
        <v>-3.4710690000000002E-2</v>
      </c>
      <c r="R1571">
        <v>7.01455E-2</v>
      </c>
      <c r="S1571">
        <v>-2.997757</v>
      </c>
      <c r="T1571">
        <v>-0.1652247</v>
      </c>
      <c r="U1571">
        <v>8.0505370000000007E-2</v>
      </c>
      <c r="V1571">
        <v>8.7169880000000005E-2</v>
      </c>
      <c r="W1571">
        <v>-2.788995E-2</v>
      </c>
      <c r="X1571">
        <v>0.99580299999999999</v>
      </c>
      <c r="Y1571">
        <v>4.38681E-2</v>
      </c>
      <c r="Z1571">
        <v>2.1507940000000001E-3</v>
      </c>
      <c r="AA1571">
        <v>0.99903500000000001</v>
      </c>
      <c r="AB1571">
        <v>19</v>
      </c>
      <c r="AC1571">
        <v>-19.917299999999901</v>
      </c>
      <c r="AD1571">
        <v>-1.108769198764</v>
      </c>
      <c r="AE1571">
        <v>0.54250000000001797</v>
      </c>
      <c r="AF1571">
        <v>0.88078078253847902</v>
      </c>
      <c r="AG1571">
        <v>-1.108769198764</v>
      </c>
      <c r="AH1571">
        <v>19.8436389423108</v>
      </c>
      <c r="AI1571">
        <v>93.194954053879897</v>
      </c>
      <c r="AJ1571">
        <v>87.458534695203397</v>
      </c>
      <c r="AK1571">
        <v>19.894098381073</v>
      </c>
      <c r="AL1571">
        <v>91.598183620879297</v>
      </c>
      <c r="AM1571">
        <v>84.997235996680701</v>
      </c>
      <c r="AN1571">
        <v>1.0000000260496</v>
      </c>
    </row>
    <row r="1572" spans="1:40" x14ac:dyDescent="0.25">
      <c r="A1572" t="str">
        <f>"20190312160944564"</f>
        <v>20190312160944564</v>
      </c>
      <c r="B1572" t="str">
        <f>"1552378184556876"</f>
        <v>1552378184556876</v>
      </c>
      <c r="C1572" t="s">
        <v>40</v>
      </c>
      <c r="D1572">
        <v>4.4808589999999997</v>
      </c>
      <c r="E1572">
        <v>0.48361739999999998</v>
      </c>
      <c r="F1572" t="s">
        <v>61</v>
      </c>
      <c r="G1572">
        <v>-254.6891</v>
      </c>
      <c r="H1572" s="1">
        <v>9.5854350000000005E-7</v>
      </c>
      <c r="I1572">
        <v>283.91809999999998</v>
      </c>
      <c r="J1572">
        <v>-234.8571</v>
      </c>
      <c r="K1572">
        <v>1.108787</v>
      </c>
      <c r="L1572">
        <v>283.36709999999999</v>
      </c>
      <c r="M1572">
        <v>-0.99986220000000003</v>
      </c>
      <c r="N1572">
        <v>0</v>
      </c>
      <c r="O1572">
        <v>-1.500983E-2</v>
      </c>
      <c r="P1572">
        <v>-0.99692720000000001</v>
      </c>
      <c r="Q1572">
        <v>-3.402239E-2</v>
      </c>
      <c r="R1572">
        <v>7.0558280000000001E-2</v>
      </c>
      <c r="S1572">
        <v>-2.9978180000000001</v>
      </c>
      <c r="T1572">
        <v>-0.16444339999999999</v>
      </c>
      <c r="U1572">
        <v>8.1146239999999994E-2</v>
      </c>
      <c r="V1572">
        <v>8.5476880000000005E-2</v>
      </c>
      <c r="W1572">
        <v>-2.7079659999999998E-2</v>
      </c>
      <c r="X1572">
        <v>0.99597210000000003</v>
      </c>
      <c r="Y1572">
        <v>4.1974570000000003E-2</v>
      </c>
      <c r="Z1572">
        <v>1.9727949999999998E-3</v>
      </c>
      <c r="AA1572">
        <v>0.99911669999999997</v>
      </c>
      <c r="AB1572">
        <v>19</v>
      </c>
      <c r="AC1572">
        <v>-19.831999999999901</v>
      </c>
      <c r="AD1572">
        <v>-1.1087860414565001</v>
      </c>
      <c r="AE1572">
        <v>0.55099999999998694</v>
      </c>
      <c r="AF1572">
        <v>0.84597803159190199</v>
      </c>
      <c r="AG1572">
        <v>-1.1087860414565001</v>
      </c>
      <c r="AH1572">
        <v>19.759777457981102</v>
      </c>
      <c r="AI1572">
        <v>93.208753133002404</v>
      </c>
      <c r="AJ1572">
        <v>87.548485138016403</v>
      </c>
      <c r="AK1572">
        <v>19.808934613062899</v>
      </c>
      <c r="AL1572">
        <v>91.551739896124403</v>
      </c>
      <c r="AM1572">
        <v>85.094748921064493</v>
      </c>
      <c r="AN1572">
        <v>1.00000001448933</v>
      </c>
    </row>
    <row r="1573" spans="1:40" x14ac:dyDescent="0.25">
      <c r="A1573" t="str">
        <f>"20190312160944588"</f>
        <v>20190312160944588</v>
      </c>
      <c r="B1573" t="str">
        <f>"1552378184577373"</f>
        <v>1552378184577373</v>
      </c>
      <c r="C1573" t="s">
        <v>40</v>
      </c>
      <c r="D1573">
        <v>5.7993139999999999</v>
      </c>
      <c r="E1573">
        <v>0.48357830000000002</v>
      </c>
      <c r="F1573" t="s">
        <v>61</v>
      </c>
      <c r="G1573">
        <v>-255.26390000000001</v>
      </c>
      <c r="H1573" s="1">
        <v>1.2644220000000001E-6</v>
      </c>
      <c r="I1573">
        <v>283.91109999999998</v>
      </c>
      <c r="J1573">
        <v>-235.06229999999999</v>
      </c>
      <c r="K1573">
        <v>1.108798</v>
      </c>
      <c r="L1573">
        <v>283.36540000000002</v>
      </c>
      <c r="M1573">
        <v>-0.99987809999999999</v>
      </c>
      <c r="N1573">
        <v>0</v>
      </c>
      <c r="O1573">
        <v>-1.3871090000000001E-2</v>
      </c>
      <c r="P1573">
        <v>-0.99685579999999996</v>
      </c>
      <c r="Q1573">
        <v>-3.4051020000000001E-2</v>
      </c>
      <c r="R1573">
        <v>7.1548479999999998E-2</v>
      </c>
      <c r="S1573">
        <v>-2.9980159999999998</v>
      </c>
      <c r="T1573">
        <v>-0.16289409999999999</v>
      </c>
      <c r="U1573">
        <v>7.9925540000000003E-2</v>
      </c>
      <c r="V1573">
        <v>8.5331669999999998E-2</v>
      </c>
      <c r="W1573">
        <v>-2.703829E-2</v>
      </c>
      <c r="X1573">
        <v>0.99598569999999997</v>
      </c>
      <c r="Y1573">
        <v>4.0433919999999998E-2</v>
      </c>
      <c r="Z1573">
        <v>1.8504820000000001E-3</v>
      </c>
      <c r="AA1573">
        <v>0.99918050000000003</v>
      </c>
      <c r="AB1573">
        <v>19</v>
      </c>
      <c r="AC1573">
        <v>-20.201599999999999</v>
      </c>
      <c r="AD1573">
        <v>-1.108796735578</v>
      </c>
      <c r="AE1573">
        <v>0.545699999999953</v>
      </c>
      <c r="AF1573">
        <v>0.82339421045563699</v>
      </c>
      <c r="AG1573">
        <v>-1.108796735578</v>
      </c>
      <c r="AH1573">
        <v>20.1314840792596</v>
      </c>
      <c r="AI1573">
        <v>93.149908781445802</v>
      </c>
      <c r="AJ1573">
        <v>87.657861079304396</v>
      </c>
      <c r="AK1573">
        <v>20.178802230561701</v>
      </c>
      <c r="AL1573">
        <v>91.549368663817901</v>
      </c>
      <c r="AM1573">
        <v>85.103108054964295</v>
      </c>
      <c r="AN1573">
        <v>1.0000000388178001</v>
      </c>
    </row>
    <row r="1574" spans="1:40" x14ac:dyDescent="0.25">
      <c r="A1574" t="str">
        <f>"20190312160944609"</f>
        <v>20190312160944609</v>
      </c>
      <c r="B1574" t="str">
        <f>"1552378184596893"</f>
        <v>1552378184596893</v>
      </c>
      <c r="C1574" t="s">
        <v>40</v>
      </c>
      <c r="D1574">
        <v>5.9562229999999996</v>
      </c>
      <c r="E1574">
        <v>0.48349969999999998</v>
      </c>
      <c r="F1574" t="s">
        <v>61</v>
      </c>
      <c r="G1574">
        <v>-255.65539999999999</v>
      </c>
      <c r="H1574" s="1">
        <v>1.4727319999999999E-6</v>
      </c>
      <c r="I1574">
        <v>283.93299999999999</v>
      </c>
      <c r="J1574">
        <v>-235.24529999999999</v>
      </c>
      <c r="K1574">
        <v>1.1088020000000001</v>
      </c>
      <c r="L1574">
        <v>283.36399999999998</v>
      </c>
      <c r="M1574">
        <v>-0.99989150000000004</v>
      </c>
      <c r="N1574">
        <v>0</v>
      </c>
      <c r="O1574">
        <v>-1.2856299999999999E-2</v>
      </c>
      <c r="P1574">
        <v>-0.9967762</v>
      </c>
      <c r="Q1574">
        <v>-3.3589830000000001E-2</v>
      </c>
      <c r="R1574">
        <v>7.2865659999999999E-2</v>
      </c>
      <c r="S1574">
        <v>-2.9980009999999999</v>
      </c>
      <c r="T1574">
        <v>-0.16142210000000001</v>
      </c>
      <c r="U1574">
        <v>8.2641599999999996E-2</v>
      </c>
      <c r="V1574">
        <v>8.5637550000000007E-2</v>
      </c>
      <c r="W1574">
        <v>-2.6516939999999999E-2</v>
      </c>
      <c r="X1574">
        <v>0.99597340000000001</v>
      </c>
      <c r="Y1574">
        <v>4.0327590000000003E-2</v>
      </c>
      <c r="Z1574">
        <v>1.776321E-3</v>
      </c>
      <c r="AA1574">
        <v>0.99918490000000004</v>
      </c>
      <c r="AB1574">
        <v>19</v>
      </c>
      <c r="AC1574">
        <v>-20.4101</v>
      </c>
      <c r="AD1574">
        <v>-1.1088005272679999</v>
      </c>
      <c r="AE1574">
        <v>0.56899999999995998</v>
      </c>
      <c r="AF1574">
        <v>0.82891363347991098</v>
      </c>
      <c r="AG1574">
        <v>-1.1088005272679999</v>
      </c>
      <c r="AH1574">
        <v>20.341111137838698</v>
      </c>
      <c r="AI1574">
        <v>93.117541173599193</v>
      </c>
      <c r="AJ1574">
        <v>87.666450506634703</v>
      </c>
      <c r="AK1574">
        <v>20.388166635157301</v>
      </c>
      <c r="AL1574">
        <v>91.519486890600007</v>
      </c>
      <c r="AM1574">
        <v>85.085580069109</v>
      </c>
      <c r="AN1574">
        <v>0.99999997579226196</v>
      </c>
    </row>
    <row r="1575" spans="1:40" x14ac:dyDescent="0.25">
      <c r="A1575" t="str">
        <f>"20190312160944633"</f>
        <v>20190312160944633</v>
      </c>
      <c r="B1575" t="str">
        <f>"1552378184627149"</f>
        <v>1552378184627149</v>
      </c>
      <c r="C1575" t="s">
        <v>40</v>
      </c>
      <c r="D1575">
        <v>5.7434510000000003</v>
      </c>
      <c r="E1575">
        <v>0.4834774</v>
      </c>
      <c r="F1575" t="s">
        <v>61</v>
      </c>
      <c r="G1575">
        <v>-256.56439999999998</v>
      </c>
      <c r="H1575" s="1">
        <v>1.9564320000000001E-6</v>
      </c>
      <c r="I1575">
        <v>283.97489999999999</v>
      </c>
      <c r="J1575">
        <v>-235.45009999999999</v>
      </c>
      <c r="K1575">
        <v>1.1088039999999999</v>
      </c>
      <c r="L1575">
        <v>283.36270000000002</v>
      </c>
      <c r="M1575">
        <v>-0.99990489999999999</v>
      </c>
      <c r="N1575">
        <v>0</v>
      </c>
      <c r="O1575">
        <v>-1.171969E-2</v>
      </c>
      <c r="P1575">
        <v>-0.99665409999999999</v>
      </c>
      <c r="Q1575">
        <v>-3.3443029999999999E-2</v>
      </c>
      <c r="R1575">
        <v>7.4579660000000006E-2</v>
      </c>
      <c r="S1575">
        <v>-2.998154</v>
      </c>
      <c r="T1575">
        <v>-0.15593309999999999</v>
      </c>
      <c r="U1575">
        <v>8.5906979999999994E-2</v>
      </c>
      <c r="V1575">
        <v>8.6217929999999998E-2</v>
      </c>
      <c r="W1575">
        <v>-2.630766E-2</v>
      </c>
      <c r="X1575">
        <v>0.99592890000000001</v>
      </c>
      <c r="Y1575">
        <v>4.0284529999999999E-2</v>
      </c>
      <c r="Z1575">
        <v>1.655704E-3</v>
      </c>
      <c r="AA1575">
        <v>0.99918689999999999</v>
      </c>
      <c r="AB1575">
        <v>19</v>
      </c>
      <c r="AC1575">
        <v>-21.114299999999901</v>
      </c>
      <c r="AD1575">
        <v>-1.1088020435679999</v>
      </c>
      <c r="AE1575">
        <v>0.61219999999997299</v>
      </c>
      <c r="AF1575">
        <v>0.857255432558369</v>
      </c>
      <c r="AG1575">
        <v>-1.1088020435679999</v>
      </c>
      <c r="AH1575">
        <v>21.0476794025301</v>
      </c>
      <c r="AI1575">
        <v>93.013088581335296</v>
      </c>
      <c r="AJ1575">
        <v>87.667677053948196</v>
      </c>
      <c r="AK1575">
        <v>21.094291575688501</v>
      </c>
      <c r="AL1575">
        <v>91.507491809684495</v>
      </c>
      <c r="AM1575">
        <v>85.052219019534704</v>
      </c>
      <c r="AN1575">
        <v>0.99999999914168503</v>
      </c>
    </row>
    <row r="1576" spans="1:40" x14ac:dyDescent="0.25">
      <c r="A1576" t="str">
        <f>"20190312160944654"</f>
        <v>20190312160944654</v>
      </c>
      <c r="B1576" t="str">
        <f>"1552378184646668"</f>
        <v>1552378184646668</v>
      </c>
      <c r="C1576" t="s">
        <v>40</v>
      </c>
      <c r="D1576">
        <v>5.7426779999999997</v>
      </c>
      <c r="E1576">
        <v>0.48349189999999997</v>
      </c>
      <c r="F1576" t="s">
        <v>61</v>
      </c>
      <c r="G1576">
        <v>-257.041</v>
      </c>
      <c r="H1576" s="1">
        <v>2.2100739999999999E-6</v>
      </c>
      <c r="I1576">
        <v>284.01900000000001</v>
      </c>
      <c r="J1576">
        <v>-235.63560000000001</v>
      </c>
      <c r="K1576">
        <v>1.1088020000000001</v>
      </c>
      <c r="L1576">
        <v>283.36169999999998</v>
      </c>
      <c r="M1576">
        <v>-0.99991600000000003</v>
      </c>
      <c r="N1576">
        <v>0</v>
      </c>
      <c r="O1576">
        <v>-1.069082E-2</v>
      </c>
      <c r="P1576">
        <v>-0.99650369999999999</v>
      </c>
      <c r="Q1576">
        <v>-3.3264540000000002E-2</v>
      </c>
      <c r="R1576">
        <v>7.6642650000000007E-2</v>
      </c>
      <c r="S1576">
        <v>-2.9980769999999999</v>
      </c>
      <c r="T1576">
        <v>-0.15396679999999999</v>
      </c>
      <c r="U1576">
        <v>9.1125490000000003E-2</v>
      </c>
      <c r="V1576">
        <v>8.725484E-2</v>
      </c>
      <c r="W1576">
        <v>-2.6078319999999999E-2</v>
      </c>
      <c r="X1576">
        <v>0.99584459999999997</v>
      </c>
      <c r="Y1576">
        <v>4.0996989999999997E-2</v>
      </c>
      <c r="Z1576">
        <v>1.6003390000000001E-3</v>
      </c>
      <c r="AA1576">
        <v>0.99915799999999999</v>
      </c>
      <c r="AB1576">
        <v>20</v>
      </c>
      <c r="AC1576">
        <v>-21.405399999999901</v>
      </c>
      <c r="AD1576">
        <v>-1.108799789926</v>
      </c>
      <c r="AE1576">
        <v>0.65730000000001998</v>
      </c>
      <c r="AF1576">
        <v>0.88374080218189199</v>
      </c>
      <c r="AG1576">
        <v>-1.108799789926</v>
      </c>
      <c r="AH1576">
        <v>21.339943129631099</v>
      </c>
      <c r="AI1576">
        <v>92.971807815057801</v>
      </c>
      <c r="AJ1576">
        <v>87.628592469913102</v>
      </c>
      <c r="AK1576">
        <v>21.386996225638399</v>
      </c>
      <c r="AL1576">
        <v>91.494347119351701</v>
      </c>
      <c r="AM1576">
        <v>84.992592962809297</v>
      </c>
      <c r="AN1576">
        <v>0.99999997661330298</v>
      </c>
    </row>
    <row r="1577" spans="1:40" x14ac:dyDescent="0.25">
      <c r="A1577" t="str">
        <f>"20190312160944674"</f>
        <v>20190312160944674</v>
      </c>
      <c r="B1577" t="str">
        <f>"1552378184667165"</f>
        <v>1552378184667165</v>
      </c>
      <c r="C1577" t="s">
        <v>40</v>
      </c>
      <c r="D1577">
        <v>5.7064940000000002</v>
      </c>
      <c r="E1577">
        <v>0.48343449999999999</v>
      </c>
      <c r="F1577" t="s">
        <v>61</v>
      </c>
      <c r="G1577">
        <v>-257.50839999999999</v>
      </c>
      <c r="H1577" s="1">
        <v>2.4588129999999998E-6</v>
      </c>
      <c r="I1577">
        <v>284.07350000000002</v>
      </c>
      <c r="J1577">
        <v>-235.82560000000001</v>
      </c>
      <c r="K1577">
        <v>1.1088009999999999</v>
      </c>
      <c r="L1577">
        <v>283.36090000000002</v>
      </c>
      <c r="M1577">
        <v>-0.99992630000000005</v>
      </c>
      <c r="N1577">
        <v>0</v>
      </c>
      <c r="O1577">
        <v>-9.6365459999999993E-3</v>
      </c>
      <c r="P1577">
        <v>-0.99634529999999999</v>
      </c>
      <c r="Q1577">
        <v>-3.2832449999999999E-2</v>
      </c>
      <c r="R1577">
        <v>7.885665E-2</v>
      </c>
      <c r="S1577">
        <v>-2.9979399999999998</v>
      </c>
      <c r="T1577">
        <v>-0.15197439999999901</v>
      </c>
      <c r="U1577">
        <v>9.7564700000000004E-2</v>
      </c>
      <c r="V1577">
        <v>8.8417709999999997E-2</v>
      </c>
      <c r="W1577">
        <v>-2.5598940000000001E-2</v>
      </c>
      <c r="X1577">
        <v>0.99575449999999999</v>
      </c>
      <c r="Y1577">
        <v>4.2090540000000003E-2</v>
      </c>
      <c r="Z1577">
        <v>1.55397E-3</v>
      </c>
      <c r="AA1577">
        <v>0.99911260000000002</v>
      </c>
      <c r="AB1577">
        <v>20</v>
      </c>
      <c r="AC1577">
        <v>-21.682799999999901</v>
      </c>
      <c r="AD1577">
        <v>-1.1087985411869901</v>
      </c>
      <c r="AE1577">
        <v>0.712600000000009</v>
      </c>
      <c r="AF1577">
        <v>0.91911898845779605</v>
      </c>
      <c r="AG1577">
        <v>-1.1087985411869901</v>
      </c>
      <c r="AH1577">
        <v>21.618454329502001</v>
      </c>
      <c r="AI1577">
        <v>92.933450637238707</v>
      </c>
      <c r="AJ1577">
        <v>87.565508492134597</v>
      </c>
      <c r="AK1577">
        <v>21.666374443285299</v>
      </c>
      <c r="AL1577">
        <v>91.466871444247403</v>
      </c>
      <c r="AM1577">
        <v>84.925747195372395</v>
      </c>
      <c r="AN1577">
        <v>1.0000000107205</v>
      </c>
    </row>
    <row r="1578" spans="1:40" x14ac:dyDescent="0.25">
      <c r="A1578" t="str">
        <f>"20190312160944697"</f>
        <v>20190312160944697</v>
      </c>
      <c r="B1578" t="str">
        <f>"1552378184686688"</f>
        <v>1552378184686688</v>
      </c>
      <c r="C1578" t="s">
        <v>40</v>
      </c>
      <c r="D1578">
        <v>5.690264</v>
      </c>
      <c r="E1578">
        <v>0.48342089999999999</v>
      </c>
      <c r="F1578" t="s">
        <v>61</v>
      </c>
      <c r="G1578">
        <v>-258.13510000000002</v>
      </c>
      <c r="H1578" s="1">
        <v>2.7923170000000002E-6</v>
      </c>
      <c r="I1578">
        <v>284.13260000000002</v>
      </c>
      <c r="J1578">
        <v>-236.024</v>
      </c>
      <c r="K1578">
        <v>1.1087990000000001</v>
      </c>
      <c r="L1578">
        <v>283.3603</v>
      </c>
      <c r="M1578">
        <v>-0.99993600000000005</v>
      </c>
      <c r="N1578">
        <v>0</v>
      </c>
      <c r="O1578">
        <v>-8.5363709999999992E-3</v>
      </c>
      <c r="P1578">
        <v>-0.99618300000000004</v>
      </c>
      <c r="Q1578">
        <v>-3.2236210000000001E-2</v>
      </c>
      <c r="R1578">
        <v>8.1121330000000005E-2</v>
      </c>
      <c r="S1578">
        <v>-2.9978790000000002</v>
      </c>
      <c r="T1578">
        <v>-0.14899670000000001</v>
      </c>
      <c r="U1578">
        <v>0.1036987</v>
      </c>
      <c r="V1578">
        <v>8.9586460000000007E-2</v>
      </c>
      <c r="W1578">
        <v>-2.495789E-2</v>
      </c>
      <c r="X1578">
        <v>0.9956663</v>
      </c>
      <c r="Y1578">
        <v>4.3036680000000001E-2</v>
      </c>
      <c r="Z1578">
        <v>1.4923969999999999E-3</v>
      </c>
      <c r="AA1578">
        <v>0.99907239999999997</v>
      </c>
      <c r="AB1578">
        <v>20</v>
      </c>
      <c r="AC1578">
        <v>-22.1111</v>
      </c>
      <c r="AD1578">
        <v>-1.10879620768299</v>
      </c>
      <c r="AE1578">
        <v>0.77230000000002896</v>
      </c>
      <c r="AF1578">
        <v>0.95861793461464395</v>
      </c>
      <c r="AG1578">
        <v>-1.10879620768299</v>
      </c>
      <c r="AH1578">
        <v>22.048324578785099</v>
      </c>
      <c r="AI1578">
        <v>92.876230271322299</v>
      </c>
      <c r="AJ1578">
        <v>87.510459717719101</v>
      </c>
      <c r="AK1578">
        <v>22.096990611985898</v>
      </c>
      <c r="AL1578">
        <v>91.4301302513324</v>
      </c>
      <c r="AM1578">
        <v>84.858577290143998</v>
      </c>
      <c r="AN1578">
        <v>1.0000000055221301</v>
      </c>
    </row>
    <row r="1579" spans="1:40" x14ac:dyDescent="0.25">
      <c r="A1579" t="str">
        <f>"20190312160944720"</f>
        <v>20190312160944720</v>
      </c>
      <c r="B1579" t="str">
        <f>"1552378184716940"</f>
        <v>1552378184716940</v>
      </c>
      <c r="C1579" t="s">
        <v>40</v>
      </c>
      <c r="D1579">
        <v>5.6634979999999997</v>
      </c>
      <c r="E1579">
        <v>0.48326999999999998</v>
      </c>
      <c r="F1579" t="s">
        <v>61</v>
      </c>
      <c r="G1579">
        <v>-258.94240000000002</v>
      </c>
      <c r="H1579" s="1">
        <v>3.2219180000000001E-6</v>
      </c>
      <c r="I1579">
        <v>284.20580000000001</v>
      </c>
      <c r="J1579">
        <v>-236.2285</v>
      </c>
      <c r="K1579">
        <v>1.1087959999999999</v>
      </c>
      <c r="L1579">
        <v>283.35989999999998</v>
      </c>
      <c r="M1579">
        <v>-0.99994459999999996</v>
      </c>
      <c r="N1579">
        <v>0</v>
      </c>
      <c r="O1579">
        <v>-7.4024519999999899E-3</v>
      </c>
      <c r="P1579">
        <v>-0.99605540000000004</v>
      </c>
      <c r="Q1579">
        <v>-3.1848349999999997E-2</v>
      </c>
      <c r="R1579">
        <v>8.2821889999999995E-2</v>
      </c>
      <c r="S1579">
        <v>-2.9978030000000002</v>
      </c>
      <c r="T1579">
        <v>-0.145034</v>
      </c>
      <c r="U1579">
        <v>0.11059570000000001</v>
      </c>
      <c r="V1579">
        <v>9.0157349999999997E-2</v>
      </c>
      <c r="W1579">
        <v>-2.452733E-2</v>
      </c>
      <c r="X1579">
        <v>0.99562539999999999</v>
      </c>
      <c r="Y1579">
        <v>4.4203510000000001E-2</v>
      </c>
      <c r="Z1579">
        <v>1.426117E-3</v>
      </c>
      <c r="AA1579">
        <v>0.99902150000000001</v>
      </c>
      <c r="AB1579">
        <v>20</v>
      </c>
      <c r="AC1579">
        <v>-22.713899999999999</v>
      </c>
      <c r="AD1579">
        <v>-1.1087927780819999</v>
      </c>
      <c r="AE1579">
        <v>0.84590000000002796</v>
      </c>
      <c r="AF1579">
        <v>1.0116127874873</v>
      </c>
      <c r="AG1579">
        <v>-1.1087927780819999</v>
      </c>
      <c r="AH1579">
        <v>22.653108965418799</v>
      </c>
      <c r="AI1579">
        <v>92.799412026271298</v>
      </c>
      <c r="AJ1579">
        <v>87.443059128665993</v>
      </c>
      <c r="AK1579">
        <v>22.702777972214601</v>
      </c>
      <c r="AL1579">
        <v>91.405453521518794</v>
      </c>
      <c r="AM1579">
        <v>84.825779435517603</v>
      </c>
      <c r="AN1579">
        <v>0.99999993740055304</v>
      </c>
    </row>
    <row r="1580" spans="1:40" x14ac:dyDescent="0.25">
      <c r="A1580" t="str">
        <f>"20190312160944747"</f>
        <v>20190312160944747</v>
      </c>
      <c r="B1580" t="str">
        <f>"1552378184737437"</f>
        <v>1552378184737437</v>
      </c>
      <c r="C1580" t="s">
        <v>40</v>
      </c>
      <c r="D1580">
        <v>5.6209030000000002</v>
      </c>
      <c r="E1580">
        <v>0.48328399999999999</v>
      </c>
      <c r="F1580" t="s">
        <v>61</v>
      </c>
      <c r="G1580">
        <v>-260.1327</v>
      </c>
      <c r="H1580" s="1">
        <v>-1.4661889999999999E-6</v>
      </c>
      <c r="I1580">
        <v>284.27289999999999</v>
      </c>
      <c r="J1580">
        <v>-236.4564</v>
      </c>
      <c r="K1580">
        <v>1.1087910000000001</v>
      </c>
      <c r="L1580">
        <v>283.35969999999998</v>
      </c>
      <c r="M1580">
        <v>-0.99995290000000003</v>
      </c>
      <c r="N1580">
        <v>0</v>
      </c>
      <c r="O1580">
        <v>-6.139785E-3</v>
      </c>
      <c r="P1580">
        <v>-0.99587879999999995</v>
      </c>
      <c r="Q1580">
        <v>-3.2011940000000003E-2</v>
      </c>
      <c r="R1580">
        <v>8.4858450000000002E-2</v>
      </c>
      <c r="S1580">
        <v>-2.9978940000000001</v>
      </c>
      <c r="T1580">
        <v>-0.1390575</v>
      </c>
      <c r="U1580">
        <v>0.11450200000000001</v>
      </c>
      <c r="V1580">
        <v>9.0935450000000001E-2</v>
      </c>
      <c r="W1580">
        <v>-2.4649089999999999E-2</v>
      </c>
      <c r="X1580">
        <v>0.99555170000000004</v>
      </c>
      <c r="Y1580">
        <v>4.4246969999999997E-2</v>
      </c>
      <c r="Z1580">
        <v>1.309827E-3</v>
      </c>
      <c r="AA1580">
        <v>0.99901969999999995</v>
      </c>
      <c r="AB1580">
        <v>20</v>
      </c>
      <c r="AC1580">
        <v>-23.676300000000001</v>
      </c>
      <c r="AD1580">
        <v>-1.1087924661890001</v>
      </c>
      <c r="AE1580">
        <v>0.913200000000017</v>
      </c>
      <c r="AF1580">
        <v>1.0562412064142801</v>
      </c>
      <c r="AG1580">
        <v>-1.1087924661890001</v>
      </c>
      <c r="AH1580">
        <v>23.618524137612901</v>
      </c>
      <c r="AI1580">
        <v>92.685147712058196</v>
      </c>
      <c r="AJ1580">
        <v>87.439388393292006</v>
      </c>
      <c r="AK1580">
        <v>23.668116711268102</v>
      </c>
      <c r="AL1580">
        <v>91.412431862583205</v>
      </c>
      <c r="AM1580">
        <v>84.780984820884797</v>
      </c>
      <c r="AN1580">
        <v>1.0000000105387099</v>
      </c>
    </row>
    <row r="1581" spans="1:40" x14ac:dyDescent="0.25">
      <c r="A1581" t="str">
        <f>"20190312160944765"</f>
        <v>20190312160944765</v>
      </c>
      <c r="B1581" t="str">
        <f>"1552378184756957"</f>
        <v>1552378184756957</v>
      </c>
      <c r="C1581" t="s">
        <v>40</v>
      </c>
      <c r="D1581">
        <v>5.714594</v>
      </c>
      <c r="E1581">
        <v>0.48324299999999998</v>
      </c>
      <c r="F1581" t="s">
        <v>61</v>
      </c>
      <c r="G1581">
        <v>-260.56959999999998</v>
      </c>
      <c r="H1581" s="1">
        <v>-1.2336529999999999E-6</v>
      </c>
      <c r="I1581">
        <v>284.33030000000002</v>
      </c>
      <c r="J1581">
        <v>-236.6275</v>
      </c>
      <c r="K1581">
        <v>1.1087929999999999</v>
      </c>
      <c r="L1581">
        <v>283.35969999999998</v>
      </c>
      <c r="M1581">
        <v>-0.99995809999999996</v>
      </c>
      <c r="N1581">
        <v>0</v>
      </c>
      <c r="O1581">
        <v>-5.1926309999999996E-3</v>
      </c>
      <c r="P1581">
        <v>-0.99573940000000005</v>
      </c>
      <c r="Q1581">
        <v>-3.2018400000000002E-2</v>
      </c>
      <c r="R1581">
        <v>8.6475300000000005E-2</v>
      </c>
      <c r="S1581">
        <v>-2.997681</v>
      </c>
      <c r="T1581">
        <v>-0.1378412</v>
      </c>
      <c r="U1581">
        <v>0.1206665</v>
      </c>
      <c r="V1581">
        <v>9.1608410000000001E-2</v>
      </c>
      <c r="W1581">
        <v>-2.462723E-2</v>
      </c>
      <c r="X1581">
        <v>0.9954906</v>
      </c>
      <c r="Y1581">
        <v>4.535542E-2</v>
      </c>
      <c r="Z1581">
        <v>1.280369E-3</v>
      </c>
      <c r="AA1581">
        <v>0.99897009999999997</v>
      </c>
      <c r="AB1581">
        <v>20</v>
      </c>
      <c r="AC1581">
        <v>-23.9420999999999</v>
      </c>
      <c r="AD1581">
        <v>-1.1087942336529999</v>
      </c>
      <c r="AE1581">
        <v>0.97060000000004698</v>
      </c>
      <c r="AF1581">
        <v>1.0925734812621</v>
      </c>
      <c r="AG1581">
        <v>-1.1087942336529999</v>
      </c>
      <c r="AH1581">
        <v>23.885592427786399</v>
      </c>
      <c r="AI1581">
        <v>92.655049919230805</v>
      </c>
      <c r="AJ1581">
        <v>87.381005120747105</v>
      </c>
      <c r="AK1581">
        <v>23.936262596547198</v>
      </c>
      <c r="AL1581">
        <v>91.411178915475105</v>
      </c>
      <c r="AM1581">
        <v>84.742256715954397</v>
      </c>
      <c r="AN1581">
        <v>1.00000006796427</v>
      </c>
    </row>
    <row r="1582" spans="1:40" x14ac:dyDescent="0.25">
      <c r="A1582" t="str">
        <f>"20190312160944811"</f>
        <v>20190312160944811</v>
      </c>
      <c r="B1582" t="str">
        <f>"1552378184806733"</f>
        <v>1552378184806733</v>
      </c>
      <c r="C1582" t="s">
        <v>40</v>
      </c>
      <c r="D1582">
        <v>5.6006109999999998</v>
      </c>
      <c r="E1582">
        <v>0.48318080000000002</v>
      </c>
      <c r="F1582" t="s">
        <v>61</v>
      </c>
      <c r="G1582">
        <v>-260.92619999999999</v>
      </c>
      <c r="H1582" s="1">
        <v>-1.0438920000000001E-6</v>
      </c>
      <c r="I1582">
        <v>284.375</v>
      </c>
      <c r="J1582">
        <v>-237.03870000000001</v>
      </c>
      <c r="K1582">
        <v>1.1087880000000001</v>
      </c>
      <c r="L1582">
        <v>283.3605</v>
      </c>
      <c r="M1582">
        <v>-0.99996669999999999</v>
      </c>
      <c r="N1582">
        <v>0</v>
      </c>
      <c r="O1582">
        <v>-2.9228219999999998E-3</v>
      </c>
      <c r="P1582">
        <v>-0.99552149999999995</v>
      </c>
      <c r="Q1582">
        <v>-3.1755079999999998E-2</v>
      </c>
      <c r="R1582">
        <v>8.9044940000000003E-2</v>
      </c>
      <c r="S1582">
        <v>-2.9975589999999999</v>
      </c>
      <c r="T1582">
        <v>-0.13678370000000001</v>
      </c>
      <c r="U1582">
        <v>0.1252441</v>
      </c>
      <c r="V1582">
        <v>9.1918150000000004E-2</v>
      </c>
      <c r="W1582">
        <v>-2.4302580000000001E-2</v>
      </c>
      <c r="X1582">
        <v>0.99546999999999997</v>
      </c>
      <c r="Y1582">
        <v>4.4616429999999999E-2</v>
      </c>
      <c r="Z1582">
        <v>1.150241E-3</v>
      </c>
      <c r="AA1582">
        <v>0.99900350000000004</v>
      </c>
      <c r="AB1582">
        <v>20</v>
      </c>
      <c r="AC1582">
        <v>-23.8874999999999</v>
      </c>
      <c r="AD1582">
        <v>-1.1087890438919901</v>
      </c>
      <c r="AE1582">
        <v>1.01449999999999</v>
      </c>
      <c r="AF1582">
        <v>1.08198960085316</v>
      </c>
      <c r="AG1582">
        <v>-1.1087890438919901</v>
      </c>
      <c r="AH1582">
        <v>23.833175370009801</v>
      </c>
      <c r="AI1582">
        <v>92.660909938293202</v>
      </c>
      <c r="AJ1582">
        <v>87.4006442987843</v>
      </c>
      <c r="AK1582">
        <v>23.883474681416299</v>
      </c>
      <c r="AL1582">
        <v>91.392572309817496</v>
      </c>
      <c r="AM1582">
        <v>84.724471179817499</v>
      </c>
      <c r="AN1582">
        <v>1.00000004129703</v>
      </c>
    </row>
    <row r="1583" spans="1:40" x14ac:dyDescent="0.25">
      <c r="A1583" t="str">
        <f>"20190312160944830"</f>
        <v>20190312160944830</v>
      </c>
      <c r="B1583" t="str">
        <f>"1552378184827229"</f>
        <v>1552378184827229</v>
      </c>
      <c r="C1583" t="s">
        <v>40</v>
      </c>
      <c r="D1583">
        <v>5.644774</v>
      </c>
      <c r="E1583">
        <v>0.48316219999999999</v>
      </c>
      <c r="F1583" t="s">
        <v>61</v>
      </c>
      <c r="G1583">
        <v>-261.98939999999999</v>
      </c>
      <c r="H1583" s="1">
        <v>-4.7812919999999996E-7</v>
      </c>
      <c r="I1583">
        <v>284.464</v>
      </c>
      <c r="J1583">
        <v>-237.215</v>
      </c>
      <c r="K1583">
        <v>1.1087849999999999</v>
      </c>
      <c r="L1583">
        <v>283.36110000000002</v>
      </c>
      <c r="M1583">
        <v>-0.99996879999999999</v>
      </c>
      <c r="N1583">
        <v>0</v>
      </c>
      <c r="O1583">
        <v>-1.9509740000000001E-3</v>
      </c>
      <c r="P1583">
        <v>-0.99551480000000003</v>
      </c>
      <c r="Q1583">
        <v>-3.1376359999999999E-2</v>
      </c>
      <c r="R1583">
        <v>8.9251419999999998E-2</v>
      </c>
      <c r="S1583">
        <v>-2.9974059999999998</v>
      </c>
      <c r="T1583">
        <v>-0.1332023</v>
      </c>
      <c r="U1583">
        <v>0.1325684</v>
      </c>
      <c r="V1583">
        <v>9.1157760000000004E-2</v>
      </c>
      <c r="W1583">
        <v>-2.3898849999999999E-2</v>
      </c>
      <c r="X1583">
        <v>0.99554969999999998</v>
      </c>
      <c r="Y1583">
        <v>4.6086229999999999E-2</v>
      </c>
      <c r="Z1583">
        <v>1.109631E-3</v>
      </c>
      <c r="AA1583">
        <v>0.99893679999999996</v>
      </c>
      <c r="AB1583">
        <v>20</v>
      </c>
      <c r="AC1583">
        <v>-24.774399999999901</v>
      </c>
      <c r="AD1583">
        <v>-1.1087854781291999</v>
      </c>
      <c r="AE1583">
        <v>1.10289999999997</v>
      </c>
      <c r="AF1583">
        <v>1.1489367174410401</v>
      </c>
      <c r="AG1583">
        <v>-1.1087854781291999</v>
      </c>
      <c r="AH1583">
        <v>24.7227783861365</v>
      </c>
      <c r="AI1583">
        <v>92.565157953532207</v>
      </c>
      <c r="AJ1583">
        <v>87.339219152300103</v>
      </c>
      <c r="AK1583">
        <v>24.7742857000401</v>
      </c>
      <c r="AL1583">
        <v>91.369433554424603</v>
      </c>
      <c r="AM1583">
        <v>84.768286152071198</v>
      </c>
      <c r="AN1583">
        <v>1.00000004870481</v>
      </c>
    </row>
    <row r="1584" spans="1:40" x14ac:dyDescent="0.25">
      <c r="A1584" t="str">
        <f>"20190312160944853"</f>
        <v>20190312160944853</v>
      </c>
      <c r="B1584" t="str">
        <f>"1552378184846749"</f>
        <v>1552378184846749</v>
      </c>
      <c r="C1584" t="s">
        <v>40</v>
      </c>
      <c r="D1584">
        <v>5.6361520000000001</v>
      </c>
      <c r="E1584">
        <v>0.48314849999999998</v>
      </c>
      <c r="F1584" t="s">
        <v>61</v>
      </c>
      <c r="G1584">
        <v>-262.50069999999999</v>
      </c>
      <c r="H1584" s="1">
        <v>-2.0604370000000001E-7</v>
      </c>
      <c r="I1584">
        <v>284.48349999999999</v>
      </c>
      <c r="J1584">
        <v>-237.41980000000001</v>
      </c>
      <c r="K1584">
        <v>1.1087720000000001</v>
      </c>
      <c r="L1584">
        <v>283.36200000000002</v>
      </c>
      <c r="M1584">
        <v>-0.99997029999999998</v>
      </c>
      <c r="N1584">
        <v>0</v>
      </c>
      <c r="O1584">
        <v>-8.2475539999999996E-4</v>
      </c>
      <c r="P1584">
        <v>-0.99553530000000001</v>
      </c>
      <c r="Q1584">
        <v>-3.084638E-2</v>
      </c>
      <c r="R1584">
        <v>8.9208099999999999E-2</v>
      </c>
      <c r="S1584">
        <v>-2.9974210000000001</v>
      </c>
      <c r="T1584">
        <v>-0.1314379</v>
      </c>
      <c r="U1584">
        <v>0.1330566</v>
      </c>
      <c r="V1584">
        <v>8.9994039999999997E-2</v>
      </c>
      <c r="W1584">
        <v>-2.3341299999999999E-2</v>
      </c>
      <c r="X1584">
        <v>0.99566880000000002</v>
      </c>
      <c r="Y1584">
        <v>4.5126579999999999E-2</v>
      </c>
      <c r="Z1584">
        <v>1.0245779999999999E-3</v>
      </c>
      <c r="AA1584">
        <v>0.9989808</v>
      </c>
      <c r="AB1584">
        <v>20</v>
      </c>
      <c r="AC1584">
        <v>-25.0808999999999</v>
      </c>
      <c r="AD1584">
        <v>-1.1087722060437</v>
      </c>
      <c r="AE1584">
        <v>1.12149999999996</v>
      </c>
      <c r="AF1584">
        <v>1.1399624137736999</v>
      </c>
      <c r="AG1584">
        <v>-1.1087722060437</v>
      </c>
      <c r="AH1584">
        <v>25.031144918433899</v>
      </c>
      <c r="AI1584">
        <v>92.533676270829602</v>
      </c>
      <c r="AJ1584">
        <v>87.392451050766098</v>
      </c>
      <c r="AK1584">
        <v>25.081608920429201</v>
      </c>
      <c r="AL1584">
        <v>91.337479375096095</v>
      </c>
      <c r="AM1584">
        <v>84.8353251366199</v>
      </c>
      <c r="AN1584">
        <v>1.00000005140732</v>
      </c>
    </row>
    <row r="1585" spans="1:40" x14ac:dyDescent="0.25">
      <c r="A1585" t="str">
        <f>"20190312160944877"</f>
        <v>20190312160944877</v>
      </c>
      <c r="B1585" t="str">
        <f>"1552378184867244"</f>
        <v>1552378184867244</v>
      </c>
      <c r="C1585" t="s">
        <v>40</v>
      </c>
      <c r="D1585">
        <v>5.6887449999999999</v>
      </c>
      <c r="E1585">
        <v>0.48311009999999999</v>
      </c>
      <c r="F1585" t="s">
        <v>61</v>
      </c>
      <c r="G1585">
        <v>-263.23360000000002</v>
      </c>
      <c r="H1585" s="1">
        <v>1.839511E-7</v>
      </c>
      <c r="I1585">
        <v>284.50439999999998</v>
      </c>
      <c r="J1585">
        <v>-237.63759999999999</v>
      </c>
      <c r="K1585">
        <v>1.10877</v>
      </c>
      <c r="L1585">
        <v>283.36320000000001</v>
      </c>
      <c r="M1585">
        <v>-0.99997040000000004</v>
      </c>
      <c r="N1585">
        <v>0</v>
      </c>
      <c r="O1585">
        <v>3.687497E-4</v>
      </c>
      <c r="P1585">
        <v>-0.99553040000000004</v>
      </c>
      <c r="Q1585">
        <v>-3.0697180000000001E-2</v>
      </c>
      <c r="R1585">
        <v>8.9314480000000002E-2</v>
      </c>
      <c r="S1585">
        <v>-2.9975740000000002</v>
      </c>
      <c r="T1585">
        <v>-0.1287538</v>
      </c>
      <c r="U1585">
        <v>0.1326599</v>
      </c>
      <c r="V1585">
        <v>8.8912329999999998E-2</v>
      </c>
      <c r="W1585">
        <v>-2.3165129999999999E-2</v>
      </c>
      <c r="X1585">
        <v>0.99577000000000004</v>
      </c>
      <c r="Y1585">
        <v>4.380411E-2</v>
      </c>
      <c r="Z1585">
        <v>9.2403470000000003E-4</v>
      </c>
      <c r="AA1585">
        <v>0.99903969999999997</v>
      </c>
      <c r="AB1585">
        <v>20</v>
      </c>
      <c r="AC1585">
        <v>-25.596</v>
      </c>
      <c r="AD1585">
        <v>-1.1087698160488999</v>
      </c>
      <c r="AE1585">
        <v>1.14119999999996</v>
      </c>
      <c r="AF1585">
        <v>1.1296456004003701</v>
      </c>
      <c r="AG1585">
        <v>-1.1087698160488999</v>
      </c>
      <c r="AH1585">
        <v>25.548573402326799</v>
      </c>
      <c r="AI1585">
        <v>92.482569175103393</v>
      </c>
      <c r="AJ1585">
        <v>87.468281504834195</v>
      </c>
      <c r="AK1585">
        <v>25.597559895067501</v>
      </c>
      <c r="AL1585">
        <v>91.327382970400393</v>
      </c>
      <c r="AM1585">
        <v>84.897589612303406</v>
      </c>
      <c r="AN1585">
        <v>0.99999995928697205</v>
      </c>
    </row>
    <row r="1586" spans="1:40" x14ac:dyDescent="0.25">
      <c r="A1586" t="str">
        <f>"20190312160944899"</f>
        <v>20190312160944899</v>
      </c>
      <c r="B1586" t="str">
        <f>"1552378184886765"</f>
        <v>1552378184886765</v>
      </c>
      <c r="C1586" t="s">
        <v>40</v>
      </c>
      <c r="D1586">
        <v>5.6802539999999997</v>
      </c>
      <c r="E1586">
        <v>0.48321380000000003</v>
      </c>
      <c r="F1586" t="s">
        <v>61</v>
      </c>
      <c r="G1586">
        <v>-263.7713</v>
      </c>
      <c r="H1586" s="1">
        <v>4.7009720000000001E-7</v>
      </c>
      <c r="I1586">
        <v>284.52260000000001</v>
      </c>
      <c r="J1586">
        <v>-237.8409</v>
      </c>
      <c r="K1586">
        <v>1.1087689999999999</v>
      </c>
      <c r="L1586">
        <v>283.3646</v>
      </c>
      <c r="M1586">
        <v>-0.99996910000000006</v>
      </c>
      <c r="N1586">
        <v>0</v>
      </c>
      <c r="O1586">
        <v>1.4781550000000001E-3</v>
      </c>
      <c r="P1586">
        <v>-0.99549900000000002</v>
      </c>
      <c r="Q1586">
        <v>-3.0675109999999998E-2</v>
      </c>
      <c r="R1586">
        <v>8.967E-2</v>
      </c>
      <c r="S1586">
        <v>-2.9976500000000001</v>
      </c>
      <c r="T1586">
        <v>-0.1271806</v>
      </c>
      <c r="U1586">
        <v>0.13299559999999999</v>
      </c>
      <c r="V1586">
        <v>8.8163340000000007E-2</v>
      </c>
      <c r="W1586">
        <v>-2.3120040000000001E-2</v>
      </c>
      <c r="X1586">
        <v>0.99583770000000005</v>
      </c>
      <c r="Y1586">
        <v>4.2809119999999999E-2</v>
      </c>
      <c r="Z1586">
        <v>8.4461659999999995E-4</v>
      </c>
      <c r="AA1586">
        <v>0.9990829</v>
      </c>
      <c r="AB1586">
        <v>20</v>
      </c>
      <c r="AC1586">
        <v>-25.930399999999899</v>
      </c>
      <c r="AD1586">
        <v>-1.1087685299028001</v>
      </c>
      <c r="AE1586">
        <v>1.1580000000000099</v>
      </c>
      <c r="AF1586">
        <v>1.11762907309143</v>
      </c>
      <c r="AG1586">
        <v>-1.1087685299028001</v>
      </c>
      <c r="AH1586">
        <v>25.884850618788001</v>
      </c>
      <c r="AI1586">
        <v>92.450465031026297</v>
      </c>
      <c r="AJ1586">
        <v>87.527678190279104</v>
      </c>
      <c r="AK1586">
        <v>25.932681194872401</v>
      </c>
      <c r="AL1586">
        <v>91.324798734020405</v>
      </c>
      <c r="AM1586">
        <v>84.940690025080698</v>
      </c>
      <c r="AN1586">
        <v>1.00000001775542</v>
      </c>
    </row>
    <row r="1587" spans="1:40" x14ac:dyDescent="0.25">
      <c r="A1587" t="str">
        <f>"20190312160944921"</f>
        <v>20190312160944921</v>
      </c>
      <c r="B1587" t="str">
        <f>"1552378184917021"</f>
        <v>1552378184917021</v>
      </c>
      <c r="C1587" t="s">
        <v>40</v>
      </c>
      <c r="D1587">
        <v>5.7353230000000002</v>
      </c>
      <c r="E1587">
        <v>0.48310619999999999</v>
      </c>
      <c r="F1587" t="s">
        <v>61</v>
      </c>
      <c r="G1587">
        <v>-263.80250000000001</v>
      </c>
      <c r="H1587" s="1">
        <v>4.8673070000000002E-7</v>
      </c>
      <c r="I1587">
        <v>284.53179999999998</v>
      </c>
      <c r="J1587">
        <v>-238.047</v>
      </c>
      <c r="K1587">
        <v>1.1087720000000001</v>
      </c>
      <c r="L1587">
        <v>283.36610000000002</v>
      </c>
      <c r="M1587">
        <v>-0.99996669999999999</v>
      </c>
      <c r="N1587">
        <v>0</v>
      </c>
      <c r="O1587">
        <v>2.596494E-3</v>
      </c>
      <c r="P1587">
        <v>-0.99542920000000001</v>
      </c>
      <c r="Q1587">
        <v>-3.0401419999999998E-2</v>
      </c>
      <c r="R1587">
        <v>9.0536169999999999E-2</v>
      </c>
      <c r="S1587">
        <v>-2.9974820000000002</v>
      </c>
      <c r="T1587">
        <v>-0.12801650000000001</v>
      </c>
      <c r="U1587">
        <v>0.13476560000000001</v>
      </c>
      <c r="V1587">
        <v>8.7916659999999994E-2</v>
      </c>
      <c r="W1587">
        <v>-2.282532E-2</v>
      </c>
      <c r="X1587">
        <v>0.99586629999999998</v>
      </c>
      <c r="Y1587">
        <v>4.228403E-2</v>
      </c>
      <c r="Z1587">
        <v>7.9128059999999999E-4</v>
      </c>
      <c r="AA1587">
        <v>0.99910529999999997</v>
      </c>
      <c r="AB1587">
        <v>20</v>
      </c>
      <c r="AC1587">
        <v>-25.755500000000001</v>
      </c>
      <c r="AD1587">
        <v>-1.1087715132692999</v>
      </c>
      <c r="AE1587">
        <v>1.16569999999995</v>
      </c>
      <c r="AF1587">
        <v>1.0967915465754701</v>
      </c>
      <c r="AG1587">
        <v>-1.1087715132692999</v>
      </c>
      <c r="AH1587">
        <v>25.710887595020498</v>
      </c>
      <c r="AI1587">
        <v>92.467086102842501</v>
      </c>
      <c r="AJ1587">
        <v>87.557320838027294</v>
      </c>
      <c r="AK1587">
        <v>25.758145641506399</v>
      </c>
      <c r="AL1587">
        <v>91.307908073516302</v>
      </c>
      <c r="AM1587">
        <v>84.954916897046999</v>
      </c>
      <c r="AN1587">
        <v>1.0000000109071701</v>
      </c>
    </row>
    <row r="1588" spans="1:40" x14ac:dyDescent="0.25">
      <c r="A1588" t="str">
        <f>"20190312160944943"</f>
        <v>20190312160944943</v>
      </c>
      <c r="B1588" t="str">
        <f>"1552378184937517"</f>
        <v>1552378184937517</v>
      </c>
      <c r="C1588" t="s">
        <v>40</v>
      </c>
      <c r="D1588">
        <v>5.738283</v>
      </c>
      <c r="E1588">
        <v>0.483068</v>
      </c>
      <c r="F1588" t="s">
        <v>61</v>
      </c>
      <c r="G1588">
        <v>-264.39269999999999</v>
      </c>
      <c r="H1588" s="1">
        <v>8.0079209999999995E-7</v>
      </c>
      <c r="I1588">
        <v>284.5659</v>
      </c>
      <c r="J1588">
        <v>-238.25049999999999</v>
      </c>
      <c r="K1588">
        <v>1.1087769999999999</v>
      </c>
      <c r="L1588">
        <v>283.36790000000002</v>
      </c>
      <c r="M1588">
        <v>-0.99996309999999999</v>
      </c>
      <c r="N1588">
        <v>0</v>
      </c>
      <c r="O1588">
        <v>3.691176E-3</v>
      </c>
      <c r="P1588">
        <v>-0.99530819999999998</v>
      </c>
      <c r="Q1588">
        <v>-2.992262E-2</v>
      </c>
      <c r="R1588">
        <v>9.2012930000000007E-2</v>
      </c>
      <c r="S1588">
        <v>-2.997528</v>
      </c>
      <c r="T1588">
        <v>-0.1261525</v>
      </c>
      <c r="U1588">
        <v>0.13650509999999999</v>
      </c>
      <c r="V1588">
        <v>8.8304670000000002E-2</v>
      </c>
      <c r="W1588">
        <v>-2.2331279999999998E-2</v>
      </c>
      <c r="X1588">
        <v>0.99584320000000004</v>
      </c>
      <c r="Y1588">
        <v>4.1770670000000003E-2</v>
      </c>
      <c r="Z1588">
        <v>7.229297E-4</v>
      </c>
      <c r="AA1588">
        <v>0.99912699999999999</v>
      </c>
      <c r="AB1588">
        <v>20</v>
      </c>
      <c r="AC1588">
        <v>-26.142199999999999</v>
      </c>
      <c r="AD1588">
        <v>-1.1087761992078999</v>
      </c>
      <c r="AE1588">
        <v>1.19799999999997</v>
      </c>
      <c r="AF1588">
        <v>1.09951970855658</v>
      </c>
      <c r="AG1588">
        <v>-1.1087761992078999</v>
      </c>
      <c r="AH1588">
        <v>26.0995922723456</v>
      </c>
      <c r="AI1588">
        <v>92.430452639156101</v>
      </c>
      <c r="AJ1588">
        <v>87.587678413594503</v>
      </c>
      <c r="AK1588">
        <v>26.146262544235999</v>
      </c>
      <c r="AL1588">
        <v>91.279594411748604</v>
      </c>
      <c r="AM1588">
        <v>84.932649746623099</v>
      </c>
      <c r="AN1588">
        <v>1.00000003989824</v>
      </c>
    </row>
    <row r="1589" spans="1:40" x14ac:dyDescent="0.25">
      <c r="A1589" t="str">
        <f>"20190312160944967"</f>
        <v>20190312160944967</v>
      </c>
      <c r="B1589" t="str">
        <f>"1552378184957542"</f>
        <v>1552378184957542</v>
      </c>
      <c r="C1589" t="s">
        <v>40</v>
      </c>
      <c r="D1589">
        <v>5.6269720000000003</v>
      </c>
      <c r="E1589">
        <v>0.48302790000000001</v>
      </c>
      <c r="F1589" t="s">
        <v>61</v>
      </c>
      <c r="G1589">
        <v>-264.95769999999999</v>
      </c>
      <c r="H1589" s="1">
        <v>1.101463E-6</v>
      </c>
      <c r="I1589">
        <v>284.62040000000002</v>
      </c>
      <c r="J1589">
        <v>-238.46199999999999</v>
      </c>
      <c r="K1589">
        <v>1.1087849999999999</v>
      </c>
      <c r="L1589">
        <v>283.37009999999998</v>
      </c>
      <c r="M1589">
        <v>-0.99995829999999997</v>
      </c>
      <c r="N1589">
        <v>0</v>
      </c>
      <c r="O1589">
        <v>4.8155589999999996E-3</v>
      </c>
      <c r="P1589">
        <v>-0.99514270000000005</v>
      </c>
      <c r="Q1589">
        <v>-2.9473829999999999E-2</v>
      </c>
      <c r="R1589">
        <v>9.3928810000000001E-2</v>
      </c>
      <c r="S1589">
        <v>-2.9973909999999999</v>
      </c>
      <c r="T1589">
        <v>-0.12443940000000001</v>
      </c>
      <c r="U1589">
        <v>0.14056399999999999</v>
      </c>
      <c r="V1589">
        <v>8.9102630000000002E-2</v>
      </c>
      <c r="W1589">
        <v>-2.187797E-2</v>
      </c>
      <c r="X1589">
        <v>0.9957821</v>
      </c>
      <c r="Y1589">
        <v>4.2001049999999998E-2</v>
      </c>
      <c r="Z1589">
        <v>6.7127589999999905E-4</v>
      </c>
      <c r="AA1589">
        <v>0.99911729999999999</v>
      </c>
      <c r="AB1589">
        <v>21</v>
      </c>
      <c r="AC1589">
        <v>-26.4956999999999</v>
      </c>
      <c r="AD1589">
        <v>-1.108783898537</v>
      </c>
      <c r="AE1589">
        <v>1.2503000000000299</v>
      </c>
      <c r="AF1589">
        <v>1.12073175659351</v>
      </c>
      <c r="AG1589">
        <v>-1.108783898537</v>
      </c>
      <c r="AH1589">
        <v>26.455187676585499</v>
      </c>
      <c r="AI1589">
        <v>92.397815124489895</v>
      </c>
      <c r="AJ1589">
        <v>87.574206309174997</v>
      </c>
      <c r="AK1589">
        <v>26.502120602081099</v>
      </c>
      <c r="AL1589">
        <v>91.253615418454402</v>
      </c>
      <c r="AM1589">
        <v>84.886788503851704</v>
      </c>
      <c r="AN1589">
        <v>0.99999995746232295</v>
      </c>
    </row>
    <row r="1590" spans="1:40" x14ac:dyDescent="0.25">
      <c r="A1590" t="str">
        <f>"20190312160944988"</f>
        <v>20190312160944988</v>
      </c>
      <c r="B1590" t="str">
        <f>"1552378184977062"</f>
        <v>1552378184977062</v>
      </c>
      <c r="C1590" t="s">
        <v>40</v>
      </c>
      <c r="D1590">
        <v>5.6628619999999996</v>
      </c>
      <c r="E1590">
        <v>0.482956</v>
      </c>
      <c r="F1590" t="s">
        <v>61</v>
      </c>
      <c r="G1590">
        <v>-265.51339999999999</v>
      </c>
      <c r="H1590" s="1">
        <v>1.397158E-6</v>
      </c>
      <c r="I1590">
        <v>284.6875</v>
      </c>
      <c r="J1590">
        <v>-238.67240000000001</v>
      </c>
      <c r="K1590">
        <v>1.1087880000000001</v>
      </c>
      <c r="L1590">
        <v>283.37240000000003</v>
      </c>
      <c r="M1590">
        <v>-0.99995239999999996</v>
      </c>
      <c r="N1590">
        <v>0</v>
      </c>
      <c r="O1590">
        <v>5.9193309999999999E-3</v>
      </c>
      <c r="P1590">
        <v>-0.9949365</v>
      </c>
      <c r="Q1590">
        <v>-2.8977900000000001E-2</v>
      </c>
      <c r="R1590">
        <v>9.6239140000000001E-2</v>
      </c>
      <c r="S1590">
        <v>-2.997223</v>
      </c>
      <c r="T1590">
        <v>-0.12285020000000001</v>
      </c>
      <c r="U1590">
        <v>0.1459656</v>
      </c>
      <c r="V1590">
        <v>9.0316209999999994E-2</v>
      </c>
      <c r="W1590">
        <v>-2.1387010000000001E-2</v>
      </c>
      <c r="X1590">
        <v>0.99568350000000005</v>
      </c>
      <c r="Y1590">
        <v>4.2698470000000002E-2</v>
      </c>
      <c r="Z1590">
        <v>6.3180419999999998E-4</v>
      </c>
      <c r="AA1590">
        <v>0.99908779999999997</v>
      </c>
      <c r="AB1590">
        <v>21</v>
      </c>
      <c r="AC1590">
        <v>-26.840999999999902</v>
      </c>
      <c r="AD1590">
        <v>-1.1087866028419999</v>
      </c>
      <c r="AE1590">
        <v>1.31509999999997</v>
      </c>
      <c r="AF1590">
        <v>1.15422648082748</v>
      </c>
      <c r="AG1590">
        <v>-1.1087866028419999</v>
      </c>
      <c r="AH1590">
        <v>26.802686046850599</v>
      </c>
      <c r="AI1590">
        <v>92.366698064121906</v>
      </c>
      <c r="AJ1590">
        <v>87.534147487637398</v>
      </c>
      <c r="AK1590">
        <v>26.850430645070201</v>
      </c>
      <c r="AL1590">
        <v>91.225478811519096</v>
      </c>
      <c r="AM1590">
        <v>84.817012726742405</v>
      </c>
      <c r="AN1590">
        <v>1.00000002707887</v>
      </c>
    </row>
    <row r="1591" spans="1:40" x14ac:dyDescent="0.25">
      <c r="A1591" t="str">
        <f>"20190312160945010"</f>
        <v>20190312160945010</v>
      </c>
      <c r="B1591" t="str">
        <f>"1552378185007319"</f>
        <v>1552378185007319</v>
      </c>
      <c r="C1591" t="s">
        <v>40</v>
      </c>
      <c r="D1591">
        <v>5.651027</v>
      </c>
      <c r="E1591">
        <v>0.48283809999999999</v>
      </c>
      <c r="F1591" t="s">
        <v>61</v>
      </c>
      <c r="G1591">
        <v>-266.09719999999999</v>
      </c>
      <c r="H1591" s="1">
        <v>1.70785999999999E-6</v>
      </c>
      <c r="I1591">
        <v>284.76839999999999</v>
      </c>
      <c r="J1591">
        <v>-238.86770000000001</v>
      </c>
      <c r="K1591">
        <v>1.108792</v>
      </c>
      <c r="L1591">
        <v>283.37470000000002</v>
      </c>
      <c r="M1591">
        <v>-0.99994590000000005</v>
      </c>
      <c r="N1591">
        <v>0</v>
      </c>
      <c r="O1591">
        <v>6.9315619999999996E-3</v>
      </c>
      <c r="P1591">
        <v>-0.9947338</v>
      </c>
      <c r="Q1591">
        <v>-2.8766949999999999E-2</v>
      </c>
      <c r="R1591">
        <v>9.837195E-2</v>
      </c>
      <c r="S1591">
        <v>-2.9969790000000001</v>
      </c>
      <c r="T1591">
        <v>-0.12116780000000001</v>
      </c>
      <c r="U1591">
        <v>0.15255739999999901</v>
      </c>
      <c r="V1591">
        <v>9.144294E-2</v>
      </c>
      <c r="W1591">
        <v>-2.1184100000000001E-2</v>
      </c>
      <c r="X1591">
        <v>0.99558500000000005</v>
      </c>
      <c r="Y1591">
        <v>4.3883770000000002E-2</v>
      </c>
      <c r="Z1591">
        <v>6.0623280000000001E-4</v>
      </c>
      <c r="AA1591">
        <v>0.99903640000000005</v>
      </c>
      <c r="AB1591">
        <v>21</v>
      </c>
      <c r="AC1591">
        <v>-27.229499999999899</v>
      </c>
      <c r="AD1591">
        <v>-1.1087902921399999</v>
      </c>
      <c r="AE1591">
        <v>1.39369999999996</v>
      </c>
      <c r="AF1591">
        <v>1.20292846784681</v>
      </c>
      <c r="AG1591">
        <v>-1.1087902921399999</v>
      </c>
      <c r="AH1591">
        <v>27.193533926701999</v>
      </c>
      <c r="AI1591">
        <v>92.332608559191499</v>
      </c>
      <c r="AJ1591">
        <v>87.467125053722199</v>
      </c>
      <c r="AK1591">
        <v>27.242700678042102</v>
      </c>
      <c r="AL1591">
        <v>91.213850281229597</v>
      </c>
      <c r="AM1591">
        <v>84.752195423611496</v>
      </c>
      <c r="AN1591">
        <v>1.0000000347968201</v>
      </c>
    </row>
    <row r="1592" spans="1:40" x14ac:dyDescent="0.25">
      <c r="A1592" t="str">
        <f>"20190312160945033"</f>
        <v>20190312160945033</v>
      </c>
      <c r="B1592" t="str">
        <f>"1552378185026838"</f>
        <v>1552378185026838</v>
      </c>
      <c r="C1592" t="s">
        <v>40</v>
      </c>
      <c r="D1592">
        <v>5.7238170000000004</v>
      </c>
      <c r="E1592">
        <v>0.48265730000000001</v>
      </c>
      <c r="F1592" t="s">
        <v>61</v>
      </c>
      <c r="G1592">
        <v>-266.31650000000002</v>
      </c>
      <c r="H1592" s="1">
        <v>1.8245540000000001E-6</v>
      </c>
      <c r="I1592">
        <v>284.81920000000002</v>
      </c>
      <c r="J1592">
        <v>-239.08840000000001</v>
      </c>
      <c r="K1592">
        <v>1.1088009999999999</v>
      </c>
      <c r="L1592">
        <v>283.3775</v>
      </c>
      <c r="M1592">
        <v>-0.99993750000000003</v>
      </c>
      <c r="N1592">
        <v>0</v>
      </c>
      <c r="O1592">
        <v>8.0594849999999999E-3</v>
      </c>
      <c r="P1592">
        <v>-0.99456909999999998</v>
      </c>
      <c r="Q1592">
        <v>-2.8466490000000001E-2</v>
      </c>
      <c r="R1592">
        <v>0.10010960000000001</v>
      </c>
      <c r="S1592">
        <v>-2.9967649999999999</v>
      </c>
      <c r="T1592">
        <v>-0.1210537</v>
      </c>
      <c r="U1592">
        <v>0.15771479999999999</v>
      </c>
      <c r="V1592">
        <v>9.2059840000000004E-2</v>
      </c>
      <c r="W1592">
        <v>-2.0891429999999999E-2</v>
      </c>
      <c r="X1592">
        <v>0.99553429999999998</v>
      </c>
      <c r="Y1592">
        <v>4.4475729999999998E-2</v>
      </c>
      <c r="Z1592">
        <v>5.7211389999999897E-4</v>
      </c>
      <c r="AA1592">
        <v>0.99901030000000002</v>
      </c>
      <c r="AB1592">
        <v>21</v>
      </c>
      <c r="AC1592">
        <v>-27.228100000000001</v>
      </c>
      <c r="AD1592">
        <v>-1.10879917544599</v>
      </c>
      <c r="AE1592">
        <v>1.44170000000002</v>
      </c>
      <c r="AF1592">
        <v>1.2201843099117</v>
      </c>
      <c r="AG1592">
        <v>-1.10879917544599</v>
      </c>
      <c r="AH1592">
        <v>27.193864996320599</v>
      </c>
      <c r="AI1592">
        <v>92.332533174962506</v>
      </c>
      <c r="AJ1592">
        <v>87.430870889917898</v>
      </c>
      <c r="AK1592">
        <v>27.2437989054342</v>
      </c>
      <c r="AL1592">
        <v>91.197077850503206</v>
      </c>
      <c r="AM1592">
        <v>84.716724375870896</v>
      </c>
      <c r="AN1592">
        <v>1.00000000423238</v>
      </c>
    </row>
    <row r="1593" spans="1:40" x14ac:dyDescent="0.25">
      <c r="A1593" t="str">
        <f>"20190312160945054"</f>
        <v>20190312160945054</v>
      </c>
      <c r="B1593" t="str">
        <f>"1552378185047335"</f>
        <v>1552378185047335</v>
      </c>
      <c r="C1593" t="s">
        <v>40</v>
      </c>
      <c r="D1593">
        <v>5.6787609999999997</v>
      </c>
      <c r="E1593">
        <v>0.48253410000000002</v>
      </c>
      <c r="F1593" t="s">
        <v>61</v>
      </c>
      <c r="G1593">
        <v>-266.72559999999999</v>
      </c>
      <c r="H1593" s="1">
        <v>2.0422440000000001E-6</v>
      </c>
      <c r="I1593">
        <v>284.8689</v>
      </c>
      <c r="J1593">
        <v>-239.28360000000001</v>
      </c>
      <c r="K1593">
        <v>1.1088070000000001</v>
      </c>
      <c r="L1593">
        <v>283.3802</v>
      </c>
      <c r="M1593">
        <v>-0.99992919999999996</v>
      </c>
      <c r="N1593">
        <v>0</v>
      </c>
      <c r="O1593">
        <v>9.0423320000000001E-3</v>
      </c>
      <c r="P1593">
        <v>-0.99441590000000002</v>
      </c>
      <c r="Q1593">
        <v>-2.8241369999999998E-2</v>
      </c>
      <c r="R1593">
        <v>0.1016855</v>
      </c>
      <c r="S1593">
        <v>-2.9966889999999999</v>
      </c>
      <c r="T1593">
        <v>-0.120226399999999</v>
      </c>
      <c r="U1593">
        <v>0.16171259999999901</v>
      </c>
      <c r="V1593">
        <v>9.2659500000000006E-2</v>
      </c>
      <c r="W1593">
        <v>-2.0672260000000001E-2</v>
      </c>
      <c r="X1593">
        <v>0.99548320000000001</v>
      </c>
      <c r="Y1593">
        <v>4.4824999999999997E-2</v>
      </c>
      <c r="Z1593">
        <v>5.3581769999999998E-4</v>
      </c>
      <c r="AA1593">
        <v>0.99899470000000001</v>
      </c>
      <c r="AB1593">
        <v>21</v>
      </c>
      <c r="AC1593">
        <v>-27.441999999999901</v>
      </c>
      <c r="AD1593">
        <v>-1.108804957756</v>
      </c>
      <c r="AE1593">
        <v>1.4886999999999899</v>
      </c>
      <c r="AF1593">
        <v>1.23847603755717</v>
      </c>
      <c r="AG1593">
        <v>-1.108804957756</v>
      </c>
      <c r="AH1593">
        <v>27.409722049498999</v>
      </c>
      <c r="AI1593">
        <v>92.314163498831803</v>
      </c>
      <c r="AJ1593">
        <v>87.412917242637107</v>
      </c>
      <c r="AK1593">
        <v>27.460082559248399</v>
      </c>
      <c r="AL1593">
        <v>91.184517670354396</v>
      </c>
      <c r="AM1593">
        <v>84.682235388179507</v>
      </c>
      <c r="AN1593">
        <v>0.99999996337799801</v>
      </c>
    </row>
    <row r="1594" spans="1:40" x14ac:dyDescent="0.25">
      <c r="A1594" t="str">
        <f>"20190312160945077"</f>
        <v>20190312160945077</v>
      </c>
      <c r="B1594" t="str">
        <f>"1552378185066854"</f>
        <v>1552378185066854</v>
      </c>
      <c r="C1594" t="s">
        <v>40</v>
      </c>
      <c r="D1594">
        <v>5.7008489999999998</v>
      </c>
      <c r="E1594">
        <v>0.48230889999999998</v>
      </c>
      <c r="F1594" t="s">
        <v>61</v>
      </c>
      <c r="G1594">
        <v>-266.86810000000003</v>
      </c>
      <c r="H1594" s="1">
        <v>2.11808E-6</v>
      </c>
      <c r="I1594">
        <v>284.90280000000001</v>
      </c>
      <c r="J1594">
        <v>-239.50040000000001</v>
      </c>
      <c r="K1594">
        <v>1.1088089999999999</v>
      </c>
      <c r="L1594">
        <v>283.38339999999999</v>
      </c>
      <c r="M1594">
        <v>-0.99991909999999895</v>
      </c>
      <c r="N1594">
        <v>0</v>
      </c>
      <c r="O1594">
        <v>1.0115890000000001E-2</v>
      </c>
      <c r="P1594">
        <v>-0.99433170000000004</v>
      </c>
      <c r="Q1594">
        <v>-2.791064E-2</v>
      </c>
      <c r="R1594">
        <v>0.1025959</v>
      </c>
      <c r="S1594">
        <v>-2.9965060000000001</v>
      </c>
      <c r="T1594">
        <v>-0.12044970000000001</v>
      </c>
      <c r="U1594">
        <v>0.16540529999999901</v>
      </c>
      <c r="V1594">
        <v>9.2502639999999997E-2</v>
      </c>
      <c r="W1594">
        <v>-2.034507E-2</v>
      </c>
      <c r="X1594">
        <v>0.99550459999999996</v>
      </c>
      <c r="Y1594">
        <v>4.4983780000000001E-2</v>
      </c>
      <c r="Z1594">
        <v>4.9691730000000003E-4</v>
      </c>
      <c r="AA1594">
        <v>0.99898759999999998</v>
      </c>
      <c r="AB1594">
        <v>21</v>
      </c>
      <c r="AC1594">
        <v>-27.367699999999999</v>
      </c>
      <c r="AD1594">
        <v>-1.1088068819200001</v>
      </c>
      <c r="AE1594">
        <v>1.5194000000000101</v>
      </c>
      <c r="AF1594">
        <v>1.24043548654201</v>
      </c>
      <c r="AG1594">
        <v>-1.1088068819200001</v>
      </c>
      <c r="AH1594">
        <v>27.336935026910201</v>
      </c>
      <c r="AI1594">
        <v>92.320302354395096</v>
      </c>
      <c r="AJ1594">
        <v>87.401939895416902</v>
      </c>
      <c r="AK1594">
        <v>27.387518134419899</v>
      </c>
      <c r="AL1594">
        <v>91.165767036913707</v>
      </c>
      <c r="AM1594">
        <v>84.691299635127606</v>
      </c>
      <c r="AN1594">
        <v>1.0000000344507101</v>
      </c>
    </row>
    <row r="1595" spans="1:40" x14ac:dyDescent="0.25">
      <c r="A1595" t="str">
        <f>"20190312160945100"</f>
        <v>20190312160945100</v>
      </c>
      <c r="B1595" t="str">
        <f>"1552378185087350"</f>
        <v>1552378185087350</v>
      </c>
      <c r="C1595" t="s">
        <v>40</v>
      </c>
      <c r="D1595">
        <v>5.7228500000000002</v>
      </c>
      <c r="E1595">
        <v>0.48210950000000002</v>
      </c>
      <c r="F1595" t="s">
        <v>61</v>
      </c>
      <c r="G1595">
        <v>-267.06110000000001</v>
      </c>
      <c r="H1595" s="1">
        <v>2.220763E-6</v>
      </c>
      <c r="I1595">
        <v>284.91289999999998</v>
      </c>
      <c r="J1595">
        <v>-239.71299999999999</v>
      </c>
      <c r="K1595">
        <v>1.108806</v>
      </c>
      <c r="L1595">
        <v>283.38679999999999</v>
      </c>
      <c r="M1595">
        <v>-0.99990800000000002</v>
      </c>
      <c r="N1595">
        <v>0</v>
      </c>
      <c r="O1595">
        <v>1.115028E-2</v>
      </c>
      <c r="P1595">
        <v>-0.9943092</v>
      </c>
      <c r="Q1595">
        <v>-2.7963970000000001E-2</v>
      </c>
      <c r="R1595">
        <v>0.1027971</v>
      </c>
      <c r="S1595">
        <v>-2.9965519999999999</v>
      </c>
      <c r="T1595">
        <v>-0.12055589999999999</v>
      </c>
      <c r="U1595">
        <v>0.166290299999999</v>
      </c>
      <c r="V1595">
        <v>9.1674599999999995E-2</v>
      </c>
      <c r="W1595">
        <v>-2.0399E-2</v>
      </c>
      <c r="X1595">
        <v>0.99558009999999997</v>
      </c>
      <c r="Y1595">
        <v>4.4245020000000003E-2</v>
      </c>
      <c r="Z1595">
        <v>4.409406E-4</v>
      </c>
      <c r="AA1595">
        <v>0.99902060000000004</v>
      </c>
      <c r="AB1595">
        <v>21</v>
      </c>
      <c r="AC1595">
        <v>-27.348099999999999</v>
      </c>
      <c r="AD1595">
        <v>-1.108803779237</v>
      </c>
      <c r="AE1595">
        <v>1.52609999999998</v>
      </c>
      <c r="AF1595">
        <v>1.21905935552448</v>
      </c>
      <c r="AG1595">
        <v>-1.108803779237</v>
      </c>
      <c r="AH1595">
        <v>27.318649096173498</v>
      </c>
      <c r="AI1595">
        <v>92.321925614158303</v>
      </c>
      <c r="AJ1595">
        <v>87.444945040560398</v>
      </c>
      <c r="AK1595">
        <v>27.368305390962799</v>
      </c>
      <c r="AL1595">
        <v>91.1688576290139</v>
      </c>
      <c r="AM1595">
        <v>84.738949484509206</v>
      </c>
      <c r="AN1595">
        <v>1.0000000435010801</v>
      </c>
    </row>
    <row r="1596" spans="1:40" x14ac:dyDescent="0.25">
      <c r="A1596" t="str">
        <f>"20190312160945121"</f>
        <v>20190312160945121</v>
      </c>
      <c r="B1596" t="str">
        <f>"1552378185116631"</f>
        <v>1552378185116631</v>
      </c>
      <c r="C1596" t="s">
        <v>40</v>
      </c>
      <c r="D1596">
        <v>5.5982649999999996</v>
      </c>
      <c r="E1596">
        <v>0.4817941</v>
      </c>
      <c r="F1596" t="s">
        <v>61</v>
      </c>
      <c r="G1596">
        <v>-267.17320000000001</v>
      </c>
      <c r="H1596" s="1">
        <v>2.2804420000000001E-6</v>
      </c>
      <c r="I1596">
        <v>284.90190000000001</v>
      </c>
      <c r="J1596">
        <v>-239.9222</v>
      </c>
      <c r="K1596">
        <v>1.108811</v>
      </c>
      <c r="L1596">
        <v>283.39019999999999</v>
      </c>
      <c r="M1596">
        <v>-0.99989649999999997</v>
      </c>
      <c r="N1596">
        <v>0</v>
      </c>
      <c r="O1596">
        <v>1.215069E-2</v>
      </c>
      <c r="P1596">
        <v>-0.99435700000000005</v>
      </c>
      <c r="Q1596">
        <v>-2.7456959999999999E-2</v>
      </c>
      <c r="R1596">
        <v>0.1024733</v>
      </c>
      <c r="S1596">
        <v>-2.9966740000000001</v>
      </c>
      <c r="T1596">
        <v>-0.1210012</v>
      </c>
      <c r="U1596">
        <v>0.1653442</v>
      </c>
      <c r="V1596">
        <v>9.0355409999999997E-2</v>
      </c>
      <c r="W1596">
        <v>-1.988964E-2</v>
      </c>
      <c r="X1596">
        <v>0.99571100000000001</v>
      </c>
      <c r="Y1596">
        <v>4.2930469999999998E-2</v>
      </c>
      <c r="Z1596">
        <v>3.7570449999999999E-4</v>
      </c>
      <c r="AA1596">
        <v>0.99907800000000002</v>
      </c>
      <c r="AB1596">
        <v>21</v>
      </c>
      <c r="AC1596">
        <v>-27.251000000000001</v>
      </c>
      <c r="AD1596">
        <v>-1.1088087195579901</v>
      </c>
      <c r="AE1596">
        <v>1.51170000000001</v>
      </c>
      <c r="AF1596">
        <v>1.1785149844730101</v>
      </c>
      <c r="AG1596">
        <v>-1.1088087195579901</v>
      </c>
      <c r="AH1596">
        <v>27.222426435434102</v>
      </c>
      <c r="AI1596">
        <v>92.330270214288703</v>
      </c>
      <c r="AJ1596">
        <v>87.521095420189894</v>
      </c>
      <c r="AK1596">
        <v>27.2704758920305</v>
      </c>
      <c r="AL1596">
        <v>91.139667524880096</v>
      </c>
      <c r="AM1596">
        <v>84.814917838987995</v>
      </c>
      <c r="AN1596">
        <v>1.0000000467082899</v>
      </c>
    </row>
    <row r="1597" spans="1:40" x14ac:dyDescent="0.25">
      <c r="A1597" t="str">
        <f>"20190312160945143"</f>
        <v>20190312160945143</v>
      </c>
      <c r="B1597" t="str">
        <f>"1552378185137127"</f>
        <v>1552378185137127</v>
      </c>
      <c r="C1597" t="s">
        <v>40</v>
      </c>
      <c r="D1597">
        <v>5.6695690000000001</v>
      </c>
      <c r="E1597">
        <v>0.48155930000000002</v>
      </c>
      <c r="F1597" t="s">
        <v>61</v>
      </c>
      <c r="G1597">
        <v>-267.62740000000002</v>
      </c>
      <c r="H1597" s="1">
        <v>2.5221520000000001E-6</v>
      </c>
      <c r="I1597">
        <v>284.88679999999999</v>
      </c>
      <c r="J1597">
        <v>-240.13140000000001</v>
      </c>
      <c r="K1597">
        <v>1.1088199999999999</v>
      </c>
      <c r="L1597">
        <v>283.39389999999997</v>
      </c>
      <c r="M1597">
        <v>-0.99988379999999999</v>
      </c>
      <c r="N1597">
        <v>0</v>
      </c>
      <c r="O1597">
        <v>1.313309E-2</v>
      </c>
      <c r="P1597">
        <v>-0.99442399999999997</v>
      </c>
      <c r="Q1597">
        <v>-2.7616849999999998E-2</v>
      </c>
      <c r="R1597">
        <v>0.10177600000000001</v>
      </c>
      <c r="S1597">
        <v>-2.9970400000000001</v>
      </c>
      <c r="T1597">
        <v>-0.1199465</v>
      </c>
      <c r="U1597">
        <v>0.16189579999999901</v>
      </c>
      <c r="V1597">
        <v>8.8679250000000001E-2</v>
      </c>
      <c r="W1597">
        <v>-2.004477E-2</v>
      </c>
      <c r="X1597">
        <v>0.99585860000000004</v>
      </c>
      <c r="Y1597">
        <v>4.079882E-2</v>
      </c>
      <c r="Z1597">
        <v>2.905246E-4</v>
      </c>
      <c r="AA1597">
        <v>0.99916729999999998</v>
      </c>
      <c r="AB1597">
        <v>21</v>
      </c>
      <c r="AC1597">
        <v>-27.495999999999999</v>
      </c>
      <c r="AD1597">
        <v>-1.108817477848</v>
      </c>
      <c r="AE1597">
        <v>1.4929000000000101</v>
      </c>
      <c r="AF1597">
        <v>1.1298210360454799</v>
      </c>
      <c r="AG1597">
        <v>-1.108817477848</v>
      </c>
      <c r="AH1597">
        <v>27.468696476629301</v>
      </c>
      <c r="AI1597">
        <v>92.309629223502697</v>
      </c>
      <c r="AJ1597">
        <v>87.644682233944906</v>
      </c>
      <c r="AK1597">
        <v>27.5142737119819</v>
      </c>
      <c r="AL1597">
        <v>91.148557556673694</v>
      </c>
      <c r="AM1597">
        <v>84.911345432157106</v>
      </c>
      <c r="AN1597">
        <v>1.0000000766894299</v>
      </c>
    </row>
    <row r="1598" spans="1:40" x14ac:dyDescent="0.25">
      <c r="A1598" t="str">
        <f>"20190312160945168"</f>
        <v>20190312160945168</v>
      </c>
      <c r="B1598" t="str">
        <f>"1552378185157623"</f>
        <v>1552378185157623</v>
      </c>
      <c r="C1598" t="s">
        <v>40</v>
      </c>
      <c r="D1598">
        <v>5.6544280000000002</v>
      </c>
      <c r="E1598">
        <v>0.48144799999999899</v>
      </c>
      <c r="F1598" t="s">
        <v>61</v>
      </c>
      <c r="G1598">
        <v>-267.68819999999999</v>
      </c>
      <c r="H1598" s="1">
        <v>2.5545019999999999E-6</v>
      </c>
      <c r="I1598">
        <v>284.84559999999999</v>
      </c>
      <c r="J1598">
        <v>-240.36019999999999</v>
      </c>
      <c r="K1598">
        <v>1.108824</v>
      </c>
      <c r="L1598">
        <v>283.3981</v>
      </c>
      <c r="M1598">
        <v>-0.99986960000000003</v>
      </c>
      <c r="N1598">
        <v>0</v>
      </c>
      <c r="O1598">
        <v>1.418264E-2</v>
      </c>
      <c r="P1598">
        <v>-0.99444880000000002</v>
      </c>
      <c r="Q1598">
        <v>-2.7932129999999999E-2</v>
      </c>
      <c r="R1598">
        <v>0.1014476</v>
      </c>
      <c r="S1598">
        <v>-2.9973299999999998</v>
      </c>
      <c r="T1598">
        <v>-0.120605</v>
      </c>
      <c r="U1598">
        <v>0.15789790000000001</v>
      </c>
      <c r="V1598">
        <v>8.7305149999999998E-2</v>
      </c>
      <c r="W1598">
        <v>-2.035379E-2</v>
      </c>
      <c r="X1598">
        <v>0.99597360000000001</v>
      </c>
      <c r="Y1598">
        <v>3.8418330000000001E-2</v>
      </c>
      <c r="Z1598">
        <v>2.020837E-4</v>
      </c>
      <c r="AA1598">
        <v>0.99926170000000003</v>
      </c>
      <c r="AB1598">
        <v>21</v>
      </c>
      <c r="AC1598">
        <v>-27.327999999999999</v>
      </c>
      <c r="AD1598">
        <v>-1.1088214454979901</v>
      </c>
      <c r="AE1598">
        <v>1.44749999999999</v>
      </c>
      <c r="AF1598">
        <v>1.0580227164235201</v>
      </c>
      <c r="AG1598">
        <v>-1.1088214454979901</v>
      </c>
      <c r="AH1598">
        <v>27.300961526159899</v>
      </c>
      <c r="AI1598">
        <v>92.324032264712599</v>
      </c>
      <c r="AJ1598">
        <v>87.780667339772606</v>
      </c>
      <c r="AK1598">
        <v>27.3439462645633</v>
      </c>
      <c r="AL1598">
        <v>91.166266870977793</v>
      </c>
      <c r="AM1598">
        <v>84.990366085682595</v>
      </c>
      <c r="AN1598">
        <v>0.99999993894042105</v>
      </c>
    </row>
    <row r="1599" spans="1:40" x14ac:dyDescent="0.25">
      <c r="A1599" t="str">
        <f>"20190312160945191"</f>
        <v>20190312160945191</v>
      </c>
      <c r="B1599" t="str">
        <f>"1552378185186902"</f>
        <v>1552378185186902</v>
      </c>
      <c r="C1599" t="s">
        <v>40</v>
      </c>
      <c r="D1599">
        <v>5.672161</v>
      </c>
      <c r="E1599">
        <v>0.4812205</v>
      </c>
      <c r="F1599" t="s">
        <v>61</v>
      </c>
      <c r="G1599">
        <v>-267.66640000000001</v>
      </c>
      <c r="H1599" s="1">
        <v>2.5428809999999999E-6</v>
      </c>
      <c r="I1599">
        <v>284.8193</v>
      </c>
      <c r="J1599">
        <v>-240.59010000000001</v>
      </c>
      <c r="K1599">
        <v>1.108827</v>
      </c>
      <c r="L1599">
        <v>283.40260000000001</v>
      </c>
      <c r="M1599">
        <v>-0.99985440000000003</v>
      </c>
      <c r="N1599">
        <v>0</v>
      </c>
      <c r="O1599">
        <v>1.5213870000000001E-2</v>
      </c>
      <c r="P1599">
        <v>-0.99445050000000001</v>
      </c>
      <c r="Q1599">
        <v>-2.8139609999999999E-2</v>
      </c>
      <c r="R1599">
        <v>0.1013732</v>
      </c>
      <c r="S1599">
        <v>-2.9974059999999998</v>
      </c>
      <c r="T1599">
        <v>-0.1217155</v>
      </c>
      <c r="U1599">
        <v>0.1560059</v>
      </c>
      <c r="V1599">
        <v>8.6203959999999996E-2</v>
      </c>
      <c r="W1599">
        <v>-2.0554039999999999E-2</v>
      </c>
      <c r="X1599">
        <v>0.99606539999999999</v>
      </c>
      <c r="Y1599">
        <v>3.6759119999999999E-2</v>
      </c>
      <c r="Z1599">
        <v>1.284697E-4</v>
      </c>
      <c r="AA1599">
        <v>0.99932410000000005</v>
      </c>
      <c r="AB1599">
        <v>21</v>
      </c>
      <c r="AC1599">
        <v>-27.0763</v>
      </c>
      <c r="AD1599">
        <v>-1.108824457119</v>
      </c>
      <c r="AE1599">
        <v>1.4166999999999901</v>
      </c>
      <c r="AF1599">
        <v>1.0029110724189301</v>
      </c>
      <c r="AG1599">
        <v>-1.108824457119</v>
      </c>
      <c r="AH1599">
        <v>27.049480619080999</v>
      </c>
      <c r="AI1599">
        <v>92.345770076973693</v>
      </c>
      <c r="AJ1599">
        <v>87.876622365735201</v>
      </c>
      <c r="AK1599">
        <v>27.090768244144101</v>
      </c>
      <c r="AL1599">
        <v>91.177742755589705</v>
      </c>
      <c r="AM1599">
        <v>85.053691303119095</v>
      </c>
      <c r="AN1599">
        <v>0.99999993617857896</v>
      </c>
    </row>
    <row r="1600" spans="1:40" x14ac:dyDescent="0.25">
      <c r="A1600" t="str">
        <f>"20190312160945213"</f>
        <v>20190312160945213</v>
      </c>
      <c r="B1600" t="str">
        <f>"1552378185207399"</f>
        <v>1552378185207399</v>
      </c>
      <c r="C1600" t="s">
        <v>40</v>
      </c>
      <c r="D1600">
        <v>5.7353820000000004</v>
      </c>
      <c r="E1600">
        <v>0.4810413</v>
      </c>
      <c r="F1600" t="s">
        <v>61</v>
      </c>
      <c r="G1600">
        <v>-267.67809999999997</v>
      </c>
      <c r="H1600" s="1">
        <v>2.549104E-6</v>
      </c>
      <c r="I1600">
        <v>284.7944</v>
      </c>
      <c r="J1600">
        <v>-240.7953</v>
      </c>
      <c r="K1600">
        <v>1.1088370000000001</v>
      </c>
      <c r="L1600">
        <v>283.4067</v>
      </c>
      <c r="M1600">
        <v>-0.99984030000000002</v>
      </c>
      <c r="N1600">
        <v>0</v>
      </c>
      <c r="O1600">
        <v>1.6116970000000001E-2</v>
      </c>
      <c r="P1600">
        <v>-0.9945254</v>
      </c>
      <c r="Q1600">
        <v>-2.8059609999999999E-2</v>
      </c>
      <c r="R1600">
        <v>0.10066</v>
      </c>
      <c r="S1600">
        <v>-2.9975589999999999</v>
      </c>
      <c r="T1600">
        <v>-0.12270250000000001</v>
      </c>
      <c r="U1600">
        <v>0.1540222</v>
      </c>
      <c r="V1600">
        <v>8.4590639999999995E-2</v>
      </c>
      <c r="W1600">
        <v>-2.046533E-2</v>
      </c>
      <c r="X1600">
        <v>0.99620560000000002</v>
      </c>
      <c r="Y1600">
        <v>3.5196039999999998E-2</v>
      </c>
      <c r="Z1600" s="1">
        <v>6.063009E-5</v>
      </c>
      <c r="AA1600">
        <v>0.99938039999999995</v>
      </c>
      <c r="AB1600">
        <v>21</v>
      </c>
      <c r="AC1600">
        <v>-26.8827999999999</v>
      </c>
      <c r="AD1600">
        <v>-1.108834450896</v>
      </c>
      <c r="AE1600">
        <v>1.3876999999999899</v>
      </c>
      <c r="AF1600">
        <v>0.95262114805244702</v>
      </c>
      <c r="AG1600">
        <v>-1.108834450896</v>
      </c>
      <c r="AH1600">
        <v>26.856105022115301</v>
      </c>
      <c r="AI1600">
        <v>92.362800109057005</v>
      </c>
      <c r="AJ1600">
        <v>87.968495547353101</v>
      </c>
      <c r="AK1600">
        <v>26.895861723508599</v>
      </c>
      <c r="AL1600">
        <v>91.172658900361995</v>
      </c>
      <c r="AM1600">
        <v>85.146495579173006</v>
      </c>
      <c r="AN1600">
        <v>1.0000000017894799</v>
      </c>
    </row>
    <row r="1601" spans="1:40" x14ac:dyDescent="0.25">
      <c r="A1601" t="str">
        <f>"20190312160945234"</f>
        <v>20190312160945234</v>
      </c>
      <c r="B1601" t="str">
        <f>"1552378185226918"</f>
        <v>1552378185226918</v>
      </c>
      <c r="C1601" t="s">
        <v>40</v>
      </c>
      <c r="D1601">
        <v>5.7117719999999998</v>
      </c>
      <c r="E1601">
        <v>0.4809369</v>
      </c>
      <c r="F1601" t="s">
        <v>61</v>
      </c>
      <c r="G1601">
        <v>-267.87720000000002</v>
      </c>
      <c r="H1601" s="1">
        <v>2.6550469999999998E-6</v>
      </c>
      <c r="I1601">
        <v>284.76749999999998</v>
      </c>
      <c r="J1601">
        <v>-241.00790000000001</v>
      </c>
      <c r="K1601">
        <v>1.1088519999999999</v>
      </c>
      <c r="L1601">
        <v>283.41120000000001</v>
      </c>
      <c r="M1601">
        <v>-0.99982499999999996</v>
      </c>
      <c r="N1601">
        <v>0</v>
      </c>
      <c r="O1601">
        <v>1.7030549999999998E-2</v>
      </c>
      <c r="P1601">
        <v>-0.99458100000000005</v>
      </c>
      <c r="Q1601">
        <v>-2.7645530000000001E-2</v>
      </c>
      <c r="R1601">
        <v>0.10022150000000001</v>
      </c>
      <c r="S1601">
        <v>-2.9978030000000002</v>
      </c>
      <c r="T1601">
        <v>-0.1227415</v>
      </c>
      <c r="U1601">
        <v>0.15063480000000001</v>
      </c>
      <c r="V1601">
        <v>8.3242049999999998E-2</v>
      </c>
      <c r="W1601">
        <v>-2.0041799999999999E-2</v>
      </c>
      <c r="X1601">
        <v>0.99632779999999999</v>
      </c>
      <c r="Y1601">
        <v>3.315473E-2</v>
      </c>
      <c r="Z1601" s="1">
        <v>-1.8456889999999999E-5</v>
      </c>
      <c r="AA1601">
        <v>0.99945019999999996</v>
      </c>
      <c r="AB1601">
        <v>21</v>
      </c>
      <c r="AC1601">
        <v>-26.869299999999999</v>
      </c>
      <c r="AD1601">
        <v>-1.1088493449529999</v>
      </c>
      <c r="AE1601">
        <v>1.3562999999999701</v>
      </c>
      <c r="AF1601">
        <v>0.89696689934998197</v>
      </c>
      <c r="AG1601">
        <v>-1.1088493449529999</v>
      </c>
      <c r="AH1601">
        <v>26.8429029857998</v>
      </c>
      <c r="AI1601">
        <v>92.3641596103936</v>
      </c>
      <c r="AJ1601">
        <v>88.0861495332651</v>
      </c>
      <c r="AK1601">
        <v>26.880765189878598</v>
      </c>
      <c r="AL1601">
        <v>91.148387443438594</v>
      </c>
      <c r="AM1601">
        <v>85.224095030899306</v>
      </c>
      <c r="AN1601">
        <v>0.99999999884414104</v>
      </c>
    </row>
    <row r="1602" spans="1:40" x14ac:dyDescent="0.25">
      <c r="A1602" t="str">
        <f>"20190312160945257"</f>
        <v>20190312160945257</v>
      </c>
      <c r="B1602" t="str">
        <f>"1552378185247415"</f>
        <v>1552378185247415</v>
      </c>
      <c r="C1602" t="s">
        <v>40</v>
      </c>
      <c r="D1602">
        <v>5.6237729999999999</v>
      </c>
      <c r="E1602">
        <v>0.4807245</v>
      </c>
      <c r="F1602" t="s">
        <v>61</v>
      </c>
      <c r="G1602">
        <v>-268.31700000000001</v>
      </c>
      <c r="H1602" s="1">
        <v>2.8891099999999999E-6</v>
      </c>
      <c r="I1602">
        <v>284.7645</v>
      </c>
      <c r="J1602">
        <v>-241.21860000000001</v>
      </c>
      <c r="K1602">
        <v>1.1088659999999999</v>
      </c>
      <c r="L1602">
        <v>283.41579999999999</v>
      </c>
      <c r="M1602">
        <v>-0.99980970000000002</v>
      </c>
      <c r="N1602">
        <v>0</v>
      </c>
      <c r="O1602">
        <v>1.7909419999999999E-2</v>
      </c>
      <c r="P1602">
        <v>-0.99460709999999997</v>
      </c>
      <c r="Q1602">
        <v>-2.757809E-2</v>
      </c>
      <c r="R1602">
        <v>9.9982189999999999E-2</v>
      </c>
      <c r="S1602">
        <v>-2.997986</v>
      </c>
      <c r="T1602">
        <v>-0.1217289</v>
      </c>
      <c r="U1602">
        <v>0.14855960000000001</v>
      </c>
      <c r="V1602">
        <v>8.2127270000000002E-2</v>
      </c>
      <c r="W1602">
        <v>-1.9964369999999999E-2</v>
      </c>
      <c r="X1602">
        <v>0.99642189999999997</v>
      </c>
      <c r="Y1602">
        <v>3.1585219999999997E-2</v>
      </c>
      <c r="Z1602" s="1">
        <v>-8.5774049999999999E-5</v>
      </c>
      <c r="AA1602">
        <v>0.99950099999999997</v>
      </c>
      <c r="AB1602">
        <v>22</v>
      </c>
      <c r="AC1602">
        <v>-27.098400000000002</v>
      </c>
      <c r="AD1602">
        <v>-1.10886311089</v>
      </c>
      <c r="AE1602">
        <v>1.3487</v>
      </c>
      <c r="AF1602">
        <v>0.86171321285330005</v>
      </c>
      <c r="AG1602">
        <v>-1.10886311089</v>
      </c>
      <c r="AH1602">
        <v>27.0729887042895</v>
      </c>
      <c r="AI1602">
        <v>92.344239893484698</v>
      </c>
      <c r="AJ1602">
        <v>88.176933186790706</v>
      </c>
      <c r="AK1602">
        <v>27.109386648216201</v>
      </c>
      <c r="AL1602">
        <v>91.143950103553806</v>
      </c>
      <c r="AM1602">
        <v>85.288207134918096</v>
      </c>
      <c r="AN1602">
        <v>1.0000000336733701</v>
      </c>
    </row>
    <row r="1603" spans="1:40" x14ac:dyDescent="0.25">
      <c r="A1603" t="str">
        <f>"20190312160945323"</f>
        <v>20190312160945323</v>
      </c>
      <c r="B1603" t="str">
        <f>"1552378185316711"</f>
        <v>1552378185316711</v>
      </c>
      <c r="C1603" t="s">
        <v>40</v>
      </c>
      <c r="D1603">
        <v>5.7391829999999997</v>
      </c>
      <c r="E1603">
        <v>0.48021130000000001</v>
      </c>
      <c r="F1603" t="s">
        <v>61</v>
      </c>
      <c r="G1603">
        <v>-268.52300000000002</v>
      </c>
      <c r="H1603" s="1">
        <v>2.9987160000000002E-6</v>
      </c>
      <c r="I1603">
        <v>284.74509999999998</v>
      </c>
      <c r="J1603">
        <v>-241.8683</v>
      </c>
      <c r="K1603">
        <v>1.1089230000000001</v>
      </c>
      <c r="L1603">
        <v>283.43090000000001</v>
      </c>
      <c r="M1603">
        <v>-0.99976120000000002</v>
      </c>
      <c r="N1603">
        <v>0</v>
      </c>
      <c r="O1603">
        <v>2.042766E-2</v>
      </c>
      <c r="P1603">
        <v>-0.99452220000000002</v>
      </c>
      <c r="Q1603">
        <v>-2.6398919999999999E-2</v>
      </c>
      <c r="R1603">
        <v>0.1011384</v>
      </c>
      <c r="S1603">
        <v>-2.9981990000000001</v>
      </c>
      <c r="T1603">
        <v>-0.1217604</v>
      </c>
      <c r="U1603">
        <v>0.1459656</v>
      </c>
      <c r="V1603">
        <v>8.0779359999999995E-2</v>
      </c>
      <c r="W1603">
        <v>-1.8750530000000001E-2</v>
      </c>
      <c r="X1603">
        <v>0.99655559999999999</v>
      </c>
      <c r="Y1603">
        <v>2.8206160000000001E-2</v>
      </c>
      <c r="Z1603">
        <v>-2.5646989999999998E-4</v>
      </c>
      <c r="AA1603">
        <v>0.99960210000000005</v>
      </c>
      <c r="AB1603">
        <v>22</v>
      </c>
      <c r="AC1603">
        <v>-26.654699999999899</v>
      </c>
      <c r="AD1603">
        <v>-1.1089200012839999</v>
      </c>
      <c r="AE1603">
        <v>1.3141999999999701</v>
      </c>
      <c r="AF1603">
        <v>0.76808999602148298</v>
      </c>
      <c r="AG1603">
        <v>-1.1089200012839999</v>
      </c>
      <c r="AH1603">
        <v>26.630004495545698</v>
      </c>
      <c r="AI1603">
        <v>92.383528805187794</v>
      </c>
      <c r="AJ1603">
        <v>88.347874205220506</v>
      </c>
      <c r="AK1603">
        <v>26.664148312744199</v>
      </c>
      <c r="AL1603">
        <v>91.074389221138006</v>
      </c>
      <c r="AM1603">
        <v>85.365818618987603</v>
      </c>
      <c r="AN1603">
        <v>0.99999997563432497</v>
      </c>
    </row>
    <row r="1604" spans="1:40" x14ac:dyDescent="0.25">
      <c r="A1604" t="str">
        <f>"20190312160945346"</f>
        <v>20190312160945346</v>
      </c>
      <c r="B1604" t="str">
        <f>"1552378185337207"</f>
        <v>1552378185337207</v>
      </c>
      <c r="C1604" t="s">
        <v>40</v>
      </c>
      <c r="D1604">
        <v>5.8083539999999996</v>
      </c>
      <c r="E1604">
        <v>0.4802322</v>
      </c>
      <c r="F1604" t="s">
        <v>61</v>
      </c>
      <c r="G1604">
        <v>-269.4873</v>
      </c>
      <c r="H1604" s="1">
        <v>3.5118899999999999E-6</v>
      </c>
      <c r="I1604">
        <v>284.76859999999999</v>
      </c>
      <c r="J1604">
        <v>-242.09270000000001</v>
      </c>
      <c r="K1604">
        <v>1.108946</v>
      </c>
      <c r="L1604">
        <v>283.43639999999999</v>
      </c>
      <c r="M1604">
        <v>-0.99974470000000004</v>
      </c>
      <c r="N1604">
        <v>0</v>
      </c>
      <c r="O1604">
        <v>2.1216829999999999E-2</v>
      </c>
      <c r="P1604">
        <v>-0.99441409999999997</v>
      </c>
      <c r="Q1604">
        <v>-2.6861179999999998E-2</v>
      </c>
      <c r="R1604">
        <v>0.1020747</v>
      </c>
      <c r="S1604">
        <v>-2.9985810000000002</v>
      </c>
      <c r="T1604">
        <v>-0.1203949</v>
      </c>
      <c r="U1604">
        <v>0.14523320000000001</v>
      </c>
      <c r="V1604">
        <v>8.0931859999999994E-2</v>
      </c>
      <c r="W1604">
        <v>-1.91998E-2</v>
      </c>
      <c r="X1604">
        <v>0.9965347</v>
      </c>
      <c r="Y1604">
        <v>2.7168950000000001E-2</v>
      </c>
      <c r="Z1604">
        <v>-3.0601009999999999E-4</v>
      </c>
      <c r="AA1604">
        <v>0.99963080000000004</v>
      </c>
      <c r="AB1604">
        <v>22</v>
      </c>
      <c r="AC1604">
        <v>-27.394600000000001</v>
      </c>
      <c r="AD1604">
        <v>-1.1089424881100001</v>
      </c>
      <c r="AE1604">
        <v>1.3322000000000001</v>
      </c>
      <c r="AF1604">
        <v>0.74943081835300096</v>
      </c>
      <c r="AG1604">
        <v>-1.1089424881100001</v>
      </c>
      <c r="AH1604">
        <v>27.371951530998</v>
      </c>
      <c r="AI1604">
        <v>92.319134339610798</v>
      </c>
      <c r="AJ1604">
        <v>88.431661035217402</v>
      </c>
      <c r="AK1604">
        <v>27.4046552725762</v>
      </c>
      <c r="AL1604">
        <v>91.100135101825003</v>
      </c>
      <c r="AM1604">
        <v>85.357011204775304</v>
      </c>
      <c r="AN1604">
        <v>1.0000000032935901</v>
      </c>
    </row>
    <row r="1605" spans="1:40" x14ac:dyDescent="0.25">
      <c r="A1605" t="str">
        <f>"20190312160945369"</f>
        <v>20190312160945369</v>
      </c>
      <c r="B1605" t="str">
        <f>"1552378185356728"</f>
        <v>1552378185356728</v>
      </c>
      <c r="C1605" t="s">
        <v>40</v>
      </c>
      <c r="D1605">
        <v>5.8931509999999996</v>
      </c>
      <c r="E1605">
        <v>0.50354270000000001</v>
      </c>
      <c r="F1605" t="s">
        <v>61</v>
      </c>
      <c r="G1605">
        <v>-269.09390000000002</v>
      </c>
      <c r="H1605" s="1">
        <v>3.3025309999999999E-6</v>
      </c>
      <c r="I1605">
        <v>284.7704</v>
      </c>
      <c r="J1605">
        <v>-242.32239999999999</v>
      </c>
      <c r="K1605">
        <v>1.1089659999999999</v>
      </c>
      <c r="L1605">
        <v>283.44209999999998</v>
      </c>
      <c r="M1605">
        <v>-0.99972819999999996</v>
      </c>
      <c r="N1605">
        <v>0</v>
      </c>
      <c r="O1605">
        <v>2.1979470000000001E-2</v>
      </c>
      <c r="P1605">
        <v>-0.99426760000000003</v>
      </c>
      <c r="Q1605">
        <v>-2.7328709999999999E-2</v>
      </c>
      <c r="R1605">
        <v>0.103371</v>
      </c>
      <c r="S1605">
        <v>-2.9983219999999999</v>
      </c>
      <c r="T1605">
        <v>-0.1231414</v>
      </c>
      <c r="U1605">
        <v>0.14813229999999999</v>
      </c>
      <c r="V1605">
        <v>8.1471790000000002E-2</v>
      </c>
      <c r="W1605">
        <v>-1.9654029999999999E-2</v>
      </c>
      <c r="X1605">
        <v>0.99648179999999997</v>
      </c>
      <c r="Y1605">
        <v>2.7375090000000001E-2</v>
      </c>
      <c r="Z1605">
        <v>-3.4005009999999998E-4</v>
      </c>
      <c r="AA1605">
        <v>0.99962510000000004</v>
      </c>
      <c r="AB1605">
        <v>22</v>
      </c>
      <c r="AC1605">
        <v>-26.7715</v>
      </c>
      <c r="AD1605">
        <v>-1.1089626974689999</v>
      </c>
      <c r="AE1605">
        <v>1.32830000000001</v>
      </c>
      <c r="AF1605">
        <v>0.73827424841726896</v>
      </c>
      <c r="AG1605">
        <v>-1.1089626974689999</v>
      </c>
      <c r="AH1605">
        <v>26.748443850045</v>
      </c>
      <c r="AI1605">
        <v>92.373161184256404</v>
      </c>
      <c r="AJ1605">
        <v>88.419001031033602</v>
      </c>
      <c r="AK1605">
        <v>26.7815999434176</v>
      </c>
      <c r="AL1605">
        <v>91.126165530074402</v>
      </c>
      <c r="AM1605">
        <v>85.325925659654601</v>
      </c>
      <c r="AN1605">
        <v>0.99999995559614097</v>
      </c>
    </row>
    <row r="1606" spans="1:40" x14ac:dyDescent="0.25">
      <c r="A1606" t="str">
        <f>"20190312160945412"</f>
        <v>20190312160945412</v>
      </c>
      <c r="B1606" t="str">
        <f>"1552378185407479"</f>
        <v>1552378185407479</v>
      </c>
      <c r="C1606" t="s">
        <v>40</v>
      </c>
      <c r="D1606">
        <v>5.4366190000000003</v>
      </c>
      <c r="E1606">
        <v>0.51763519999999996</v>
      </c>
      <c r="F1606" t="s">
        <v>42</v>
      </c>
      <c r="G1606">
        <v>-243.167</v>
      </c>
      <c r="H1606">
        <v>0.98502920000000005</v>
      </c>
      <c r="I1606">
        <v>283.53579999999999</v>
      </c>
      <c r="J1606">
        <v>-242.74950000000001</v>
      </c>
      <c r="K1606">
        <v>1.109003</v>
      </c>
      <c r="L1606">
        <v>283.45310000000001</v>
      </c>
      <c r="M1606">
        <v>-0.99969819999999998</v>
      </c>
      <c r="N1606">
        <v>0</v>
      </c>
      <c r="O1606">
        <v>2.329796E-2</v>
      </c>
      <c r="P1606">
        <v>-0.99424179999999995</v>
      </c>
      <c r="Q1606">
        <v>-2.7066130000000001E-2</v>
      </c>
      <c r="R1606">
        <v>0.10368810000000001</v>
      </c>
      <c r="S1606">
        <v>-2.9710540000000001</v>
      </c>
      <c r="T1606">
        <v>-0.43605709999999998</v>
      </c>
      <c r="U1606">
        <v>0.32946779999999998</v>
      </c>
      <c r="V1606">
        <v>8.0477300000000002E-2</v>
      </c>
      <c r="W1606">
        <v>-1.936409E-2</v>
      </c>
      <c r="X1606">
        <v>0.99656829999999996</v>
      </c>
      <c r="Y1606">
        <v>8.6363259999999997E-2</v>
      </c>
      <c r="Z1606">
        <v>2.8952330000000001E-3</v>
      </c>
      <c r="AA1606">
        <v>0.99625949999999996</v>
      </c>
      <c r="AB1606">
        <v>22</v>
      </c>
      <c r="AC1606">
        <v>-0.41749999999998899</v>
      </c>
      <c r="AD1606">
        <v>-0.1239738</v>
      </c>
      <c r="AE1606">
        <v>8.2699999999988394E-2</v>
      </c>
      <c r="AF1606">
        <v>6.7244887117618501E-2</v>
      </c>
      <c r="AG1606">
        <v>-0.1239738</v>
      </c>
      <c r="AH1606">
        <v>0.386518831294905</v>
      </c>
      <c r="AI1606">
        <v>107.536428637394</v>
      </c>
      <c r="AJ1606">
        <v>80.130708118310807</v>
      </c>
      <c r="AK1606">
        <v>0.41144645444514499</v>
      </c>
      <c r="AL1606">
        <v>91.109550012522405</v>
      </c>
      <c r="AM1606">
        <v>85.383130840653607</v>
      </c>
      <c r="AN1606">
        <v>0.99999997018085296</v>
      </c>
    </row>
    <row r="1607" spans="1:40" x14ac:dyDescent="0.25">
      <c r="A1607" t="str">
        <f>"20190312160945434"</f>
        <v>20190312160945434</v>
      </c>
      <c r="B1607" t="str">
        <f>"1552378185426998"</f>
        <v>1552378185426998</v>
      </c>
      <c r="C1607" t="s">
        <v>40</v>
      </c>
      <c r="D1607">
        <v>5.7845909999999998</v>
      </c>
      <c r="E1607">
        <v>0.5210167</v>
      </c>
      <c r="F1607" t="s">
        <v>42</v>
      </c>
      <c r="G1607">
        <v>-243.5515</v>
      </c>
      <c r="H1607">
        <v>0.95944090000000004</v>
      </c>
      <c r="I1607">
        <v>283.57260000000002</v>
      </c>
      <c r="J1607">
        <v>-242.9716</v>
      </c>
      <c r="K1607">
        <v>1.1090260000000001</v>
      </c>
      <c r="L1607">
        <v>283.459</v>
      </c>
      <c r="M1607">
        <v>-0.99968310000000005</v>
      </c>
      <c r="N1607">
        <v>0</v>
      </c>
      <c r="O1607">
        <v>2.3932809999999999E-2</v>
      </c>
      <c r="P1607">
        <v>-0.99413580000000001</v>
      </c>
      <c r="Q1607">
        <v>-2.8316709999999998E-2</v>
      </c>
      <c r="R1607">
        <v>0.1043666</v>
      </c>
      <c r="S1607">
        <v>-2.9564509999999999</v>
      </c>
      <c r="T1607">
        <v>-0.55139119999999997</v>
      </c>
      <c r="U1607">
        <v>0.44009399999999999</v>
      </c>
      <c r="V1607">
        <v>8.0524830000000006E-2</v>
      </c>
      <c r="W1607">
        <v>-2.0601749999999999E-2</v>
      </c>
      <c r="X1607">
        <v>0.99653970000000003</v>
      </c>
      <c r="Y1607">
        <v>0.1218706</v>
      </c>
      <c r="Z1607">
        <v>6.8077019999999997E-3</v>
      </c>
      <c r="AA1607">
        <v>0.99252269999999998</v>
      </c>
      <c r="AB1607">
        <v>22</v>
      </c>
      <c r="AC1607">
        <v>-0.57990000000000896</v>
      </c>
      <c r="AD1607">
        <v>-0.1495851</v>
      </c>
      <c r="AE1607">
        <v>0.11360000000001901</v>
      </c>
      <c r="AF1607">
        <v>9.3685143928844805E-2</v>
      </c>
      <c r="AG1607">
        <v>-0.1495851</v>
      </c>
      <c r="AH1607">
        <v>0.54737731319146998</v>
      </c>
      <c r="AI1607">
        <v>105.07535451999701</v>
      </c>
      <c r="AJ1607">
        <v>80.2877732211374</v>
      </c>
      <c r="AK1607">
        <v>0.57513001254646001</v>
      </c>
      <c r="AL1607">
        <v>91.180476809113301</v>
      </c>
      <c r="AM1607">
        <v>85.380283904887506</v>
      </c>
      <c r="AN1607">
        <v>1.00000002701284</v>
      </c>
    </row>
    <row r="1608" spans="1:40" x14ac:dyDescent="0.25">
      <c r="A1608" t="str">
        <f>"20190312160945457"</f>
        <v>20190312160945457</v>
      </c>
      <c r="B1608" t="str">
        <f>"1552378185447495"</f>
        <v>1552378185447495</v>
      </c>
      <c r="C1608" t="s">
        <v>40</v>
      </c>
      <c r="D1608">
        <v>5.7569949999999999</v>
      </c>
      <c r="E1608">
        <v>0.52124429999999999</v>
      </c>
      <c r="F1608" t="s">
        <v>42</v>
      </c>
      <c r="G1608">
        <v>-243.74690000000001</v>
      </c>
      <c r="H1608">
        <v>0.95105059999999997</v>
      </c>
      <c r="I1608">
        <v>283.58190000000002</v>
      </c>
      <c r="J1608">
        <v>-243.20189999999999</v>
      </c>
      <c r="K1608">
        <v>1.1090420000000001</v>
      </c>
      <c r="L1608">
        <v>283.46530000000001</v>
      </c>
      <c r="M1608">
        <v>-0.9996678</v>
      </c>
      <c r="N1608">
        <v>0</v>
      </c>
      <c r="O1608">
        <v>2.4555609999999999E-2</v>
      </c>
      <c r="P1608">
        <v>-0.99413010000000002</v>
      </c>
      <c r="Q1608">
        <v>-2.821005E-2</v>
      </c>
      <c r="R1608">
        <v>0.1044484</v>
      </c>
      <c r="S1608">
        <v>-2.9515380000000002</v>
      </c>
      <c r="T1608">
        <v>-0.60147269999999997</v>
      </c>
      <c r="U1608">
        <v>0.46713260000000001</v>
      </c>
      <c r="V1608">
        <v>7.9986890000000005E-2</v>
      </c>
      <c r="W1608">
        <v>-2.048026E-2</v>
      </c>
      <c r="X1608">
        <v>0.99658550000000001</v>
      </c>
      <c r="Y1608">
        <v>0.12990930000000001</v>
      </c>
      <c r="Z1608">
        <v>8.10256E-3</v>
      </c>
      <c r="AA1608">
        <v>0.9914927</v>
      </c>
      <c r="AB1608">
        <v>22</v>
      </c>
      <c r="AC1608">
        <v>-0.54500000000001503</v>
      </c>
      <c r="AD1608">
        <v>-0.1579914</v>
      </c>
      <c r="AE1608">
        <v>0.11660000000000501</v>
      </c>
      <c r="AF1608">
        <v>9.5506755435774096E-2</v>
      </c>
      <c r="AG1608">
        <v>-0.1579914</v>
      </c>
      <c r="AH1608">
        <v>0.50695992879455198</v>
      </c>
      <c r="AI1608">
        <v>107.027595445475</v>
      </c>
      <c r="AJ1608">
        <v>79.331028580060604</v>
      </c>
      <c r="AK1608">
        <v>0.53952867598599996</v>
      </c>
      <c r="AL1608">
        <v>91.1735145063478</v>
      </c>
      <c r="AM1608">
        <v>85.411223308281905</v>
      </c>
      <c r="AN1608">
        <v>1.0000000012158901</v>
      </c>
    </row>
    <row r="1609" spans="1:40" x14ac:dyDescent="0.25">
      <c r="A1609" t="str">
        <f>"20190312160945480"</f>
        <v>20190312160945480</v>
      </c>
      <c r="B1609" t="str">
        <f>"1552378185476775"</f>
        <v>1552378185476775</v>
      </c>
      <c r="C1609" t="s">
        <v>40</v>
      </c>
      <c r="D1609">
        <v>5.7477910000000003</v>
      </c>
      <c r="E1609">
        <v>0.52185300000000001</v>
      </c>
      <c r="F1609" t="s">
        <v>42</v>
      </c>
      <c r="G1609">
        <v>-243.94929999999999</v>
      </c>
      <c r="H1609">
        <v>0.95590350000000002</v>
      </c>
      <c r="I1609">
        <v>283.58409999999998</v>
      </c>
      <c r="J1609">
        <v>-243.42830000000001</v>
      </c>
      <c r="K1609">
        <v>1.109057</v>
      </c>
      <c r="L1609">
        <v>283.47149999999999</v>
      </c>
      <c r="M1609">
        <v>-0.99965349999999997</v>
      </c>
      <c r="N1609">
        <v>0</v>
      </c>
      <c r="O1609">
        <v>2.5135919999999999E-2</v>
      </c>
      <c r="P1609">
        <v>-0.99419550000000001</v>
      </c>
      <c r="Q1609">
        <v>-2.776263E-2</v>
      </c>
      <c r="R1609">
        <v>0.1039457</v>
      </c>
      <c r="S1609">
        <v>-2.951279</v>
      </c>
      <c r="T1609">
        <v>-0.60472389999999998</v>
      </c>
      <c r="U1609">
        <v>0.46905520000000001</v>
      </c>
      <c r="V1609">
        <v>7.8905450000000002E-2</v>
      </c>
      <c r="W1609">
        <v>-2.0017090000000001E-2</v>
      </c>
      <c r="X1609">
        <v>0.99668109999999999</v>
      </c>
      <c r="Y1609">
        <v>0.12996530000000001</v>
      </c>
      <c r="Z1609">
        <v>8.0345980000000004E-3</v>
      </c>
      <c r="AA1609">
        <v>0.99148599999999998</v>
      </c>
      <c r="AB1609">
        <v>22</v>
      </c>
      <c r="AC1609">
        <v>-0.52099999999998603</v>
      </c>
      <c r="AD1609">
        <v>-0.153153499999999</v>
      </c>
      <c r="AE1609">
        <v>0.112599999999986</v>
      </c>
      <c r="AF1609">
        <v>9.1882674892907606E-2</v>
      </c>
      <c r="AG1609">
        <v>-0.153153499999999</v>
      </c>
      <c r="AH1609">
        <v>0.483730560402162</v>
      </c>
      <c r="AI1609">
        <v>107.27818092684301</v>
      </c>
      <c r="AJ1609">
        <v>79.245020270929999</v>
      </c>
      <c r="AK1609">
        <v>0.51564879091753502</v>
      </c>
      <c r="AL1609">
        <v>91.146971397087498</v>
      </c>
      <c r="AM1609">
        <v>85.473437338069601</v>
      </c>
      <c r="AN1609">
        <v>0.99999998451449001</v>
      </c>
    </row>
    <row r="1610" spans="1:40" x14ac:dyDescent="0.25">
      <c r="A1610" t="str">
        <f>"20190312160945500"</f>
        <v>20190312160945500</v>
      </c>
      <c r="B1610" t="str">
        <f>"1552378185497270"</f>
        <v>1552378185497270</v>
      </c>
      <c r="C1610" t="s">
        <v>40</v>
      </c>
      <c r="D1610">
        <v>5.8168129999999998</v>
      </c>
      <c r="E1610">
        <v>0.52190209999999904</v>
      </c>
      <c r="F1610" t="s">
        <v>42</v>
      </c>
      <c r="G1610">
        <v>-244.15090000000001</v>
      </c>
      <c r="H1610">
        <v>0.95799100000000004</v>
      </c>
      <c r="I1610">
        <v>283.58730000000003</v>
      </c>
      <c r="J1610">
        <v>-243.63159999999999</v>
      </c>
      <c r="K1610">
        <v>1.109062</v>
      </c>
      <c r="L1610">
        <v>283.47719999999998</v>
      </c>
      <c r="M1610">
        <v>-0.9996408</v>
      </c>
      <c r="N1610">
        <v>0</v>
      </c>
      <c r="O1610">
        <v>2.563089E-2</v>
      </c>
      <c r="P1610">
        <v>-0.994228</v>
      </c>
      <c r="Q1610">
        <v>-2.7726779999999999E-2</v>
      </c>
      <c r="R1610">
        <v>0.10364429999999999</v>
      </c>
      <c r="S1610">
        <v>-2.950882</v>
      </c>
      <c r="T1610">
        <v>-0.61695219999999995</v>
      </c>
      <c r="U1610">
        <v>0.47265629999999997</v>
      </c>
      <c r="V1610">
        <v>7.8110529999999997E-2</v>
      </c>
      <c r="W1610">
        <v>-1.9967209999999999E-2</v>
      </c>
      <c r="X1610">
        <v>0.99674479999999999</v>
      </c>
      <c r="Y1610">
        <v>0.1305866</v>
      </c>
      <c r="Z1610">
        <v>8.1562749999999993E-3</v>
      </c>
      <c r="AA1610">
        <v>0.99140329999999999</v>
      </c>
      <c r="AB1610">
        <v>22</v>
      </c>
      <c r="AC1610">
        <v>-0.51930000000001497</v>
      </c>
      <c r="AD1610">
        <v>-0.15107099999999901</v>
      </c>
      <c r="AE1610">
        <v>0.110100000000045</v>
      </c>
      <c r="AF1610">
        <v>8.9504367519840602E-2</v>
      </c>
      <c r="AG1610">
        <v>-0.15107099999999901</v>
      </c>
      <c r="AH1610">
        <v>0.48284589801093802</v>
      </c>
      <c r="AI1610">
        <v>107.09975359970301</v>
      </c>
      <c r="AJ1610">
        <v>79.498374406865807</v>
      </c>
      <c r="AK1610">
        <v>0.51378365103622703</v>
      </c>
      <c r="AL1610">
        <v>91.144112814037399</v>
      </c>
      <c r="AM1610">
        <v>85.519137990704706</v>
      </c>
      <c r="AN1610">
        <v>1.00000007034955</v>
      </c>
    </row>
    <row r="1611" spans="1:40" x14ac:dyDescent="0.25">
      <c r="A1611" t="str">
        <f>"20190312160945523"</f>
        <v>20190312160945523</v>
      </c>
      <c r="B1611" t="str">
        <f>"1552378185516791"</f>
        <v>1552378185516791</v>
      </c>
      <c r="C1611" t="s">
        <v>40</v>
      </c>
      <c r="D1611">
        <v>5.8726640000000003</v>
      </c>
      <c r="E1611">
        <v>0.52196009999999904</v>
      </c>
      <c r="F1611" t="s">
        <v>42</v>
      </c>
      <c r="G1611">
        <v>-244.3526</v>
      </c>
      <c r="H1611">
        <v>0.9589493</v>
      </c>
      <c r="I1611">
        <v>283.59269999999998</v>
      </c>
      <c r="J1611">
        <v>-243.86449999999999</v>
      </c>
      <c r="K1611">
        <v>1.1090739999999999</v>
      </c>
      <c r="L1611">
        <v>283.4837</v>
      </c>
      <c r="M1611">
        <v>-0.99962669999999998</v>
      </c>
      <c r="N1611">
        <v>0</v>
      </c>
      <c r="O1611">
        <v>2.6169990000000001E-2</v>
      </c>
      <c r="P1611">
        <v>-0.99418620000000002</v>
      </c>
      <c r="Q1611">
        <v>-2.8723800000000001E-2</v>
      </c>
      <c r="R1611">
        <v>0.10377409999999999</v>
      </c>
      <c r="S1611">
        <v>-2.9510350000000001</v>
      </c>
      <c r="T1611">
        <v>-0.61438499999999996</v>
      </c>
      <c r="U1611">
        <v>0.47244259999999899</v>
      </c>
      <c r="V1611">
        <v>7.7704179999999998E-2</v>
      </c>
      <c r="W1611">
        <v>-2.0948999999999999E-2</v>
      </c>
      <c r="X1611">
        <v>0.99675630000000004</v>
      </c>
      <c r="Y1611">
        <v>0.13001559999999901</v>
      </c>
      <c r="Z1611">
        <v>7.9540050000000001E-3</v>
      </c>
      <c r="AA1611">
        <v>0.99148009999999998</v>
      </c>
      <c r="AB1611">
        <v>22</v>
      </c>
      <c r="AC1611">
        <v>-0.48810000000000198</v>
      </c>
      <c r="AD1611">
        <v>-0.150124699999999</v>
      </c>
      <c r="AE1611">
        <v>0.10899999999998</v>
      </c>
      <c r="AF1611">
        <v>8.8237972846777604E-2</v>
      </c>
      <c r="AG1611">
        <v>-0.150124699999999</v>
      </c>
      <c r="AH1611">
        <v>0.45021828696479599</v>
      </c>
      <c r="AI1611">
        <v>108.11930189107299</v>
      </c>
      <c r="AJ1611">
        <v>78.9111941223955</v>
      </c>
      <c r="AK1611">
        <v>0.48272131848480998</v>
      </c>
      <c r="AL1611">
        <v>91.200377142595102</v>
      </c>
      <c r="AM1611">
        <v>85.542405553622004</v>
      </c>
      <c r="AN1611">
        <v>0.99999996089008003</v>
      </c>
    </row>
    <row r="1612" spans="1:40" x14ac:dyDescent="0.25">
      <c r="A1612" t="str">
        <f>"20190312160945548"</f>
        <v>20190312160945548</v>
      </c>
      <c r="B1612" t="str">
        <f>"1552378185537287"</f>
        <v>1552378185537287</v>
      </c>
      <c r="C1612" t="s">
        <v>40</v>
      </c>
      <c r="D1612">
        <v>5.6919510000000004</v>
      </c>
      <c r="E1612">
        <v>0.52216600000000002</v>
      </c>
      <c r="F1612" t="s">
        <v>42</v>
      </c>
      <c r="G1612">
        <v>-244.55699999999999</v>
      </c>
      <c r="H1612">
        <v>0.96430890000000002</v>
      </c>
      <c r="I1612">
        <v>283.59480000000002</v>
      </c>
      <c r="J1612">
        <v>-244.1061</v>
      </c>
      <c r="K1612">
        <v>1.1090880000000001</v>
      </c>
      <c r="L1612">
        <v>283.4907</v>
      </c>
      <c r="M1612">
        <v>-0.99961270000000002</v>
      </c>
      <c r="N1612">
        <v>0</v>
      </c>
      <c r="O1612">
        <v>2.6693250000000002E-2</v>
      </c>
      <c r="P1612">
        <v>-0.99415699999999996</v>
      </c>
      <c r="Q1612">
        <v>-2.9160789999999999E-2</v>
      </c>
      <c r="R1612">
        <v>0.1039293</v>
      </c>
      <c r="S1612">
        <v>-2.950348</v>
      </c>
      <c r="T1612">
        <v>-0.61679530000000005</v>
      </c>
      <c r="U1612">
        <v>0.47317500000000001</v>
      </c>
      <c r="V1612">
        <v>7.7338729999999994E-2</v>
      </c>
      <c r="W1612">
        <v>-2.13701E-2</v>
      </c>
      <c r="X1612">
        <v>0.99677579999999999</v>
      </c>
      <c r="Y1612">
        <v>0.1297712</v>
      </c>
      <c r="Z1612">
        <v>7.8536739999999997E-3</v>
      </c>
      <c r="AA1612">
        <v>0.99151279999999997</v>
      </c>
      <c r="AB1612">
        <v>22</v>
      </c>
      <c r="AC1612">
        <v>-0.45090000000001801</v>
      </c>
      <c r="AD1612">
        <v>-0.14477909999999899</v>
      </c>
      <c r="AE1612">
        <v>0.104100000000016</v>
      </c>
      <c r="AF1612">
        <v>8.3821965265414494E-2</v>
      </c>
      <c r="AG1612">
        <v>-0.14477909999999899</v>
      </c>
      <c r="AH1612">
        <v>0.413084993825651</v>
      </c>
      <c r="AI1612">
        <v>108.956696042785</v>
      </c>
      <c r="AJ1612">
        <v>78.529454724869396</v>
      </c>
      <c r="AK1612">
        <v>0.44567513031546202</v>
      </c>
      <c r="AL1612">
        <v>91.224509778660703</v>
      </c>
      <c r="AM1612">
        <v>85.563372583793793</v>
      </c>
      <c r="AN1612">
        <v>0.99999997789883099</v>
      </c>
    </row>
    <row r="1613" spans="1:40" x14ac:dyDescent="0.25">
      <c r="A1613" t="str">
        <f>"20190312160945591"</f>
        <v>20190312160945591</v>
      </c>
      <c r="B1613" t="str">
        <f>"1552378185587063"</f>
        <v>1552378185587063</v>
      </c>
      <c r="C1613" t="s">
        <v>40</v>
      </c>
      <c r="D1613">
        <v>5.6901419999999998</v>
      </c>
      <c r="E1613">
        <v>0.52291920000000003</v>
      </c>
      <c r="F1613" t="s">
        <v>42</v>
      </c>
      <c r="G1613">
        <v>-244.94720000000001</v>
      </c>
      <c r="H1613">
        <v>0.93245769999999994</v>
      </c>
      <c r="I1613">
        <v>283.62650000000002</v>
      </c>
      <c r="J1613">
        <v>-244.55869999999999</v>
      </c>
      <c r="K1613">
        <v>1.1091120000000001</v>
      </c>
      <c r="L1613">
        <v>283.50389999999999</v>
      </c>
      <c r="M1613">
        <v>-0.99958809999999998</v>
      </c>
      <c r="N1613">
        <v>0</v>
      </c>
      <c r="O1613">
        <v>2.7592820000000001E-2</v>
      </c>
      <c r="P1613">
        <v>-0.99417100000000003</v>
      </c>
      <c r="Q1613">
        <v>-2.9236410000000001E-2</v>
      </c>
      <c r="R1613">
        <v>0.10377699999999999</v>
      </c>
      <c r="S1613">
        <v>-2.949783</v>
      </c>
      <c r="T1613">
        <v>-0.61950680000000002</v>
      </c>
      <c r="U1613">
        <v>0.47531129999999999</v>
      </c>
      <c r="V1613">
        <v>7.6290789999999997E-2</v>
      </c>
      <c r="W1613">
        <v>-2.1415739999999999E-2</v>
      </c>
      <c r="X1613">
        <v>0.99685559999999995</v>
      </c>
      <c r="Y1613">
        <v>0.1296119</v>
      </c>
      <c r="Z1613">
        <v>7.6865859999999996E-3</v>
      </c>
      <c r="AA1613">
        <v>0.99153500000000006</v>
      </c>
      <c r="AB1613">
        <v>23</v>
      </c>
      <c r="AC1613">
        <v>-0.388500000000021</v>
      </c>
      <c r="AD1613">
        <v>-0.17665429999999999</v>
      </c>
      <c r="AE1613">
        <v>0.122600000000034</v>
      </c>
      <c r="AF1613">
        <v>9.4132947517629004E-2</v>
      </c>
      <c r="AG1613">
        <v>-0.17665429999999999</v>
      </c>
      <c r="AH1613">
        <v>0.329733784816095</v>
      </c>
      <c r="AI1613">
        <v>117.25600334830099</v>
      </c>
      <c r="AJ1613">
        <v>74.066927522629399</v>
      </c>
      <c r="AK1613">
        <v>0.38573581939715401</v>
      </c>
      <c r="AL1613">
        <v>91.227125325992702</v>
      </c>
      <c r="AM1613">
        <v>85.623602719231201</v>
      </c>
      <c r="AN1613">
        <v>1.0000000029049601</v>
      </c>
    </row>
    <row r="1614" spans="1:40" x14ac:dyDescent="0.25">
      <c r="A1614" t="str">
        <f>"20190312160945613"</f>
        <v>20190312160945613</v>
      </c>
      <c r="B1614" t="str">
        <f>"1552378185606583"</f>
        <v>1552378185606583</v>
      </c>
      <c r="C1614" t="s">
        <v>40</v>
      </c>
      <c r="D1614">
        <v>5.7395110000000003</v>
      </c>
      <c r="E1614">
        <v>0.52315990000000001</v>
      </c>
      <c r="F1614" t="s">
        <v>42</v>
      </c>
      <c r="G1614">
        <v>-245.3587</v>
      </c>
      <c r="H1614">
        <v>0.94091369999999996</v>
      </c>
      <c r="I1614">
        <v>283.63479999999998</v>
      </c>
      <c r="J1614">
        <v>-244.77809999999999</v>
      </c>
      <c r="K1614">
        <v>1.1091260000000001</v>
      </c>
      <c r="L1614">
        <v>283.5104</v>
      </c>
      <c r="M1614">
        <v>-0.99957669999999998</v>
      </c>
      <c r="N1614">
        <v>0</v>
      </c>
      <c r="O1614">
        <v>2.799476E-2</v>
      </c>
      <c r="P1614">
        <v>-0.99407489999999998</v>
      </c>
      <c r="Q1614">
        <v>-2.9136800000000001E-2</v>
      </c>
      <c r="R1614">
        <v>0.1047199</v>
      </c>
      <c r="S1614">
        <v>-2.9491269999999998</v>
      </c>
      <c r="T1614">
        <v>-0.62009599999999998</v>
      </c>
      <c r="U1614">
        <v>0.48129270000000002</v>
      </c>
      <c r="V1614">
        <v>7.6836009999999996E-2</v>
      </c>
      <c r="W1614">
        <v>-2.1303099999999998E-2</v>
      </c>
      <c r="X1614">
        <v>0.99681620000000004</v>
      </c>
      <c r="Y1614">
        <v>0.1311784</v>
      </c>
      <c r="Z1614">
        <v>7.7731509999999998E-3</v>
      </c>
      <c r="AA1614">
        <v>0.99132830000000005</v>
      </c>
      <c r="AB1614">
        <v>23</v>
      </c>
      <c r="AC1614">
        <v>-0.580600000000004</v>
      </c>
      <c r="AD1614">
        <v>-0.16821230000000001</v>
      </c>
      <c r="AE1614">
        <v>0.12439999999998</v>
      </c>
      <c r="AF1614">
        <v>0.10006623329209501</v>
      </c>
      <c r="AG1614">
        <v>-0.16821230000000001</v>
      </c>
      <c r="AH1614">
        <v>0.54047932709430802</v>
      </c>
      <c r="AI1614">
        <v>107.015534437894</v>
      </c>
      <c r="AJ1614">
        <v>79.510832302475507</v>
      </c>
      <c r="AK1614">
        <v>0.57482739316500397</v>
      </c>
      <c r="AL1614">
        <v>91.220669980237403</v>
      </c>
      <c r="AM1614">
        <v>85.592275626983593</v>
      </c>
      <c r="AN1614">
        <v>1.00000006554238</v>
      </c>
    </row>
    <row r="1615" spans="1:40" x14ac:dyDescent="0.25">
      <c r="A1615" t="str">
        <f>"20190312160945635"</f>
        <v>20190312160945635</v>
      </c>
      <c r="B1615" t="str">
        <f>"1552378185627079"</f>
        <v>1552378185627079</v>
      </c>
      <c r="C1615" t="s">
        <v>40</v>
      </c>
      <c r="D1615">
        <v>5.9379720000000002</v>
      </c>
      <c r="E1615">
        <v>0.52340509999999996</v>
      </c>
      <c r="F1615" t="s">
        <v>42</v>
      </c>
      <c r="G1615">
        <v>-245.56460000000001</v>
      </c>
      <c r="H1615">
        <v>0.94359219999999999</v>
      </c>
      <c r="I1615">
        <v>283.64</v>
      </c>
      <c r="J1615">
        <v>-245.00729999999999</v>
      </c>
      <c r="K1615">
        <v>1.1091470000000001</v>
      </c>
      <c r="L1615">
        <v>283.51729999999998</v>
      </c>
      <c r="M1615">
        <v>-0.99956560000000005</v>
      </c>
      <c r="N1615">
        <v>0</v>
      </c>
      <c r="O1615">
        <v>2.8388650000000001E-2</v>
      </c>
      <c r="P1615">
        <v>-0.99407909999999999</v>
      </c>
      <c r="Q1615">
        <v>-2.864541E-2</v>
      </c>
      <c r="R1615">
        <v>0.1048154</v>
      </c>
      <c r="S1615">
        <v>-2.9485169999999998</v>
      </c>
      <c r="T1615">
        <v>-0.62048130000000001</v>
      </c>
      <c r="U1615">
        <v>0.4856567</v>
      </c>
      <c r="V1615">
        <v>7.6539380000000004E-2</v>
      </c>
      <c r="W1615">
        <v>-2.0796829999999999E-2</v>
      </c>
      <c r="X1615">
        <v>0.99684969999999995</v>
      </c>
      <c r="Y1615">
        <v>0.1322323</v>
      </c>
      <c r="Z1615">
        <v>7.8061980000000003E-3</v>
      </c>
      <c r="AA1615">
        <v>0.99118799999999996</v>
      </c>
      <c r="AB1615">
        <v>23</v>
      </c>
      <c r="AC1615">
        <v>-0.557300000000026</v>
      </c>
      <c r="AD1615">
        <v>-0.165554799999999</v>
      </c>
      <c r="AE1615">
        <v>0.122700000000008</v>
      </c>
      <c r="AF1615">
        <v>9.8535503854145196E-2</v>
      </c>
      <c r="AG1615">
        <v>-0.165554799999999</v>
      </c>
      <c r="AH1615">
        <v>0.51704043959705803</v>
      </c>
      <c r="AI1615">
        <v>107.460243569254</v>
      </c>
      <c r="AJ1615">
        <v>79.210183246381206</v>
      </c>
      <c r="AK1615">
        <v>0.55176847816955699</v>
      </c>
      <c r="AL1615">
        <v>91.191656431883601</v>
      </c>
      <c r="AM1615">
        <v>85.609372217831606</v>
      </c>
      <c r="AN1615">
        <v>1.0000000546094601</v>
      </c>
    </row>
    <row r="1616" spans="1:40" x14ac:dyDescent="0.25">
      <c r="A1616" t="str">
        <f>"20190312160945658"</f>
        <v>20190312160945658</v>
      </c>
      <c r="B1616" t="str">
        <f>"1552378185647575"</f>
        <v>1552378185647575</v>
      </c>
      <c r="C1616" t="s">
        <v>40</v>
      </c>
      <c r="D1616">
        <v>5.7236719999999996</v>
      </c>
      <c r="E1616">
        <v>0.5233293</v>
      </c>
      <c r="F1616" t="s">
        <v>42</v>
      </c>
      <c r="G1616">
        <v>-245.7723</v>
      </c>
      <c r="H1616">
        <v>0.94879999999999998</v>
      </c>
      <c r="I1616">
        <v>283.64420000000001</v>
      </c>
      <c r="J1616">
        <v>-245.23990000000001</v>
      </c>
      <c r="K1616">
        <v>1.1091610000000001</v>
      </c>
      <c r="L1616">
        <v>283.52429999999998</v>
      </c>
      <c r="M1616">
        <v>-0.99955490000000002</v>
      </c>
      <c r="N1616">
        <v>0</v>
      </c>
      <c r="O1616">
        <v>2.8760879999999999E-2</v>
      </c>
      <c r="P1616">
        <v>-0.99411380000000005</v>
      </c>
      <c r="Q1616">
        <v>-2.8354839999999999E-2</v>
      </c>
      <c r="R1616">
        <v>0.1045648</v>
      </c>
      <c r="S1616">
        <v>-2.948547</v>
      </c>
      <c r="T1616">
        <v>-0.61814179999999996</v>
      </c>
      <c r="U1616">
        <v>0.48849490000000001</v>
      </c>
      <c r="V1616">
        <v>7.5917499999999999E-2</v>
      </c>
      <c r="W1616">
        <v>-2.049045E-2</v>
      </c>
      <c r="X1616">
        <v>0.99690350000000005</v>
      </c>
      <c r="Y1616">
        <v>0.13280310000000001</v>
      </c>
      <c r="Z1616">
        <v>7.7589590000000002E-3</v>
      </c>
      <c r="AA1616">
        <v>0.99111210000000005</v>
      </c>
      <c r="AB1616">
        <v>23</v>
      </c>
      <c r="AC1616">
        <v>-0.53239999999999499</v>
      </c>
      <c r="AD1616">
        <v>-0.160361</v>
      </c>
      <c r="AE1616">
        <v>0.119900000000029</v>
      </c>
      <c r="AF1616">
        <v>9.6228786119954696E-2</v>
      </c>
      <c r="AG1616">
        <v>-0.160361</v>
      </c>
      <c r="AH1616">
        <v>0.493055587880733</v>
      </c>
      <c r="AI1616">
        <v>107.70393725003601</v>
      </c>
      <c r="AJ1616">
        <v>78.9565055418947</v>
      </c>
      <c r="AK1616">
        <v>0.52733238316979403</v>
      </c>
      <c r="AL1616">
        <v>91.174098525004794</v>
      </c>
      <c r="AM1616">
        <v>85.645142248677402</v>
      </c>
      <c r="AN1616">
        <v>0.99999995682984999</v>
      </c>
    </row>
    <row r="1617" spans="1:40" x14ac:dyDescent="0.25">
      <c r="A1617" t="str">
        <f>"20190312160945678"</f>
        <v>20190312160945678</v>
      </c>
      <c r="B1617" t="str">
        <f>"1552378185667095"</f>
        <v>1552378185667095</v>
      </c>
      <c r="C1617" t="s">
        <v>40</v>
      </c>
      <c r="D1617">
        <v>5.5880700000000001</v>
      </c>
      <c r="E1617">
        <v>0.52357379999999998</v>
      </c>
      <c r="F1617" t="s">
        <v>42</v>
      </c>
      <c r="G1617">
        <v>-245.98060000000001</v>
      </c>
      <c r="H1617">
        <v>0.95419679999999996</v>
      </c>
      <c r="I1617">
        <v>283.64679999999998</v>
      </c>
      <c r="J1617">
        <v>-245.45650000000001</v>
      </c>
      <c r="K1617">
        <v>1.1091759999999999</v>
      </c>
      <c r="L1617">
        <v>283.53089999999997</v>
      </c>
      <c r="M1617">
        <v>-0.99954560000000003</v>
      </c>
      <c r="N1617">
        <v>0</v>
      </c>
      <c r="O1617">
        <v>2.9083999999999999E-2</v>
      </c>
      <c r="P1617">
        <v>-0.99410100000000001</v>
      </c>
      <c r="Q1617">
        <v>-2.8464860000000002E-2</v>
      </c>
      <c r="R1617">
        <v>0.10465960000000001</v>
      </c>
      <c r="S1617">
        <v>-2.9488370000000002</v>
      </c>
      <c r="T1617">
        <v>-0.616915199999999</v>
      </c>
      <c r="U1617">
        <v>0.4880371</v>
      </c>
      <c r="V1617">
        <v>7.5691339999999996E-2</v>
      </c>
      <c r="W1617">
        <v>-2.0585989999999998E-2</v>
      </c>
      <c r="X1617">
        <v>0.99691879999999999</v>
      </c>
      <c r="Y1617">
        <v>0.13234279999999901</v>
      </c>
      <c r="Z1617">
        <v>7.6295800000000004E-3</v>
      </c>
      <c r="AA1617">
        <v>0.99117460000000002</v>
      </c>
      <c r="AB1617">
        <v>23</v>
      </c>
      <c r="AC1617">
        <v>-0.52410000000000401</v>
      </c>
      <c r="AD1617">
        <v>-0.15497919999999901</v>
      </c>
      <c r="AE1617">
        <v>0.11590000000001</v>
      </c>
      <c r="AF1617">
        <v>9.2865819179711706E-2</v>
      </c>
      <c r="AG1617">
        <v>-0.15497919999999901</v>
      </c>
      <c r="AH1617">
        <v>0.486677421382469</v>
      </c>
      <c r="AI1617">
        <v>107.369664804519</v>
      </c>
      <c r="AJ1617">
        <v>79.196917538886694</v>
      </c>
      <c r="AK1617">
        <v>0.51913151059057105</v>
      </c>
      <c r="AL1617">
        <v>91.179573635106493</v>
      </c>
      <c r="AM1617">
        <v>85.658132168622103</v>
      </c>
      <c r="AN1617">
        <v>1.0000000278643499</v>
      </c>
    </row>
    <row r="1618" spans="1:40" x14ac:dyDescent="0.25">
      <c r="A1618" t="str">
        <f>"20190312160945702"</f>
        <v>20190312160945702</v>
      </c>
      <c r="B1618" t="str">
        <f>"1552378185697351"</f>
        <v>1552378185697351</v>
      </c>
      <c r="C1618" t="s">
        <v>40</v>
      </c>
      <c r="D1618">
        <v>5.7603229999999996</v>
      </c>
      <c r="E1618">
        <v>0.52377870000000004</v>
      </c>
      <c r="F1618" t="s">
        <v>42</v>
      </c>
      <c r="G1618">
        <v>-246.18790000000001</v>
      </c>
      <c r="H1618">
        <v>0.95610430000000002</v>
      </c>
      <c r="I1618">
        <v>283.65260000000001</v>
      </c>
      <c r="J1618">
        <v>-245.6885</v>
      </c>
      <c r="K1618">
        <v>1.109194</v>
      </c>
      <c r="L1618">
        <v>283.53800000000001</v>
      </c>
      <c r="M1618">
        <v>-0.99953579999999997</v>
      </c>
      <c r="N1618">
        <v>0</v>
      </c>
      <c r="O1618">
        <v>2.9408179999999999E-2</v>
      </c>
      <c r="P1618">
        <v>-0.99408300000000005</v>
      </c>
      <c r="Q1618">
        <v>-2.7926739999999999E-2</v>
      </c>
      <c r="R1618">
        <v>0.1049713</v>
      </c>
      <c r="S1618">
        <v>-2.948639</v>
      </c>
      <c r="T1618">
        <v>-0.61718130000000004</v>
      </c>
      <c r="U1618">
        <v>0.48925780000000002</v>
      </c>
      <c r="V1618">
        <v>7.5680979999999995E-2</v>
      </c>
      <c r="W1618">
        <v>-2.0032479999999998E-2</v>
      </c>
      <c r="X1618">
        <v>0.99693080000000001</v>
      </c>
      <c r="Y1618">
        <v>0.13243450000000001</v>
      </c>
      <c r="Z1618">
        <v>7.5759E-3</v>
      </c>
      <c r="AA1618">
        <v>0.99116280000000001</v>
      </c>
      <c r="AB1618">
        <v>23</v>
      </c>
      <c r="AC1618">
        <v>-0.499400000000008</v>
      </c>
      <c r="AD1618">
        <v>-0.1530897</v>
      </c>
      <c r="AE1618">
        <v>0.114599999999995</v>
      </c>
      <c r="AF1618">
        <v>9.1679280103814903E-2</v>
      </c>
      <c r="AG1618">
        <v>-0.1530897</v>
      </c>
      <c r="AH1618">
        <v>0.46136781211973699</v>
      </c>
      <c r="AI1618">
        <v>108.02767230628901</v>
      </c>
      <c r="AJ1618">
        <v>78.761048537018098</v>
      </c>
      <c r="AK1618">
        <v>0.494673432384029</v>
      </c>
      <c r="AL1618">
        <v>91.147853377836597</v>
      </c>
      <c r="AM1618">
        <v>85.658776231184902</v>
      </c>
      <c r="AN1618">
        <v>0.99999996548867398</v>
      </c>
    </row>
    <row r="1619" spans="1:40" x14ac:dyDescent="0.25">
      <c r="A1619" t="str">
        <f>"20190312160945724"</f>
        <v>20190312160945724</v>
      </c>
      <c r="B1619" t="str">
        <f>"1552378185716871"</f>
        <v>1552378185716871</v>
      </c>
      <c r="C1619" t="s">
        <v>40</v>
      </c>
      <c r="D1619">
        <v>5.6227939999999998</v>
      </c>
      <c r="E1619">
        <v>0.52382450000000003</v>
      </c>
      <c r="F1619" t="s">
        <v>42</v>
      </c>
      <c r="G1619">
        <v>-246.3973</v>
      </c>
      <c r="H1619">
        <v>0.9611208</v>
      </c>
      <c r="I1619">
        <v>283.65600000000001</v>
      </c>
      <c r="J1619">
        <v>-245.9211</v>
      </c>
      <c r="K1619">
        <v>1.1092010000000001</v>
      </c>
      <c r="L1619">
        <v>283.54520000000002</v>
      </c>
      <c r="M1619">
        <v>-0.99952669999999999</v>
      </c>
      <c r="N1619">
        <v>0</v>
      </c>
      <c r="O1619">
        <v>2.9712769999999999E-2</v>
      </c>
      <c r="P1619">
        <v>-0.99419579999999996</v>
      </c>
      <c r="Q1619">
        <v>-2.6939870000000001E-2</v>
      </c>
      <c r="R1619">
        <v>0.10415969999999999</v>
      </c>
      <c r="S1619">
        <v>-2.9486690000000002</v>
      </c>
      <c r="T1619">
        <v>-0.61602760000000001</v>
      </c>
      <c r="U1619">
        <v>0.49133300000000002</v>
      </c>
      <c r="V1619">
        <v>7.4563760000000007E-2</v>
      </c>
      <c r="W1619">
        <v>-1.9029270000000001E-2</v>
      </c>
      <c r="X1619">
        <v>0.99703470000000005</v>
      </c>
      <c r="Y1619">
        <v>0.1328165</v>
      </c>
      <c r="Z1619">
        <v>7.5383189999999999E-3</v>
      </c>
      <c r="AA1619">
        <v>0.99111199999999999</v>
      </c>
      <c r="AB1619">
        <v>23</v>
      </c>
      <c r="AC1619">
        <v>-0.47620000000000501</v>
      </c>
      <c r="AD1619">
        <v>-0.1480802</v>
      </c>
      <c r="AE1619">
        <v>0.110799999999983</v>
      </c>
      <c r="AF1619">
        <v>8.8484594039332398E-2</v>
      </c>
      <c r="AG1619">
        <v>-0.1480802</v>
      </c>
      <c r="AH1619">
        <v>0.43901094462939899</v>
      </c>
      <c r="AI1619">
        <v>108.29671057506</v>
      </c>
      <c r="AJ1619">
        <v>78.604457211483407</v>
      </c>
      <c r="AK1619">
        <v>0.47168620768339498</v>
      </c>
      <c r="AL1619">
        <v>91.090362637791401</v>
      </c>
      <c r="AM1619">
        <v>85.723066841558094</v>
      </c>
      <c r="AN1619">
        <v>1.00000003021307</v>
      </c>
    </row>
    <row r="1620" spans="1:40" x14ac:dyDescent="0.25">
      <c r="A1620" t="str">
        <f>"20190312160945748"</f>
        <v>20190312160945748</v>
      </c>
      <c r="B1620" t="str">
        <f>"1552378185737367"</f>
        <v>1552378185737367</v>
      </c>
      <c r="C1620" t="s">
        <v>40</v>
      </c>
      <c r="D1620">
        <v>5.9475339999999903</v>
      </c>
      <c r="E1620">
        <v>0.52984449999999905</v>
      </c>
      <c r="F1620" t="s">
        <v>42</v>
      </c>
      <c r="G1620">
        <v>-246.79689999999999</v>
      </c>
      <c r="H1620">
        <v>0.92730619999999997</v>
      </c>
      <c r="I1620">
        <v>283.69080000000002</v>
      </c>
      <c r="J1620">
        <v>-246.16579999999999</v>
      </c>
      <c r="K1620">
        <v>1.1092059999999999</v>
      </c>
      <c r="L1620">
        <v>283.55279999999999</v>
      </c>
      <c r="M1620">
        <v>-0.99951760000000001</v>
      </c>
      <c r="N1620">
        <v>0</v>
      </c>
      <c r="O1620">
        <v>3.0014840000000001E-2</v>
      </c>
      <c r="P1620">
        <v>-0.99423799999999996</v>
      </c>
      <c r="Q1620">
        <v>-2.7577620000000001E-2</v>
      </c>
      <c r="R1620">
        <v>0.1035871</v>
      </c>
      <c r="S1620">
        <v>-2.9495390000000001</v>
      </c>
      <c r="T1620">
        <v>-0.61260150000000002</v>
      </c>
      <c r="U1620">
        <v>0.49038700000000002</v>
      </c>
      <c r="V1620">
        <v>7.3688989999999996E-2</v>
      </c>
      <c r="W1620">
        <v>-1.9651459999999999E-2</v>
      </c>
      <c r="X1620">
        <v>0.99708770000000002</v>
      </c>
      <c r="Y1620">
        <v>0.13220409999999999</v>
      </c>
      <c r="Z1620">
        <v>7.3712279999999996E-3</v>
      </c>
      <c r="AA1620">
        <v>0.9911951</v>
      </c>
      <c r="AB1620">
        <v>23</v>
      </c>
      <c r="AC1620">
        <v>-0.63110000000000299</v>
      </c>
      <c r="AD1620">
        <v>-0.181899799999999</v>
      </c>
      <c r="AE1620">
        <v>0.13800000000003301</v>
      </c>
      <c r="AF1620">
        <v>0.110253549271229</v>
      </c>
      <c r="AG1620">
        <v>-0.181899799999999</v>
      </c>
      <c r="AH1620">
        <v>0.58831413570530899</v>
      </c>
      <c r="AI1620">
        <v>106.90390505312899</v>
      </c>
      <c r="AJ1620">
        <v>79.385552372466407</v>
      </c>
      <c r="AK1620">
        <v>0.625585249696337</v>
      </c>
      <c r="AL1620">
        <v>91.126018129041199</v>
      </c>
      <c r="AM1620">
        <v>85.773284064187195</v>
      </c>
      <c r="AN1620">
        <v>1.0000000643093101</v>
      </c>
    </row>
    <row r="1621" spans="1:40" x14ac:dyDescent="0.25">
      <c r="A1621" t="str">
        <f>"20190312160945771"</f>
        <v>20190312160945771</v>
      </c>
      <c r="B1621" t="str">
        <f>"1552378185767624"</f>
        <v>1552378185767624</v>
      </c>
      <c r="C1621" t="s">
        <v>40</v>
      </c>
      <c r="D1621">
        <v>5.5812369999999998</v>
      </c>
      <c r="E1621">
        <v>0.53042599999999995</v>
      </c>
      <c r="F1621" t="s">
        <v>42</v>
      </c>
      <c r="G1621">
        <v>-246.9786</v>
      </c>
      <c r="H1621">
        <v>0.86442859999999999</v>
      </c>
      <c r="I1621">
        <v>283.7002</v>
      </c>
      <c r="J1621">
        <v>-246.40710000000001</v>
      </c>
      <c r="K1621">
        <v>1.109213</v>
      </c>
      <c r="L1621">
        <v>283.56040000000002</v>
      </c>
      <c r="M1621">
        <v>-0.99950890000000003</v>
      </c>
      <c r="N1621">
        <v>0</v>
      </c>
      <c r="O1621">
        <v>3.030366E-2</v>
      </c>
      <c r="P1621">
        <v>-0.99421599999999999</v>
      </c>
      <c r="Q1621">
        <v>-2.8553240000000001E-2</v>
      </c>
      <c r="R1621">
        <v>0.1035344</v>
      </c>
      <c r="S1621">
        <v>-2.937408</v>
      </c>
      <c r="T1621">
        <v>-0.88459789999999905</v>
      </c>
      <c r="U1621">
        <v>0.53201290000000001</v>
      </c>
      <c r="V1621">
        <v>7.3348570000000002E-2</v>
      </c>
      <c r="W1621">
        <v>-2.061315E-2</v>
      </c>
      <c r="X1621">
        <v>0.99709329999999996</v>
      </c>
      <c r="Y1621">
        <v>0.14345859999999999</v>
      </c>
      <c r="Z1621">
        <v>1.211888E-2</v>
      </c>
      <c r="AA1621">
        <v>0.98958210000000002</v>
      </c>
      <c r="AB1621">
        <v>23</v>
      </c>
      <c r="AC1621">
        <v>-0.57149999999998602</v>
      </c>
      <c r="AD1621">
        <v>-0.24478440000000001</v>
      </c>
      <c r="AE1621">
        <v>0.139799999999979</v>
      </c>
      <c r="AF1621">
        <v>0.10435322997423099</v>
      </c>
      <c r="AG1621">
        <v>-0.24478440000000001</v>
      </c>
      <c r="AH1621">
        <v>0.49055874014759598</v>
      </c>
      <c r="AI1621">
        <v>116.01562942724701</v>
      </c>
      <c r="AJ1621">
        <v>77.990864799779501</v>
      </c>
      <c r="AK1621">
        <v>0.558083216576714</v>
      </c>
      <c r="AL1621">
        <v>91.181130173138797</v>
      </c>
      <c r="AM1621">
        <v>85.792763432860497</v>
      </c>
      <c r="AN1621">
        <v>0.99999998178942795</v>
      </c>
    </row>
    <row r="1622" spans="1:40" x14ac:dyDescent="0.25">
      <c r="A1622" t="str">
        <f>"20190312160945793"</f>
        <v>20190312160945793</v>
      </c>
      <c r="B1622" t="str">
        <f>"1552378185787143"</f>
        <v>1552378185787143</v>
      </c>
      <c r="C1622" t="s">
        <v>40</v>
      </c>
      <c r="D1622">
        <v>5.5189219999999999</v>
      </c>
      <c r="E1622">
        <v>0.52881210000000001</v>
      </c>
      <c r="F1622" t="s">
        <v>42</v>
      </c>
      <c r="G1622">
        <v>-247.20249999999999</v>
      </c>
      <c r="H1622">
        <v>0.89891219999999905</v>
      </c>
      <c r="I1622">
        <v>283.70589999999999</v>
      </c>
      <c r="J1622">
        <v>-246.64179999999999</v>
      </c>
      <c r="K1622">
        <v>1.1092059999999999</v>
      </c>
      <c r="L1622">
        <v>283.56779999999998</v>
      </c>
      <c r="M1622">
        <v>-0.99950039999999996</v>
      </c>
      <c r="N1622">
        <v>0</v>
      </c>
      <c r="O1622">
        <v>3.0579169999999999E-2</v>
      </c>
      <c r="P1622">
        <v>-0.99421579999999998</v>
      </c>
      <c r="Q1622">
        <v>-2.8602809999999999E-2</v>
      </c>
      <c r="R1622">
        <v>0.103523</v>
      </c>
      <c r="S1622">
        <v>-2.9391780000000001</v>
      </c>
      <c r="T1622">
        <v>-0.7771614</v>
      </c>
      <c r="U1622">
        <v>0.537323</v>
      </c>
      <c r="V1622">
        <v>7.3062379999999996E-2</v>
      </c>
      <c r="W1622">
        <v>-2.0649689999999998E-2</v>
      </c>
      <c r="X1622">
        <v>0.99711360000000004</v>
      </c>
      <c r="Y1622">
        <v>0.1458381</v>
      </c>
      <c r="Z1622">
        <v>1.0926150000000001E-2</v>
      </c>
      <c r="AA1622">
        <v>0.98924820000000002</v>
      </c>
      <c r="AB1622">
        <v>23</v>
      </c>
      <c r="AC1622">
        <v>-0.56069999999999698</v>
      </c>
      <c r="AD1622">
        <v>-0.2102938</v>
      </c>
      <c r="AE1622">
        <v>0.13810000000000799</v>
      </c>
      <c r="AF1622">
        <v>0.106733903628566</v>
      </c>
      <c r="AG1622">
        <v>-0.2102938</v>
      </c>
      <c r="AH1622">
        <v>0.49854328021421102</v>
      </c>
      <c r="AI1622">
        <v>112.414660376085</v>
      </c>
      <c r="AJ1622">
        <v>77.915879731713204</v>
      </c>
      <c r="AK1622">
        <v>0.55150794259827096</v>
      </c>
      <c r="AL1622">
        <v>91.183224154137093</v>
      </c>
      <c r="AM1622">
        <v>85.809205560267401</v>
      </c>
      <c r="AN1622">
        <v>1.00000002618666</v>
      </c>
    </row>
    <row r="1623" spans="1:40" x14ac:dyDescent="0.25">
      <c r="A1623" t="str">
        <f>"20190312160945815"</f>
        <v>20190312160945815</v>
      </c>
      <c r="B1623" t="str">
        <f>"1552378185806664"</f>
        <v>1552378185806664</v>
      </c>
      <c r="C1623" t="s">
        <v>40</v>
      </c>
      <c r="D1623">
        <v>5.6321680000000001</v>
      </c>
      <c r="E1623">
        <v>0.53044959999999997</v>
      </c>
      <c r="F1623" t="s">
        <v>42</v>
      </c>
      <c r="G1623">
        <v>-247.4203</v>
      </c>
      <c r="H1623">
        <v>0.91819810000000002</v>
      </c>
      <c r="I1623">
        <v>283.70670000000001</v>
      </c>
      <c r="J1623">
        <v>-246.8766</v>
      </c>
      <c r="K1623">
        <v>1.109199</v>
      </c>
      <c r="L1623">
        <v>283.57530000000003</v>
      </c>
      <c r="M1623">
        <v>-0.99949180000000004</v>
      </c>
      <c r="N1623">
        <v>0</v>
      </c>
      <c r="O1623">
        <v>3.085398E-2</v>
      </c>
      <c r="P1623">
        <v>-0.99431480000000005</v>
      </c>
      <c r="Q1623">
        <v>-2.781115E-2</v>
      </c>
      <c r="R1623">
        <v>0.1027849</v>
      </c>
      <c r="S1623">
        <v>-2.9420009999999999</v>
      </c>
      <c r="T1623">
        <v>-0.7218734</v>
      </c>
      <c r="U1623">
        <v>0.52499390000000001</v>
      </c>
      <c r="V1623">
        <v>7.2047570000000005E-2</v>
      </c>
      <c r="W1623">
        <v>-1.9844420000000002E-2</v>
      </c>
      <c r="X1623">
        <v>0.99720379999999997</v>
      </c>
      <c r="Y1623">
        <v>0.14202110000000001</v>
      </c>
      <c r="Z1623">
        <v>9.6419039999999998E-3</v>
      </c>
      <c r="AA1623">
        <v>0.98981669999999999</v>
      </c>
      <c r="AB1623">
        <v>23</v>
      </c>
      <c r="AC1623">
        <v>-0.54370000000000096</v>
      </c>
      <c r="AD1623">
        <v>-0.1910009</v>
      </c>
      <c r="AE1623">
        <v>0.131399999999985</v>
      </c>
      <c r="AF1623">
        <v>0.10259858093008201</v>
      </c>
      <c r="AG1623">
        <v>-0.1910009</v>
      </c>
      <c r="AH1623">
        <v>0.49032366550334699</v>
      </c>
      <c r="AI1623">
        <v>110.870988316378</v>
      </c>
      <c r="AJ1623">
        <v>78.181568180487105</v>
      </c>
      <c r="AK1623">
        <v>0.53612042449650699</v>
      </c>
      <c r="AL1623">
        <v>91.137076110515196</v>
      </c>
      <c r="AM1623">
        <v>85.867583602274493</v>
      </c>
      <c r="AN1623">
        <v>1.00000003604124</v>
      </c>
    </row>
    <row r="1624" spans="1:40" x14ac:dyDescent="0.25">
      <c r="A1624" t="str">
        <f>"20190312160945837"</f>
        <v>20190312160945837</v>
      </c>
      <c r="B1624" t="str">
        <f>"1552378185827160"</f>
        <v>1552378185827160</v>
      </c>
      <c r="C1624" t="s">
        <v>40</v>
      </c>
      <c r="D1624">
        <v>5.5730360000000001</v>
      </c>
      <c r="E1624">
        <v>0.5310357</v>
      </c>
      <c r="F1624" t="s">
        <v>42</v>
      </c>
      <c r="G1624">
        <v>-247.63249999999999</v>
      </c>
      <c r="H1624">
        <v>0.92249610000000004</v>
      </c>
      <c r="I1624">
        <v>283.7131</v>
      </c>
      <c r="J1624">
        <v>-247.10579999999999</v>
      </c>
      <c r="K1624">
        <v>1.1092029999999999</v>
      </c>
      <c r="L1624">
        <v>283.58269999999999</v>
      </c>
      <c r="M1624">
        <v>-0.99948320000000002</v>
      </c>
      <c r="N1624">
        <v>0</v>
      </c>
      <c r="O1624">
        <v>3.1123970000000001E-2</v>
      </c>
      <c r="P1624">
        <v>-0.99430450000000004</v>
      </c>
      <c r="Q1624">
        <v>-2.7819940000000001E-2</v>
      </c>
      <c r="R1624">
        <v>0.10288170000000001</v>
      </c>
      <c r="S1624">
        <v>-2.9414220000000002</v>
      </c>
      <c r="T1624">
        <v>-0.72647439999999996</v>
      </c>
      <c r="U1624">
        <v>0.53628540000000002</v>
      </c>
      <c r="V1624">
        <v>7.1875170000000002E-2</v>
      </c>
      <c r="W1624">
        <v>-1.9841020000000001E-2</v>
      </c>
      <c r="X1624">
        <v>0.99721630000000006</v>
      </c>
      <c r="Y1624">
        <v>0.14533940000000001</v>
      </c>
      <c r="Z1624">
        <v>1.003589E-2</v>
      </c>
      <c r="AA1624">
        <v>0.98933090000000001</v>
      </c>
      <c r="AB1624">
        <v>23</v>
      </c>
      <c r="AC1624">
        <v>-0.52670000000000505</v>
      </c>
      <c r="AD1624">
        <v>-0.18670690000000001</v>
      </c>
      <c r="AE1624">
        <v>0.13040000000000801</v>
      </c>
      <c r="AF1624">
        <v>0.10188047899117</v>
      </c>
      <c r="AG1624">
        <v>-0.18670690000000001</v>
      </c>
      <c r="AH1624">
        <v>0.474340777106663</v>
      </c>
      <c r="AI1624">
        <v>111.048565836675</v>
      </c>
      <c r="AJ1624">
        <v>77.877987601376404</v>
      </c>
      <c r="AK1624">
        <v>0.51984446840688103</v>
      </c>
      <c r="AL1624">
        <v>91.136881276151598</v>
      </c>
      <c r="AM1624">
        <v>85.877489274265201</v>
      </c>
      <c r="AN1624">
        <v>1.00000002756142</v>
      </c>
    </row>
    <row r="1625" spans="1:40" x14ac:dyDescent="0.25">
      <c r="A1625" t="str">
        <f>"20190312160945859"</f>
        <v>20190312160945859</v>
      </c>
      <c r="B1625" t="str">
        <f>"1552378185857415"</f>
        <v>1552378185857415</v>
      </c>
      <c r="C1625" t="s">
        <v>40</v>
      </c>
      <c r="D1625">
        <v>5.3281499999999999</v>
      </c>
      <c r="E1625">
        <v>0.53083630000000004</v>
      </c>
      <c r="F1625" t="s">
        <v>42</v>
      </c>
      <c r="G1625">
        <v>-247.8426</v>
      </c>
      <c r="H1625">
        <v>0.92084109999999997</v>
      </c>
      <c r="I1625">
        <v>283.7183</v>
      </c>
      <c r="J1625">
        <v>-247.34360000000001</v>
      </c>
      <c r="K1625">
        <v>1.109197</v>
      </c>
      <c r="L1625">
        <v>283.59039999999999</v>
      </c>
      <c r="M1625">
        <v>-0.99947439999999999</v>
      </c>
      <c r="N1625">
        <v>0</v>
      </c>
      <c r="O1625">
        <v>3.1406530000000002E-2</v>
      </c>
      <c r="P1625">
        <v>-0.99428709999999998</v>
      </c>
      <c r="Q1625">
        <v>-2.783105E-2</v>
      </c>
      <c r="R1625">
        <v>0.1030486</v>
      </c>
      <c r="S1625">
        <v>-2.9402469999999998</v>
      </c>
      <c r="T1625">
        <v>-0.75166940000000004</v>
      </c>
      <c r="U1625">
        <v>0.54022219999999999</v>
      </c>
      <c r="V1625">
        <v>7.1760560000000001E-2</v>
      </c>
      <c r="W1625">
        <v>-1.9839539999999999E-2</v>
      </c>
      <c r="X1625">
        <v>0.99722460000000002</v>
      </c>
      <c r="Y1625">
        <v>0.14616219999999999</v>
      </c>
      <c r="Z1625">
        <v>1.040862E-2</v>
      </c>
      <c r="AA1625">
        <v>0.98920589999999997</v>
      </c>
      <c r="AB1625">
        <v>24</v>
      </c>
      <c r="AC1625">
        <v>-0.498999999999995</v>
      </c>
      <c r="AD1625">
        <v>-0.18835589999999999</v>
      </c>
      <c r="AE1625">
        <v>0.127900000000011</v>
      </c>
      <c r="AF1625">
        <v>9.8936900739754502E-2</v>
      </c>
      <c r="AG1625">
        <v>-0.18835589999999999</v>
      </c>
      <c r="AH1625">
        <v>0.44347875547988003</v>
      </c>
      <c r="AI1625">
        <v>112.51562693462699</v>
      </c>
      <c r="AJ1625">
        <v>77.423669983436497</v>
      </c>
      <c r="AK1625">
        <v>0.49187382727156898</v>
      </c>
      <c r="AL1625">
        <v>91.136796442922503</v>
      </c>
      <c r="AM1625">
        <v>85.884074436216395</v>
      </c>
      <c r="AN1625">
        <v>1.00000004408204</v>
      </c>
    </row>
    <row r="1626" spans="1:40" x14ac:dyDescent="0.25">
      <c r="A1626" t="str">
        <f>"20190312160945880"</f>
        <v>20190312160945880</v>
      </c>
      <c r="B1626" t="str">
        <f>"1552378185876935"</f>
        <v>1552378185876935</v>
      </c>
      <c r="C1626" t="s">
        <v>40</v>
      </c>
      <c r="D1626">
        <v>5.4859749999999998</v>
      </c>
      <c r="E1626">
        <v>0.52927380000000002</v>
      </c>
      <c r="F1626" t="s">
        <v>42</v>
      </c>
      <c r="G1626">
        <v>-248.0547</v>
      </c>
      <c r="H1626">
        <v>0.92228730000000003</v>
      </c>
      <c r="I1626">
        <v>283.72059999999999</v>
      </c>
      <c r="J1626">
        <v>-247.56370000000001</v>
      </c>
      <c r="K1626">
        <v>1.109194</v>
      </c>
      <c r="L1626">
        <v>283.5976</v>
      </c>
      <c r="M1626">
        <v>-0.99946590000000002</v>
      </c>
      <c r="N1626">
        <v>0</v>
      </c>
      <c r="O1626">
        <v>3.167097E-2</v>
      </c>
      <c r="P1626">
        <v>-0.99430790000000002</v>
      </c>
      <c r="Q1626">
        <v>-2.8161950000000002E-2</v>
      </c>
      <c r="R1626">
        <v>0.1027571</v>
      </c>
      <c r="S1626">
        <v>-2.939835</v>
      </c>
      <c r="T1626">
        <v>-0.77280249999999995</v>
      </c>
      <c r="U1626">
        <v>0.53814700000000004</v>
      </c>
      <c r="V1626">
        <v>7.1204450000000002E-2</v>
      </c>
      <c r="W1626">
        <v>-2.0158229999999999E-2</v>
      </c>
      <c r="X1626">
        <v>0.99725799999999998</v>
      </c>
      <c r="Y1626">
        <v>0.14509169999999999</v>
      </c>
      <c r="Z1626">
        <v>1.048906E-2</v>
      </c>
      <c r="AA1626">
        <v>0.98936259999999998</v>
      </c>
      <c r="AB1626">
        <v>24</v>
      </c>
      <c r="AC1626">
        <v>-0.490999999999985</v>
      </c>
      <c r="AD1626">
        <v>-0.18690670000000001</v>
      </c>
      <c r="AE1626">
        <v>0.12299999999999001</v>
      </c>
      <c r="AF1626">
        <v>9.4502033867128896E-2</v>
      </c>
      <c r="AG1626">
        <v>-0.18690670000000001</v>
      </c>
      <c r="AH1626">
        <v>0.43529681102307499</v>
      </c>
      <c r="AI1626">
        <v>112.76307610967601</v>
      </c>
      <c r="AJ1626">
        <v>77.751278171843893</v>
      </c>
      <c r="AK1626">
        <v>0.48306113753517099</v>
      </c>
      <c r="AL1626">
        <v>91.155059768600495</v>
      </c>
      <c r="AM1626">
        <v>85.9159988572016</v>
      </c>
      <c r="AN1626">
        <v>0.99999997325026702</v>
      </c>
    </row>
    <row r="1627" spans="1:40" x14ac:dyDescent="0.25">
      <c r="A1627" t="str">
        <f>"20190312160945902"</f>
        <v>20190312160945902</v>
      </c>
      <c r="B1627" t="str">
        <f>"1552378185897431"</f>
        <v>1552378185897431</v>
      </c>
      <c r="C1627" t="s">
        <v>40</v>
      </c>
      <c r="D1627">
        <v>5.0923150000000001</v>
      </c>
      <c r="E1627">
        <v>0.49175839999999998</v>
      </c>
      <c r="F1627" t="s">
        <v>42</v>
      </c>
      <c r="G1627">
        <v>-248.2687</v>
      </c>
      <c r="H1627">
        <v>0.92660050000000005</v>
      </c>
      <c r="I1627">
        <v>283.72359999999998</v>
      </c>
      <c r="J1627">
        <v>-247.79249999999999</v>
      </c>
      <c r="K1627">
        <v>1.1091930000000001</v>
      </c>
      <c r="L1627">
        <v>283.60520000000002</v>
      </c>
      <c r="M1627">
        <v>-0.99945700000000004</v>
      </c>
      <c r="N1627">
        <v>0</v>
      </c>
      <c r="O1627">
        <v>3.1947799999999998E-2</v>
      </c>
      <c r="P1627">
        <v>-0.99431749999999997</v>
      </c>
      <c r="Q1627">
        <v>-2.8102709999999999E-2</v>
      </c>
      <c r="R1627">
        <v>0.10267950000000001</v>
      </c>
      <c r="S1627">
        <v>-2.9413149999999999</v>
      </c>
      <c r="T1627">
        <v>-0.76178040000000002</v>
      </c>
      <c r="U1627">
        <v>0.5253601</v>
      </c>
      <c r="V1627">
        <v>7.0850189999999993E-2</v>
      </c>
      <c r="W1627">
        <v>-2.008354E-2</v>
      </c>
      <c r="X1627">
        <v>0.99728479999999997</v>
      </c>
      <c r="Y1627">
        <v>0.14081270000000001</v>
      </c>
      <c r="Z1627">
        <v>9.7319209999999993E-3</v>
      </c>
      <c r="AA1627">
        <v>0.98998839999999999</v>
      </c>
      <c r="AB1627">
        <v>24</v>
      </c>
      <c r="AC1627">
        <v>-0.47620000000000501</v>
      </c>
      <c r="AD1627">
        <v>-0.18259249999999999</v>
      </c>
      <c r="AE1627">
        <v>0.118399999999951</v>
      </c>
      <c r="AF1627">
        <v>9.0583042403138997E-2</v>
      </c>
      <c r="AG1627">
        <v>-0.18259249999999999</v>
      </c>
      <c r="AH1627">
        <v>0.42139207138294599</v>
      </c>
      <c r="AI1627">
        <v>112.959009204176</v>
      </c>
      <c r="AJ1627">
        <v>77.868232085915196</v>
      </c>
      <c r="AK1627">
        <v>0.46809890669779203</v>
      </c>
      <c r="AL1627">
        <v>91.150779408938007</v>
      </c>
      <c r="AM1627">
        <v>85.936358383212493</v>
      </c>
      <c r="AN1627">
        <v>1.0000000351564999</v>
      </c>
    </row>
    <row r="1628" spans="1:40" x14ac:dyDescent="0.25">
      <c r="A1628" t="str">
        <f>"20190312160945947"</f>
        <v>20190312160945947</v>
      </c>
      <c r="B1628" t="str">
        <f>"1552378185937447"</f>
        <v>1552378185937447</v>
      </c>
      <c r="C1628" t="s">
        <v>40</v>
      </c>
      <c r="D1628">
        <v>4.9198050000000002</v>
      </c>
      <c r="E1628">
        <v>0.4723755</v>
      </c>
      <c r="F1628" t="s">
        <v>42</v>
      </c>
      <c r="G1628">
        <v>-248.5445</v>
      </c>
      <c r="H1628">
        <v>1.0499400000000001</v>
      </c>
      <c r="I1628">
        <v>283.66539999999998</v>
      </c>
      <c r="J1628">
        <v>-248.2747</v>
      </c>
      <c r="K1628">
        <v>1.109191</v>
      </c>
      <c r="L1628">
        <v>283.62130000000002</v>
      </c>
      <c r="M1628">
        <v>-0.99943760000000004</v>
      </c>
      <c r="N1628">
        <v>0</v>
      </c>
      <c r="O1628">
        <v>3.2536540000000003E-2</v>
      </c>
      <c r="P1628">
        <v>-0.99427840000000001</v>
      </c>
      <c r="Q1628">
        <v>-2.7938540000000001E-2</v>
      </c>
      <c r="R1628">
        <v>0.10310270000000001</v>
      </c>
      <c r="S1628">
        <v>-2.9858250000000002</v>
      </c>
      <c r="T1628">
        <v>-0.23524429999999999</v>
      </c>
      <c r="U1628">
        <v>0.23904420000000001</v>
      </c>
      <c r="V1628">
        <v>7.0687079999999999E-2</v>
      </c>
      <c r="W1628">
        <v>-1.987479E-2</v>
      </c>
      <c r="X1628">
        <v>0.99730050000000003</v>
      </c>
      <c r="Y1628">
        <v>4.7282860000000003E-2</v>
      </c>
      <c r="Z1628">
        <v>-6.975385E-4</v>
      </c>
      <c r="AA1628">
        <v>0.99888129999999997</v>
      </c>
      <c r="AB1628">
        <v>24</v>
      </c>
      <c r="AC1628">
        <v>-0.26980000000000298</v>
      </c>
      <c r="AD1628">
        <v>-5.9251000000000102E-2</v>
      </c>
      <c r="AE1628">
        <v>4.4099999999957597E-2</v>
      </c>
      <c r="AF1628">
        <v>3.3714309540319599E-2</v>
      </c>
      <c r="AG1628">
        <v>-5.9251000000000102E-2</v>
      </c>
      <c r="AH1628">
        <v>0.25892914219865898</v>
      </c>
      <c r="AI1628">
        <v>102.784801691692</v>
      </c>
      <c r="AJ1628">
        <v>82.581441875625501</v>
      </c>
      <c r="AK1628">
        <v>0.26775293901003899</v>
      </c>
      <c r="AL1628">
        <v>91.138816591573303</v>
      </c>
      <c r="AM1628">
        <v>85.945746002952902</v>
      </c>
      <c r="AN1628">
        <v>0.99999997892836001</v>
      </c>
    </row>
    <row r="1629" spans="1:40" x14ac:dyDescent="0.25">
      <c r="A1629" t="str">
        <f>"20190312160945971"</f>
        <v>20190312160945971</v>
      </c>
      <c r="B1629" t="str">
        <f>"1552378185966727"</f>
        <v>1552378185966727</v>
      </c>
      <c r="C1629" t="s">
        <v>40</v>
      </c>
      <c r="D1629">
        <v>5.5850710000000001</v>
      </c>
      <c r="E1629">
        <v>0.452239</v>
      </c>
      <c r="F1629" t="s">
        <v>42</v>
      </c>
      <c r="G1629">
        <v>-249.11060000000001</v>
      </c>
      <c r="H1629">
        <v>0.88707780000000003</v>
      </c>
      <c r="I1629">
        <v>283.64229999999998</v>
      </c>
      <c r="J1629">
        <v>-248.52670000000001</v>
      </c>
      <c r="K1629">
        <v>1.1091959999999901</v>
      </c>
      <c r="L1629">
        <v>283.62990000000002</v>
      </c>
      <c r="M1629">
        <v>-0.99942739999999997</v>
      </c>
      <c r="N1629">
        <v>0</v>
      </c>
      <c r="O1629">
        <v>3.2845020000000003E-2</v>
      </c>
      <c r="P1629">
        <v>-0.99426029999999999</v>
      </c>
      <c r="Q1629">
        <v>-2.8628509999999999E-2</v>
      </c>
      <c r="R1629">
        <v>0.1030876</v>
      </c>
      <c r="S1629">
        <v>-2.987244</v>
      </c>
      <c r="T1629">
        <v>-0.79361490000000001</v>
      </c>
      <c r="U1629">
        <v>7.455444E-2</v>
      </c>
      <c r="V1629">
        <v>7.0364399999999994E-2</v>
      </c>
      <c r="W1629">
        <v>-2.0539229999999999E-2</v>
      </c>
      <c r="X1629">
        <v>0.99730989999999997</v>
      </c>
      <c r="Y1629">
        <v>-6.5348890000000003E-3</v>
      </c>
      <c r="Z1629">
        <v>-9.4272130000000003E-3</v>
      </c>
      <c r="AA1629">
        <v>0.9999342</v>
      </c>
      <c r="AB1629">
        <v>24</v>
      </c>
      <c r="AC1629">
        <v>-0.58389999999999898</v>
      </c>
      <c r="AD1629">
        <v>-0.22211819999999899</v>
      </c>
      <c r="AE1629">
        <v>1.23999999999568E-2</v>
      </c>
      <c r="AF1629">
        <v>-5.9280800681206901E-3</v>
      </c>
      <c r="AG1629">
        <v>-0.22211819999999899</v>
      </c>
      <c r="AH1629">
        <v>0.51019623953755</v>
      </c>
      <c r="AI1629">
        <v>113.524888207657</v>
      </c>
      <c r="AJ1629">
        <v>90.665702054052204</v>
      </c>
      <c r="AK1629">
        <v>0.55648166164105595</v>
      </c>
      <c r="AL1629">
        <v>91.176893924032797</v>
      </c>
      <c r="AM1629">
        <v>85.964229916599095</v>
      </c>
      <c r="AN1629">
        <v>1.0000000226971799</v>
      </c>
    </row>
    <row r="1630" spans="1:40" x14ac:dyDescent="0.25">
      <c r="A1630" t="str">
        <f>"20190312160946004"</f>
        <v>20190312160946004</v>
      </c>
      <c r="B1630" t="str">
        <f>"1552378185996983"</f>
        <v>1552378185996983</v>
      </c>
      <c r="C1630" t="s">
        <v>40</v>
      </c>
      <c r="D1630">
        <v>5.5060669999999998</v>
      </c>
      <c r="E1630">
        <v>0.4512253</v>
      </c>
      <c r="F1630" t="s">
        <v>61</v>
      </c>
      <c r="G1630">
        <v>-263.32580000000002</v>
      </c>
      <c r="H1630" s="1">
        <v>2.3302370000000001E-7</v>
      </c>
      <c r="I1630">
        <v>283.2724</v>
      </c>
      <c r="J1630">
        <v>-248.88470000000001</v>
      </c>
      <c r="K1630">
        <v>1.109194</v>
      </c>
      <c r="L1630">
        <v>283.6422</v>
      </c>
      <c r="M1630">
        <v>-0.99941250000000004</v>
      </c>
      <c r="N1630">
        <v>0</v>
      </c>
      <c r="O1630">
        <v>3.3283220000000002E-2</v>
      </c>
      <c r="P1630">
        <v>-0.99420090000000005</v>
      </c>
      <c r="Q1630">
        <v>-2.8713909999999999E-2</v>
      </c>
      <c r="R1630">
        <v>0.1036348</v>
      </c>
      <c r="S1630">
        <v>-3.0183719999999998</v>
      </c>
      <c r="T1630">
        <v>-0.22622819999999999</v>
      </c>
      <c r="U1630">
        <v>-7.2906490000000004E-2</v>
      </c>
      <c r="V1630">
        <v>7.0475880000000005E-2</v>
      </c>
      <c r="W1630">
        <v>-2.0589969999999999E-2</v>
      </c>
      <c r="X1630">
        <v>0.99730099999999999</v>
      </c>
      <c r="Y1630">
        <v>-5.7154910000000003E-2</v>
      </c>
      <c r="Z1630">
        <v>-4.6293059999999997E-3</v>
      </c>
      <c r="AA1630">
        <v>0.99835459999999998</v>
      </c>
      <c r="AB1630">
        <v>24</v>
      </c>
      <c r="AC1630">
        <v>-14.4411</v>
      </c>
      <c r="AD1630">
        <v>-1.1091937669762999</v>
      </c>
      <c r="AE1630">
        <v>-0.36979999999999702</v>
      </c>
      <c r="AF1630">
        <v>-0.84527406880282796</v>
      </c>
      <c r="AG1630">
        <v>-1.1091937669762999</v>
      </c>
      <c r="AH1630">
        <v>14.3362687583443</v>
      </c>
      <c r="AI1630">
        <v>94.416507797981097</v>
      </c>
      <c r="AJ1630">
        <v>93.374283345859993</v>
      </c>
      <c r="AK1630">
        <v>14.4039369956817</v>
      </c>
      <c r="AL1630">
        <v>91.179801705661603</v>
      </c>
      <c r="AM1630">
        <v>85.957821174687993</v>
      </c>
      <c r="AN1630">
        <v>1.00000004056368</v>
      </c>
    </row>
    <row r="1631" spans="1:40" x14ac:dyDescent="0.25">
      <c r="A1631" t="str">
        <f>"20190312160946037"</f>
        <v>20190312160946037</v>
      </c>
      <c r="B1631" t="str">
        <f>"1552378186027239"</f>
        <v>1552378186027239</v>
      </c>
      <c r="C1631" t="s">
        <v>40</v>
      </c>
      <c r="D1631">
        <v>5.5817779999999999</v>
      </c>
      <c r="E1631">
        <v>0.45726909999999998</v>
      </c>
      <c r="F1631" t="s">
        <v>74</v>
      </c>
      <c r="G1631">
        <v>-308.7208</v>
      </c>
      <c r="H1631" s="1">
        <v>2.6334009999999999E-6</v>
      </c>
      <c r="I1631">
        <v>282.14870000000002</v>
      </c>
      <c r="J1631">
        <v>-249.24780000000001</v>
      </c>
      <c r="K1631">
        <v>1.109197</v>
      </c>
      <c r="L1631">
        <v>283.65480000000002</v>
      </c>
      <c r="M1631">
        <v>-0.99939730000000004</v>
      </c>
      <c r="N1631">
        <v>0</v>
      </c>
      <c r="O1631">
        <v>3.3726079999999999E-2</v>
      </c>
      <c r="P1631">
        <v>-0.99413039999999997</v>
      </c>
      <c r="Q1631">
        <v>-2.9106480000000001E-2</v>
      </c>
      <c r="R1631">
        <v>0.1041998</v>
      </c>
      <c r="S1631">
        <v>-3.0237430000000001</v>
      </c>
      <c r="T1631">
        <v>-5.6051610000000002E-2</v>
      </c>
      <c r="U1631">
        <v>-7.5469969999999997E-2</v>
      </c>
      <c r="V1631">
        <v>7.0600789999999997E-2</v>
      </c>
      <c r="W1631">
        <v>-2.0949269999999999E-2</v>
      </c>
      <c r="X1631">
        <v>0.99728470000000002</v>
      </c>
      <c r="Y1631">
        <v>-5.8638019999999999E-2</v>
      </c>
      <c r="Z1631">
        <v>-1.168393E-3</v>
      </c>
      <c r="AA1631">
        <v>0.99827860000000002</v>
      </c>
      <c r="AB1631">
        <v>24</v>
      </c>
      <c r="AC1631">
        <v>-59.4729999999999</v>
      </c>
      <c r="AD1631">
        <v>-1.1091943665989901</v>
      </c>
      <c r="AE1631">
        <v>-1.5061</v>
      </c>
      <c r="AF1631">
        <v>-3.5098820021234798</v>
      </c>
      <c r="AG1631">
        <v>-1.1091943665989901</v>
      </c>
      <c r="AH1631">
        <v>59.367730735492501</v>
      </c>
      <c r="AI1631">
        <v>91.0684933369986</v>
      </c>
      <c r="AJ1631">
        <v>93.383447705970596</v>
      </c>
      <c r="AK1631">
        <v>59.4817369996343</v>
      </c>
      <c r="AL1631">
        <v>91.200392499074994</v>
      </c>
      <c r="AM1631">
        <v>85.950614747968203</v>
      </c>
      <c r="AN1631">
        <v>1.0000000581581201</v>
      </c>
    </row>
    <row r="1632" spans="1:40" x14ac:dyDescent="0.25">
      <c r="A1632" t="str">
        <f>"20190312160946059"</f>
        <v>20190312160946059</v>
      </c>
      <c r="B1632" t="str">
        <f>"1552378186046759"</f>
        <v>1552378186046759</v>
      </c>
      <c r="C1632" t="s">
        <v>40</v>
      </c>
      <c r="D1632">
        <v>5.6134870000000001</v>
      </c>
      <c r="E1632">
        <v>0.45947749999999998</v>
      </c>
      <c r="F1632" t="s">
        <v>61</v>
      </c>
      <c r="G1632">
        <v>-334.4461</v>
      </c>
      <c r="H1632" s="1">
        <v>9.0240400000000004E-7</v>
      </c>
      <c r="I1632">
        <v>282.94170000000003</v>
      </c>
      <c r="J1632">
        <v>-249.47720000000001</v>
      </c>
      <c r="K1632">
        <v>1.109197</v>
      </c>
      <c r="L1632">
        <v>283.6628</v>
      </c>
      <c r="M1632">
        <v>-0.99938769999999999</v>
      </c>
      <c r="N1632">
        <v>0</v>
      </c>
      <c r="O1632">
        <v>3.4005720000000003E-2</v>
      </c>
      <c r="P1632">
        <v>-0.99397179999999996</v>
      </c>
      <c r="Q1632">
        <v>-2.937493E-2</v>
      </c>
      <c r="R1632">
        <v>0.1056281</v>
      </c>
      <c r="S1632">
        <v>-3.019196</v>
      </c>
      <c r="T1632">
        <v>-3.9306880000000002E-2</v>
      </c>
      <c r="U1632">
        <v>-2.5268550000000001E-2</v>
      </c>
      <c r="V1632">
        <v>7.1754470000000001E-2</v>
      </c>
      <c r="W1632">
        <v>-2.1196309999999999E-2</v>
      </c>
      <c r="X1632">
        <v>0.99719709999999995</v>
      </c>
      <c r="Y1632">
        <v>-4.2363379999999999E-2</v>
      </c>
      <c r="Z1632">
        <v>-7.1840809999999995E-4</v>
      </c>
      <c r="AA1632">
        <v>0.99910200000000005</v>
      </c>
      <c r="AB1632">
        <v>24</v>
      </c>
      <c r="AC1632">
        <v>-84.968899999999906</v>
      </c>
      <c r="AD1632">
        <v>-1.109196097596</v>
      </c>
      <c r="AE1632">
        <v>-0.72109999999997798</v>
      </c>
      <c r="AF1632">
        <v>-3.6095944769569002</v>
      </c>
      <c r="AG1632">
        <v>-1.109196097596</v>
      </c>
      <c r="AH1632">
        <v>84.880768004034095</v>
      </c>
      <c r="AI1632">
        <v>90.748005261778999</v>
      </c>
      <c r="AJ1632">
        <v>92.435062740037793</v>
      </c>
      <c r="AK1632">
        <v>84.964723651793605</v>
      </c>
      <c r="AL1632">
        <v>91.214550035474502</v>
      </c>
      <c r="AM1632">
        <v>85.884309429737598</v>
      </c>
      <c r="AN1632">
        <v>1.0000000218855001</v>
      </c>
    </row>
    <row r="1633" spans="1:40" x14ac:dyDescent="0.25">
      <c r="A1633" t="str">
        <f>"20190312160946081"</f>
        <v>20190312160946081</v>
      </c>
      <c r="B1633" t="str">
        <f>"1552378186077015"</f>
        <v>1552378186077015</v>
      </c>
      <c r="C1633" t="s">
        <v>40</v>
      </c>
      <c r="D1633">
        <v>5.6543349999999997</v>
      </c>
      <c r="E1633">
        <v>0.46207399999999998</v>
      </c>
      <c r="F1633" t="s">
        <v>61</v>
      </c>
      <c r="G1633">
        <v>-323.68810000000002</v>
      </c>
      <c r="H1633" s="1">
        <v>4.7128200000000002E-7</v>
      </c>
      <c r="I1633">
        <v>283.57729999999998</v>
      </c>
      <c r="J1633">
        <v>-249.72069999999999</v>
      </c>
      <c r="K1633">
        <v>1.109197</v>
      </c>
      <c r="L1633">
        <v>283.67140000000001</v>
      </c>
      <c r="M1633">
        <v>-0.99937739999999997</v>
      </c>
      <c r="N1633">
        <v>0</v>
      </c>
      <c r="O1633">
        <v>3.4302390000000002E-2</v>
      </c>
      <c r="P1633">
        <v>-0.99391799999999997</v>
      </c>
      <c r="Q1633">
        <v>-2.9609480000000001E-2</v>
      </c>
      <c r="R1633">
        <v>0.1060677</v>
      </c>
      <c r="S1633">
        <v>-3.0172270000000001</v>
      </c>
      <c r="T1633">
        <v>-4.5097110000000003E-2</v>
      </c>
      <c r="U1633">
        <v>-3.479004E-3</v>
      </c>
      <c r="V1633">
        <v>7.1899610000000003E-2</v>
      </c>
      <c r="W1633">
        <v>-2.1403450000000001E-2</v>
      </c>
      <c r="X1633">
        <v>0.99718220000000002</v>
      </c>
      <c r="Y1633">
        <v>-3.5448109999999998E-2</v>
      </c>
      <c r="Z1633">
        <v>-7.7751630000000001E-4</v>
      </c>
      <c r="AA1633">
        <v>0.99937120000000002</v>
      </c>
      <c r="AB1633">
        <v>24</v>
      </c>
      <c r="AC1633">
        <v>-73.967399999999998</v>
      </c>
      <c r="AD1633">
        <v>-1.1091965287179999</v>
      </c>
      <c r="AE1633">
        <v>-9.4100000000025802E-2</v>
      </c>
      <c r="AF1633">
        <v>-2.6307980995037301</v>
      </c>
      <c r="AG1633">
        <v>-1.1091965287179999</v>
      </c>
      <c r="AH1633">
        <v>73.904020288439796</v>
      </c>
      <c r="AI1633">
        <v>90.859321176124595</v>
      </c>
      <c r="AJ1633">
        <v>92.038725453111596</v>
      </c>
      <c r="AK1633">
        <v>73.959148388646199</v>
      </c>
      <c r="AL1633">
        <v>91.226421002014703</v>
      </c>
      <c r="AM1633">
        <v>85.875951779990899</v>
      </c>
      <c r="AN1633">
        <v>1.00000000079344</v>
      </c>
    </row>
    <row r="1634" spans="1:40" x14ac:dyDescent="0.25">
      <c r="A1634" t="str">
        <f>"20190312160946103"</f>
        <v>20190312160946103</v>
      </c>
      <c r="B1634" t="str">
        <f>"1552378186097511"</f>
        <v>1552378186097511</v>
      </c>
      <c r="C1634" t="s">
        <v>40</v>
      </c>
      <c r="D1634">
        <v>5.6692839999999904</v>
      </c>
      <c r="E1634">
        <v>0.46284530000000002</v>
      </c>
      <c r="F1634" t="s">
        <v>74</v>
      </c>
      <c r="G1634">
        <v>-314.52</v>
      </c>
      <c r="H1634" s="1">
        <v>4.2695609999999997E-6</v>
      </c>
      <c r="I1634">
        <v>284.06560000000002</v>
      </c>
      <c r="J1634">
        <v>-249.96119999999999</v>
      </c>
      <c r="K1634">
        <v>1.1091979999999999</v>
      </c>
      <c r="L1634">
        <v>283.68009999999998</v>
      </c>
      <c r="M1634">
        <v>-0.99936689999999995</v>
      </c>
      <c r="N1634">
        <v>0</v>
      </c>
      <c r="O1634">
        <v>3.4595639999999997E-2</v>
      </c>
      <c r="P1634">
        <v>-0.99386240000000003</v>
      </c>
      <c r="Q1634">
        <v>-2.946636E-2</v>
      </c>
      <c r="R1634">
        <v>0.106628</v>
      </c>
      <c r="S1634">
        <v>-3.0148929999999998</v>
      </c>
      <c r="T1634">
        <v>-5.1607010000000002E-2</v>
      </c>
      <c r="U1634">
        <v>1.8341059999999999E-2</v>
      </c>
      <c r="V1634">
        <v>7.2168979999999994E-2</v>
      </c>
      <c r="W1634">
        <v>-2.123102E-2</v>
      </c>
      <c r="X1634">
        <v>0.99716649999999996</v>
      </c>
      <c r="Y1634">
        <v>-2.850722E-2</v>
      </c>
      <c r="Z1634">
        <v>-8.3601770000000001E-4</v>
      </c>
      <c r="AA1634">
        <v>0.99959330000000002</v>
      </c>
      <c r="AB1634">
        <v>24</v>
      </c>
      <c r="AC1634">
        <v>-64.558799999999906</v>
      </c>
      <c r="AD1634">
        <v>-1.1091937304389901</v>
      </c>
      <c r="AE1634">
        <v>0.38550000000003498</v>
      </c>
      <c r="AF1634">
        <v>-1.8477153646344</v>
      </c>
      <c r="AG1634">
        <v>-1.1091937304389901</v>
      </c>
      <c r="AH1634">
        <v>64.514445539138705</v>
      </c>
      <c r="AI1634">
        <v>90.984582861296204</v>
      </c>
      <c r="AJ1634">
        <v>91.640521889566003</v>
      </c>
      <c r="AK1634">
        <v>64.550430254358801</v>
      </c>
      <c r="AL1634">
        <v>91.216539157013003</v>
      </c>
      <c r="AM1634">
        <v>85.860489802821704</v>
      </c>
      <c r="AN1634">
        <v>1.00000007330336</v>
      </c>
    </row>
    <row r="1635" spans="1:40" x14ac:dyDescent="0.25">
      <c r="A1635" t="str">
        <f>"20190312160946126"</f>
        <v>20190312160946126</v>
      </c>
      <c r="B1635" t="str">
        <f>"1552378186117034"</f>
        <v>1552378186117034</v>
      </c>
      <c r="C1635" t="s">
        <v>40</v>
      </c>
      <c r="D1635">
        <v>5.6645190000000003</v>
      </c>
      <c r="E1635">
        <v>0.46346140000000002</v>
      </c>
      <c r="F1635" t="s">
        <v>74</v>
      </c>
      <c r="G1635">
        <v>-313.90309999999999</v>
      </c>
      <c r="H1635" s="1">
        <v>3.9813209999999901E-6</v>
      </c>
      <c r="I1635">
        <v>284.23360000000002</v>
      </c>
      <c r="J1635">
        <v>-250.21100000000001</v>
      </c>
      <c r="K1635">
        <v>1.1092</v>
      </c>
      <c r="L1635">
        <v>283.6891</v>
      </c>
      <c r="M1635">
        <v>-0.99935629999999998</v>
      </c>
      <c r="N1635">
        <v>0</v>
      </c>
      <c r="O1635">
        <v>3.4899230000000003E-2</v>
      </c>
      <c r="P1635">
        <v>-0.99377090000000001</v>
      </c>
      <c r="Q1635">
        <v>-2.9853169999999998E-2</v>
      </c>
      <c r="R1635">
        <v>0.1073711</v>
      </c>
      <c r="S1635">
        <v>-3.0141909999999998</v>
      </c>
      <c r="T1635">
        <v>-5.2286859999999998E-2</v>
      </c>
      <c r="U1635">
        <v>2.6092529999999999E-2</v>
      </c>
      <c r="V1635">
        <v>7.2611620000000002E-2</v>
      </c>
      <c r="W1635">
        <v>-2.1579439999999998E-2</v>
      </c>
      <c r="X1635">
        <v>0.99712679999999998</v>
      </c>
      <c r="Y1635">
        <v>-2.623897E-2</v>
      </c>
      <c r="Z1635">
        <v>-8.328036E-4</v>
      </c>
      <c r="AA1635">
        <v>0.99965539999999997</v>
      </c>
      <c r="AB1635">
        <v>24</v>
      </c>
      <c r="AC1635">
        <v>-63.692100000000003</v>
      </c>
      <c r="AD1635">
        <v>-1.109196018679</v>
      </c>
      <c r="AE1635">
        <v>0.54450000000002696</v>
      </c>
      <c r="AF1635">
        <v>-1.6782047522983301</v>
      </c>
      <c r="AG1635">
        <v>-1.109196018679</v>
      </c>
      <c r="AH1635">
        <v>63.652998348187303</v>
      </c>
      <c r="AI1635">
        <v>90.997969476514498</v>
      </c>
      <c r="AJ1635">
        <v>91.5102474683694</v>
      </c>
      <c r="AK1635">
        <v>63.684777503833899</v>
      </c>
      <c r="AL1635">
        <v>91.236506832275793</v>
      </c>
      <c r="AM1635">
        <v>85.835024434004495</v>
      </c>
      <c r="AN1635">
        <v>0.99999998743398799</v>
      </c>
    </row>
    <row r="1636" spans="1:40" x14ac:dyDescent="0.25">
      <c r="A1636" t="str">
        <f>"20190312160946148"</f>
        <v>20190312160946148</v>
      </c>
      <c r="B1636" t="str">
        <f>"1552378186136555"</f>
        <v>1552378186136555</v>
      </c>
      <c r="C1636" t="s">
        <v>40</v>
      </c>
      <c r="D1636">
        <v>5.6963419999999996</v>
      </c>
      <c r="E1636">
        <v>0.46399689999999999</v>
      </c>
      <c r="F1636" t="s">
        <v>74</v>
      </c>
      <c r="G1636">
        <v>-314.72449999999998</v>
      </c>
      <c r="H1636" s="1">
        <v>4.3308460000000001E-6</v>
      </c>
      <c r="I1636">
        <v>284.40179999999998</v>
      </c>
      <c r="J1636">
        <v>-250.4528</v>
      </c>
      <c r="K1636">
        <v>1.1092029999999999</v>
      </c>
      <c r="L1636">
        <v>283.69779999999997</v>
      </c>
      <c r="M1636">
        <v>-0.99934529999999999</v>
      </c>
      <c r="N1636">
        <v>0</v>
      </c>
      <c r="O1636">
        <v>3.5193839999999997E-2</v>
      </c>
      <c r="P1636">
        <v>-0.99368769999999995</v>
      </c>
      <c r="Q1636">
        <v>-2.975069E-2</v>
      </c>
      <c r="R1636">
        <v>0.1081635</v>
      </c>
      <c r="S1636">
        <v>-3.0136569999999998</v>
      </c>
      <c r="T1636">
        <v>-5.1814560000000003E-2</v>
      </c>
      <c r="U1636">
        <v>3.329468E-2</v>
      </c>
      <c r="V1636">
        <v>7.311252E-2</v>
      </c>
      <c r="W1636">
        <v>-2.1428039999999999E-2</v>
      </c>
      <c r="X1636">
        <v>0.99709349999999997</v>
      </c>
      <c r="Y1636">
        <v>-2.4143749999999999E-2</v>
      </c>
      <c r="Z1636">
        <v>-8.1246469999999996E-4</v>
      </c>
      <c r="AA1636">
        <v>0.99970820000000005</v>
      </c>
      <c r="AB1636">
        <v>24</v>
      </c>
      <c r="AC1636">
        <v>-64.271699999999896</v>
      </c>
      <c r="AD1636">
        <v>-1.1091986691539999</v>
      </c>
      <c r="AE1636">
        <v>0.70400000000000695</v>
      </c>
      <c r="AF1636">
        <v>-1.5580196867103999</v>
      </c>
      <c r="AG1636">
        <v>-1.1091986691539999</v>
      </c>
      <c r="AH1636">
        <v>64.237528493159402</v>
      </c>
      <c r="AI1636">
        <v>90.988945403924106</v>
      </c>
      <c r="AJ1636">
        <v>91.389381822501704</v>
      </c>
      <c r="AK1636">
        <v>64.265992670628606</v>
      </c>
      <c r="AL1636">
        <v>91.227830199180602</v>
      </c>
      <c r="AM1636">
        <v>85.806255593972097</v>
      </c>
      <c r="AN1636">
        <v>1.00000002461062</v>
      </c>
    </row>
    <row r="1637" spans="1:40" x14ac:dyDescent="0.25">
      <c r="A1637" t="str">
        <f>"20190312160946172"</f>
        <v>20190312160946172</v>
      </c>
      <c r="B1637" t="str">
        <f>"1552378186166809"</f>
        <v>1552378186166809</v>
      </c>
      <c r="C1637" t="s">
        <v>40</v>
      </c>
      <c r="D1637">
        <v>5.6947929999999998</v>
      </c>
      <c r="E1637">
        <v>0.46444429999999998</v>
      </c>
      <c r="F1637" t="s">
        <v>74</v>
      </c>
      <c r="G1637">
        <v>-312.62049999999999</v>
      </c>
      <c r="H1637" s="1">
        <v>3.3873959999999998E-6</v>
      </c>
      <c r="I1637">
        <v>284.52140000000003</v>
      </c>
      <c r="J1637">
        <v>-250.7088</v>
      </c>
      <c r="K1637">
        <v>1.1092089999999999</v>
      </c>
      <c r="L1637">
        <v>283.7072</v>
      </c>
      <c r="M1637">
        <v>-0.99933380000000005</v>
      </c>
      <c r="N1637">
        <v>0</v>
      </c>
      <c r="O1637">
        <v>3.5504849999999998E-2</v>
      </c>
      <c r="P1637">
        <v>-0.99363259999999998</v>
      </c>
      <c r="Q1637">
        <v>-2.9520459999999998E-2</v>
      </c>
      <c r="R1637">
        <v>0.10873339999999899</v>
      </c>
      <c r="S1637">
        <v>-3.0131230000000002</v>
      </c>
      <c r="T1637">
        <v>-5.3760290000000002E-2</v>
      </c>
      <c r="U1637">
        <v>3.9916989999999999E-2</v>
      </c>
      <c r="V1637">
        <v>7.337399E-2</v>
      </c>
      <c r="W1637">
        <v>-2.1136829999999999E-2</v>
      </c>
      <c r="X1637">
        <v>0.99708050000000004</v>
      </c>
      <c r="Y1637">
        <v>-2.2255609999999999E-2</v>
      </c>
      <c r="Z1637">
        <v>-8.3180509999999995E-4</v>
      </c>
      <c r="AA1637">
        <v>0.99975199999999997</v>
      </c>
      <c r="AB1637">
        <v>24</v>
      </c>
      <c r="AC1637">
        <v>-61.911700000000003</v>
      </c>
      <c r="AD1637">
        <v>-1.109205612604</v>
      </c>
      <c r="AE1637">
        <v>0.81420000000002801</v>
      </c>
      <c r="AF1637">
        <v>-1.3841132483760701</v>
      </c>
      <c r="AG1637">
        <v>-1.109205612604</v>
      </c>
      <c r="AH1637">
        <v>61.881711829059398</v>
      </c>
      <c r="AI1637">
        <v>91.026637872277703</v>
      </c>
      <c r="AJ1637">
        <v>91.281325681668207</v>
      </c>
      <c r="AK1637">
        <v>61.907126936000701</v>
      </c>
      <c r="AL1637">
        <v>91.211141326354294</v>
      </c>
      <c r="AM1637">
        <v>85.791256758157402</v>
      </c>
      <c r="AN1637">
        <v>1.0000000157355999</v>
      </c>
    </row>
    <row r="1638" spans="1:40" x14ac:dyDescent="0.25">
      <c r="A1638" t="str">
        <f>"20190312160946194"</f>
        <v>20190312160946194</v>
      </c>
      <c r="B1638" t="str">
        <f>"1552378186187303"</f>
        <v>1552378186187303</v>
      </c>
      <c r="C1638" t="s">
        <v>40</v>
      </c>
      <c r="D1638">
        <v>5.6794690000000001</v>
      </c>
      <c r="E1638">
        <v>0.46448</v>
      </c>
      <c r="F1638" t="s">
        <v>74</v>
      </c>
      <c r="G1638">
        <v>-315.90559999999999</v>
      </c>
      <c r="H1638" s="1">
        <v>4.8300759999999999E-6</v>
      </c>
      <c r="I1638">
        <v>284.68259999999998</v>
      </c>
      <c r="J1638">
        <v>-250.95310000000001</v>
      </c>
      <c r="K1638">
        <v>1.1092200000000001</v>
      </c>
      <c r="L1638">
        <v>283.71620000000001</v>
      </c>
      <c r="M1638">
        <v>-0.99932279999999996</v>
      </c>
      <c r="N1638">
        <v>0</v>
      </c>
      <c r="O1638">
        <v>3.5801590000000001E-2</v>
      </c>
      <c r="P1638">
        <v>-0.99351840000000002</v>
      </c>
      <c r="Q1638">
        <v>-3.0198349999999999E-2</v>
      </c>
      <c r="R1638">
        <v>0.10958950000000001</v>
      </c>
      <c r="S1638">
        <v>-3.012756</v>
      </c>
      <c r="T1638">
        <v>-5.1256540000000003E-2</v>
      </c>
      <c r="U1638">
        <v>4.5074459999999997E-2</v>
      </c>
      <c r="V1638">
        <v>7.3937420000000004E-2</v>
      </c>
      <c r="W1638">
        <v>-2.1751650000000001E-2</v>
      </c>
      <c r="X1638">
        <v>0.99702559999999996</v>
      </c>
      <c r="Y1638">
        <v>-2.0840750000000002E-2</v>
      </c>
      <c r="Z1638">
        <v>-7.8616500000000002E-4</v>
      </c>
      <c r="AA1638">
        <v>0.99978250000000002</v>
      </c>
      <c r="AB1638">
        <v>25</v>
      </c>
      <c r="AC1638">
        <v>-64.952499999999901</v>
      </c>
      <c r="AD1638">
        <v>-1.109215169924</v>
      </c>
      <c r="AE1638">
        <v>0.96639999999996395</v>
      </c>
      <c r="AF1638">
        <v>-1.3593099635571499</v>
      </c>
      <c r="AG1638">
        <v>-1.109215169924</v>
      </c>
      <c r="AH1638">
        <v>64.926526326589098</v>
      </c>
      <c r="AI1638">
        <v>90.978540662111996</v>
      </c>
      <c r="AJ1638">
        <v>91.199376466571593</v>
      </c>
      <c r="AK1638">
        <v>64.950226348392903</v>
      </c>
      <c r="AL1638">
        <v>91.246376087233401</v>
      </c>
      <c r="AM1638">
        <v>85.758823123866406</v>
      </c>
      <c r="AN1638">
        <v>0.99999996170466798</v>
      </c>
    </row>
    <row r="1639" spans="1:40" x14ac:dyDescent="0.25">
      <c r="A1639" t="str">
        <f>"20190312160946215"</f>
        <v>20190312160946215</v>
      </c>
      <c r="B1639" t="str">
        <f>"1552378186206823"</f>
        <v>1552378186206823</v>
      </c>
      <c r="C1639" t="s">
        <v>40</v>
      </c>
      <c r="D1639">
        <v>5.6101460000000003</v>
      </c>
      <c r="E1639">
        <v>0.46437580000000001</v>
      </c>
      <c r="F1639" t="s">
        <v>74</v>
      </c>
      <c r="G1639">
        <v>-314.95679999999999</v>
      </c>
      <c r="H1639" s="1">
        <v>4.4045430000000001E-6</v>
      </c>
      <c r="I1639">
        <v>284.7373</v>
      </c>
      <c r="J1639">
        <v>-251.19040000000001</v>
      </c>
      <c r="K1639">
        <v>1.1092280000000001</v>
      </c>
      <c r="L1639">
        <v>283.72500000000002</v>
      </c>
      <c r="M1639">
        <v>-0.99931179999999997</v>
      </c>
      <c r="N1639">
        <v>0</v>
      </c>
      <c r="O1639">
        <v>3.6089509999999998E-2</v>
      </c>
      <c r="P1639">
        <v>-0.99343599999999999</v>
      </c>
      <c r="Q1639">
        <v>-3.0142550000000001E-2</v>
      </c>
      <c r="R1639">
        <v>0.1103479</v>
      </c>
      <c r="S1639">
        <v>-3.0127109999999999</v>
      </c>
      <c r="T1639">
        <v>-5.2211760000000003E-2</v>
      </c>
      <c r="U1639">
        <v>4.8065190000000001E-2</v>
      </c>
      <c r="V1639">
        <v>7.4410920000000005E-2</v>
      </c>
      <c r="W1639">
        <v>-2.1631319999999999E-2</v>
      </c>
      <c r="X1639">
        <v>0.99699300000000002</v>
      </c>
      <c r="Y1639">
        <v>-2.0136100000000001E-2</v>
      </c>
      <c r="Z1639">
        <v>-7.9969860000000004E-4</v>
      </c>
      <c r="AA1639">
        <v>0.99979689999999999</v>
      </c>
      <c r="AB1639">
        <v>25</v>
      </c>
      <c r="AC1639">
        <v>-63.766399999999898</v>
      </c>
      <c r="AD1639">
        <v>-1.109223595457</v>
      </c>
      <c r="AE1639">
        <v>1.01229999999998</v>
      </c>
      <c r="AF1639">
        <v>-1.28935213061801</v>
      </c>
      <c r="AG1639">
        <v>-1.109223595457</v>
      </c>
      <c r="AH1639">
        <v>63.742108951077803</v>
      </c>
      <c r="AI1639">
        <v>90.996741773992795</v>
      </c>
      <c r="AJ1639">
        <v>91.158800103402498</v>
      </c>
      <c r="AK1639">
        <v>63.764796396072001</v>
      </c>
      <c r="AL1639">
        <v>91.239480052318797</v>
      </c>
      <c r="AM1639">
        <v>85.731623361947399</v>
      </c>
      <c r="AN1639">
        <v>0.999999970534594</v>
      </c>
    </row>
    <row r="1640" spans="1:40" x14ac:dyDescent="0.25">
      <c r="A1640" t="str">
        <f>"20190312160946239"</f>
        <v>20190312160946239</v>
      </c>
      <c r="B1640" t="str">
        <f>"1552378186227319"</f>
        <v>1552378186227319</v>
      </c>
      <c r="C1640" t="s">
        <v>40</v>
      </c>
      <c r="D1640">
        <v>5.7085419999999996</v>
      </c>
      <c r="E1640">
        <v>0.46428419999999998</v>
      </c>
      <c r="F1640" t="s">
        <v>74</v>
      </c>
      <c r="G1640">
        <v>-315.22000000000003</v>
      </c>
      <c r="H1640" s="1">
        <v>4.5176109999999998E-6</v>
      </c>
      <c r="I1640">
        <v>284.779</v>
      </c>
      <c r="J1640">
        <v>-251.44900000000001</v>
      </c>
      <c r="K1640">
        <v>1.1092310000000001</v>
      </c>
      <c r="L1640">
        <v>283.73469999999998</v>
      </c>
      <c r="M1640">
        <v>-0.99929990000000002</v>
      </c>
      <c r="N1640">
        <v>0</v>
      </c>
      <c r="O1640">
        <v>3.6403499999999998E-2</v>
      </c>
      <c r="P1640">
        <v>-0.99346920000000005</v>
      </c>
      <c r="Q1640">
        <v>-2.945919E-2</v>
      </c>
      <c r="R1640">
        <v>0.1102345</v>
      </c>
      <c r="S1640">
        <v>-3.0127259999999998</v>
      </c>
      <c r="T1640">
        <v>-5.2191260000000003E-2</v>
      </c>
      <c r="U1640">
        <v>4.9591059999999999E-2</v>
      </c>
      <c r="V1640">
        <v>7.3983510000000002E-2</v>
      </c>
      <c r="W1640">
        <v>-2.0873699999999999E-2</v>
      </c>
      <c r="X1640">
        <v>0.99704099999999996</v>
      </c>
      <c r="Y1640">
        <v>-1.9944090000000001E-2</v>
      </c>
      <c r="Z1640">
        <v>-8.0314850000000001E-4</v>
      </c>
      <c r="AA1640">
        <v>0.99980080000000005</v>
      </c>
      <c r="AB1640">
        <v>25</v>
      </c>
      <c r="AC1640">
        <v>-63.771000000000001</v>
      </c>
      <c r="AD1640">
        <v>-1.1092264823889999</v>
      </c>
      <c r="AE1640">
        <v>1.04430000000002</v>
      </c>
      <c r="AF1640">
        <v>-1.27757988953376</v>
      </c>
      <c r="AG1640">
        <v>-1.1092264823889999</v>
      </c>
      <c r="AH1640">
        <v>63.747463811019898</v>
      </c>
      <c r="AI1640">
        <v>90.996664394517097</v>
      </c>
      <c r="AJ1640">
        <v>91.148126267900594</v>
      </c>
      <c r="AK1640">
        <v>63.7699124674063</v>
      </c>
      <c r="AL1640">
        <v>91.196061763809297</v>
      </c>
      <c r="AM1640">
        <v>85.756254287722101</v>
      </c>
      <c r="AN1640">
        <v>1.0000000133922999</v>
      </c>
    </row>
    <row r="1641" spans="1:40" x14ac:dyDescent="0.25">
      <c r="A1641" t="str">
        <f>"20190312160946261"</f>
        <v>20190312160946261</v>
      </c>
      <c r="B1641" t="str">
        <f>"1552378186256600"</f>
        <v>1552378186256600</v>
      </c>
      <c r="C1641" t="s">
        <v>40</v>
      </c>
      <c r="D1641">
        <v>5.6627159999999996</v>
      </c>
      <c r="E1641">
        <v>0.46410479999999998</v>
      </c>
      <c r="F1641" t="s">
        <v>74</v>
      </c>
      <c r="G1641">
        <v>-319.23489999999998</v>
      </c>
      <c r="H1641" s="1">
        <v>6.2941380000000002E-6</v>
      </c>
      <c r="I1641">
        <v>284.82369999999997</v>
      </c>
      <c r="J1641">
        <v>-251.6909</v>
      </c>
      <c r="K1641">
        <v>1.10924</v>
      </c>
      <c r="L1641">
        <v>283.74380000000002</v>
      </c>
      <c r="M1641">
        <v>-0.99928839999999997</v>
      </c>
      <c r="N1641">
        <v>0</v>
      </c>
      <c r="O1641">
        <v>3.6696939999999997E-2</v>
      </c>
      <c r="P1641">
        <v>-0.99358820000000003</v>
      </c>
      <c r="Q1641">
        <v>-2.948547E-2</v>
      </c>
      <c r="R1641">
        <v>0.1091463</v>
      </c>
      <c r="S1641">
        <v>-3.0129090000000001</v>
      </c>
      <c r="T1641">
        <v>-4.9302220000000001E-2</v>
      </c>
      <c r="U1641">
        <v>4.840088E-2</v>
      </c>
      <c r="V1641">
        <v>7.2598759999999998E-2</v>
      </c>
      <c r="W1641">
        <v>-2.082999E-2</v>
      </c>
      <c r="X1641">
        <v>0.99714369999999997</v>
      </c>
      <c r="Y1641">
        <v>-2.0634329999999999E-2</v>
      </c>
      <c r="Z1641">
        <v>-7.6909929999999997E-4</v>
      </c>
      <c r="AA1641">
        <v>0.99978679999999998</v>
      </c>
      <c r="AB1641">
        <v>25</v>
      </c>
      <c r="AC1641">
        <v>-67.543999999999897</v>
      </c>
      <c r="AD1641">
        <v>-1.1092337058620001</v>
      </c>
      <c r="AE1641">
        <v>1.0798999999999499</v>
      </c>
      <c r="AF1641">
        <v>-1.3992025157919801</v>
      </c>
      <c r="AG1641">
        <v>-1.1092337058620001</v>
      </c>
      <c r="AH1641">
        <v>67.519927046659603</v>
      </c>
      <c r="AI1641">
        <v>90.940982282927806</v>
      </c>
      <c r="AJ1641">
        <v>91.187159548316004</v>
      </c>
      <c r="AK1641">
        <v>67.543532003298793</v>
      </c>
      <c r="AL1641">
        <v>91.1935568206261</v>
      </c>
      <c r="AM1641">
        <v>85.835829812665295</v>
      </c>
      <c r="AN1641">
        <v>1.00000001344331</v>
      </c>
    </row>
    <row r="1642" spans="1:40" x14ac:dyDescent="0.25">
      <c r="A1642" t="str">
        <f>"20190312160946281"</f>
        <v>20190312160946281</v>
      </c>
      <c r="B1642" t="str">
        <f>"1552378186277095"</f>
        <v>1552378186277095</v>
      </c>
      <c r="C1642" t="s">
        <v>40</v>
      </c>
      <c r="D1642">
        <v>5.7247110000000001</v>
      </c>
      <c r="E1642">
        <v>0.46400219999999998</v>
      </c>
      <c r="F1642" t="s">
        <v>74</v>
      </c>
      <c r="G1642">
        <v>-319.82130000000001</v>
      </c>
      <c r="H1642" s="1">
        <v>6.5622020000000001E-6</v>
      </c>
      <c r="I1642">
        <v>284.73200000000003</v>
      </c>
      <c r="J1642">
        <v>-251.92160000000001</v>
      </c>
      <c r="K1642">
        <v>1.1092439999999999</v>
      </c>
      <c r="L1642">
        <v>283.75259999999997</v>
      </c>
      <c r="M1642">
        <v>-0.99927750000000004</v>
      </c>
      <c r="N1642">
        <v>0</v>
      </c>
      <c r="O1642">
        <v>3.6977410000000002E-2</v>
      </c>
      <c r="P1642">
        <v>-0.99354710000000002</v>
      </c>
      <c r="Q1642">
        <v>-3.0744500000000001E-2</v>
      </c>
      <c r="R1642">
        <v>0.1091752</v>
      </c>
      <c r="S1642">
        <v>-3.0131070000000002</v>
      </c>
      <c r="T1642">
        <v>-4.9056530000000001E-2</v>
      </c>
      <c r="U1642">
        <v>4.3701169999999998E-2</v>
      </c>
      <c r="V1642">
        <v>7.2348709999999997E-2</v>
      </c>
      <c r="W1642">
        <v>-2.2026810000000001E-2</v>
      </c>
      <c r="X1642">
        <v>0.99713609999999997</v>
      </c>
      <c r="Y1642">
        <v>-2.2474830000000001E-2</v>
      </c>
      <c r="Z1642">
        <v>-7.8477440000000005E-4</v>
      </c>
      <c r="AA1642">
        <v>0.9997471</v>
      </c>
      <c r="AB1642">
        <v>25</v>
      </c>
      <c r="AC1642">
        <v>-67.899699999999996</v>
      </c>
      <c r="AD1642">
        <v>-1.1092374377979899</v>
      </c>
      <c r="AE1642">
        <v>0.979400000000055</v>
      </c>
      <c r="AF1642">
        <v>-1.53171306834972</v>
      </c>
      <c r="AG1642">
        <v>-1.1092374377979899</v>
      </c>
      <c r="AH1642">
        <v>67.871367370134195</v>
      </c>
      <c r="AI1642">
        <v>90.9360765009407</v>
      </c>
      <c r="AJ1642">
        <v>91.292824987606195</v>
      </c>
      <c r="AK1642">
        <v>67.897710280309695</v>
      </c>
      <c r="AL1642">
        <v>91.262145376203904</v>
      </c>
      <c r="AM1642">
        <v>85.850090641572507</v>
      </c>
      <c r="AN1642">
        <v>0.99999995906032402</v>
      </c>
    </row>
    <row r="1643" spans="1:40" x14ac:dyDescent="0.25">
      <c r="A1643" t="str">
        <f>"20190312160946305"</f>
        <v>20190312160946305</v>
      </c>
      <c r="B1643" t="str">
        <f>"1552378186296616"</f>
        <v>1552378186296616</v>
      </c>
      <c r="C1643" t="s">
        <v>40</v>
      </c>
      <c r="D1643">
        <v>5.7069890000000001</v>
      </c>
      <c r="E1643">
        <v>0.46387479999999998</v>
      </c>
      <c r="F1643" t="s">
        <v>74</v>
      </c>
      <c r="G1643">
        <v>-315.34460000000001</v>
      </c>
      <c r="H1643" s="1">
        <v>4.5832609999999998E-6</v>
      </c>
      <c r="I1643">
        <v>284.66030000000001</v>
      </c>
      <c r="J1643">
        <v>-252.17689999999999</v>
      </c>
      <c r="K1643">
        <v>1.109245</v>
      </c>
      <c r="L1643">
        <v>283.76249999999999</v>
      </c>
      <c r="M1643">
        <v>-0.99926559999999998</v>
      </c>
      <c r="N1643">
        <v>0</v>
      </c>
      <c r="O1643">
        <v>3.7287140000000003E-2</v>
      </c>
      <c r="P1643">
        <v>-0.99347169999999896</v>
      </c>
      <c r="Q1643">
        <v>-3.1062800000000002E-2</v>
      </c>
      <c r="R1643">
        <v>0.109768699999999</v>
      </c>
      <c r="S1643">
        <v>-3.0131230000000002</v>
      </c>
      <c r="T1643">
        <v>-5.2698139999999997E-2</v>
      </c>
      <c r="U1643">
        <v>4.3121340000000001E-2</v>
      </c>
      <c r="V1643">
        <v>7.2635430000000001E-2</v>
      </c>
      <c r="W1643">
        <v>-2.228173E-2</v>
      </c>
      <c r="X1643">
        <v>0.99710969999999999</v>
      </c>
      <c r="Y1643">
        <v>-2.2975800000000001E-2</v>
      </c>
      <c r="Z1643">
        <v>-8.5281279999999896E-4</v>
      </c>
      <c r="AA1643">
        <v>0.9997357</v>
      </c>
      <c r="AB1643">
        <v>25</v>
      </c>
      <c r="AC1643">
        <v>-63.167700000000004</v>
      </c>
      <c r="AD1643">
        <v>-1.109240416739</v>
      </c>
      <c r="AE1643">
        <v>0.89780000000001703</v>
      </c>
      <c r="AF1643">
        <v>-1.4578095970629701</v>
      </c>
      <c r="AG1643">
        <v>-1.109240416739</v>
      </c>
      <c r="AH1643">
        <v>63.137781622789198</v>
      </c>
      <c r="AI1643">
        <v>91.006233130190793</v>
      </c>
      <c r="AJ1643">
        <v>91.322686618479196</v>
      </c>
      <c r="AK1643">
        <v>63.1643498452286</v>
      </c>
      <c r="AL1643">
        <v>91.276754664149095</v>
      </c>
      <c r="AM1643">
        <v>85.833592310467594</v>
      </c>
      <c r="AN1643">
        <v>1.0000000675085801</v>
      </c>
    </row>
    <row r="1644" spans="1:40" x14ac:dyDescent="0.25">
      <c r="A1644" t="str">
        <f>"20190312160946327"</f>
        <v>20190312160946327</v>
      </c>
      <c r="B1644" t="str">
        <f>"1552378186317111"</f>
        <v>1552378186317111</v>
      </c>
      <c r="C1644" t="s">
        <v>40</v>
      </c>
      <c r="D1644">
        <v>5.7166069999999998</v>
      </c>
      <c r="E1644">
        <v>0.46383180000000002</v>
      </c>
      <c r="F1644" t="s">
        <v>74</v>
      </c>
      <c r="G1644">
        <v>-313.84609999999998</v>
      </c>
      <c r="H1644" s="1">
        <v>3.9186570000000001E-6</v>
      </c>
      <c r="I1644">
        <v>284.66120000000001</v>
      </c>
      <c r="J1644">
        <v>-252.4323</v>
      </c>
      <c r="K1644">
        <v>1.109256</v>
      </c>
      <c r="L1644">
        <v>283.77229999999997</v>
      </c>
      <c r="M1644">
        <v>-0.99925339999999996</v>
      </c>
      <c r="N1644">
        <v>0</v>
      </c>
      <c r="O1644">
        <v>3.7593719999999997E-2</v>
      </c>
      <c r="P1644">
        <v>-0.99345340000000004</v>
      </c>
      <c r="Q1644">
        <v>-3.0779000000000001E-2</v>
      </c>
      <c r="R1644">
        <v>0.1100131</v>
      </c>
      <c r="S1644">
        <v>-3.0131839999999999</v>
      </c>
      <c r="T1644">
        <v>-5.4198030000000001E-2</v>
      </c>
      <c r="U1644">
        <v>4.3914790000000002E-2</v>
      </c>
      <c r="V1644">
        <v>7.2574699999999895E-2</v>
      </c>
      <c r="W1644">
        <v>-2.1939810000000001E-2</v>
      </c>
      <c r="X1644">
        <v>0.99712160000000005</v>
      </c>
      <c r="Y1644">
        <v>-2.3019049999999999E-2</v>
      </c>
      <c r="Z1644">
        <v>-8.8296109999999996E-4</v>
      </c>
      <c r="AA1644">
        <v>0.99973460000000003</v>
      </c>
      <c r="AB1644">
        <v>25</v>
      </c>
      <c r="AC1644">
        <v>-61.413799999999902</v>
      </c>
      <c r="AD1644">
        <v>-1.109252081343</v>
      </c>
      <c r="AE1644">
        <v>0.888900000000035</v>
      </c>
      <c r="AF1644">
        <v>-1.42013002368366</v>
      </c>
      <c r="AG1644">
        <v>-1.109252081343</v>
      </c>
      <c r="AH1644">
        <v>61.383780654687001</v>
      </c>
      <c r="AI1644">
        <v>91.034989193094106</v>
      </c>
      <c r="AJ1644">
        <v>91.325316613888901</v>
      </c>
      <c r="AK1644">
        <v>61.410225019347202</v>
      </c>
      <c r="AL1644">
        <v>91.257159432352793</v>
      </c>
      <c r="AM1644">
        <v>85.837113071667602</v>
      </c>
      <c r="AN1644">
        <v>0.99999996376474198</v>
      </c>
    </row>
    <row r="1645" spans="1:40" x14ac:dyDescent="0.25">
      <c r="A1645" t="str">
        <f>"20190312160946350"</f>
        <v>20190312160946350</v>
      </c>
      <c r="B1645" t="str">
        <f>"1552378186347367"</f>
        <v>1552378186347367</v>
      </c>
      <c r="C1645" t="s">
        <v>40</v>
      </c>
      <c r="D1645">
        <v>5.725956</v>
      </c>
      <c r="E1645">
        <v>0.44262499999999999</v>
      </c>
      <c r="F1645" t="s">
        <v>74</v>
      </c>
      <c r="G1645">
        <v>-313.59559999999999</v>
      </c>
      <c r="H1645" s="1">
        <v>3.806925E-6</v>
      </c>
      <c r="I1645">
        <v>284.6687</v>
      </c>
      <c r="J1645">
        <v>-252.6781</v>
      </c>
      <c r="K1645">
        <v>1.1092649999999999</v>
      </c>
      <c r="L1645">
        <v>283.78190000000001</v>
      </c>
      <c r="M1645">
        <v>-0.99924210000000002</v>
      </c>
      <c r="N1645">
        <v>0</v>
      </c>
      <c r="O1645">
        <v>3.7883859999999998E-2</v>
      </c>
      <c r="P1645">
        <v>-0.99349410000000005</v>
      </c>
      <c r="Q1645">
        <v>-2.9962079999999999E-2</v>
      </c>
      <c r="R1645">
        <v>0.10987180000000001</v>
      </c>
      <c r="S1645">
        <v>-3.0131990000000002</v>
      </c>
      <c r="T1645">
        <v>-5.4647090000000002E-2</v>
      </c>
      <c r="U1645">
        <v>4.4158940000000001E-2</v>
      </c>
      <c r="V1645">
        <v>7.2143009999999994E-2</v>
      </c>
      <c r="W1645">
        <v>-2.1071099999999999E-2</v>
      </c>
      <c r="X1645">
        <v>0.99717169999999999</v>
      </c>
      <c r="Y1645">
        <v>-2.3228189999999999E-2</v>
      </c>
      <c r="Z1645">
        <v>-8.9742459999999995E-4</v>
      </c>
      <c r="AA1645">
        <v>0.9997298</v>
      </c>
      <c r="AB1645">
        <v>25</v>
      </c>
      <c r="AC1645">
        <v>-60.917499999999897</v>
      </c>
      <c r="AD1645">
        <v>-1.109261193075</v>
      </c>
      <c r="AE1645">
        <v>0.88679999999999304</v>
      </c>
      <c r="AF1645">
        <v>-1.4212478924206799</v>
      </c>
      <c r="AG1645">
        <v>-1.109261193075</v>
      </c>
      <c r="AH1645">
        <v>60.887179088079897</v>
      </c>
      <c r="AI1645">
        <v>91.0434323559886</v>
      </c>
      <c r="AJ1645">
        <v>91.337173477843393</v>
      </c>
      <c r="AK1645">
        <v>60.913865279344201</v>
      </c>
      <c r="AL1645">
        <v>91.2073744522163</v>
      </c>
      <c r="AM1645">
        <v>85.861995733534499</v>
      </c>
      <c r="AN1645">
        <v>1.0000000022139699</v>
      </c>
    </row>
    <row r="1646" spans="1:40" x14ac:dyDescent="0.25">
      <c r="A1646" t="str">
        <f>"20190312160946372"</f>
        <v>20190312160946372</v>
      </c>
      <c r="B1646" t="str">
        <f>"1552378186366887"</f>
        <v>1552378186366887</v>
      </c>
      <c r="C1646" t="s">
        <v>40</v>
      </c>
      <c r="D1646">
        <v>5.6509369999999999</v>
      </c>
      <c r="E1646">
        <v>0.44182310000000002</v>
      </c>
      <c r="F1646" t="s">
        <v>74</v>
      </c>
      <c r="G1646">
        <v>-290.07060000000001</v>
      </c>
      <c r="H1646" s="1">
        <v>2.426562E-6</v>
      </c>
      <c r="I1646">
        <v>282.2337</v>
      </c>
      <c r="J1646">
        <v>-252.92959999999999</v>
      </c>
      <c r="K1646">
        <v>1.1092789999999999</v>
      </c>
      <c r="L1646">
        <v>283.79169999999999</v>
      </c>
      <c r="M1646">
        <v>-0.99923079999999997</v>
      </c>
      <c r="N1646">
        <v>0</v>
      </c>
      <c r="O1646">
        <v>3.8168309999999997E-2</v>
      </c>
      <c r="P1646">
        <v>-0.99350289999999997</v>
      </c>
      <c r="Q1646">
        <v>-2.9550150000000001E-2</v>
      </c>
      <c r="R1646">
        <v>0.1099044</v>
      </c>
      <c r="S1646">
        <v>-3.0308229999999998</v>
      </c>
      <c r="T1646">
        <v>-8.9910630000000005E-2</v>
      </c>
      <c r="U1646">
        <v>-0.1254883</v>
      </c>
      <c r="V1646">
        <v>7.1892289999999998E-2</v>
      </c>
      <c r="W1646">
        <v>-2.061089E-2</v>
      </c>
      <c r="X1646">
        <v>0.99719939999999996</v>
      </c>
      <c r="Y1646">
        <v>-7.9423960000000002E-2</v>
      </c>
      <c r="Z1646">
        <v>-2.3089180000000001E-3</v>
      </c>
      <c r="AA1646">
        <v>0.99683829999999995</v>
      </c>
      <c r="AB1646">
        <v>25</v>
      </c>
      <c r="AC1646">
        <v>-37.140999999999998</v>
      </c>
      <c r="AD1646">
        <v>-1.1092765734379999</v>
      </c>
      <c r="AE1646">
        <v>-1.5579999999999901</v>
      </c>
      <c r="AF1646">
        <v>-2.9718849304628598</v>
      </c>
      <c r="AG1646">
        <v>-1.1092765734379999</v>
      </c>
      <c r="AH1646">
        <v>37.021499687427401</v>
      </c>
      <c r="AI1646">
        <v>91.710742213297493</v>
      </c>
      <c r="AJ1646">
        <v>94.5895525199319</v>
      </c>
      <c r="AK1646">
        <v>37.157153196423401</v>
      </c>
      <c r="AL1646">
        <v>91.181000663106602</v>
      </c>
      <c r="AM1646">
        <v>85.876441075472002</v>
      </c>
      <c r="AN1646">
        <v>0.99999997675419705</v>
      </c>
    </row>
    <row r="1647" spans="1:40" x14ac:dyDescent="0.25">
      <c r="A1647" t="str">
        <f>"20190312160946395"</f>
        <v>20190312160946395</v>
      </c>
      <c r="B1647" t="str">
        <f>"1552378186387383"</f>
        <v>1552378186387383</v>
      </c>
      <c r="C1647" t="s">
        <v>40</v>
      </c>
      <c r="D1647">
        <v>5.6423079999999999</v>
      </c>
      <c r="E1647">
        <v>0.44184000000000001</v>
      </c>
      <c r="F1647" t="s">
        <v>74</v>
      </c>
      <c r="G1647">
        <v>-288.47379999999998</v>
      </c>
      <c r="H1647" s="1">
        <v>5.1341420000000004E-6</v>
      </c>
      <c r="I1647">
        <v>282.2466</v>
      </c>
      <c r="J1647">
        <v>-253.184</v>
      </c>
      <c r="K1647">
        <v>1.1092949999999999</v>
      </c>
      <c r="L1647">
        <v>283.80180000000001</v>
      </c>
      <c r="M1647">
        <v>-0.99922010000000006</v>
      </c>
      <c r="N1647">
        <v>0</v>
      </c>
      <c r="O1647">
        <v>3.8435129999999998E-2</v>
      </c>
      <c r="P1647">
        <v>-0.99346829999999997</v>
      </c>
      <c r="Q1647">
        <v>-2.9989370000000001E-2</v>
      </c>
      <c r="R1647">
        <v>0.11009620000000001</v>
      </c>
      <c r="S1647">
        <v>-3.0313870000000001</v>
      </c>
      <c r="T1647">
        <v>-9.4604489999999999E-2</v>
      </c>
      <c r="U1647">
        <v>-0.1317749</v>
      </c>
      <c r="V1647">
        <v>7.1819270000000004E-2</v>
      </c>
      <c r="W1647">
        <v>-2.1005240000000001E-2</v>
      </c>
      <c r="X1647">
        <v>0.99719639999999998</v>
      </c>
      <c r="Y1647">
        <v>-8.1739099999999995E-2</v>
      </c>
      <c r="Z1647">
        <v>-2.4732740000000001E-3</v>
      </c>
      <c r="AA1647">
        <v>0.9966507</v>
      </c>
      <c r="AB1647">
        <v>25</v>
      </c>
      <c r="AC1647">
        <v>-35.2897999999999</v>
      </c>
      <c r="AD1647">
        <v>-1.1092898658579999</v>
      </c>
      <c r="AE1647">
        <v>-1.5552000000000099</v>
      </c>
      <c r="AF1647">
        <v>-2.90760700707134</v>
      </c>
      <c r="AG1647">
        <v>-1.1092898658579999</v>
      </c>
      <c r="AH1647">
        <v>35.169262720069497</v>
      </c>
      <c r="AI1647">
        <v>91.800454944296106</v>
      </c>
      <c r="AJ1647">
        <v>94.726160995075105</v>
      </c>
      <c r="AK1647">
        <v>35.306681276882102</v>
      </c>
      <c r="AL1647">
        <v>91.203600187006501</v>
      </c>
      <c r="AM1647">
        <v>85.880602541250298</v>
      </c>
      <c r="AN1647">
        <v>0.99999994391187297</v>
      </c>
    </row>
    <row r="1648" spans="1:40" x14ac:dyDescent="0.25">
      <c r="A1648" t="str">
        <f>"20190312160946417"</f>
        <v>20190312160946417</v>
      </c>
      <c r="B1648" t="str">
        <f>"1552378186406904"</f>
        <v>1552378186406904</v>
      </c>
      <c r="C1648" t="s">
        <v>40</v>
      </c>
      <c r="D1648">
        <v>5.6302059999999896</v>
      </c>
      <c r="E1648">
        <v>0.44183020000000001</v>
      </c>
      <c r="F1648" t="s">
        <v>74</v>
      </c>
      <c r="G1648">
        <v>-287.04349999999999</v>
      </c>
      <c r="H1648" s="1">
        <v>5.749462E-6</v>
      </c>
      <c r="I1648">
        <v>282.3383</v>
      </c>
      <c r="J1648">
        <v>-253.4384</v>
      </c>
      <c r="K1648">
        <v>1.1093230000000001</v>
      </c>
      <c r="L1648">
        <v>283.81180000000001</v>
      </c>
      <c r="M1648">
        <v>-0.99921070000000001</v>
      </c>
      <c r="N1648">
        <v>0</v>
      </c>
      <c r="O1648">
        <v>3.8671610000000002E-2</v>
      </c>
      <c r="P1648">
        <v>-0.99355570000000004</v>
      </c>
      <c r="Q1648">
        <v>-2.9777870000000001E-2</v>
      </c>
      <c r="R1648">
        <v>0.10936360000000001</v>
      </c>
      <c r="S1648">
        <v>-3.0312190000000001</v>
      </c>
      <c r="T1648">
        <v>-9.9307419999999993E-2</v>
      </c>
      <c r="U1648">
        <v>-0.13101199999999999</v>
      </c>
      <c r="V1648">
        <v>7.084907E-2</v>
      </c>
      <c r="W1648">
        <v>-2.075072E-2</v>
      </c>
      <c r="X1648">
        <v>0.99727120000000002</v>
      </c>
      <c r="Y1648">
        <v>-8.1720899999999999E-2</v>
      </c>
      <c r="Z1648">
        <v>-2.6037600000000001E-3</v>
      </c>
      <c r="AA1648">
        <v>0.99665179999999998</v>
      </c>
      <c r="AB1648">
        <v>25</v>
      </c>
      <c r="AC1648">
        <v>-33.605099999999901</v>
      </c>
      <c r="AD1648">
        <v>-1.109317250538</v>
      </c>
      <c r="AE1648">
        <v>-1.4735</v>
      </c>
      <c r="AF1648">
        <v>-2.7690030605690099</v>
      </c>
      <c r="AG1648">
        <v>-1.109317250538</v>
      </c>
      <c r="AH1648">
        <v>33.486555661977697</v>
      </c>
      <c r="AI1648">
        <v>91.890908375527204</v>
      </c>
      <c r="AJ1648">
        <v>94.7270332847216</v>
      </c>
      <c r="AK1648">
        <v>33.619151875300297</v>
      </c>
      <c r="AL1648">
        <v>91.189014000822496</v>
      </c>
      <c r="AM1648">
        <v>85.936367175844197</v>
      </c>
      <c r="AN1648">
        <v>1.00000001472491</v>
      </c>
    </row>
    <row r="1649" spans="1:40" x14ac:dyDescent="0.25">
      <c r="A1649" t="str">
        <f>"20190312160946439"</f>
        <v>20190312160946439</v>
      </c>
      <c r="B1649" t="str">
        <f>"1552378186427401"</f>
        <v>1552378186427401</v>
      </c>
      <c r="C1649" t="s">
        <v>40</v>
      </c>
      <c r="D1649">
        <v>5.5228580000000003</v>
      </c>
      <c r="E1649">
        <v>0.441583</v>
      </c>
      <c r="F1649" t="s">
        <v>74</v>
      </c>
      <c r="G1649">
        <v>-287.20589999999999</v>
      </c>
      <c r="H1649" s="1">
        <v>5.6802250000000003E-6</v>
      </c>
      <c r="I1649">
        <v>282.32479999999998</v>
      </c>
      <c r="J1649">
        <v>-253.6729</v>
      </c>
      <c r="K1649">
        <v>1.109353</v>
      </c>
      <c r="L1649">
        <v>283.8211</v>
      </c>
      <c r="M1649">
        <v>-0.99920330000000002</v>
      </c>
      <c r="N1649">
        <v>0</v>
      </c>
      <c r="O1649">
        <v>3.8855859999999999E-2</v>
      </c>
      <c r="P1649">
        <v>-0.9936564</v>
      </c>
      <c r="Q1649">
        <v>-2.890243E-2</v>
      </c>
      <c r="R1649">
        <v>0.108681399999999</v>
      </c>
      <c r="S1649">
        <v>-3.031174</v>
      </c>
      <c r="T1649">
        <v>-9.9578979999999997E-2</v>
      </c>
      <c r="U1649">
        <v>-0.13348389999999999</v>
      </c>
      <c r="V1649">
        <v>6.9981169999999995E-2</v>
      </c>
      <c r="W1649">
        <v>-1.983801E-2</v>
      </c>
      <c r="X1649">
        <v>0.99735110000000005</v>
      </c>
      <c r="Y1649">
        <v>-8.2715549999999999E-2</v>
      </c>
      <c r="Z1649">
        <v>-2.633247E-3</v>
      </c>
      <c r="AA1649">
        <v>0.9965697</v>
      </c>
      <c r="AB1649">
        <v>25</v>
      </c>
      <c r="AC1649">
        <v>-33.532999999999902</v>
      </c>
      <c r="AD1649">
        <v>-1.1093473197749999</v>
      </c>
      <c r="AE1649">
        <v>-1.49630000000001</v>
      </c>
      <c r="AF1649">
        <v>-2.79512455501381</v>
      </c>
      <c r="AG1649">
        <v>-1.1093473197749999</v>
      </c>
      <c r="AH1649">
        <v>33.413036455444903</v>
      </c>
      <c r="AI1649">
        <v>91.894966527348103</v>
      </c>
      <c r="AJ1649">
        <v>94.781871001565605</v>
      </c>
      <c r="AK1649">
        <v>33.548090525793299</v>
      </c>
      <c r="AL1649">
        <v>91.136708740787</v>
      </c>
      <c r="AM1649">
        <v>85.986303409716498</v>
      </c>
      <c r="AN1649">
        <v>1.00000006373326</v>
      </c>
    </row>
    <row r="1650" spans="1:40" x14ac:dyDescent="0.25">
      <c r="A1650" t="str">
        <f>"20190312160946461"</f>
        <v>20190312160946461</v>
      </c>
      <c r="B1650" t="str">
        <f>"1552378186457299"</f>
        <v>1552378186457299</v>
      </c>
      <c r="C1650" t="s">
        <v>40</v>
      </c>
      <c r="D1650">
        <v>5.4859489999999997</v>
      </c>
      <c r="E1650">
        <v>0.44121549999999998</v>
      </c>
      <c r="F1650" t="s">
        <v>74</v>
      </c>
      <c r="G1650">
        <v>-288.34629999999999</v>
      </c>
      <c r="H1650" s="1">
        <v>5.1902540000000001E-6</v>
      </c>
      <c r="I1650">
        <v>282.24860000000001</v>
      </c>
      <c r="J1650">
        <v>-253.92230000000001</v>
      </c>
      <c r="K1650">
        <v>1.1093850000000001</v>
      </c>
      <c r="L1650">
        <v>283.83089999999999</v>
      </c>
      <c r="M1650">
        <v>-0.99919690000000005</v>
      </c>
      <c r="N1650">
        <v>0</v>
      </c>
      <c r="O1650">
        <v>3.901454E-2</v>
      </c>
      <c r="P1650">
        <v>-0.99381350000000002</v>
      </c>
      <c r="Q1650">
        <v>-2.8184210000000001E-2</v>
      </c>
      <c r="R1650">
        <v>0.10742690000000001</v>
      </c>
      <c r="S1650">
        <v>-3.0313720000000002</v>
      </c>
      <c r="T1650">
        <v>-9.6986059999999999E-2</v>
      </c>
      <c r="U1650">
        <v>-0.13748170000000001</v>
      </c>
      <c r="V1650">
        <v>6.8564710000000001E-2</v>
      </c>
      <c r="W1650">
        <v>-1.9082370000000001E-2</v>
      </c>
      <c r="X1650">
        <v>0.99746420000000002</v>
      </c>
      <c r="Y1650">
        <v>-8.4185070000000001E-2</v>
      </c>
      <c r="Z1650">
        <v>-2.5930430000000002E-3</v>
      </c>
      <c r="AA1650">
        <v>0.99644679999999997</v>
      </c>
      <c r="AB1650">
        <v>25</v>
      </c>
      <c r="AC1650">
        <v>-34.4239999999999</v>
      </c>
      <c r="AD1650">
        <v>-1.1093798097459999</v>
      </c>
      <c r="AE1650">
        <v>-1.5822999999999701</v>
      </c>
      <c r="AF1650">
        <v>-2.92116030365171</v>
      </c>
      <c r="AG1650">
        <v>-1.1093798097459999</v>
      </c>
      <c r="AH1650">
        <v>34.300505038212698</v>
      </c>
      <c r="AI1650">
        <v>91.845792357761297</v>
      </c>
      <c r="AJ1650">
        <v>94.867778781397007</v>
      </c>
      <c r="AK1650">
        <v>34.4425397866992</v>
      </c>
      <c r="AL1650">
        <v>91.093405581825905</v>
      </c>
      <c r="AM1650">
        <v>86.067729967449296</v>
      </c>
      <c r="AN1650">
        <v>1.0000000432919101</v>
      </c>
    </row>
    <row r="1651" spans="1:40" x14ac:dyDescent="0.25">
      <c r="A1651" t="str">
        <f>"20190312160946482"</f>
        <v>20190312160946482</v>
      </c>
      <c r="B1651" t="str">
        <f>"1552378186476819"</f>
        <v>1552378186476819</v>
      </c>
      <c r="C1651" t="s">
        <v>40</v>
      </c>
      <c r="D1651">
        <v>5.5097230000000001</v>
      </c>
      <c r="E1651">
        <v>0.44090279999999998</v>
      </c>
      <c r="F1651" t="s">
        <v>74</v>
      </c>
      <c r="G1651">
        <v>-288.46980000000002</v>
      </c>
      <c r="H1651" s="1">
        <v>5.1480249999999997E-6</v>
      </c>
      <c r="I1651">
        <v>282.18799999999999</v>
      </c>
      <c r="J1651">
        <v>-254.16990000000001</v>
      </c>
      <c r="K1651">
        <v>1.109407</v>
      </c>
      <c r="L1651">
        <v>283.84070000000003</v>
      </c>
      <c r="M1651">
        <v>-0.99919170000000002</v>
      </c>
      <c r="N1651">
        <v>0</v>
      </c>
      <c r="O1651">
        <v>3.9136900000000002E-2</v>
      </c>
      <c r="P1651">
        <v>-0.99396969999999996</v>
      </c>
      <c r="Q1651">
        <v>-2.8145079999999999E-2</v>
      </c>
      <c r="R1651">
        <v>0.1059818</v>
      </c>
      <c r="S1651">
        <v>-3.0314939999999999</v>
      </c>
      <c r="T1651">
        <v>-9.7346539999999995E-2</v>
      </c>
      <c r="U1651">
        <v>-0.14416499999999999</v>
      </c>
      <c r="V1651">
        <v>6.6993899999999995E-2</v>
      </c>
      <c r="W1651">
        <v>-1.9009419999999999E-2</v>
      </c>
      <c r="X1651">
        <v>0.99757229999999997</v>
      </c>
      <c r="Y1651">
        <v>-8.6495440000000007E-2</v>
      </c>
      <c r="Z1651">
        <v>-2.643444E-3</v>
      </c>
      <c r="AA1651">
        <v>0.99624869999999999</v>
      </c>
      <c r="AB1651">
        <v>25</v>
      </c>
      <c r="AC1651">
        <v>-34.299900000000001</v>
      </c>
      <c r="AD1651">
        <v>-1.109401851975</v>
      </c>
      <c r="AE1651">
        <v>-1.65270000000003</v>
      </c>
      <c r="AF1651">
        <v>-2.9907604751530501</v>
      </c>
      <c r="AG1651">
        <v>-1.109401851975</v>
      </c>
      <c r="AH1651">
        <v>34.173267513361203</v>
      </c>
      <c r="AI1651">
        <v>91.852323378939403</v>
      </c>
      <c r="AJ1651">
        <v>95.001642208754305</v>
      </c>
      <c r="AK1651">
        <v>34.321824444930797</v>
      </c>
      <c r="AL1651">
        <v>91.089225125010501</v>
      </c>
      <c r="AM1651">
        <v>86.157959956846696</v>
      </c>
      <c r="AN1651">
        <v>1.0000000172066099</v>
      </c>
    </row>
    <row r="1652" spans="1:40" x14ac:dyDescent="0.25">
      <c r="A1652" t="str">
        <f>"20190312160946506"</f>
        <v>20190312160946506</v>
      </c>
      <c r="B1652" t="str">
        <f>"1552378186497315"</f>
        <v>1552378186497315</v>
      </c>
      <c r="C1652" t="s">
        <v>40</v>
      </c>
      <c r="D1652">
        <v>5.488003</v>
      </c>
      <c r="E1652">
        <v>0.44080760000000002</v>
      </c>
      <c r="F1652" t="s">
        <v>74</v>
      </c>
      <c r="G1652">
        <v>-288.1671</v>
      </c>
      <c r="H1652" s="1">
        <v>5.2910050000000002E-6</v>
      </c>
      <c r="I1652">
        <v>282.1456</v>
      </c>
      <c r="J1652">
        <v>-254.4314</v>
      </c>
      <c r="K1652">
        <v>1.109429</v>
      </c>
      <c r="L1652">
        <v>283.85109999999997</v>
      </c>
      <c r="M1652">
        <v>-0.99918770000000001</v>
      </c>
      <c r="N1652">
        <v>0</v>
      </c>
      <c r="O1652">
        <v>3.923488E-2</v>
      </c>
      <c r="P1652">
        <v>-0.99406300000000003</v>
      </c>
      <c r="Q1652">
        <v>-2.7823489999999999E-2</v>
      </c>
      <c r="R1652">
        <v>0.1051887</v>
      </c>
      <c r="S1652">
        <v>-3.0314939999999999</v>
      </c>
      <c r="T1652">
        <v>-9.8924040000000005E-2</v>
      </c>
      <c r="U1652">
        <v>-0.1511536</v>
      </c>
      <c r="V1652">
        <v>6.6100889999999995E-2</v>
      </c>
      <c r="W1652">
        <v>-1.8656809999999999E-2</v>
      </c>
      <c r="X1652">
        <v>0.99763849999999998</v>
      </c>
      <c r="Y1652">
        <v>-8.8880680000000004E-2</v>
      </c>
      <c r="Z1652">
        <v>-2.7282000000000001E-3</v>
      </c>
      <c r="AA1652">
        <v>0.9960386</v>
      </c>
      <c r="AB1652">
        <v>25</v>
      </c>
      <c r="AC1652">
        <v>-33.735700000000001</v>
      </c>
      <c r="AD1652">
        <v>-1.1094237089949901</v>
      </c>
      <c r="AE1652">
        <v>-1.70549999999997</v>
      </c>
      <c r="AF1652">
        <v>-3.0245961122768699</v>
      </c>
      <c r="AG1652">
        <v>-1.1094237089949901</v>
      </c>
      <c r="AH1652">
        <v>33.606552018333502</v>
      </c>
      <c r="AI1652">
        <v>91.883162857118705</v>
      </c>
      <c r="AJ1652">
        <v>95.142775433362402</v>
      </c>
      <c r="AK1652">
        <v>33.760618198863497</v>
      </c>
      <c r="AL1652">
        <v>91.069018505218096</v>
      </c>
      <c r="AM1652">
        <v>86.209273760852994</v>
      </c>
      <c r="AN1652">
        <v>0.99999999045020904</v>
      </c>
    </row>
    <row r="1653" spans="1:40" x14ac:dyDescent="0.25">
      <c r="A1653" t="str">
        <f>"20190312160946527"</f>
        <v>20190312160946527</v>
      </c>
      <c r="B1653" t="str">
        <f>"1552378186516835"</f>
        <v>1552378186516835</v>
      </c>
      <c r="C1653" t="s">
        <v>40</v>
      </c>
      <c r="D1653">
        <v>5.5104230000000003</v>
      </c>
      <c r="E1653">
        <v>0.44071539999999998</v>
      </c>
      <c r="F1653" t="s">
        <v>74</v>
      </c>
      <c r="G1653">
        <v>-288.55459999999999</v>
      </c>
      <c r="H1653" s="1">
        <v>5.1254299999999996E-6</v>
      </c>
      <c r="I1653">
        <v>282.11529999999999</v>
      </c>
      <c r="J1653">
        <v>-254.68090000000001</v>
      </c>
      <c r="K1653">
        <v>1.1094440000000001</v>
      </c>
      <c r="L1653">
        <v>283.86099999999999</v>
      </c>
      <c r="M1653">
        <v>-0.99918450000000003</v>
      </c>
      <c r="N1653">
        <v>0</v>
      </c>
      <c r="O1653">
        <v>3.9308019999999999E-2</v>
      </c>
      <c r="P1653">
        <v>-0.9941837</v>
      </c>
      <c r="Q1653">
        <v>-2.800037E-2</v>
      </c>
      <c r="R1653">
        <v>0.1039939</v>
      </c>
      <c r="S1653">
        <v>-3.0314329999999998</v>
      </c>
      <c r="T1653">
        <v>-9.8558779999999999E-2</v>
      </c>
      <c r="U1653">
        <v>-0.15420529999999999</v>
      </c>
      <c r="V1653">
        <v>6.4829800000000007E-2</v>
      </c>
      <c r="W1653">
        <v>-1.8807689999999998E-2</v>
      </c>
      <c r="X1653">
        <v>0.99771909999999997</v>
      </c>
      <c r="Y1653">
        <v>-8.9954610000000004E-2</v>
      </c>
      <c r="Z1653">
        <v>-2.7379420000000002E-3</v>
      </c>
      <c r="AA1653">
        <v>0.99594210000000005</v>
      </c>
      <c r="AB1653">
        <v>25</v>
      </c>
      <c r="AC1653">
        <v>-33.8736999999999</v>
      </c>
      <c r="AD1653">
        <v>-1.1094388745699999</v>
      </c>
      <c r="AE1653">
        <v>-1.74569999999999</v>
      </c>
      <c r="AF1653">
        <v>-3.0726282160366001</v>
      </c>
      <c r="AG1653">
        <v>-1.1094388745699999</v>
      </c>
      <c r="AH1653">
        <v>33.742794960042303</v>
      </c>
      <c r="AI1653">
        <v>91.875411890887705</v>
      </c>
      <c r="AJ1653">
        <v>95.203020045835899</v>
      </c>
      <c r="AK1653">
        <v>33.900562096901098</v>
      </c>
      <c r="AL1653">
        <v>91.0776647806574</v>
      </c>
      <c r="AM1653">
        <v>86.282260756748599</v>
      </c>
      <c r="AN1653">
        <v>1.0000000173379899</v>
      </c>
    </row>
    <row r="1654" spans="1:40" x14ac:dyDescent="0.25">
      <c r="A1654" t="str">
        <f>"20190312160946550"</f>
        <v>20190312160946550</v>
      </c>
      <c r="B1654" t="str">
        <f>"1552378186547091"</f>
        <v>1552378186547091</v>
      </c>
      <c r="C1654" t="s">
        <v>40</v>
      </c>
      <c r="D1654">
        <v>5.5075229999999999</v>
      </c>
      <c r="E1654">
        <v>0.44081350000000002</v>
      </c>
      <c r="F1654" t="s">
        <v>74</v>
      </c>
      <c r="G1654">
        <v>-288.767</v>
      </c>
      <c r="H1654" s="1">
        <v>5.0393129999999999E-6</v>
      </c>
      <c r="I1654">
        <v>282.0763</v>
      </c>
      <c r="J1654">
        <v>-254.92939999999999</v>
      </c>
      <c r="K1654">
        <v>1.109445</v>
      </c>
      <c r="L1654">
        <v>283.87079999999997</v>
      </c>
      <c r="M1654">
        <v>-0.99918189999999996</v>
      </c>
      <c r="N1654">
        <v>0</v>
      </c>
      <c r="O1654">
        <v>3.9368960000000001E-2</v>
      </c>
      <c r="P1654">
        <v>-0.99419360000000001</v>
      </c>
      <c r="Q1654">
        <v>-2.8580459999999999E-2</v>
      </c>
      <c r="R1654">
        <v>0.1037426</v>
      </c>
      <c r="S1654">
        <v>-3.0313870000000001</v>
      </c>
      <c r="T1654">
        <v>-9.8666069999999995E-2</v>
      </c>
      <c r="U1654">
        <v>-0.1587219</v>
      </c>
      <c r="V1654">
        <v>6.4517749999999999E-2</v>
      </c>
      <c r="W1654">
        <v>-1.9365719999999999E-2</v>
      </c>
      <c r="X1654">
        <v>0.99772859999999997</v>
      </c>
      <c r="Y1654">
        <v>-9.1495010000000002E-2</v>
      </c>
      <c r="Z1654">
        <v>-2.7678939999999999E-3</v>
      </c>
      <c r="AA1654">
        <v>0.99580170000000001</v>
      </c>
      <c r="AB1654">
        <v>25</v>
      </c>
      <c r="AC1654">
        <v>-33.837600000000002</v>
      </c>
      <c r="AD1654">
        <v>-1.109439960687</v>
      </c>
      <c r="AE1654">
        <v>-1.79449999999997</v>
      </c>
      <c r="AF1654">
        <v>-3.1219701257153298</v>
      </c>
      <c r="AG1654">
        <v>-1.109439960687</v>
      </c>
      <c r="AH1654">
        <v>33.704583445321703</v>
      </c>
      <c r="AI1654">
        <v>91.877270621010496</v>
      </c>
      <c r="AJ1654">
        <v>95.292062260286798</v>
      </c>
      <c r="AK1654">
        <v>33.867041496341002</v>
      </c>
      <c r="AL1654">
        <v>91.109643427670406</v>
      </c>
      <c r="AM1654">
        <v>86.300140927481706</v>
      </c>
      <c r="AN1654">
        <v>0.99999996521706902</v>
      </c>
    </row>
    <row r="1655" spans="1:40" x14ac:dyDescent="0.25">
      <c r="A1655" t="str">
        <f>"20190312160946572"</f>
        <v>20190312160946572</v>
      </c>
      <c r="B1655" t="str">
        <f>"1552378186566611"</f>
        <v>1552378186566611</v>
      </c>
      <c r="C1655" t="s">
        <v>40</v>
      </c>
      <c r="D1655">
        <v>5.4952009999999998</v>
      </c>
      <c r="E1655">
        <v>0.44125120000000001</v>
      </c>
      <c r="F1655" t="s">
        <v>74</v>
      </c>
      <c r="G1655">
        <v>-288.35050000000001</v>
      </c>
      <c r="H1655" s="1">
        <v>5.2149629999999997E-6</v>
      </c>
      <c r="I1655">
        <v>282.12009999999998</v>
      </c>
      <c r="J1655">
        <v>-255.1814</v>
      </c>
      <c r="K1655">
        <v>1.1094440000000001</v>
      </c>
      <c r="L1655">
        <v>283.88080000000002</v>
      </c>
      <c r="M1655">
        <v>-0.9991797</v>
      </c>
      <c r="N1655">
        <v>0</v>
      </c>
      <c r="O1655">
        <v>3.9424899999999999E-2</v>
      </c>
      <c r="P1655">
        <v>-0.99413300000000004</v>
      </c>
      <c r="Q1655">
        <v>-2.8849550000000002E-2</v>
      </c>
      <c r="R1655">
        <v>0.104246699999999</v>
      </c>
      <c r="S1655">
        <v>-3.0311889999999999</v>
      </c>
      <c r="T1655">
        <v>-0.1006229</v>
      </c>
      <c r="U1655">
        <v>-0.15878299999999901</v>
      </c>
      <c r="V1655">
        <v>6.4967639999999993E-2</v>
      </c>
      <c r="W1655">
        <v>-1.961535E-2</v>
      </c>
      <c r="X1655">
        <v>0.99769459999999999</v>
      </c>
      <c r="Y1655">
        <v>-9.1571280000000005E-2</v>
      </c>
      <c r="Z1655">
        <v>-2.8260609999999999E-3</v>
      </c>
      <c r="AA1655">
        <v>0.99579450000000003</v>
      </c>
      <c r="AB1655">
        <v>25</v>
      </c>
      <c r="AC1655">
        <v>-33.1691</v>
      </c>
      <c r="AD1655">
        <v>-1.109438785037</v>
      </c>
      <c r="AE1655">
        <v>-1.7607000000000399</v>
      </c>
      <c r="AF1655">
        <v>-3.0636575431621398</v>
      </c>
      <c r="AG1655">
        <v>-1.109438785037</v>
      </c>
      <c r="AH1655">
        <v>33.0370347687332</v>
      </c>
      <c r="AI1655">
        <v>91.915154147008195</v>
      </c>
      <c r="AJ1655">
        <v>95.2981162733346</v>
      </c>
      <c r="AK1655">
        <v>33.197326974773198</v>
      </c>
      <c r="AL1655">
        <v>91.123948812044802</v>
      </c>
      <c r="AM1655">
        <v>86.274287171823701</v>
      </c>
      <c r="AN1655">
        <v>1.0000000355359699</v>
      </c>
    </row>
    <row r="1656" spans="1:40" x14ac:dyDescent="0.25">
      <c r="A1656" t="str">
        <f>"20190312160946595"</f>
        <v>20190312160946595</v>
      </c>
      <c r="B1656" t="str">
        <f>"1552378186587107"</f>
        <v>1552378186587107</v>
      </c>
      <c r="C1656" t="s">
        <v>40</v>
      </c>
      <c r="D1656">
        <v>5.4146229999999997</v>
      </c>
      <c r="E1656">
        <v>0.44143579999999999</v>
      </c>
      <c r="F1656" t="s">
        <v>74</v>
      </c>
      <c r="G1656">
        <v>-288.55169999999998</v>
      </c>
      <c r="H1656" s="1">
        <v>5.1114680000000001E-6</v>
      </c>
      <c r="I1656">
        <v>282.1891</v>
      </c>
      <c r="J1656">
        <v>-255.45</v>
      </c>
      <c r="K1656">
        <v>1.10945</v>
      </c>
      <c r="L1656">
        <v>283.89150000000001</v>
      </c>
      <c r="M1656">
        <v>-0.99917699999999998</v>
      </c>
      <c r="N1656">
        <v>0</v>
      </c>
      <c r="O1656">
        <v>3.94848E-2</v>
      </c>
      <c r="P1656">
        <v>-0.99407310000000004</v>
      </c>
      <c r="Q1656">
        <v>-2.847626E-2</v>
      </c>
      <c r="R1656">
        <v>0.10491880000000001</v>
      </c>
      <c r="S1656">
        <v>-3.030869</v>
      </c>
      <c r="T1656">
        <v>-0.10076499999999999</v>
      </c>
      <c r="U1656">
        <v>-0.15365599999999999</v>
      </c>
      <c r="V1656">
        <v>6.5581769999999998E-2</v>
      </c>
      <c r="W1656">
        <v>-1.9223230000000001E-2</v>
      </c>
      <c r="X1656">
        <v>0.99766200000000005</v>
      </c>
      <c r="Y1656">
        <v>-8.9957019999999999E-2</v>
      </c>
      <c r="Z1656">
        <v>-2.8056410000000002E-3</v>
      </c>
      <c r="AA1656">
        <v>0.99594170000000004</v>
      </c>
      <c r="AB1656">
        <v>25</v>
      </c>
      <c r="AC1656">
        <v>-33.101699999999902</v>
      </c>
      <c r="AD1656">
        <v>-1.1094448885320001</v>
      </c>
      <c r="AE1656">
        <v>-1.7024000000000099</v>
      </c>
      <c r="AF1656">
        <v>-3.00477621457072</v>
      </c>
      <c r="AG1656">
        <v>-1.1094448885320001</v>
      </c>
      <c r="AH1656">
        <v>32.971721574118199</v>
      </c>
      <c r="AI1656">
        <v>91.919235642982798</v>
      </c>
      <c r="AJ1656">
        <v>95.207091035942199</v>
      </c>
      <c r="AK1656">
        <v>33.126937250846403</v>
      </c>
      <c r="AL1656">
        <v>91.101477811338697</v>
      </c>
      <c r="AM1656">
        <v>86.239046593246798</v>
      </c>
      <c r="AN1656">
        <v>0.99999998368598197</v>
      </c>
    </row>
    <row r="1657" spans="1:40" x14ac:dyDescent="0.25">
      <c r="A1657" t="str">
        <f>"20190312160946619"</f>
        <v>20190312160946619</v>
      </c>
      <c r="B1657" t="str">
        <f>"1552378186606627"</f>
        <v>1552378186606627</v>
      </c>
      <c r="C1657" t="s">
        <v>40</v>
      </c>
      <c r="D1657">
        <v>5.3614199999999999</v>
      </c>
      <c r="E1657">
        <v>0.4414979</v>
      </c>
      <c r="F1657" t="s">
        <v>74</v>
      </c>
      <c r="G1657">
        <v>-289.6207</v>
      </c>
      <c r="H1657" s="1">
        <v>4.6354359999999998E-6</v>
      </c>
      <c r="I1657">
        <v>282.19869999999997</v>
      </c>
      <c r="J1657">
        <v>-255.7123</v>
      </c>
      <c r="K1657">
        <v>1.109456</v>
      </c>
      <c r="L1657">
        <v>283.90190000000001</v>
      </c>
      <c r="M1657">
        <v>-0.99917449999999997</v>
      </c>
      <c r="N1657">
        <v>0</v>
      </c>
      <c r="O1657">
        <v>3.954738E-2</v>
      </c>
      <c r="P1657">
        <v>-0.99406519999999998</v>
      </c>
      <c r="Q1657">
        <v>-2.7763369999999999E-2</v>
      </c>
      <c r="R1657">
        <v>0.105186</v>
      </c>
      <c r="S1657">
        <v>-3.0309300000000001</v>
      </c>
      <c r="T1657">
        <v>-9.8407510000000004E-2</v>
      </c>
      <c r="U1657">
        <v>-0.15014649999999999</v>
      </c>
      <c r="V1657">
        <v>6.5786880000000006E-2</v>
      </c>
      <c r="W1657">
        <v>-1.8492890000000001E-2</v>
      </c>
      <c r="X1657">
        <v>0.9976623</v>
      </c>
      <c r="Y1657">
        <v>-8.8871839999999994E-2</v>
      </c>
      <c r="Z1657">
        <v>-2.724481E-3</v>
      </c>
      <c r="AA1657">
        <v>0.99603929999999996</v>
      </c>
      <c r="AB1657">
        <v>25</v>
      </c>
      <c r="AC1657">
        <v>-33.9084</v>
      </c>
      <c r="AD1657">
        <v>-1.1094513645640001</v>
      </c>
      <c r="AE1657">
        <v>-1.70320000000003</v>
      </c>
      <c r="AF1657">
        <v>-3.0396678389125</v>
      </c>
      <c r="AG1657">
        <v>-1.1094513645640001</v>
      </c>
      <c r="AH1657">
        <v>33.778440951746802</v>
      </c>
      <c r="AI1657">
        <v>91.873635463406302</v>
      </c>
      <c r="AJ1657">
        <v>95.142105238096903</v>
      </c>
      <c r="AK1657">
        <v>33.933074367523702</v>
      </c>
      <c r="AL1657">
        <v>91.059624968508302</v>
      </c>
      <c r="AM1657">
        <v>86.227319086555596</v>
      </c>
      <c r="AN1657">
        <v>0.999999982700988</v>
      </c>
    </row>
    <row r="1658" spans="1:40" x14ac:dyDescent="0.25">
      <c r="A1658" t="str">
        <f>"20190312160946640"</f>
        <v>20190312160946640</v>
      </c>
      <c r="B1658" t="str">
        <f>"1552378186636883"</f>
        <v>1552378186636883</v>
      </c>
      <c r="C1658" t="s">
        <v>40</v>
      </c>
      <c r="D1658">
        <v>5.555879</v>
      </c>
      <c r="E1658">
        <v>0.42436849999999998</v>
      </c>
      <c r="F1658" t="s">
        <v>74</v>
      </c>
      <c r="G1658">
        <v>-290.59609999999998</v>
      </c>
      <c r="H1658" s="1">
        <v>2.5236919999999999E-6</v>
      </c>
      <c r="I1658">
        <v>282.18900000000002</v>
      </c>
      <c r="J1658">
        <v>-255.9562</v>
      </c>
      <c r="K1658">
        <v>1.1094580000000001</v>
      </c>
      <c r="L1658">
        <v>283.9117</v>
      </c>
      <c r="M1658">
        <v>-0.99917180000000005</v>
      </c>
      <c r="N1658">
        <v>0</v>
      </c>
      <c r="O1658">
        <v>3.9610449999999998E-2</v>
      </c>
      <c r="P1658">
        <v>-0.99411389999999999</v>
      </c>
      <c r="Q1658">
        <v>-2.7367140000000002E-2</v>
      </c>
      <c r="R1658">
        <v>0.1048251</v>
      </c>
      <c r="S1658">
        <v>-3.0309910000000002</v>
      </c>
      <c r="T1658">
        <v>-9.6398349999999994E-2</v>
      </c>
      <c r="U1658">
        <v>-0.1488342</v>
      </c>
      <c r="V1658">
        <v>6.5361050000000004E-2</v>
      </c>
      <c r="W1658">
        <v>-1.8080909999999999E-2</v>
      </c>
      <c r="X1658">
        <v>0.99769779999999997</v>
      </c>
      <c r="Y1658">
        <v>-8.8506399999999999E-2</v>
      </c>
      <c r="Z1658">
        <v>-2.6650549999999999E-3</v>
      </c>
      <c r="AA1658">
        <v>0.99607210000000002</v>
      </c>
      <c r="AB1658">
        <v>25</v>
      </c>
      <c r="AC1658">
        <v>-34.639899999999898</v>
      </c>
      <c r="AD1658">
        <v>-1.109455476308</v>
      </c>
      <c r="AE1658">
        <v>-1.7226999999999699</v>
      </c>
      <c r="AF1658">
        <v>-3.0903471493161798</v>
      </c>
      <c r="AG1658">
        <v>-1.109455476308</v>
      </c>
      <c r="AH1658">
        <v>34.509159832906398</v>
      </c>
      <c r="AI1658">
        <v>91.834067401380594</v>
      </c>
      <c r="AJ1658">
        <v>95.117273058113398</v>
      </c>
      <c r="AK1658">
        <v>34.665014774701604</v>
      </c>
      <c r="AL1658">
        <v>91.036016345849703</v>
      </c>
      <c r="AM1658">
        <v>86.251802314107806</v>
      </c>
      <c r="AN1658">
        <v>0.99999994314418295</v>
      </c>
    </row>
    <row r="1659" spans="1:40" x14ac:dyDescent="0.25">
      <c r="A1659" t="str">
        <f>"20190312160946661"</f>
        <v>20190312160946661</v>
      </c>
      <c r="B1659" t="str">
        <f>"1552378186657379"</f>
        <v>1552378186657379</v>
      </c>
      <c r="C1659" t="s">
        <v>40</v>
      </c>
      <c r="D1659">
        <v>5.5651250000000001</v>
      </c>
      <c r="E1659">
        <v>0.42208639999999997</v>
      </c>
      <c r="F1659" t="s">
        <v>74</v>
      </c>
      <c r="G1659">
        <v>-301.55259999999998</v>
      </c>
      <c r="H1659" s="1">
        <v>4.1241479999999997E-6</v>
      </c>
      <c r="I1659">
        <v>279.64100000000002</v>
      </c>
      <c r="J1659">
        <v>-256.19349999999997</v>
      </c>
      <c r="K1659">
        <v>1.109459</v>
      </c>
      <c r="L1659">
        <v>283.92110000000002</v>
      </c>
      <c r="M1659">
        <v>-0.99916919999999998</v>
      </c>
      <c r="N1659">
        <v>0</v>
      </c>
      <c r="O1659">
        <v>3.9675120000000001E-2</v>
      </c>
      <c r="P1659">
        <v>-0.99410690000000002</v>
      </c>
      <c r="Q1659">
        <v>-2.731958E-2</v>
      </c>
      <c r="R1659">
        <v>0.104905</v>
      </c>
      <c r="S1659">
        <v>-3.0457920000000001</v>
      </c>
      <c r="T1659">
        <v>-7.4110270000000006E-2</v>
      </c>
      <c r="U1659">
        <v>-0.28527829999999998</v>
      </c>
      <c r="V1659">
        <v>6.5376459999999997E-2</v>
      </c>
      <c r="W1659">
        <v>-1.801927E-2</v>
      </c>
      <c r="X1659">
        <v>0.99769790000000003</v>
      </c>
      <c r="Y1659">
        <v>-0.1326349</v>
      </c>
      <c r="Z1659">
        <v>-2.573302E-3</v>
      </c>
      <c r="AA1659">
        <v>0.99116159999999998</v>
      </c>
      <c r="AB1659">
        <v>26</v>
      </c>
      <c r="AC1659">
        <v>-45.359099999999998</v>
      </c>
      <c r="AD1659">
        <v>-1.109454875852</v>
      </c>
      <c r="AE1659">
        <v>-4.2801000000000604</v>
      </c>
      <c r="AF1659">
        <v>-6.0728344609044296</v>
      </c>
      <c r="AG1659">
        <v>-1.109454875852</v>
      </c>
      <c r="AH1659">
        <v>45.126802436468303</v>
      </c>
      <c r="AI1659">
        <v>91.395771998774705</v>
      </c>
      <c r="AJ1659">
        <v>97.664400651258404</v>
      </c>
      <c r="AK1659">
        <v>45.547102066444801</v>
      </c>
      <c r="AL1659">
        <v>91.032484064017197</v>
      </c>
      <c r="AM1659">
        <v>86.2509215062354</v>
      </c>
      <c r="AN1659">
        <v>0.99999993763893502</v>
      </c>
    </row>
    <row r="1660" spans="1:40" x14ac:dyDescent="0.25">
      <c r="A1660" t="str">
        <f>"20190312160946684"</f>
        <v>20190312160946684</v>
      </c>
      <c r="B1660" t="str">
        <f>"1552378186676900"</f>
        <v>1552378186676900</v>
      </c>
      <c r="C1660" t="s">
        <v>40</v>
      </c>
      <c r="D1660">
        <v>5.5606580000000001</v>
      </c>
      <c r="E1660">
        <v>0.42108689999999999</v>
      </c>
      <c r="F1660" t="s">
        <v>74</v>
      </c>
      <c r="G1660">
        <v>-306.94159999999999</v>
      </c>
      <c r="H1660" s="1">
        <v>3.3663030000000001E-6</v>
      </c>
      <c r="I1660">
        <v>278.87650000000002</v>
      </c>
      <c r="J1660">
        <v>-256.46089999999998</v>
      </c>
      <c r="K1660">
        <v>1.109453</v>
      </c>
      <c r="L1660">
        <v>283.93180000000001</v>
      </c>
      <c r="M1660">
        <v>-0.999166</v>
      </c>
      <c r="N1660">
        <v>0</v>
      </c>
      <c r="O1660">
        <v>3.9750580000000001E-2</v>
      </c>
      <c r="P1660">
        <v>-0.99412199999999995</v>
      </c>
      <c r="Q1660">
        <v>-2.7961989999999999E-2</v>
      </c>
      <c r="R1660">
        <v>0.104593699999999</v>
      </c>
      <c r="S1660">
        <v>-3.0479129999999999</v>
      </c>
      <c r="T1660">
        <v>-6.6633460000000005E-2</v>
      </c>
      <c r="U1660">
        <v>-0.30297849999999998</v>
      </c>
      <c r="V1660">
        <v>6.4989539999999998E-2</v>
      </c>
      <c r="W1660">
        <v>-1.8646530000000001E-2</v>
      </c>
      <c r="X1660">
        <v>0.99771169999999998</v>
      </c>
      <c r="Y1660">
        <v>-0.1383547</v>
      </c>
      <c r="Z1660">
        <v>-2.3755410000000001E-3</v>
      </c>
      <c r="AA1660">
        <v>0.99037989999999998</v>
      </c>
      <c r="AB1660">
        <v>26</v>
      </c>
      <c r="AC1660">
        <v>-50.480699999999999</v>
      </c>
      <c r="AD1660">
        <v>-1.1094496336969999</v>
      </c>
      <c r="AE1660">
        <v>-5.0552999999999804</v>
      </c>
      <c r="AF1660">
        <v>-7.0546550051588399</v>
      </c>
      <c r="AG1660">
        <v>-1.1094496336969999</v>
      </c>
      <c r="AH1660">
        <v>50.2158240113395</v>
      </c>
      <c r="AI1660">
        <v>91.253361538780695</v>
      </c>
      <c r="AJ1660">
        <v>97.996957919145203</v>
      </c>
      <c r="AK1660">
        <v>50.721080596427903</v>
      </c>
      <c r="AL1660">
        <v>91.0684294081003</v>
      </c>
      <c r="AM1660">
        <v>86.273098504271701</v>
      </c>
      <c r="AN1660">
        <v>0.99999998485367103</v>
      </c>
    </row>
    <row r="1661" spans="1:40" x14ac:dyDescent="0.25">
      <c r="A1661" t="str">
        <f>"20190312160946707"</f>
        <v>20190312160946707</v>
      </c>
      <c r="B1661" t="str">
        <f>"1552378186697395"</f>
        <v>1552378186697395</v>
      </c>
      <c r="C1661" t="s">
        <v>40</v>
      </c>
      <c r="D1661">
        <v>5.5622579999999999</v>
      </c>
      <c r="E1661">
        <v>0.42048380000000002</v>
      </c>
      <c r="F1661" t="s">
        <v>74</v>
      </c>
      <c r="G1661">
        <v>-310.65960000000001</v>
      </c>
      <c r="H1661">
        <v>2.8443540000000001E-4</v>
      </c>
      <c r="I1661">
        <v>278.39109999999999</v>
      </c>
      <c r="J1661">
        <v>-256.71969999999999</v>
      </c>
      <c r="K1661">
        <v>1.1094550000000001</v>
      </c>
      <c r="L1661">
        <v>283.94220000000001</v>
      </c>
      <c r="M1661">
        <v>-0.99916289999999996</v>
      </c>
      <c r="N1661">
        <v>0</v>
      </c>
      <c r="O1661">
        <v>3.9824850000000002E-2</v>
      </c>
      <c r="P1661">
        <v>-0.99420609999999998</v>
      </c>
      <c r="Q1661">
        <v>-2.7737979999999999E-2</v>
      </c>
      <c r="R1661">
        <v>0.1038519</v>
      </c>
      <c r="S1661">
        <v>-3.0487669999999998</v>
      </c>
      <c r="T1661">
        <v>-6.2392589999999998E-2</v>
      </c>
      <c r="U1661">
        <v>-0.31167600000000001</v>
      </c>
      <c r="V1661">
        <v>6.4170840000000007E-2</v>
      </c>
      <c r="W1661">
        <v>-1.84082E-2</v>
      </c>
      <c r="X1661">
        <v>0.99776909999999996</v>
      </c>
      <c r="Y1661">
        <v>-0.14120199999999999</v>
      </c>
      <c r="Z1661">
        <v>-2.2540289999999998E-3</v>
      </c>
      <c r="AA1661">
        <v>0.98997829999999998</v>
      </c>
      <c r="AB1661">
        <v>26</v>
      </c>
      <c r="AC1661">
        <v>-53.939900000000002</v>
      </c>
      <c r="AD1661">
        <v>-1.1091705646000001</v>
      </c>
      <c r="AE1661">
        <v>-5.5511000000000204</v>
      </c>
      <c r="AF1661">
        <v>-7.6917199024963097</v>
      </c>
      <c r="AG1661">
        <v>-1.1091705646000001</v>
      </c>
      <c r="AH1661">
        <v>53.653573905866502</v>
      </c>
      <c r="AI1661">
        <v>91.172314610387701</v>
      </c>
      <c r="AJ1661">
        <v>98.158276653539801</v>
      </c>
      <c r="AK1661">
        <v>54.213455961339598</v>
      </c>
      <c r="AL1661">
        <v>91.054771778513995</v>
      </c>
      <c r="AM1661">
        <v>86.3201291074663</v>
      </c>
      <c r="AN1661">
        <v>0.99999996772417699</v>
      </c>
    </row>
    <row r="1662" spans="1:40" x14ac:dyDescent="0.25">
      <c r="A1662" t="str">
        <f>"20190312160946728"</f>
        <v>20190312160946728</v>
      </c>
      <c r="B1662" t="str">
        <f>"1552378186716917"</f>
        <v>1552378186716917</v>
      </c>
      <c r="C1662" t="s">
        <v>40</v>
      </c>
      <c r="D1662">
        <v>5.5971669999999998</v>
      </c>
      <c r="E1662">
        <v>0.4202321</v>
      </c>
      <c r="F1662" t="s">
        <v>74</v>
      </c>
      <c r="G1662">
        <v>-310.60939999999999</v>
      </c>
      <c r="H1662">
        <v>1.4139509999999999E-2</v>
      </c>
      <c r="I1662">
        <v>278.30689999999998</v>
      </c>
      <c r="J1662">
        <v>-256.97230000000002</v>
      </c>
      <c r="K1662">
        <v>1.109461</v>
      </c>
      <c r="L1662">
        <v>283.95240000000001</v>
      </c>
      <c r="M1662">
        <v>-0.99915980000000004</v>
      </c>
      <c r="N1662">
        <v>0</v>
      </c>
      <c r="O1662">
        <v>3.9897630000000003E-2</v>
      </c>
      <c r="P1662">
        <v>-0.99424279999999998</v>
      </c>
      <c r="Q1662">
        <v>-2.7703350000000002E-2</v>
      </c>
      <c r="R1662">
        <v>0.103506399999999</v>
      </c>
      <c r="S1662">
        <v>-3.0490719999999998</v>
      </c>
      <c r="T1662">
        <v>-6.1972859999999998E-2</v>
      </c>
      <c r="U1662">
        <v>-0.31884770000000001</v>
      </c>
      <c r="V1662">
        <v>6.3751269999999999E-2</v>
      </c>
      <c r="W1662">
        <v>-1.8360560000000001E-2</v>
      </c>
      <c r="X1662">
        <v>0.99779689999999999</v>
      </c>
      <c r="Y1662">
        <v>-0.14356759999999999</v>
      </c>
      <c r="Z1662">
        <v>-2.2638329999999998E-3</v>
      </c>
      <c r="AA1662">
        <v>0.98963789999999996</v>
      </c>
      <c r="AB1662">
        <v>26</v>
      </c>
      <c r="AC1662">
        <v>-53.637099999999897</v>
      </c>
      <c r="AD1662">
        <v>-1.0953214899999999</v>
      </c>
      <c r="AE1662">
        <v>-5.6455000000000197</v>
      </c>
      <c r="AF1662">
        <v>-7.7778837406218999</v>
      </c>
      <c r="AG1662">
        <v>-1.0953214899999999</v>
      </c>
      <c r="AH1662">
        <v>53.347134098295697</v>
      </c>
      <c r="AI1662">
        <v>91.163927397921796</v>
      </c>
      <c r="AJ1662">
        <v>98.295139828512404</v>
      </c>
      <c r="AK1662">
        <v>53.922276668837199</v>
      </c>
      <c r="AL1662">
        <v>91.052041718322499</v>
      </c>
      <c r="AM1662">
        <v>86.344225426371295</v>
      </c>
      <c r="AN1662">
        <v>0.99999999411986795</v>
      </c>
    </row>
    <row r="1663" spans="1:40" x14ac:dyDescent="0.25">
      <c r="A1663" t="str">
        <f>"20190312160946752"</f>
        <v>20190312160946752</v>
      </c>
      <c r="B1663" t="str">
        <f>"1552378186747172"</f>
        <v>1552378186747172</v>
      </c>
      <c r="C1663" t="s">
        <v>40</v>
      </c>
      <c r="D1663">
        <v>5.5044890000000004</v>
      </c>
      <c r="E1663">
        <v>0.41994150000000002</v>
      </c>
      <c r="F1663" t="s">
        <v>74</v>
      </c>
      <c r="G1663">
        <v>-310.62759999999997</v>
      </c>
      <c r="H1663">
        <v>7.457213E-2</v>
      </c>
      <c r="I1663">
        <v>278.28910000000002</v>
      </c>
      <c r="J1663">
        <v>-257.23779999999999</v>
      </c>
      <c r="K1663">
        <v>1.109461</v>
      </c>
      <c r="L1663">
        <v>283.96300000000002</v>
      </c>
      <c r="M1663">
        <v>-0.99915670000000001</v>
      </c>
      <c r="N1663">
        <v>0</v>
      </c>
      <c r="O1663">
        <v>3.9973580000000002E-2</v>
      </c>
      <c r="P1663">
        <v>-0.99423059999999996</v>
      </c>
      <c r="Q1663">
        <v>-2.7919590000000001E-2</v>
      </c>
      <c r="R1663">
        <v>0.1035669</v>
      </c>
      <c r="S1663">
        <v>-3.049194</v>
      </c>
      <c r="T1663">
        <v>-5.881202E-2</v>
      </c>
      <c r="U1663">
        <v>-0.32183840000000002</v>
      </c>
      <c r="V1663">
        <v>6.3736379999999995E-2</v>
      </c>
      <c r="W1663">
        <v>-1.856404E-2</v>
      </c>
      <c r="X1663">
        <v>0.99779410000000002</v>
      </c>
      <c r="Y1663">
        <v>-0.14460219999999999</v>
      </c>
      <c r="Z1663">
        <v>-2.159612E-3</v>
      </c>
      <c r="AA1663">
        <v>0.98948749999999996</v>
      </c>
      <c r="AB1663">
        <v>26</v>
      </c>
      <c r="AC1663">
        <v>-53.389799999999902</v>
      </c>
      <c r="AD1663">
        <v>-1.0348888700000001</v>
      </c>
      <c r="AE1663">
        <v>-5.6738999999999402</v>
      </c>
      <c r="AF1663">
        <v>-7.8007418096265599</v>
      </c>
      <c r="AG1663">
        <v>-1.0348888700000001</v>
      </c>
      <c r="AH1663">
        <v>53.100579240258703</v>
      </c>
      <c r="AI1663">
        <v>91.104655483205804</v>
      </c>
      <c r="AJ1663">
        <v>98.357260346052598</v>
      </c>
      <c r="AK1663">
        <v>53.680481400642201</v>
      </c>
      <c r="AL1663">
        <v>91.063702236467705</v>
      </c>
      <c r="AM1663">
        <v>86.345066740262396</v>
      </c>
      <c r="AN1663">
        <v>1.0000000078557101</v>
      </c>
    </row>
    <row r="1664" spans="1:40" x14ac:dyDescent="0.25">
      <c r="A1664" t="str">
        <f>"20190312160946774"</f>
        <v>20190312160946774</v>
      </c>
      <c r="B1664" t="str">
        <f>"1552378186767201"</f>
        <v>1552378186767201</v>
      </c>
      <c r="C1664" t="s">
        <v>40</v>
      </c>
      <c r="D1664">
        <v>5.4479059999999997</v>
      </c>
      <c r="E1664">
        <v>0.42001749999999999</v>
      </c>
      <c r="F1664" t="s">
        <v>74</v>
      </c>
      <c r="G1664">
        <v>-310.60149999999999</v>
      </c>
      <c r="H1664">
        <v>4.4595139999999998E-2</v>
      </c>
      <c r="I1664">
        <v>278.29270000000002</v>
      </c>
      <c r="J1664">
        <v>-257.48770000000002</v>
      </c>
      <c r="K1664">
        <v>1.1094599999999999</v>
      </c>
      <c r="L1664">
        <v>283.97309999999999</v>
      </c>
      <c r="M1664">
        <v>-0.99915370000000003</v>
      </c>
      <c r="N1664">
        <v>0</v>
      </c>
      <c r="O1664">
        <v>4.0044879999999998E-2</v>
      </c>
      <c r="P1664">
        <v>-0.9941025</v>
      </c>
      <c r="Q1664">
        <v>-2.828321E-2</v>
      </c>
      <c r="R1664">
        <v>0.1046926</v>
      </c>
      <c r="S1664">
        <v>-3.0495000000000001</v>
      </c>
      <c r="T1664">
        <v>-6.0852410000000003E-2</v>
      </c>
      <c r="U1664">
        <v>-0.32403559999999998</v>
      </c>
      <c r="V1664">
        <v>6.4795080000000005E-2</v>
      </c>
      <c r="W1664">
        <v>-1.8916929999999998E-2</v>
      </c>
      <c r="X1664">
        <v>0.99771929999999998</v>
      </c>
      <c r="Y1664">
        <v>-0.14536499999999999</v>
      </c>
      <c r="Z1664">
        <v>-2.2432239999999998E-3</v>
      </c>
      <c r="AA1664">
        <v>0.98937549999999996</v>
      </c>
      <c r="AB1664">
        <v>26</v>
      </c>
      <c r="AC1664">
        <v>-53.113799999999898</v>
      </c>
      <c r="AD1664">
        <v>-1.0648648599999999</v>
      </c>
      <c r="AE1664">
        <v>-5.6803999999999597</v>
      </c>
      <c r="AF1664">
        <v>-7.7997732143452803</v>
      </c>
      <c r="AG1664">
        <v>-1.0648648599999999</v>
      </c>
      <c r="AH1664">
        <v>52.822719631338103</v>
      </c>
      <c r="AI1664">
        <v>91.1424972191775</v>
      </c>
      <c r="AJ1664">
        <v>98.399567545076295</v>
      </c>
      <c r="AK1664">
        <v>53.406086812424597</v>
      </c>
      <c r="AL1664">
        <v>91.083924874639905</v>
      </c>
      <c r="AM1664">
        <v>86.284246978281402</v>
      </c>
      <c r="AN1664">
        <v>1.0000000271126599</v>
      </c>
    </row>
    <row r="1665" spans="1:40" x14ac:dyDescent="0.25">
      <c r="A1665" t="str">
        <f>"20190312160946798"</f>
        <v>20190312160946798</v>
      </c>
      <c r="B1665" t="str">
        <f>"1552378186786720"</f>
        <v>1552378186786720</v>
      </c>
      <c r="C1665" t="s">
        <v>40</v>
      </c>
      <c r="D1665">
        <v>5.5321910000000001</v>
      </c>
      <c r="E1665">
        <v>0.4197901</v>
      </c>
      <c r="F1665" t="s">
        <v>74</v>
      </c>
      <c r="G1665">
        <v>-310.6653</v>
      </c>
      <c r="H1665">
        <v>7.609284E-3</v>
      </c>
      <c r="I1665">
        <v>278.39679999999998</v>
      </c>
      <c r="J1665">
        <v>-257.76549999999997</v>
      </c>
      <c r="K1665">
        <v>1.1094580000000001</v>
      </c>
      <c r="L1665">
        <v>283.98430000000002</v>
      </c>
      <c r="M1665">
        <v>-0.99915039999999999</v>
      </c>
      <c r="N1665">
        <v>0</v>
      </c>
      <c r="O1665">
        <v>4.0124449999999999E-2</v>
      </c>
      <c r="P1665">
        <v>-0.99400350000000004</v>
      </c>
      <c r="Q1665">
        <v>-2.8665820000000002E-2</v>
      </c>
      <c r="R1665">
        <v>0.1055249</v>
      </c>
      <c r="S1665">
        <v>-3.049652</v>
      </c>
      <c r="T1665">
        <v>-6.3189389999999998E-2</v>
      </c>
      <c r="U1665">
        <v>-0.31979370000000001</v>
      </c>
      <c r="V1665">
        <v>6.5551079999999998E-2</v>
      </c>
      <c r="W1665">
        <v>-1.9287619999999998E-2</v>
      </c>
      <c r="X1665">
        <v>0.99766279999999996</v>
      </c>
      <c r="Y1665">
        <v>-0.144074799999999</v>
      </c>
      <c r="Z1665">
        <v>-2.3177200000000001E-3</v>
      </c>
      <c r="AA1665">
        <v>0.98956409999999995</v>
      </c>
      <c r="AB1665">
        <v>26</v>
      </c>
      <c r="AC1665">
        <v>-52.899799999999999</v>
      </c>
      <c r="AD1665">
        <v>-1.1018487159999999</v>
      </c>
      <c r="AE1665">
        <v>-5.5875000000000297</v>
      </c>
      <c r="AF1665">
        <v>-7.7023644767287296</v>
      </c>
      <c r="AG1665">
        <v>-1.1018487159999999</v>
      </c>
      <c r="AH1665">
        <v>52.610417204235603</v>
      </c>
      <c r="AI1665">
        <v>91.187149823467394</v>
      </c>
      <c r="AJ1665">
        <v>98.329146480837807</v>
      </c>
      <c r="AK1665">
        <v>53.1826709326361</v>
      </c>
      <c r="AL1665">
        <v>91.105167742306406</v>
      </c>
      <c r="AM1665">
        <v>86.240804547423593</v>
      </c>
      <c r="AN1665">
        <v>1.0000000094391299</v>
      </c>
    </row>
    <row r="1666" spans="1:40" x14ac:dyDescent="0.25">
      <c r="A1666" t="str">
        <f>"20190312160946821"</f>
        <v>20190312160946821</v>
      </c>
      <c r="B1666" t="str">
        <f>"1552378186816976"</f>
        <v>1552378186816976</v>
      </c>
      <c r="C1666" t="s">
        <v>40</v>
      </c>
      <c r="D1666">
        <v>5.5525010000000004</v>
      </c>
      <c r="E1666">
        <v>0.41946670000000003</v>
      </c>
      <c r="F1666" t="s">
        <v>74</v>
      </c>
      <c r="G1666">
        <v>-310.71550000000002</v>
      </c>
      <c r="H1666">
        <v>3.1976070000000002E-2</v>
      </c>
      <c r="I1666">
        <v>278.44709999999998</v>
      </c>
      <c r="J1666">
        <v>-258.03960000000001</v>
      </c>
      <c r="K1666">
        <v>1.109459</v>
      </c>
      <c r="L1666">
        <v>283.99540000000002</v>
      </c>
      <c r="M1666">
        <v>-0.99914720000000001</v>
      </c>
      <c r="N1666">
        <v>0</v>
      </c>
      <c r="O1666">
        <v>4.0202839999999997E-2</v>
      </c>
      <c r="P1666">
        <v>-0.99395489999999997</v>
      </c>
      <c r="Q1666">
        <v>-2.8770770000000001E-2</v>
      </c>
      <c r="R1666">
        <v>0.1059548</v>
      </c>
      <c r="S1666">
        <v>-3.0501399999999999</v>
      </c>
      <c r="T1666">
        <v>-6.206739E-2</v>
      </c>
      <c r="U1666">
        <v>-0.31896970000000002</v>
      </c>
      <c r="V1666">
        <v>6.5904480000000001E-2</v>
      </c>
      <c r="W1666">
        <v>-1.938082E-2</v>
      </c>
      <c r="X1666">
        <v>0.99763769999999996</v>
      </c>
      <c r="Y1666">
        <v>-0.143873</v>
      </c>
      <c r="Z1666">
        <v>-2.2757879999999999E-3</v>
      </c>
      <c r="AA1666">
        <v>0.98959359999999996</v>
      </c>
      <c r="AB1666">
        <v>26</v>
      </c>
      <c r="AC1666">
        <v>-52.675899999999999</v>
      </c>
      <c r="AD1666">
        <v>-1.0774829299999999</v>
      </c>
      <c r="AE1666">
        <v>-5.5483000000000402</v>
      </c>
      <c r="AF1666">
        <v>-7.6584594455448602</v>
      </c>
      <c r="AG1666">
        <v>-1.0774829299999999</v>
      </c>
      <c r="AH1666">
        <v>52.388563391008603</v>
      </c>
      <c r="AI1666">
        <v>91.165856216075795</v>
      </c>
      <c r="AJ1666">
        <v>98.316913348406999</v>
      </c>
      <c r="AK1666">
        <v>52.9563456510853</v>
      </c>
      <c r="AL1666">
        <v>91.110508719338199</v>
      </c>
      <c r="AM1666">
        <v>86.220501682989294</v>
      </c>
      <c r="AN1666">
        <v>0.99999999856461597</v>
      </c>
    </row>
    <row r="1667" spans="1:40" x14ac:dyDescent="0.25">
      <c r="A1667" t="str">
        <f>"20190312160946840"</f>
        <v>20190312160946840</v>
      </c>
      <c r="B1667" t="str">
        <f>"1552378186837473"</f>
        <v>1552378186837473</v>
      </c>
      <c r="C1667" t="s">
        <v>40</v>
      </c>
      <c r="D1667">
        <v>5.5904439999999997</v>
      </c>
      <c r="E1667">
        <v>0.4196278</v>
      </c>
      <c r="F1667" t="s">
        <v>74</v>
      </c>
      <c r="G1667">
        <v>-310.73349999999999</v>
      </c>
      <c r="H1667">
        <v>5.2448179999999997E-2</v>
      </c>
      <c r="I1667">
        <v>278.46159999999998</v>
      </c>
      <c r="J1667">
        <v>-258.25529999999998</v>
      </c>
      <c r="K1667">
        <v>1.1094599999999999</v>
      </c>
      <c r="L1667">
        <v>284.00420000000003</v>
      </c>
      <c r="M1667">
        <v>-0.99914460000000005</v>
      </c>
      <c r="N1667">
        <v>0</v>
      </c>
      <c r="O1667">
        <v>4.0264729999999999E-2</v>
      </c>
      <c r="P1667">
        <v>-0.99390339999999999</v>
      </c>
      <c r="Q1667">
        <v>-2.868184E-2</v>
      </c>
      <c r="R1667">
        <v>0.10645930000000001</v>
      </c>
      <c r="S1667">
        <v>-3.0506289999999998</v>
      </c>
      <c r="T1667">
        <v>-6.1193940000000002E-2</v>
      </c>
      <c r="U1667">
        <v>-0.32037349999999998</v>
      </c>
      <c r="V1667">
        <v>6.6348699999999997E-2</v>
      </c>
      <c r="W1667">
        <v>-1.9282959999999998E-2</v>
      </c>
      <c r="X1667">
        <v>0.9976102</v>
      </c>
      <c r="Y1667">
        <v>-0.14436930000000001</v>
      </c>
      <c r="Z1667">
        <v>-2.2495599999999998E-3</v>
      </c>
      <c r="AA1667">
        <v>0.98952130000000005</v>
      </c>
      <c r="AB1667">
        <v>26</v>
      </c>
      <c r="AC1667">
        <v>-52.478200000000001</v>
      </c>
      <c r="AD1667">
        <v>-1.05701182</v>
      </c>
      <c r="AE1667">
        <v>-5.5426000000000499</v>
      </c>
      <c r="AF1667">
        <v>-7.64815060955228</v>
      </c>
      <c r="AG1667">
        <v>-1.05701182</v>
      </c>
      <c r="AH1667">
        <v>52.191517302929803</v>
      </c>
      <c r="AI1667">
        <v>91.147970624625302</v>
      </c>
      <c r="AJ1667">
        <v>98.336792905278799</v>
      </c>
      <c r="AK1667">
        <v>52.759510612931599</v>
      </c>
      <c r="AL1667">
        <v>91.104900652980703</v>
      </c>
      <c r="AM1667">
        <v>86.194996503984896</v>
      </c>
      <c r="AN1667">
        <v>1.0000000468410399</v>
      </c>
    </row>
    <row r="1668" spans="1:40" x14ac:dyDescent="0.25">
      <c r="A1668" t="str">
        <f>"20190312160946863"</f>
        <v>20190312160946863</v>
      </c>
      <c r="B1668" t="str">
        <f>"1552378186857497"</f>
        <v>1552378186857497</v>
      </c>
      <c r="C1668" t="s">
        <v>40</v>
      </c>
      <c r="D1668">
        <v>5.8064960000000001</v>
      </c>
      <c r="E1668">
        <v>0.41952400000000001</v>
      </c>
      <c r="F1668" t="s">
        <v>74</v>
      </c>
      <c r="G1668">
        <v>-310.82380000000001</v>
      </c>
      <c r="H1668">
        <v>6.3912860000000002E-2</v>
      </c>
      <c r="I1668">
        <v>278.53559999999999</v>
      </c>
      <c r="J1668">
        <v>-258.52510000000001</v>
      </c>
      <c r="K1668">
        <v>1.1094599999999999</v>
      </c>
      <c r="L1668">
        <v>284.01510000000002</v>
      </c>
      <c r="M1668">
        <v>-0.99914130000000001</v>
      </c>
      <c r="N1668">
        <v>0</v>
      </c>
      <c r="O1668">
        <v>4.034198E-2</v>
      </c>
      <c r="P1668">
        <v>-0.9937956</v>
      </c>
      <c r="Q1668">
        <v>-2.9003669999999999E-2</v>
      </c>
      <c r="R1668">
        <v>0.10737579999999999</v>
      </c>
      <c r="S1668">
        <v>-3.050659</v>
      </c>
      <c r="T1668">
        <v>-6.0675260000000002E-2</v>
      </c>
      <c r="U1668">
        <v>-0.31735229999999998</v>
      </c>
      <c r="V1668">
        <v>6.7191780000000007E-2</v>
      </c>
      <c r="W1668">
        <v>-1.9594159999999999E-2</v>
      </c>
      <c r="X1668">
        <v>0.99754770000000004</v>
      </c>
      <c r="Y1668">
        <v>-0.1434761</v>
      </c>
      <c r="Z1668">
        <v>-2.2232609999999998E-3</v>
      </c>
      <c r="AA1668">
        <v>0.98965130000000001</v>
      </c>
      <c r="AB1668">
        <v>26</v>
      </c>
      <c r="AC1668">
        <v>-52.298699999999997</v>
      </c>
      <c r="AD1668">
        <v>-1.04554714</v>
      </c>
      <c r="AE1668">
        <v>-5.47950000000003</v>
      </c>
      <c r="AF1668">
        <v>-7.5819687027449403</v>
      </c>
      <c r="AG1668">
        <v>-1.04554714</v>
      </c>
      <c r="AH1668">
        <v>52.0144946212448</v>
      </c>
      <c r="AI1668">
        <v>91.139512311814002</v>
      </c>
      <c r="AJ1668">
        <v>98.293393113921795</v>
      </c>
      <c r="AK1668">
        <v>52.574585770454398</v>
      </c>
      <c r="AL1668">
        <v>91.122734476021606</v>
      </c>
      <c r="AM1668">
        <v>86.146551115332599</v>
      </c>
      <c r="AN1668">
        <v>1.00000004009048</v>
      </c>
    </row>
    <row r="1669" spans="1:40" x14ac:dyDescent="0.25">
      <c r="A1669" t="str">
        <f>"20190312160946886"</f>
        <v>20190312160946886</v>
      </c>
      <c r="B1669" t="str">
        <f>"1552378186877016"</f>
        <v>1552378186877016</v>
      </c>
      <c r="C1669" t="s">
        <v>40</v>
      </c>
      <c r="D1669">
        <v>5.6995639999999996</v>
      </c>
      <c r="E1669">
        <v>0.42133979999999999</v>
      </c>
      <c r="F1669" t="s">
        <v>74</v>
      </c>
      <c r="G1669">
        <v>-310.8904</v>
      </c>
      <c r="H1669">
        <v>6.6057610000000003E-2</v>
      </c>
      <c r="I1669">
        <v>278.59930000000003</v>
      </c>
      <c r="J1669">
        <v>-258.79140000000001</v>
      </c>
      <c r="K1669">
        <v>1.1094580000000001</v>
      </c>
      <c r="L1669">
        <v>284.02600000000001</v>
      </c>
      <c r="M1669">
        <v>-0.99913819999999998</v>
      </c>
      <c r="N1669">
        <v>0</v>
      </c>
      <c r="O1669">
        <v>4.04184E-2</v>
      </c>
      <c r="P1669">
        <v>-0.99378469999999997</v>
      </c>
      <c r="Q1669">
        <v>-2.905336E-2</v>
      </c>
      <c r="R1669">
        <v>0.1074609</v>
      </c>
      <c r="S1669">
        <v>-3.0510250000000001</v>
      </c>
      <c r="T1669">
        <v>-6.0793159999999999E-2</v>
      </c>
      <c r="U1669">
        <v>-0.31555179999999999</v>
      </c>
      <c r="V1669">
        <v>6.7200659999999995E-2</v>
      </c>
      <c r="W1669">
        <v>-1.9633009999999999E-2</v>
      </c>
      <c r="X1669">
        <v>0.9975463</v>
      </c>
      <c r="Y1669">
        <v>-0.1429617</v>
      </c>
      <c r="Z1669">
        <v>-2.223788E-3</v>
      </c>
      <c r="AA1669">
        <v>0.98972570000000004</v>
      </c>
      <c r="AB1669">
        <v>26</v>
      </c>
      <c r="AC1669">
        <v>-52.098999999999897</v>
      </c>
      <c r="AD1669">
        <v>-1.04340039</v>
      </c>
      <c r="AE1669">
        <v>-5.4266999999999799</v>
      </c>
      <c r="AF1669">
        <v>-7.5251314224782</v>
      </c>
      <c r="AG1669">
        <v>-1.04340039</v>
      </c>
      <c r="AH1669">
        <v>51.816514717381601</v>
      </c>
      <c r="AI1669">
        <v>91.141604794676098</v>
      </c>
      <c r="AJ1669">
        <v>98.263097457409799</v>
      </c>
      <c r="AK1669">
        <v>52.370482953244199</v>
      </c>
      <c r="AL1669">
        <v>91.124960887855806</v>
      </c>
      <c r="AM1669">
        <v>86.146037989405798</v>
      </c>
      <c r="AN1669">
        <v>1.00000000221489</v>
      </c>
    </row>
    <row r="1670" spans="1:40" x14ac:dyDescent="0.25">
      <c r="A1670" t="str">
        <f>"20190312160946908"</f>
        <v>20190312160946908</v>
      </c>
      <c r="B1670" t="str">
        <f>"1552378186897513"</f>
        <v>1552378186897513</v>
      </c>
      <c r="C1670" t="s">
        <v>40</v>
      </c>
      <c r="D1670">
        <v>5.8344180000000003</v>
      </c>
      <c r="E1670">
        <v>0.51851729999999996</v>
      </c>
      <c r="F1670" t="s">
        <v>74</v>
      </c>
      <c r="G1670">
        <v>-306.73439999999999</v>
      </c>
      <c r="H1670" s="1">
        <v>3.2922809999999999E-6</v>
      </c>
      <c r="I1670">
        <v>279.29480000000001</v>
      </c>
      <c r="J1670">
        <v>-259.04899999999998</v>
      </c>
      <c r="K1670">
        <v>1.1094599999999999</v>
      </c>
      <c r="L1670">
        <v>284.03649999999999</v>
      </c>
      <c r="M1670">
        <v>-0.99913510000000005</v>
      </c>
      <c r="N1670">
        <v>0</v>
      </c>
      <c r="O1670">
        <v>4.0491840000000001E-2</v>
      </c>
      <c r="P1670">
        <v>-0.99378060000000001</v>
      </c>
      <c r="Q1670">
        <v>-2.8451710000000002E-2</v>
      </c>
      <c r="R1670">
        <v>0.10766009999999999</v>
      </c>
      <c r="S1670">
        <v>-3.049194</v>
      </c>
      <c r="T1670">
        <v>-7.0561769999999996E-2</v>
      </c>
      <c r="U1670">
        <v>-0.30090329999999998</v>
      </c>
      <c r="V1670">
        <v>6.7326810000000001E-2</v>
      </c>
      <c r="W1670">
        <v>-1.9021090000000001E-2</v>
      </c>
      <c r="X1670">
        <v>0.99754969999999998</v>
      </c>
      <c r="Y1670">
        <v>-0.13837579999999999</v>
      </c>
      <c r="Z1670">
        <v>-2.5319420000000001E-3</v>
      </c>
      <c r="AA1670">
        <v>0.99037649999999999</v>
      </c>
      <c r="AB1670">
        <v>26</v>
      </c>
      <c r="AC1670">
        <v>-47.685399999999902</v>
      </c>
      <c r="AD1670">
        <v>-1.1094567077190001</v>
      </c>
      <c r="AE1670">
        <v>-4.7416999999999803</v>
      </c>
      <c r="AF1670">
        <v>-6.6651941583676599</v>
      </c>
      <c r="AG1670">
        <v>-1.1094567077190001</v>
      </c>
      <c r="AH1670">
        <v>47.428856916727298</v>
      </c>
      <c r="AI1670">
        <v>91.326985190744395</v>
      </c>
      <c r="AJ1670">
        <v>97.999411255936906</v>
      </c>
      <c r="AK1670">
        <v>47.907746511210803</v>
      </c>
      <c r="AL1670">
        <v>91.089893849093897</v>
      </c>
      <c r="AM1670">
        <v>86.138838263247393</v>
      </c>
      <c r="AN1670">
        <v>1.0000000525898201</v>
      </c>
    </row>
    <row r="1671" spans="1:40" x14ac:dyDescent="0.25">
      <c r="A1671" t="str">
        <f>"20190312160946929"</f>
        <v>20190312160946929</v>
      </c>
      <c r="B1671" t="str">
        <f>"1552378186926793"</f>
        <v>1552378186926793</v>
      </c>
      <c r="C1671" t="s">
        <v>40</v>
      </c>
      <c r="D1671">
        <v>5.8314059999999897</v>
      </c>
      <c r="E1671">
        <v>0.52881069999999997</v>
      </c>
      <c r="F1671" t="s">
        <v>42</v>
      </c>
      <c r="G1671">
        <v>-259.91090000000003</v>
      </c>
      <c r="H1671">
        <v>0.94510079999999996</v>
      </c>
      <c r="I1671">
        <v>284.17070000000001</v>
      </c>
      <c r="J1671">
        <v>-259.30110000000002</v>
      </c>
      <c r="K1671">
        <v>1.1094569999999999</v>
      </c>
      <c r="L1671">
        <v>284.04680000000002</v>
      </c>
      <c r="M1671">
        <v>-0.99913209999999997</v>
      </c>
      <c r="N1671">
        <v>0</v>
      </c>
      <c r="O1671">
        <v>4.0563439999999999E-2</v>
      </c>
      <c r="P1671">
        <v>-0.99374450000000003</v>
      </c>
      <c r="Q1671">
        <v>-2.8300700000000002E-2</v>
      </c>
      <c r="R1671">
        <v>0.108033199999999</v>
      </c>
      <c r="S1671">
        <v>-2.9529719999999999</v>
      </c>
      <c r="T1671">
        <v>-0.56327490000000002</v>
      </c>
      <c r="U1671">
        <v>0.4588623</v>
      </c>
      <c r="V1671">
        <v>6.7629579999999995E-2</v>
      </c>
      <c r="W1671">
        <v>-1.886026E-2</v>
      </c>
      <c r="X1671">
        <v>0.99753219999999998</v>
      </c>
      <c r="Y1671">
        <v>0.1120791</v>
      </c>
      <c r="Z1671">
        <v>2.9158259999999998E-3</v>
      </c>
      <c r="AA1671">
        <v>0.99369499999999999</v>
      </c>
      <c r="AB1671">
        <v>26</v>
      </c>
      <c r="AC1671">
        <v>-0.609800000000007</v>
      </c>
      <c r="AD1671">
        <v>-0.16435619999999901</v>
      </c>
      <c r="AE1671">
        <v>0.123899999999991</v>
      </c>
      <c r="AF1671">
        <v>9.2601136259202202E-2</v>
      </c>
      <c r="AG1671">
        <v>-0.16435619999999901</v>
      </c>
      <c r="AH1671">
        <v>0.574261566197936</v>
      </c>
      <c r="AI1671">
        <v>105.777875253113</v>
      </c>
      <c r="AJ1671">
        <v>80.839762852921595</v>
      </c>
      <c r="AK1671">
        <v>0.60445370155789602</v>
      </c>
      <c r="AL1671">
        <v>91.080677394696195</v>
      </c>
      <c r="AM1671">
        <v>86.121459585135298</v>
      </c>
      <c r="AN1671">
        <v>0.99999997976754096</v>
      </c>
    </row>
    <row r="1672" spans="1:40" x14ac:dyDescent="0.25">
      <c r="A1672" t="str">
        <f>"20190312160946952"</f>
        <v>20190312160946952</v>
      </c>
      <c r="B1672" t="str">
        <f>"1552378186947289"</f>
        <v>1552378186947289</v>
      </c>
      <c r="C1672" t="s">
        <v>40</v>
      </c>
      <c r="D1672">
        <v>5.6851390000000004</v>
      </c>
      <c r="E1672">
        <v>0.52861990000000003</v>
      </c>
      <c r="F1672" t="s">
        <v>42</v>
      </c>
      <c r="G1672">
        <v>-260.12869999999998</v>
      </c>
      <c r="H1672">
        <v>0.91038039999999998</v>
      </c>
      <c r="I1672">
        <v>284.19850000000002</v>
      </c>
      <c r="J1672">
        <v>-259.56229999999999</v>
      </c>
      <c r="K1672">
        <v>1.109461</v>
      </c>
      <c r="L1672">
        <v>284.0575</v>
      </c>
      <c r="M1672">
        <v>-0.99912889999999999</v>
      </c>
      <c r="N1672">
        <v>0</v>
      </c>
      <c r="O1672">
        <v>4.063754E-2</v>
      </c>
      <c r="P1672">
        <v>-0.99364739999999996</v>
      </c>
      <c r="Q1672">
        <v>-2.8547550000000001E-2</v>
      </c>
      <c r="R1672">
        <v>0.10885839999999899</v>
      </c>
      <c r="S1672">
        <v>-2.9402159999999999</v>
      </c>
      <c r="T1672">
        <v>-0.70739200000000002</v>
      </c>
      <c r="U1672">
        <v>0.5381165</v>
      </c>
      <c r="V1672">
        <v>6.8384109999999998E-2</v>
      </c>
      <c r="W1672">
        <v>-1.90974E-2</v>
      </c>
      <c r="X1672">
        <v>0.99747629999999998</v>
      </c>
      <c r="Y1672">
        <v>0.1372411</v>
      </c>
      <c r="Z1672">
        <v>6.5955819999999896E-3</v>
      </c>
      <c r="AA1672">
        <v>0.9905157</v>
      </c>
      <c r="AB1672">
        <v>26</v>
      </c>
      <c r="AC1672">
        <v>-0.56639999999998702</v>
      </c>
      <c r="AD1672">
        <v>-0.1990806</v>
      </c>
      <c r="AE1672">
        <v>0.141000000000019</v>
      </c>
      <c r="AF1672">
        <v>0.105582744639116</v>
      </c>
      <c r="AG1672">
        <v>-0.1990806</v>
      </c>
      <c r="AH1672">
        <v>0.51208988488196705</v>
      </c>
      <c r="AI1672">
        <v>110.84444836770901</v>
      </c>
      <c r="AJ1672">
        <v>78.350000922382094</v>
      </c>
      <c r="AK1672">
        <v>0.55947908938611401</v>
      </c>
      <c r="AL1672">
        <v>91.094266905437607</v>
      </c>
      <c r="AM1672">
        <v>86.078102659528597</v>
      </c>
      <c r="AN1672">
        <v>1.0000000331244701</v>
      </c>
    </row>
    <row r="1673" spans="1:40" x14ac:dyDescent="0.25">
      <c r="A1673" t="str">
        <f>"20190312160946976"</f>
        <v>20190312160946976</v>
      </c>
      <c r="B1673" t="str">
        <f>"1552378186967316"</f>
        <v>1552378186967316</v>
      </c>
      <c r="C1673" t="s">
        <v>40</v>
      </c>
      <c r="D1673">
        <v>5.729692</v>
      </c>
      <c r="E1673">
        <v>0.52771829999999997</v>
      </c>
      <c r="F1673" t="s">
        <v>42</v>
      </c>
      <c r="G1673">
        <v>-260.36250000000001</v>
      </c>
      <c r="H1673">
        <v>0.90975419999999996</v>
      </c>
      <c r="I1673">
        <v>284.20420000000001</v>
      </c>
      <c r="J1673">
        <v>-259.84199999999998</v>
      </c>
      <c r="K1673">
        <v>1.1094630000000001</v>
      </c>
      <c r="L1673">
        <v>284.06900000000002</v>
      </c>
      <c r="M1673">
        <v>-0.99912559999999995</v>
      </c>
      <c r="N1673">
        <v>0</v>
      </c>
      <c r="O1673">
        <v>4.0716759999999998E-2</v>
      </c>
      <c r="P1673">
        <v>-0.99351909999999999</v>
      </c>
      <c r="Q1673">
        <v>-2.8882580000000001E-2</v>
      </c>
      <c r="R1673">
        <v>0.1099348</v>
      </c>
      <c r="S1673">
        <v>-2.9392399999999999</v>
      </c>
      <c r="T1673">
        <v>-0.73350319999999902</v>
      </c>
      <c r="U1673">
        <v>0.53741459999999996</v>
      </c>
      <c r="V1673">
        <v>6.9385660000000002E-2</v>
      </c>
      <c r="W1673">
        <v>-1.9422330000000002E-2</v>
      </c>
      <c r="X1673">
        <v>0.99740079999999998</v>
      </c>
      <c r="Y1673">
        <v>0.13680780000000001</v>
      </c>
      <c r="Z1673">
        <v>6.762278E-3</v>
      </c>
      <c r="AA1673">
        <v>0.99057450000000002</v>
      </c>
      <c r="AB1673">
        <v>26</v>
      </c>
      <c r="AC1673">
        <v>-0.52050000000002605</v>
      </c>
      <c r="AD1673">
        <v>-0.19970879999999899</v>
      </c>
      <c r="AE1673">
        <v>0.13519999999999699</v>
      </c>
      <c r="AF1673">
        <v>0.100090339253552</v>
      </c>
      <c r="AG1673">
        <v>-0.19970879999999899</v>
      </c>
      <c r="AH1673">
        <v>0.461875957558188</v>
      </c>
      <c r="AI1673">
        <v>112.907840107515</v>
      </c>
      <c r="AJ1673">
        <v>77.772837558766199</v>
      </c>
      <c r="AK1673">
        <v>0.51306050420941995</v>
      </c>
      <c r="AL1673">
        <v>91.112887539710997</v>
      </c>
      <c r="AM1673">
        <v>86.0205457139473</v>
      </c>
      <c r="AN1673">
        <v>0.99999997627845105</v>
      </c>
    </row>
    <row r="1674" spans="1:40" x14ac:dyDescent="0.25">
      <c r="A1674" t="str">
        <f>"20190312160947000"</f>
        <v>20190312160947000</v>
      </c>
      <c r="B1674" t="str">
        <f>"1552378186986836"</f>
        <v>1552378186986836</v>
      </c>
      <c r="C1674" t="s">
        <v>40</v>
      </c>
      <c r="D1674">
        <v>5.7697989999999999</v>
      </c>
      <c r="E1674">
        <v>0.52695110000000001</v>
      </c>
      <c r="F1674" t="s">
        <v>42</v>
      </c>
      <c r="G1674">
        <v>-260.60199999999998</v>
      </c>
      <c r="H1674">
        <v>0.92092629999999998</v>
      </c>
      <c r="I1674">
        <v>284.20699999999999</v>
      </c>
      <c r="J1674">
        <v>-260.1164</v>
      </c>
      <c r="K1674">
        <v>1.1094580000000001</v>
      </c>
      <c r="L1674">
        <v>284.08030000000002</v>
      </c>
      <c r="M1674">
        <v>-0.99912239999999997</v>
      </c>
      <c r="N1674">
        <v>0</v>
      </c>
      <c r="O1674">
        <v>4.0794610000000002E-2</v>
      </c>
      <c r="P1674">
        <v>-0.99346429999999997</v>
      </c>
      <c r="Q1674">
        <v>-2.8856840000000002E-2</v>
      </c>
      <c r="R1674">
        <v>0.1104371</v>
      </c>
      <c r="S1674">
        <v>-2.9393310000000001</v>
      </c>
      <c r="T1674">
        <v>-0.72927529999999996</v>
      </c>
      <c r="U1674">
        <v>0.53344729999999996</v>
      </c>
      <c r="V1674">
        <v>6.981205E-2</v>
      </c>
      <c r="W1674">
        <v>-1.9386299999999999E-2</v>
      </c>
      <c r="X1674">
        <v>0.99737180000000003</v>
      </c>
      <c r="Y1674">
        <v>0.13550309999999999</v>
      </c>
      <c r="Z1674">
        <v>6.5478940000000003E-3</v>
      </c>
      <c r="AA1674">
        <v>0.99075530000000001</v>
      </c>
      <c r="AB1674">
        <v>26</v>
      </c>
      <c r="AC1674">
        <v>-0.48560000000003301</v>
      </c>
      <c r="AD1674">
        <v>-0.1885317</v>
      </c>
      <c r="AE1674">
        <v>0.126699999999971</v>
      </c>
      <c r="AF1674">
        <v>9.3577483203274497E-2</v>
      </c>
      <c r="AG1674">
        <v>-0.1885317</v>
      </c>
      <c r="AH1674">
        <v>0.42971971878564402</v>
      </c>
      <c r="AI1674">
        <v>113.204094504201</v>
      </c>
      <c r="AJ1674">
        <v>77.714837794077098</v>
      </c>
      <c r="AK1674">
        <v>0.47849763215794699</v>
      </c>
      <c r="AL1674">
        <v>91.110822725183695</v>
      </c>
      <c r="AM1674">
        <v>85.996054353932394</v>
      </c>
      <c r="AN1674">
        <v>1.0000000291940601</v>
      </c>
    </row>
    <row r="1675" spans="1:40" x14ac:dyDescent="0.25">
      <c r="A1675" t="str">
        <f>"20190312160947021"</f>
        <v>20190312160947021</v>
      </c>
      <c r="B1675" t="str">
        <f>"1552378187017094"</f>
        <v>1552378187017094</v>
      </c>
      <c r="C1675" t="s">
        <v>40</v>
      </c>
      <c r="D1675">
        <v>5.6361990000000004</v>
      </c>
      <c r="E1675">
        <v>0.52607009999999998</v>
      </c>
      <c r="F1675" t="s">
        <v>42</v>
      </c>
      <c r="G1675">
        <v>-260.84440000000001</v>
      </c>
      <c r="H1675">
        <v>0.93703519999999896</v>
      </c>
      <c r="I1675">
        <v>284.21179999999998</v>
      </c>
      <c r="J1675">
        <v>-260.37509999999997</v>
      </c>
      <c r="K1675">
        <v>1.1094550000000001</v>
      </c>
      <c r="L1675">
        <v>284.09089999999998</v>
      </c>
      <c r="M1675">
        <v>-0.99911930000000004</v>
      </c>
      <c r="N1675">
        <v>0</v>
      </c>
      <c r="O1675">
        <v>4.0868229999999998E-2</v>
      </c>
      <c r="P1675">
        <v>-0.9934518</v>
      </c>
      <c r="Q1675">
        <v>-2.8645879999999999E-2</v>
      </c>
      <c r="R1675">
        <v>0.11060399999999999</v>
      </c>
      <c r="S1675">
        <v>-2.9405519999999998</v>
      </c>
      <c r="T1675">
        <v>-0.69646669999999999</v>
      </c>
      <c r="U1675">
        <v>0.53042599999999995</v>
      </c>
      <c r="V1675">
        <v>6.9905780000000001E-2</v>
      </c>
      <c r="W1675">
        <v>-1.9165430000000001E-2</v>
      </c>
      <c r="X1675">
        <v>0.99736950000000002</v>
      </c>
      <c r="Y1675">
        <v>0.1346396</v>
      </c>
      <c r="Z1675">
        <v>6.1421389999999996E-3</v>
      </c>
      <c r="AA1675">
        <v>0.99087559999999997</v>
      </c>
      <c r="AB1675">
        <v>26</v>
      </c>
      <c r="AC1675">
        <v>-0.46930000000003202</v>
      </c>
      <c r="AD1675">
        <v>-0.17241979999999901</v>
      </c>
      <c r="AE1675">
        <v>0.120900000000006</v>
      </c>
      <c r="AF1675">
        <v>9.0200979574955195E-2</v>
      </c>
      <c r="AG1675">
        <v>-0.17241979999999901</v>
      </c>
      <c r="AH1675">
        <v>0.42060830450896303</v>
      </c>
      <c r="AI1675">
        <v>111.84172111633799</v>
      </c>
      <c r="AJ1675">
        <v>77.896044514193505</v>
      </c>
      <c r="AK1675">
        <v>0.463439478217195</v>
      </c>
      <c r="AL1675">
        <v>91.098165458911197</v>
      </c>
      <c r="AM1675">
        <v>85.990686940887102</v>
      </c>
      <c r="AN1675">
        <v>1.00000002565737</v>
      </c>
    </row>
    <row r="1676" spans="1:40" x14ac:dyDescent="0.25">
      <c r="A1676" t="str">
        <f>"20190312160947043"</f>
        <v>20190312160947043</v>
      </c>
      <c r="B1676" t="str">
        <f>"1552378187037588"</f>
        <v>1552378187037588</v>
      </c>
      <c r="C1676" t="s">
        <v>40</v>
      </c>
      <c r="D1676">
        <v>5.660927</v>
      </c>
      <c r="E1676">
        <v>0.52576630000000002</v>
      </c>
      <c r="F1676" t="s">
        <v>42</v>
      </c>
      <c r="G1676">
        <v>-261.08580000000001</v>
      </c>
      <c r="H1676">
        <v>0.94993570000000005</v>
      </c>
      <c r="I1676">
        <v>284.21789999999999</v>
      </c>
      <c r="J1676">
        <v>-260.6284</v>
      </c>
      <c r="K1676">
        <v>1.1094539999999999</v>
      </c>
      <c r="L1676">
        <v>284.10129999999998</v>
      </c>
      <c r="M1676">
        <v>-0.99911629999999996</v>
      </c>
      <c r="N1676">
        <v>0</v>
      </c>
      <c r="O1676">
        <v>4.0940190000000001E-2</v>
      </c>
      <c r="P1676">
        <v>-0.99336939999999996</v>
      </c>
      <c r="Q1676">
        <v>-2.9703259999999999E-2</v>
      </c>
      <c r="R1676">
        <v>0.111065</v>
      </c>
      <c r="S1676">
        <v>-2.942291</v>
      </c>
      <c r="T1676">
        <v>-0.66037690000000004</v>
      </c>
      <c r="U1676">
        <v>0.52520749999999905</v>
      </c>
      <c r="V1676">
        <v>7.0297940000000003E-2</v>
      </c>
      <c r="W1676">
        <v>-2.0213689999999999E-2</v>
      </c>
      <c r="X1676">
        <v>0.99732120000000002</v>
      </c>
      <c r="Y1676">
        <v>0.13305500000000001</v>
      </c>
      <c r="Z1676">
        <v>5.6389969999999998E-3</v>
      </c>
      <c r="AA1676">
        <v>0.99109259999999999</v>
      </c>
      <c r="AB1676">
        <v>26</v>
      </c>
      <c r="AC1676">
        <v>-0.45740000000000602</v>
      </c>
      <c r="AD1676">
        <v>-0.1595183</v>
      </c>
      <c r="AE1676">
        <v>0.11660000000000501</v>
      </c>
      <c r="AF1676">
        <v>8.7753446739538304E-2</v>
      </c>
      <c r="AG1676">
        <v>-0.1595183</v>
      </c>
      <c r="AH1676">
        <v>0.41445717523797398</v>
      </c>
      <c r="AI1676">
        <v>110.633228662858</v>
      </c>
      <c r="AJ1676">
        <v>78.045262160083098</v>
      </c>
      <c r="AK1676">
        <v>0.45268256599498102</v>
      </c>
      <c r="AL1676">
        <v>91.1582380268338</v>
      </c>
      <c r="AM1676">
        <v>85.968074703856004</v>
      </c>
      <c r="AN1676">
        <v>0.99999998480054897</v>
      </c>
    </row>
    <row r="1677" spans="1:40" x14ac:dyDescent="0.25">
      <c r="A1677" t="str">
        <f>"20190312160947066"</f>
        <v>20190312160947066</v>
      </c>
      <c r="B1677" t="str">
        <f>"1552378187057110"</f>
        <v>1552378187057110</v>
      </c>
      <c r="C1677" t="s">
        <v>40</v>
      </c>
      <c r="D1677">
        <v>5.4958609999999997</v>
      </c>
      <c r="E1677">
        <v>0.52620169999999999</v>
      </c>
      <c r="F1677" t="s">
        <v>42</v>
      </c>
      <c r="G1677">
        <v>-261.32459999999998</v>
      </c>
      <c r="H1677">
        <v>0.95655349999999995</v>
      </c>
      <c r="I1677">
        <v>284.22539999999998</v>
      </c>
      <c r="J1677">
        <v>-260.88749999999999</v>
      </c>
      <c r="K1677">
        <v>1.109453</v>
      </c>
      <c r="L1677">
        <v>284.11200000000002</v>
      </c>
      <c r="M1677">
        <v>-0.99911300000000003</v>
      </c>
      <c r="N1677">
        <v>0</v>
      </c>
      <c r="O1677">
        <v>4.1014050000000003E-2</v>
      </c>
      <c r="P1677">
        <v>-0.99330830000000003</v>
      </c>
      <c r="Q1677">
        <v>-3.0247159999999999E-2</v>
      </c>
      <c r="R1677">
        <v>0.1114604</v>
      </c>
      <c r="S1677">
        <v>-2.9422000000000001</v>
      </c>
      <c r="T1677">
        <v>-0.64616809999999902</v>
      </c>
      <c r="U1677">
        <v>0.5234375</v>
      </c>
      <c r="V1677">
        <v>7.0621420000000004E-2</v>
      </c>
      <c r="W1677">
        <v>-2.074821E-2</v>
      </c>
      <c r="X1677">
        <v>0.99728740000000005</v>
      </c>
      <c r="Y1677">
        <v>0.132516299999999</v>
      </c>
      <c r="Z1677">
        <v>5.4469829999999999E-3</v>
      </c>
      <c r="AA1677">
        <v>0.99116590000000004</v>
      </c>
      <c r="AB1677">
        <v>26</v>
      </c>
      <c r="AC1677">
        <v>-0.437099999999986</v>
      </c>
      <c r="AD1677">
        <v>-0.15289949999999999</v>
      </c>
      <c r="AE1677">
        <v>0.113399999999955</v>
      </c>
      <c r="AF1677">
        <v>8.5566602100109801E-2</v>
      </c>
      <c r="AG1677">
        <v>-0.15289949999999999</v>
      </c>
      <c r="AH1677">
        <v>0.39598507061132399</v>
      </c>
      <c r="AI1677">
        <v>110.67719152105199</v>
      </c>
      <c r="AJ1677">
        <v>77.8066905910636</v>
      </c>
      <c r="AK1677">
        <v>0.43301740916764903</v>
      </c>
      <c r="AL1677">
        <v>91.188870156302102</v>
      </c>
      <c r="AM1677">
        <v>85.949446359608601</v>
      </c>
      <c r="AN1677">
        <v>1.0000000156898901</v>
      </c>
    </row>
    <row r="1678" spans="1:40" x14ac:dyDescent="0.25">
      <c r="A1678" t="str">
        <f>"20190312160947087"</f>
        <v>20190312160947087</v>
      </c>
      <c r="B1678" t="str">
        <f>"1552378187077604"</f>
        <v>1552378187077604</v>
      </c>
      <c r="C1678" t="s">
        <v>40</v>
      </c>
      <c r="D1678">
        <v>5.5386129999999998</v>
      </c>
      <c r="E1678">
        <v>0.54501959999999905</v>
      </c>
      <c r="F1678" t="s">
        <v>42</v>
      </c>
      <c r="G1678">
        <v>-261.77820000000003</v>
      </c>
      <c r="H1678">
        <v>0.91688259999999999</v>
      </c>
      <c r="I1678">
        <v>284.27210000000002</v>
      </c>
      <c r="J1678">
        <v>-261.15699999999998</v>
      </c>
      <c r="K1678">
        <v>1.109456</v>
      </c>
      <c r="L1678">
        <v>284.1232</v>
      </c>
      <c r="M1678">
        <v>-0.9991099</v>
      </c>
      <c r="N1678">
        <v>0</v>
      </c>
      <c r="O1678">
        <v>4.1090769999999999E-2</v>
      </c>
      <c r="P1678">
        <v>-0.99328950000000005</v>
      </c>
      <c r="Q1678">
        <v>-2.986463E-2</v>
      </c>
      <c r="R1678">
        <v>0.1117341</v>
      </c>
      <c r="S1678">
        <v>-2.941589</v>
      </c>
      <c r="T1678">
        <v>-0.63596330000000001</v>
      </c>
      <c r="U1678">
        <v>0.52798459999999903</v>
      </c>
      <c r="V1678">
        <v>7.081933E-2</v>
      </c>
      <c r="W1678">
        <v>-2.0355680000000001E-2</v>
      </c>
      <c r="X1678">
        <v>0.99728139999999998</v>
      </c>
      <c r="Y1678">
        <v>0.13399420000000001</v>
      </c>
      <c r="Z1678">
        <v>5.5038099999999996E-3</v>
      </c>
      <c r="AA1678">
        <v>0.99096689999999998</v>
      </c>
      <c r="AB1678">
        <v>26</v>
      </c>
      <c r="AC1678">
        <v>-0.62120000000004405</v>
      </c>
      <c r="AD1678">
        <v>-0.19257340000000001</v>
      </c>
      <c r="AE1678">
        <v>0.14890000000002601</v>
      </c>
      <c r="AF1678">
        <v>0.112979881711984</v>
      </c>
      <c r="AG1678">
        <v>-0.19257340000000001</v>
      </c>
      <c r="AH1678">
        <v>0.57457652941335102</v>
      </c>
      <c r="AI1678">
        <v>108.20396063971</v>
      </c>
      <c r="AJ1678">
        <v>78.875761353499797</v>
      </c>
      <c r="AK1678">
        <v>0.61643098252108197</v>
      </c>
      <c r="AL1678">
        <v>91.166375156716697</v>
      </c>
      <c r="AM1678">
        <v>85.9381086436792</v>
      </c>
      <c r="AN1678">
        <v>0.99999996099793498</v>
      </c>
    </row>
    <row r="1679" spans="1:40" x14ac:dyDescent="0.25">
      <c r="A1679" t="str">
        <f>"20190312160947108"</f>
        <v>20190312160947108</v>
      </c>
      <c r="B1679" t="str">
        <f>"1552378187097124"</f>
        <v>1552378187097124</v>
      </c>
      <c r="C1679" t="s">
        <v>40</v>
      </c>
      <c r="D1679">
        <v>5.3676459999999997</v>
      </c>
      <c r="E1679">
        <v>0.54562060000000001</v>
      </c>
      <c r="F1679" t="s">
        <v>42</v>
      </c>
      <c r="G1679">
        <v>-262.00200000000001</v>
      </c>
      <c r="H1679">
        <v>0.88566279999999997</v>
      </c>
      <c r="I1679">
        <v>284.3186</v>
      </c>
      <c r="J1679">
        <v>-261.40649999999999</v>
      </c>
      <c r="K1679">
        <v>1.1094569999999999</v>
      </c>
      <c r="L1679">
        <v>284.1336</v>
      </c>
      <c r="M1679">
        <v>-0.99910679999999996</v>
      </c>
      <c r="N1679">
        <v>0</v>
      </c>
      <c r="O1679">
        <v>4.1162249999999997E-2</v>
      </c>
      <c r="P1679">
        <v>-0.99328870000000002</v>
      </c>
      <c r="Q1679">
        <v>-2.9781140000000001E-2</v>
      </c>
      <c r="R1679">
        <v>0.1117615</v>
      </c>
      <c r="S1679">
        <v>-2.9211119999999999</v>
      </c>
      <c r="T1679">
        <v>-0.77369750000000004</v>
      </c>
      <c r="U1679">
        <v>0.67507930000000005</v>
      </c>
      <c r="V1679">
        <v>7.0775249999999998E-2</v>
      </c>
      <c r="W1679">
        <v>-2.0263030000000001E-2</v>
      </c>
      <c r="X1679">
        <v>0.99728640000000002</v>
      </c>
      <c r="Y1679">
        <v>0.18032219999999999</v>
      </c>
      <c r="Z1679">
        <v>1.2614139999999999E-2</v>
      </c>
      <c r="AA1679">
        <v>0.98352669999999998</v>
      </c>
      <c r="AB1679">
        <v>26</v>
      </c>
      <c r="AC1679">
        <v>-0.59550000000001502</v>
      </c>
      <c r="AD1679">
        <v>-0.223794199999999</v>
      </c>
      <c r="AE1679">
        <v>0.185000000000002</v>
      </c>
      <c r="AF1679">
        <v>0.142035564095147</v>
      </c>
      <c r="AG1679">
        <v>-0.223794199999999</v>
      </c>
      <c r="AH1679">
        <v>0.53384995248661604</v>
      </c>
      <c r="AI1679">
        <v>112.053592829126</v>
      </c>
      <c r="AJ1679">
        <v>75.101095033618705</v>
      </c>
      <c r="AK1679">
        <v>0.59603164109922002</v>
      </c>
      <c r="AL1679">
        <v>91.161065625972398</v>
      </c>
      <c r="AM1679">
        <v>85.940648711739698</v>
      </c>
      <c r="AN1679">
        <v>0.99999994501114997</v>
      </c>
    </row>
    <row r="1680" spans="1:40" x14ac:dyDescent="0.25">
      <c r="A1680" t="str">
        <f>"20190312160947130"</f>
        <v>20190312160947130</v>
      </c>
      <c r="B1680" t="str">
        <f>"1552378187127381"</f>
        <v>1552378187127381</v>
      </c>
      <c r="C1680" t="s">
        <v>40</v>
      </c>
      <c r="D1680">
        <v>5.2788680000000001</v>
      </c>
      <c r="E1680">
        <v>0.54423769999999905</v>
      </c>
      <c r="F1680" t="s">
        <v>42</v>
      </c>
      <c r="G1680">
        <v>-262.23910000000001</v>
      </c>
      <c r="H1680">
        <v>0.88613960000000003</v>
      </c>
      <c r="I1680">
        <v>284.32760000000002</v>
      </c>
      <c r="J1680">
        <v>-261.66550000000001</v>
      </c>
      <c r="K1680">
        <v>1.109451</v>
      </c>
      <c r="L1680">
        <v>284.14429999999999</v>
      </c>
      <c r="M1680">
        <v>-0.99910379999999999</v>
      </c>
      <c r="N1680">
        <v>0</v>
      </c>
      <c r="O1680">
        <v>4.123599E-2</v>
      </c>
      <c r="P1680">
        <v>-0.99327390000000004</v>
      </c>
      <c r="Q1680">
        <v>-2.9991790000000001E-2</v>
      </c>
      <c r="R1680">
        <v>0.1118386</v>
      </c>
      <c r="S1680">
        <v>-2.9203190000000001</v>
      </c>
      <c r="T1680">
        <v>-0.78323949999999998</v>
      </c>
      <c r="U1680">
        <v>0.68008419999999903</v>
      </c>
      <c r="V1680">
        <v>7.0779389999999998E-2</v>
      </c>
      <c r="W1680">
        <v>-2.0464380000000001E-2</v>
      </c>
      <c r="X1680">
        <v>0.997282</v>
      </c>
      <c r="Y1680">
        <v>0.1817511</v>
      </c>
      <c r="Z1680">
        <v>1.293244E-2</v>
      </c>
      <c r="AA1680">
        <v>0.98325949999999995</v>
      </c>
      <c r="AB1680">
        <v>26</v>
      </c>
      <c r="AC1680">
        <v>-0.573599999999999</v>
      </c>
      <c r="AD1680">
        <v>-0.22331139999999899</v>
      </c>
      <c r="AE1680">
        <v>0.18330000000003099</v>
      </c>
      <c r="AF1680">
        <v>0.140208197587983</v>
      </c>
      <c r="AG1680">
        <v>-0.22331139999999899</v>
      </c>
      <c r="AH1680">
        <v>0.51046970185507901</v>
      </c>
      <c r="AI1680">
        <v>112.871957638748</v>
      </c>
      <c r="AJ1680">
        <v>74.641591014079793</v>
      </c>
      <c r="AK1680">
        <v>0.57454820211435997</v>
      </c>
      <c r="AL1680">
        <v>91.172604518459707</v>
      </c>
      <c r="AM1680">
        <v>85.940394202779899</v>
      </c>
      <c r="AN1680">
        <v>0.99999995021077703</v>
      </c>
    </row>
    <row r="1681" spans="1:40" x14ac:dyDescent="0.25">
      <c r="A1681" t="str">
        <f>"20190312160947153"</f>
        <v>20190312160947153</v>
      </c>
      <c r="B1681" t="str">
        <f>"1552378187146901"</f>
        <v>1552378187146901</v>
      </c>
      <c r="C1681" t="s">
        <v>40</v>
      </c>
      <c r="D1681">
        <v>5.25685</v>
      </c>
      <c r="E1681">
        <v>0.53266449999999999</v>
      </c>
      <c r="F1681" t="s">
        <v>42</v>
      </c>
      <c r="G1681">
        <v>-262.4796</v>
      </c>
      <c r="H1681">
        <v>0.89362809999999904</v>
      </c>
      <c r="I1681">
        <v>284.33089999999999</v>
      </c>
      <c r="J1681">
        <v>-261.9359</v>
      </c>
      <c r="K1681">
        <v>1.10945</v>
      </c>
      <c r="L1681">
        <v>284.15559999999999</v>
      </c>
      <c r="M1681">
        <v>-0.9991004</v>
      </c>
      <c r="N1681">
        <v>0</v>
      </c>
      <c r="O1681">
        <v>4.1313019999999999E-2</v>
      </c>
      <c r="P1681">
        <v>-0.993255</v>
      </c>
      <c r="Q1681">
        <v>-3.0219340000000001E-2</v>
      </c>
      <c r="R1681">
        <v>0.1119445</v>
      </c>
      <c r="S1681">
        <v>-2.9216000000000002</v>
      </c>
      <c r="T1681">
        <v>-0.77459549999999999</v>
      </c>
      <c r="U1681">
        <v>0.66903690000000005</v>
      </c>
      <c r="V1681">
        <v>7.0809090000000005E-2</v>
      </c>
      <c r="W1681">
        <v>-2.0682289999999999E-2</v>
      </c>
      <c r="X1681">
        <v>0.99727549999999998</v>
      </c>
      <c r="Y1681">
        <v>0.17826629999999999</v>
      </c>
      <c r="Z1681">
        <v>1.2325600000000001E-2</v>
      </c>
      <c r="AA1681">
        <v>0.98390509999999998</v>
      </c>
      <c r="AB1681">
        <v>27</v>
      </c>
      <c r="AC1681">
        <v>-0.54370000000000096</v>
      </c>
      <c r="AD1681">
        <v>-0.21582190000000001</v>
      </c>
      <c r="AE1681">
        <v>0.17529999999999199</v>
      </c>
      <c r="AF1681">
        <v>0.13361612472401499</v>
      </c>
      <c r="AG1681">
        <v>-0.21582190000000001</v>
      </c>
      <c r="AH1681">
        <v>0.48172129058596802</v>
      </c>
      <c r="AI1681">
        <v>113.350952095395</v>
      </c>
      <c r="AJ1681">
        <v>74.497461172153294</v>
      </c>
      <c r="AK1681">
        <v>0.54450689904691296</v>
      </c>
      <c r="AL1681">
        <v>91.185092362970593</v>
      </c>
      <c r="AM1681">
        <v>85.938670053684007</v>
      </c>
      <c r="AN1681">
        <v>1.0000000536232501</v>
      </c>
    </row>
    <row r="1682" spans="1:40" x14ac:dyDescent="0.25">
      <c r="A1682" t="str">
        <f>"20190312160947176"</f>
        <v>20190312160947176</v>
      </c>
      <c r="B1682" t="str">
        <f>"1552378187167397"</f>
        <v>1552378187167397</v>
      </c>
      <c r="C1682" t="s">
        <v>40</v>
      </c>
      <c r="D1682">
        <v>5.189781</v>
      </c>
      <c r="E1682">
        <v>0.5314721</v>
      </c>
      <c r="F1682" t="s">
        <v>42</v>
      </c>
      <c r="G1682">
        <v>-262.7432</v>
      </c>
      <c r="H1682">
        <v>0.9526443</v>
      </c>
      <c r="I1682">
        <v>284.31599999999997</v>
      </c>
      <c r="J1682">
        <v>-262.20749999999998</v>
      </c>
      <c r="K1682">
        <v>1.1094520000000001</v>
      </c>
      <c r="L1682">
        <v>284.1669</v>
      </c>
      <c r="M1682">
        <v>-0.99909709999999996</v>
      </c>
      <c r="N1682">
        <v>0</v>
      </c>
      <c r="O1682">
        <v>4.1390040000000003E-2</v>
      </c>
      <c r="P1682">
        <v>-0.99328539999999998</v>
      </c>
      <c r="Q1682">
        <v>-2.962033E-2</v>
      </c>
      <c r="R1682">
        <v>0.1118348</v>
      </c>
      <c r="S1682">
        <v>-2.9373779999999998</v>
      </c>
      <c r="T1682">
        <v>-0.57065630000000001</v>
      </c>
      <c r="U1682">
        <v>0.58248900000000003</v>
      </c>
      <c r="V1682">
        <v>7.062148E-2</v>
      </c>
      <c r="W1682">
        <v>-2.0073279999999999E-2</v>
      </c>
      <c r="X1682">
        <v>0.9973012</v>
      </c>
      <c r="Y1682">
        <v>0.15176429999999999</v>
      </c>
      <c r="Z1682">
        <v>6.5858380000000001E-3</v>
      </c>
      <c r="AA1682">
        <v>0.98839480000000002</v>
      </c>
      <c r="AB1682">
        <v>27</v>
      </c>
      <c r="AC1682">
        <v>-0.53570000000001905</v>
      </c>
      <c r="AD1682">
        <v>-0.15680769999999999</v>
      </c>
      <c r="AE1682">
        <v>0.149099999999975</v>
      </c>
      <c r="AF1682">
        <v>0.117458046020391</v>
      </c>
      <c r="AG1682">
        <v>-0.15680769999999999</v>
      </c>
      <c r="AH1682">
        <v>0.50152973821535296</v>
      </c>
      <c r="AI1682">
        <v>106.931381340427</v>
      </c>
      <c r="AJ1682">
        <v>76.818917994678401</v>
      </c>
      <c r="AK1682">
        <v>0.53843952833032205</v>
      </c>
      <c r="AL1682">
        <v>91.150191468391199</v>
      </c>
      <c r="AM1682">
        <v>85.949498792103597</v>
      </c>
      <c r="AN1682">
        <v>1.0000000067643899</v>
      </c>
    </row>
    <row r="1683" spans="1:40" x14ac:dyDescent="0.25">
      <c r="A1683" t="str">
        <f>"20190312160947199"</f>
        <v>20190312160947199</v>
      </c>
      <c r="B1683" t="str">
        <f>"1552378187186916"</f>
        <v>1552378187186916</v>
      </c>
      <c r="C1683" t="s">
        <v>40</v>
      </c>
      <c r="D1683">
        <v>5.1353650000000002</v>
      </c>
      <c r="E1683">
        <v>0.53111929999999996</v>
      </c>
      <c r="F1683" t="s">
        <v>42</v>
      </c>
      <c r="G1683">
        <v>-262.98509999999999</v>
      </c>
      <c r="H1683">
        <v>0.96067349999999996</v>
      </c>
      <c r="I1683">
        <v>284.31889999999999</v>
      </c>
      <c r="J1683">
        <v>-262.48599999999999</v>
      </c>
      <c r="K1683">
        <v>1.1094569999999999</v>
      </c>
      <c r="L1683">
        <v>284.17860000000002</v>
      </c>
      <c r="M1683">
        <v>-0.99909380000000003</v>
      </c>
      <c r="N1683">
        <v>0</v>
      </c>
      <c r="O1683">
        <v>4.1469209999999999E-2</v>
      </c>
      <c r="P1683">
        <v>-0.99330390000000002</v>
      </c>
      <c r="Q1683">
        <v>-2.9005389999999999E-2</v>
      </c>
      <c r="R1683">
        <v>0.11183220000000001</v>
      </c>
      <c r="S1683">
        <v>-2.9389949999999998</v>
      </c>
      <c r="T1683">
        <v>-0.56233480000000002</v>
      </c>
      <c r="U1683">
        <v>0.57330319999999901</v>
      </c>
      <c r="V1683">
        <v>7.0539240000000003E-2</v>
      </c>
      <c r="W1683">
        <v>-1.944827E-2</v>
      </c>
      <c r="X1683">
        <v>0.99731939999999997</v>
      </c>
      <c r="Y1683">
        <v>0.1487192</v>
      </c>
      <c r="Z1683">
        <v>6.1888890000000004E-3</v>
      </c>
      <c r="AA1683">
        <v>0.98886010000000002</v>
      </c>
      <c r="AB1683">
        <v>27</v>
      </c>
      <c r="AC1683">
        <v>-0.49909999999999799</v>
      </c>
      <c r="AD1683">
        <v>-0.14878349999999901</v>
      </c>
      <c r="AE1683">
        <v>0.14029999999996701</v>
      </c>
      <c r="AF1683">
        <v>0.11038962163865</v>
      </c>
      <c r="AG1683">
        <v>-0.14878349999999901</v>
      </c>
      <c r="AH1683">
        <v>0.46610190165684301</v>
      </c>
      <c r="AI1683">
        <v>107.25560650456499</v>
      </c>
      <c r="AJ1683">
        <v>76.675810247251107</v>
      </c>
      <c r="AK1683">
        <v>0.501570913396999</v>
      </c>
      <c r="AL1683">
        <v>91.114374043711294</v>
      </c>
      <c r="AM1683">
        <v>85.954273588072994</v>
      </c>
      <c r="AN1683">
        <v>1.00000000260106</v>
      </c>
    </row>
    <row r="1684" spans="1:40" x14ac:dyDescent="0.25">
      <c r="A1684" t="str">
        <f>"20190312160947231"</f>
        <v>20190312160947231</v>
      </c>
      <c r="B1684" t="str">
        <f>"1552378187226932"</f>
        <v>1552378187226932</v>
      </c>
      <c r="C1684" t="s">
        <v>40</v>
      </c>
      <c r="D1684">
        <v>5.1097549999999998</v>
      </c>
      <c r="E1684">
        <v>0.54252860000000003</v>
      </c>
      <c r="F1684" t="s">
        <v>42</v>
      </c>
      <c r="G1684">
        <v>-263.22750000000002</v>
      </c>
      <c r="H1684">
        <v>0.96889590000000003</v>
      </c>
      <c r="I1684">
        <v>284.32279999999997</v>
      </c>
      <c r="J1684">
        <v>-262.86320000000001</v>
      </c>
      <c r="K1684">
        <v>1.109459</v>
      </c>
      <c r="L1684">
        <v>284.1943</v>
      </c>
      <c r="M1684">
        <v>-0.99908920000000001</v>
      </c>
      <c r="N1684">
        <v>0</v>
      </c>
      <c r="O1684">
        <v>4.1576429999999998E-2</v>
      </c>
      <c r="P1684">
        <v>-0.99321150000000002</v>
      </c>
      <c r="Q1684">
        <v>-2.8945869999999999E-2</v>
      </c>
      <c r="R1684">
        <v>0.112663899999999</v>
      </c>
      <c r="S1684">
        <v>-2.9396969999999998</v>
      </c>
      <c r="T1684">
        <v>-0.55740619999999996</v>
      </c>
      <c r="U1684">
        <v>0.57064820000000005</v>
      </c>
      <c r="V1684">
        <v>7.1266979999999994E-2</v>
      </c>
      <c r="W1684">
        <v>-1.937612E-2</v>
      </c>
      <c r="X1684">
        <v>0.99726899999999996</v>
      </c>
      <c r="Y1684">
        <v>0.14775920000000001</v>
      </c>
      <c r="Z1684">
        <v>6.0253260000000001E-3</v>
      </c>
      <c r="AA1684">
        <v>0.98900500000000002</v>
      </c>
      <c r="AB1684">
        <v>27</v>
      </c>
      <c r="AC1684">
        <v>-0.364300000000014</v>
      </c>
      <c r="AD1684">
        <v>-0.140563099999999</v>
      </c>
      <c r="AE1684">
        <v>0.128499999999974</v>
      </c>
      <c r="AF1684">
        <v>0.100001451143371</v>
      </c>
      <c r="AG1684">
        <v>-0.140563099999999</v>
      </c>
      <c r="AH1684">
        <v>0.32614534683629198</v>
      </c>
      <c r="AI1684">
        <v>112.394058057728</v>
      </c>
      <c r="AJ1684">
        <v>72.953611353346901</v>
      </c>
      <c r="AK1684">
        <v>0.36895672181890798</v>
      </c>
      <c r="AL1684">
        <v>91.110239446498895</v>
      </c>
      <c r="AM1684">
        <v>85.912469472811495</v>
      </c>
      <c r="AN1684">
        <v>0.99999993741278503</v>
      </c>
    </row>
    <row r="1685" spans="1:40" x14ac:dyDescent="0.25">
      <c r="A1685" t="str">
        <f>"20190312160947254"</f>
        <v>20190312160947254</v>
      </c>
      <c r="B1685" t="str">
        <f>"1552378187247429"</f>
        <v>1552378187247429</v>
      </c>
      <c r="C1685" t="s">
        <v>40</v>
      </c>
      <c r="D1685">
        <v>5.0499780000000003</v>
      </c>
      <c r="E1685">
        <v>0.54260959999999903</v>
      </c>
      <c r="F1685" t="s">
        <v>42</v>
      </c>
      <c r="G1685">
        <v>-263.67790000000002</v>
      </c>
      <c r="H1685">
        <v>0.90885590000000005</v>
      </c>
      <c r="I1685">
        <v>284.37830000000002</v>
      </c>
      <c r="J1685">
        <v>-263.14060000000001</v>
      </c>
      <c r="K1685">
        <v>1.1094649999999999</v>
      </c>
      <c r="L1685">
        <v>284.20600000000002</v>
      </c>
      <c r="M1685">
        <v>-0.99908580000000002</v>
      </c>
      <c r="N1685">
        <v>0</v>
      </c>
      <c r="O1685">
        <v>4.1655480000000002E-2</v>
      </c>
      <c r="P1685">
        <v>-0.99319710000000005</v>
      </c>
      <c r="Q1685">
        <v>-2.8435849999999999E-2</v>
      </c>
      <c r="R1685">
        <v>0.1129208</v>
      </c>
      <c r="S1685">
        <v>-2.9246219999999998</v>
      </c>
      <c r="T1685">
        <v>-0.72024319999999997</v>
      </c>
      <c r="U1685">
        <v>0.6596069</v>
      </c>
      <c r="V1685">
        <v>7.1445439999999999E-2</v>
      </c>
      <c r="W1685">
        <v>-1.8856520000000002E-2</v>
      </c>
      <c r="X1685">
        <v>0.99726619999999999</v>
      </c>
      <c r="Y1685">
        <v>0.17538570000000001</v>
      </c>
      <c r="Z1685">
        <v>1.1051109999999999E-2</v>
      </c>
      <c r="AA1685">
        <v>0.98443780000000003</v>
      </c>
      <c r="AB1685">
        <v>27</v>
      </c>
      <c r="AC1685">
        <v>-0.53730000000001599</v>
      </c>
      <c r="AD1685">
        <v>-0.20060909999999901</v>
      </c>
      <c r="AE1685">
        <v>0.17230000000006301</v>
      </c>
      <c r="AF1685">
        <v>0.13296121447279399</v>
      </c>
      <c r="AG1685">
        <v>-0.20060909999999901</v>
      </c>
      <c r="AH1685">
        <v>0.48296317066977701</v>
      </c>
      <c r="AI1685">
        <v>111.82473529480001</v>
      </c>
      <c r="AJ1685">
        <v>74.607609452429202</v>
      </c>
      <c r="AK1685">
        <v>0.53960737557996197</v>
      </c>
      <c r="AL1685">
        <v>91.080463106361606</v>
      </c>
      <c r="AM1685">
        <v>85.902257225426595</v>
      </c>
      <c r="AN1685">
        <v>0.99999994645287005</v>
      </c>
    </row>
    <row r="1686" spans="1:40" x14ac:dyDescent="0.25">
      <c r="A1686" t="str">
        <f>"20190312160947275"</f>
        <v>20190312160947275</v>
      </c>
      <c r="B1686" t="str">
        <f>"1552378187266948"</f>
        <v>1552378187266948</v>
      </c>
      <c r="C1686" t="s">
        <v>40</v>
      </c>
      <c r="D1686">
        <v>5.2867189999999997</v>
      </c>
      <c r="E1686">
        <v>0.53964789999999996</v>
      </c>
      <c r="F1686" t="s">
        <v>42</v>
      </c>
      <c r="G1686">
        <v>-263.92090000000002</v>
      </c>
      <c r="H1686">
        <v>0.91748479999999999</v>
      </c>
      <c r="I1686">
        <v>284.38240000000002</v>
      </c>
      <c r="J1686">
        <v>-263.40440000000001</v>
      </c>
      <c r="K1686">
        <v>1.1094630000000001</v>
      </c>
      <c r="L1686">
        <v>284.21699999999998</v>
      </c>
      <c r="M1686">
        <v>-0.99908269999999999</v>
      </c>
      <c r="N1686">
        <v>0</v>
      </c>
      <c r="O1686">
        <v>4.1730360000000001E-2</v>
      </c>
      <c r="P1686">
        <v>-0.99327290000000001</v>
      </c>
      <c r="Q1686">
        <v>-2.714741E-2</v>
      </c>
      <c r="R1686">
        <v>0.1125715</v>
      </c>
      <c r="S1686">
        <v>-2.9248050000000001</v>
      </c>
      <c r="T1686">
        <v>-0.71957139999999997</v>
      </c>
      <c r="U1686">
        <v>0.66119380000000005</v>
      </c>
      <c r="V1686">
        <v>7.101884E-2</v>
      </c>
      <c r="W1686">
        <v>-1.7558399999999998E-2</v>
      </c>
      <c r="X1686">
        <v>0.9973204</v>
      </c>
      <c r="Y1686">
        <v>0.17580519999999999</v>
      </c>
      <c r="Z1686">
        <v>1.1072190000000001E-2</v>
      </c>
      <c r="AA1686">
        <v>0.98436270000000003</v>
      </c>
      <c r="AB1686">
        <v>27</v>
      </c>
      <c r="AC1686">
        <v>-0.51650000000000695</v>
      </c>
      <c r="AD1686">
        <v>-0.19197819999999899</v>
      </c>
      <c r="AE1686">
        <v>0.16540000000003299</v>
      </c>
      <c r="AF1686">
        <v>0.12769986225986499</v>
      </c>
      <c r="AG1686">
        <v>-0.19197819999999899</v>
      </c>
      <c r="AH1686">
        <v>0.464721089308541</v>
      </c>
      <c r="AI1686">
        <v>111.719310590996</v>
      </c>
      <c r="AJ1686">
        <v>74.635032478182595</v>
      </c>
      <c r="AK1686">
        <v>0.51877603543778394</v>
      </c>
      <c r="AL1686">
        <v>91.006073938009294</v>
      </c>
      <c r="AM1686">
        <v>85.926862823353702</v>
      </c>
      <c r="AN1686">
        <v>0.99999997665083196</v>
      </c>
    </row>
    <row r="1687" spans="1:40" x14ac:dyDescent="0.25">
      <c r="A1687" t="str">
        <f>"20190312160947299"</f>
        <v>20190312160947299</v>
      </c>
      <c r="B1687" t="str">
        <f>"1552378187287448"</f>
        <v>1552378187287448</v>
      </c>
      <c r="C1687" t="s">
        <v>40</v>
      </c>
      <c r="D1687">
        <v>5.0477619999999996</v>
      </c>
      <c r="E1687">
        <v>0.53815819999999903</v>
      </c>
      <c r="F1687" t="s">
        <v>42</v>
      </c>
      <c r="G1687">
        <v>-264.1678</v>
      </c>
      <c r="H1687">
        <v>0.93398519999999896</v>
      </c>
      <c r="I1687">
        <v>284.3836</v>
      </c>
      <c r="J1687">
        <v>-263.678</v>
      </c>
      <c r="K1687">
        <v>1.109461</v>
      </c>
      <c r="L1687">
        <v>284.22859999999997</v>
      </c>
      <c r="M1687">
        <v>-0.99907919999999995</v>
      </c>
      <c r="N1687">
        <v>0</v>
      </c>
      <c r="O1687">
        <v>4.180851E-2</v>
      </c>
      <c r="P1687">
        <v>-0.99330390000000002</v>
      </c>
      <c r="Q1687">
        <v>-2.6845649999999999E-2</v>
      </c>
      <c r="R1687">
        <v>0.11236930000000001</v>
      </c>
      <c r="S1687">
        <v>-2.9296259999999998</v>
      </c>
      <c r="T1687">
        <v>-0.67348730000000001</v>
      </c>
      <c r="U1687">
        <v>0.63784790000000002</v>
      </c>
      <c r="V1687">
        <v>7.0737530000000007E-2</v>
      </c>
      <c r="W1687">
        <v>-1.7247060000000002E-2</v>
      </c>
      <c r="X1687">
        <v>0.99734590000000001</v>
      </c>
      <c r="Y1687">
        <v>0.1685487</v>
      </c>
      <c r="Z1687">
        <v>9.5413159999999993E-3</v>
      </c>
      <c r="AA1687">
        <v>0.9856471</v>
      </c>
      <c r="AB1687">
        <v>27</v>
      </c>
      <c r="AC1687">
        <v>-0.48980000000000201</v>
      </c>
      <c r="AD1687">
        <v>-0.17547579999999999</v>
      </c>
      <c r="AE1687">
        <v>0.155000000000029</v>
      </c>
      <c r="AF1687">
        <v>0.120345391792755</v>
      </c>
      <c r="AG1687">
        <v>-0.17547579999999999</v>
      </c>
      <c r="AH1687">
        <v>0.44404680042198302</v>
      </c>
      <c r="AI1687">
        <v>110.87757844382099</v>
      </c>
      <c r="AJ1687">
        <v>74.835988778524097</v>
      </c>
      <c r="AK1687">
        <v>0.49239448684605702</v>
      </c>
      <c r="AL1687">
        <v>90.988232693467495</v>
      </c>
      <c r="AM1687">
        <v>85.943046172519999</v>
      </c>
      <c r="AN1687">
        <v>1.0000000517379699</v>
      </c>
    </row>
    <row r="1688" spans="1:40" x14ac:dyDescent="0.25">
      <c r="A1688" t="str">
        <f>"20190312160947319"</f>
        <v>20190312160947319</v>
      </c>
      <c r="B1688" t="str">
        <f>"1552378187306964"</f>
        <v>1552378187306964</v>
      </c>
      <c r="C1688" t="s">
        <v>40</v>
      </c>
      <c r="D1688">
        <v>5.0625710000000002</v>
      </c>
      <c r="E1688">
        <v>0.53703900000000004</v>
      </c>
      <c r="F1688" t="s">
        <v>42</v>
      </c>
      <c r="G1688">
        <v>-264.41399999999999</v>
      </c>
      <c r="H1688">
        <v>0.9470693</v>
      </c>
      <c r="I1688">
        <v>284.38580000000002</v>
      </c>
      <c r="J1688">
        <v>-263.93009999999998</v>
      </c>
      <c r="K1688">
        <v>1.109467</v>
      </c>
      <c r="L1688">
        <v>284.23919999999998</v>
      </c>
      <c r="M1688">
        <v>-0.99907610000000002</v>
      </c>
      <c r="N1688">
        <v>0</v>
      </c>
      <c r="O1688">
        <v>4.1880229999999997E-2</v>
      </c>
      <c r="P1688">
        <v>-0.99326559999999997</v>
      </c>
      <c r="Q1688">
        <v>-2.660618E-2</v>
      </c>
      <c r="R1688">
        <v>0.11276460000000001</v>
      </c>
      <c r="S1688">
        <v>-2.9319760000000001</v>
      </c>
      <c r="T1688">
        <v>-0.64699709999999999</v>
      </c>
      <c r="U1688">
        <v>0.6254883</v>
      </c>
      <c r="V1688">
        <v>7.1062420000000001E-2</v>
      </c>
      <c r="W1688">
        <v>-1.699935E-2</v>
      </c>
      <c r="X1688">
        <v>0.99732699999999996</v>
      </c>
      <c r="Y1688">
        <v>0.16467390000000001</v>
      </c>
      <c r="Z1688">
        <v>8.738081E-3</v>
      </c>
      <c r="AA1688">
        <v>0.98630930000000006</v>
      </c>
      <c r="AB1688">
        <v>27</v>
      </c>
      <c r="AC1688">
        <v>-0.48390000000000499</v>
      </c>
      <c r="AD1688">
        <v>-0.16239769999999901</v>
      </c>
      <c r="AE1688">
        <v>0.14660000000003401</v>
      </c>
      <c r="AF1688">
        <v>0.11440275713795101</v>
      </c>
      <c r="AG1688">
        <v>-0.16239769999999901</v>
      </c>
      <c r="AH1688">
        <v>0.44382972034879598</v>
      </c>
      <c r="AI1688">
        <v>109.51022454056999</v>
      </c>
      <c r="AJ1688">
        <v>75.545918908694901</v>
      </c>
      <c r="AK1688">
        <v>0.48625695313377798</v>
      </c>
      <c r="AL1688">
        <v>90.974037930572294</v>
      </c>
      <c r="AM1688">
        <v>85.924398684081496</v>
      </c>
      <c r="AN1688">
        <v>0.999999995182839</v>
      </c>
    </row>
    <row r="1689" spans="1:40" x14ac:dyDescent="0.25">
      <c r="A1689" t="str">
        <f>"20190312160947342"</f>
        <v>20190312160947342</v>
      </c>
      <c r="B1689" t="str">
        <f>"1552378187337221"</f>
        <v>1552378187337221</v>
      </c>
      <c r="C1689" t="s">
        <v>40</v>
      </c>
      <c r="D1689">
        <v>5.1797559999999896</v>
      </c>
      <c r="E1689">
        <v>0.53583429999999999</v>
      </c>
      <c r="F1689" t="s">
        <v>42</v>
      </c>
      <c r="G1689">
        <v>-264.6574</v>
      </c>
      <c r="H1689">
        <v>0.95348619999999995</v>
      </c>
      <c r="I1689">
        <v>284.39269999999999</v>
      </c>
      <c r="J1689">
        <v>-264.19690000000003</v>
      </c>
      <c r="K1689">
        <v>1.1094679999999999</v>
      </c>
      <c r="L1689">
        <v>284.25049999999999</v>
      </c>
      <c r="M1689">
        <v>-0.99907279999999998</v>
      </c>
      <c r="N1689">
        <v>0</v>
      </c>
      <c r="O1689">
        <v>4.1956130000000001E-2</v>
      </c>
      <c r="P1689">
        <v>-0.99323050000000002</v>
      </c>
      <c r="Q1689">
        <v>-2.6950269999999998E-2</v>
      </c>
      <c r="R1689">
        <v>0.1129907</v>
      </c>
      <c r="S1689">
        <v>-2.933319</v>
      </c>
      <c r="T1689">
        <v>-0.62912230000000002</v>
      </c>
      <c r="U1689">
        <v>0.61831669999999905</v>
      </c>
      <c r="V1689">
        <v>7.1214079999999999E-2</v>
      </c>
      <c r="W1689">
        <v>-1.7334760000000001E-2</v>
      </c>
      <c r="X1689">
        <v>0.99731040000000004</v>
      </c>
      <c r="Y1689">
        <v>0.16240250000000001</v>
      </c>
      <c r="Z1689">
        <v>8.2459779999999993E-3</v>
      </c>
      <c r="AA1689">
        <v>0.98669019999999996</v>
      </c>
      <c r="AB1689">
        <v>27</v>
      </c>
      <c r="AC1689">
        <v>-0.46049999999996699</v>
      </c>
      <c r="AD1689">
        <v>-0.1559818</v>
      </c>
      <c r="AE1689">
        <v>0.14220000000000199</v>
      </c>
      <c r="AF1689">
        <v>0.111114381535171</v>
      </c>
      <c r="AG1689">
        <v>-0.1559818</v>
      </c>
      <c r="AH1689">
        <v>0.42187187031862999</v>
      </c>
      <c r="AI1689">
        <v>109.674189244055</v>
      </c>
      <c r="AJ1689">
        <v>75.244311739727195</v>
      </c>
      <c r="AK1689">
        <v>0.463306165166537</v>
      </c>
      <c r="AL1689">
        <v>90.993258349176401</v>
      </c>
      <c r="AM1689">
        <v>85.915662269832296</v>
      </c>
      <c r="AN1689">
        <v>0.99999998652133104</v>
      </c>
    </row>
    <row r="1690" spans="1:40" x14ac:dyDescent="0.25">
      <c r="A1690" t="str">
        <f>"20190312160947365"</f>
        <v>20190312160947365</v>
      </c>
      <c r="B1690" t="str">
        <f>"1552378187357716"</f>
        <v>1552378187357716</v>
      </c>
      <c r="C1690" t="s">
        <v>40</v>
      </c>
      <c r="D1690">
        <v>5.1280519999999896</v>
      </c>
      <c r="E1690">
        <v>0.53553030000000001</v>
      </c>
      <c r="F1690" t="s">
        <v>42</v>
      </c>
      <c r="G1690">
        <v>-264.9024</v>
      </c>
      <c r="H1690">
        <v>0.96217200000000003</v>
      </c>
      <c r="I1690">
        <v>284.39729999999997</v>
      </c>
      <c r="J1690">
        <v>-264.47469999999998</v>
      </c>
      <c r="K1690">
        <v>1.109464</v>
      </c>
      <c r="L1690">
        <v>284.26220000000001</v>
      </c>
      <c r="M1690">
        <v>-0.9990694</v>
      </c>
      <c r="N1690">
        <v>0</v>
      </c>
      <c r="O1690">
        <v>4.2034759999999997E-2</v>
      </c>
      <c r="P1690">
        <v>-0.99318050000000002</v>
      </c>
      <c r="Q1690">
        <v>-2.6973879999999999E-2</v>
      </c>
      <c r="R1690">
        <v>0.11342339999999999</v>
      </c>
      <c r="S1690">
        <v>-2.9344790000000001</v>
      </c>
      <c r="T1690">
        <v>-0.61276949999999997</v>
      </c>
      <c r="U1690">
        <v>0.6098633</v>
      </c>
      <c r="V1690">
        <v>7.1569899999999895E-2</v>
      </c>
      <c r="W1690">
        <v>-1.734954E-2</v>
      </c>
      <c r="X1690">
        <v>0.99728470000000002</v>
      </c>
      <c r="Y1690">
        <v>0.15971250000000001</v>
      </c>
      <c r="Z1690">
        <v>7.7441480000000002E-3</v>
      </c>
      <c r="AA1690">
        <v>0.98713320000000004</v>
      </c>
      <c r="AB1690">
        <v>27</v>
      </c>
      <c r="AC1690">
        <v>-0.42770000000001501</v>
      </c>
      <c r="AD1690">
        <v>-0.14729200000000001</v>
      </c>
      <c r="AE1690">
        <v>0.135099999999965</v>
      </c>
      <c r="AF1690">
        <v>0.105612363895685</v>
      </c>
      <c r="AG1690">
        <v>-0.14729200000000001</v>
      </c>
      <c r="AH1690">
        <v>0.39085208505692298</v>
      </c>
      <c r="AI1690">
        <v>109.991445605724</v>
      </c>
      <c r="AJ1690">
        <v>74.8791805710337</v>
      </c>
      <c r="AK1690">
        <v>0.43082973094365101</v>
      </c>
      <c r="AL1690">
        <v>90.994105279877303</v>
      </c>
      <c r="AM1690">
        <v>85.895219106868296</v>
      </c>
      <c r="AN1690">
        <v>1.0000000149891499</v>
      </c>
    </row>
    <row r="1691" spans="1:40" x14ac:dyDescent="0.25">
      <c r="A1691" t="str">
        <f>"20190312160947387"</f>
        <v>20190312160947387</v>
      </c>
      <c r="B1691" t="str">
        <f>"1552378187377237"</f>
        <v>1552378187377237</v>
      </c>
      <c r="C1691" t="s">
        <v>40</v>
      </c>
      <c r="D1691">
        <v>5.1092420000000001</v>
      </c>
      <c r="E1691">
        <v>0.53548409999999902</v>
      </c>
      <c r="F1691" t="s">
        <v>42</v>
      </c>
      <c r="G1691">
        <v>-265.36680000000001</v>
      </c>
      <c r="H1691">
        <v>0.92303469999999999</v>
      </c>
      <c r="I1691">
        <v>284.44749999999999</v>
      </c>
      <c r="J1691">
        <v>-264.75240000000002</v>
      </c>
      <c r="K1691">
        <v>1.1094569999999999</v>
      </c>
      <c r="L1691">
        <v>284.274</v>
      </c>
      <c r="M1691">
        <v>-0.99906600000000001</v>
      </c>
      <c r="N1691">
        <v>0</v>
      </c>
      <c r="O1691">
        <v>4.2113570000000003E-2</v>
      </c>
      <c r="P1691">
        <v>-0.99319760000000001</v>
      </c>
      <c r="Q1691">
        <v>-2.640294E-2</v>
      </c>
      <c r="R1691">
        <v>0.113409</v>
      </c>
      <c r="S1691">
        <v>-2.934418</v>
      </c>
      <c r="T1691">
        <v>-0.61331459999999904</v>
      </c>
      <c r="U1691">
        <v>0.60891719999999905</v>
      </c>
      <c r="V1691">
        <v>7.1476300000000006E-2</v>
      </c>
      <c r="W1691">
        <v>-1.6769160000000002E-2</v>
      </c>
      <c r="X1691">
        <v>0.99730129999999995</v>
      </c>
      <c r="Y1691">
        <v>0.15933839999999999</v>
      </c>
      <c r="Z1691">
        <v>7.6969169999999898E-3</v>
      </c>
      <c r="AA1691">
        <v>0.98719400000000002</v>
      </c>
      <c r="AB1691">
        <v>27</v>
      </c>
      <c r="AC1691">
        <v>-0.61439999999998895</v>
      </c>
      <c r="AD1691">
        <v>-0.18642229999999901</v>
      </c>
      <c r="AE1691">
        <v>0.173499999999989</v>
      </c>
      <c r="AF1691">
        <v>0.135884069686137</v>
      </c>
      <c r="AG1691">
        <v>-0.18642229999999901</v>
      </c>
      <c r="AH1691">
        <v>0.572359482015107</v>
      </c>
      <c r="AI1691">
        <v>107.583408946902</v>
      </c>
      <c r="AJ1691">
        <v>76.644643506899698</v>
      </c>
      <c r="AK1691">
        <v>0.617100584171137</v>
      </c>
      <c r="AL1691">
        <v>90.960847154449198</v>
      </c>
      <c r="AM1691">
        <v>85.900637078099194</v>
      </c>
      <c r="AN1691">
        <v>0.99999997458524204</v>
      </c>
    </row>
    <row r="1692" spans="1:40" x14ac:dyDescent="0.25">
      <c r="A1692" t="str">
        <f>"20190312160947411"</f>
        <v>20190312160947411</v>
      </c>
      <c r="B1692" t="str">
        <f>"1552378187407493"</f>
        <v>1552378187407493</v>
      </c>
      <c r="C1692" t="s">
        <v>40</v>
      </c>
      <c r="D1692">
        <v>5.2768040000000003</v>
      </c>
      <c r="E1692">
        <v>0.53496960000000005</v>
      </c>
      <c r="F1692" t="s">
        <v>42</v>
      </c>
      <c r="G1692">
        <v>-265.61180000000002</v>
      </c>
      <c r="H1692">
        <v>0.93094889999999997</v>
      </c>
      <c r="I1692">
        <v>284.45249999999999</v>
      </c>
      <c r="J1692">
        <v>-265.02749999999997</v>
      </c>
      <c r="K1692">
        <v>1.1094569999999999</v>
      </c>
      <c r="L1692">
        <v>284.28570000000002</v>
      </c>
      <c r="M1692">
        <v>-0.99906269999999997</v>
      </c>
      <c r="N1692">
        <v>0</v>
      </c>
      <c r="O1692">
        <v>4.219179E-2</v>
      </c>
      <c r="P1692">
        <v>-0.99315520000000002</v>
      </c>
      <c r="Q1692">
        <v>-2.6271880000000001E-2</v>
      </c>
      <c r="R1692">
        <v>0.11380949999999999</v>
      </c>
      <c r="S1692">
        <v>-2.9348749999999999</v>
      </c>
      <c r="T1692">
        <v>-0.60969569999999995</v>
      </c>
      <c r="U1692">
        <v>0.60855099999999995</v>
      </c>
      <c r="V1692">
        <v>7.1800210000000003E-2</v>
      </c>
      <c r="W1692">
        <v>-1.6629229999999998E-2</v>
      </c>
      <c r="X1692">
        <v>0.99728039999999996</v>
      </c>
      <c r="Y1692">
        <v>0.15914690000000001</v>
      </c>
      <c r="Z1692">
        <v>7.6160079999999996E-3</v>
      </c>
      <c r="AA1692">
        <v>0.98722549999999998</v>
      </c>
      <c r="AB1692">
        <v>27</v>
      </c>
      <c r="AC1692">
        <v>-0.58430000000004101</v>
      </c>
      <c r="AD1692">
        <v>-0.178508099999999</v>
      </c>
      <c r="AE1692">
        <v>0.166799999999966</v>
      </c>
      <c r="AF1692">
        <v>0.13071655217622299</v>
      </c>
      <c r="AG1692">
        <v>-0.178508099999999</v>
      </c>
      <c r="AH1692">
        <v>0.54387971546480396</v>
      </c>
      <c r="AI1692">
        <v>107.699179159121</v>
      </c>
      <c r="AJ1692">
        <v>76.485798612260893</v>
      </c>
      <c r="AK1692">
        <v>0.58716020273220604</v>
      </c>
      <c r="AL1692">
        <v>90.952828614590999</v>
      </c>
      <c r="AM1692">
        <v>85.882037707297599</v>
      </c>
      <c r="AN1692">
        <v>0.999999998835298</v>
      </c>
    </row>
    <row r="1693" spans="1:40" x14ac:dyDescent="0.25">
      <c r="A1693" t="str">
        <f>"20190312160947432"</f>
        <v>20190312160947432</v>
      </c>
      <c r="B1693" t="str">
        <f>"1552378187427013"</f>
        <v>1552378187427013</v>
      </c>
      <c r="C1693" t="s">
        <v>40</v>
      </c>
      <c r="D1693">
        <v>5.2279650000000002</v>
      </c>
      <c r="E1693">
        <v>0.53517999999999999</v>
      </c>
      <c r="F1693" t="s">
        <v>42</v>
      </c>
      <c r="G1693">
        <v>-265.8578</v>
      </c>
      <c r="H1693">
        <v>0.93931390000000003</v>
      </c>
      <c r="I1693">
        <v>284.4572</v>
      </c>
      <c r="J1693">
        <v>-265.29160000000002</v>
      </c>
      <c r="K1693">
        <v>1.1094619999999999</v>
      </c>
      <c r="L1693">
        <v>284.29700000000003</v>
      </c>
      <c r="M1693">
        <v>-0.99905940000000004</v>
      </c>
      <c r="N1693">
        <v>0</v>
      </c>
      <c r="O1693">
        <v>4.2266789999999999E-2</v>
      </c>
      <c r="P1693">
        <v>-0.99308339999999995</v>
      </c>
      <c r="Q1693">
        <v>-2.7035170000000001E-2</v>
      </c>
      <c r="R1693">
        <v>0.1142579</v>
      </c>
      <c r="S1693">
        <v>-2.9353639999999999</v>
      </c>
      <c r="T1693">
        <v>-0.60155369999999997</v>
      </c>
      <c r="U1693">
        <v>0.60546880000000003</v>
      </c>
      <c r="V1693">
        <v>7.2176459999999998E-2</v>
      </c>
      <c r="W1693">
        <v>-1.738427E-2</v>
      </c>
      <c r="X1693">
        <v>0.99724040000000003</v>
      </c>
      <c r="Y1693">
        <v>0.15813050000000001</v>
      </c>
      <c r="Z1693">
        <v>7.3988019999999899E-3</v>
      </c>
      <c r="AA1693">
        <v>0.98739049999999995</v>
      </c>
      <c r="AB1693">
        <v>27</v>
      </c>
      <c r="AC1693">
        <v>-0.56619999999998005</v>
      </c>
      <c r="AD1693">
        <v>-0.1701481</v>
      </c>
      <c r="AE1693">
        <v>0.160199999999974</v>
      </c>
      <c r="AF1693">
        <v>0.12562083155498599</v>
      </c>
      <c r="AG1693">
        <v>-0.1701481</v>
      </c>
      <c r="AH1693">
        <v>0.52829371369825096</v>
      </c>
      <c r="AI1693">
        <v>107.397574802175</v>
      </c>
      <c r="AJ1693">
        <v>76.6242727046927</v>
      </c>
      <c r="AK1693">
        <v>0.56905642706788395</v>
      </c>
      <c r="AL1693">
        <v>90.996095442679206</v>
      </c>
      <c r="AM1693">
        <v>85.860367973768703</v>
      </c>
      <c r="AN1693">
        <v>1.0000000348068601</v>
      </c>
    </row>
    <row r="1694" spans="1:40" x14ac:dyDescent="0.25">
      <c r="A1694" t="str">
        <f>"20190312160947454"</f>
        <v>20190312160947454</v>
      </c>
      <c r="B1694" t="str">
        <f>"1552378187447509"</f>
        <v>1552378187447509</v>
      </c>
      <c r="C1694" t="s">
        <v>40</v>
      </c>
      <c r="D1694">
        <v>5.1889029999999998</v>
      </c>
      <c r="E1694">
        <v>0.53526619999999903</v>
      </c>
      <c r="F1694" t="s">
        <v>42</v>
      </c>
      <c r="G1694">
        <v>-266.10000000000002</v>
      </c>
      <c r="H1694">
        <v>0.93887089999999995</v>
      </c>
      <c r="I1694">
        <v>284.4649</v>
      </c>
      <c r="J1694">
        <v>-265.55930000000001</v>
      </c>
      <c r="K1694">
        <v>1.1094619999999999</v>
      </c>
      <c r="L1694">
        <v>284.30829999999997</v>
      </c>
      <c r="M1694">
        <v>-0.99905619999999995</v>
      </c>
      <c r="N1694">
        <v>0</v>
      </c>
      <c r="O1694">
        <v>4.2342320000000003E-2</v>
      </c>
      <c r="P1694">
        <v>-0.99304970000000004</v>
      </c>
      <c r="Q1694">
        <v>-2.642336E-2</v>
      </c>
      <c r="R1694">
        <v>0.11469260000000001</v>
      </c>
      <c r="S1694">
        <v>-2.9340820000000001</v>
      </c>
      <c r="T1694">
        <v>-0.61926079999999994</v>
      </c>
      <c r="U1694">
        <v>0.60806269999999996</v>
      </c>
      <c r="V1694">
        <v>7.2536820000000002E-2</v>
      </c>
      <c r="W1694">
        <v>-1.6763779999999999E-2</v>
      </c>
      <c r="X1694">
        <v>0.99722489999999997</v>
      </c>
      <c r="Y1694">
        <v>0.15882750000000001</v>
      </c>
      <c r="Z1694">
        <v>7.67111599999999E-3</v>
      </c>
      <c r="AA1694">
        <v>0.98727659999999995</v>
      </c>
      <c r="AB1694">
        <v>27</v>
      </c>
      <c r="AC1694">
        <v>-0.54070000000001495</v>
      </c>
      <c r="AD1694">
        <v>-0.1705911</v>
      </c>
      <c r="AE1694">
        <v>0.156600000000025</v>
      </c>
      <c r="AF1694">
        <v>0.122329588867581</v>
      </c>
      <c r="AG1694">
        <v>-0.1705911</v>
      </c>
      <c r="AH1694">
        <v>0.50084961061711597</v>
      </c>
      <c r="AI1694">
        <v>108.30819820094</v>
      </c>
      <c r="AJ1694">
        <v>76.274561001021098</v>
      </c>
      <c r="AK1694">
        <v>0.54306186035021697</v>
      </c>
      <c r="AL1694">
        <v>90.960538779798199</v>
      </c>
      <c r="AM1694">
        <v>85.839707722171696</v>
      </c>
      <c r="AN1694">
        <v>1.0000000578778001</v>
      </c>
    </row>
    <row r="1695" spans="1:40" x14ac:dyDescent="0.25">
      <c r="A1695" t="str">
        <f>"20190312160947478"</f>
        <v>20190312160947478</v>
      </c>
      <c r="B1695" t="str">
        <f>"1552378187467029"</f>
        <v>1552378187467029</v>
      </c>
      <c r="C1695" t="s">
        <v>40</v>
      </c>
      <c r="D1695">
        <v>5.2427970000000004</v>
      </c>
      <c r="E1695">
        <v>0.53550569999999997</v>
      </c>
      <c r="F1695" t="s">
        <v>42</v>
      </c>
      <c r="G1695">
        <v>-266.3451</v>
      </c>
      <c r="H1695">
        <v>0.94372979999999995</v>
      </c>
      <c r="I1695">
        <v>284.4717</v>
      </c>
      <c r="J1695">
        <v>-265.84910000000002</v>
      </c>
      <c r="K1695">
        <v>1.1094649999999999</v>
      </c>
      <c r="L1695">
        <v>284.32080000000002</v>
      </c>
      <c r="M1695">
        <v>-0.99905259999999996</v>
      </c>
      <c r="N1695">
        <v>0</v>
      </c>
      <c r="O1695">
        <v>4.2421590000000002E-2</v>
      </c>
      <c r="P1695">
        <v>-0.99303770000000002</v>
      </c>
      <c r="Q1695">
        <v>-2.6019899999999999E-2</v>
      </c>
      <c r="R1695">
        <v>0.1148888</v>
      </c>
      <c r="S1695">
        <v>-2.934113</v>
      </c>
      <c r="T1695">
        <v>-0.61892100000000005</v>
      </c>
      <c r="U1695">
        <v>0.61001590000000006</v>
      </c>
      <c r="V1695">
        <v>7.2654350000000006E-2</v>
      </c>
      <c r="W1695">
        <v>-1.635056E-2</v>
      </c>
      <c r="X1695">
        <v>0.99722310000000003</v>
      </c>
      <c r="Y1695">
        <v>0.1593705</v>
      </c>
      <c r="Z1695">
        <v>7.7061990000000004E-3</v>
      </c>
      <c r="AA1695">
        <v>0.98718879999999998</v>
      </c>
      <c r="AB1695">
        <v>27</v>
      </c>
      <c r="AC1695">
        <v>-0.49599999999998001</v>
      </c>
      <c r="AD1695">
        <v>-0.165735199999999</v>
      </c>
      <c r="AE1695">
        <v>0.150899999999978</v>
      </c>
      <c r="AF1695">
        <v>0.11769448232445601</v>
      </c>
      <c r="AG1695">
        <v>-0.165735199999999</v>
      </c>
      <c r="AH1695">
        <v>0.45541491729845102</v>
      </c>
      <c r="AI1695">
        <v>109.409669084627</v>
      </c>
      <c r="AJ1695">
        <v>75.509885156631398</v>
      </c>
      <c r="AK1695">
        <v>0.49872125940911799</v>
      </c>
      <c r="AL1695">
        <v>90.936859871089695</v>
      </c>
      <c r="AM1695">
        <v>85.832983112045895</v>
      </c>
      <c r="AN1695">
        <v>0.99999995327992197</v>
      </c>
    </row>
    <row r="1696" spans="1:40" x14ac:dyDescent="0.25">
      <c r="A1696" t="str">
        <f>"20190312160947499"</f>
        <v>20190312160947499</v>
      </c>
      <c r="B1696" t="str">
        <f>"1552378187487525"</f>
        <v>1552378187487525</v>
      </c>
      <c r="C1696" t="s">
        <v>40</v>
      </c>
      <c r="D1696">
        <v>5.2567079999999997</v>
      </c>
      <c r="E1696">
        <v>0.53528030000000004</v>
      </c>
      <c r="F1696" t="s">
        <v>42</v>
      </c>
      <c r="G1696">
        <v>-266.59160000000003</v>
      </c>
      <c r="H1696">
        <v>0.95113769999999997</v>
      </c>
      <c r="I1696">
        <v>284.47609999999997</v>
      </c>
      <c r="J1696">
        <v>-266.09440000000001</v>
      </c>
      <c r="K1696">
        <v>1.1094729999999999</v>
      </c>
      <c r="L1696">
        <v>284.33120000000002</v>
      </c>
      <c r="M1696">
        <v>-0.99904999999999999</v>
      </c>
      <c r="N1696">
        <v>0</v>
      </c>
      <c r="O1696">
        <v>4.2484519999999998E-2</v>
      </c>
      <c r="P1696">
        <v>-0.99297559999999996</v>
      </c>
      <c r="Q1696">
        <v>-2.6082350000000001E-2</v>
      </c>
      <c r="R1696">
        <v>0.1154092</v>
      </c>
      <c r="S1696">
        <v>-2.9337770000000001</v>
      </c>
      <c r="T1696">
        <v>-0.62568699999999999</v>
      </c>
      <c r="U1696">
        <v>0.61233519999999997</v>
      </c>
      <c r="V1696">
        <v>7.3114009999999993E-2</v>
      </c>
      <c r="W1696">
        <v>-1.6404829999999999E-2</v>
      </c>
      <c r="X1696">
        <v>0.99718870000000004</v>
      </c>
      <c r="Y1696">
        <v>0.16001279999999901</v>
      </c>
      <c r="Z1696">
        <v>7.8428669999999999E-3</v>
      </c>
      <c r="AA1696">
        <v>0.98708379999999996</v>
      </c>
      <c r="AB1696">
        <v>27</v>
      </c>
      <c r="AC1696">
        <v>-0.49720000000002001</v>
      </c>
      <c r="AD1696">
        <v>-0.15833529999999901</v>
      </c>
      <c r="AE1696">
        <v>0.14489999999995001</v>
      </c>
      <c r="AF1696">
        <v>0.1130752732868</v>
      </c>
      <c r="AG1696">
        <v>-0.15833529999999901</v>
      </c>
      <c r="AH1696">
        <v>0.45991708856697799</v>
      </c>
      <c r="AI1696">
        <v>108.48546803655201</v>
      </c>
      <c r="AJ1696">
        <v>76.187217602778304</v>
      </c>
      <c r="AK1696">
        <v>0.49937942790117001</v>
      </c>
      <c r="AL1696">
        <v>90.939969648625706</v>
      </c>
      <c r="AM1696">
        <v>85.806569382130604</v>
      </c>
      <c r="AN1696">
        <v>1.00000004015664</v>
      </c>
    </row>
    <row r="1697" spans="1:40" x14ac:dyDescent="0.25">
      <c r="A1697" t="str">
        <f>"20190312160947522"</f>
        <v>20190312160947522</v>
      </c>
      <c r="B1697" t="str">
        <f>"1552378187516804"</f>
        <v>1552378187516804</v>
      </c>
      <c r="C1697" t="s">
        <v>40</v>
      </c>
      <c r="D1697">
        <v>5.2868659999999998</v>
      </c>
      <c r="E1697">
        <v>0.50819799999999904</v>
      </c>
      <c r="F1697" t="s">
        <v>42</v>
      </c>
      <c r="G1697">
        <v>-266.83519999999999</v>
      </c>
      <c r="H1697">
        <v>0.95157329999999996</v>
      </c>
      <c r="I1697">
        <v>284.48570000000001</v>
      </c>
      <c r="J1697">
        <v>-266.37759999999997</v>
      </c>
      <c r="K1697">
        <v>1.109477</v>
      </c>
      <c r="L1697">
        <v>284.3433</v>
      </c>
      <c r="M1697">
        <v>-0.99904709999999997</v>
      </c>
      <c r="N1697">
        <v>0</v>
      </c>
      <c r="O1697">
        <v>4.2549259999999998E-2</v>
      </c>
      <c r="P1697">
        <v>-0.9929888</v>
      </c>
      <c r="Q1697">
        <v>-2.5510660000000001E-2</v>
      </c>
      <c r="R1697">
        <v>0.11542429999999999</v>
      </c>
      <c r="S1697">
        <v>-2.933716</v>
      </c>
      <c r="T1697">
        <v>-0.62535859999999999</v>
      </c>
      <c r="U1697">
        <v>0.61169430000000002</v>
      </c>
      <c r="V1697">
        <v>7.3064390000000007E-2</v>
      </c>
      <c r="W1697">
        <v>-1.582269E-2</v>
      </c>
      <c r="X1697">
        <v>0.99720169999999997</v>
      </c>
      <c r="Y1697">
        <v>0.15975549999999999</v>
      </c>
      <c r="Z1697">
        <v>7.7988519999999898E-3</v>
      </c>
      <c r="AA1697">
        <v>0.98712580000000005</v>
      </c>
      <c r="AB1697">
        <v>27</v>
      </c>
      <c r="AC1697">
        <v>-0.457600000000013</v>
      </c>
      <c r="AD1697">
        <v>-0.15790369999999901</v>
      </c>
      <c r="AE1697">
        <v>0.14240000000000899</v>
      </c>
      <c r="AF1697">
        <v>0.110773943874114</v>
      </c>
      <c r="AG1697">
        <v>-0.15790369999999901</v>
      </c>
      <c r="AH1697">
        <v>0.41787980631489302</v>
      </c>
      <c r="AI1697">
        <v>110.06488856032099</v>
      </c>
      <c r="AJ1697">
        <v>75.153187177619003</v>
      </c>
      <c r="AK1697">
        <v>0.46024773507415401</v>
      </c>
      <c r="AL1697">
        <v>90.906611192849198</v>
      </c>
      <c r="AM1697">
        <v>85.809459615350704</v>
      </c>
      <c r="AN1697">
        <v>0.99999999654389804</v>
      </c>
    </row>
    <row r="1698" spans="1:40" x14ac:dyDescent="0.25">
      <c r="A1698" t="str">
        <f>"20190312160947544"</f>
        <v>20190312160947544</v>
      </c>
      <c r="B1698" t="str">
        <f>"1552378187537301"</f>
        <v>1552378187537301</v>
      </c>
      <c r="C1698" t="s">
        <v>40</v>
      </c>
      <c r="D1698">
        <v>5.3950719999999999</v>
      </c>
      <c r="E1698">
        <v>0.47534690000000002</v>
      </c>
      <c r="F1698" t="s">
        <v>42</v>
      </c>
      <c r="G1698">
        <v>-267.10169999999999</v>
      </c>
      <c r="H1698">
        <v>0.99568500000000004</v>
      </c>
      <c r="I1698">
        <v>284.44159999999999</v>
      </c>
      <c r="J1698">
        <v>-266.64049999999997</v>
      </c>
      <c r="K1698">
        <v>1.1094919999999999</v>
      </c>
      <c r="L1698">
        <v>284.3546</v>
      </c>
      <c r="M1698">
        <v>-0.99904490000000001</v>
      </c>
      <c r="N1698">
        <v>0</v>
      </c>
      <c r="O1698">
        <v>4.2597629999999997E-2</v>
      </c>
      <c r="P1698">
        <v>-0.99299839999999995</v>
      </c>
      <c r="Q1698">
        <v>-2.5050530000000001E-2</v>
      </c>
      <c r="R1698">
        <v>0.11544260000000001</v>
      </c>
      <c r="S1698">
        <v>-2.9626160000000001</v>
      </c>
      <c r="T1698">
        <v>-0.46564290000000003</v>
      </c>
      <c r="U1698">
        <v>0.401001</v>
      </c>
      <c r="V1698">
        <v>7.303453E-2</v>
      </c>
      <c r="W1698">
        <v>-1.535218E-2</v>
      </c>
      <c r="X1698">
        <v>0.99721119999999996</v>
      </c>
      <c r="Y1698">
        <v>9.120868E-2</v>
      </c>
      <c r="Z1698">
        <v>4.7351419999999998E-4</v>
      </c>
      <c r="AA1698">
        <v>0.99583169999999999</v>
      </c>
      <c r="AB1698">
        <v>27</v>
      </c>
      <c r="AC1698">
        <v>-0.46120000000001898</v>
      </c>
      <c r="AD1698">
        <v>-0.11380699999999901</v>
      </c>
      <c r="AE1698">
        <v>8.6999999999989003E-2</v>
      </c>
      <c r="AF1698">
        <v>6.3538057983818494E-2</v>
      </c>
      <c r="AG1698">
        <v>-0.11380699999999901</v>
      </c>
      <c r="AH1698">
        <v>0.438692585345268</v>
      </c>
      <c r="AI1698">
        <v>104.399346995793</v>
      </c>
      <c r="AJ1698">
        <v>81.758869894412499</v>
      </c>
      <c r="AK1698">
        <v>0.45764648201233898</v>
      </c>
      <c r="AL1698">
        <v>90.8796497165023</v>
      </c>
      <c r="AM1698">
        <v>85.811205873988399</v>
      </c>
      <c r="AN1698">
        <v>0.99999995470425496</v>
      </c>
    </row>
    <row r="1699" spans="1:40" x14ac:dyDescent="0.25">
      <c r="A1699" t="str">
        <f>"20190312160947566"</f>
        <v>20190312160947566</v>
      </c>
      <c r="B1699" t="str">
        <f>"1552378187556824"</f>
        <v>1552378187556824</v>
      </c>
      <c r="C1699" t="s">
        <v>40</v>
      </c>
      <c r="D1699">
        <v>5.2903760000000002</v>
      </c>
      <c r="E1699">
        <v>0.47148990000000002</v>
      </c>
      <c r="F1699" t="s">
        <v>74</v>
      </c>
      <c r="G1699">
        <v>-283.93700000000001</v>
      </c>
      <c r="H1699" s="1">
        <v>6.5341930000000001E-6</v>
      </c>
      <c r="I1699">
        <v>285.20769999999999</v>
      </c>
      <c r="J1699">
        <v>-266.92070000000001</v>
      </c>
      <c r="K1699">
        <v>1.109513</v>
      </c>
      <c r="L1699">
        <v>284.36660000000001</v>
      </c>
      <c r="M1699">
        <v>-0.99904340000000003</v>
      </c>
      <c r="N1699">
        <v>0</v>
      </c>
      <c r="O1699">
        <v>4.2631589999999997E-2</v>
      </c>
      <c r="P1699">
        <v>-0.99302259999999998</v>
      </c>
      <c r="Q1699">
        <v>-2.466194E-2</v>
      </c>
      <c r="R1699">
        <v>0.11531719999999999</v>
      </c>
      <c r="S1699">
        <v>-2.9991150000000002</v>
      </c>
      <c r="T1699">
        <v>-0.19237950000000001</v>
      </c>
      <c r="U1699">
        <v>0.14791869999999999</v>
      </c>
      <c r="V1699">
        <v>7.287457E-2</v>
      </c>
      <c r="W1699">
        <v>-1.495193E-2</v>
      </c>
      <c r="X1699">
        <v>0.99722900000000003</v>
      </c>
      <c r="Y1699">
        <v>6.7078420000000003E-3</v>
      </c>
      <c r="Z1699">
        <v>-2.5141640000000002E-3</v>
      </c>
      <c r="AA1699">
        <v>0.99997440000000004</v>
      </c>
      <c r="AB1699">
        <v>27</v>
      </c>
      <c r="AC1699">
        <v>-17.016300000000001</v>
      </c>
      <c r="AD1699">
        <v>-1.109506465807</v>
      </c>
      <c r="AE1699">
        <v>0.84109999999998297</v>
      </c>
      <c r="AF1699">
        <v>0.114383822308557</v>
      </c>
      <c r="AG1699">
        <v>-1.109506465807</v>
      </c>
      <c r="AH1699">
        <v>16.964739787827401</v>
      </c>
      <c r="AI1699">
        <v>93.741772443605697</v>
      </c>
      <c r="AJ1699">
        <v>89.613692220703498</v>
      </c>
      <c r="AK1699">
        <v>17.001367131062398</v>
      </c>
      <c r="AL1699">
        <v>90.856714432822102</v>
      </c>
      <c r="AM1699">
        <v>85.820421949753595</v>
      </c>
      <c r="AN1699">
        <v>0.99999997080220404</v>
      </c>
    </row>
    <row r="1700" spans="1:40" x14ac:dyDescent="0.25">
      <c r="A1700" t="str">
        <f>"20190312160947589"</f>
        <v>20190312160947589</v>
      </c>
      <c r="B1700" t="str">
        <f>"1552378187577320"</f>
        <v>1552378187577320</v>
      </c>
      <c r="C1700" t="s">
        <v>40</v>
      </c>
      <c r="D1700">
        <v>5.2020179999999998</v>
      </c>
      <c r="E1700">
        <v>0.46935349999999998</v>
      </c>
      <c r="F1700" t="s">
        <v>74</v>
      </c>
      <c r="G1700">
        <v>-291.95510000000002</v>
      </c>
      <c r="H1700" s="1">
        <v>2.4880810000000001E-6</v>
      </c>
      <c r="I1700">
        <v>285.35390000000001</v>
      </c>
      <c r="J1700">
        <v>-267.19510000000002</v>
      </c>
      <c r="K1700">
        <v>1.1095269999999999</v>
      </c>
      <c r="L1700">
        <v>284.37830000000002</v>
      </c>
      <c r="M1700">
        <v>-0.9990424</v>
      </c>
      <c r="N1700">
        <v>0</v>
      </c>
      <c r="O1700">
        <v>4.2652320000000001E-2</v>
      </c>
      <c r="P1700">
        <v>-0.99302310000000005</v>
      </c>
      <c r="Q1700">
        <v>-2.391886E-2</v>
      </c>
      <c r="R1700">
        <v>0.1154686</v>
      </c>
      <c r="S1700">
        <v>-3.0040279999999999</v>
      </c>
      <c r="T1700">
        <v>-0.13313699999999901</v>
      </c>
      <c r="U1700">
        <v>0.1184692</v>
      </c>
      <c r="V1700">
        <v>7.3005539999999994E-2</v>
      </c>
      <c r="W1700">
        <v>-1.419759E-2</v>
      </c>
      <c r="X1700">
        <v>0.99723050000000002</v>
      </c>
      <c r="Y1700">
        <v>-3.2060190000000001E-3</v>
      </c>
      <c r="Z1700">
        <v>-1.958914E-3</v>
      </c>
      <c r="AA1700">
        <v>0.99999300000000002</v>
      </c>
      <c r="AB1700">
        <v>27</v>
      </c>
      <c r="AC1700">
        <v>-24.759999999999899</v>
      </c>
      <c r="AD1700">
        <v>-1.109524511919</v>
      </c>
      <c r="AE1700">
        <v>0.97559999999998503</v>
      </c>
      <c r="AF1700">
        <v>-8.1246653661010998E-2</v>
      </c>
      <c r="AG1700">
        <v>-1.109524511919</v>
      </c>
      <c r="AH1700">
        <v>24.7294983729848</v>
      </c>
      <c r="AI1700">
        <v>92.568920879677407</v>
      </c>
      <c r="AJ1700">
        <v>90.188239710134795</v>
      </c>
      <c r="AK1700">
        <v>24.754509396082501</v>
      </c>
      <c r="AL1700">
        <v>90.813489296636007</v>
      </c>
      <c r="AM1700">
        <v>85.812943388543005</v>
      </c>
      <c r="AN1700">
        <v>1.0000000252813701</v>
      </c>
    </row>
    <row r="1701" spans="1:40" x14ac:dyDescent="0.25">
      <c r="A1701" t="str">
        <f>"20190312160947613"</f>
        <v>20190312160947613</v>
      </c>
      <c r="B1701" t="str">
        <f>"1552378187607573"</f>
        <v>1552378187607573</v>
      </c>
      <c r="C1701" t="s">
        <v>40</v>
      </c>
      <c r="D1701">
        <v>5.2177030000000002</v>
      </c>
      <c r="E1701">
        <v>0.46906759999999997</v>
      </c>
      <c r="F1701" t="s">
        <v>74</v>
      </c>
      <c r="G1701">
        <v>-302.14389999999997</v>
      </c>
      <c r="H1701" s="1">
        <v>3.5005440000000001E-6</v>
      </c>
      <c r="I1701">
        <v>285.57440000000003</v>
      </c>
      <c r="J1701">
        <v>-267.48239999999998</v>
      </c>
      <c r="K1701">
        <v>1.109542</v>
      </c>
      <c r="L1701">
        <v>284.39060000000001</v>
      </c>
      <c r="M1701">
        <v>-0.99904179999999998</v>
      </c>
      <c r="N1701">
        <v>0</v>
      </c>
      <c r="O1701">
        <v>4.2663729999999997E-2</v>
      </c>
      <c r="P1701">
        <v>-0.99314449999999999</v>
      </c>
      <c r="Q1701">
        <v>-2.3388369999999999E-2</v>
      </c>
      <c r="R1701">
        <v>0.11452909999999999</v>
      </c>
      <c r="S1701">
        <v>-3.0068049999999999</v>
      </c>
      <c r="T1701">
        <v>-9.5457200000000006E-2</v>
      </c>
      <c r="U1701">
        <v>0.10290530000000001</v>
      </c>
      <c r="V1701">
        <v>7.2050859999999994E-2</v>
      </c>
      <c r="W1701">
        <v>-1.365507E-2</v>
      </c>
      <c r="X1701">
        <v>0.99730750000000001</v>
      </c>
      <c r="Y1701">
        <v>-8.4421440000000004E-3</v>
      </c>
      <c r="Z1701">
        <v>-1.487153E-3</v>
      </c>
      <c r="AA1701">
        <v>0.9999633</v>
      </c>
      <c r="AB1701">
        <v>27</v>
      </c>
      <c r="AC1701">
        <v>-34.661499999999897</v>
      </c>
      <c r="AD1701">
        <v>-1.109538499456</v>
      </c>
      <c r="AE1701">
        <v>1.18380000000001</v>
      </c>
      <c r="AF1701">
        <v>-0.29583452027163898</v>
      </c>
      <c r="AG1701">
        <v>-1.109538499456</v>
      </c>
      <c r="AH1701">
        <v>34.644986218695799</v>
      </c>
      <c r="AI1701">
        <v>91.834257823532795</v>
      </c>
      <c r="AJ1701">
        <v>90.489238396153496</v>
      </c>
      <c r="AK1701">
        <v>34.664011075448002</v>
      </c>
      <c r="AL1701">
        <v>90.782402181370799</v>
      </c>
      <c r="AM1701">
        <v>85.867823771769906</v>
      </c>
      <c r="AN1701">
        <v>1.0000000184598401</v>
      </c>
    </row>
    <row r="1702" spans="1:40" x14ac:dyDescent="0.25">
      <c r="A1702" t="str">
        <f>"20190312160947656"</f>
        <v>20190312160947656</v>
      </c>
      <c r="B1702" t="str">
        <f>"1552378187647589"</f>
        <v>1552378187647589</v>
      </c>
      <c r="C1702" t="s">
        <v>40</v>
      </c>
      <c r="D1702">
        <v>5.4007579999999997</v>
      </c>
      <c r="E1702">
        <v>0.46902109999999902</v>
      </c>
      <c r="F1702" t="s">
        <v>74</v>
      </c>
      <c r="G1702">
        <v>-313.72519999999997</v>
      </c>
      <c r="H1702" s="1">
        <v>3.7566129999999999E-6</v>
      </c>
      <c r="I1702">
        <v>285.90140000000002</v>
      </c>
      <c r="J1702">
        <v>-268.0213</v>
      </c>
      <c r="K1702">
        <v>1.109548</v>
      </c>
      <c r="L1702">
        <v>284.41359999999997</v>
      </c>
      <c r="M1702">
        <v>-0.99904159999999997</v>
      </c>
      <c r="N1702">
        <v>0</v>
      </c>
      <c r="O1702">
        <v>4.2664019999999997E-2</v>
      </c>
      <c r="P1702">
        <v>-0.99327489999999996</v>
      </c>
      <c r="Q1702">
        <v>-2.256737E-2</v>
      </c>
      <c r="R1702">
        <v>0.1135588</v>
      </c>
      <c r="S1702">
        <v>-3.00766</v>
      </c>
      <c r="T1702">
        <v>-7.2165010000000002E-2</v>
      </c>
      <c r="U1702">
        <v>9.8266599999999996E-2</v>
      </c>
      <c r="V1702">
        <v>7.1075659999999999E-2</v>
      </c>
      <c r="W1702">
        <v>-1.281413E-2</v>
      </c>
      <c r="X1702">
        <v>0.99738859999999996</v>
      </c>
      <c r="Y1702">
        <v>-1.000323E-2</v>
      </c>
      <c r="Z1702">
        <v>-1.142845E-3</v>
      </c>
      <c r="AA1702">
        <v>0.99994930000000004</v>
      </c>
      <c r="AB1702">
        <v>27</v>
      </c>
      <c r="AC1702">
        <v>-45.703899999999898</v>
      </c>
      <c r="AD1702">
        <v>-1.109544243387</v>
      </c>
      <c r="AE1702">
        <v>1.48780000000004</v>
      </c>
      <c r="AF1702">
        <v>-0.46328742913395099</v>
      </c>
      <c r="AG1702">
        <v>-1.109544243387</v>
      </c>
      <c r="AH1702">
        <v>45.698855397212903</v>
      </c>
      <c r="AI1702">
        <v>91.390766787108802</v>
      </c>
      <c r="AJ1702">
        <v>90.580835227550594</v>
      </c>
      <c r="AK1702">
        <v>45.714670602394101</v>
      </c>
      <c r="AL1702">
        <v>90.734215672064707</v>
      </c>
      <c r="AM1702">
        <v>85.923892810179098</v>
      </c>
      <c r="AN1702">
        <v>0.99999998539102597</v>
      </c>
    </row>
    <row r="1703" spans="1:40" x14ac:dyDescent="0.25">
      <c r="A1703" t="str">
        <f>"20190312160947677"</f>
        <v>20190312160947677</v>
      </c>
      <c r="B1703" t="str">
        <f>"1552378187667109"</f>
        <v>1552378187667109</v>
      </c>
      <c r="C1703" t="s">
        <v>40</v>
      </c>
      <c r="D1703">
        <v>5.4358709999999997</v>
      </c>
      <c r="E1703">
        <v>0.46873999999999999</v>
      </c>
      <c r="F1703" t="s">
        <v>61</v>
      </c>
      <c r="G1703">
        <v>-326.7663</v>
      </c>
      <c r="H1703" s="1">
        <v>1.9913030000000002E-6</v>
      </c>
      <c r="I1703">
        <v>286.27659999999997</v>
      </c>
      <c r="J1703">
        <v>-268.28489999999999</v>
      </c>
      <c r="K1703">
        <v>1.1095469999999901</v>
      </c>
      <c r="L1703">
        <v>284.4248</v>
      </c>
      <c r="M1703">
        <v>-0.99904190000000004</v>
      </c>
      <c r="N1703">
        <v>0</v>
      </c>
      <c r="O1703">
        <v>4.2657710000000001E-2</v>
      </c>
      <c r="P1703">
        <v>-0.99326499999999995</v>
      </c>
      <c r="Q1703">
        <v>-2.2731830000000001E-2</v>
      </c>
      <c r="R1703">
        <v>0.1136139</v>
      </c>
      <c r="S1703">
        <v>-3.0080870000000002</v>
      </c>
      <c r="T1703">
        <v>-5.6815270000000001E-2</v>
      </c>
      <c r="U1703">
        <v>9.5397949999999995E-2</v>
      </c>
      <c r="V1703">
        <v>7.1137569999999997E-2</v>
      </c>
      <c r="W1703">
        <v>-1.296979E-2</v>
      </c>
      <c r="X1703">
        <v>0.9973822</v>
      </c>
      <c r="Y1703">
        <v>-1.0959730000000001E-2</v>
      </c>
      <c r="Z1703">
        <v>-9.0860829999999998E-4</v>
      </c>
      <c r="AA1703">
        <v>0.99993949999999998</v>
      </c>
      <c r="AB1703">
        <v>27</v>
      </c>
      <c r="AC1703">
        <v>-58.481400000000001</v>
      </c>
      <c r="AD1703">
        <v>-1.10954500869699</v>
      </c>
      <c r="AE1703">
        <v>1.8517999999999599</v>
      </c>
      <c r="AF1703">
        <v>-0.64445588254434905</v>
      </c>
      <c r="AG1703">
        <v>-1.10954500869699</v>
      </c>
      <c r="AH1703">
        <v>58.4861276972971</v>
      </c>
      <c r="AI1703">
        <v>91.086766487894494</v>
      </c>
      <c r="AJ1703">
        <v>90.631313942057602</v>
      </c>
      <c r="AK1703">
        <v>58.500201252093198</v>
      </c>
      <c r="AL1703">
        <v>90.743135055383505</v>
      </c>
      <c r="AM1703">
        <v>85.920328236155598</v>
      </c>
      <c r="AN1703">
        <v>1.00000001109749</v>
      </c>
    </row>
    <row r="1704" spans="1:40" x14ac:dyDescent="0.25">
      <c r="A1704" t="str">
        <f>"20190312160947699"</f>
        <v>20190312160947699</v>
      </c>
      <c r="B1704" t="str">
        <f>"1552378187687604"</f>
        <v>1552378187687604</v>
      </c>
      <c r="C1704" t="s">
        <v>40</v>
      </c>
      <c r="D1704">
        <v>5.4302530000000004</v>
      </c>
      <c r="E1704">
        <v>0.46865109999999899</v>
      </c>
      <c r="F1704" t="s">
        <v>61</v>
      </c>
      <c r="G1704">
        <v>-329.89589999999998</v>
      </c>
      <c r="H1704" s="1">
        <v>3.6540780000000001E-6</v>
      </c>
      <c r="I1704">
        <v>286.33730000000003</v>
      </c>
      <c r="J1704">
        <v>-268.55509999999998</v>
      </c>
      <c r="K1704">
        <v>1.109548</v>
      </c>
      <c r="L1704">
        <v>284.43639999999999</v>
      </c>
      <c r="M1704">
        <v>-0.99904219999999999</v>
      </c>
      <c r="N1704">
        <v>0</v>
      </c>
      <c r="O1704">
        <v>4.2646549999999998E-2</v>
      </c>
      <c r="P1704">
        <v>-0.99320299999999995</v>
      </c>
      <c r="Q1704">
        <v>-2.287519E-2</v>
      </c>
      <c r="R1704">
        <v>0.1141253</v>
      </c>
      <c r="S1704">
        <v>-3.0083920000000002</v>
      </c>
      <c r="T1704">
        <v>-5.4177639999999999E-2</v>
      </c>
      <c r="U1704">
        <v>9.3383789999999994E-2</v>
      </c>
      <c r="V1704">
        <v>7.1662359999999994E-2</v>
      </c>
      <c r="W1704">
        <v>-1.3104380000000001E-2</v>
      </c>
      <c r="X1704">
        <v>0.99734290000000003</v>
      </c>
      <c r="Y1704">
        <v>-1.1621360000000001E-2</v>
      </c>
      <c r="Z1704">
        <v>-8.7211280000000003E-4</v>
      </c>
      <c r="AA1704">
        <v>0.99993209999999999</v>
      </c>
      <c r="AB1704">
        <v>28</v>
      </c>
      <c r="AC1704">
        <v>-61.340800000000002</v>
      </c>
      <c r="AD1704">
        <v>-1.109544345922</v>
      </c>
      <c r="AE1704">
        <v>1.90090000000003</v>
      </c>
      <c r="AF1704">
        <v>-0.71669430823241698</v>
      </c>
      <c r="AG1704">
        <v>-1.109544345922</v>
      </c>
      <c r="AH1704">
        <v>61.346006749382198</v>
      </c>
      <c r="AI1704">
        <v>91.036105596715601</v>
      </c>
      <c r="AJ1704">
        <v>90.669345784024301</v>
      </c>
      <c r="AK1704">
        <v>61.360225582067997</v>
      </c>
      <c r="AL1704">
        <v>90.750847128440796</v>
      </c>
      <c r="AM1704">
        <v>85.890173389220095</v>
      </c>
      <c r="AN1704">
        <v>1.0000000393981801</v>
      </c>
    </row>
    <row r="1705" spans="1:40" x14ac:dyDescent="0.25">
      <c r="A1705" t="str">
        <f>"20190312160947722"</f>
        <v>20190312160947722</v>
      </c>
      <c r="B1705" t="str">
        <f>"1552378187716885"</f>
        <v>1552378187716885</v>
      </c>
      <c r="C1705" t="s">
        <v>40</v>
      </c>
      <c r="D1705">
        <v>5.4961849999999997</v>
      </c>
      <c r="E1705">
        <v>0.46838269999999999</v>
      </c>
      <c r="F1705" t="s">
        <v>61</v>
      </c>
      <c r="G1705">
        <v>-331.47859999999997</v>
      </c>
      <c r="H1705" s="1">
        <v>-8.28274E-7</v>
      </c>
      <c r="I1705">
        <v>286.40809999999999</v>
      </c>
      <c r="J1705">
        <v>-268.83839999999998</v>
      </c>
      <c r="K1705">
        <v>1.109553</v>
      </c>
      <c r="L1705">
        <v>284.44850000000002</v>
      </c>
      <c r="M1705">
        <v>-0.99904280000000001</v>
      </c>
      <c r="N1705">
        <v>0</v>
      </c>
      <c r="O1705">
        <v>4.2631620000000002E-2</v>
      </c>
      <c r="P1705">
        <v>-0.99313439999999997</v>
      </c>
      <c r="Q1705">
        <v>-2.3360229999999999E-2</v>
      </c>
      <c r="R1705">
        <v>0.1146229</v>
      </c>
      <c r="S1705">
        <v>-3.0084840000000002</v>
      </c>
      <c r="T1705">
        <v>-5.3049449999999998E-2</v>
      </c>
      <c r="U1705">
        <v>9.42688E-2</v>
      </c>
      <c r="V1705">
        <v>7.2177370000000005E-2</v>
      </c>
      <c r="W1705">
        <v>-1.358024E-2</v>
      </c>
      <c r="X1705">
        <v>0.99729939999999995</v>
      </c>
      <c r="Y1705">
        <v>-1.131391E-2</v>
      </c>
      <c r="Z1705">
        <v>-8.5095089999999895E-4</v>
      </c>
      <c r="AA1705">
        <v>0.99993560000000004</v>
      </c>
      <c r="AB1705">
        <v>28</v>
      </c>
      <c r="AC1705">
        <v>-62.640199999999901</v>
      </c>
      <c r="AD1705">
        <v>-1.1095538282740001</v>
      </c>
      <c r="AE1705">
        <v>1.95959999999996</v>
      </c>
      <c r="AF1705">
        <v>-0.71253981167874503</v>
      </c>
      <c r="AG1705">
        <v>-1.1095538282740001</v>
      </c>
      <c r="AH1705">
        <v>62.647154069474702</v>
      </c>
      <c r="AI1705">
        <v>91.0146030745573</v>
      </c>
      <c r="AJ1705">
        <v>90.651645940307105</v>
      </c>
      <c r="AK1705">
        <v>62.661030439066103</v>
      </c>
      <c r="AL1705">
        <v>90.7781143204557</v>
      </c>
      <c r="AM1705">
        <v>85.860560014190298</v>
      </c>
      <c r="AN1705">
        <v>1.0000000444494599</v>
      </c>
    </row>
    <row r="1706" spans="1:40" x14ac:dyDescent="0.25">
      <c r="A1706" t="str">
        <f>"20190312160947746"</f>
        <v>20190312160947746</v>
      </c>
      <c r="B1706" t="str">
        <f>"1552378187737381"</f>
        <v>1552378187737381</v>
      </c>
      <c r="C1706" t="s">
        <v>40</v>
      </c>
      <c r="D1706">
        <v>5.5014799999999999</v>
      </c>
      <c r="E1706">
        <v>0.46805950000000002</v>
      </c>
      <c r="F1706" t="s">
        <v>61</v>
      </c>
      <c r="G1706">
        <v>-326.52010000000001</v>
      </c>
      <c r="H1706" s="1">
        <v>1.8616600000000001E-6</v>
      </c>
      <c r="I1706">
        <v>286.24529999999999</v>
      </c>
      <c r="J1706">
        <v>-269.12009999999998</v>
      </c>
      <c r="K1706">
        <v>1.1095619999999999</v>
      </c>
      <c r="L1706">
        <v>284.46050000000002</v>
      </c>
      <c r="M1706">
        <v>-0.99904329999999997</v>
      </c>
      <c r="N1706">
        <v>0</v>
      </c>
      <c r="O1706">
        <v>4.261537E-2</v>
      </c>
      <c r="P1706">
        <v>-0.99308629999999998</v>
      </c>
      <c r="Q1706">
        <v>-2.2647879999999999E-2</v>
      </c>
      <c r="R1706">
        <v>0.1151816</v>
      </c>
      <c r="S1706">
        <v>-3.008575</v>
      </c>
      <c r="T1706">
        <v>-5.7872300000000002E-2</v>
      </c>
      <c r="U1706">
        <v>9.3719479999999994E-2</v>
      </c>
      <c r="V1706">
        <v>7.2754020000000003E-2</v>
      </c>
      <c r="W1706">
        <v>-1.285844E-2</v>
      </c>
      <c r="X1706">
        <v>0.99726700000000001</v>
      </c>
      <c r="Y1706">
        <v>-1.1479380000000001E-2</v>
      </c>
      <c r="Z1706">
        <v>-9.2955329999999995E-4</v>
      </c>
      <c r="AA1706">
        <v>0.99993370000000004</v>
      </c>
      <c r="AB1706">
        <v>28</v>
      </c>
      <c r="AC1706">
        <v>-57.4</v>
      </c>
      <c r="AD1706">
        <v>-1.10956013834</v>
      </c>
      <c r="AE1706">
        <v>1.78479999999996</v>
      </c>
      <c r="AF1706">
        <v>-0.66281429276245296</v>
      </c>
      <c r="AG1706">
        <v>-1.10956013834</v>
      </c>
      <c r="AH1706">
        <v>57.402485302488003</v>
      </c>
      <c r="AI1706">
        <v>91.107285875516396</v>
      </c>
      <c r="AJ1706">
        <v>90.661552783509705</v>
      </c>
      <c r="AK1706">
        <v>57.417033756452703</v>
      </c>
      <c r="AL1706">
        <v>90.736754662649503</v>
      </c>
      <c r="AM1706">
        <v>85.827469852905395</v>
      </c>
      <c r="AN1706">
        <v>0.99999997809719599</v>
      </c>
    </row>
    <row r="1707" spans="1:40" x14ac:dyDescent="0.25">
      <c r="A1707" t="str">
        <f>"20190312160947769"</f>
        <v>20190312160947769</v>
      </c>
      <c r="B1707" t="str">
        <f>"1552378187756901"</f>
        <v>1552378187756901</v>
      </c>
      <c r="C1707" t="s">
        <v>40</v>
      </c>
      <c r="D1707">
        <v>5.4819979999999999</v>
      </c>
      <c r="E1707">
        <v>0.46793030000000002</v>
      </c>
      <c r="F1707" t="s">
        <v>61</v>
      </c>
      <c r="G1707">
        <v>-325.05739999999997</v>
      </c>
      <c r="H1707" s="1">
        <v>1.0860380000000001E-6</v>
      </c>
      <c r="I1707">
        <v>286.18299999999999</v>
      </c>
      <c r="J1707">
        <v>-269.41250000000002</v>
      </c>
      <c r="K1707">
        <v>1.109572</v>
      </c>
      <c r="L1707">
        <v>284.47289999999998</v>
      </c>
      <c r="M1707">
        <v>-0.99904400000000004</v>
      </c>
      <c r="N1707">
        <v>0</v>
      </c>
      <c r="O1707">
        <v>4.2596509999999997E-2</v>
      </c>
      <c r="P1707">
        <v>-0.99314729999999996</v>
      </c>
      <c r="Q1707">
        <v>-2.1540460000000001E-2</v>
      </c>
      <c r="R1707">
        <v>0.1148672</v>
      </c>
      <c r="S1707">
        <v>-3.0087890000000002</v>
      </c>
      <c r="T1707">
        <v>-5.9681650000000003E-2</v>
      </c>
      <c r="U1707">
        <v>9.2651369999999997E-2</v>
      </c>
      <c r="V1707">
        <v>7.2456270000000003E-2</v>
      </c>
      <c r="W1707">
        <v>-1.1740560000000001E-2</v>
      </c>
      <c r="X1707">
        <v>0.99730249999999998</v>
      </c>
      <c r="Y1707">
        <v>-1.181666E-2</v>
      </c>
      <c r="Z1707">
        <v>-9.6151910000000001E-4</v>
      </c>
      <c r="AA1707">
        <v>0.99992970000000003</v>
      </c>
      <c r="AB1707">
        <v>28</v>
      </c>
      <c r="AC1707">
        <v>-55.6448999999999</v>
      </c>
      <c r="AD1707">
        <v>-1.109570913962</v>
      </c>
      <c r="AE1707">
        <v>1.7101000000000099</v>
      </c>
      <c r="AF1707">
        <v>-0.66158256564630902</v>
      </c>
      <c r="AG1707">
        <v>-1.109570913962</v>
      </c>
      <c r="AH1707">
        <v>55.645132920113397</v>
      </c>
      <c r="AI1707">
        <v>91.142252921272302</v>
      </c>
      <c r="AJ1707">
        <v>90.681175529655405</v>
      </c>
      <c r="AK1707">
        <v>55.660126273674301</v>
      </c>
      <c r="AL1707">
        <v>90.672699982443703</v>
      </c>
      <c r="AM1707">
        <v>85.8446336307114</v>
      </c>
      <c r="AN1707">
        <v>1.0000000141588301</v>
      </c>
    </row>
    <row r="1708" spans="1:40" x14ac:dyDescent="0.25">
      <c r="A1708" t="str">
        <f>"20190312160947792"</f>
        <v>20190312160947792</v>
      </c>
      <c r="B1708" t="str">
        <f>"1552378187787158"</f>
        <v>1552378187787158</v>
      </c>
      <c r="C1708" t="s">
        <v>40</v>
      </c>
      <c r="D1708">
        <v>5.5771240000000004</v>
      </c>
      <c r="E1708">
        <v>0.46772340000000001</v>
      </c>
      <c r="F1708" t="s">
        <v>61</v>
      </c>
      <c r="G1708">
        <v>-326.18329999999997</v>
      </c>
      <c r="H1708" s="1">
        <v>1.68511599999999E-6</v>
      </c>
      <c r="I1708">
        <v>286.1841</v>
      </c>
      <c r="J1708">
        <v>-269.69459999999998</v>
      </c>
      <c r="K1708">
        <v>1.10958</v>
      </c>
      <c r="L1708">
        <v>284.48489999999998</v>
      </c>
      <c r="M1708">
        <v>-0.99904499999999996</v>
      </c>
      <c r="N1708">
        <v>0</v>
      </c>
      <c r="O1708">
        <v>4.2576290000000003E-2</v>
      </c>
      <c r="P1708">
        <v>-0.99319619999999997</v>
      </c>
      <c r="Q1708">
        <v>-2.1764240000000001E-2</v>
      </c>
      <c r="R1708">
        <v>0.114402</v>
      </c>
      <c r="S1708">
        <v>-3.008972</v>
      </c>
      <c r="T1708">
        <v>-5.8809640000000003E-2</v>
      </c>
      <c r="U1708">
        <v>9.0698239999999999E-2</v>
      </c>
      <c r="V1708">
        <v>7.2009550000000005E-2</v>
      </c>
      <c r="W1708">
        <v>-1.1954370000000001E-2</v>
      </c>
      <c r="X1708">
        <v>0.99733229999999995</v>
      </c>
      <c r="Y1708">
        <v>-1.244693E-2</v>
      </c>
      <c r="Z1708">
        <v>-9.5319030000000002E-4</v>
      </c>
      <c r="AA1708">
        <v>0.99992210000000004</v>
      </c>
      <c r="AB1708">
        <v>28</v>
      </c>
      <c r="AC1708">
        <v>-56.488700000000001</v>
      </c>
      <c r="AD1708">
        <v>-1.1095783148839999</v>
      </c>
      <c r="AE1708">
        <v>1.69920000000001</v>
      </c>
      <c r="AF1708">
        <v>-0.70726345967050896</v>
      </c>
      <c r="AG1708">
        <v>-1.1095783148839999</v>
      </c>
      <c r="AH1708">
        <v>56.4880463610193</v>
      </c>
      <c r="AI1708">
        <v>91.125211499994506</v>
      </c>
      <c r="AJ1708">
        <v>90.717339269296303</v>
      </c>
      <c r="AK1708">
        <v>56.503369521851603</v>
      </c>
      <c r="AL1708">
        <v>90.684951262833806</v>
      </c>
      <c r="AM1708">
        <v>85.870287072810001</v>
      </c>
      <c r="AN1708">
        <v>0.99999999943829398</v>
      </c>
    </row>
    <row r="1709" spans="1:40" x14ac:dyDescent="0.25">
      <c r="A1709" t="str">
        <f>"20190312160947814"</f>
        <v>20190312160947814</v>
      </c>
      <c r="B1709" t="str">
        <f>"1552378187807653"</f>
        <v>1552378187807653</v>
      </c>
      <c r="C1709" t="s">
        <v>40</v>
      </c>
      <c r="D1709">
        <v>5.4833230000000004</v>
      </c>
      <c r="E1709">
        <v>0.46759600000000001</v>
      </c>
      <c r="F1709" t="s">
        <v>61</v>
      </c>
      <c r="G1709">
        <v>-323.0505</v>
      </c>
      <c r="H1709" s="1">
        <v>2.4429990000000001E-8</v>
      </c>
      <c r="I1709">
        <v>286.0369</v>
      </c>
      <c r="J1709">
        <v>-269.96850000000001</v>
      </c>
      <c r="K1709">
        <v>1.109588</v>
      </c>
      <c r="L1709">
        <v>284.4966</v>
      </c>
      <c r="M1709">
        <v>-0.99904570000000004</v>
      </c>
      <c r="N1709">
        <v>0</v>
      </c>
      <c r="O1709">
        <v>4.2554960000000003E-2</v>
      </c>
      <c r="P1709">
        <v>-0.9932995</v>
      </c>
      <c r="Q1709">
        <v>-2.12502E-2</v>
      </c>
      <c r="R1709">
        <v>0.1135984</v>
      </c>
      <c r="S1709">
        <v>-3.0090330000000001</v>
      </c>
      <c r="T1709">
        <v>-6.2575339999999993E-2</v>
      </c>
      <c r="U1709">
        <v>8.7524409999999997E-2</v>
      </c>
      <c r="V1709">
        <v>7.1223549999999997E-2</v>
      </c>
      <c r="W1709">
        <v>-1.1430579999999999E-2</v>
      </c>
      <c r="X1709">
        <v>0.99739489999999997</v>
      </c>
      <c r="Y1709">
        <v>-1.347835E-2</v>
      </c>
      <c r="Z1709">
        <v>-1.024491E-3</v>
      </c>
      <c r="AA1709">
        <v>0.99990860000000004</v>
      </c>
      <c r="AB1709">
        <v>28</v>
      </c>
      <c r="AC1709">
        <v>-53.082000000000001</v>
      </c>
      <c r="AD1709">
        <v>-1.10958797557001</v>
      </c>
      <c r="AE1709">
        <v>1.5403</v>
      </c>
      <c r="AF1709">
        <v>-0.71979288945935804</v>
      </c>
      <c r="AG1709">
        <v>-1.10958797557001</v>
      </c>
      <c r="AH1709">
        <v>53.076288368049298</v>
      </c>
      <c r="AI1709">
        <v>91.197514144680596</v>
      </c>
      <c r="AJ1709">
        <v>90.776967794271698</v>
      </c>
      <c r="AK1709">
        <v>53.0927648009366</v>
      </c>
      <c r="AL1709">
        <v>90.654938241386006</v>
      </c>
      <c r="AM1709">
        <v>85.915465878312403</v>
      </c>
      <c r="AN1709">
        <v>1.0000000193898699</v>
      </c>
    </row>
    <row r="1710" spans="1:40" x14ac:dyDescent="0.25">
      <c r="A1710" t="str">
        <f>"20190312160947837"</f>
        <v>20190312160947837</v>
      </c>
      <c r="B1710" t="str">
        <f>"1552378187827174"</f>
        <v>1552378187827174</v>
      </c>
      <c r="C1710" t="s">
        <v>40</v>
      </c>
      <c r="D1710">
        <v>5.505528</v>
      </c>
      <c r="E1710">
        <v>0.46744360000000001</v>
      </c>
      <c r="F1710" t="s">
        <v>61</v>
      </c>
      <c r="G1710">
        <v>-324.78030000000001</v>
      </c>
      <c r="H1710" s="1">
        <v>9.4539470000000003E-7</v>
      </c>
      <c r="I1710">
        <v>286.02679999999998</v>
      </c>
      <c r="J1710">
        <v>-270.25479999999999</v>
      </c>
      <c r="K1710">
        <v>1.1095839999999999</v>
      </c>
      <c r="L1710">
        <v>284.50869999999998</v>
      </c>
      <c r="M1710">
        <v>-0.99904669999999896</v>
      </c>
      <c r="N1710">
        <v>0</v>
      </c>
      <c r="O1710">
        <v>4.2531970000000002E-2</v>
      </c>
      <c r="P1710">
        <v>-0.99347249999999998</v>
      </c>
      <c r="Q1710">
        <v>-1.9748439999999999E-2</v>
      </c>
      <c r="R1710">
        <v>0.1123516</v>
      </c>
      <c r="S1710">
        <v>-3.009369</v>
      </c>
      <c r="T1710">
        <v>-6.092036E-2</v>
      </c>
      <c r="U1710">
        <v>8.4014889999999995E-2</v>
      </c>
      <c r="V1710">
        <v>6.9993600000000003E-2</v>
      </c>
      <c r="W1710">
        <v>-9.9183090000000002E-3</v>
      </c>
      <c r="X1710">
        <v>0.9974982</v>
      </c>
      <c r="Y1710">
        <v>-1.4624119999999999E-2</v>
      </c>
      <c r="Z1710">
        <v>-1.00844E-3</v>
      </c>
      <c r="AA1710">
        <v>0.99989249999999996</v>
      </c>
      <c r="AB1710">
        <v>28</v>
      </c>
      <c r="AC1710">
        <v>-54.525500000000001</v>
      </c>
      <c r="AD1710">
        <v>-1.1095830546052901</v>
      </c>
      <c r="AE1710">
        <v>1.5181</v>
      </c>
      <c r="AF1710">
        <v>-0.80213102741028997</v>
      </c>
      <c r="AG1710">
        <v>-1.1095830546052901</v>
      </c>
      <c r="AH1710">
        <v>54.518167082895097</v>
      </c>
      <c r="AI1710">
        <v>91.165827400232601</v>
      </c>
      <c r="AJ1710">
        <v>90.842937484308607</v>
      </c>
      <c r="AK1710">
        <v>54.535356703872999</v>
      </c>
      <c r="AL1710">
        <v>90.568286524579094</v>
      </c>
      <c r="AM1710">
        <v>85.986182895999605</v>
      </c>
      <c r="AN1710">
        <v>1.0000000679487999</v>
      </c>
    </row>
    <row r="1711" spans="1:40" x14ac:dyDescent="0.25">
      <c r="A1711" t="str">
        <f>"20190312160947879"</f>
        <v>20190312160947879</v>
      </c>
      <c r="B1711" t="str">
        <f>"1552378187867189"</f>
        <v>1552378187867189</v>
      </c>
      <c r="C1711" t="s">
        <v>40</v>
      </c>
      <c r="D1711">
        <v>5.458297</v>
      </c>
      <c r="E1711">
        <v>0.46745310000000001</v>
      </c>
      <c r="F1711" t="s">
        <v>61</v>
      </c>
      <c r="G1711">
        <v>-329.07089999999999</v>
      </c>
      <c r="H1711" s="1">
        <v>3.227353E-6</v>
      </c>
      <c r="I1711">
        <v>286.0564</v>
      </c>
      <c r="J1711">
        <v>-270.78739999999999</v>
      </c>
      <c r="K1711">
        <v>1.1095900000000001</v>
      </c>
      <c r="L1711">
        <v>284.53129999999999</v>
      </c>
      <c r="M1711">
        <v>-0.99904820000000005</v>
      </c>
      <c r="N1711">
        <v>0</v>
      </c>
      <c r="O1711">
        <v>4.2489859999999997E-2</v>
      </c>
      <c r="P1711">
        <v>-0.99385880000000004</v>
      </c>
      <c r="Q1711">
        <v>-1.888217E-2</v>
      </c>
      <c r="R1711">
        <v>0.10903309999999999</v>
      </c>
      <c r="S1711">
        <v>-3.0096129999999999</v>
      </c>
      <c r="T1711">
        <v>-5.677712E-2</v>
      </c>
      <c r="U1711">
        <v>7.9193120000000006E-2</v>
      </c>
      <c r="V1711">
        <v>6.6703739999999997E-2</v>
      </c>
      <c r="W1711">
        <v>-9.0322649999999994E-3</v>
      </c>
      <c r="X1711">
        <v>0.9977319</v>
      </c>
      <c r="Y1711">
        <v>-1.6186280000000001E-2</v>
      </c>
      <c r="Z1711">
        <v>-9.5375729999999995E-4</v>
      </c>
      <c r="AA1711">
        <v>0.99986850000000005</v>
      </c>
      <c r="AB1711">
        <v>28</v>
      </c>
      <c r="AC1711">
        <v>-58.283499999999997</v>
      </c>
      <c r="AD1711">
        <v>-1.1095867726469999</v>
      </c>
      <c r="AE1711">
        <v>1.5250999999999999</v>
      </c>
      <c r="AF1711">
        <v>-0.95251071791532904</v>
      </c>
      <c r="AG1711">
        <v>-1.1095867726469999</v>
      </c>
      <c r="AH1711">
        <v>58.274557030433797</v>
      </c>
      <c r="AI1711">
        <v>91.090672727947407</v>
      </c>
      <c r="AJ1711">
        <v>90.936428991479104</v>
      </c>
      <c r="AK1711">
        <v>58.292902282928601</v>
      </c>
      <c r="AL1711">
        <v>90.517517722768503</v>
      </c>
      <c r="AM1711">
        <v>86.175160969672405</v>
      </c>
      <c r="AN1711">
        <v>0.99999995750931203</v>
      </c>
    </row>
    <row r="1712" spans="1:40" x14ac:dyDescent="0.25">
      <c r="A1712" t="str">
        <f>"20190312160947901"</f>
        <v>20190312160947901</v>
      </c>
      <c r="B1712" t="str">
        <f>"1552378187897445"</f>
        <v>1552378187897445</v>
      </c>
      <c r="C1712" t="s">
        <v>40</v>
      </c>
      <c r="D1712">
        <v>5.4054570000000002</v>
      </c>
      <c r="E1712">
        <v>0.45863660000000001</v>
      </c>
      <c r="F1712" t="s">
        <v>61</v>
      </c>
      <c r="G1712">
        <v>-331.18189999999998</v>
      </c>
      <c r="H1712" s="1">
        <v>-9.6477549999999992E-7</v>
      </c>
      <c r="I1712">
        <v>285.91890000000001</v>
      </c>
      <c r="J1712">
        <v>-271.05169999999998</v>
      </c>
      <c r="K1712">
        <v>1.1095839999999999</v>
      </c>
      <c r="L1712">
        <v>284.54250000000002</v>
      </c>
      <c r="M1712">
        <v>-0.99904899999999996</v>
      </c>
      <c r="N1712">
        <v>0</v>
      </c>
      <c r="O1712">
        <v>4.2469850000000003E-2</v>
      </c>
      <c r="P1712">
        <v>-0.99399139999999997</v>
      </c>
      <c r="Q1712">
        <v>-1.927705E-2</v>
      </c>
      <c r="R1712">
        <v>0.1077481</v>
      </c>
      <c r="S1712">
        <v>-3.0098880000000001</v>
      </c>
      <c r="T1712">
        <v>-5.5298809999999997E-2</v>
      </c>
      <c r="U1712">
        <v>6.9152829999999998E-2</v>
      </c>
      <c r="V1712">
        <v>6.5434190000000003E-2</v>
      </c>
      <c r="W1712">
        <v>-9.4178109999999999E-3</v>
      </c>
      <c r="X1712">
        <v>0.99781240000000004</v>
      </c>
      <c r="Y1712">
        <v>-1.9501830000000001E-2</v>
      </c>
      <c r="Z1712">
        <v>-9.5897929999999999E-4</v>
      </c>
      <c r="AA1712">
        <v>0.99980939999999996</v>
      </c>
      <c r="AB1712">
        <v>28</v>
      </c>
      <c r="AC1712">
        <v>-60.130200000000002</v>
      </c>
      <c r="AD1712">
        <v>-1.1095849647754901</v>
      </c>
      <c r="AE1712">
        <v>1.3763999999999801</v>
      </c>
      <c r="AF1712">
        <v>-1.17828592517882</v>
      </c>
      <c r="AG1712">
        <v>-1.1095849647754901</v>
      </c>
      <c r="AH1712">
        <v>60.113941562377299</v>
      </c>
      <c r="AI1712">
        <v>91.057244136362399</v>
      </c>
      <c r="AJ1712">
        <v>91.122903690112395</v>
      </c>
      <c r="AK1712">
        <v>60.135725710100502</v>
      </c>
      <c r="AL1712">
        <v>90.539608822743702</v>
      </c>
      <c r="AM1712">
        <v>86.248049735157807</v>
      </c>
      <c r="AN1712">
        <v>0.99999995698937305</v>
      </c>
    </row>
    <row r="1713" spans="1:40" x14ac:dyDescent="0.25">
      <c r="A1713" t="str">
        <f>"20190312160947924"</f>
        <v>20190312160947924</v>
      </c>
      <c r="B1713" t="str">
        <f>"1552378187916965"</f>
        <v>1552378187916965</v>
      </c>
      <c r="C1713" t="s">
        <v>40</v>
      </c>
      <c r="D1713">
        <v>5.3018380000000001</v>
      </c>
      <c r="E1713">
        <v>0.45814969999999999</v>
      </c>
      <c r="F1713" t="s">
        <v>74</v>
      </c>
      <c r="G1713">
        <v>-298.99090000000001</v>
      </c>
      <c r="H1713" s="1">
        <v>3.811906E-6</v>
      </c>
      <c r="I1713">
        <v>284.48680000000002</v>
      </c>
      <c r="J1713">
        <v>-271.34789999999998</v>
      </c>
      <c r="K1713">
        <v>1.1095889999999999</v>
      </c>
      <c r="L1713">
        <v>284.55509999999998</v>
      </c>
      <c r="M1713">
        <v>-0.99904970000000004</v>
      </c>
      <c r="N1713">
        <v>0</v>
      </c>
      <c r="O1713">
        <v>4.244817E-2</v>
      </c>
      <c r="P1713">
        <v>-0.99401759999999995</v>
      </c>
      <c r="Q1713">
        <v>-1.9583329999999999E-2</v>
      </c>
      <c r="R1713">
        <v>0.1074488</v>
      </c>
      <c r="S1713">
        <v>-3.0164789999999999</v>
      </c>
      <c r="T1713">
        <v>-0.1197966</v>
      </c>
      <c r="U1713">
        <v>-6.0119630000000004E-3</v>
      </c>
      <c r="V1713">
        <v>6.5155589999999999E-2</v>
      </c>
      <c r="W1713">
        <v>-9.7145289999999995E-3</v>
      </c>
      <c r="X1713">
        <v>0.99782780000000004</v>
      </c>
      <c r="Y1713">
        <v>-4.4372969999999998E-2</v>
      </c>
      <c r="Z1713">
        <v>-2.5656110000000002E-3</v>
      </c>
      <c r="AA1713">
        <v>0.99901180000000001</v>
      </c>
      <c r="AB1713">
        <v>28</v>
      </c>
      <c r="AC1713">
        <v>-27.643000000000001</v>
      </c>
      <c r="AD1713">
        <v>-1.109585188094</v>
      </c>
      <c r="AE1713">
        <v>-6.8299999999965097E-2</v>
      </c>
      <c r="AF1713">
        <v>-1.23969322046602</v>
      </c>
      <c r="AG1713">
        <v>-1.109585188094</v>
      </c>
      <c r="AH1713">
        <v>27.570760857902901</v>
      </c>
      <c r="AI1713">
        <v>92.302301100452794</v>
      </c>
      <c r="AJ1713">
        <v>92.574516518879804</v>
      </c>
      <c r="AK1713">
        <v>27.620913686085402</v>
      </c>
      <c r="AL1713">
        <v>90.556610282935196</v>
      </c>
      <c r="AM1713">
        <v>86.2640366204229</v>
      </c>
      <c r="AN1713">
        <v>0.999999970717389</v>
      </c>
    </row>
    <row r="1714" spans="1:40" x14ac:dyDescent="0.25">
      <c r="A1714" t="str">
        <f>"20190312160947946"</f>
        <v>20190312160947946</v>
      </c>
      <c r="B1714" t="str">
        <f>"1552378187937478"</f>
        <v>1552378187937478</v>
      </c>
      <c r="C1714" t="s">
        <v>40</v>
      </c>
      <c r="D1714">
        <v>5.4164260000000004</v>
      </c>
      <c r="E1714">
        <v>0.45878340000000001</v>
      </c>
      <c r="F1714" t="s">
        <v>74</v>
      </c>
      <c r="G1714">
        <v>-307.5822</v>
      </c>
      <c r="H1714" s="1">
        <v>2.6357640000000001E-6</v>
      </c>
      <c r="I1714">
        <v>284.43189999999998</v>
      </c>
      <c r="J1714">
        <v>-271.62240000000003</v>
      </c>
      <c r="K1714">
        <v>1.1095889999999999</v>
      </c>
      <c r="L1714">
        <v>284.56670000000003</v>
      </c>
      <c r="M1714">
        <v>-0.99905060000000001</v>
      </c>
      <c r="N1714">
        <v>0</v>
      </c>
      <c r="O1714">
        <v>4.2427029999999998E-2</v>
      </c>
      <c r="P1714">
        <v>-0.99399289999999996</v>
      </c>
      <c r="Q1714">
        <v>-1.9412309999999999E-2</v>
      </c>
      <c r="R1714">
        <v>0.1077106</v>
      </c>
      <c r="S1714">
        <v>-3.017334</v>
      </c>
      <c r="T1714">
        <v>-9.239841E-2</v>
      </c>
      <c r="U1714">
        <v>-1.025391E-2</v>
      </c>
      <c r="V1714">
        <v>6.5439559999999994E-2</v>
      </c>
      <c r="W1714">
        <v>-9.535099E-3</v>
      </c>
      <c r="X1714">
        <v>0.997811</v>
      </c>
      <c r="Y1714">
        <v>-4.578277E-2</v>
      </c>
      <c r="Z1714">
        <v>-1.9995350000000002E-3</v>
      </c>
      <c r="AA1714">
        <v>0.99894939999999999</v>
      </c>
      <c r="AB1714">
        <v>28</v>
      </c>
      <c r="AC1714">
        <v>-35.959799999999902</v>
      </c>
      <c r="AD1714">
        <v>-1.109586364236</v>
      </c>
      <c r="AE1714">
        <v>-0.134800000000041</v>
      </c>
      <c r="AF1714">
        <v>-1.6588413895123799</v>
      </c>
      <c r="AG1714">
        <v>-1.109586364236</v>
      </c>
      <c r="AH1714">
        <v>35.887529598497601</v>
      </c>
      <c r="AI1714">
        <v>91.769044194903302</v>
      </c>
      <c r="AJ1714">
        <v>92.6465183737524</v>
      </c>
      <c r="AK1714">
        <v>35.942978693178702</v>
      </c>
      <c r="AL1714">
        <v>90.546329196165303</v>
      </c>
      <c r="AM1714">
        <v>86.247737453103596</v>
      </c>
      <c r="AN1714">
        <v>1.00000002292346</v>
      </c>
    </row>
    <row r="1715" spans="1:40" x14ac:dyDescent="0.25">
      <c r="A1715" t="str">
        <f>"20190312160947969"</f>
        <v>20190312160947969</v>
      </c>
      <c r="B1715" t="str">
        <f>"1552378187956998"</f>
        <v>1552378187956998</v>
      </c>
      <c r="C1715" t="s">
        <v>40</v>
      </c>
      <c r="D1715">
        <v>5.3560400000000001</v>
      </c>
      <c r="E1715">
        <v>0.45911600000000002</v>
      </c>
      <c r="F1715" t="s">
        <v>74</v>
      </c>
      <c r="G1715">
        <v>-304.96730000000002</v>
      </c>
      <c r="H1715" s="1">
        <v>3.0921250000000001E-6</v>
      </c>
      <c r="I1715">
        <v>284.51749999999998</v>
      </c>
      <c r="J1715">
        <v>-271.90690000000001</v>
      </c>
      <c r="K1715">
        <v>1.109588</v>
      </c>
      <c r="L1715">
        <v>284.5788</v>
      </c>
      <c r="M1715">
        <v>-0.99905149999999998</v>
      </c>
      <c r="N1715">
        <v>0</v>
      </c>
      <c r="O1715">
        <v>4.240588E-2</v>
      </c>
      <c r="P1715">
        <v>-0.99385979999999996</v>
      </c>
      <c r="Q1715">
        <v>-1.9600900000000001E-2</v>
      </c>
      <c r="R1715">
        <v>0.1088998</v>
      </c>
      <c r="S1715">
        <v>-3.0166629999999999</v>
      </c>
      <c r="T1715">
        <v>-0.1003826</v>
      </c>
      <c r="U1715">
        <v>-4.4555659999999898E-3</v>
      </c>
      <c r="V1715">
        <v>6.6654530000000003E-2</v>
      </c>
      <c r="W1715">
        <v>-9.7154839999999999E-3</v>
      </c>
      <c r="X1715">
        <v>0.99772879999999997</v>
      </c>
      <c r="Y1715">
        <v>-4.3835840000000001E-2</v>
      </c>
      <c r="Z1715">
        <v>-2.1396100000000001E-3</v>
      </c>
      <c r="AA1715">
        <v>0.99903640000000005</v>
      </c>
      <c r="AB1715">
        <v>28</v>
      </c>
      <c r="AC1715">
        <v>-33.060400000000001</v>
      </c>
      <c r="AD1715">
        <v>-1.109584907875</v>
      </c>
      <c r="AE1715">
        <v>-6.1300000000017001E-2</v>
      </c>
      <c r="AF1715">
        <v>-1.4616223860300599</v>
      </c>
      <c r="AG1715">
        <v>-1.109584907875</v>
      </c>
      <c r="AH1715">
        <v>32.990896665247497</v>
      </c>
      <c r="AI1715">
        <v>91.924420144250803</v>
      </c>
      <c r="AJ1715">
        <v>92.536762400066195</v>
      </c>
      <c r="AK1715">
        <v>33.0418943380092</v>
      </c>
      <c r="AL1715">
        <v>90.556664993549006</v>
      </c>
      <c r="AM1715">
        <v>86.177962498954898</v>
      </c>
      <c r="AN1715">
        <v>0.99999998767415699</v>
      </c>
    </row>
    <row r="1716" spans="1:40" x14ac:dyDescent="0.25">
      <c r="A1716" t="str">
        <f>"20190312160947991"</f>
        <v>20190312160947991</v>
      </c>
      <c r="B1716" t="str">
        <f>"1552378187987237"</f>
        <v>1552378187987237</v>
      </c>
      <c r="C1716" t="s">
        <v>40</v>
      </c>
      <c r="D1716">
        <v>5.3147820000000001</v>
      </c>
      <c r="E1716">
        <v>0.45945839999999999</v>
      </c>
      <c r="F1716" t="s">
        <v>74</v>
      </c>
      <c r="G1716">
        <v>-303.36810000000003</v>
      </c>
      <c r="H1716" s="1">
        <v>3.3690759999999998E-6</v>
      </c>
      <c r="I1716">
        <v>284.59440000000001</v>
      </c>
      <c r="J1716">
        <v>-272.18329999999997</v>
      </c>
      <c r="K1716">
        <v>1.10959599999999</v>
      </c>
      <c r="L1716">
        <v>284.59050000000002</v>
      </c>
      <c r="M1716">
        <v>-0.99905219999999995</v>
      </c>
      <c r="N1716">
        <v>0</v>
      </c>
      <c r="O1716">
        <v>4.2385029999999997E-2</v>
      </c>
      <c r="P1716">
        <v>-0.99370749999999997</v>
      </c>
      <c r="Q1716">
        <v>-1.9294229999999999E-2</v>
      </c>
      <c r="R1716">
        <v>0.110332</v>
      </c>
      <c r="S1716">
        <v>-3.016235</v>
      </c>
      <c r="T1716">
        <v>-0.1063776</v>
      </c>
      <c r="U1716">
        <v>1.495361E-3</v>
      </c>
      <c r="V1716">
        <v>6.8112489999999998E-2</v>
      </c>
      <c r="W1716">
        <v>-9.401019E-3</v>
      </c>
      <c r="X1716">
        <v>0.99763329999999995</v>
      </c>
      <c r="Y1716">
        <v>-4.1839439999999999E-2</v>
      </c>
      <c r="Z1716">
        <v>-2.2316929999999999E-3</v>
      </c>
      <c r="AA1716">
        <v>0.99912179999999995</v>
      </c>
      <c r="AB1716">
        <v>28</v>
      </c>
      <c r="AC1716">
        <v>-31.184799999999999</v>
      </c>
      <c r="AD1716">
        <v>-1.1095926309239901</v>
      </c>
      <c r="AE1716">
        <v>3.8999999999873498E-3</v>
      </c>
      <c r="AF1716">
        <v>-1.31627067204568</v>
      </c>
      <c r="AG1716">
        <v>-1.1095926309239901</v>
      </c>
      <c r="AH1716">
        <v>31.117542872726901</v>
      </c>
      <c r="AI1716">
        <v>92.040370658136993</v>
      </c>
      <c r="AJ1716">
        <v>92.422164951202205</v>
      </c>
      <c r="AK1716">
        <v>31.165128569038199</v>
      </c>
      <c r="AL1716">
        <v>90.5386466753734</v>
      </c>
      <c r="AM1716">
        <v>86.094244866246498</v>
      </c>
      <c r="AN1716">
        <v>0.99999994586056196</v>
      </c>
    </row>
    <row r="1717" spans="1:40" x14ac:dyDescent="0.25">
      <c r="A1717" t="str">
        <f>"20190312160948013"</f>
        <v>20190312160948013</v>
      </c>
      <c r="B1717" t="str">
        <f>"1552378188006757"</f>
        <v>1552378188006757</v>
      </c>
      <c r="C1717" t="s">
        <v>40</v>
      </c>
      <c r="D1717">
        <v>5.3378420000000002</v>
      </c>
      <c r="E1717">
        <v>0.4593449</v>
      </c>
      <c r="F1717" t="s">
        <v>74</v>
      </c>
      <c r="G1717">
        <v>-306.5061</v>
      </c>
      <c r="H1717" s="1">
        <v>2.8038580000000001E-6</v>
      </c>
      <c r="I1717">
        <v>284.6927</v>
      </c>
      <c r="J1717">
        <v>-272.4658</v>
      </c>
      <c r="K1717">
        <v>1.1096010000000001</v>
      </c>
      <c r="L1717">
        <v>284.60250000000002</v>
      </c>
      <c r="M1717">
        <v>-0.99905310000000003</v>
      </c>
      <c r="N1717">
        <v>0</v>
      </c>
      <c r="O1717">
        <v>4.2363699999999997E-2</v>
      </c>
      <c r="P1717">
        <v>-0.99369220000000003</v>
      </c>
      <c r="Q1717">
        <v>-1.843906E-2</v>
      </c>
      <c r="R1717">
        <v>0.1106177</v>
      </c>
      <c r="S1717">
        <v>-3.0161129999999998</v>
      </c>
      <c r="T1717">
        <v>-9.7505330000000001E-2</v>
      </c>
      <c r="U1717">
        <v>8.9721680000000009E-3</v>
      </c>
      <c r="V1717">
        <v>6.8420049999999996E-2</v>
      </c>
      <c r="W1717">
        <v>-8.5369650000000005E-3</v>
      </c>
      <c r="X1717">
        <v>0.99762010000000001</v>
      </c>
      <c r="Y1717">
        <v>-3.9350860000000001E-2</v>
      </c>
      <c r="Z1717">
        <v>-2.00482E-3</v>
      </c>
      <c r="AA1717">
        <v>0.99922350000000004</v>
      </c>
      <c r="AB1717">
        <v>28</v>
      </c>
      <c r="AC1717">
        <v>-34.040300000000002</v>
      </c>
      <c r="AD1717">
        <v>-1.1095981961420001</v>
      </c>
      <c r="AE1717">
        <v>9.01999999999816E-2</v>
      </c>
      <c r="AF1717">
        <v>-1.3505898234886</v>
      </c>
      <c r="AG1717">
        <v>-1.1095981961420001</v>
      </c>
      <c r="AH1717">
        <v>33.977456790987297</v>
      </c>
      <c r="AI1717">
        <v>91.8689625717832</v>
      </c>
      <c r="AJ1717">
        <v>92.276285124839006</v>
      </c>
      <c r="AK1717">
        <v>34.022387791153001</v>
      </c>
      <c r="AL1717">
        <v>90.489137994371504</v>
      </c>
      <c r="AM1717">
        <v>86.076611745689306</v>
      </c>
      <c r="AN1717">
        <v>1.0000000234687101</v>
      </c>
    </row>
    <row r="1718" spans="1:40" x14ac:dyDescent="0.25">
      <c r="A1718" t="str">
        <f>"20190312160948037"</f>
        <v>20190312160948037</v>
      </c>
      <c r="B1718" t="str">
        <f>"1552378188027253"</f>
        <v>1552378188027253</v>
      </c>
      <c r="C1718" t="s">
        <v>40</v>
      </c>
      <c r="D1718">
        <v>5.3847189999999996</v>
      </c>
      <c r="E1718">
        <v>0.4597176</v>
      </c>
      <c r="F1718" t="s">
        <v>74</v>
      </c>
      <c r="G1718">
        <v>-308.80930000000001</v>
      </c>
      <c r="H1718" s="1">
        <v>2.3937410000000001E-6</v>
      </c>
      <c r="I1718">
        <v>284.7106</v>
      </c>
      <c r="J1718">
        <v>-272.75959999999998</v>
      </c>
      <c r="K1718">
        <v>1.109607</v>
      </c>
      <c r="L1718">
        <v>284.61489999999998</v>
      </c>
      <c r="M1718">
        <v>-0.999054</v>
      </c>
      <c r="N1718">
        <v>0</v>
      </c>
      <c r="O1718">
        <v>4.2339380000000003E-2</v>
      </c>
      <c r="P1718">
        <v>-0.99382389999999998</v>
      </c>
      <c r="Q1718">
        <v>-1.7570699999999901E-2</v>
      </c>
      <c r="R1718">
        <v>0.10957069999999999</v>
      </c>
      <c r="S1718">
        <v>-3.0162960000000001</v>
      </c>
      <c r="T1718">
        <v>-9.2090249999999998E-2</v>
      </c>
      <c r="U1718">
        <v>8.9721680000000009E-3</v>
      </c>
      <c r="V1718">
        <v>6.7392590000000002E-2</v>
      </c>
      <c r="W1718">
        <v>-7.6584369999999997E-3</v>
      </c>
      <c r="X1718">
        <v>0.9976971</v>
      </c>
      <c r="Y1718">
        <v>-3.9331350000000001E-2</v>
      </c>
      <c r="Z1718">
        <v>-1.892379E-3</v>
      </c>
      <c r="AA1718">
        <v>0.99922440000000001</v>
      </c>
      <c r="AB1718">
        <v>28</v>
      </c>
      <c r="AC1718">
        <v>-36.049700000000001</v>
      </c>
      <c r="AD1718">
        <v>-1.1096046062589999</v>
      </c>
      <c r="AE1718">
        <v>9.5700000000022101E-2</v>
      </c>
      <c r="AF1718">
        <v>-1.4294287036697599</v>
      </c>
      <c r="AG1718">
        <v>-1.1096046062589999</v>
      </c>
      <c r="AH1718">
        <v>35.987328496786397</v>
      </c>
      <c r="AI1718">
        <v>91.764662261788999</v>
      </c>
      <c r="AJ1718">
        <v>92.274611773492296</v>
      </c>
      <c r="AK1718">
        <v>36.032794800524698</v>
      </c>
      <c r="AL1718">
        <v>90.438800425620997</v>
      </c>
      <c r="AM1718">
        <v>86.135646512551006</v>
      </c>
      <c r="AN1718">
        <v>0.99999995809629905</v>
      </c>
    </row>
    <row r="1719" spans="1:40" x14ac:dyDescent="0.25">
      <c r="A1719" t="str">
        <f>"20190312160948059"</f>
        <v>20190312160948059</v>
      </c>
      <c r="B1719" t="str">
        <f>"1552378188046773"</f>
        <v>1552378188046773</v>
      </c>
      <c r="C1719" t="s">
        <v>40</v>
      </c>
      <c r="D1719">
        <v>5.4268650000000003</v>
      </c>
      <c r="E1719">
        <v>0.45993460000000003</v>
      </c>
      <c r="F1719" t="s">
        <v>74</v>
      </c>
      <c r="G1719">
        <v>-308.24579999999997</v>
      </c>
      <c r="H1719" s="1">
        <v>2.4932589999999998E-6</v>
      </c>
      <c r="I1719">
        <v>284.71550000000002</v>
      </c>
      <c r="J1719">
        <v>-273.03570000000002</v>
      </c>
      <c r="K1719">
        <v>1.1096140000000001</v>
      </c>
      <c r="L1719">
        <v>284.6266</v>
      </c>
      <c r="M1719">
        <v>-0.99905529999999998</v>
      </c>
      <c r="N1719">
        <v>0</v>
      </c>
      <c r="O1719">
        <v>4.2307749999999998E-2</v>
      </c>
      <c r="P1719">
        <v>-0.99396799999999996</v>
      </c>
      <c r="Q1719">
        <v>-1.691018E-2</v>
      </c>
      <c r="R1719">
        <v>0.1083596</v>
      </c>
      <c r="S1719">
        <v>-3.016022</v>
      </c>
      <c r="T1719">
        <v>-9.4306589999999996E-2</v>
      </c>
      <c r="U1719">
        <v>8.5449219999999999E-3</v>
      </c>
      <c r="V1719">
        <v>6.6208009999999998E-2</v>
      </c>
      <c r="W1719">
        <v>-6.9879030000000002E-3</v>
      </c>
      <c r="X1719">
        <v>0.99778140000000004</v>
      </c>
      <c r="Y1719">
        <v>-3.9439099999999998E-2</v>
      </c>
      <c r="Z1719">
        <v>-1.9387740000000001E-3</v>
      </c>
      <c r="AA1719">
        <v>0.99922010000000006</v>
      </c>
      <c r="AB1719">
        <v>28</v>
      </c>
      <c r="AC1719">
        <v>-35.210099999999898</v>
      </c>
      <c r="AD1719">
        <v>-1.109611506741</v>
      </c>
      <c r="AE1719">
        <v>8.8900000000023696E-2</v>
      </c>
      <c r="AF1719">
        <v>-1.39952322833125</v>
      </c>
      <c r="AG1719">
        <v>-1.109611506741</v>
      </c>
      <c r="AH1719">
        <v>35.147426193604304</v>
      </c>
      <c r="AI1719">
        <v>91.806808160198202</v>
      </c>
      <c r="AJ1719">
        <v>92.280236247100007</v>
      </c>
      <c r="AK1719">
        <v>35.192775835352798</v>
      </c>
      <c r="AL1719">
        <v>90.400380597352495</v>
      </c>
      <c r="AM1719">
        <v>86.203690828244106</v>
      </c>
      <c r="AN1719">
        <v>1.0000000267812199</v>
      </c>
    </row>
    <row r="1720" spans="1:40" x14ac:dyDescent="0.25">
      <c r="A1720" t="str">
        <f>"20190312160948079"</f>
        <v>20190312160948079</v>
      </c>
      <c r="B1720" t="str">
        <f>"1552378188067269"</f>
        <v>1552378188067269</v>
      </c>
      <c r="C1720" t="s">
        <v>40</v>
      </c>
      <c r="D1720">
        <v>5.3934519999999999</v>
      </c>
      <c r="E1720">
        <v>0.46000220000000003</v>
      </c>
      <c r="F1720" t="s">
        <v>74</v>
      </c>
      <c r="G1720">
        <v>-307.30829999999997</v>
      </c>
      <c r="H1720" s="1">
        <v>2.6610309999999998E-6</v>
      </c>
      <c r="I1720">
        <v>284.69880000000001</v>
      </c>
      <c r="J1720">
        <v>-273.30110000000002</v>
      </c>
      <c r="K1720">
        <v>1.109632</v>
      </c>
      <c r="L1720">
        <v>284.6379</v>
      </c>
      <c r="M1720">
        <v>-0.99905719999999998</v>
      </c>
      <c r="N1720">
        <v>0</v>
      </c>
      <c r="O1720">
        <v>4.225893E-2</v>
      </c>
      <c r="P1720">
        <v>-0.99416020000000005</v>
      </c>
      <c r="Q1720">
        <v>-1.5678439999999998E-2</v>
      </c>
      <c r="R1720">
        <v>0.1067708</v>
      </c>
      <c r="S1720">
        <v>-3.0158689999999999</v>
      </c>
      <c r="T1720">
        <v>-9.7642060000000003E-2</v>
      </c>
      <c r="U1720">
        <v>6.3476560000000001E-3</v>
      </c>
      <c r="V1720">
        <v>6.4661510000000005E-2</v>
      </c>
      <c r="W1720">
        <v>-5.7452149999999997E-3</v>
      </c>
      <c r="X1720">
        <v>0.99789070000000002</v>
      </c>
      <c r="Y1720">
        <v>-4.0114909999999997E-2</v>
      </c>
      <c r="Z1720">
        <v>-2.016777E-3</v>
      </c>
      <c r="AA1720">
        <v>0.999193</v>
      </c>
      <c r="AB1720">
        <v>28</v>
      </c>
      <c r="AC1720">
        <v>-34.007199999999898</v>
      </c>
      <c r="AD1720">
        <v>-1.109629338969</v>
      </c>
      <c r="AE1720">
        <v>6.0900000000003701E-2</v>
      </c>
      <c r="AF1720">
        <v>-1.3748695833765301</v>
      </c>
      <c r="AG1720">
        <v>-1.109629338969</v>
      </c>
      <c r="AH1720">
        <v>33.943253628000299</v>
      </c>
      <c r="AI1720">
        <v>91.8708404034099</v>
      </c>
      <c r="AJ1720">
        <v>92.319494395157193</v>
      </c>
      <c r="AK1720">
        <v>33.989204322783898</v>
      </c>
      <c r="AL1720">
        <v>90.329178388150794</v>
      </c>
      <c r="AM1720">
        <v>86.292520458148203</v>
      </c>
      <c r="AN1720">
        <v>0.99999998375868304</v>
      </c>
    </row>
    <row r="1721" spans="1:40" x14ac:dyDescent="0.25">
      <c r="A1721" t="str">
        <f>"20190312160948101"</f>
        <v>20190312160948101</v>
      </c>
      <c r="B1721" t="str">
        <f>"1552378188097526"</f>
        <v>1552378188097526</v>
      </c>
      <c r="C1721" t="s">
        <v>40</v>
      </c>
      <c r="D1721">
        <v>5.3947560000000001</v>
      </c>
      <c r="E1721">
        <v>0.4603719</v>
      </c>
      <c r="F1721" t="s">
        <v>74</v>
      </c>
      <c r="G1721">
        <v>-307.38119999999998</v>
      </c>
      <c r="H1721" s="1">
        <v>2.6514909999999999E-6</v>
      </c>
      <c r="I1721">
        <v>284.65989999999999</v>
      </c>
      <c r="J1721">
        <v>-273.57420000000002</v>
      </c>
      <c r="K1721">
        <v>1.1096619999999999</v>
      </c>
      <c r="L1721">
        <v>284.64940000000001</v>
      </c>
      <c r="M1721">
        <v>-0.99906059999999997</v>
      </c>
      <c r="N1721">
        <v>0</v>
      </c>
      <c r="O1721">
        <v>4.2177930000000002E-2</v>
      </c>
      <c r="P1721">
        <v>-0.99433300000000002</v>
      </c>
      <c r="Q1721">
        <v>-1.452227E-2</v>
      </c>
      <c r="R1721">
        <v>0.1053152</v>
      </c>
      <c r="S1721">
        <v>-3.0158689999999999</v>
      </c>
      <c r="T1721">
        <v>-9.8195199999999996E-2</v>
      </c>
      <c r="U1721">
        <v>1.953125E-3</v>
      </c>
      <c r="V1721">
        <v>6.3280999999999907E-2</v>
      </c>
      <c r="W1721">
        <v>-4.5766519999999996E-3</v>
      </c>
      <c r="X1721">
        <v>0.99798520000000002</v>
      </c>
      <c r="Y1721">
        <v>-4.148864E-2</v>
      </c>
      <c r="Z1721">
        <v>-2.0479320000000001E-3</v>
      </c>
      <c r="AA1721">
        <v>0.99913689999999999</v>
      </c>
      <c r="AB1721">
        <v>28</v>
      </c>
      <c r="AC1721">
        <v>-33.806999999999903</v>
      </c>
      <c r="AD1721">
        <v>-1.1096593485090001</v>
      </c>
      <c r="AE1721">
        <v>1.0499999999979E-2</v>
      </c>
      <c r="AF1721">
        <v>-1.41396580059137</v>
      </c>
      <c r="AG1721">
        <v>-1.1096593485090001</v>
      </c>
      <c r="AH1721">
        <v>33.741003932388303</v>
      </c>
      <c r="AI1721">
        <v>91.881988955843795</v>
      </c>
      <c r="AJ1721">
        <v>92.399658836262802</v>
      </c>
      <c r="AK1721">
        <v>33.788844157804803</v>
      </c>
      <c r="AL1721">
        <v>90.262223773723605</v>
      </c>
      <c r="AM1721">
        <v>86.371803290901298</v>
      </c>
      <c r="AN1721">
        <v>0.99999994506178302</v>
      </c>
    </row>
    <row r="1722" spans="1:40" x14ac:dyDescent="0.25">
      <c r="A1722" t="str">
        <f>"20190312160948124"</f>
        <v>20190312160948124</v>
      </c>
      <c r="B1722" t="str">
        <f>"1552378188117045"</f>
        <v>1552378188117045</v>
      </c>
      <c r="C1722" t="s">
        <v>40</v>
      </c>
      <c r="D1722">
        <v>5.4152649999999998</v>
      </c>
      <c r="E1722">
        <v>0.46043139999999999</v>
      </c>
      <c r="F1722" t="s">
        <v>74</v>
      </c>
      <c r="G1722">
        <v>-307.76870000000002</v>
      </c>
      <c r="H1722" s="1">
        <v>2.5832830000000001E-6</v>
      </c>
      <c r="I1722">
        <v>284.65390000000002</v>
      </c>
      <c r="J1722">
        <v>-273.86799999999999</v>
      </c>
      <c r="K1722">
        <v>1.109702</v>
      </c>
      <c r="L1722">
        <v>284.66160000000002</v>
      </c>
      <c r="M1722">
        <v>-0.99906609999999996</v>
      </c>
      <c r="N1722">
        <v>0</v>
      </c>
      <c r="O1722">
        <v>4.20443E-2</v>
      </c>
      <c r="P1722">
        <v>-0.99442710000000001</v>
      </c>
      <c r="Q1722">
        <v>-1.329937E-2</v>
      </c>
      <c r="R1722">
        <v>0.1045847</v>
      </c>
      <c r="S1722">
        <v>-3.0156559999999999</v>
      </c>
      <c r="T1722">
        <v>-9.7862119999999997E-2</v>
      </c>
      <c r="U1722">
        <v>3.9672850000000001E-4</v>
      </c>
      <c r="V1722">
        <v>6.2680830000000007E-2</v>
      </c>
      <c r="W1722">
        <v>-3.3395069999999998E-3</v>
      </c>
      <c r="X1722">
        <v>0.99802800000000003</v>
      </c>
      <c r="Y1722">
        <v>-4.1870780000000003E-2</v>
      </c>
      <c r="Z1722">
        <v>-2.0430040000000002E-3</v>
      </c>
      <c r="AA1722">
        <v>0.99912100000000004</v>
      </c>
      <c r="AB1722">
        <v>28</v>
      </c>
      <c r="AC1722">
        <v>-33.900700000000001</v>
      </c>
      <c r="AD1722">
        <v>-1.109699416717</v>
      </c>
      <c r="AE1722">
        <v>-7.6999999999998103E-3</v>
      </c>
      <c r="AF1722">
        <v>-1.4315611746172101</v>
      </c>
      <c r="AG1722">
        <v>-1.109699416717</v>
      </c>
      <c r="AH1722">
        <v>33.834143104210199</v>
      </c>
      <c r="AI1722">
        <v>91.876847713261697</v>
      </c>
      <c r="AJ1722">
        <v>92.422804658500795</v>
      </c>
      <c r="AK1722">
        <v>33.882591987454397</v>
      </c>
      <c r="AL1722">
        <v>90.191340019334802</v>
      </c>
      <c r="AM1722">
        <v>86.406276955461806</v>
      </c>
      <c r="AN1722">
        <v>0.99999996377024503</v>
      </c>
    </row>
    <row r="1723" spans="1:40" x14ac:dyDescent="0.25">
      <c r="A1723" t="str">
        <f>"20190312160948148"</f>
        <v>20190312160948148</v>
      </c>
      <c r="B1723" t="str">
        <f>"1552378188137541"</f>
        <v>1552378188137541</v>
      </c>
      <c r="C1723" t="s">
        <v>40</v>
      </c>
      <c r="D1723">
        <v>5.4980989999999998</v>
      </c>
      <c r="E1723">
        <v>0.43705310000000003</v>
      </c>
      <c r="F1723" t="s">
        <v>74</v>
      </c>
      <c r="G1723">
        <v>-309.19069999999999</v>
      </c>
      <c r="H1723" s="1">
        <v>2.3318019999999999E-6</v>
      </c>
      <c r="I1723">
        <v>284.64519999999999</v>
      </c>
      <c r="J1723">
        <v>-274.15969999999999</v>
      </c>
      <c r="K1723">
        <v>1.10975</v>
      </c>
      <c r="L1723">
        <v>284.6737</v>
      </c>
      <c r="M1723">
        <v>-0.99907440000000003</v>
      </c>
      <c r="N1723">
        <v>0</v>
      </c>
      <c r="O1723">
        <v>4.18462E-2</v>
      </c>
      <c r="P1723">
        <v>-0.99447269999999999</v>
      </c>
      <c r="Q1723">
        <v>-1.244024E-2</v>
      </c>
      <c r="R1723">
        <v>0.1042561</v>
      </c>
      <c r="S1723">
        <v>-3.015717</v>
      </c>
      <c r="T1723">
        <v>-9.4741939999999997E-2</v>
      </c>
      <c r="U1723">
        <v>-1.403809E-3</v>
      </c>
      <c r="V1723">
        <v>6.2548489999999998E-2</v>
      </c>
      <c r="W1723">
        <v>-2.4687820000000001E-3</v>
      </c>
      <c r="X1723">
        <v>0.99803889999999995</v>
      </c>
      <c r="Y1723">
        <v>-4.2271870000000003E-2</v>
      </c>
      <c r="Z1723">
        <v>-1.9779429999999998E-3</v>
      </c>
      <c r="AA1723">
        <v>0.9991042</v>
      </c>
      <c r="AB1723">
        <v>28</v>
      </c>
      <c r="AC1723">
        <v>-35.030999999999999</v>
      </c>
      <c r="AD1723">
        <v>-1.1097476681980001</v>
      </c>
      <c r="AE1723">
        <v>-2.8500000000008099E-2</v>
      </c>
      <c r="AF1723">
        <v>-1.49296373082543</v>
      </c>
      <c r="AG1723">
        <v>-1.1097476681980001</v>
      </c>
      <c r="AH1723">
        <v>34.964030883035598</v>
      </c>
      <c r="AI1723">
        <v>91.816286304682095</v>
      </c>
      <c r="AJ1723">
        <v>92.445043864172902</v>
      </c>
      <c r="AK1723">
        <v>35.013482205837498</v>
      </c>
      <c r="AL1723">
        <v>90.1414509289785</v>
      </c>
      <c r="AM1723">
        <v>86.413883737557597</v>
      </c>
      <c r="AN1723">
        <v>1.00000002719952</v>
      </c>
    </row>
    <row r="1724" spans="1:40" x14ac:dyDescent="0.25">
      <c r="A1724" t="str">
        <f>"20190312160948169"</f>
        <v>20190312160948169</v>
      </c>
      <c r="B1724" t="str">
        <f>"1552378188157061"</f>
        <v>1552378188157061</v>
      </c>
      <c r="C1724" t="s">
        <v>40</v>
      </c>
      <c r="D1724">
        <v>5.5639529999999997</v>
      </c>
      <c r="E1724">
        <v>0.43103219999999998</v>
      </c>
      <c r="F1724" t="s">
        <v>74</v>
      </c>
      <c r="G1724">
        <v>-313.44880000000001</v>
      </c>
      <c r="H1724" s="1">
        <v>3.9535809999999901E-6</v>
      </c>
      <c r="I1724">
        <v>282.24630000000002</v>
      </c>
      <c r="J1724">
        <v>-274.42939999999999</v>
      </c>
      <c r="K1724">
        <v>1.1097870000000001</v>
      </c>
      <c r="L1724">
        <v>284.6848</v>
      </c>
      <c r="M1724">
        <v>-0.99908399999999997</v>
      </c>
      <c r="N1724">
        <v>0</v>
      </c>
      <c r="O1724">
        <v>4.16155E-2</v>
      </c>
      <c r="P1724">
        <v>-0.99441999999999997</v>
      </c>
      <c r="Q1724">
        <v>-1.235723E-2</v>
      </c>
      <c r="R1724">
        <v>0.104769</v>
      </c>
      <c r="S1724">
        <v>-3.0352779999999999</v>
      </c>
      <c r="T1724">
        <v>-8.5733530000000002E-2</v>
      </c>
      <c r="U1724">
        <v>-0.18753049999999999</v>
      </c>
      <c r="V1724">
        <v>6.3294009999999998E-2</v>
      </c>
      <c r="W1724">
        <v>-2.378832E-3</v>
      </c>
      <c r="X1724">
        <v>0.99799210000000005</v>
      </c>
      <c r="Y1724">
        <v>-0.1030935</v>
      </c>
      <c r="Z1724">
        <v>-2.6285840000000002E-3</v>
      </c>
      <c r="AA1724">
        <v>0.9946682</v>
      </c>
      <c r="AB1724">
        <v>28</v>
      </c>
      <c r="AC1724">
        <v>-39.019399999999997</v>
      </c>
      <c r="AD1724">
        <v>-1.1097830464189999</v>
      </c>
      <c r="AE1724">
        <v>-2.4384999999999701</v>
      </c>
      <c r="AF1724">
        <v>-4.0570106945264204</v>
      </c>
      <c r="AG1724">
        <v>-1.1097830464189999</v>
      </c>
      <c r="AH1724">
        <v>38.852802474183399</v>
      </c>
      <c r="AI1724">
        <v>91.627296580342502</v>
      </c>
      <c r="AJ1724">
        <v>95.961223349728698</v>
      </c>
      <c r="AK1724">
        <v>39.079805709388197</v>
      </c>
      <c r="AL1724">
        <v>90.136297160804901</v>
      </c>
      <c r="AM1724">
        <v>86.371084382649698</v>
      </c>
      <c r="AN1724">
        <v>1.0000000111029801</v>
      </c>
    </row>
    <row r="1725" spans="1:40" x14ac:dyDescent="0.25">
      <c r="A1725" t="str">
        <f>"20190312160948190"</f>
        <v>20190312160948190</v>
      </c>
      <c r="B1725" t="str">
        <f>"1552378188177557"</f>
        <v>1552378188177557</v>
      </c>
      <c r="C1725" t="s">
        <v>40</v>
      </c>
      <c r="D1725">
        <v>5.5476199999999896</v>
      </c>
      <c r="E1725">
        <v>0.4273959</v>
      </c>
      <c r="F1725" t="s">
        <v>74</v>
      </c>
      <c r="G1725">
        <v>-308.5872</v>
      </c>
      <c r="H1725" s="1">
        <v>2.6654529999999999E-6</v>
      </c>
      <c r="I1725">
        <v>282.0532</v>
      </c>
      <c r="J1725">
        <v>-274.6968</v>
      </c>
      <c r="K1725">
        <v>1.1098319999999999</v>
      </c>
      <c r="L1725">
        <v>284.69560000000001</v>
      </c>
      <c r="M1725">
        <v>-0.99909570000000003</v>
      </c>
      <c r="N1725">
        <v>0</v>
      </c>
      <c r="O1725">
        <v>4.1334910000000002E-2</v>
      </c>
      <c r="P1725">
        <v>-0.99430490000000005</v>
      </c>
      <c r="Q1725">
        <v>-1.2635560000000001E-2</v>
      </c>
      <c r="R1725">
        <v>0.1058215</v>
      </c>
      <c r="S1725">
        <v>-3.0402529999999999</v>
      </c>
      <c r="T1725">
        <v>-9.8777649999999995E-2</v>
      </c>
      <c r="U1725">
        <v>-0.2342224</v>
      </c>
      <c r="V1725">
        <v>6.4630729999999997E-2</v>
      </c>
      <c r="W1725">
        <v>-2.651942E-3</v>
      </c>
      <c r="X1725">
        <v>0.99790570000000001</v>
      </c>
      <c r="Y1725">
        <v>-0.1178785</v>
      </c>
      <c r="Z1725">
        <v>-3.2525409999999999E-3</v>
      </c>
      <c r="AA1725">
        <v>0.99302270000000004</v>
      </c>
      <c r="AB1725">
        <v>28</v>
      </c>
      <c r="AC1725">
        <v>-33.8904</v>
      </c>
      <c r="AD1725">
        <v>-1.1098293345469901</v>
      </c>
      <c r="AE1725">
        <v>-2.6423999999999999</v>
      </c>
      <c r="AF1725">
        <v>-4.0367646780862296</v>
      </c>
      <c r="AG1725">
        <v>-1.1098293345469901</v>
      </c>
      <c r="AH1725">
        <v>33.716264795030803</v>
      </c>
      <c r="AI1725">
        <v>91.871949692948803</v>
      </c>
      <c r="AJ1725">
        <v>96.827382433778794</v>
      </c>
      <c r="AK1725">
        <v>33.975192449001703</v>
      </c>
      <c r="AL1725">
        <v>90.151945266001107</v>
      </c>
      <c r="AM1725">
        <v>86.294335911250997</v>
      </c>
      <c r="AN1725">
        <v>0.99999997507459604</v>
      </c>
    </row>
    <row r="1726" spans="1:40" x14ac:dyDescent="0.25">
      <c r="A1726" t="str">
        <f>"20190312160948214"</f>
        <v>20190312160948214</v>
      </c>
      <c r="B1726" t="str">
        <f>"1552378188206837"</f>
        <v>1552378188206837</v>
      </c>
      <c r="C1726" t="s">
        <v>40</v>
      </c>
      <c r="D1726">
        <v>5.5450359999999996</v>
      </c>
      <c r="E1726">
        <v>0.42549179999999998</v>
      </c>
      <c r="F1726" t="s">
        <v>74</v>
      </c>
      <c r="G1726">
        <v>-309.19779999999997</v>
      </c>
      <c r="H1726" s="1">
        <v>2.5834620000000001E-6</v>
      </c>
      <c r="I1726">
        <v>281.75209999999998</v>
      </c>
      <c r="J1726">
        <v>-275.00290000000001</v>
      </c>
      <c r="K1726">
        <v>1.109877</v>
      </c>
      <c r="L1726">
        <v>284.7079</v>
      </c>
      <c r="M1726">
        <v>-0.99911190000000005</v>
      </c>
      <c r="N1726">
        <v>0</v>
      </c>
      <c r="O1726">
        <v>4.0939910000000003E-2</v>
      </c>
      <c r="P1726">
        <v>-0.99414389999999997</v>
      </c>
      <c r="Q1726">
        <v>-1.282867E-2</v>
      </c>
      <c r="R1726">
        <v>0.1073012</v>
      </c>
      <c r="S1726">
        <v>-3.0436399999999999</v>
      </c>
      <c r="T1726">
        <v>-9.7908019999999998E-2</v>
      </c>
      <c r="U1726">
        <v>-0.25967410000000002</v>
      </c>
      <c r="V1726">
        <v>6.6510830000000007E-2</v>
      </c>
      <c r="W1726">
        <v>-2.8389230000000001E-3</v>
      </c>
      <c r="X1726">
        <v>0.99778169999999999</v>
      </c>
      <c r="Y1726">
        <v>-0.12564500000000001</v>
      </c>
      <c r="Z1726">
        <v>-3.3312900000000002E-3</v>
      </c>
      <c r="AA1726">
        <v>0.99206970000000005</v>
      </c>
      <c r="AB1726">
        <v>28</v>
      </c>
      <c r="AC1726">
        <v>-34.194899999999897</v>
      </c>
      <c r="AD1726">
        <v>-1.1098744165379999</v>
      </c>
      <c r="AE1726">
        <v>-2.9558</v>
      </c>
      <c r="AF1726">
        <v>-4.3487799448944102</v>
      </c>
      <c r="AG1726">
        <v>-1.1098744165379999</v>
      </c>
      <c r="AH1726">
        <v>34.009649645830102</v>
      </c>
      <c r="AI1726">
        <v>91.854047870421596</v>
      </c>
      <c r="AJ1726">
        <v>97.286811521522395</v>
      </c>
      <c r="AK1726">
        <v>34.304518321377302</v>
      </c>
      <c r="AL1726">
        <v>90.162658518991805</v>
      </c>
      <c r="AM1726">
        <v>86.186379660108301</v>
      </c>
      <c r="AN1726">
        <v>1.0000000354229801</v>
      </c>
    </row>
    <row r="1727" spans="1:40" x14ac:dyDescent="0.25">
      <c r="A1727" t="str">
        <f>"20190312160948238"</f>
        <v>20190312160948238</v>
      </c>
      <c r="B1727" t="str">
        <f>"1552378188227333"</f>
        <v>1552378188227333</v>
      </c>
      <c r="C1727" t="s">
        <v>40</v>
      </c>
      <c r="D1727">
        <v>5.6020839999999996</v>
      </c>
      <c r="E1727">
        <v>0.42536109999999999</v>
      </c>
      <c r="F1727" t="s">
        <v>74</v>
      </c>
      <c r="G1727">
        <v>-305.37880000000001</v>
      </c>
      <c r="H1727" s="1">
        <v>3.2384779999999998E-6</v>
      </c>
      <c r="I1727">
        <v>282.00850000000003</v>
      </c>
      <c r="J1727">
        <v>-275.30189999999999</v>
      </c>
      <c r="K1727">
        <v>1.1099239999999999</v>
      </c>
      <c r="L1727">
        <v>284.71969999999999</v>
      </c>
      <c r="M1727">
        <v>-0.99913050000000003</v>
      </c>
      <c r="N1727">
        <v>0</v>
      </c>
      <c r="O1727">
        <v>4.0480259999999997E-2</v>
      </c>
      <c r="P1727">
        <v>-0.99395109999999998</v>
      </c>
      <c r="Q1727">
        <v>-1.33503999999999E-2</v>
      </c>
      <c r="R1727">
        <v>0.1090088</v>
      </c>
      <c r="S1727">
        <v>-3.0454409999999998</v>
      </c>
      <c r="T1727">
        <v>-0.1112744</v>
      </c>
      <c r="U1727">
        <v>-0.27062989999999998</v>
      </c>
      <c r="V1727">
        <v>6.8684579999999995E-2</v>
      </c>
      <c r="W1727">
        <v>-3.3533959999999998E-3</v>
      </c>
      <c r="X1727">
        <v>0.99763279999999999</v>
      </c>
      <c r="Y1727">
        <v>-0.12865389999999999</v>
      </c>
      <c r="Z1727">
        <v>-3.8210840000000002E-3</v>
      </c>
      <c r="AA1727">
        <v>0.99168219999999996</v>
      </c>
      <c r="AB1727">
        <v>28</v>
      </c>
      <c r="AC1727">
        <v>-30.076899999999998</v>
      </c>
      <c r="AD1727">
        <v>-1.1099207615219999</v>
      </c>
      <c r="AE1727">
        <v>-2.7111999999999599</v>
      </c>
      <c r="AF1727">
        <v>-3.9212618882838002</v>
      </c>
      <c r="AG1727">
        <v>-1.1099207615219999</v>
      </c>
      <c r="AH1727">
        <v>29.902096238748101</v>
      </c>
      <c r="AI1727">
        <v>92.107727713446394</v>
      </c>
      <c r="AJ1727">
        <v>97.470947903861997</v>
      </c>
      <c r="AK1727">
        <v>30.178528432723699</v>
      </c>
      <c r="AL1727">
        <v>90.192135795977407</v>
      </c>
      <c r="AM1727">
        <v>86.061540516656294</v>
      </c>
      <c r="AN1727">
        <v>1.00000001021517</v>
      </c>
    </row>
    <row r="1728" spans="1:40" x14ac:dyDescent="0.25">
      <c r="A1728" t="str">
        <f>"20190312160948270"</f>
        <v>20190312160948270</v>
      </c>
      <c r="B1728" t="str">
        <f>"1552378188267350"</f>
        <v>1552378188267350</v>
      </c>
      <c r="C1728" t="s">
        <v>40</v>
      </c>
      <c r="D1728">
        <v>5.5877509999999999</v>
      </c>
      <c r="E1728">
        <v>0.42478719999999998</v>
      </c>
      <c r="F1728" t="s">
        <v>74</v>
      </c>
      <c r="G1728">
        <v>-304.45030000000003</v>
      </c>
      <c r="H1728" s="1">
        <v>3.3890059999999998E-6</v>
      </c>
      <c r="I1728">
        <v>282.17039999999997</v>
      </c>
      <c r="J1728">
        <v>-275.71249999999998</v>
      </c>
      <c r="K1728">
        <v>1.109982</v>
      </c>
      <c r="L1728">
        <v>284.7355</v>
      </c>
      <c r="M1728">
        <v>-0.9991603</v>
      </c>
      <c r="N1728">
        <v>0</v>
      </c>
      <c r="O1728">
        <v>3.9738919999999997E-2</v>
      </c>
      <c r="P1728">
        <v>-0.99393279999999995</v>
      </c>
      <c r="Q1728">
        <v>-1.4689860000000001E-2</v>
      </c>
      <c r="R1728">
        <v>0.109003</v>
      </c>
      <c r="S1728">
        <v>-3.0459290000000001</v>
      </c>
      <c r="T1728">
        <v>-0.1159834</v>
      </c>
      <c r="U1728">
        <v>-0.26638790000000001</v>
      </c>
      <c r="V1728">
        <v>6.9421220000000006E-2</v>
      </c>
      <c r="W1728">
        <v>-4.6815059999999898E-3</v>
      </c>
      <c r="X1728">
        <v>0.99757649999999998</v>
      </c>
      <c r="Y1728">
        <v>-0.12652579999999999</v>
      </c>
      <c r="Z1728">
        <v>-3.9136689999999998E-3</v>
      </c>
      <c r="AA1728">
        <v>0.99195560000000005</v>
      </c>
      <c r="AB1728">
        <v>28</v>
      </c>
      <c r="AC1728">
        <v>-28.7378</v>
      </c>
      <c r="AD1728">
        <v>-1.109978610994</v>
      </c>
      <c r="AE1728">
        <v>-2.5651000000000201</v>
      </c>
      <c r="AF1728">
        <v>-3.6996638999662701</v>
      </c>
      <c r="AG1728">
        <v>-1.109978610994</v>
      </c>
      <c r="AH1728">
        <v>28.570872030073598</v>
      </c>
      <c r="AI1728">
        <v>92.206419499244802</v>
      </c>
      <c r="AJ1728">
        <v>97.378217796463403</v>
      </c>
      <c r="AK1728">
        <v>28.830787260295601</v>
      </c>
      <c r="AL1728">
        <v>90.2682315025273</v>
      </c>
      <c r="AM1728">
        <v>86.019211801848598</v>
      </c>
      <c r="AN1728">
        <v>1.0000000478184801</v>
      </c>
    </row>
    <row r="1729" spans="1:40" x14ac:dyDescent="0.25">
      <c r="A1729" t="str">
        <f>"20190312160948292"</f>
        <v>20190312160948292</v>
      </c>
      <c r="B1729" t="str">
        <f>"1552378188286870"</f>
        <v>1552378188286870</v>
      </c>
      <c r="C1729" t="s">
        <v>40</v>
      </c>
      <c r="D1729">
        <v>5.5825180000000003</v>
      </c>
      <c r="E1729">
        <v>0.42454550000000002</v>
      </c>
      <c r="F1729" t="s">
        <v>74</v>
      </c>
      <c r="G1729">
        <v>-302.69690000000003</v>
      </c>
      <c r="H1729" s="1">
        <v>3.6857640000000002E-6</v>
      </c>
      <c r="I1729">
        <v>282.3338</v>
      </c>
      <c r="J1729">
        <v>-275.99860000000001</v>
      </c>
      <c r="K1729">
        <v>1.1100179999999999</v>
      </c>
      <c r="L1729">
        <v>284.74630000000002</v>
      </c>
      <c r="M1729">
        <v>-0.99918320000000005</v>
      </c>
      <c r="N1729">
        <v>0</v>
      </c>
      <c r="O1729">
        <v>3.915859E-2</v>
      </c>
      <c r="P1729">
        <v>-0.99400999999999995</v>
      </c>
      <c r="Q1729">
        <v>-1.560594E-2</v>
      </c>
      <c r="R1729">
        <v>0.1081708</v>
      </c>
      <c r="S1729">
        <v>-3.0461429999999998</v>
      </c>
      <c r="T1729">
        <v>-0.12529999999999999</v>
      </c>
      <c r="U1729">
        <v>-0.27111819999999998</v>
      </c>
      <c r="V1729">
        <v>6.9167640000000002E-2</v>
      </c>
      <c r="W1729">
        <v>-5.5894739999999997E-3</v>
      </c>
      <c r="X1729">
        <v>0.99758939999999996</v>
      </c>
      <c r="Y1729">
        <v>-0.1274518</v>
      </c>
      <c r="Z1729">
        <v>-4.2223979999999996E-3</v>
      </c>
      <c r="AA1729">
        <v>0.99183580000000005</v>
      </c>
      <c r="AB1729">
        <v>29</v>
      </c>
      <c r="AC1729">
        <v>-26.6983</v>
      </c>
      <c r="AD1729">
        <v>-1.1100143142359999</v>
      </c>
      <c r="AE1729">
        <v>-2.4125000000000201</v>
      </c>
      <c r="AF1729">
        <v>-3.45025352495878</v>
      </c>
      <c r="AG1729">
        <v>-1.1100143142359999</v>
      </c>
      <c r="AH1729">
        <v>26.537844477511001</v>
      </c>
      <c r="AI1729">
        <v>92.3751818591345</v>
      </c>
      <c r="AJ1729">
        <v>97.407620710395307</v>
      </c>
      <c r="AK1729">
        <v>26.784203752899899</v>
      </c>
      <c r="AL1729">
        <v>90.320254934988398</v>
      </c>
      <c r="AM1729">
        <v>86.033757350693605</v>
      </c>
      <c r="AN1729">
        <v>1.0000000078175599</v>
      </c>
    </row>
    <row r="1730" spans="1:40" x14ac:dyDescent="0.25">
      <c r="A1730" t="str">
        <f>"20190312160948316"</f>
        <v>20190312160948316</v>
      </c>
      <c r="B1730" t="str">
        <f>"1552378188307366"</f>
        <v>1552378188307366</v>
      </c>
      <c r="C1730" t="s">
        <v>40</v>
      </c>
      <c r="D1730">
        <v>5.618773</v>
      </c>
      <c r="E1730">
        <v>0.42436109999999999</v>
      </c>
      <c r="F1730" t="s">
        <v>74</v>
      </c>
      <c r="G1730">
        <v>-301.74669999999998</v>
      </c>
      <c r="H1730" s="1">
        <v>3.8472040000000003E-6</v>
      </c>
      <c r="I1730">
        <v>282.4151</v>
      </c>
      <c r="J1730">
        <v>-276.29340000000002</v>
      </c>
      <c r="K1730">
        <v>1.110052</v>
      </c>
      <c r="L1730">
        <v>284.75709999999998</v>
      </c>
      <c r="M1730">
        <v>-0.99920810000000004</v>
      </c>
      <c r="N1730">
        <v>0</v>
      </c>
      <c r="O1730">
        <v>3.8520180000000001E-2</v>
      </c>
      <c r="P1730">
        <v>-0.99418629999999997</v>
      </c>
      <c r="Q1730">
        <v>-1.561369E-2</v>
      </c>
      <c r="R1730">
        <v>0.1065344</v>
      </c>
      <c r="S1730">
        <v>-3.0460820000000002</v>
      </c>
      <c r="T1730">
        <v>-0.13131799999999999</v>
      </c>
      <c r="U1730">
        <v>-0.27578740000000002</v>
      </c>
      <c r="V1730">
        <v>6.816316E-2</v>
      </c>
      <c r="W1730">
        <v>-5.5899799999999996E-3</v>
      </c>
      <c r="X1730">
        <v>0.99765859999999995</v>
      </c>
      <c r="Y1730">
        <v>-0.12831400000000001</v>
      </c>
      <c r="Z1730">
        <v>-4.4158849999999996E-3</v>
      </c>
      <c r="AA1730">
        <v>0.99172380000000004</v>
      </c>
      <c r="AB1730">
        <v>29</v>
      </c>
      <c r="AC1730">
        <v>-25.453299999999899</v>
      </c>
      <c r="AD1730">
        <v>-1.110048152796</v>
      </c>
      <c r="AE1730">
        <v>-2.3419999999999801</v>
      </c>
      <c r="AF1730">
        <v>-3.3145249771717098</v>
      </c>
      <c r="AG1730">
        <v>-1.110048152796</v>
      </c>
      <c r="AH1730">
        <v>25.296480179619099</v>
      </c>
      <c r="AI1730">
        <v>92.491346644869793</v>
      </c>
      <c r="AJ1730">
        <v>97.464776195434197</v>
      </c>
      <c r="AK1730">
        <v>25.5368399024563</v>
      </c>
      <c r="AL1730">
        <v>90.320283906162501</v>
      </c>
      <c r="AM1730">
        <v>86.0914471274791</v>
      </c>
      <c r="AN1730">
        <v>1.0000000732057699</v>
      </c>
    </row>
    <row r="1731" spans="1:40" x14ac:dyDescent="0.25">
      <c r="A1731" t="str">
        <f>"20190312160948337"</f>
        <v>20190312160948337</v>
      </c>
      <c r="B1731" t="str">
        <f>"1552378188326889"</f>
        <v>1552378188326889</v>
      </c>
      <c r="C1731" t="s">
        <v>40</v>
      </c>
      <c r="D1731">
        <v>5.5620059999999896</v>
      </c>
      <c r="E1731">
        <v>0.42424620000000002</v>
      </c>
      <c r="F1731" t="s">
        <v>74</v>
      </c>
      <c r="G1731">
        <v>-301.70179999999999</v>
      </c>
      <c r="H1731" s="1">
        <v>3.8562859999999999E-6</v>
      </c>
      <c r="I1731">
        <v>282.40219999999999</v>
      </c>
      <c r="J1731">
        <v>-276.57920000000001</v>
      </c>
      <c r="K1731">
        <v>1.11007099999999</v>
      </c>
      <c r="L1731">
        <v>284.76749999999998</v>
      </c>
      <c r="M1731">
        <v>-0.99923309999999999</v>
      </c>
      <c r="N1731">
        <v>0</v>
      </c>
      <c r="O1731">
        <v>3.7867940000000003E-2</v>
      </c>
      <c r="P1731">
        <v>-0.99442430000000004</v>
      </c>
      <c r="Q1731">
        <v>-1.547247E-2</v>
      </c>
      <c r="R1731">
        <v>0.1043109</v>
      </c>
      <c r="S1731">
        <v>-3.0457459999999998</v>
      </c>
      <c r="T1731">
        <v>-0.13306319999999999</v>
      </c>
      <c r="U1731">
        <v>-0.28228760000000003</v>
      </c>
      <c r="V1731">
        <v>6.6583660000000003E-2</v>
      </c>
      <c r="W1731">
        <v>-5.4428310000000004E-3</v>
      </c>
      <c r="X1731">
        <v>0.99776600000000004</v>
      </c>
      <c r="Y1731">
        <v>-0.12977040000000001</v>
      </c>
      <c r="Z1731">
        <v>-4.47789E-3</v>
      </c>
      <c r="AA1731">
        <v>0.99153389999999997</v>
      </c>
      <c r="AB1731">
        <v>29</v>
      </c>
      <c r="AC1731">
        <v>-25.122599999999899</v>
      </c>
      <c r="AD1731">
        <v>-1.11006714371399</v>
      </c>
      <c r="AE1731">
        <v>-2.3652999999999902</v>
      </c>
      <c r="AF1731">
        <v>-3.3085887008472898</v>
      </c>
      <c r="AG1731">
        <v>-1.11006714371399</v>
      </c>
      <c r="AH1731">
        <v>24.966688872134998</v>
      </c>
      <c r="AI1731">
        <v>92.523768849709498</v>
      </c>
      <c r="AJ1731">
        <v>97.548858887855701</v>
      </c>
      <c r="AK1731">
        <v>25.209414144182599</v>
      </c>
      <c r="AL1731">
        <v>90.311852784822904</v>
      </c>
      <c r="AM1731">
        <v>86.182156156286794</v>
      </c>
      <c r="AN1731">
        <v>0.99999999947214502</v>
      </c>
    </row>
    <row r="1732" spans="1:40" x14ac:dyDescent="0.25">
      <c r="A1732" t="str">
        <f>"20190312160948358"</f>
        <v>20190312160948358</v>
      </c>
      <c r="B1732" t="str">
        <f>"1552378188347385"</f>
        <v>1552378188347385</v>
      </c>
      <c r="C1732" t="s">
        <v>40</v>
      </c>
      <c r="D1732">
        <v>5.5744239999999996</v>
      </c>
      <c r="E1732">
        <v>0.42416350000000003</v>
      </c>
      <c r="F1732" t="s">
        <v>74</v>
      </c>
      <c r="G1732">
        <v>-301.5609</v>
      </c>
      <c r="H1732" s="1">
        <v>3.8823790000000004E-6</v>
      </c>
      <c r="I1732">
        <v>282.38979999999998</v>
      </c>
      <c r="J1732">
        <v>-276.84559999999999</v>
      </c>
      <c r="K1732">
        <v>1.1100909999999999</v>
      </c>
      <c r="L1732">
        <v>284.77690000000001</v>
      </c>
      <c r="M1732">
        <v>-0.99925679999999995</v>
      </c>
      <c r="N1732">
        <v>0</v>
      </c>
      <c r="O1732">
        <v>3.7235219999999999E-2</v>
      </c>
      <c r="P1732">
        <v>-0.99463089999999998</v>
      </c>
      <c r="Q1732">
        <v>-1.5419759999999999E-2</v>
      </c>
      <c r="R1732">
        <v>0.10233200000000001</v>
      </c>
      <c r="S1732">
        <v>-3.0451350000000001</v>
      </c>
      <c r="T1732">
        <v>-0.1353114</v>
      </c>
      <c r="U1732">
        <v>-0.28982540000000001</v>
      </c>
      <c r="V1732">
        <v>6.5230289999999996E-2</v>
      </c>
      <c r="W1732">
        <v>-5.3849249999999996E-3</v>
      </c>
      <c r="X1732">
        <v>0.99785570000000001</v>
      </c>
      <c r="Y1732">
        <v>-0.13158699999999901</v>
      </c>
      <c r="Z1732">
        <v>-4.5660730000000004E-3</v>
      </c>
      <c r="AA1732">
        <v>0.99129409999999896</v>
      </c>
      <c r="AB1732">
        <v>29</v>
      </c>
      <c r="AC1732">
        <v>-24.715299999999999</v>
      </c>
      <c r="AD1732">
        <v>-1.1100871176210001</v>
      </c>
      <c r="AE1732">
        <v>-2.38710000000003</v>
      </c>
      <c r="AF1732">
        <v>-3.2991757216138802</v>
      </c>
      <c r="AG1732">
        <v>-1.1100871176210001</v>
      </c>
      <c r="AH1732">
        <v>24.560181648161301</v>
      </c>
      <c r="AI1732">
        <v>92.564923789202695</v>
      </c>
      <c r="AJ1732">
        <v>97.650758298356095</v>
      </c>
      <c r="AK1732">
        <v>24.8056319500526</v>
      </c>
      <c r="AL1732">
        <v>90.308534968759304</v>
      </c>
      <c r="AM1732">
        <v>86.259869820128003</v>
      </c>
      <c r="AN1732">
        <v>0.99999999308661403</v>
      </c>
    </row>
    <row r="1733" spans="1:40" x14ac:dyDescent="0.25">
      <c r="A1733" t="str">
        <f>"20190312160948380"</f>
        <v>20190312160948380</v>
      </c>
      <c r="B1733" t="str">
        <f>"1552378188366902"</f>
        <v>1552378188366902</v>
      </c>
      <c r="C1733" t="s">
        <v>40</v>
      </c>
      <c r="D1733">
        <v>5.6117319999999999</v>
      </c>
      <c r="E1733">
        <v>0.42398340000000001</v>
      </c>
      <c r="F1733" t="s">
        <v>74</v>
      </c>
      <c r="G1733">
        <v>-301.14030000000002</v>
      </c>
      <c r="H1733" s="1">
        <v>3.9552940000000003E-6</v>
      </c>
      <c r="I1733">
        <v>282.40910000000002</v>
      </c>
      <c r="J1733">
        <v>-277.12520000000001</v>
      </c>
      <c r="K1733">
        <v>1.110109</v>
      </c>
      <c r="L1733">
        <v>284.78660000000002</v>
      </c>
      <c r="M1733">
        <v>-0.99928189999999995</v>
      </c>
      <c r="N1733">
        <v>0</v>
      </c>
      <c r="O1733">
        <v>3.6553660000000002E-2</v>
      </c>
      <c r="P1733">
        <v>-0.99485279999999998</v>
      </c>
      <c r="Q1733">
        <v>-1.514195E-2</v>
      </c>
      <c r="R1733">
        <v>0.1001944</v>
      </c>
      <c r="S1733">
        <v>-3.044556</v>
      </c>
      <c r="T1733">
        <v>-0.13911379999999901</v>
      </c>
      <c r="U1733">
        <v>-0.2967224</v>
      </c>
      <c r="V1733">
        <v>6.3766489999999995E-2</v>
      </c>
      <c r="W1733">
        <v>-5.1018599999999997E-3</v>
      </c>
      <c r="X1733">
        <v>0.99795180000000006</v>
      </c>
      <c r="Y1733">
        <v>-0.13314319999999999</v>
      </c>
      <c r="Z1733">
        <v>-4.6990390000000003E-3</v>
      </c>
      <c r="AA1733">
        <v>0.99108560000000001</v>
      </c>
      <c r="AB1733">
        <v>29</v>
      </c>
      <c r="AC1733">
        <v>-24.0151</v>
      </c>
      <c r="AD1733">
        <v>-1.1101050447059999</v>
      </c>
      <c r="AE1733">
        <v>-2.3774999999999902</v>
      </c>
      <c r="AF1733">
        <v>-3.24692380566897</v>
      </c>
      <c r="AG1733">
        <v>-1.1101050447059999</v>
      </c>
      <c r="AH1733">
        <v>23.8616461003691</v>
      </c>
      <c r="AI1733">
        <v>92.639338373533306</v>
      </c>
      <c r="AJ1733">
        <v>97.748812511454105</v>
      </c>
      <c r="AK1733">
        <v>24.107115174349701</v>
      </c>
      <c r="AL1733">
        <v>90.292316315348899</v>
      </c>
      <c r="AM1733">
        <v>86.343921050462001</v>
      </c>
      <c r="AN1733">
        <v>0.99999999467280898</v>
      </c>
    </row>
    <row r="1734" spans="1:40" x14ac:dyDescent="0.25">
      <c r="A1734" t="str">
        <f>"20190312160948404"</f>
        <v>20190312160948404</v>
      </c>
      <c r="B1734" t="str">
        <f>"1552378188397159"</f>
        <v>1552378188397159</v>
      </c>
      <c r="C1734" t="s">
        <v>40</v>
      </c>
      <c r="D1734">
        <v>5.5901389999999997</v>
      </c>
      <c r="E1734">
        <v>0.42381580000000002</v>
      </c>
      <c r="F1734" t="s">
        <v>74</v>
      </c>
      <c r="G1734">
        <v>-301.63479999999998</v>
      </c>
      <c r="H1734" s="1">
        <v>3.8741379999999997E-6</v>
      </c>
      <c r="I1734">
        <v>282.33409999999998</v>
      </c>
      <c r="J1734">
        <v>-277.43490000000003</v>
      </c>
      <c r="K1734">
        <v>1.1101319999999999</v>
      </c>
      <c r="L1734">
        <v>284.7971</v>
      </c>
      <c r="M1734">
        <v>-0.99930960000000002</v>
      </c>
      <c r="N1734">
        <v>0</v>
      </c>
      <c r="O1734">
        <v>3.5784199999999898E-2</v>
      </c>
      <c r="P1734">
        <v>-0.99505049999999995</v>
      </c>
      <c r="Q1734">
        <v>-1.46091E-2</v>
      </c>
      <c r="R1734">
        <v>9.8291299999999998E-2</v>
      </c>
      <c r="S1734">
        <v>-3.044098</v>
      </c>
      <c r="T1734">
        <v>-0.13787530000000001</v>
      </c>
      <c r="U1734">
        <v>-0.30459589999999998</v>
      </c>
      <c r="V1734">
        <v>6.2625319999999998E-2</v>
      </c>
      <c r="W1734">
        <v>-4.562661E-3</v>
      </c>
      <c r="X1734">
        <v>0.99802670000000004</v>
      </c>
      <c r="Y1734">
        <v>-0.1349349</v>
      </c>
      <c r="Z1734">
        <v>-4.6630680000000002E-3</v>
      </c>
      <c r="AA1734">
        <v>0.99084349999999999</v>
      </c>
      <c r="AB1734">
        <v>29</v>
      </c>
      <c r="AC1734">
        <v>-24.1998999999999</v>
      </c>
      <c r="AD1734">
        <v>-1.1101281258619999</v>
      </c>
      <c r="AE1734">
        <v>-2.4630000000000201</v>
      </c>
      <c r="AF1734">
        <v>-3.32052375128898</v>
      </c>
      <c r="AG1734">
        <v>-1.1101281258619999</v>
      </c>
      <c r="AH1734">
        <v>24.046175603326901</v>
      </c>
      <c r="AI1734">
        <v>92.618457295808994</v>
      </c>
      <c r="AJ1734">
        <v>97.8622215684194</v>
      </c>
      <c r="AK1734">
        <v>24.2997288788319</v>
      </c>
      <c r="AL1734">
        <v>90.2614221201421</v>
      </c>
      <c r="AM1734">
        <v>86.409446554223194</v>
      </c>
      <c r="AN1734">
        <v>1.00000002124669</v>
      </c>
    </row>
    <row r="1735" spans="1:40" x14ac:dyDescent="0.25">
      <c r="A1735" t="str">
        <f>"20190312160948427"</f>
        <v>20190312160948427</v>
      </c>
      <c r="B1735" t="str">
        <f>"1552378188417653"</f>
        <v>1552378188417653</v>
      </c>
      <c r="C1735" t="s">
        <v>40</v>
      </c>
      <c r="D1735">
        <v>5.5327149999999996</v>
      </c>
      <c r="E1735">
        <v>0.42398259999999999</v>
      </c>
      <c r="F1735" t="s">
        <v>74</v>
      </c>
      <c r="G1735">
        <v>-302.09910000000002</v>
      </c>
      <c r="H1735" s="1">
        <v>3.7972740000000002E-6</v>
      </c>
      <c r="I1735">
        <v>282.27109999999999</v>
      </c>
      <c r="J1735">
        <v>-277.73039999999997</v>
      </c>
      <c r="K1735">
        <v>1.110141</v>
      </c>
      <c r="L1735">
        <v>284.80689999999998</v>
      </c>
      <c r="M1735">
        <v>-0.99933609999999995</v>
      </c>
      <c r="N1735">
        <v>0</v>
      </c>
      <c r="O1735">
        <v>3.5039140000000003E-2</v>
      </c>
      <c r="P1735">
        <v>-0.99516559999999998</v>
      </c>
      <c r="Q1735">
        <v>-1.3979220000000001E-2</v>
      </c>
      <c r="R1735">
        <v>9.7211549999999994E-2</v>
      </c>
      <c r="S1735">
        <v>-3.0436709999999998</v>
      </c>
      <c r="T1735">
        <v>-0.13699449999999999</v>
      </c>
      <c r="U1735">
        <v>-0.3117065</v>
      </c>
      <c r="V1735">
        <v>6.2285479999999997E-2</v>
      </c>
      <c r="W1735">
        <v>-3.9260179999999999E-3</v>
      </c>
      <c r="X1735">
        <v>0.99805060000000001</v>
      </c>
      <c r="Y1735">
        <v>-0.1365025</v>
      </c>
      <c r="Z1735">
        <v>-4.6351489999999999E-3</v>
      </c>
      <c r="AA1735">
        <v>0.99062890000000003</v>
      </c>
      <c r="AB1735">
        <v>29</v>
      </c>
      <c r="AC1735">
        <v>-24.3687</v>
      </c>
      <c r="AD1735">
        <v>-1.1101372027259999</v>
      </c>
      <c r="AE1735">
        <v>-2.5357999999999898</v>
      </c>
      <c r="AF1735">
        <v>-3.3812015757680598</v>
      </c>
      <c r="AG1735">
        <v>-1.1101372027259999</v>
      </c>
      <c r="AH1735">
        <v>24.215161739246501</v>
      </c>
      <c r="AI1735">
        <v>92.599685250845994</v>
      </c>
      <c r="AJ1735">
        <v>97.948906872967001</v>
      </c>
      <c r="AK1735">
        <v>24.4752729660513</v>
      </c>
      <c r="AL1735">
        <v>90.224944851396401</v>
      </c>
      <c r="AM1735">
        <v>86.428965640796207</v>
      </c>
      <c r="AN1735">
        <v>0.99999994739826203</v>
      </c>
    </row>
    <row r="1736" spans="1:40" x14ac:dyDescent="0.25">
      <c r="A1736" t="str">
        <f>"20190312160948448"</f>
        <v>20190312160948448</v>
      </c>
      <c r="B1736" t="str">
        <f>"1552378188437173"</f>
        <v>1552378188437173</v>
      </c>
      <c r="C1736" t="s">
        <v>40</v>
      </c>
      <c r="D1736">
        <v>5.5648989999999996</v>
      </c>
      <c r="E1736">
        <v>0.47102660000000002</v>
      </c>
      <c r="F1736" t="s">
        <v>74</v>
      </c>
      <c r="G1736">
        <v>-303.06610000000001</v>
      </c>
      <c r="H1736" s="1">
        <v>3.6323489999999998E-6</v>
      </c>
      <c r="I1736">
        <v>282.19569999999999</v>
      </c>
      <c r="J1736">
        <v>-278.00970000000001</v>
      </c>
      <c r="K1736">
        <v>1.1101570000000001</v>
      </c>
      <c r="L1736">
        <v>284.8159</v>
      </c>
      <c r="M1736">
        <v>-0.99936069999999999</v>
      </c>
      <c r="N1736">
        <v>0</v>
      </c>
      <c r="O1736">
        <v>3.4329039999999998E-2</v>
      </c>
      <c r="P1736">
        <v>-0.99522659999999996</v>
      </c>
      <c r="Q1736">
        <v>-1.3857899999999999E-2</v>
      </c>
      <c r="R1736">
        <v>9.6603739999999994E-2</v>
      </c>
      <c r="S1736">
        <v>-3.0433349999999999</v>
      </c>
      <c r="T1736">
        <v>-0.13335039999999901</v>
      </c>
      <c r="U1736">
        <v>-0.31365969999999999</v>
      </c>
      <c r="V1736">
        <v>6.2384990000000001E-2</v>
      </c>
      <c r="W1736">
        <v>-3.7977509999999998E-3</v>
      </c>
      <c r="X1736">
        <v>0.99804490000000001</v>
      </c>
      <c r="Y1736">
        <v>-0.1364486</v>
      </c>
      <c r="Z1736">
        <v>-4.4801110000000002E-3</v>
      </c>
      <c r="AA1736">
        <v>0.99063699999999999</v>
      </c>
      <c r="AB1736">
        <v>29</v>
      </c>
      <c r="AC1736">
        <v>-25.0564</v>
      </c>
      <c r="AD1736">
        <v>-1.110153367651</v>
      </c>
      <c r="AE1736">
        <v>-2.6202000000000099</v>
      </c>
      <c r="AF1736">
        <v>-3.47211833299093</v>
      </c>
      <c r="AG1736">
        <v>-1.110153367651</v>
      </c>
      <c r="AH1736">
        <v>24.9033191203578</v>
      </c>
      <c r="AI1736">
        <v>92.528050770443102</v>
      </c>
      <c r="AJ1736">
        <v>97.937235294507104</v>
      </c>
      <c r="AK1736">
        <v>25.1686978095486</v>
      </c>
      <c r="AL1736">
        <v>90.217595634369104</v>
      </c>
      <c r="AM1736">
        <v>86.423254825026007</v>
      </c>
      <c r="AN1736">
        <v>0.99999996615298303</v>
      </c>
    </row>
    <row r="1737" spans="1:40" x14ac:dyDescent="0.25">
      <c r="A1737" t="str">
        <f>"20190312160948470"</f>
        <v>20190312160948470</v>
      </c>
      <c r="B1737" t="str">
        <f>"1552378188466803"</f>
        <v>1552378188466803</v>
      </c>
      <c r="C1737" t="s">
        <v>40</v>
      </c>
      <c r="D1737">
        <v>5.4968589999999997</v>
      </c>
      <c r="E1737">
        <v>0.48008640000000002</v>
      </c>
      <c r="F1737" t="s">
        <v>74</v>
      </c>
      <c r="G1737">
        <v>-308.60050000000001</v>
      </c>
      <c r="H1737" s="1">
        <v>2.3696210000000001E-6</v>
      </c>
      <c r="I1737">
        <v>285.4101</v>
      </c>
      <c r="J1737">
        <v>-278.28969999999998</v>
      </c>
      <c r="K1737">
        <v>1.1101650000000001</v>
      </c>
      <c r="L1737">
        <v>284.82479999999998</v>
      </c>
      <c r="M1737">
        <v>-0.99938510000000003</v>
      </c>
      <c r="N1737">
        <v>0</v>
      </c>
      <c r="O1737">
        <v>3.3609769999999997E-2</v>
      </c>
      <c r="P1737">
        <v>-0.99524159999999995</v>
      </c>
      <c r="Q1737">
        <v>-1.3522640000000001E-2</v>
      </c>
      <c r="R1737">
        <v>9.6495230000000001E-2</v>
      </c>
      <c r="S1737">
        <v>-3.0072329999999998</v>
      </c>
      <c r="T1737">
        <v>-0.10913399999999999</v>
      </c>
      <c r="U1737">
        <v>5.841064E-2</v>
      </c>
      <c r="V1737">
        <v>6.2993770000000004E-2</v>
      </c>
      <c r="W1737">
        <v>-3.4548700000000001E-3</v>
      </c>
      <c r="X1737">
        <v>0.99800800000000001</v>
      </c>
      <c r="Y1737">
        <v>-1.4164929999999999E-2</v>
      </c>
      <c r="Z1737">
        <v>-1.4759059999999999E-3</v>
      </c>
      <c r="AA1737">
        <v>0.99989859999999997</v>
      </c>
      <c r="AB1737">
        <v>29</v>
      </c>
      <c r="AC1737">
        <v>-30.3108</v>
      </c>
      <c r="AD1737">
        <v>-1.110162630379</v>
      </c>
      <c r="AE1737">
        <v>0.58530000000001703</v>
      </c>
      <c r="AF1737">
        <v>-0.43323960891700097</v>
      </c>
      <c r="AG1737">
        <v>-1.110162630379</v>
      </c>
      <c r="AH1737">
        <v>30.272751828010499</v>
      </c>
      <c r="AI1737">
        <v>92.099995358100301</v>
      </c>
      <c r="AJ1737">
        <v>90.819915771125594</v>
      </c>
      <c r="AK1737">
        <v>30.296198785737801</v>
      </c>
      <c r="AL1737">
        <v>90.197949851757301</v>
      </c>
      <c r="AM1737">
        <v>86.388310138232299</v>
      </c>
      <c r="AN1737">
        <v>1.00000005962476</v>
      </c>
    </row>
    <row r="1738" spans="1:40" x14ac:dyDescent="0.25">
      <c r="A1738" t="str">
        <f>"20190312160948494"</f>
        <v>20190312160948494</v>
      </c>
      <c r="B1738" t="str">
        <f>"1552378188487299"</f>
        <v>1552378188487299</v>
      </c>
      <c r="C1738" t="s">
        <v>40</v>
      </c>
      <c r="D1738">
        <v>5.5993839999999997</v>
      </c>
      <c r="E1738">
        <v>0.48141030000000001</v>
      </c>
      <c r="F1738" t="s">
        <v>74</v>
      </c>
      <c r="G1738">
        <v>-304.13479999999998</v>
      </c>
      <c r="H1738" s="1">
        <v>3.1152569999999999E-6</v>
      </c>
      <c r="I1738">
        <v>285.94209999999998</v>
      </c>
      <c r="J1738">
        <v>-278.5872</v>
      </c>
      <c r="K1738">
        <v>1.110177</v>
      </c>
      <c r="L1738">
        <v>284.834</v>
      </c>
      <c r="M1738">
        <v>-0.99941069999999999</v>
      </c>
      <c r="N1738">
        <v>0</v>
      </c>
      <c r="O1738">
        <v>3.28332E-2</v>
      </c>
      <c r="P1738">
        <v>-0.99526789999999998</v>
      </c>
      <c r="Q1738">
        <v>-1.319319E-2</v>
      </c>
      <c r="R1738">
        <v>9.6270220000000004E-2</v>
      </c>
      <c r="S1738">
        <v>-3.0000610000000001</v>
      </c>
      <c r="T1738">
        <v>-0.12886600000000001</v>
      </c>
      <c r="U1738">
        <v>0.1296997</v>
      </c>
      <c r="V1738">
        <v>6.3543189999999999E-2</v>
      </c>
      <c r="W1738">
        <v>-3.1168279999999999E-3</v>
      </c>
      <c r="X1738">
        <v>0.99797420000000003</v>
      </c>
      <c r="Y1738">
        <v>1.0385170000000001E-2</v>
      </c>
      <c r="Z1738">
        <v>-1.1858179999999999E-3</v>
      </c>
      <c r="AA1738">
        <v>0.99994530000000004</v>
      </c>
      <c r="AB1738">
        <v>29</v>
      </c>
      <c r="AC1738">
        <v>-25.5475999999999</v>
      </c>
      <c r="AD1738">
        <v>-1.1101738847430001</v>
      </c>
      <c r="AE1738">
        <v>1.1080999999999701</v>
      </c>
      <c r="AF1738">
        <v>0.26814559950664402</v>
      </c>
      <c r="AG1738">
        <v>-1.1101738847430001</v>
      </c>
      <c r="AH1738">
        <v>25.522104707481301</v>
      </c>
      <c r="AI1738">
        <v>92.490574440012395</v>
      </c>
      <c r="AJ1738">
        <v>89.398049414091105</v>
      </c>
      <c r="AK1738">
        <v>25.547646013215001</v>
      </c>
      <c r="AL1738">
        <v>90.178581382985996</v>
      </c>
      <c r="AM1738">
        <v>86.3567710627065</v>
      </c>
      <c r="AN1738">
        <v>0.99999997773889804</v>
      </c>
    </row>
    <row r="1739" spans="1:40" x14ac:dyDescent="0.25">
      <c r="A1739" t="str">
        <f>"20190312160948516"</f>
        <v>20190312160948516</v>
      </c>
      <c r="B1739" t="str">
        <f>"1552378188506822"</f>
        <v>1552378188506822</v>
      </c>
      <c r="C1739" t="s">
        <v>40</v>
      </c>
      <c r="D1739">
        <v>5.4789659999999998</v>
      </c>
      <c r="E1739">
        <v>0.4821764</v>
      </c>
      <c r="F1739" t="s">
        <v>74</v>
      </c>
      <c r="G1739">
        <v>-305.31240000000003</v>
      </c>
      <c r="H1739" s="1">
        <v>2.8945669999999999E-6</v>
      </c>
      <c r="I1739">
        <v>286.077</v>
      </c>
      <c r="J1739">
        <v>-278.88780000000003</v>
      </c>
      <c r="K1739">
        <v>1.1101909999999999</v>
      </c>
      <c r="L1739">
        <v>284.84300000000002</v>
      </c>
      <c r="M1739">
        <v>-0.99943669999999996</v>
      </c>
      <c r="N1739">
        <v>0</v>
      </c>
      <c r="O1739">
        <v>3.2032739999999997E-2</v>
      </c>
      <c r="P1739">
        <v>-0.99533020000000005</v>
      </c>
      <c r="Q1739">
        <v>-1.335679E-2</v>
      </c>
      <c r="R1739">
        <v>9.5601480000000003E-2</v>
      </c>
      <c r="S1739">
        <v>-2.9991150000000002</v>
      </c>
      <c r="T1739">
        <v>-0.1245843</v>
      </c>
      <c r="U1739">
        <v>0.139495799999999</v>
      </c>
      <c r="V1739">
        <v>6.3672389999999995E-2</v>
      </c>
      <c r="W1739">
        <v>-3.2709589999999999E-3</v>
      </c>
      <c r="X1739">
        <v>0.99796549999999995</v>
      </c>
      <c r="Y1739">
        <v>1.445364E-2</v>
      </c>
      <c r="Z1739">
        <v>-1.029096E-3</v>
      </c>
      <c r="AA1739">
        <v>0.99989499999999998</v>
      </c>
      <c r="AB1739">
        <v>29</v>
      </c>
      <c r="AC1739">
        <v>-26.424600000000002</v>
      </c>
      <c r="AD1739">
        <v>-1.1101881054329901</v>
      </c>
      <c r="AE1739">
        <v>1.23399999999998</v>
      </c>
      <c r="AF1739">
        <v>0.38619173188407302</v>
      </c>
      <c r="AG1739">
        <v>-1.1101881054329901</v>
      </c>
      <c r="AH1739">
        <v>26.404063305492102</v>
      </c>
      <c r="AI1739">
        <v>92.407389227617799</v>
      </c>
      <c r="AJ1739">
        <v>89.162038872379597</v>
      </c>
      <c r="AK1739">
        <v>26.430214163408799</v>
      </c>
      <c r="AL1739">
        <v>90.187412478766305</v>
      </c>
      <c r="AM1739">
        <v>86.349351693756304</v>
      </c>
      <c r="AN1739">
        <v>1.0000000058056699</v>
      </c>
    </row>
    <row r="1740" spans="1:40" x14ac:dyDescent="0.25">
      <c r="A1740" t="str">
        <f>"20190312160948538"</f>
        <v>20190312160948538</v>
      </c>
      <c r="B1740" t="str">
        <f>"1552378188527317"</f>
        <v>1552378188527317</v>
      </c>
      <c r="C1740" t="s">
        <v>40</v>
      </c>
      <c r="D1740">
        <v>5.597213</v>
      </c>
      <c r="E1740">
        <v>0.48241010000000001</v>
      </c>
      <c r="F1740" t="s">
        <v>74</v>
      </c>
      <c r="G1740">
        <v>-305.8168</v>
      </c>
      <c r="H1740" s="1">
        <v>2.7999620000000001E-6</v>
      </c>
      <c r="I1740">
        <v>286.13569999999999</v>
      </c>
      <c r="J1740">
        <v>-279.16390000000001</v>
      </c>
      <c r="K1740">
        <v>1.110209</v>
      </c>
      <c r="L1740">
        <v>284.851</v>
      </c>
      <c r="M1740">
        <v>-0.99946040000000003</v>
      </c>
      <c r="N1740">
        <v>0</v>
      </c>
      <c r="O1740">
        <v>3.128011E-2</v>
      </c>
      <c r="P1740">
        <v>-0.99533039999999995</v>
      </c>
      <c r="Q1740">
        <v>-1.410117E-2</v>
      </c>
      <c r="R1740">
        <v>9.5492629999999995E-2</v>
      </c>
      <c r="S1740">
        <v>-2.9986269999999999</v>
      </c>
      <c r="T1740">
        <v>-0.1236225</v>
      </c>
      <c r="U1740">
        <v>0.14395139999999901</v>
      </c>
      <c r="V1740">
        <v>6.4316150000000002E-2</v>
      </c>
      <c r="W1740">
        <v>-4.0053570000000002E-3</v>
      </c>
      <c r="X1740">
        <v>0.99792150000000002</v>
      </c>
      <c r="Y1740">
        <v>1.669375E-2</v>
      </c>
      <c r="Z1740">
        <v>-9.4417519999999997E-4</v>
      </c>
      <c r="AA1740">
        <v>0.99986019999999998</v>
      </c>
      <c r="AB1740">
        <v>29</v>
      </c>
      <c r="AC1740">
        <v>-26.652899999999899</v>
      </c>
      <c r="AD1740">
        <v>-1.110206200038</v>
      </c>
      <c r="AE1740">
        <v>1.28469999999998</v>
      </c>
      <c r="AF1740">
        <v>0.44954556573135201</v>
      </c>
      <c r="AG1740">
        <v>-1.110206200038</v>
      </c>
      <c r="AH1740">
        <v>26.6339390965767</v>
      </c>
      <c r="AI1740">
        <v>92.386589630547704</v>
      </c>
      <c r="AJ1740">
        <v>89.033015057725194</v>
      </c>
      <c r="AK1740">
        <v>26.660858216164499</v>
      </c>
      <c r="AL1740">
        <v>90.229490673170801</v>
      </c>
      <c r="AM1740">
        <v>86.312380987738905</v>
      </c>
      <c r="AN1740">
        <v>0.999999965098884</v>
      </c>
    </row>
    <row r="1741" spans="1:40" x14ac:dyDescent="0.25">
      <c r="A1741" t="str">
        <f>"20190312160948559"</f>
        <v>20190312160948559</v>
      </c>
      <c r="B1741" t="str">
        <f>"1552378188546835"</f>
        <v>1552378188546835</v>
      </c>
      <c r="C1741" t="s">
        <v>40</v>
      </c>
      <c r="D1741">
        <v>5.5262180000000001</v>
      </c>
      <c r="E1741">
        <v>0.48274860000000003</v>
      </c>
      <c r="F1741" t="s">
        <v>74</v>
      </c>
      <c r="G1741">
        <v>-305.90039999999999</v>
      </c>
      <c r="H1741" s="1">
        <v>2.784285E-6</v>
      </c>
      <c r="I1741">
        <v>286.14550000000003</v>
      </c>
      <c r="J1741">
        <v>-279.4418</v>
      </c>
      <c r="K1741">
        <v>1.1102179999999999</v>
      </c>
      <c r="L1741">
        <v>284.85890000000001</v>
      </c>
      <c r="M1741">
        <v>-0.9994845</v>
      </c>
      <c r="N1741">
        <v>0</v>
      </c>
      <c r="O1741">
        <v>3.0502169999999999E-2</v>
      </c>
      <c r="P1741">
        <v>-0.99537909999999996</v>
      </c>
      <c r="Q1741">
        <v>-1.464554E-2</v>
      </c>
      <c r="R1741">
        <v>9.4901109999999997E-2</v>
      </c>
      <c r="S1741">
        <v>-2.998383</v>
      </c>
      <c r="T1741">
        <v>-0.1245048</v>
      </c>
      <c r="U1741">
        <v>0.1451721</v>
      </c>
      <c r="V1741">
        <v>6.4501080000000002E-2</v>
      </c>
      <c r="W1741">
        <v>-4.5394789999999999E-3</v>
      </c>
      <c r="X1741">
        <v>0.99790730000000005</v>
      </c>
      <c r="Y1741">
        <v>1.7880489999999999E-2</v>
      </c>
      <c r="Z1741">
        <v>-8.9411119999999904E-4</v>
      </c>
      <c r="AA1741">
        <v>0.9998397</v>
      </c>
      <c r="AB1741">
        <v>29</v>
      </c>
      <c r="AC1741">
        <v>-26.458599999999901</v>
      </c>
      <c r="AD1741">
        <v>-1.110215215715</v>
      </c>
      <c r="AE1741">
        <v>1.2866000000000199</v>
      </c>
      <c r="AF1741">
        <v>0.47807631907225001</v>
      </c>
      <c r="AG1741">
        <v>-1.110215215715</v>
      </c>
      <c r="AH1741">
        <v>26.439092663973</v>
      </c>
      <c r="AI1741">
        <v>92.404126357515494</v>
      </c>
      <c r="AJ1741">
        <v>88.964080540919397</v>
      </c>
      <c r="AK1741">
        <v>26.466710329888201</v>
      </c>
      <c r="AL1741">
        <v>90.260093884355499</v>
      </c>
      <c r="AM1741">
        <v>86.301754779504094</v>
      </c>
      <c r="AN1741">
        <v>0.99999998779202304</v>
      </c>
    </row>
    <row r="1742" spans="1:40" x14ac:dyDescent="0.25">
      <c r="A1742" t="str">
        <f>"20190312160948581"</f>
        <v>20190312160948581</v>
      </c>
      <c r="B1742" t="str">
        <f>"1552378188577090"</f>
        <v>1552378188577090</v>
      </c>
      <c r="C1742" t="s">
        <v>40</v>
      </c>
      <c r="D1742">
        <v>5.4739990000000001</v>
      </c>
      <c r="E1742">
        <v>0.48328330000000003</v>
      </c>
      <c r="F1742" t="s">
        <v>74</v>
      </c>
      <c r="G1742">
        <v>-305.76850000000002</v>
      </c>
      <c r="H1742" s="1">
        <v>2.8079470000000001E-6</v>
      </c>
      <c r="I1742">
        <v>286.14249999999998</v>
      </c>
      <c r="J1742">
        <v>-279.72800000000001</v>
      </c>
      <c r="K1742">
        <v>1.110233</v>
      </c>
      <c r="L1742">
        <v>284.86680000000001</v>
      </c>
      <c r="M1742">
        <v>-0.99950919999999999</v>
      </c>
      <c r="N1742">
        <v>0</v>
      </c>
      <c r="O1742">
        <v>2.967788E-2</v>
      </c>
      <c r="P1742">
        <v>-0.99543610000000005</v>
      </c>
      <c r="Q1742">
        <v>-1.485124E-2</v>
      </c>
      <c r="R1742">
        <v>9.4269919999999993E-2</v>
      </c>
      <c r="S1742">
        <v>-2.998138</v>
      </c>
      <c r="T1742">
        <v>-0.12643380000000001</v>
      </c>
      <c r="U1742">
        <v>0.14617920000000001</v>
      </c>
      <c r="V1742">
        <v>6.4692E-2</v>
      </c>
      <c r="W1742">
        <v>-4.7341579999999996E-3</v>
      </c>
      <c r="X1742">
        <v>0.99789399999999995</v>
      </c>
      <c r="Y1742">
        <v>1.904262E-2</v>
      </c>
      <c r="Z1742">
        <v>-8.4883649999999903E-4</v>
      </c>
      <c r="AA1742">
        <v>0.99981830000000005</v>
      </c>
      <c r="AB1742">
        <v>29</v>
      </c>
      <c r="AC1742">
        <v>-26.040500000000002</v>
      </c>
      <c r="AD1742">
        <v>-1.110230192053</v>
      </c>
      <c r="AE1742">
        <v>1.2756999999999701</v>
      </c>
      <c r="AF1742">
        <v>0.50136315599636905</v>
      </c>
      <c r="AG1742">
        <v>-1.110230192053</v>
      </c>
      <c r="AH1742">
        <v>26.019707010849199</v>
      </c>
      <c r="AI1742">
        <v>92.442808369135307</v>
      </c>
      <c r="AJ1742">
        <v>88.896127519600199</v>
      </c>
      <c r="AK1742">
        <v>26.048207789096899</v>
      </c>
      <c r="AL1742">
        <v>90.271248299412207</v>
      </c>
      <c r="AM1742">
        <v>86.290789372532203</v>
      </c>
      <c r="AN1742">
        <v>0.99999995117598295</v>
      </c>
    </row>
    <row r="1743" spans="1:40" x14ac:dyDescent="0.25">
      <c r="A1743" t="str">
        <f>"20190312160948605"</f>
        <v>20190312160948605</v>
      </c>
      <c r="B1743" t="str">
        <f>"1552378188597586"</f>
        <v>1552378188597586</v>
      </c>
      <c r="C1743" t="s">
        <v>40</v>
      </c>
      <c r="D1743">
        <v>5.4137430000000002</v>
      </c>
      <c r="E1743">
        <v>0.4834329</v>
      </c>
      <c r="F1743" t="s">
        <v>74</v>
      </c>
      <c r="G1743">
        <v>-305.24079999999998</v>
      </c>
      <c r="H1743" s="1">
        <v>2.9026489999999998E-6</v>
      </c>
      <c r="I1743">
        <v>286.12979999999999</v>
      </c>
      <c r="J1743">
        <v>-280.03640000000001</v>
      </c>
      <c r="K1743">
        <v>1.110255</v>
      </c>
      <c r="L1743">
        <v>284.875</v>
      </c>
      <c r="M1743">
        <v>-0.99953579999999997</v>
      </c>
      <c r="N1743">
        <v>0</v>
      </c>
      <c r="O1743">
        <v>2.8761459999999999E-2</v>
      </c>
      <c r="P1743">
        <v>-0.99553729999999996</v>
      </c>
      <c r="Q1743">
        <v>-1.496136E-2</v>
      </c>
      <c r="R1743">
        <v>9.3176049999999996E-2</v>
      </c>
      <c r="S1743">
        <v>-2.9977420000000001</v>
      </c>
      <c r="T1743">
        <v>-0.13045109999999999</v>
      </c>
      <c r="U1743">
        <v>0.14840699999999901</v>
      </c>
      <c r="V1743">
        <v>6.4510810000000002E-2</v>
      </c>
      <c r="W1743">
        <v>-4.8323609999999899E-3</v>
      </c>
      <c r="X1743">
        <v>0.9979053</v>
      </c>
      <c r="Y1743">
        <v>2.070512E-2</v>
      </c>
      <c r="Z1743">
        <v>-7.9993339999999999E-4</v>
      </c>
      <c r="AA1743">
        <v>0.99978529999999999</v>
      </c>
      <c r="AB1743">
        <v>29</v>
      </c>
      <c r="AC1743">
        <v>-25.2043999999999</v>
      </c>
      <c r="AD1743">
        <v>-1.1102520973509999</v>
      </c>
      <c r="AE1743">
        <v>1.2547999999999799</v>
      </c>
      <c r="AF1743">
        <v>0.52830631221319402</v>
      </c>
      <c r="AG1743">
        <v>-1.1102520973509999</v>
      </c>
      <c r="AH1743">
        <v>25.181322736855599</v>
      </c>
      <c r="AI1743">
        <v>92.523998428815105</v>
      </c>
      <c r="AJ1743">
        <v>88.798105951193406</v>
      </c>
      <c r="AK1743">
        <v>25.2113224971813</v>
      </c>
      <c r="AL1743">
        <v>90.276874970177701</v>
      </c>
      <c r="AM1743">
        <v>86.301191054543494</v>
      </c>
      <c r="AN1743">
        <v>0.99999999204389001</v>
      </c>
    </row>
    <row r="1744" spans="1:40" x14ac:dyDescent="0.25">
      <c r="A1744" t="str">
        <f>"20190312160948627"</f>
        <v>20190312160948627</v>
      </c>
      <c r="B1744" t="str">
        <f>"1552378188617106"</f>
        <v>1552378188617106</v>
      </c>
      <c r="C1744" t="s">
        <v>40</v>
      </c>
      <c r="D1744">
        <v>5.5015609999999997</v>
      </c>
      <c r="E1744">
        <v>0.48360429999999999</v>
      </c>
      <c r="F1744" t="s">
        <v>74</v>
      </c>
      <c r="G1744">
        <v>-305.76560000000001</v>
      </c>
      <c r="H1744" s="1">
        <v>2.809454E-6</v>
      </c>
      <c r="I1744">
        <v>286.1311</v>
      </c>
      <c r="J1744">
        <v>-280.32100000000003</v>
      </c>
      <c r="K1744">
        <v>1.110274</v>
      </c>
      <c r="L1744">
        <v>284.88220000000001</v>
      </c>
      <c r="M1744">
        <v>-0.99956040000000002</v>
      </c>
      <c r="N1744">
        <v>0</v>
      </c>
      <c r="O1744">
        <v>2.7893020000000001E-2</v>
      </c>
      <c r="P1744">
        <v>-0.99561650000000002</v>
      </c>
      <c r="Q1744">
        <v>-1.508812E-2</v>
      </c>
      <c r="R1744">
        <v>9.2306479999999996E-2</v>
      </c>
      <c r="S1744">
        <v>-2.9978030000000002</v>
      </c>
      <c r="T1744">
        <v>-0.12935969999999999</v>
      </c>
      <c r="U1744">
        <v>0.146362299999999</v>
      </c>
      <c r="V1744">
        <v>6.4506750000000002E-2</v>
      </c>
      <c r="W1744">
        <v>-4.9483569999999996E-3</v>
      </c>
      <c r="X1744">
        <v>0.99790500000000004</v>
      </c>
      <c r="Y1744">
        <v>2.0891380000000001E-2</v>
      </c>
      <c r="Z1744">
        <v>-7.518205E-4</v>
      </c>
      <c r="AA1744">
        <v>0.99978149999999999</v>
      </c>
      <c r="AB1744">
        <v>29</v>
      </c>
      <c r="AC1744">
        <v>-25.444600000000001</v>
      </c>
      <c r="AD1744">
        <v>-1.1102711905460001</v>
      </c>
      <c r="AE1744">
        <v>1.2488999999999899</v>
      </c>
      <c r="AF1744">
        <v>0.53763025805427</v>
      </c>
      <c r="AG1744">
        <v>-1.1102711905460001</v>
      </c>
      <c r="AH1744">
        <v>25.4212504878545</v>
      </c>
      <c r="AI1744">
        <v>92.500241175671107</v>
      </c>
      <c r="AJ1744">
        <v>88.788440664184805</v>
      </c>
      <c r="AK1744">
        <v>25.4511635250174</v>
      </c>
      <c r="AL1744">
        <v>90.283521129251795</v>
      </c>
      <c r="AM1744">
        <v>86.301422084806504</v>
      </c>
      <c r="AN1744">
        <v>0.99999999802878003</v>
      </c>
    </row>
    <row r="1745" spans="1:40" x14ac:dyDescent="0.25">
      <c r="A1745" t="str">
        <f>"20190312160949006"</f>
        <v>20190312160949006</v>
      </c>
      <c r="B1745" t="str">
        <f>"1552378188997746"</f>
        <v>1552378188997746</v>
      </c>
      <c r="C1745" t="s">
        <v>40</v>
      </c>
      <c r="D1745">
        <v>5.582192</v>
      </c>
      <c r="E1745">
        <v>0.37809039999999999</v>
      </c>
      <c r="F1745" t="s">
        <v>74</v>
      </c>
      <c r="G1745">
        <v>-305.81189999999998</v>
      </c>
      <c r="H1745" s="1">
        <v>2.8027790000000001E-6</v>
      </c>
      <c r="I1745">
        <v>286.11349999999999</v>
      </c>
      <c r="J1745">
        <v>-285.32</v>
      </c>
      <c r="K1745">
        <v>1.1103369999999999</v>
      </c>
      <c r="L1745">
        <v>284.9674</v>
      </c>
      <c r="M1745">
        <v>-0.99987630000000005</v>
      </c>
      <c r="N1745">
        <v>0</v>
      </c>
      <c r="O1745">
        <v>1.197283E-2</v>
      </c>
      <c r="P1745">
        <v>-0.99735439999999997</v>
      </c>
      <c r="Q1745">
        <v>-1.5596519999999999E-2</v>
      </c>
      <c r="R1745">
        <v>7.1002079999999995E-2</v>
      </c>
      <c r="S1745">
        <v>-2.9977719999999999</v>
      </c>
      <c r="T1745">
        <v>-0.13056969999999901</v>
      </c>
      <c r="U1745">
        <v>0.14480589999999999</v>
      </c>
      <c r="V1745">
        <v>5.9064980000000003E-2</v>
      </c>
      <c r="W1745">
        <v>-5.3087589999999997E-3</v>
      </c>
      <c r="X1745">
        <v>0.99824000000000002</v>
      </c>
      <c r="Y1745">
        <v>3.6262309999999999E-2</v>
      </c>
      <c r="Z1745">
        <v>2.679661E-4</v>
      </c>
      <c r="AA1745">
        <v>0.99934230000000002</v>
      </c>
      <c r="AB1745">
        <v>30</v>
      </c>
      <c r="AC1745">
        <v>-20.491899999999902</v>
      </c>
      <c r="AD1745">
        <v>-1.1103341972209999</v>
      </c>
      <c r="AE1745">
        <v>1.1460999999999899</v>
      </c>
      <c r="AF1745">
        <v>0.89803072687460395</v>
      </c>
      <c r="AG1745">
        <v>-1.1103341972209999</v>
      </c>
      <c r="AH1745">
        <v>20.444318285819801</v>
      </c>
      <c r="AI1745">
        <v>93.105700040519196</v>
      </c>
      <c r="AJ1745">
        <v>87.484860314120596</v>
      </c>
      <c r="AK1745">
        <v>20.4941321208739</v>
      </c>
      <c r="AL1745">
        <v>90.304170921142699</v>
      </c>
      <c r="AM1745">
        <v>86.613807268202095</v>
      </c>
      <c r="AN1745">
        <v>0.999999976192259</v>
      </c>
    </row>
    <row r="1746" spans="1:40" x14ac:dyDescent="0.25">
      <c r="A1746" t="str">
        <f>"20190312160949028"</f>
        <v>20190312160949028</v>
      </c>
      <c r="B1746" t="str">
        <f>"1552378189017270"</f>
        <v>1552378189017270</v>
      </c>
      <c r="C1746" t="s">
        <v>40</v>
      </c>
      <c r="D1746">
        <v>5.6355829999999996</v>
      </c>
      <c r="E1746">
        <v>0.38083879999999998</v>
      </c>
      <c r="F1746" t="s">
        <v>72</v>
      </c>
      <c r="G1746">
        <v>-351.48700000000002</v>
      </c>
      <c r="H1746">
        <v>13.175789999999999</v>
      </c>
      <c r="I1746">
        <v>268.83960000000002</v>
      </c>
      <c r="J1746">
        <v>-285.608</v>
      </c>
      <c r="K1746">
        <v>1.1103379999999901</v>
      </c>
      <c r="L1746">
        <v>284.9699</v>
      </c>
      <c r="M1746">
        <v>-0.99988679999999996</v>
      </c>
      <c r="N1746">
        <v>0</v>
      </c>
      <c r="O1746">
        <v>1.105445E-2</v>
      </c>
      <c r="P1746">
        <v>-0.99743029999999999</v>
      </c>
      <c r="Q1746">
        <v>-1.550965E-2</v>
      </c>
      <c r="R1746">
        <v>6.9947629999999997E-2</v>
      </c>
      <c r="S1746">
        <v>-3.0699770000000002</v>
      </c>
      <c r="T1746">
        <v>0.55980889999999905</v>
      </c>
      <c r="U1746">
        <v>-0.74829100000000004</v>
      </c>
      <c r="V1746">
        <v>5.8926300000000001E-2</v>
      </c>
      <c r="W1746">
        <v>-5.2135139999999998E-3</v>
      </c>
      <c r="X1746">
        <v>0.99824869999999999</v>
      </c>
      <c r="Y1746">
        <v>-0.24357000000000001</v>
      </c>
      <c r="Z1746">
        <v>2.3687380000000001E-2</v>
      </c>
      <c r="AA1746">
        <v>0.96959399999999996</v>
      </c>
      <c r="AB1746">
        <v>30</v>
      </c>
      <c r="AC1746">
        <v>-65.878999999999905</v>
      </c>
      <c r="AD1746">
        <v>12.065452000000001</v>
      </c>
      <c r="AE1746">
        <v>-16.130299999999899</v>
      </c>
      <c r="AF1746">
        <v>-16.3405097980915</v>
      </c>
      <c r="AG1746">
        <v>12.065452000000001</v>
      </c>
      <c r="AH1746">
        <v>63.681441948592898</v>
      </c>
      <c r="AI1746">
        <v>79.600775952170295</v>
      </c>
      <c r="AJ1746">
        <v>104.391469858398</v>
      </c>
      <c r="AK1746">
        <v>66.842452386771598</v>
      </c>
      <c r="AL1746">
        <v>90.2987137083325</v>
      </c>
      <c r="AM1746">
        <v>86.621768725424403</v>
      </c>
      <c r="AN1746">
        <v>0.99999997830580301</v>
      </c>
    </row>
    <row r="1747" spans="1:40" x14ac:dyDescent="0.25">
      <c r="A1747" t="str">
        <f>"20190312160949353"</f>
        <v>20190312160949353</v>
      </c>
      <c r="B1747" t="str">
        <f>"1552378189347155"</f>
        <v>1552378189347155</v>
      </c>
      <c r="C1747" t="s">
        <v>40</v>
      </c>
      <c r="D1747">
        <v>5.9520289999999996</v>
      </c>
      <c r="E1747">
        <v>0.44318980000000002</v>
      </c>
      <c r="F1747" t="s">
        <v>72</v>
      </c>
      <c r="G1747">
        <v>-355.03809999999999</v>
      </c>
      <c r="H1747">
        <v>12.652799999999999</v>
      </c>
      <c r="I1747">
        <v>268.43779999999998</v>
      </c>
      <c r="J1747">
        <v>-289.94779999999997</v>
      </c>
      <c r="K1747">
        <v>1.110333</v>
      </c>
      <c r="L1747">
        <v>284.97550000000001</v>
      </c>
      <c r="M1747">
        <v>-0.99994300000000003</v>
      </c>
      <c r="N1747">
        <v>0</v>
      </c>
      <c r="O1747">
        <v>-2.7393399999999998E-3</v>
      </c>
      <c r="P1747">
        <v>-0.99800809999999995</v>
      </c>
      <c r="Q1747">
        <v>-2.1296809999999999E-2</v>
      </c>
      <c r="R1747">
        <v>5.9383279999999997E-2</v>
      </c>
      <c r="S1747">
        <v>-3.0668639999999998</v>
      </c>
      <c r="T1747">
        <v>0.50985619999999998</v>
      </c>
      <c r="U1747">
        <v>-0.73025509999999905</v>
      </c>
      <c r="V1747">
        <v>6.2137289999999998E-2</v>
      </c>
      <c r="W1747">
        <v>-1.087599E-2</v>
      </c>
      <c r="X1747">
        <v>0.99800840000000002</v>
      </c>
      <c r="Y1747">
        <v>-0.2260682</v>
      </c>
      <c r="Z1747">
        <v>1.7965060000000001E-2</v>
      </c>
      <c r="AA1747">
        <v>0.97394579999999997</v>
      </c>
      <c r="AB1747">
        <v>30</v>
      </c>
      <c r="AC1747">
        <v>-65.090299999999999</v>
      </c>
      <c r="AD1747">
        <v>11.542466999999901</v>
      </c>
      <c r="AE1747">
        <v>-16.537700000000001</v>
      </c>
      <c r="AF1747">
        <v>-15.889949068767701</v>
      </c>
      <c r="AG1747">
        <v>11.542466999999901</v>
      </c>
      <c r="AH1747">
        <v>63.266523883675703</v>
      </c>
      <c r="AI1747">
        <v>79.965588142079199</v>
      </c>
      <c r="AJ1747">
        <v>104.098719340665</v>
      </c>
      <c r="AK1747">
        <v>66.244789003949805</v>
      </c>
      <c r="AL1747">
        <v>90.623160580705303</v>
      </c>
      <c r="AM1747">
        <v>86.437289708276097</v>
      </c>
      <c r="AN1747">
        <v>1.0000000482187901</v>
      </c>
    </row>
    <row r="1748" spans="1:40" x14ac:dyDescent="0.25">
      <c r="A1748" t="str">
        <f>"20190312160949375"</f>
        <v>20190312160949375</v>
      </c>
      <c r="B1748" t="str">
        <f>"1552378189367652"</f>
        <v>1552378189367652</v>
      </c>
      <c r="C1748" t="s">
        <v>40</v>
      </c>
      <c r="D1748">
        <v>5.3661440000000002</v>
      </c>
      <c r="E1748">
        <v>0.4487601</v>
      </c>
      <c r="F1748" t="s">
        <v>75</v>
      </c>
      <c r="G1748">
        <v>-512.83259999999996</v>
      </c>
      <c r="H1748">
        <v>22.313140000000001</v>
      </c>
      <c r="I1748">
        <v>265.17259999999999</v>
      </c>
      <c r="J1748">
        <v>-290.25580000000002</v>
      </c>
      <c r="K1748">
        <v>1.110333</v>
      </c>
      <c r="L1748">
        <v>284.97359999999998</v>
      </c>
      <c r="M1748">
        <v>-0.99993980000000005</v>
      </c>
      <c r="N1748">
        <v>0</v>
      </c>
      <c r="O1748">
        <v>-3.7108169999999999E-3</v>
      </c>
      <c r="P1748">
        <v>-0.99804499999999996</v>
      </c>
      <c r="Q1748">
        <v>-2.128029E-2</v>
      </c>
      <c r="R1748">
        <v>5.8765930000000001E-2</v>
      </c>
      <c r="S1748">
        <v>-3.0281370000000001</v>
      </c>
      <c r="T1748">
        <v>0.2880645</v>
      </c>
      <c r="U1748">
        <v>-0.26904299999999998</v>
      </c>
      <c r="V1748">
        <v>6.2489450000000002E-2</v>
      </c>
      <c r="W1748">
        <v>-1.085066E-2</v>
      </c>
      <c r="X1748">
        <v>0.99798659999999995</v>
      </c>
      <c r="Y1748">
        <v>-8.4440429999999997E-2</v>
      </c>
      <c r="Z1748">
        <v>3.6479799999999999E-3</v>
      </c>
      <c r="AA1748">
        <v>0.99642189999999997</v>
      </c>
      <c r="AB1748">
        <v>30</v>
      </c>
      <c r="AC1748">
        <v>-222.57679999999999</v>
      </c>
      <c r="AD1748">
        <v>21.202807</v>
      </c>
      <c r="AE1748">
        <v>-19.800999999999899</v>
      </c>
      <c r="AF1748">
        <v>-18.8055650799974</v>
      </c>
      <c r="AG1748">
        <v>21.202807</v>
      </c>
      <c r="AH1748">
        <v>220.66205523040301</v>
      </c>
      <c r="AI1748">
        <v>84.531160367521196</v>
      </c>
      <c r="AJ1748">
        <v>94.871169318279001</v>
      </c>
      <c r="AK1748">
        <v>222.47460736264401</v>
      </c>
      <c r="AL1748">
        <v>90.621709247275504</v>
      </c>
      <c r="AM1748">
        <v>86.417072613086503</v>
      </c>
      <c r="AN1748">
        <v>0.99999996098164801</v>
      </c>
    </row>
    <row r="1749" spans="1:40" x14ac:dyDescent="0.25">
      <c r="A1749" t="str">
        <f>"20190312160949397"</f>
        <v>20190312160949397</v>
      </c>
      <c r="B1749" t="str">
        <f>"1552378189387171"</f>
        <v>1552378189387171</v>
      </c>
      <c r="C1749" t="s">
        <v>40</v>
      </c>
      <c r="D1749">
        <v>5.6328100000000001</v>
      </c>
      <c r="E1749">
        <v>0.45438879999999998</v>
      </c>
      <c r="F1749" t="s">
        <v>75</v>
      </c>
      <c r="G1749">
        <v>-512.83019999999999</v>
      </c>
      <c r="H1749">
        <v>15.16677</v>
      </c>
      <c r="I1749">
        <v>268.19569999999999</v>
      </c>
      <c r="J1749">
        <v>-290.5616</v>
      </c>
      <c r="K1749">
        <v>1.110328</v>
      </c>
      <c r="L1749">
        <v>284.97140000000002</v>
      </c>
      <c r="M1749">
        <v>-0.99993569999999998</v>
      </c>
      <c r="N1749">
        <v>0</v>
      </c>
      <c r="O1749">
        <v>-4.6753840000000003E-3</v>
      </c>
      <c r="P1749">
        <v>-0.99810909999999997</v>
      </c>
      <c r="Q1749">
        <v>-2.1522019999999999E-2</v>
      </c>
      <c r="R1749">
        <v>5.7579129999999999E-2</v>
      </c>
      <c r="S1749">
        <v>-3.0233759999999998</v>
      </c>
      <c r="T1749">
        <v>0.19093869999999999</v>
      </c>
      <c r="U1749">
        <v>-0.22790530000000001</v>
      </c>
      <c r="V1749">
        <v>6.2265870000000001E-2</v>
      </c>
      <c r="W1749">
        <v>-1.108433E-2</v>
      </c>
      <c r="X1749">
        <v>0.9979981</v>
      </c>
      <c r="Y1749">
        <v>-7.0374409999999998E-2</v>
      </c>
      <c r="Z1749">
        <v>1.9223090000000001E-3</v>
      </c>
      <c r="AA1749">
        <v>0.99751880000000004</v>
      </c>
      <c r="AB1749">
        <v>30</v>
      </c>
      <c r="AC1749">
        <v>-222.26859999999999</v>
      </c>
      <c r="AD1749">
        <v>14.056442000000001</v>
      </c>
      <c r="AE1749">
        <v>-16.775700000000001</v>
      </c>
      <c r="AF1749">
        <v>-15.6739388611136</v>
      </c>
      <c r="AG1749">
        <v>14.056442000000001</v>
      </c>
      <c r="AH1749">
        <v>221.46390214795301</v>
      </c>
      <c r="AI1749">
        <v>86.377312767228702</v>
      </c>
      <c r="AJ1749">
        <v>94.048314799240799</v>
      </c>
      <c r="AK1749">
        <v>222.46239204800301</v>
      </c>
      <c r="AL1749">
        <v>90.635098298662001</v>
      </c>
      <c r="AM1749">
        <v>86.429899728831202</v>
      </c>
      <c r="AN1749">
        <v>1.0000000542709999</v>
      </c>
    </row>
    <row r="1750" spans="1:40" x14ac:dyDescent="0.25">
      <c r="A1750" t="str">
        <f>"20190312160949419"</f>
        <v>20190312160949419</v>
      </c>
      <c r="B1750" t="str">
        <f>"1552378189407667"</f>
        <v>1552378189407667</v>
      </c>
      <c r="C1750" t="s">
        <v>40</v>
      </c>
      <c r="D1750">
        <v>4.7993309999999996</v>
      </c>
      <c r="E1750">
        <v>0.4531656</v>
      </c>
      <c r="F1750" t="s">
        <v>75</v>
      </c>
      <c r="G1750">
        <v>-512.82809999999995</v>
      </c>
      <c r="H1750">
        <v>8.8213500000000007</v>
      </c>
      <c r="I1750">
        <v>271.13920000000002</v>
      </c>
      <c r="J1750">
        <v>-290.84879999999998</v>
      </c>
      <c r="K1750">
        <v>1.110331</v>
      </c>
      <c r="L1750">
        <v>284.9692</v>
      </c>
      <c r="M1750">
        <v>-0.99993089999999996</v>
      </c>
      <c r="N1750">
        <v>0</v>
      </c>
      <c r="O1750">
        <v>-5.5803440000000001E-3</v>
      </c>
      <c r="P1750">
        <v>-0.99819119999999995</v>
      </c>
      <c r="Q1750">
        <v>-2.1609960000000001E-2</v>
      </c>
      <c r="R1750">
        <v>5.6102039999999999E-2</v>
      </c>
      <c r="S1750">
        <v>-3.0187680000000001</v>
      </c>
      <c r="T1750">
        <v>0.10473010000000001</v>
      </c>
      <c r="U1750">
        <v>-0.18786620000000001</v>
      </c>
      <c r="V1750">
        <v>6.1692549999999999E-2</v>
      </c>
      <c r="W1750">
        <v>-1.116516E-2</v>
      </c>
      <c r="X1750">
        <v>0.99803269999999999</v>
      </c>
      <c r="Y1750">
        <v>-5.6511220000000001E-2</v>
      </c>
      <c r="Z1750">
        <v>7.8567600000000002E-4</v>
      </c>
      <c r="AA1750">
        <v>0.9984016</v>
      </c>
      <c r="AB1750">
        <v>30</v>
      </c>
      <c r="AC1750">
        <v>-221.97929999999999</v>
      </c>
      <c r="AD1750">
        <v>7.7110190000000003</v>
      </c>
      <c r="AE1750">
        <v>-13.829999999999901</v>
      </c>
      <c r="AF1750">
        <v>-12.5758808622662</v>
      </c>
      <c r="AG1750">
        <v>7.7110190000000003</v>
      </c>
      <c r="AH1750">
        <v>221.78642924144799</v>
      </c>
      <c r="AI1750">
        <v>88.011946592533704</v>
      </c>
      <c r="AJ1750">
        <v>93.245348039607407</v>
      </c>
      <c r="AK1750">
        <v>222.27647826333799</v>
      </c>
      <c r="AL1750">
        <v>90.639729869010793</v>
      </c>
      <c r="AM1750">
        <v>86.462810297775803</v>
      </c>
      <c r="AN1750">
        <v>0.999999950896307</v>
      </c>
    </row>
    <row r="1751" spans="1:40" x14ac:dyDescent="0.25">
      <c r="A1751" t="str">
        <f>"20190312160949441"</f>
        <v>20190312160949441</v>
      </c>
      <c r="B1751" t="str">
        <f>"1552378189436948"</f>
        <v>1552378189436948</v>
      </c>
      <c r="C1751" t="s">
        <v>40</v>
      </c>
      <c r="D1751">
        <v>5.5523819999999997</v>
      </c>
      <c r="E1751">
        <v>0.45617570000000002</v>
      </c>
      <c r="F1751" t="s">
        <v>75</v>
      </c>
      <c r="G1751">
        <v>-511.07580000000002</v>
      </c>
      <c r="H1751">
        <v>6.4622820000000001</v>
      </c>
      <c r="I1751">
        <v>270.19779999999997</v>
      </c>
      <c r="J1751">
        <v>-291.15269999999998</v>
      </c>
      <c r="K1751">
        <v>1.110336</v>
      </c>
      <c r="L1751">
        <v>284.9665</v>
      </c>
      <c r="M1751">
        <v>-0.99992510000000001</v>
      </c>
      <c r="N1751">
        <v>0</v>
      </c>
      <c r="O1751">
        <v>-6.5382359999999898E-3</v>
      </c>
      <c r="P1751">
        <v>-0.99823309999999998</v>
      </c>
      <c r="Q1751">
        <v>-2.2277290000000002E-2</v>
      </c>
      <c r="R1751">
        <v>5.5089449999999998E-2</v>
      </c>
      <c r="S1751">
        <v>-3.018402</v>
      </c>
      <c r="T1751">
        <v>7.3354130000000003E-2</v>
      </c>
      <c r="U1751">
        <v>-0.20245360000000001</v>
      </c>
      <c r="V1751">
        <v>6.1637459999999998E-2</v>
      </c>
      <c r="W1751">
        <v>-1.182443E-2</v>
      </c>
      <c r="X1751">
        <v>0.99802860000000004</v>
      </c>
      <c r="Y1751">
        <v>-6.0381560000000001E-2</v>
      </c>
      <c r="Z1751">
        <v>5.7408280000000001E-4</v>
      </c>
      <c r="AA1751">
        <v>0.99817520000000004</v>
      </c>
      <c r="AB1751">
        <v>30</v>
      </c>
      <c r="AC1751">
        <v>-219.92310000000001</v>
      </c>
      <c r="AD1751">
        <v>5.3519459999999999</v>
      </c>
      <c r="AE1751">
        <v>-14.768700000000001</v>
      </c>
      <c r="AF1751">
        <v>-13.3225437636632</v>
      </c>
      <c r="AG1751">
        <v>5.3519459999999999</v>
      </c>
      <c r="AH1751">
        <v>219.885329683522</v>
      </c>
      <c r="AI1751">
        <v>88.608263585225401</v>
      </c>
      <c r="AJ1751">
        <v>93.4672323643927</v>
      </c>
      <c r="AK1751">
        <v>220.35356068907299</v>
      </c>
      <c r="AL1751">
        <v>90.677505695478203</v>
      </c>
      <c r="AM1751">
        <v>86.465946435021706</v>
      </c>
      <c r="AN1751">
        <v>1.0000000400190101</v>
      </c>
    </row>
    <row r="1752" spans="1:40" x14ac:dyDescent="0.25">
      <c r="A1752" t="str">
        <f>"20190312160949467"</f>
        <v>20190312160949467</v>
      </c>
      <c r="B1752" t="str">
        <f>"1552378189457443"</f>
        <v>1552378189457443</v>
      </c>
      <c r="C1752" t="s">
        <v>40</v>
      </c>
      <c r="D1752">
        <v>5.6361549999999996</v>
      </c>
      <c r="E1752">
        <v>0.45873760000000002</v>
      </c>
      <c r="F1752" t="s">
        <v>75</v>
      </c>
      <c r="G1752">
        <v>-512.82640000000004</v>
      </c>
      <c r="H1752">
        <v>3.6179649999999999</v>
      </c>
      <c r="I1752">
        <v>271.57839999999999</v>
      </c>
      <c r="J1752">
        <v>-291.49849999999998</v>
      </c>
      <c r="K1752">
        <v>1.1103369999999999</v>
      </c>
      <c r="L1752">
        <v>284.96300000000002</v>
      </c>
      <c r="M1752">
        <v>-0.99991719999999895</v>
      </c>
      <c r="N1752">
        <v>0</v>
      </c>
      <c r="O1752">
        <v>-7.6282160000000002E-3</v>
      </c>
      <c r="P1752">
        <v>-0.99831060000000005</v>
      </c>
      <c r="Q1752">
        <v>-2.2302990000000002E-2</v>
      </c>
      <c r="R1752">
        <v>5.3654210000000001E-2</v>
      </c>
      <c r="S1752">
        <v>-3.0161129999999998</v>
      </c>
      <c r="T1752">
        <v>3.4120079999999997E-2</v>
      </c>
      <c r="U1752">
        <v>-0.1821594</v>
      </c>
      <c r="V1752">
        <v>6.1290530000000003E-2</v>
      </c>
      <c r="W1752">
        <v>-1.184121E-2</v>
      </c>
      <c r="X1752">
        <v>0.99804970000000004</v>
      </c>
      <c r="Y1752">
        <v>-5.2666199999999899E-2</v>
      </c>
      <c r="Z1752">
        <v>2.114025E-4</v>
      </c>
      <c r="AA1752">
        <v>0.99861219999999995</v>
      </c>
      <c r="AB1752">
        <v>30</v>
      </c>
      <c r="AC1752">
        <v>-221.3279</v>
      </c>
      <c r="AD1752">
        <v>2.507628</v>
      </c>
      <c r="AE1752">
        <v>-13.384599999999899</v>
      </c>
      <c r="AF1752">
        <v>-11.6942871353819</v>
      </c>
      <c r="AG1752">
        <v>2.507628</v>
      </c>
      <c r="AH1752">
        <v>221.39524949725401</v>
      </c>
      <c r="AI1752">
        <v>89.351971779024097</v>
      </c>
      <c r="AJ1752">
        <v>93.023602354977697</v>
      </c>
      <c r="AK1752">
        <v>221.71806658399001</v>
      </c>
      <c r="AL1752">
        <v>90.678467231070002</v>
      </c>
      <c r="AM1752">
        <v>86.485862177756502</v>
      </c>
      <c r="AN1752">
        <v>0.99999997349601699</v>
      </c>
    </row>
    <row r="1753" spans="1:40" x14ac:dyDescent="0.25">
      <c r="A1753" t="str">
        <f>"20190312160949490"</f>
        <v>20190312160949490</v>
      </c>
      <c r="B1753" t="str">
        <f>"1552378189476963"</f>
        <v>1552378189476963</v>
      </c>
      <c r="C1753" t="s">
        <v>40</v>
      </c>
      <c r="D1753">
        <v>5.6045170000000004</v>
      </c>
      <c r="E1753">
        <v>0.45974039999999999</v>
      </c>
      <c r="F1753" t="s">
        <v>75</v>
      </c>
      <c r="G1753">
        <v>-512.8261</v>
      </c>
      <c r="H1753">
        <v>2.9067750000000001</v>
      </c>
      <c r="I1753">
        <v>272.75619999999998</v>
      </c>
      <c r="J1753">
        <v>-291.8075</v>
      </c>
      <c r="K1753">
        <v>1.110341</v>
      </c>
      <c r="L1753">
        <v>284.9597</v>
      </c>
      <c r="M1753">
        <v>-0.99990919999999905</v>
      </c>
      <c r="N1753">
        <v>0</v>
      </c>
      <c r="O1753">
        <v>-8.6018429999999996E-3</v>
      </c>
      <c r="P1753">
        <v>-0.99839339999999999</v>
      </c>
      <c r="Q1753">
        <v>-2.1768659999999999E-2</v>
      </c>
      <c r="R1753">
        <v>5.2315130000000001E-2</v>
      </c>
      <c r="S1753">
        <v>-3.014526</v>
      </c>
      <c r="T1753">
        <v>2.4468899999999998E-2</v>
      </c>
      <c r="U1753">
        <v>-0.16625980000000001</v>
      </c>
      <c r="V1753">
        <v>6.0922949999999997E-2</v>
      </c>
      <c r="W1753">
        <v>-1.1298890000000001E-2</v>
      </c>
      <c r="X1753">
        <v>0.99807849999999998</v>
      </c>
      <c r="Y1753">
        <v>-4.6476650000000001E-2</v>
      </c>
      <c r="Z1753">
        <v>1.1871309999999999E-4</v>
      </c>
      <c r="AA1753">
        <v>0.99891940000000001</v>
      </c>
      <c r="AB1753">
        <v>30</v>
      </c>
      <c r="AC1753">
        <v>-221.01859999999999</v>
      </c>
      <c r="AD1753">
        <v>1.7964340000000001</v>
      </c>
      <c r="AE1753">
        <v>-12.2035</v>
      </c>
      <c r="AF1753">
        <v>-10.301100412289999</v>
      </c>
      <c r="AG1753">
        <v>1.7964340000000001</v>
      </c>
      <c r="AH1753">
        <v>221.100838026167</v>
      </c>
      <c r="AI1753">
        <v>89.534989094691198</v>
      </c>
      <c r="AJ1753">
        <v>92.667484644942803</v>
      </c>
      <c r="AK1753">
        <v>221.34796231430201</v>
      </c>
      <c r="AL1753">
        <v>90.647392497570294</v>
      </c>
      <c r="AM1753">
        <v>86.506985852906595</v>
      </c>
      <c r="AN1753">
        <v>0.99999998145709201</v>
      </c>
    </row>
    <row r="1754" spans="1:40" x14ac:dyDescent="0.25">
      <c r="A1754" t="str">
        <f>"20190312160949510"</f>
        <v>20190312160949510</v>
      </c>
      <c r="B1754" t="str">
        <f>"1552378189497459"</f>
        <v>1552378189497459</v>
      </c>
      <c r="C1754" t="s">
        <v>40</v>
      </c>
      <c r="D1754">
        <v>5.6734439999999999</v>
      </c>
      <c r="E1754">
        <v>0.46221259999999997</v>
      </c>
      <c r="F1754" t="s">
        <v>75</v>
      </c>
      <c r="G1754">
        <v>-512.8261</v>
      </c>
      <c r="H1754">
        <v>2.9590990000000001</v>
      </c>
      <c r="I1754">
        <v>273.05799999999999</v>
      </c>
      <c r="J1754">
        <v>-292.07850000000002</v>
      </c>
      <c r="K1754">
        <v>1.1103449999999999</v>
      </c>
      <c r="L1754">
        <v>284.95650000000001</v>
      </c>
      <c r="M1754">
        <v>-0.9999015</v>
      </c>
      <c r="N1754">
        <v>0</v>
      </c>
      <c r="O1754">
        <v>-9.4556599999999994E-3</v>
      </c>
      <c r="P1754">
        <v>-0.99850249999999996</v>
      </c>
      <c r="Q1754">
        <v>-2.0517170000000001E-2</v>
      </c>
      <c r="R1754">
        <v>5.0717810000000002E-2</v>
      </c>
      <c r="S1754">
        <v>-3.013855</v>
      </c>
      <c r="T1754">
        <v>2.52111E-2</v>
      </c>
      <c r="U1754">
        <v>-0.16229250000000001</v>
      </c>
      <c r="V1754">
        <v>6.0176540000000001E-2</v>
      </c>
      <c r="W1754">
        <v>-1.0040749999999999E-2</v>
      </c>
      <c r="X1754">
        <v>0.99813719999999995</v>
      </c>
      <c r="Y1754">
        <v>-4.4324799999999998E-2</v>
      </c>
      <c r="Z1754">
        <v>1.062156E-4</v>
      </c>
      <c r="AA1754">
        <v>0.99901719999999905</v>
      </c>
      <c r="AB1754">
        <v>30</v>
      </c>
      <c r="AC1754">
        <v>-220.74760000000001</v>
      </c>
      <c r="AD1754">
        <v>1.848754</v>
      </c>
      <c r="AE1754">
        <v>-11.8985</v>
      </c>
      <c r="AF1754">
        <v>-9.8098554026184601</v>
      </c>
      <c r="AG1754">
        <v>1.848754</v>
      </c>
      <c r="AH1754">
        <v>220.83479997348201</v>
      </c>
      <c r="AI1754">
        <v>89.520822905541294</v>
      </c>
      <c r="AJ1754">
        <v>92.543503312683896</v>
      </c>
      <c r="AK1754">
        <v>221.060308589535</v>
      </c>
      <c r="AL1754">
        <v>90.575302293101203</v>
      </c>
      <c r="AM1754">
        <v>86.5498796275199</v>
      </c>
      <c r="AN1754">
        <v>0.99999995132538499</v>
      </c>
    </row>
    <row r="1755" spans="1:40" x14ac:dyDescent="0.25">
      <c r="A1755" t="str">
        <f>"20190312160949530"</f>
        <v>20190312160949530</v>
      </c>
      <c r="B1755" t="str">
        <f>"1552378189527715"</f>
        <v>1552378189527715</v>
      </c>
      <c r="C1755" t="s">
        <v>40</v>
      </c>
      <c r="D1755">
        <v>5.8024199999999997</v>
      </c>
      <c r="E1755">
        <v>0.4649394</v>
      </c>
      <c r="F1755" t="s">
        <v>51</v>
      </c>
      <c r="G1755">
        <v>-455.29300000000001</v>
      </c>
      <c r="H1755">
        <v>2.0984919999999998</v>
      </c>
      <c r="I1755">
        <v>276.95710000000003</v>
      </c>
      <c r="J1755">
        <v>-292.36680000000001</v>
      </c>
      <c r="K1755">
        <v>1.110349</v>
      </c>
      <c r="L1755">
        <v>284.95280000000002</v>
      </c>
      <c r="M1755">
        <v>-0.99989249999999996</v>
      </c>
      <c r="N1755">
        <v>0</v>
      </c>
      <c r="O1755">
        <v>-1.03642E-2</v>
      </c>
      <c r="P1755">
        <v>-0.99855070000000001</v>
      </c>
      <c r="Q1755">
        <v>-2.0383419999999999E-2</v>
      </c>
      <c r="R1755">
        <v>4.9812000000000002E-2</v>
      </c>
      <c r="S1755">
        <v>-3.0124209999999998</v>
      </c>
      <c r="T1755">
        <v>1.823926E-2</v>
      </c>
      <c r="U1755">
        <v>-0.147644</v>
      </c>
      <c r="V1755">
        <v>6.0177630000000003E-2</v>
      </c>
      <c r="W1755">
        <v>-9.8991370000000006E-3</v>
      </c>
      <c r="X1755">
        <v>0.99813859999999999</v>
      </c>
      <c r="Y1755">
        <v>-3.8597520000000003E-2</v>
      </c>
      <c r="Z1755" s="1">
        <v>5.4064480000000002E-5</v>
      </c>
      <c r="AA1755">
        <v>0.9992548</v>
      </c>
      <c r="AB1755">
        <v>30</v>
      </c>
      <c r="AC1755">
        <v>-162.92619999999999</v>
      </c>
      <c r="AD1755">
        <v>0.98814299999999899</v>
      </c>
      <c r="AE1755">
        <v>-7.9956999999999896</v>
      </c>
      <c r="AF1755">
        <v>-6.30634853968425</v>
      </c>
      <c r="AG1755">
        <v>0.98814299999999899</v>
      </c>
      <c r="AH1755">
        <v>162.994340660451</v>
      </c>
      <c r="AI1755">
        <v>89.652911859548595</v>
      </c>
      <c r="AJ1755">
        <v>92.215702815478195</v>
      </c>
      <c r="AK1755">
        <v>163.119286247297</v>
      </c>
      <c r="AL1755">
        <v>90.567188033197496</v>
      </c>
      <c r="AM1755">
        <v>86.549822112743101</v>
      </c>
      <c r="AN1755">
        <v>1.0000000024378599</v>
      </c>
    </row>
    <row r="1756" spans="1:40" x14ac:dyDescent="0.25">
      <c r="A1756" t="str">
        <f>"20190312160949554"</f>
        <v>20190312160949554</v>
      </c>
      <c r="B1756" t="str">
        <f>"1552378189547236"</f>
        <v>1552378189547236</v>
      </c>
      <c r="C1756" t="s">
        <v>40</v>
      </c>
      <c r="D1756">
        <v>5.7218619999999998</v>
      </c>
      <c r="E1756">
        <v>0.46610210000000002</v>
      </c>
      <c r="F1756" t="s">
        <v>75</v>
      </c>
      <c r="G1756">
        <v>-511.95909999999998</v>
      </c>
      <c r="H1756">
        <v>1.4669810000000001</v>
      </c>
      <c r="I1756">
        <v>275.56020000000001</v>
      </c>
      <c r="J1756">
        <v>-292.68990000000002</v>
      </c>
      <c r="K1756">
        <v>1.110344</v>
      </c>
      <c r="L1756">
        <v>284.94830000000002</v>
      </c>
      <c r="M1756">
        <v>-0.99988109999999997</v>
      </c>
      <c r="N1756">
        <v>0</v>
      </c>
      <c r="O1756">
        <v>-1.138193E-2</v>
      </c>
      <c r="P1756">
        <v>-0.99857779999999996</v>
      </c>
      <c r="Q1756">
        <v>-2.050424E-2</v>
      </c>
      <c r="R1756">
        <v>4.9215670000000003E-2</v>
      </c>
      <c r="S1756">
        <v>-3.0108950000000001</v>
      </c>
      <c r="T1756">
        <v>4.8910380000000003E-3</v>
      </c>
      <c r="U1756">
        <v>-0.12878419999999999</v>
      </c>
      <c r="V1756">
        <v>6.0597709999999999E-2</v>
      </c>
      <c r="W1756">
        <v>-1.0010740000000001E-2</v>
      </c>
      <c r="X1756">
        <v>0.99811209999999995</v>
      </c>
      <c r="Y1756">
        <v>-3.1358709999999998E-2</v>
      </c>
      <c r="Z1756" s="1">
        <v>6.9781649999999996E-6</v>
      </c>
      <c r="AA1756">
        <v>0.99950819999999996</v>
      </c>
      <c r="AB1756">
        <v>30</v>
      </c>
      <c r="AC1756">
        <v>-219.26920000000001</v>
      </c>
      <c r="AD1756">
        <v>0.35663699999999898</v>
      </c>
      <c r="AE1756">
        <v>-9.3880999999999997</v>
      </c>
      <c r="AF1756">
        <v>-6.8916318490214303</v>
      </c>
      <c r="AG1756">
        <v>0.35663699999999898</v>
      </c>
      <c r="AH1756">
        <v>219.36127625863099</v>
      </c>
      <c r="AI1756">
        <v>89.906894687582394</v>
      </c>
      <c r="AJ1756">
        <v>91.799458824282794</v>
      </c>
      <c r="AK1756">
        <v>219.46979587475701</v>
      </c>
      <c r="AL1756">
        <v>90.5735827146828</v>
      </c>
      <c r="AM1756">
        <v>86.525704343301697</v>
      </c>
      <c r="AN1756">
        <v>1.0000000307695001</v>
      </c>
    </row>
    <row r="1757" spans="1:40" x14ac:dyDescent="0.25">
      <c r="A1757" t="str">
        <f>"20190312160949576"</f>
        <v>20190312160949576</v>
      </c>
      <c r="B1757" t="str">
        <f>"1552378189567731"</f>
        <v>1552378189567731</v>
      </c>
      <c r="C1757" t="s">
        <v>40</v>
      </c>
      <c r="D1757">
        <v>5.6413250000000001</v>
      </c>
      <c r="E1757">
        <v>0.46719480000000002</v>
      </c>
      <c r="F1757" t="s">
        <v>75</v>
      </c>
      <c r="G1757">
        <v>-511.95890000000003</v>
      </c>
      <c r="H1757">
        <v>0.87681710000000002</v>
      </c>
      <c r="I1757">
        <v>276.09649999999999</v>
      </c>
      <c r="J1757">
        <v>-293</v>
      </c>
      <c r="K1757">
        <v>1.1103459999999901</v>
      </c>
      <c r="L1757">
        <v>284.94380000000001</v>
      </c>
      <c r="M1757">
        <v>-0.99986960000000003</v>
      </c>
      <c r="N1757">
        <v>0</v>
      </c>
      <c r="O1757">
        <v>-1.235878E-2</v>
      </c>
      <c r="P1757">
        <v>-0.99859019999999998</v>
      </c>
      <c r="Q1757">
        <v>-2.0507190000000002E-2</v>
      </c>
      <c r="R1757">
        <v>4.8963350000000003E-2</v>
      </c>
      <c r="S1757">
        <v>-3.0101930000000001</v>
      </c>
      <c r="T1757">
        <v>-3.2048229999999999E-3</v>
      </c>
      <c r="U1757">
        <v>-0.121521</v>
      </c>
      <c r="V1757">
        <v>6.1320590000000001E-2</v>
      </c>
      <c r="W1757">
        <v>-1.0004559999999999E-2</v>
      </c>
      <c r="X1757">
        <v>0.99806799999999996</v>
      </c>
      <c r="Y1757">
        <v>-2.7984499999999999E-2</v>
      </c>
      <c r="Z1757" s="1">
        <v>-1.738738E-6</v>
      </c>
      <c r="AA1757">
        <v>0.99960830000000001</v>
      </c>
      <c r="AB1757">
        <v>31</v>
      </c>
      <c r="AC1757">
        <v>-218.9589</v>
      </c>
      <c r="AD1757">
        <v>-0.23352889999999901</v>
      </c>
      <c r="AE1757">
        <v>-8.8473000000000095</v>
      </c>
      <c r="AF1757">
        <v>-6.1404061895234596</v>
      </c>
      <c r="AG1757">
        <v>-0.23352889999999901</v>
      </c>
      <c r="AH1757">
        <v>219.05127469845701</v>
      </c>
      <c r="AI1757">
        <v>90.061058587496504</v>
      </c>
      <c r="AJ1757">
        <v>91.605684567859797</v>
      </c>
      <c r="AK1757">
        <v>219.13744561561899</v>
      </c>
      <c r="AL1757">
        <v>90.573228615617595</v>
      </c>
      <c r="AM1757">
        <v>86.484207290699104</v>
      </c>
      <c r="AN1757">
        <v>1.0000000193013701</v>
      </c>
    </row>
    <row r="1758" spans="1:40" x14ac:dyDescent="0.25">
      <c r="A1758" t="str">
        <f>"20190312160949598"</f>
        <v>20190312160949598</v>
      </c>
      <c r="B1758" t="str">
        <f>"1552378189587259"</f>
        <v>1552378189587259</v>
      </c>
      <c r="C1758" t="s">
        <v>40</v>
      </c>
      <c r="D1758">
        <v>5.6690339999999999</v>
      </c>
      <c r="E1758">
        <v>0.4670955</v>
      </c>
      <c r="F1758" t="s">
        <v>75</v>
      </c>
      <c r="G1758">
        <v>-511.9588</v>
      </c>
      <c r="H1758">
        <v>0.58732499999999999</v>
      </c>
      <c r="I1758">
        <v>276.67809999999997</v>
      </c>
      <c r="J1758">
        <v>-293.29820000000001</v>
      </c>
      <c r="K1758">
        <v>1.1103540000000001</v>
      </c>
      <c r="L1758">
        <v>284.93920000000003</v>
      </c>
      <c r="M1758">
        <v>-0.99985749999999995</v>
      </c>
      <c r="N1758">
        <v>0</v>
      </c>
      <c r="O1758">
        <v>-1.329748E-2</v>
      </c>
      <c r="P1758">
        <v>-0.99860530000000003</v>
      </c>
      <c r="Q1758">
        <v>-2.0487669999999999E-2</v>
      </c>
      <c r="R1758">
        <v>4.8663240000000003E-2</v>
      </c>
      <c r="S1758">
        <v>-3.0097049999999999</v>
      </c>
      <c r="T1758">
        <v>-7.1880819999999897E-3</v>
      </c>
      <c r="U1758">
        <v>-0.11361690000000001</v>
      </c>
      <c r="V1758">
        <v>6.1957579999999998E-2</v>
      </c>
      <c r="W1758">
        <v>-9.9763030000000006E-3</v>
      </c>
      <c r="X1758">
        <v>0.9980289</v>
      </c>
      <c r="Y1758">
        <v>-2.4431230000000002E-2</v>
      </c>
      <c r="Z1758" s="1">
        <v>2.581908E-6</v>
      </c>
      <c r="AA1758">
        <v>0.99970150000000002</v>
      </c>
      <c r="AB1758">
        <v>31</v>
      </c>
      <c r="AC1758">
        <v>-218.66059999999999</v>
      </c>
      <c r="AD1758">
        <v>-0.52302899999999997</v>
      </c>
      <c r="AE1758">
        <v>-8.2611000000000505</v>
      </c>
      <c r="AF1758">
        <v>-5.3525467234041999</v>
      </c>
      <c r="AG1758">
        <v>-0.52302899999999997</v>
      </c>
      <c r="AH1758">
        <v>218.749872903192</v>
      </c>
      <c r="AI1758">
        <v>90.136952446087406</v>
      </c>
      <c r="AJ1758">
        <v>91.401679231944001</v>
      </c>
      <c r="AK1758">
        <v>218.81597339071001</v>
      </c>
      <c r="AL1758">
        <v>90.571609552307294</v>
      </c>
      <c r="AM1758">
        <v>86.447639937255701</v>
      </c>
      <c r="AN1758">
        <v>0.99999997678810604</v>
      </c>
    </row>
    <row r="1759" spans="1:40" x14ac:dyDescent="0.25">
      <c r="A1759" t="str">
        <f>"20190312160949620"</f>
        <v>20190312160949620</v>
      </c>
      <c r="B1759" t="str">
        <f>"1552378189617507"</f>
        <v>1552378189617507</v>
      </c>
      <c r="C1759" t="s">
        <v>40</v>
      </c>
      <c r="D1759">
        <v>5.6535769999999896</v>
      </c>
      <c r="E1759">
        <v>0.46730929999999998</v>
      </c>
      <c r="F1759" t="s">
        <v>61</v>
      </c>
      <c r="G1759">
        <v>-462.14879999999999</v>
      </c>
      <c r="H1759">
        <v>8.0001100000000006E-2</v>
      </c>
      <c r="I1759">
        <v>278.46679999999998</v>
      </c>
      <c r="J1759">
        <v>-293.5899</v>
      </c>
      <c r="K1759">
        <v>1.1103529999999999</v>
      </c>
      <c r="L1759">
        <v>284.93430000000001</v>
      </c>
      <c r="M1759">
        <v>-0.99984479999999998</v>
      </c>
      <c r="N1759">
        <v>0</v>
      </c>
      <c r="O1759">
        <v>-1.4215790000000001E-2</v>
      </c>
      <c r="P1759">
        <v>-0.99862879999999998</v>
      </c>
      <c r="Q1759">
        <v>-2.0059560000000001E-2</v>
      </c>
      <c r="R1759">
        <v>4.8356259999999998E-2</v>
      </c>
      <c r="S1759">
        <v>-3.0093990000000002</v>
      </c>
      <c r="T1759">
        <v>-1.8363830000000001E-2</v>
      </c>
      <c r="U1759">
        <v>-0.115356399999999</v>
      </c>
      <c r="V1759">
        <v>6.2566529999999995E-2</v>
      </c>
      <c r="W1759">
        <v>-9.5396490000000007E-3</v>
      </c>
      <c r="X1759">
        <v>0.99799519999999997</v>
      </c>
      <c r="Y1759">
        <v>-2.4093739999999999E-2</v>
      </c>
      <c r="Z1759" s="1">
        <v>1.3226689999999999E-5</v>
      </c>
      <c r="AA1759">
        <v>0.99970970000000003</v>
      </c>
      <c r="AB1759">
        <v>31</v>
      </c>
      <c r="AC1759">
        <v>-168.55889999999999</v>
      </c>
      <c r="AD1759">
        <v>-1.0303519000000001</v>
      </c>
      <c r="AE1759">
        <v>-6.4675000000000296</v>
      </c>
      <c r="AF1759">
        <v>-4.0703668508746</v>
      </c>
      <c r="AG1759">
        <v>-1.0303519000000001</v>
      </c>
      <c r="AH1759">
        <v>168.627519426416</v>
      </c>
      <c r="AI1759">
        <v>90.349983742595896</v>
      </c>
      <c r="AJ1759">
        <v>91.382749172740702</v>
      </c>
      <c r="AK1759">
        <v>168.67978485652901</v>
      </c>
      <c r="AL1759">
        <v>90.546589917764194</v>
      </c>
      <c r="AM1759">
        <v>86.412695480549303</v>
      </c>
      <c r="AN1759">
        <v>0.99999999740116197</v>
      </c>
    </row>
    <row r="1760" spans="1:40" x14ac:dyDescent="0.25">
      <c r="A1760" t="str">
        <f>"20190312160949642"</f>
        <v>20190312160949642</v>
      </c>
      <c r="B1760" t="str">
        <f>"1552378189637027"</f>
        <v>1552378189637027</v>
      </c>
      <c r="C1760" t="s">
        <v>40</v>
      </c>
      <c r="D1760">
        <v>5.7558689999999997</v>
      </c>
      <c r="E1760">
        <v>0.46721360000000001</v>
      </c>
      <c r="F1760" t="s">
        <v>61</v>
      </c>
      <c r="G1760">
        <v>-397.72890000000001</v>
      </c>
      <c r="H1760" s="1">
        <v>2.5761370000000002E-6</v>
      </c>
      <c r="I1760">
        <v>280.95780000000002</v>
      </c>
      <c r="J1760">
        <v>-293.89999999999998</v>
      </c>
      <c r="K1760">
        <v>1.1103529999999999</v>
      </c>
      <c r="L1760">
        <v>284.9289</v>
      </c>
      <c r="M1760">
        <v>-0.99983029999999995</v>
      </c>
      <c r="N1760">
        <v>0</v>
      </c>
      <c r="O1760">
        <v>-1.519179E-2</v>
      </c>
      <c r="P1760">
        <v>-0.99868040000000002</v>
      </c>
      <c r="Q1760">
        <v>-1.965766E-2</v>
      </c>
      <c r="R1760">
        <v>4.7448530000000003E-2</v>
      </c>
      <c r="S1760">
        <v>-3.0090330000000001</v>
      </c>
      <c r="T1760">
        <v>-3.2082920000000001E-2</v>
      </c>
      <c r="U1760">
        <v>-0.11489870000000001</v>
      </c>
      <c r="V1760">
        <v>6.2632989999999999E-2</v>
      </c>
      <c r="W1760">
        <v>-9.12957E-3</v>
      </c>
      <c r="X1760">
        <v>0.99799479999999996</v>
      </c>
      <c r="Y1760">
        <v>-2.2970379999999999E-2</v>
      </c>
      <c r="Z1760" s="1">
        <v>3.949742E-5</v>
      </c>
      <c r="AA1760">
        <v>0.99973610000000002</v>
      </c>
      <c r="AB1760">
        <v>31</v>
      </c>
      <c r="AC1760">
        <v>-103.8289</v>
      </c>
      <c r="AD1760">
        <v>-1.110350423863</v>
      </c>
      <c r="AE1760">
        <v>-3.9710999999999701</v>
      </c>
      <c r="AF1760">
        <v>-2.3929359289194201</v>
      </c>
      <c r="AG1760">
        <v>-1.110350423863</v>
      </c>
      <c r="AH1760">
        <v>103.86538708460699</v>
      </c>
      <c r="AI1760">
        <v>90.612322317071602</v>
      </c>
      <c r="AJ1760">
        <v>91.319793658497005</v>
      </c>
      <c r="AK1760">
        <v>103.89888187395999</v>
      </c>
      <c r="AL1760">
        <v>90.523093132767201</v>
      </c>
      <c r="AM1760">
        <v>86.408893471432506</v>
      </c>
      <c r="AN1760">
        <v>0.99999993065588</v>
      </c>
    </row>
    <row r="1761" spans="1:40" x14ac:dyDescent="0.25">
      <c r="A1761" t="str">
        <f>"20190312160949667"</f>
        <v>20190312160949667</v>
      </c>
      <c r="B1761" t="str">
        <f>"1552378189657523"</f>
        <v>1552378189657523</v>
      </c>
      <c r="C1761" t="s">
        <v>40</v>
      </c>
      <c r="D1761">
        <v>5.6680390000000003</v>
      </c>
      <c r="E1761">
        <v>0.4670918</v>
      </c>
      <c r="F1761" t="s">
        <v>61</v>
      </c>
      <c r="G1761">
        <v>-379.35770000000002</v>
      </c>
      <c r="H1761" s="1">
        <v>3.4429269999999998E-6</v>
      </c>
      <c r="I1761">
        <v>281.56229999999999</v>
      </c>
      <c r="J1761">
        <v>-294.22829999999999</v>
      </c>
      <c r="K1761">
        <v>1.110352</v>
      </c>
      <c r="L1761">
        <v>284.92290000000003</v>
      </c>
      <c r="M1761">
        <v>-0.99981379999999997</v>
      </c>
      <c r="N1761">
        <v>0</v>
      </c>
      <c r="O1761">
        <v>-1.622442E-2</v>
      </c>
      <c r="P1761">
        <v>-0.99871929999999998</v>
      </c>
      <c r="Q1761">
        <v>-2.0264379999999999E-2</v>
      </c>
      <c r="R1761">
        <v>4.6358150000000001E-2</v>
      </c>
      <c r="S1761">
        <v>-3.0088200000000001</v>
      </c>
      <c r="T1761">
        <v>-3.9093490000000002E-2</v>
      </c>
      <c r="U1761">
        <v>-0.11853030000000001</v>
      </c>
      <c r="V1761">
        <v>6.2575030000000004E-2</v>
      </c>
      <c r="W1761">
        <v>-9.7278650000000005E-3</v>
      </c>
      <c r="X1761">
        <v>0.99799289999999996</v>
      </c>
      <c r="Y1761">
        <v>-2.3145249999999999E-2</v>
      </c>
      <c r="Z1761" s="1">
        <v>6.0402419999999903E-5</v>
      </c>
      <c r="AA1761">
        <v>0.99973210000000001</v>
      </c>
      <c r="AB1761">
        <v>31</v>
      </c>
      <c r="AC1761">
        <v>-85.129400000000004</v>
      </c>
      <c r="AD1761">
        <v>-1.1103485570730001</v>
      </c>
      <c r="AE1761">
        <v>-3.36060000000003</v>
      </c>
      <c r="AF1761">
        <v>-1.9785710278480599</v>
      </c>
      <c r="AG1761">
        <v>-1.1103485570730001</v>
      </c>
      <c r="AH1761">
        <v>85.158255698820099</v>
      </c>
      <c r="AI1761">
        <v>90.746815671666994</v>
      </c>
      <c r="AJ1761">
        <v>91.330973448462402</v>
      </c>
      <c r="AK1761">
        <v>85.188474166967296</v>
      </c>
      <c r="AL1761">
        <v>90.5573743730084</v>
      </c>
      <c r="AM1761">
        <v>86.4122011518931</v>
      </c>
      <c r="AN1761">
        <v>1.0000000470936801</v>
      </c>
    </row>
    <row r="1762" spans="1:40" x14ac:dyDescent="0.25">
      <c r="A1762" t="str">
        <f>"20190312160949709"</f>
        <v>20190312160949709</v>
      </c>
      <c r="B1762" t="str">
        <f>"1552378189697540"</f>
        <v>1552378189697540</v>
      </c>
      <c r="C1762" t="s">
        <v>40</v>
      </c>
      <c r="D1762">
        <v>5.4773300000000003</v>
      </c>
      <c r="E1762">
        <v>0.46727010000000002</v>
      </c>
      <c r="F1762" t="s">
        <v>61</v>
      </c>
      <c r="G1762">
        <v>-360.108</v>
      </c>
      <c r="H1762" s="1">
        <v>-1.4793050000000001E-6</v>
      </c>
      <c r="I1762">
        <v>282.23180000000002</v>
      </c>
      <c r="J1762">
        <v>-294.81119999999999</v>
      </c>
      <c r="K1762">
        <v>1.1103459999999901</v>
      </c>
      <c r="L1762">
        <v>284.91129999999998</v>
      </c>
      <c r="M1762">
        <v>-0.99978239999999996</v>
      </c>
      <c r="N1762">
        <v>0</v>
      </c>
      <c r="O1762">
        <v>-1.8055439999999999E-2</v>
      </c>
      <c r="P1762">
        <v>-0.99875650000000005</v>
      </c>
      <c r="Q1762">
        <v>-2.1769299999999998E-2</v>
      </c>
      <c r="R1762">
        <v>4.485666E-2</v>
      </c>
      <c r="S1762">
        <v>-3.0085139999999999</v>
      </c>
      <c r="T1762">
        <v>-5.0706269999999998E-2</v>
      </c>
      <c r="U1762">
        <v>-0.1228943</v>
      </c>
      <c r="V1762">
        <v>6.2904799999999997E-2</v>
      </c>
      <c r="W1762">
        <v>-1.121715E-2</v>
      </c>
      <c r="X1762">
        <v>0.99795650000000002</v>
      </c>
      <c r="Y1762">
        <v>-2.2766089999999999E-2</v>
      </c>
      <c r="Z1762">
        <v>1.123794E-4</v>
      </c>
      <c r="AA1762">
        <v>0.99974079999999999</v>
      </c>
      <c r="AB1762">
        <v>31</v>
      </c>
      <c r="AC1762">
        <v>-65.296800000000005</v>
      </c>
      <c r="AD1762">
        <v>-1.1103474793050001</v>
      </c>
      <c r="AE1762">
        <v>-2.67949999999996</v>
      </c>
      <c r="AF1762">
        <v>-1.4996034635352</v>
      </c>
      <c r="AG1762">
        <v>-1.1103474793050001</v>
      </c>
      <c r="AH1762">
        <v>65.315682069200804</v>
      </c>
      <c r="AI1762">
        <v>90.973661132859306</v>
      </c>
      <c r="AJ1762">
        <v>91.315240908129397</v>
      </c>
      <c r="AK1762">
        <v>65.342329360358505</v>
      </c>
      <c r="AL1762">
        <v>90.642708827160504</v>
      </c>
      <c r="AM1762">
        <v>86.393212048863703</v>
      </c>
      <c r="AN1762">
        <v>1.0000000071046999</v>
      </c>
    </row>
    <row r="1763" spans="1:40" x14ac:dyDescent="0.25">
      <c r="A1763" t="str">
        <f>"20190312160949933"</f>
        <v>20190312160949933</v>
      </c>
      <c r="B1763" t="str">
        <f>"1552378189926899"</f>
        <v>1552378189926899</v>
      </c>
      <c r="C1763" t="s">
        <v>40</v>
      </c>
      <c r="D1763">
        <v>4.7311579999999998</v>
      </c>
      <c r="E1763">
        <v>0.46727010000000002</v>
      </c>
      <c r="F1763" t="s">
        <v>61</v>
      </c>
      <c r="G1763">
        <v>-349.65820000000002</v>
      </c>
      <c r="H1763" s="1">
        <v>3.6028020000000001E-6</v>
      </c>
      <c r="I1763">
        <v>282.60930000000002</v>
      </c>
      <c r="J1763">
        <v>-297.90260000000001</v>
      </c>
      <c r="K1763">
        <v>1.1101479999999999</v>
      </c>
      <c r="L1763">
        <v>284.83319999999998</v>
      </c>
      <c r="M1763">
        <v>-0.99958610000000003</v>
      </c>
      <c r="N1763">
        <v>0</v>
      </c>
      <c r="O1763">
        <v>-2.677554E-2</v>
      </c>
      <c r="P1763">
        <v>-0.99916640000000001</v>
      </c>
      <c r="Q1763">
        <v>-2.3532109999999998E-2</v>
      </c>
      <c r="R1763">
        <v>3.3360349999999997E-2</v>
      </c>
      <c r="S1763">
        <v>-3.008057</v>
      </c>
      <c r="T1763">
        <v>-6.0896159999999998E-2</v>
      </c>
      <c r="U1763">
        <v>-0.12625120000000001</v>
      </c>
      <c r="V1763">
        <v>6.0121420000000002E-2</v>
      </c>
      <c r="W1763">
        <v>-1.293936E-2</v>
      </c>
      <c r="X1763">
        <v>0.99810719999999997</v>
      </c>
      <c r="Y1763">
        <v>-1.5167979999999999E-2</v>
      </c>
      <c r="Z1763">
        <v>3.8821519999999998E-4</v>
      </c>
      <c r="AA1763">
        <v>0.99988489999999997</v>
      </c>
      <c r="AB1763">
        <v>31</v>
      </c>
      <c r="AC1763">
        <v>-51.755600000000001</v>
      </c>
      <c r="AD1763">
        <v>-1.1101443971979901</v>
      </c>
      <c r="AE1763">
        <v>-2.2238999999999498</v>
      </c>
      <c r="AF1763">
        <v>-0.83685741060042296</v>
      </c>
      <c r="AG1763">
        <v>-1.1101443971979901</v>
      </c>
      <c r="AH1763">
        <v>51.772815144473299</v>
      </c>
      <c r="AI1763">
        <v>91.228222546261705</v>
      </c>
      <c r="AJ1763">
        <v>90.926050134263306</v>
      </c>
      <c r="AK1763">
        <v>51.791477473539103</v>
      </c>
      <c r="AL1763">
        <v>90.741391408644006</v>
      </c>
      <c r="AM1763">
        <v>86.552928861172404</v>
      </c>
      <c r="AN1763">
        <v>0.99999999743593204</v>
      </c>
    </row>
    <row r="1764" spans="1:40" x14ac:dyDescent="0.25">
      <c r="A1764" t="str">
        <f>"20190312160949956"</f>
        <v>20190312160949956</v>
      </c>
      <c r="B1764" t="str">
        <f>"1552378189947399"</f>
        <v>1552378189947399</v>
      </c>
      <c r="C1764" t="s">
        <v>40</v>
      </c>
      <c r="D1764">
        <v>5.1529030000000002</v>
      </c>
      <c r="E1764">
        <v>0.40825909999999999</v>
      </c>
      <c r="F1764" t="s">
        <v>61</v>
      </c>
      <c r="G1764">
        <v>-347.84859999999998</v>
      </c>
      <c r="H1764" s="1">
        <v>2.639858E-6</v>
      </c>
      <c r="I1764">
        <v>282.15969999999999</v>
      </c>
      <c r="J1764">
        <v>-298.22160000000002</v>
      </c>
      <c r="K1764">
        <v>1.1100989999999999</v>
      </c>
      <c r="L1764">
        <v>284.82389999999998</v>
      </c>
      <c r="M1764">
        <v>-0.99956900000000004</v>
      </c>
      <c r="N1764">
        <v>0</v>
      </c>
      <c r="O1764">
        <v>-2.7399489999999999E-2</v>
      </c>
      <c r="P1764">
        <v>-0.99909999999999999</v>
      </c>
      <c r="Q1764">
        <v>-2.3036250000000001E-2</v>
      </c>
      <c r="R1764">
        <v>3.561599E-2</v>
      </c>
      <c r="S1764">
        <v>-3.0062869999999999</v>
      </c>
      <c r="T1764">
        <v>-6.6820500000000005E-2</v>
      </c>
      <c r="U1764">
        <v>-0.16091920000000001</v>
      </c>
      <c r="V1764">
        <v>6.2994889999999998E-2</v>
      </c>
      <c r="W1764">
        <v>-1.244178E-2</v>
      </c>
      <c r="X1764">
        <v>0.9979363</v>
      </c>
      <c r="Y1764">
        <v>-2.6069459999999999E-2</v>
      </c>
      <c r="Z1764">
        <v>3.1888190000000001E-4</v>
      </c>
      <c r="AA1764">
        <v>0.99966010000000005</v>
      </c>
      <c r="AB1764">
        <v>31</v>
      </c>
      <c r="AC1764">
        <v>-49.626999999999903</v>
      </c>
      <c r="AD1764">
        <v>-1.110096360142</v>
      </c>
      <c r="AE1764">
        <v>-2.6641999999999899</v>
      </c>
      <c r="AF1764">
        <v>-1.3027196724438399</v>
      </c>
      <c r="AG1764">
        <v>-1.110096360142</v>
      </c>
      <c r="AH1764">
        <v>49.656592991350998</v>
      </c>
      <c r="AI1764">
        <v>91.280220296799499</v>
      </c>
      <c r="AJ1764">
        <v>91.502785790969995</v>
      </c>
      <c r="AK1764">
        <v>49.686080746849598</v>
      </c>
      <c r="AL1764">
        <v>90.712879871883899</v>
      </c>
      <c r="AM1764">
        <v>86.387987282721298</v>
      </c>
      <c r="AN1764">
        <v>1.0000000064566801</v>
      </c>
    </row>
    <row r="1765" spans="1:40" x14ac:dyDescent="0.25">
      <c r="A1765" t="str">
        <f>"20190312160949977"</f>
        <v>20190312160949977</v>
      </c>
      <c r="B1765" t="str">
        <f>"1552378189966915"</f>
        <v>1552378189966915</v>
      </c>
      <c r="C1765" t="s">
        <v>40</v>
      </c>
      <c r="D1765">
        <v>5.378253</v>
      </c>
      <c r="E1765">
        <v>0.45584859999999999</v>
      </c>
      <c r="F1765" t="s">
        <v>72</v>
      </c>
      <c r="G1765">
        <v>-382.03339999999997</v>
      </c>
      <c r="H1765">
        <v>15.680160000000001</v>
      </c>
      <c r="I1765">
        <v>267.85000000000002</v>
      </c>
      <c r="J1765">
        <v>-298.51960000000003</v>
      </c>
      <c r="K1765">
        <v>1.110058</v>
      </c>
      <c r="L1765">
        <v>284.8152</v>
      </c>
      <c r="M1765">
        <v>-0.99955439999999995</v>
      </c>
      <c r="N1765">
        <v>0</v>
      </c>
      <c r="O1765">
        <v>-2.7926240000000001E-2</v>
      </c>
      <c r="P1765">
        <v>-0.99906499999999998</v>
      </c>
      <c r="Q1765">
        <v>-2.1931079999999999E-2</v>
      </c>
      <c r="R1765">
        <v>3.7258230000000003E-2</v>
      </c>
      <c r="S1765">
        <v>-3.0367739999999999</v>
      </c>
      <c r="T1765">
        <v>0.52792410000000001</v>
      </c>
      <c r="U1765">
        <v>-0.61502080000000003</v>
      </c>
      <c r="V1765">
        <v>6.5158779999999999E-2</v>
      </c>
      <c r="W1765">
        <v>-1.133573E-2</v>
      </c>
      <c r="X1765">
        <v>0.99781050000000004</v>
      </c>
      <c r="Y1765">
        <v>-0.16901459999999999</v>
      </c>
      <c r="Z1765">
        <v>9.6705720000000005E-3</v>
      </c>
      <c r="AA1765">
        <v>0.9855661</v>
      </c>
      <c r="AB1765">
        <v>31</v>
      </c>
      <c r="AC1765">
        <v>-83.513799999999904</v>
      </c>
      <c r="AD1765">
        <v>14.570101999999901</v>
      </c>
      <c r="AE1765">
        <v>-16.9651999999999</v>
      </c>
      <c r="AF1765">
        <v>-14.210827059633401</v>
      </c>
      <c r="AG1765">
        <v>14.570101999999901</v>
      </c>
      <c r="AH1765">
        <v>81.570618378691293</v>
      </c>
      <c r="AI1765">
        <v>80.019891283192905</v>
      </c>
      <c r="AJ1765">
        <v>99.882600219191403</v>
      </c>
      <c r="AK1765">
        <v>84.071405725676499</v>
      </c>
      <c r="AL1765">
        <v>90.649503410490695</v>
      </c>
      <c r="AM1765">
        <v>86.263789633043999</v>
      </c>
      <c r="AN1765">
        <v>0.99999997964798504</v>
      </c>
    </row>
    <row r="1766" spans="1:40" x14ac:dyDescent="0.25">
      <c r="A1766" t="str">
        <f>"20190312160949999"</f>
        <v>20190312160949999</v>
      </c>
      <c r="B1766" t="str">
        <f>"1552378189987412"</f>
        <v>1552378189987412</v>
      </c>
      <c r="C1766" t="s">
        <v>40</v>
      </c>
      <c r="D1766">
        <v>5.2487839999999997</v>
      </c>
      <c r="E1766">
        <v>0.45916099999999999</v>
      </c>
      <c r="F1766" t="s">
        <v>75</v>
      </c>
      <c r="G1766">
        <v>-512.82860000000005</v>
      </c>
      <c r="H1766">
        <v>10.18548</v>
      </c>
      <c r="I1766">
        <v>267.97239999999999</v>
      </c>
      <c r="J1766">
        <v>-298.81549999999999</v>
      </c>
      <c r="K1766">
        <v>1.1100179999999999</v>
      </c>
      <c r="L1766">
        <v>284.8064</v>
      </c>
      <c r="M1766">
        <v>-0.99954089999999995</v>
      </c>
      <c r="N1766">
        <v>0</v>
      </c>
      <c r="O1766">
        <v>-2.8402150000000001E-2</v>
      </c>
      <c r="P1766">
        <v>-0.99908169999999996</v>
      </c>
      <c r="Q1766">
        <v>-2.1073399999999999E-2</v>
      </c>
      <c r="R1766">
        <v>3.7309490000000001E-2</v>
      </c>
      <c r="S1766">
        <v>-3.0144350000000002</v>
      </c>
      <c r="T1766">
        <v>0.1276543</v>
      </c>
      <c r="U1766">
        <v>-0.23690800000000001</v>
      </c>
      <c r="V1766">
        <v>6.5683580000000005E-2</v>
      </c>
      <c r="W1766">
        <v>-1.047759E-2</v>
      </c>
      <c r="X1766">
        <v>0.99778549999999999</v>
      </c>
      <c r="Y1766">
        <v>-4.998234E-2</v>
      </c>
      <c r="Z1766">
        <v>-1.437721E-4</v>
      </c>
      <c r="AA1766">
        <v>0.99875009999999997</v>
      </c>
      <c r="AB1766">
        <v>31</v>
      </c>
      <c r="AC1766">
        <v>-214.01310000000001</v>
      </c>
      <c r="AD1766">
        <v>9.0754619999999999</v>
      </c>
      <c r="AE1766">
        <v>-16.834</v>
      </c>
      <c r="AF1766">
        <v>-10.7292619976312</v>
      </c>
      <c r="AG1766">
        <v>9.0754619999999999</v>
      </c>
      <c r="AH1766">
        <v>214.02239602753801</v>
      </c>
      <c r="AI1766">
        <v>87.574911120369904</v>
      </c>
      <c r="AJ1766">
        <v>92.869920315765498</v>
      </c>
      <c r="AK1766">
        <v>214.48325593131</v>
      </c>
      <c r="AL1766">
        <v>90.600332665907899</v>
      </c>
      <c r="AM1766">
        <v>86.233689722738802</v>
      </c>
      <c r="AN1766">
        <v>1.00000000829203</v>
      </c>
    </row>
    <row r="1767" spans="1:40" x14ac:dyDescent="0.25">
      <c r="A1767" t="str">
        <f>"20190312160950022"</f>
        <v>20190312160950022</v>
      </c>
      <c r="B1767" t="str">
        <f>"1552378190017668"</f>
        <v>1552378190017668</v>
      </c>
      <c r="C1767" t="s">
        <v>40</v>
      </c>
      <c r="D1767">
        <v>5.4292210000000001</v>
      </c>
      <c r="E1767">
        <v>0.46389770000000002</v>
      </c>
      <c r="F1767" t="s">
        <v>75</v>
      </c>
      <c r="G1767">
        <v>-512.82899999999995</v>
      </c>
      <c r="H1767">
        <v>11.589359999999999</v>
      </c>
      <c r="I1767">
        <v>269.87709999999998</v>
      </c>
      <c r="J1767">
        <v>-299.13929999999999</v>
      </c>
      <c r="K1767">
        <v>1.1099840000000001</v>
      </c>
      <c r="L1767">
        <v>284.79680000000002</v>
      </c>
      <c r="M1767">
        <v>-0.99952739999999995</v>
      </c>
      <c r="N1767">
        <v>0</v>
      </c>
      <c r="O1767">
        <v>-2.8876079999999998E-2</v>
      </c>
      <c r="P1767">
        <v>-0.99913200000000002</v>
      </c>
      <c r="Q1767">
        <v>-2.073001E-2</v>
      </c>
      <c r="R1767">
        <v>3.6132810000000001E-2</v>
      </c>
      <c r="S1767">
        <v>-3.013763</v>
      </c>
      <c r="T1767">
        <v>0.14757219999999999</v>
      </c>
      <c r="U1767">
        <v>-0.21023559999999999</v>
      </c>
      <c r="V1767">
        <v>6.4980140000000006E-2</v>
      </c>
      <c r="W1767">
        <v>-1.013317E-2</v>
      </c>
      <c r="X1767">
        <v>0.99783509999999997</v>
      </c>
      <c r="Y1767">
        <v>-4.0738539999999997E-2</v>
      </c>
      <c r="Z1767">
        <v>-4.1536820000000001E-4</v>
      </c>
      <c r="AA1767">
        <v>0.9991698</v>
      </c>
      <c r="AB1767">
        <v>31</v>
      </c>
      <c r="AC1767">
        <v>-213.68969999999999</v>
      </c>
      <c r="AD1767">
        <v>10.479376</v>
      </c>
      <c r="AE1767">
        <v>-14.919700000000001</v>
      </c>
      <c r="AF1767">
        <v>-8.7217404743371194</v>
      </c>
      <c r="AG1767">
        <v>10.479376</v>
      </c>
      <c r="AH1767">
        <v>213.520415636601</v>
      </c>
      <c r="AI1767">
        <v>87.192570361132098</v>
      </c>
      <c r="AJ1767">
        <v>92.339079697682607</v>
      </c>
      <c r="AK1767">
        <v>213.95526161297801</v>
      </c>
      <c r="AL1767">
        <v>90.580597814364396</v>
      </c>
      <c r="AM1767">
        <v>86.274095572214094</v>
      </c>
      <c r="AN1767">
        <v>0.99999999326033895</v>
      </c>
    </row>
    <row r="1768" spans="1:40" x14ac:dyDescent="0.25">
      <c r="A1768" t="str">
        <f>"20190312160950089"</f>
        <v>20190312160950089</v>
      </c>
      <c r="B1768" t="str">
        <f>"1552378190087940"</f>
        <v>1552378190087940</v>
      </c>
      <c r="C1768" t="s">
        <v>40</v>
      </c>
      <c r="D1768">
        <v>5.6725700000000003</v>
      </c>
      <c r="E1768">
        <v>0.49685390000000001</v>
      </c>
      <c r="F1768" t="s">
        <v>75</v>
      </c>
      <c r="G1768">
        <v>-512.82839999999999</v>
      </c>
      <c r="H1768">
        <v>9.6665709999999994</v>
      </c>
      <c r="I1768">
        <v>272.28680000000003</v>
      </c>
      <c r="J1768">
        <v>-300.08210000000003</v>
      </c>
      <c r="K1768">
        <v>1.1098939999999999</v>
      </c>
      <c r="L1768">
        <v>284.7679</v>
      </c>
      <c r="M1768">
        <v>-0.99949370000000004</v>
      </c>
      <c r="N1768">
        <v>0</v>
      </c>
      <c r="O1768">
        <v>-3.0013040000000001E-2</v>
      </c>
      <c r="P1768">
        <v>-0.99924299999999999</v>
      </c>
      <c r="Q1768">
        <v>-2.0039290000000001E-2</v>
      </c>
      <c r="R1768">
        <v>3.334964E-2</v>
      </c>
      <c r="S1768">
        <v>-3.0114749999999999</v>
      </c>
      <c r="T1768">
        <v>0.1205871</v>
      </c>
      <c r="U1768">
        <v>-0.17630000000000001</v>
      </c>
      <c r="V1768">
        <v>6.3333909999999993E-2</v>
      </c>
      <c r="W1768">
        <v>-9.4349789999999996E-3</v>
      </c>
      <c r="X1768">
        <v>0.99794780000000005</v>
      </c>
      <c r="Y1768">
        <v>-2.8454199999999999E-2</v>
      </c>
      <c r="Z1768">
        <v>-6.3098479999999996E-4</v>
      </c>
      <c r="AA1768">
        <v>0.99959489999999995</v>
      </c>
      <c r="AB1768">
        <v>31</v>
      </c>
      <c r="AC1768">
        <v>-212.74629999999999</v>
      </c>
      <c r="AD1768">
        <v>8.5566770000000005</v>
      </c>
      <c r="AE1768">
        <v>-12.4810999999999</v>
      </c>
      <c r="AF1768">
        <v>-6.0801554520992402</v>
      </c>
      <c r="AG1768">
        <v>8.5566770000000005</v>
      </c>
      <c r="AH1768">
        <v>212.68219866305299</v>
      </c>
      <c r="AI1768">
        <v>87.697045976093705</v>
      </c>
      <c r="AJ1768">
        <v>91.637524866623806</v>
      </c>
      <c r="AK1768">
        <v>212.941077859004</v>
      </c>
      <c r="AL1768">
        <v>90.540592493259993</v>
      </c>
      <c r="AM1768">
        <v>86.368642102689705</v>
      </c>
      <c r="AN1768">
        <v>1.0000000072547199</v>
      </c>
    </row>
    <row r="1769" spans="1:40" x14ac:dyDescent="0.25">
      <c r="A1769" t="str">
        <f>"20190312160950112"</f>
        <v>20190312160950112</v>
      </c>
      <c r="B1769" t="str">
        <f>"1552378190107460"</f>
        <v>1552378190107460</v>
      </c>
      <c r="C1769" t="s">
        <v>40</v>
      </c>
      <c r="D1769">
        <v>5.5973009999999999</v>
      </c>
      <c r="E1769">
        <v>0.500865</v>
      </c>
      <c r="F1769" t="s">
        <v>42</v>
      </c>
      <c r="G1769">
        <v>-300.91480000000001</v>
      </c>
      <c r="H1769">
        <v>0.8472404</v>
      </c>
      <c r="I1769">
        <v>284.78480000000002</v>
      </c>
      <c r="J1769">
        <v>-300.38529999999997</v>
      </c>
      <c r="K1769">
        <v>1.1098650000000001</v>
      </c>
      <c r="L1769">
        <v>284.75850000000003</v>
      </c>
      <c r="M1769">
        <v>-0.99948409999999999</v>
      </c>
      <c r="N1769">
        <v>0</v>
      </c>
      <c r="O1769">
        <v>-3.0322330000000002E-2</v>
      </c>
      <c r="P1769">
        <v>-0.99927270000000001</v>
      </c>
      <c r="Q1769">
        <v>-2.0089650000000001E-2</v>
      </c>
      <c r="R1769">
        <v>3.241351E-2</v>
      </c>
      <c r="S1769">
        <v>-2.9814449999999999</v>
      </c>
      <c r="T1769">
        <v>-0.94034770000000001</v>
      </c>
      <c r="U1769">
        <v>5.9661869999999999E-2</v>
      </c>
      <c r="V1769">
        <v>6.2707360000000004E-2</v>
      </c>
      <c r="W1769">
        <v>-9.4822929999999993E-3</v>
      </c>
      <c r="X1769">
        <v>0.99798690000000001</v>
      </c>
      <c r="Y1769">
        <v>4.6582489999999997E-2</v>
      </c>
      <c r="Z1769">
        <v>1.6507460000000002E-2</v>
      </c>
      <c r="AA1769">
        <v>0.99877800000000005</v>
      </c>
      <c r="AB1769">
        <v>31</v>
      </c>
      <c r="AC1769">
        <v>-0.52950000000004105</v>
      </c>
      <c r="AD1769">
        <v>-0.26262459999999899</v>
      </c>
      <c r="AE1769">
        <v>2.6299999999992E-2</v>
      </c>
      <c r="AF1769">
        <v>3.40007949827087E-2</v>
      </c>
      <c r="AG1769">
        <v>-0.26262459999999899</v>
      </c>
      <c r="AH1769">
        <v>0.42432982198855901</v>
      </c>
      <c r="AI1769">
        <v>121.672047259301</v>
      </c>
      <c r="AJ1769">
        <v>85.418778846178995</v>
      </c>
      <c r="AK1769">
        <v>0.50018349874167001</v>
      </c>
      <c r="AL1769">
        <v>90.543303516550793</v>
      </c>
      <c r="AM1769">
        <v>86.4046122074176</v>
      </c>
      <c r="AN1769">
        <v>0.99999998972515802</v>
      </c>
    </row>
    <row r="1770" spans="1:40" x14ac:dyDescent="0.25">
      <c r="A1770" t="str">
        <f>"20190312160950135"</f>
        <v>20190312160950135</v>
      </c>
      <c r="B1770" t="str">
        <f>"1552378190127955"</f>
        <v>1552378190127955</v>
      </c>
      <c r="C1770" t="s">
        <v>40</v>
      </c>
      <c r="D1770">
        <v>5.5472039999999998</v>
      </c>
      <c r="E1770">
        <v>0.50000730000000004</v>
      </c>
      <c r="F1770" t="s">
        <v>42</v>
      </c>
      <c r="G1770">
        <v>-301.20769999999999</v>
      </c>
      <c r="H1770">
        <v>0.8806832</v>
      </c>
      <c r="I1770">
        <v>284.78370000000001</v>
      </c>
      <c r="J1770">
        <v>-300.71719999999999</v>
      </c>
      <c r="K1770">
        <v>1.1098319999999999</v>
      </c>
      <c r="L1770">
        <v>284.74799999999999</v>
      </c>
      <c r="M1770">
        <v>-0.999475</v>
      </c>
      <c r="N1770">
        <v>0</v>
      </c>
      <c r="O1770">
        <v>-3.0624869999999998E-2</v>
      </c>
      <c r="P1770">
        <v>-0.99929539999999994</v>
      </c>
      <c r="Q1770">
        <v>-2.0097759999999999E-2</v>
      </c>
      <c r="R1770">
        <v>3.1702960000000002E-2</v>
      </c>
      <c r="S1770">
        <v>-2.9824830000000002</v>
      </c>
      <c r="T1770">
        <v>-0.83128559999999996</v>
      </c>
      <c r="U1770">
        <v>9.1156009999999996E-2</v>
      </c>
      <c r="V1770">
        <v>6.2299060000000003E-2</v>
      </c>
      <c r="W1770">
        <v>-9.4873240000000001E-3</v>
      </c>
      <c r="X1770">
        <v>0.99801240000000002</v>
      </c>
      <c r="Y1770">
        <v>5.7780280000000003E-2</v>
      </c>
      <c r="Z1770">
        <v>1.6274790000000001E-2</v>
      </c>
      <c r="AA1770">
        <v>0.99819669999999905</v>
      </c>
      <c r="AB1770">
        <v>31</v>
      </c>
      <c r="AC1770">
        <v>-0.49049999999999699</v>
      </c>
      <c r="AD1770">
        <v>-0.22914879999999899</v>
      </c>
      <c r="AE1770">
        <v>3.5700000000019799E-2</v>
      </c>
      <c r="AF1770">
        <v>4.1660942964888301E-2</v>
      </c>
      <c r="AG1770">
        <v>-0.22914879999999899</v>
      </c>
      <c r="AH1770">
        <v>0.401919295666817</v>
      </c>
      <c r="AI1770">
        <v>119.557482746891</v>
      </c>
      <c r="AJ1770">
        <v>84.082140354770104</v>
      </c>
      <c r="AK1770">
        <v>0.46452548578035402</v>
      </c>
      <c r="AL1770">
        <v>90.543591797281394</v>
      </c>
      <c r="AM1770">
        <v>86.428052708537805</v>
      </c>
      <c r="AN1770">
        <v>0.99999996637366095</v>
      </c>
    </row>
    <row r="1771" spans="1:40" x14ac:dyDescent="0.25">
      <c r="A1771" t="str">
        <f>"20190312160950156"</f>
        <v>20190312160950156</v>
      </c>
      <c r="B1771" t="str">
        <f>"1552378190147479"</f>
        <v>1552378190147479</v>
      </c>
      <c r="C1771" t="s">
        <v>40</v>
      </c>
      <c r="D1771">
        <v>5.6217829999999998</v>
      </c>
      <c r="E1771">
        <v>0.49949789999999999</v>
      </c>
      <c r="F1771" t="s">
        <v>42</v>
      </c>
      <c r="G1771">
        <v>-301.51280000000003</v>
      </c>
      <c r="H1771">
        <v>0.93777239999999995</v>
      </c>
      <c r="I1771">
        <v>284.77089999999998</v>
      </c>
      <c r="J1771">
        <v>-301.01319999999998</v>
      </c>
      <c r="K1771">
        <v>1.1097969999999999</v>
      </c>
      <c r="L1771">
        <v>284.73869999999999</v>
      </c>
      <c r="M1771">
        <v>-0.99946760000000001</v>
      </c>
      <c r="N1771">
        <v>0</v>
      </c>
      <c r="O1771">
        <v>-3.085825E-2</v>
      </c>
      <c r="P1771">
        <v>-0.99927560000000004</v>
      </c>
      <c r="Q1771">
        <v>-2.0824519999999999E-2</v>
      </c>
      <c r="R1771">
        <v>3.1849750000000003E-2</v>
      </c>
      <c r="S1771">
        <v>-2.986389</v>
      </c>
      <c r="T1771">
        <v>-0.64589289999999999</v>
      </c>
      <c r="U1771">
        <v>8.5693359999999996E-2</v>
      </c>
      <c r="V1771">
        <v>6.2677839999999999E-2</v>
      </c>
      <c r="W1771">
        <v>-1.021217E-2</v>
      </c>
      <c r="X1771">
        <v>0.99798149999999997</v>
      </c>
      <c r="Y1771">
        <v>5.7475440000000003E-2</v>
      </c>
      <c r="Z1771">
        <v>1.2739810000000001E-2</v>
      </c>
      <c r="AA1771">
        <v>0.99826559999999998</v>
      </c>
      <c r="AB1771">
        <v>31</v>
      </c>
      <c r="AC1771">
        <v>-0.49960000000004301</v>
      </c>
      <c r="AD1771">
        <v>-0.172024599999999</v>
      </c>
      <c r="AE1771">
        <v>3.2199999999988897E-2</v>
      </c>
      <c r="AF1771">
        <v>4.2575467603765897E-2</v>
      </c>
      <c r="AG1771">
        <v>-0.172024599999999</v>
      </c>
      <c r="AH1771">
        <v>0.44574024707090598</v>
      </c>
      <c r="AI1771">
        <v>111.015857348713</v>
      </c>
      <c r="AJ1771">
        <v>84.543870630605795</v>
      </c>
      <c r="AK1771">
        <v>0.479676454816861</v>
      </c>
      <c r="AL1771">
        <v>90.585124448005004</v>
      </c>
      <c r="AM1771">
        <v>86.406280934604496</v>
      </c>
      <c r="AN1771">
        <v>0.99999993719270996</v>
      </c>
    </row>
    <row r="1772" spans="1:40" x14ac:dyDescent="0.25">
      <c r="A1772" t="str">
        <f>"20190312160950177"</f>
        <v>20190312160950177</v>
      </c>
      <c r="B1772" t="str">
        <f>"1552378190167004"</f>
        <v>1552378190167004</v>
      </c>
      <c r="C1772" t="s">
        <v>40</v>
      </c>
      <c r="D1772">
        <v>5.3434970000000002</v>
      </c>
      <c r="E1772">
        <v>0.49680960000000002</v>
      </c>
      <c r="F1772" t="s">
        <v>42</v>
      </c>
      <c r="G1772">
        <v>-301.80720000000002</v>
      </c>
      <c r="H1772">
        <v>0.9681594</v>
      </c>
      <c r="I1772">
        <v>284.7611</v>
      </c>
      <c r="J1772">
        <v>-301.31270000000001</v>
      </c>
      <c r="K1772">
        <v>1.1097619999999999</v>
      </c>
      <c r="L1772">
        <v>284.72919999999999</v>
      </c>
      <c r="M1772">
        <v>-0.9994615</v>
      </c>
      <c r="N1772">
        <v>0</v>
      </c>
      <c r="O1772">
        <v>-3.1056179999999999E-2</v>
      </c>
      <c r="P1772">
        <v>-0.99924809999999997</v>
      </c>
      <c r="Q1772">
        <v>-2.126519E-2</v>
      </c>
      <c r="R1772">
        <v>3.242167E-2</v>
      </c>
      <c r="S1772">
        <v>-2.9883730000000002</v>
      </c>
      <c r="T1772">
        <v>-0.53305719999999901</v>
      </c>
      <c r="U1772">
        <v>8.3770750000000005E-2</v>
      </c>
      <c r="V1772">
        <v>6.3445699999999994E-2</v>
      </c>
      <c r="W1772">
        <v>-1.065145E-2</v>
      </c>
      <c r="X1772">
        <v>0.99792840000000005</v>
      </c>
      <c r="Y1772">
        <v>5.765406E-2</v>
      </c>
      <c r="Z1772">
        <v>1.0596349999999999E-2</v>
      </c>
      <c r="AA1772">
        <v>0.99828039999999996</v>
      </c>
      <c r="AB1772">
        <v>31</v>
      </c>
      <c r="AC1772">
        <v>-0.49450000000001598</v>
      </c>
      <c r="AD1772">
        <v>-0.1416026</v>
      </c>
      <c r="AE1772">
        <v>3.1900000000007298E-2</v>
      </c>
      <c r="AF1772">
        <v>4.3676182031816703E-2</v>
      </c>
      <c r="AG1772">
        <v>-0.1416026</v>
      </c>
      <c r="AH1772">
        <v>0.45603143528631701</v>
      </c>
      <c r="AI1772">
        <v>107.17618116649901</v>
      </c>
      <c r="AJ1772">
        <v>84.529212126066</v>
      </c>
      <c r="AK1772">
        <v>0.47950346732107701</v>
      </c>
      <c r="AL1772">
        <v>90.610294701043301</v>
      </c>
      <c r="AM1772">
        <v>86.362179099404798</v>
      </c>
      <c r="AN1772">
        <v>0.99999995088107496</v>
      </c>
    </row>
    <row r="1773" spans="1:40" x14ac:dyDescent="0.25">
      <c r="A1773" t="str">
        <f>"20190312160950201"</f>
        <v>20190312160950201</v>
      </c>
      <c r="B1773" t="str">
        <f>"1552378190197252"</f>
        <v>1552378190197252</v>
      </c>
      <c r="C1773" t="s">
        <v>40</v>
      </c>
      <c r="D1773">
        <v>5.4784769999999998</v>
      </c>
      <c r="E1773">
        <v>0.49508609999999997</v>
      </c>
      <c r="F1773" t="s">
        <v>42</v>
      </c>
      <c r="G1773">
        <v>-302.09769999999997</v>
      </c>
      <c r="H1773">
        <v>0.98975409999999997</v>
      </c>
      <c r="I1773">
        <v>284.74650000000003</v>
      </c>
      <c r="J1773">
        <v>-301.6354</v>
      </c>
      <c r="K1773">
        <v>1.1097349999999999</v>
      </c>
      <c r="L1773">
        <v>284.71910000000003</v>
      </c>
      <c r="M1773">
        <v>-0.99945600000000001</v>
      </c>
      <c r="N1773">
        <v>0</v>
      </c>
      <c r="O1773">
        <v>-3.1226029999999998E-2</v>
      </c>
      <c r="P1773">
        <v>-0.99923770000000001</v>
      </c>
      <c r="Q1773">
        <v>-2.082753E-2</v>
      </c>
      <c r="R1773">
        <v>3.3020979999999998E-2</v>
      </c>
      <c r="S1773">
        <v>-2.9904480000000002</v>
      </c>
      <c r="T1773">
        <v>-0.45711950000000001</v>
      </c>
      <c r="U1773">
        <v>6.5155030000000003E-2</v>
      </c>
      <c r="V1773">
        <v>6.4212690000000003E-2</v>
      </c>
      <c r="W1773">
        <v>-1.021271E-2</v>
      </c>
      <c r="X1773">
        <v>0.99788399999999999</v>
      </c>
      <c r="Y1773">
        <v>5.2025639999999998E-2</v>
      </c>
      <c r="Z1773">
        <v>8.6980719999999994E-3</v>
      </c>
      <c r="AA1773">
        <v>0.99860789999999999</v>
      </c>
      <c r="AB1773">
        <v>31</v>
      </c>
      <c r="AC1773">
        <v>-0.46229999999997001</v>
      </c>
      <c r="AD1773">
        <v>-0.1199809</v>
      </c>
      <c r="AE1773">
        <v>2.7400000000000001E-2</v>
      </c>
      <c r="AF1773">
        <v>3.9192625039373402E-2</v>
      </c>
      <c r="AG1773">
        <v>-0.1199809</v>
      </c>
      <c r="AH1773">
        <v>0.43220892347481299</v>
      </c>
      <c r="AI1773">
        <v>105.454257568869</v>
      </c>
      <c r="AJ1773">
        <v>84.818600250764405</v>
      </c>
      <c r="AK1773">
        <v>0.45026218112733302</v>
      </c>
      <c r="AL1773">
        <v>90.585155338994895</v>
      </c>
      <c r="AM1773">
        <v>86.318158646693902</v>
      </c>
      <c r="AN1773">
        <v>1.0000000232292801</v>
      </c>
    </row>
    <row r="1774" spans="1:40" x14ac:dyDescent="0.25">
      <c r="A1774" t="str">
        <f>"20190312160950223"</f>
        <v>20190312160950223</v>
      </c>
      <c r="B1774" t="str">
        <f>"1552378190217747"</f>
        <v>1552378190217747</v>
      </c>
      <c r="C1774" t="s">
        <v>40</v>
      </c>
      <c r="D1774">
        <v>5.5722269999999998</v>
      </c>
      <c r="E1774">
        <v>0.49520259999999999</v>
      </c>
      <c r="F1774" t="s">
        <v>42</v>
      </c>
      <c r="G1774">
        <v>-302.38940000000002</v>
      </c>
      <c r="H1774">
        <v>1.013358</v>
      </c>
      <c r="I1774">
        <v>284.73309999999998</v>
      </c>
      <c r="J1774">
        <v>-301.94600000000003</v>
      </c>
      <c r="K1774">
        <v>1.109704</v>
      </c>
      <c r="L1774">
        <v>284.70920000000001</v>
      </c>
      <c r="M1774">
        <v>-0.99945220000000001</v>
      </c>
      <c r="N1774">
        <v>0</v>
      </c>
      <c r="O1774">
        <v>-3.1346449999999998E-2</v>
      </c>
      <c r="P1774">
        <v>-0.99926910000000002</v>
      </c>
      <c r="Q1774">
        <v>-1.9501560000000001E-2</v>
      </c>
      <c r="R1774">
        <v>3.2882069999999999E-2</v>
      </c>
      <c r="S1774">
        <v>-2.9924930000000001</v>
      </c>
      <c r="T1774">
        <v>-0.38268150000000001</v>
      </c>
      <c r="U1774">
        <v>5.4626460000000002E-2</v>
      </c>
      <c r="V1774">
        <v>6.4193929999999996E-2</v>
      </c>
      <c r="W1774">
        <v>-8.8853539999999998E-3</v>
      </c>
      <c r="X1774">
        <v>0.9978979</v>
      </c>
      <c r="Y1774">
        <v>4.8931910000000002E-2</v>
      </c>
      <c r="Z1774">
        <v>7.1078060000000004E-3</v>
      </c>
      <c r="AA1774">
        <v>0.99877689999999997</v>
      </c>
      <c r="AB1774">
        <v>31</v>
      </c>
      <c r="AC1774">
        <v>-0.44340000000005297</v>
      </c>
      <c r="AD1774">
        <v>-9.6346000000000001E-2</v>
      </c>
      <c r="AE1774">
        <v>2.3899999999969099E-2</v>
      </c>
      <c r="AF1774">
        <v>3.60890598725436E-2</v>
      </c>
      <c r="AG1774">
        <v>-9.6346000000000001E-2</v>
      </c>
      <c r="AH1774">
        <v>0.42254058183679499</v>
      </c>
      <c r="AI1774">
        <v>102.79969479429499</v>
      </c>
      <c r="AJ1774">
        <v>85.118232791189797</v>
      </c>
      <c r="AK1774">
        <v>0.43488563468739799</v>
      </c>
      <c r="AL1774">
        <v>90.509099975316303</v>
      </c>
      <c r="AM1774">
        <v>86.319282483737993</v>
      </c>
      <c r="AN1774">
        <v>1.0000000144944801</v>
      </c>
    </row>
    <row r="1775" spans="1:40" x14ac:dyDescent="0.25">
      <c r="A1775" t="str">
        <f>"20190312160950247"</f>
        <v>20190312160950247</v>
      </c>
      <c r="B1775" t="str">
        <f>"1552378190237268"</f>
        <v>1552378190237268</v>
      </c>
      <c r="C1775" t="s">
        <v>40</v>
      </c>
      <c r="D1775">
        <v>5.4774909999999997</v>
      </c>
      <c r="E1775">
        <v>0.49592819999999999</v>
      </c>
      <c r="F1775" t="s">
        <v>42</v>
      </c>
      <c r="G1775">
        <v>-302.6739</v>
      </c>
      <c r="H1775">
        <v>1.0217909999999999</v>
      </c>
      <c r="I1775">
        <v>284.72300000000001</v>
      </c>
      <c r="J1775">
        <v>-302.2704</v>
      </c>
      <c r="K1775">
        <v>1.1096729999999999</v>
      </c>
      <c r="L1775">
        <v>284.69889999999998</v>
      </c>
      <c r="M1775">
        <v>-0.99944960000000005</v>
      </c>
      <c r="N1775">
        <v>0</v>
      </c>
      <c r="O1775">
        <v>-3.142648E-2</v>
      </c>
      <c r="P1775">
        <v>-0.99929400000000002</v>
      </c>
      <c r="Q1775">
        <v>-1.8857990000000002E-2</v>
      </c>
      <c r="R1775">
        <v>3.2493540000000001E-2</v>
      </c>
      <c r="S1775">
        <v>-2.9932560000000001</v>
      </c>
      <c r="T1775">
        <v>-0.36156189999999999</v>
      </c>
      <c r="U1775">
        <v>5.5999760000000003E-2</v>
      </c>
      <c r="V1775">
        <v>6.3885170000000005E-2</v>
      </c>
      <c r="W1775">
        <v>-8.2398560000000003E-3</v>
      </c>
      <c r="X1775">
        <v>0.99792329999999996</v>
      </c>
      <c r="Y1775">
        <v>4.9530570000000003E-2</v>
      </c>
      <c r="Z1775">
        <v>6.7623830000000003E-3</v>
      </c>
      <c r="AA1775">
        <v>0.99874969999999996</v>
      </c>
      <c r="AB1775">
        <v>31</v>
      </c>
      <c r="AC1775">
        <v>-0.40350000000000802</v>
      </c>
      <c r="AD1775">
        <v>-8.7882000000000002E-2</v>
      </c>
      <c r="AE1775">
        <v>2.4100000000032599E-2</v>
      </c>
      <c r="AF1775">
        <v>3.51098276142041E-2</v>
      </c>
      <c r="AG1775">
        <v>-8.7882000000000002E-2</v>
      </c>
      <c r="AH1775">
        <v>0.38437467280202298</v>
      </c>
      <c r="AI1775">
        <v>102.82691094611501</v>
      </c>
      <c r="AJ1775">
        <v>84.780930662600298</v>
      </c>
      <c r="AK1775">
        <v>0.39585329986089701</v>
      </c>
      <c r="AL1775">
        <v>90.472114286081407</v>
      </c>
      <c r="AM1775">
        <v>86.337030665414105</v>
      </c>
      <c r="AN1775">
        <v>1.0000000614278499</v>
      </c>
    </row>
    <row r="1776" spans="1:40" x14ac:dyDescent="0.25">
      <c r="A1776" t="str">
        <f>"20190312160950269"</f>
        <v>20190312160950269</v>
      </c>
      <c r="B1776" t="str">
        <f>"1552378190257764"</f>
        <v>1552378190257764</v>
      </c>
      <c r="C1776" t="s">
        <v>40</v>
      </c>
      <c r="D1776">
        <v>5.5424769999999999</v>
      </c>
      <c r="E1776">
        <v>0.4967665</v>
      </c>
      <c r="F1776" t="s">
        <v>42</v>
      </c>
      <c r="G1776">
        <v>-303.22539999999998</v>
      </c>
      <c r="H1776">
        <v>1.000567</v>
      </c>
      <c r="I1776">
        <v>284.71850000000001</v>
      </c>
      <c r="J1776">
        <v>-302.58859999999999</v>
      </c>
      <c r="K1776">
        <v>1.109645</v>
      </c>
      <c r="L1776">
        <v>284.68889999999999</v>
      </c>
      <c r="M1776">
        <v>-0.99944809999999995</v>
      </c>
      <c r="N1776">
        <v>0</v>
      </c>
      <c r="O1776">
        <v>-3.1472020000000003E-2</v>
      </c>
      <c r="P1776">
        <v>-0.99927960000000005</v>
      </c>
      <c r="Q1776">
        <v>-1.8817710000000001E-2</v>
      </c>
      <c r="R1776">
        <v>3.2959960000000003E-2</v>
      </c>
      <c r="S1776">
        <v>-2.9936829999999999</v>
      </c>
      <c r="T1776">
        <v>-0.34207480000000001</v>
      </c>
      <c r="U1776">
        <v>6.1004639999999999E-2</v>
      </c>
      <c r="V1776">
        <v>6.4395830000000001E-2</v>
      </c>
      <c r="W1776">
        <v>-8.1972360000000001E-3</v>
      </c>
      <c r="X1776">
        <v>0.99789079999999997</v>
      </c>
      <c r="Y1776">
        <v>5.1292360000000002E-2</v>
      </c>
      <c r="Z1776">
        <v>6.5048500000000004E-3</v>
      </c>
      <c r="AA1776">
        <v>0.99866250000000001</v>
      </c>
      <c r="AB1776">
        <v>31</v>
      </c>
      <c r="AC1776">
        <v>-0.63679999999999304</v>
      </c>
      <c r="AD1776">
        <v>-0.10907799999999999</v>
      </c>
      <c r="AE1776">
        <v>2.96000000000162E-2</v>
      </c>
      <c r="AF1776">
        <v>4.8216210301667298E-2</v>
      </c>
      <c r="AG1776">
        <v>-0.10907799999999999</v>
      </c>
      <c r="AH1776">
        <v>0.61747489798047706</v>
      </c>
      <c r="AI1776">
        <v>99.988253790866494</v>
      </c>
      <c r="AJ1776">
        <v>85.535055891577997</v>
      </c>
      <c r="AK1776">
        <v>0.62888636704563405</v>
      </c>
      <c r="AL1776">
        <v>90.469672270910195</v>
      </c>
      <c r="AM1776">
        <v>86.307711823871998</v>
      </c>
      <c r="AN1776">
        <v>1.00000003316203</v>
      </c>
    </row>
    <row r="1777" spans="1:40" x14ac:dyDescent="0.25">
      <c r="A1777" t="str">
        <f>"20190312160950292"</f>
        <v>20190312160950292</v>
      </c>
      <c r="B1777" t="str">
        <f>"1552378190287550"</f>
        <v>1552378190287550</v>
      </c>
      <c r="C1777" t="s">
        <v>40</v>
      </c>
      <c r="D1777">
        <v>5.6441210000000002</v>
      </c>
      <c r="E1777">
        <v>0.49793199999999999</v>
      </c>
      <c r="F1777" t="s">
        <v>42</v>
      </c>
      <c r="G1777">
        <v>-303.5102</v>
      </c>
      <c r="H1777">
        <v>1.008016</v>
      </c>
      <c r="I1777">
        <v>284.71039999999999</v>
      </c>
      <c r="J1777">
        <v>-302.90559999999999</v>
      </c>
      <c r="K1777">
        <v>1.109632</v>
      </c>
      <c r="L1777">
        <v>284.6789</v>
      </c>
      <c r="M1777">
        <v>-0.99944739999999999</v>
      </c>
      <c r="N1777">
        <v>0</v>
      </c>
      <c r="O1777">
        <v>-3.149503E-2</v>
      </c>
      <c r="P1777">
        <v>-0.99926669999999995</v>
      </c>
      <c r="Q1777">
        <v>-1.8461600000000002E-2</v>
      </c>
      <c r="R1777">
        <v>3.3546470000000002E-2</v>
      </c>
      <c r="S1777">
        <v>-2.993652</v>
      </c>
      <c r="T1777">
        <v>-0.33025130000000003</v>
      </c>
      <c r="U1777">
        <v>6.8847660000000005E-2</v>
      </c>
      <c r="V1777">
        <v>6.5004140000000002E-2</v>
      </c>
      <c r="W1777">
        <v>-7.8376119999999903E-3</v>
      </c>
      <c r="X1777">
        <v>0.99785420000000002</v>
      </c>
      <c r="Y1777">
        <v>5.3950749999999999E-2</v>
      </c>
      <c r="Z1777">
        <v>6.4300210000000002E-3</v>
      </c>
      <c r="AA1777">
        <v>0.99852289999999999</v>
      </c>
      <c r="AB1777">
        <v>31</v>
      </c>
      <c r="AC1777">
        <v>-0.60460000000000402</v>
      </c>
      <c r="AD1777">
        <v>-0.101615999999999</v>
      </c>
      <c r="AE1777">
        <v>3.1499999999993998E-2</v>
      </c>
      <c r="AF1777">
        <v>4.9142910465402298E-2</v>
      </c>
      <c r="AG1777">
        <v>-0.101615999999999</v>
      </c>
      <c r="AH1777">
        <v>0.58677745384941404</v>
      </c>
      <c r="AI1777">
        <v>99.791222058799406</v>
      </c>
      <c r="AJ1777">
        <v>85.212621565826595</v>
      </c>
      <c r="AK1777">
        <v>0.59753545288209597</v>
      </c>
      <c r="AL1777">
        <v>90.449066693246195</v>
      </c>
      <c r="AM1777">
        <v>86.272794454642593</v>
      </c>
      <c r="AN1777">
        <v>0.99999998541832003</v>
      </c>
    </row>
    <row r="1778" spans="1:40" x14ac:dyDescent="0.25">
      <c r="A1778" t="str">
        <f>"20190312160950314"</f>
        <v>20190312160950314</v>
      </c>
      <c r="B1778" t="str">
        <f>"1552378190307070"</f>
        <v>1552378190307070</v>
      </c>
      <c r="C1778" t="s">
        <v>40</v>
      </c>
      <c r="D1778">
        <v>5.5901439999999996</v>
      </c>
      <c r="E1778">
        <v>0.49889749999999999</v>
      </c>
      <c r="F1778" t="s">
        <v>42</v>
      </c>
      <c r="G1778">
        <v>-303.7962</v>
      </c>
      <c r="H1778">
        <v>1.017587</v>
      </c>
      <c r="I1778">
        <v>284.7029</v>
      </c>
      <c r="J1778">
        <v>-303.22300000000001</v>
      </c>
      <c r="K1778">
        <v>1.1096170000000001</v>
      </c>
      <c r="L1778">
        <v>284.66890000000001</v>
      </c>
      <c r="M1778">
        <v>-0.99944699999999997</v>
      </c>
      <c r="N1778">
        <v>0</v>
      </c>
      <c r="O1778">
        <v>-3.1503709999999997E-2</v>
      </c>
      <c r="P1778">
        <v>-0.99926590000000004</v>
      </c>
      <c r="Q1778">
        <v>-1.8000019999999999E-2</v>
      </c>
      <c r="R1778">
        <v>3.3822030000000003E-2</v>
      </c>
      <c r="S1778">
        <v>-2.9938349999999998</v>
      </c>
      <c r="T1778">
        <v>-0.30957570000000001</v>
      </c>
      <c r="U1778">
        <v>7.9895019999999997E-2</v>
      </c>
      <c r="V1778">
        <v>6.528784E-2</v>
      </c>
      <c r="W1778">
        <v>-7.3712439999999999E-3</v>
      </c>
      <c r="X1778">
        <v>0.99783929999999998</v>
      </c>
      <c r="Y1778">
        <v>5.7682780000000003E-2</v>
      </c>
      <c r="Z1778">
        <v>6.2223779999999998E-3</v>
      </c>
      <c r="AA1778">
        <v>0.99831559999999997</v>
      </c>
      <c r="AB1778">
        <v>31</v>
      </c>
      <c r="AC1778">
        <v>-0.57319999999998505</v>
      </c>
      <c r="AD1778">
        <v>-9.2030000000000001E-2</v>
      </c>
      <c r="AE1778">
        <v>3.3999999999991801E-2</v>
      </c>
      <c r="AF1778">
        <v>5.0738721693915599E-2</v>
      </c>
      <c r="AG1778">
        <v>-9.2030000000000001E-2</v>
      </c>
      <c r="AH1778">
        <v>0.55752291766536799</v>
      </c>
      <c r="AI1778">
        <v>99.335362287905795</v>
      </c>
      <c r="AJ1778">
        <v>84.799983543528398</v>
      </c>
      <c r="AK1778">
        <v>0.56734094026540705</v>
      </c>
      <c r="AL1778">
        <v>90.422344973356005</v>
      </c>
      <c r="AM1778">
        <v>86.256518085376598</v>
      </c>
      <c r="AN1778">
        <v>1.0000000529572299</v>
      </c>
    </row>
    <row r="1779" spans="1:40" x14ac:dyDescent="0.25">
      <c r="A1779" t="str">
        <f>"20190312160950347"</f>
        <v>20190312160950347</v>
      </c>
      <c r="B1779" t="str">
        <f>"1552378190337330"</f>
        <v>1552378190337330</v>
      </c>
      <c r="C1779" t="s">
        <v>40</v>
      </c>
      <c r="D1779">
        <v>5.6172019999999998</v>
      </c>
      <c r="E1779">
        <v>0.49975130000000001</v>
      </c>
      <c r="F1779" t="s">
        <v>42</v>
      </c>
      <c r="G1779">
        <v>-304.08069999999998</v>
      </c>
      <c r="H1779">
        <v>1.023482</v>
      </c>
      <c r="I1779">
        <v>284.69450000000001</v>
      </c>
      <c r="J1779">
        <v>-303.68439999999998</v>
      </c>
      <c r="K1779">
        <v>1.1096079999999999</v>
      </c>
      <c r="L1779">
        <v>284.65429999999998</v>
      </c>
      <c r="M1779">
        <v>-0.99944690000000003</v>
      </c>
      <c r="N1779">
        <v>0</v>
      </c>
      <c r="O1779">
        <v>-3.1503730000000001E-2</v>
      </c>
      <c r="P1779">
        <v>-0.9992801</v>
      </c>
      <c r="Q1779">
        <v>-1.7518530000000001E-2</v>
      </c>
      <c r="R1779">
        <v>3.3657739999999998E-2</v>
      </c>
      <c r="S1779">
        <v>-2.993744</v>
      </c>
      <c r="T1779">
        <v>-0.30082419999999999</v>
      </c>
      <c r="U1779">
        <v>8.8775629999999994E-2</v>
      </c>
      <c r="V1779">
        <v>6.5124180000000004E-2</v>
      </c>
      <c r="W1779">
        <v>-6.8811609999999898E-3</v>
      </c>
      <c r="X1779">
        <v>0.99785349999999995</v>
      </c>
      <c r="Y1779">
        <v>6.065388E-2</v>
      </c>
      <c r="Z1779">
        <v>6.1962069999999996E-3</v>
      </c>
      <c r="AA1779">
        <v>0.99813960000000002</v>
      </c>
      <c r="AB1779">
        <v>31</v>
      </c>
      <c r="AC1779">
        <v>-0.39629999999999599</v>
      </c>
      <c r="AD1779">
        <v>-8.6125999999999897E-2</v>
      </c>
      <c r="AE1779">
        <v>4.0200000000027103E-2</v>
      </c>
      <c r="AF1779">
        <v>5.0313559811775398E-2</v>
      </c>
      <c r="AG1779">
        <v>-8.6125999999999897E-2</v>
      </c>
      <c r="AH1779">
        <v>0.37720280508835902</v>
      </c>
      <c r="AI1779">
        <v>102.752546708141</v>
      </c>
      <c r="AJ1779">
        <v>82.402393804808597</v>
      </c>
      <c r="AK1779">
        <v>0.39016803859806298</v>
      </c>
      <c r="AL1779">
        <v>90.3942645719235</v>
      </c>
      <c r="AM1779">
        <v>86.265928447344294</v>
      </c>
      <c r="AN1779">
        <v>1.0000000583298101</v>
      </c>
    </row>
    <row r="1780" spans="1:40" x14ac:dyDescent="0.25">
      <c r="A1780" t="str">
        <f>"20190312160950368"</f>
        <v>20190312160950368</v>
      </c>
      <c r="B1780" t="str">
        <f>"1552378190356850"</f>
        <v>1552378190356850</v>
      </c>
      <c r="C1780" t="s">
        <v>40</v>
      </c>
      <c r="D1780">
        <v>5.6167639999999999</v>
      </c>
      <c r="E1780">
        <v>0.49999690000000002</v>
      </c>
      <c r="F1780" t="s">
        <v>42</v>
      </c>
      <c r="G1780">
        <v>-304.64159999999998</v>
      </c>
      <c r="H1780">
        <v>1.017328</v>
      </c>
      <c r="I1780">
        <v>284.68490000000003</v>
      </c>
      <c r="J1780">
        <v>-303.98160000000001</v>
      </c>
      <c r="K1780">
        <v>1.1095999999999999</v>
      </c>
      <c r="L1780">
        <v>284.64490000000001</v>
      </c>
      <c r="M1780">
        <v>-0.99944690000000003</v>
      </c>
      <c r="N1780">
        <v>0</v>
      </c>
      <c r="O1780">
        <v>-3.1501330000000001E-2</v>
      </c>
      <c r="P1780">
        <v>-0.99928309999999998</v>
      </c>
      <c r="Q1780">
        <v>-1.7669859999999999E-2</v>
      </c>
      <c r="R1780">
        <v>3.3485260000000003E-2</v>
      </c>
      <c r="S1780">
        <v>-2.9938660000000001</v>
      </c>
      <c r="T1780">
        <v>-0.28866760000000002</v>
      </c>
      <c r="U1780">
        <v>9.5306399999999999E-2</v>
      </c>
      <c r="V1780">
        <v>6.4949290000000007E-2</v>
      </c>
      <c r="W1780">
        <v>-7.0264569999999998E-3</v>
      </c>
      <c r="X1780">
        <v>0.99786379999999997</v>
      </c>
      <c r="Y1780">
        <v>6.285193E-2</v>
      </c>
      <c r="Z1780">
        <v>6.052043E-3</v>
      </c>
      <c r="AA1780">
        <v>0.99800449999999996</v>
      </c>
      <c r="AB1780">
        <v>32</v>
      </c>
      <c r="AC1780">
        <v>-0.65999999999996795</v>
      </c>
      <c r="AD1780">
        <v>-9.2271999999999896E-2</v>
      </c>
      <c r="AE1780">
        <v>4.0000000000020401E-2</v>
      </c>
      <c r="AF1780">
        <v>5.9611321517251702E-2</v>
      </c>
      <c r="AG1780">
        <v>-9.2271999999999896E-2</v>
      </c>
      <c r="AH1780">
        <v>0.64583516093863003</v>
      </c>
      <c r="AI1780">
        <v>98.096998593026896</v>
      </c>
      <c r="AJ1780">
        <v>84.726476298503101</v>
      </c>
      <c r="AK1780">
        <v>0.65511120181360005</v>
      </c>
      <c r="AL1780">
        <v>90.402589654919694</v>
      </c>
      <c r="AM1780">
        <v>86.275966315299101</v>
      </c>
      <c r="AN1780">
        <v>0.99999997235995797</v>
      </c>
    </row>
    <row r="1781" spans="1:40" x14ac:dyDescent="0.25">
      <c r="A1781" t="str">
        <f>"20190312160950390"</f>
        <v>20190312160950390</v>
      </c>
      <c r="B1781" t="str">
        <f>"1552378190377343"</f>
        <v>1552378190377343</v>
      </c>
      <c r="C1781" t="s">
        <v>40</v>
      </c>
      <c r="D1781">
        <v>5.605524</v>
      </c>
      <c r="E1781">
        <v>0.49993480000000001</v>
      </c>
      <c r="F1781" t="s">
        <v>42</v>
      </c>
      <c r="G1781">
        <v>-304.92509999999999</v>
      </c>
      <c r="H1781">
        <v>1.0201639999999901</v>
      </c>
      <c r="I1781">
        <v>284.67559999999997</v>
      </c>
      <c r="J1781">
        <v>-304.291</v>
      </c>
      <c r="K1781">
        <v>1.1095889999999999</v>
      </c>
      <c r="L1781">
        <v>284.6352</v>
      </c>
      <c r="M1781">
        <v>-0.99944670000000002</v>
      </c>
      <c r="N1781">
        <v>0</v>
      </c>
      <c r="O1781">
        <v>-3.1499289999999999E-2</v>
      </c>
      <c r="P1781">
        <v>-0.99928159999999999</v>
      </c>
      <c r="Q1781">
        <v>-1.8865340000000001E-2</v>
      </c>
      <c r="R1781">
        <v>3.2869309999999999E-2</v>
      </c>
      <c r="S1781">
        <v>-2.9938660000000001</v>
      </c>
      <c r="T1781">
        <v>-0.28380949999999999</v>
      </c>
      <c r="U1781">
        <v>9.7045900000000004E-2</v>
      </c>
      <c r="V1781">
        <v>6.4331459999999993E-2</v>
      </c>
      <c r="W1781">
        <v>-8.2153580000000007E-3</v>
      </c>
      <c r="X1781">
        <v>0.99789479999999997</v>
      </c>
      <c r="Y1781">
        <v>6.3441109999999995E-2</v>
      </c>
      <c r="Z1781">
        <v>5.9782689999999996E-3</v>
      </c>
      <c r="AA1781">
        <v>0.99796770000000001</v>
      </c>
      <c r="AB1781">
        <v>32</v>
      </c>
      <c r="AC1781">
        <v>-0.63409999999998901</v>
      </c>
      <c r="AD1781">
        <v>-8.9425000000000004E-2</v>
      </c>
      <c r="AE1781">
        <v>4.0399999999976899E-2</v>
      </c>
      <c r="AF1781">
        <v>5.9182496058276197E-2</v>
      </c>
      <c r="AG1781">
        <v>-8.9425000000000004E-2</v>
      </c>
      <c r="AH1781">
        <v>0.62022713594865098</v>
      </c>
      <c r="AI1781">
        <v>98.1678295072239</v>
      </c>
      <c r="AJ1781">
        <v>84.549300755207497</v>
      </c>
      <c r="AK1781">
        <v>0.62942918476326903</v>
      </c>
      <c r="AL1781">
        <v>90.470710621274606</v>
      </c>
      <c r="AM1781">
        <v>86.311407181259696</v>
      </c>
      <c r="AN1781">
        <v>1.0000000303599099</v>
      </c>
    </row>
    <row r="1782" spans="1:40" x14ac:dyDescent="0.25">
      <c r="A1782" t="str">
        <f>"20190312160950413"</f>
        <v>20190312160950413</v>
      </c>
      <c r="B1782" t="str">
        <f>"1552378190407598"</f>
        <v>1552378190407598</v>
      </c>
      <c r="C1782" t="s">
        <v>40</v>
      </c>
      <c r="D1782">
        <v>5.7357959999999997</v>
      </c>
      <c r="E1782">
        <v>0.5002685</v>
      </c>
      <c r="F1782" t="s">
        <v>42</v>
      </c>
      <c r="G1782">
        <v>-305.20949999999999</v>
      </c>
      <c r="H1782">
        <v>1.0243690000000001</v>
      </c>
      <c r="I1782">
        <v>284.6644</v>
      </c>
      <c r="J1782">
        <v>-304.6164</v>
      </c>
      <c r="K1782">
        <v>1.109585</v>
      </c>
      <c r="L1782">
        <v>284.62490000000003</v>
      </c>
      <c r="M1782">
        <v>-0.99944690000000003</v>
      </c>
      <c r="N1782">
        <v>0</v>
      </c>
      <c r="O1782">
        <v>-3.1498930000000001E-2</v>
      </c>
      <c r="P1782">
        <v>-0.99928430000000001</v>
      </c>
      <c r="Q1782">
        <v>-1.928419E-2</v>
      </c>
      <c r="R1782">
        <v>3.2548010000000002E-2</v>
      </c>
      <c r="S1782">
        <v>-2.9937740000000002</v>
      </c>
      <c r="T1782">
        <v>-0.27790110000000001</v>
      </c>
      <c r="U1782">
        <v>9.4604489999999999E-2</v>
      </c>
      <c r="V1782">
        <v>6.4009899999999995E-2</v>
      </c>
      <c r="W1782">
        <v>-8.6273210000000003E-3</v>
      </c>
      <c r="X1782">
        <v>0.99791200000000002</v>
      </c>
      <c r="Y1782">
        <v>6.2649560000000007E-2</v>
      </c>
      <c r="Z1782">
        <v>5.8179080000000001E-3</v>
      </c>
      <c r="AA1782">
        <v>0.99801859999999998</v>
      </c>
      <c r="AB1782">
        <v>32</v>
      </c>
      <c r="AC1782">
        <v>-0.59309999999999197</v>
      </c>
      <c r="AD1782">
        <v>-8.5215999999999903E-2</v>
      </c>
      <c r="AE1782">
        <v>3.9499999999975402E-2</v>
      </c>
      <c r="AF1782">
        <v>5.6992144578528497E-2</v>
      </c>
      <c r="AG1782">
        <v>-8.5215999999999903E-2</v>
      </c>
      <c r="AH1782">
        <v>0.579648171105827</v>
      </c>
      <c r="AI1782">
        <v>98.323763296812004</v>
      </c>
      <c r="AJ1782">
        <v>84.384615248178093</v>
      </c>
      <c r="AK1782">
        <v>0.58864409745277302</v>
      </c>
      <c r="AL1782">
        <v>90.494315199705397</v>
      </c>
      <c r="AM1782">
        <v>86.329857132154501</v>
      </c>
      <c r="AN1782">
        <v>1.0000000288548201</v>
      </c>
    </row>
    <row r="1783" spans="1:40" x14ac:dyDescent="0.25">
      <c r="A1783" t="str">
        <f>"20190312160950437"</f>
        <v>20190312160950437</v>
      </c>
      <c r="B1783" t="str">
        <f>"1552378190427118"</f>
        <v>1552378190427118</v>
      </c>
      <c r="C1783" t="s">
        <v>40</v>
      </c>
      <c r="D1783">
        <v>5.5930669999999996</v>
      </c>
      <c r="E1783">
        <v>0.52630359999999998</v>
      </c>
      <c r="F1783" t="s">
        <v>42</v>
      </c>
      <c r="G1783">
        <v>-305.49439999999998</v>
      </c>
      <c r="H1783">
        <v>1.029296</v>
      </c>
      <c r="I1783">
        <v>284.65339999999998</v>
      </c>
      <c r="J1783">
        <v>-304.95920000000001</v>
      </c>
      <c r="K1783">
        <v>1.109586</v>
      </c>
      <c r="L1783">
        <v>284.61410000000001</v>
      </c>
      <c r="M1783">
        <v>-0.99944670000000002</v>
      </c>
      <c r="N1783">
        <v>0</v>
      </c>
      <c r="O1783">
        <v>-3.1499409999999999E-2</v>
      </c>
      <c r="P1783">
        <v>-0.99930609999999997</v>
      </c>
      <c r="Q1783">
        <v>-1.913567E-2</v>
      </c>
      <c r="R1783">
        <v>3.1955690000000002E-2</v>
      </c>
      <c r="S1783">
        <v>-2.9937130000000001</v>
      </c>
      <c r="T1783">
        <v>-0.27395449999999999</v>
      </c>
      <c r="U1783">
        <v>9.6496579999999998E-2</v>
      </c>
      <c r="V1783">
        <v>6.3419119999999995E-2</v>
      </c>
      <c r="W1783">
        <v>-8.4712209999999993E-3</v>
      </c>
      <c r="X1783">
        <v>0.99795100000000003</v>
      </c>
      <c r="Y1783">
        <v>6.3289490000000004E-2</v>
      </c>
      <c r="Z1783">
        <v>5.7649540000000001E-3</v>
      </c>
      <c r="AA1783">
        <v>0.99797860000000005</v>
      </c>
      <c r="AB1783">
        <v>32</v>
      </c>
      <c r="AC1783">
        <v>-0.53519999999997403</v>
      </c>
      <c r="AD1783">
        <v>-8.0289999999999903E-2</v>
      </c>
      <c r="AE1783">
        <v>3.9299999999968797E-2</v>
      </c>
      <c r="AF1783">
        <v>5.4910769499171598E-2</v>
      </c>
      <c r="AG1783">
        <v>-8.0289999999999903E-2</v>
      </c>
      <c r="AH1783">
        <v>0.52201121842581499</v>
      </c>
      <c r="AI1783">
        <v>98.696836472091604</v>
      </c>
      <c r="AJ1783">
        <v>83.995095329499406</v>
      </c>
      <c r="AK1783">
        <v>0.53099659967780899</v>
      </c>
      <c r="AL1783">
        <v>90.4853710293105</v>
      </c>
      <c r="AM1783">
        <v>86.363781169687599</v>
      </c>
      <c r="AN1783">
        <v>0.99999997238390204</v>
      </c>
    </row>
    <row r="1784" spans="1:40" x14ac:dyDescent="0.25">
      <c r="A1784" t="str">
        <f>"20190312160950458"</f>
        <v>20190312160950458</v>
      </c>
      <c r="B1784" t="str">
        <f>"1552378190447614"</f>
        <v>1552378190447614</v>
      </c>
      <c r="C1784" t="s">
        <v>40</v>
      </c>
      <c r="D1784">
        <v>6.2453500000000002</v>
      </c>
      <c r="E1784">
        <v>0.52533240000000003</v>
      </c>
      <c r="F1784" t="s">
        <v>42</v>
      </c>
      <c r="G1784">
        <v>-305.74270000000001</v>
      </c>
      <c r="H1784">
        <v>0.95520660000000002</v>
      </c>
      <c r="I1784">
        <v>284.69240000000002</v>
      </c>
      <c r="J1784">
        <v>-305.25900000000001</v>
      </c>
      <c r="K1784">
        <v>1.1095870000000001</v>
      </c>
      <c r="L1784">
        <v>284.6046</v>
      </c>
      <c r="M1784">
        <v>-0.99944670000000002</v>
      </c>
      <c r="N1784">
        <v>0</v>
      </c>
      <c r="O1784">
        <v>-3.1500500000000001E-2</v>
      </c>
      <c r="P1784">
        <v>-0.99931440000000005</v>
      </c>
      <c r="Q1784">
        <v>-1.927274E-2</v>
      </c>
      <c r="R1784">
        <v>3.1617720000000002E-2</v>
      </c>
      <c r="S1784">
        <v>-2.9813540000000001</v>
      </c>
      <c r="T1784">
        <v>-0.58750389999999997</v>
      </c>
      <c r="U1784">
        <v>0.29733280000000001</v>
      </c>
      <c r="V1784">
        <v>6.3082579999999999E-2</v>
      </c>
      <c r="W1784">
        <v>-8.6017609999999994E-3</v>
      </c>
      <c r="X1784">
        <v>0.99797119999999995</v>
      </c>
      <c r="Y1784">
        <v>0.1275057</v>
      </c>
      <c r="Z1784">
        <v>1.8549050000000001E-2</v>
      </c>
      <c r="AA1784">
        <v>0.9916644</v>
      </c>
      <c r="AB1784">
        <v>32</v>
      </c>
      <c r="AC1784">
        <v>-0.48369999999999802</v>
      </c>
      <c r="AD1784">
        <v>-0.1543804</v>
      </c>
      <c r="AE1784">
        <v>8.7800000000015602E-2</v>
      </c>
      <c r="AF1784">
        <v>9.3748820892197202E-2</v>
      </c>
      <c r="AG1784">
        <v>-0.1543804</v>
      </c>
      <c r="AH1784">
        <v>0.43754453449034197</v>
      </c>
      <c r="AI1784">
        <v>109.034600669548</v>
      </c>
      <c r="AJ1784">
        <v>77.906585345371795</v>
      </c>
      <c r="AK1784">
        <v>0.47335754877809599</v>
      </c>
      <c r="AL1784">
        <v>90.492850699654795</v>
      </c>
      <c r="AM1784">
        <v>86.383098791014902</v>
      </c>
      <c r="AN1784">
        <v>0.99999995911059703</v>
      </c>
    </row>
    <row r="1785" spans="1:40" x14ac:dyDescent="0.25">
      <c r="A1785" t="str">
        <f>"20190312160950480"</f>
        <v>20190312160950480</v>
      </c>
      <c r="B1785" t="str">
        <f>"1552378190467134"</f>
        <v>1552378190467134</v>
      </c>
      <c r="C1785" t="s">
        <v>40</v>
      </c>
      <c r="D1785">
        <v>5.8247470000000003</v>
      </c>
      <c r="E1785">
        <v>0.5255609</v>
      </c>
      <c r="F1785" t="s">
        <v>42</v>
      </c>
      <c r="G1785">
        <v>-306.03030000000001</v>
      </c>
      <c r="H1785">
        <v>0.96529710000000002</v>
      </c>
      <c r="I1785">
        <v>284.67959999999999</v>
      </c>
      <c r="J1785">
        <v>-305.57049999999998</v>
      </c>
      <c r="K1785">
        <v>1.109586</v>
      </c>
      <c r="L1785">
        <v>284.59480000000002</v>
      </c>
      <c r="M1785">
        <v>-0.99944639999999996</v>
      </c>
      <c r="N1785">
        <v>0</v>
      </c>
      <c r="O1785">
        <v>-3.1501349999999997E-2</v>
      </c>
      <c r="P1785">
        <v>-0.99929860000000004</v>
      </c>
      <c r="Q1785">
        <v>-1.978719E-2</v>
      </c>
      <c r="R1785">
        <v>3.1794080000000002E-2</v>
      </c>
      <c r="S1785">
        <v>-2.9821780000000002</v>
      </c>
      <c r="T1785">
        <v>-0.55793459999999995</v>
      </c>
      <c r="U1785">
        <v>0.28948970000000002</v>
      </c>
      <c r="V1785">
        <v>6.325915E-2</v>
      </c>
      <c r="W1785">
        <v>-9.1098129999999996E-3</v>
      </c>
      <c r="X1785">
        <v>0.99795560000000005</v>
      </c>
      <c r="Y1785">
        <v>0.1252307</v>
      </c>
      <c r="Z1785">
        <v>1.741873E-2</v>
      </c>
      <c r="AA1785">
        <v>0.99197469999999999</v>
      </c>
      <c r="AB1785">
        <v>32</v>
      </c>
      <c r="AC1785">
        <v>-0.45980000000002902</v>
      </c>
      <c r="AD1785">
        <v>-0.1442889</v>
      </c>
      <c r="AE1785">
        <v>8.4799999999972897E-2</v>
      </c>
      <c r="AF1785">
        <v>9.0613393581030002E-2</v>
      </c>
      <c r="AG1785">
        <v>-0.1442889</v>
      </c>
      <c r="AH1785">
        <v>0.41717060834034297</v>
      </c>
      <c r="AI1785">
        <v>108.674927598045</v>
      </c>
      <c r="AJ1785">
        <v>77.745176571999295</v>
      </c>
      <c r="AK1785">
        <v>0.45062333519529602</v>
      </c>
      <c r="AL1785">
        <v>90.521961033649603</v>
      </c>
      <c r="AM1785">
        <v>86.372945418962999</v>
      </c>
      <c r="AN1785">
        <v>1.00000004416148</v>
      </c>
    </row>
    <row r="1786" spans="1:40" x14ac:dyDescent="0.25">
      <c r="A1786" t="str">
        <f>"20190312160950505"</f>
        <v>20190312160950505</v>
      </c>
      <c r="B1786" t="str">
        <f>"1552378190497390"</f>
        <v>1552378190497390</v>
      </c>
      <c r="C1786" t="s">
        <v>40</v>
      </c>
      <c r="D1786">
        <v>5.962021</v>
      </c>
      <c r="E1786">
        <v>0.52511390000000002</v>
      </c>
      <c r="F1786" t="s">
        <v>42</v>
      </c>
      <c r="G1786">
        <v>-306.31630000000001</v>
      </c>
      <c r="H1786">
        <v>0.97128809999999999</v>
      </c>
      <c r="I1786">
        <v>284.66800000000001</v>
      </c>
      <c r="J1786">
        <v>-305.91370000000001</v>
      </c>
      <c r="K1786">
        <v>1.109586</v>
      </c>
      <c r="L1786">
        <v>284.584</v>
      </c>
      <c r="M1786">
        <v>-0.99944630000000001</v>
      </c>
      <c r="N1786">
        <v>0</v>
      </c>
      <c r="O1786">
        <v>-3.150244E-2</v>
      </c>
      <c r="P1786">
        <v>-0.99928340000000004</v>
      </c>
      <c r="Q1786">
        <v>-1.9807200000000001E-2</v>
      </c>
      <c r="R1786">
        <v>3.2254409999999997E-2</v>
      </c>
      <c r="S1786">
        <v>-2.9818419999999999</v>
      </c>
      <c r="T1786">
        <v>-0.55297450000000004</v>
      </c>
      <c r="U1786">
        <v>0.29187010000000002</v>
      </c>
      <c r="V1786">
        <v>6.3719730000000002E-2</v>
      </c>
      <c r="W1786">
        <v>-9.1230110000000003E-3</v>
      </c>
      <c r="X1786">
        <v>0.99792610000000004</v>
      </c>
      <c r="Y1786">
        <v>0.1260598</v>
      </c>
      <c r="Z1786">
        <v>1.734399E-2</v>
      </c>
      <c r="AA1786">
        <v>0.99187099999999995</v>
      </c>
      <c r="AB1786">
        <v>32</v>
      </c>
      <c r="AC1786">
        <v>-0.40260000000000601</v>
      </c>
      <c r="AD1786">
        <v>-0.138297899999999</v>
      </c>
      <c r="AE1786">
        <v>8.40000000000031E-2</v>
      </c>
      <c r="AF1786">
        <v>8.6824033684334195E-2</v>
      </c>
      <c r="AG1786">
        <v>-0.138297899999999</v>
      </c>
      <c r="AH1786">
        <v>0.35914269583612801</v>
      </c>
      <c r="AI1786">
        <v>110.52064152353501</v>
      </c>
      <c r="AJ1786">
        <v>76.409303716228294</v>
      </c>
      <c r="AK1786">
        <v>0.39452274705277701</v>
      </c>
      <c r="AL1786">
        <v>90.5227172949741</v>
      </c>
      <c r="AM1786">
        <v>86.346500958459799</v>
      </c>
      <c r="AN1786">
        <v>0.99999996719109396</v>
      </c>
    </row>
    <row r="1787" spans="1:40" x14ac:dyDescent="0.25">
      <c r="A1787" t="str">
        <f>"20190312160950525"</f>
        <v>20190312160950525</v>
      </c>
      <c r="B1787" t="str">
        <f>"1552378190516910"</f>
        <v>1552378190516910</v>
      </c>
      <c r="C1787" t="s">
        <v>40</v>
      </c>
      <c r="D1787">
        <v>6.3001950000000004</v>
      </c>
      <c r="E1787">
        <v>0.5250051</v>
      </c>
      <c r="F1787" t="s">
        <v>42</v>
      </c>
      <c r="G1787">
        <v>-306.86779999999999</v>
      </c>
      <c r="H1787">
        <v>0.93556790000000001</v>
      </c>
      <c r="I1787">
        <v>284.6771</v>
      </c>
      <c r="J1787">
        <v>-306.21179999999998</v>
      </c>
      <c r="K1787">
        <v>1.109578</v>
      </c>
      <c r="L1787">
        <v>284.57459999999998</v>
      </c>
      <c r="M1787">
        <v>-0.99944630000000001</v>
      </c>
      <c r="N1787">
        <v>0</v>
      </c>
      <c r="O1787">
        <v>-3.1503059999999999E-2</v>
      </c>
      <c r="P1787">
        <v>-0.99927410000000005</v>
      </c>
      <c r="Q1787">
        <v>-1.9738410000000001E-2</v>
      </c>
      <c r="R1787">
        <v>3.2586370000000003E-2</v>
      </c>
      <c r="S1787">
        <v>-2.981995</v>
      </c>
      <c r="T1787">
        <v>-0.54402589999999995</v>
      </c>
      <c r="U1787">
        <v>0.28997800000000001</v>
      </c>
      <c r="V1787">
        <v>6.4052079999999997E-2</v>
      </c>
      <c r="W1787">
        <v>-9.0480360000000006E-3</v>
      </c>
      <c r="X1787">
        <v>0.99790559999999995</v>
      </c>
      <c r="Y1787">
        <v>0.12552569999999999</v>
      </c>
      <c r="Z1787">
        <v>1.7019429999999999E-2</v>
      </c>
      <c r="AA1787">
        <v>0.99194439999999995</v>
      </c>
      <c r="AB1787">
        <v>32</v>
      </c>
      <c r="AC1787">
        <v>-0.65600000000000502</v>
      </c>
      <c r="AD1787">
        <v>-0.1740101</v>
      </c>
      <c r="AE1787">
        <v>0.10250000000002001</v>
      </c>
      <c r="AF1787">
        <v>0.11520349003901099</v>
      </c>
      <c r="AG1787">
        <v>-0.1740101</v>
      </c>
      <c r="AH1787">
        <v>0.61051174565463495</v>
      </c>
      <c r="AI1787">
        <v>105.64652118041499</v>
      </c>
      <c r="AJ1787">
        <v>79.3139462456611</v>
      </c>
      <c r="AK1787">
        <v>0.64519450602236905</v>
      </c>
      <c r="AL1787">
        <v>90.518421317709496</v>
      </c>
      <c r="AM1787">
        <v>86.327421780236506</v>
      </c>
      <c r="AN1787">
        <v>1.0000000612095601</v>
      </c>
    </row>
    <row r="1788" spans="1:40" x14ac:dyDescent="0.25">
      <c r="A1788" t="str">
        <f>"20190312160950548"</f>
        <v>20190312160950548</v>
      </c>
      <c r="B1788" t="str">
        <f>"1552378190537410"</f>
        <v>1552378190537410</v>
      </c>
      <c r="C1788" t="s">
        <v>40</v>
      </c>
      <c r="D1788">
        <v>6.3355329999999999</v>
      </c>
      <c r="E1788">
        <v>0.52509969999999995</v>
      </c>
      <c r="F1788" t="s">
        <v>42</v>
      </c>
      <c r="G1788">
        <v>-307.15309999999999</v>
      </c>
      <c r="H1788">
        <v>0.93923380000000001</v>
      </c>
      <c r="I1788">
        <v>284.66629999999998</v>
      </c>
      <c r="J1788">
        <v>-306.52350000000001</v>
      </c>
      <c r="K1788">
        <v>1.1095680000000001</v>
      </c>
      <c r="L1788">
        <v>284.56479999999999</v>
      </c>
      <c r="M1788">
        <v>-0.99944619999999995</v>
      </c>
      <c r="N1788">
        <v>0</v>
      </c>
      <c r="O1788">
        <v>-3.1503679999999999E-2</v>
      </c>
      <c r="P1788">
        <v>-0.99929849999999998</v>
      </c>
      <c r="Q1788">
        <v>-1.9647379999999999E-2</v>
      </c>
      <c r="R1788">
        <v>3.1884870000000003E-2</v>
      </c>
      <c r="S1788">
        <v>-2.9820859999999998</v>
      </c>
      <c r="T1788">
        <v>-0.53965490000000005</v>
      </c>
      <c r="U1788">
        <v>0.29040529999999998</v>
      </c>
      <c r="V1788">
        <v>6.3352149999999996E-2</v>
      </c>
      <c r="W1788">
        <v>-8.9497719999999999E-3</v>
      </c>
      <c r="X1788">
        <v>0.99795109999999998</v>
      </c>
      <c r="Y1788">
        <v>0.12570239999999999</v>
      </c>
      <c r="Z1788">
        <v>1.6900169999999999E-2</v>
      </c>
      <c r="AA1788">
        <v>0.99192400000000003</v>
      </c>
      <c r="AB1788">
        <v>32</v>
      </c>
      <c r="AC1788">
        <v>-0.62959999999998195</v>
      </c>
      <c r="AD1788">
        <v>-0.17033419999999999</v>
      </c>
      <c r="AE1788">
        <v>0.101499999999987</v>
      </c>
      <c r="AF1788">
        <v>0.113209162049349</v>
      </c>
      <c r="AG1788">
        <v>-0.17033419999999999</v>
      </c>
      <c r="AH1788">
        <v>0.58439881420120798</v>
      </c>
      <c r="AI1788">
        <v>105.96844103020599</v>
      </c>
      <c r="AJ1788">
        <v>79.036514459404302</v>
      </c>
      <c r="AK1788">
        <v>0.61915428456995603</v>
      </c>
      <c r="AL1788">
        <v>90.512791011210197</v>
      </c>
      <c r="AM1788">
        <v>86.367611060120694</v>
      </c>
      <c r="AN1788">
        <v>0.99999999565984199</v>
      </c>
    </row>
    <row r="1789" spans="1:40" x14ac:dyDescent="0.25">
      <c r="A1789" t="str">
        <f>"20190312160950568"</f>
        <v>20190312160950568</v>
      </c>
      <c r="B1789" t="str">
        <f>"1552378190556927"</f>
        <v>1552378190556927</v>
      </c>
      <c r="C1789" t="s">
        <v>40</v>
      </c>
      <c r="D1789">
        <v>6.0263770000000001</v>
      </c>
      <c r="E1789">
        <v>0.52513379999999998</v>
      </c>
      <c r="F1789" t="s">
        <v>42</v>
      </c>
      <c r="G1789">
        <v>-307.43959999999998</v>
      </c>
      <c r="H1789">
        <v>0.94517269999999998</v>
      </c>
      <c r="I1789">
        <v>284.654</v>
      </c>
      <c r="J1789">
        <v>-306.82040000000001</v>
      </c>
      <c r="K1789">
        <v>1.1095660000000001</v>
      </c>
      <c r="L1789">
        <v>284.55540000000002</v>
      </c>
      <c r="M1789">
        <v>-0.99944619999999995</v>
      </c>
      <c r="N1789">
        <v>0</v>
      </c>
      <c r="O1789">
        <v>-3.1504190000000001E-2</v>
      </c>
      <c r="P1789">
        <v>-0.99932960000000004</v>
      </c>
      <c r="Q1789">
        <v>-1.9623229999999998E-2</v>
      </c>
      <c r="R1789">
        <v>3.0905720000000001E-2</v>
      </c>
      <c r="S1789">
        <v>-2.9823300000000001</v>
      </c>
      <c r="T1789">
        <v>-0.53525639999999997</v>
      </c>
      <c r="U1789">
        <v>0.2895508</v>
      </c>
      <c r="V1789">
        <v>6.2374829999999999E-2</v>
      </c>
      <c r="W1789">
        <v>-8.9185259999999995E-3</v>
      </c>
      <c r="X1789">
        <v>0.99801300000000004</v>
      </c>
      <c r="Y1789">
        <v>0.125458399999999</v>
      </c>
      <c r="Z1789">
        <v>1.6741889999999999E-2</v>
      </c>
      <c r="AA1789">
        <v>0.99195759999999999</v>
      </c>
      <c r="AB1789">
        <v>32</v>
      </c>
      <c r="AC1789">
        <v>-0.61919999999997799</v>
      </c>
      <c r="AD1789">
        <v>-0.16439329999999999</v>
      </c>
      <c r="AE1789">
        <v>9.8599999999976207E-2</v>
      </c>
      <c r="AF1789">
        <v>0.110465766524235</v>
      </c>
      <c r="AG1789">
        <v>-0.16439329999999999</v>
      </c>
      <c r="AH1789">
        <v>0.57617766899962897</v>
      </c>
      <c r="AI1789">
        <v>105.653592715771</v>
      </c>
      <c r="AJ1789">
        <v>79.146853539837196</v>
      </c>
      <c r="AK1789">
        <v>0.60926886422377002</v>
      </c>
      <c r="AL1789">
        <v>90.511000646088704</v>
      </c>
      <c r="AM1789">
        <v>86.4237218107111</v>
      </c>
      <c r="AN1789">
        <v>1.0000000538462599</v>
      </c>
    </row>
    <row r="1790" spans="1:40" x14ac:dyDescent="0.25">
      <c r="A1790" t="str">
        <f>"20190312160950592"</f>
        <v>20190312160950592</v>
      </c>
      <c r="B1790" t="str">
        <f>"1552378190587182"</f>
        <v>1552378190587182</v>
      </c>
      <c r="C1790" t="s">
        <v>40</v>
      </c>
      <c r="D1790">
        <v>5.7368620000000004</v>
      </c>
      <c r="E1790">
        <v>0.54609189999999996</v>
      </c>
      <c r="F1790" t="s">
        <v>42</v>
      </c>
      <c r="G1790">
        <v>-307.72519999999997</v>
      </c>
      <c r="H1790">
        <v>0.94836410000000004</v>
      </c>
      <c r="I1790">
        <v>284.64260000000002</v>
      </c>
      <c r="J1790">
        <v>-307.14690000000002</v>
      </c>
      <c r="K1790">
        <v>1.109572</v>
      </c>
      <c r="L1790">
        <v>284.54509999999999</v>
      </c>
      <c r="M1790">
        <v>-0.99944599999999995</v>
      </c>
      <c r="N1790">
        <v>0</v>
      </c>
      <c r="O1790">
        <v>-3.1504690000000002E-2</v>
      </c>
      <c r="P1790">
        <v>-0.99935660000000004</v>
      </c>
      <c r="Q1790">
        <v>-1.9441340000000001E-2</v>
      </c>
      <c r="R1790">
        <v>3.0144529999999999E-2</v>
      </c>
      <c r="S1790">
        <v>-2.982666</v>
      </c>
      <c r="T1790">
        <v>-0.53145169999999997</v>
      </c>
      <c r="U1790">
        <v>0.28665159999999901</v>
      </c>
      <c r="V1790">
        <v>6.1615629999999998E-2</v>
      </c>
      <c r="W1790">
        <v>-8.7290709999999997E-3</v>
      </c>
      <c r="X1790">
        <v>0.9980618</v>
      </c>
      <c r="Y1790">
        <v>0.1245424</v>
      </c>
      <c r="Z1790">
        <v>1.6542919999999999E-2</v>
      </c>
      <c r="AA1790">
        <v>0.99207639999999997</v>
      </c>
      <c r="AB1790">
        <v>32</v>
      </c>
      <c r="AC1790">
        <v>-0.57829999999995596</v>
      </c>
      <c r="AD1790">
        <v>-0.16120789999999999</v>
      </c>
      <c r="AE1790">
        <v>9.7500000000024997E-2</v>
      </c>
      <c r="AF1790">
        <v>0.107545629104056</v>
      </c>
      <c r="AG1790">
        <v>-0.16120789999999999</v>
      </c>
      <c r="AH1790">
        <v>0.53455024980975496</v>
      </c>
      <c r="AI1790">
        <v>106.47044501700699</v>
      </c>
      <c r="AJ1790">
        <v>78.624578140985193</v>
      </c>
      <c r="AK1790">
        <v>0.56859301695805997</v>
      </c>
      <c r="AL1790">
        <v>90.500145269282399</v>
      </c>
      <c r="AM1790">
        <v>86.467312131552603</v>
      </c>
      <c r="AN1790">
        <v>1.00000001958002</v>
      </c>
    </row>
    <row r="1791" spans="1:40" x14ac:dyDescent="0.25">
      <c r="A1791" t="str">
        <f>"20190312160950614"</f>
        <v>20190312160950614</v>
      </c>
      <c r="B1791" t="str">
        <f>"1552378190607678"</f>
        <v>1552378190607678</v>
      </c>
      <c r="C1791" t="s">
        <v>40</v>
      </c>
      <c r="D1791">
        <v>5.9118219999999999</v>
      </c>
      <c r="E1791">
        <v>0.52244840000000003</v>
      </c>
      <c r="F1791" t="s">
        <v>42</v>
      </c>
      <c r="G1791">
        <v>-307.97039999999998</v>
      </c>
      <c r="H1791">
        <v>0.85323099999999996</v>
      </c>
      <c r="I1791">
        <v>284.66899999999998</v>
      </c>
      <c r="J1791">
        <v>-307.47660000000002</v>
      </c>
      <c r="K1791">
        <v>1.1095759999999999</v>
      </c>
      <c r="L1791">
        <v>284.53469999999999</v>
      </c>
      <c r="M1791">
        <v>-0.99944599999999995</v>
      </c>
      <c r="N1791">
        <v>0</v>
      </c>
      <c r="O1791">
        <v>-3.1505440000000003E-2</v>
      </c>
      <c r="P1791">
        <v>-0.99938919999999998</v>
      </c>
      <c r="Q1791">
        <v>-1.9561479999999999E-2</v>
      </c>
      <c r="R1791">
        <v>2.8964670000000001E-2</v>
      </c>
      <c r="S1791">
        <v>-2.9704899999999999</v>
      </c>
      <c r="T1791">
        <v>-0.92462659999999997</v>
      </c>
      <c r="U1791">
        <v>0.44583129999999999</v>
      </c>
      <c r="V1791">
        <v>6.043801E-2</v>
      </c>
      <c r="W1791">
        <v>-8.8413429999999998E-3</v>
      </c>
      <c r="X1791">
        <v>0.99813280000000004</v>
      </c>
      <c r="Y1791">
        <v>0.1701598</v>
      </c>
      <c r="Z1791">
        <v>3.527127E-2</v>
      </c>
      <c r="AA1791">
        <v>0.98478500000000002</v>
      </c>
      <c r="AB1791">
        <v>32</v>
      </c>
      <c r="AC1791">
        <v>-0.49379999999996399</v>
      </c>
      <c r="AD1791">
        <v>-0.25634499999999999</v>
      </c>
      <c r="AE1791">
        <v>0.13430000000005199</v>
      </c>
      <c r="AF1791">
        <v>0.11974401770702101</v>
      </c>
      <c r="AG1791">
        <v>-0.25634499999999999</v>
      </c>
      <c r="AH1791">
        <v>0.39116712720622099</v>
      </c>
      <c r="AI1791">
        <v>122.072513405694</v>
      </c>
      <c r="AJ1791">
        <v>72.979611156058695</v>
      </c>
      <c r="AK1791">
        <v>0.48276610300267297</v>
      </c>
      <c r="AL1791">
        <v>90.5065782368508</v>
      </c>
      <c r="AM1791">
        <v>86.534909895783002</v>
      </c>
      <c r="AN1791">
        <v>1.0000000044173201</v>
      </c>
    </row>
    <row r="1792" spans="1:40" x14ac:dyDescent="0.25">
      <c r="A1792" t="str">
        <f>"20190312160950636"</f>
        <v>20190312160950636</v>
      </c>
      <c r="B1792" t="str">
        <f>"1552378190627198"</f>
        <v>1552378190627198</v>
      </c>
      <c r="C1792" t="s">
        <v>40</v>
      </c>
      <c r="D1792">
        <v>5.8529619999999998</v>
      </c>
      <c r="E1792">
        <v>0.52337489999999998</v>
      </c>
      <c r="F1792" t="s">
        <v>42</v>
      </c>
      <c r="G1792">
        <v>-308.30279999999999</v>
      </c>
      <c r="H1792">
        <v>0.96852360000000004</v>
      </c>
      <c r="I1792">
        <v>284.6069</v>
      </c>
      <c r="J1792">
        <v>-307.78930000000003</v>
      </c>
      <c r="K1792">
        <v>1.109572</v>
      </c>
      <c r="L1792">
        <v>284.52480000000003</v>
      </c>
      <c r="M1792">
        <v>-0.99944569999999999</v>
      </c>
      <c r="N1792">
        <v>0</v>
      </c>
      <c r="O1792">
        <v>-3.1505709999999999E-2</v>
      </c>
      <c r="P1792">
        <v>-0.99938039999999995</v>
      </c>
      <c r="Q1792">
        <v>-1.983741E-2</v>
      </c>
      <c r="R1792">
        <v>2.9076149999999999E-2</v>
      </c>
      <c r="S1792">
        <v>-2.9843139999999999</v>
      </c>
      <c r="T1792">
        <v>-0.50960220000000001</v>
      </c>
      <c r="U1792">
        <v>0.25991819999999999</v>
      </c>
      <c r="V1792">
        <v>6.054934E-2</v>
      </c>
      <c r="W1792">
        <v>-9.1106729999999997E-3</v>
      </c>
      <c r="X1792">
        <v>0.9981236</v>
      </c>
      <c r="Y1792">
        <v>0.1159916</v>
      </c>
      <c r="Z1792">
        <v>1.514688E-2</v>
      </c>
      <c r="AA1792">
        <v>0.99313470000000004</v>
      </c>
      <c r="AB1792">
        <v>32</v>
      </c>
      <c r="AC1792">
        <v>-0.51349999999996498</v>
      </c>
      <c r="AD1792">
        <v>-0.14104839999999999</v>
      </c>
      <c r="AE1792">
        <v>8.2099999999968504E-2</v>
      </c>
      <c r="AF1792">
        <v>9.1506350643762696E-2</v>
      </c>
      <c r="AG1792">
        <v>-0.14104839999999999</v>
      </c>
      <c r="AH1792">
        <v>0.475664270848148</v>
      </c>
      <c r="AI1792">
        <v>106.235032382455</v>
      </c>
      <c r="AJ1792">
        <v>79.110703372374203</v>
      </c>
      <c r="AK1792">
        <v>0.50450427343304005</v>
      </c>
      <c r="AL1792">
        <v>90.522010346737304</v>
      </c>
      <c r="AM1792">
        <v>86.528510693033297</v>
      </c>
      <c r="AN1792">
        <v>0.99999997390695305</v>
      </c>
    </row>
    <row r="1793" spans="1:40" x14ac:dyDescent="0.25">
      <c r="A1793" t="str">
        <f>"20190312160950658"</f>
        <v>20190312160950658</v>
      </c>
      <c r="B1793" t="str">
        <f>"1552378190647694"</f>
        <v>1552378190647694</v>
      </c>
      <c r="C1793" t="s">
        <v>40</v>
      </c>
      <c r="D1793">
        <v>5.5214359999999996</v>
      </c>
      <c r="E1793">
        <v>0.52377029999999902</v>
      </c>
      <c r="F1793" t="s">
        <v>42</v>
      </c>
      <c r="G1793">
        <v>-308.58870000000002</v>
      </c>
      <c r="H1793">
        <v>0.97098819999999997</v>
      </c>
      <c r="I1793">
        <v>284.59690000000001</v>
      </c>
      <c r="J1793">
        <v>-308.09300000000002</v>
      </c>
      <c r="K1793">
        <v>1.1095660000000001</v>
      </c>
      <c r="L1793">
        <v>284.51530000000002</v>
      </c>
      <c r="M1793">
        <v>-0.99944569999999999</v>
      </c>
      <c r="N1793">
        <v>0</v>
      </c>
      <c r="O1793">
        <v>-3.150621E-2</v>
      </c>
      <c r="P1793">
        <v>-0.99935689999999999</v>
      </c>
      <c r="Q1793">
        <v>-2.010528E-2</v>
      </c>
      <c r="R1793">
        <v>2.9694040000000001E-2</v>
      </c>
      <c r="S1793">
        <v>-2.983765</v>
      </c>
      <c r="T1793">
        <v>-0.51743629999999996</v>
      </c>
      <c r="U1793">
        <v>0.26745609999999997</v>
      </c>
      <c r="V1793">
        <v>6.1166659999999998E-2</v>
      </c>
      <c r="W1793">
        <v>-9.3744689999999999E-3</v>
      </c>
      <c r="X1793">
        <v>0.99808350000000001</v>
      </c>
      <c r="Y1793">
        <v>0.118395899999999</v>
      </c>
      <c r="Z1793">
        <v>1.558413E-2</v>
      </c>
      <c r="AA1793">
        <v>0.99284419999999995</v>
      </c>
      <c r="AB1793">
        <v>32</v>
      </c>
      <c r="AC1793">
        <v>-0.49569999999999897</v>
      </c>
      <c r="AD1793">
        <v>-0.1385778</v>
      </c>
      <c r="AE1793">
        <v>8.1599999999980299E-2</v>
      </c>
      <c r="AF1793">
        <v>9.0306443355752705E-2</v>
      </c>
      <c r="AG1793">
        <v>-0.1385778</v>
      </c>
      <c r="AH1793">
        <v>0.45803049553936598</v>
      </c>
      <c r="AI1793">
        <v>106.532836696673</v>
      </c>
      <c r="AJ1793">
        <v>78.846475611385301</v>
      </c>
      <c r="AK1793">
        <v>0.48698151423687802</v>
      </c>
      <c r="AL1793">
        <v>90.537125399342301</v>
      </c>
      <c r="AM1793">
        <v>86.493065081313603</v>
      </c>
      <c r="AN1793">
        <v>0.99999995696841704</v>
      </c>
    </row>
    <row r="1794" spans="1:40" x14ac:dyDescent="0.25">
      <c r="A1794" t="str">
        <f>"20190312160950681"</f>
        <v>20190312160950681</v>
      </c>
      <c r="B1794" t="str">
        <f>"1552378190676974"</f>
        <v>1552378190676974</v>
      </c>
      <c r="C1794" t="s">
        <v>40</v>
      </c>
      <c r="D1794">
        <v>5.7344589999999904</v>
      </c>
      <c r="E1794">
        <v>0.52407519999999996</v>
      </c>
      <c r="F1794" t="s">
        <v>42</v>
      </c>
      <c r="G1794">
        <v>-308.87580000000003</v>
      </c>
      <c r="H1794">
        <v>0.97562669999999996</v>
      </c>
      <c r="I1794">
        <v>284.58710000000002</v>
      </c>
      <c r="J1794">
        <v>-308.42349999999999</v>
      </c>
      <c r="K1794">
        <v>1.1095649999999999</v>
      </c>
      <c r="L1794">
        <v>284.50479999999999</v>
      </c>
      <c r="M1794">
        <v>-0.99944569999999999</v>
      </c>
      <c r="N1794">
        <v>0</v>
      </c>
      <c r="O1794">
        <v>-3.1506579999999999E-2</v>
      </c>
      <c r="P1794">
        <v>-0.99937739999999997</v>
      </c>
      <c r="Q1794">
        <v>-1.939768E-2</v>
      </c>
      <c r="R1794">
        <v>2.9474440000000001E-2</v>
      </c>
      <c r="S1794">
        <v>-2.9835509999999998</v>
      </c>
      <c r="T1794">
        <v>-0.51059350000000003</v>
      </c>
      <c r="U1794">
        <v>0.27233889999999999</v>
      </c>
      <c r="V1794">
        <v>6.0948240000000001E-2</v>
      </c>
      <c r="W1794">
        <v>-8.6652889999999996E-3</v>
      </c>
      <c r="X1794">
        <v>0.99810330000000003</v>
      </c>
      <c r="Y1794">
        <v>0.1200483</v>
      </c>
      <c r="Z1794">
        <v>1.5521149999999999E-2</v>
      </c>
      <c r="AA1794">
        <v>0.99264669999999999</v>
      </c>
      <c r="AB1794">
        <v>32</v>
      </c>
      <c r="AC1794">
        <v>-0.45230000000003601</v>
      </c>
      <c r="AD1794">
        <v>-0.13393829999999901</v>
      </c>
      <c r="AE1794">
        <v>8.2300000000032E-2</v>
      </c>
      <c r="AF1794">
        <v>8.8959426454827698E-2</v>
      </c>
      <c r="AG1794">
        <v>-0.13393829999999901</v>
      </c>
      <c r="AH1794">
        <v>0.41431484793008599</v>
      </c>
      <c r="AI1794">
        <v>107.540331359701</v>
      </c>
      <c r="AJ1794">
        <v>77.881753172675701</v>
      </c>
      <c r="AK1794">
        <v>0.44442101770437498</v>
      </c>
      <c r="AL1794">
        <v>90.496490708231804</v>
      </c>
      <c r="AM1794">
        <v>86.505626056592902</v>
      </c>
      <c r="AN1794">
        <v>0.99999998633172005</v>
      </c>
    </row>
    <row r="1795" spans="1:40" x14ac:dyDescent="0.25">
      <c r="A1795" t="str">
        <f>"20190312160950705"</f>
        <v>20190312160950705</v>
      </c>
      <c r="B1795" t="str">
        <f>"1552378190697471"</f>
        <v>1552378190697471</v>
      </c>
      <c r="C1795" t="s">
        <v>40</v>
      </c>
      <c r="D1795">
        <v>5.7335820000000002</v>
      </c>
      <c r="E1795">
        <v>0.52379330000000002</v>
      </c>
      <c r="F1795" t="s">
        <v>42</v>
      </c>
      <c r="G1795">
        <v>-309.1662</v>
      </c>
      <c r="H1795">
        <v>0.98669410000000002</v>
      </c>
      <c r="I1795">
        <v>284.57369999999997</v>
      </c>
      <c r="J1795">
        <v>-308.75619999999998</v>
      </c>
      <c r="K1795">
        <v>1.1095600000000001</v>
      </c>
      <c r="L1795">
        <v>284.49430000000001</v>
      </c>
      <c r="M1795">
        <v>-0.99944569999999999</v>
      </c>
      <c r="N1795">
        <v>0</v>
      </c>
      <c r="O1795">
        <v>-3.1506920000000001E-2</v>
      </c>
      <c r="P1795">
        <v>-0.99939770000000006</v>
      </c>
      <c r="Q1795">
        <v>-1.883429E-2</v>
      </c>
      <c r="R1795">
        <v>2.9145069999999999E-2</v>
      </c>
      <c r="S1795">
        <v>-2.9841310000000001</v>
      </c>
      <c r="T1795">
        <v>-0.49384499999999998</v>
      </c>
      <c r="U1795">
        <v>0.27539059999999999</v>
      </c>
      <c r="V1795">
        <v>6.0619960000000001E-2</v>
      </c>
      <c r="W1795">
        <v>-8.1028880000000008E-3</v>
      </c>
      <c r="X1795">
        <v>0.99812809999999996</v>
      </c>
      <c r="Y1795">
        <v>0.1211639</v>
      </c>
      <c r="Z1795">
        <v>1.5106949999999999E-2</v>
      </c>
      <c r="AA1795">
        <v>0.99251750000000005</v>
      </c>
      <c r="AB1795">
        <v>32</v>
      </c>
      <c r="AC1795">
        <v>-0.41000000000002501</v>
      </c>
      <c r="AD1795">
        <v>-0.1228659</v>
      </c>
      <c r="AE1795">
        <v>7.9399999999964097E-2</v>
      </c>
      <c r="AF1795">
        <v>8.4927993500139604E-2</v>
      </c>
      <c r="AG1795">
        <v>-0.1228659</v>
      </c>
      <c r="AH1795">
        <v>0.37484862022403898</v>
      </c>
      <c r="AI1795">
        <v>107.727655849971</v>
      </c>
      <c r="AJ1795">
        <v>77.234237512461704</v>
      </c>
      <c r="AK1795">
        <v>0.40350995222749603</v>
      </c>
      <c r="AL1795">
        <v>90.464266332153699</v>
      </c>
      <c r="AM1795">
        <v>86.524487370041498</v>
      </c>
      <c r="AN1795">
        <v>1.00000007017697</v>
      </c>
    </row>
    <row r="1796" spans="1:40" x14ac:dyDescent="0.25">
      <c r="A1796" t="str">
        <f>"20190312160950726"</f>
        <v>20190312160950726</v>
      </c>
      <c r="B1796" t="str">
        <f>"1552378190716992"</f>
        <v>1552378190716992</v>
      </c>
      <c r="C1796" t="s">
        <v>40</v>
      </c>
      <c r="D1796">
        <v>5.5149739999999996</v>
      </c>
      <c r="E1796">
        <v>0.52330859999999901</v>
      </c>
      <c r="F1796" t="s">
        <v>42</v>
      </c>
      <c r="G1796">
        <v>-309.7217</v>
      </c>
      <c r="H1796">
        <v>0.95171019999999995</v>
      </c>
      <c r="I1796">
        <v>284.58280000000002</v>
      </c>
      <c r="J1796">
        <v>-309.0772</v>
      </c>
      <c r="K1796">
        <v>1.1095549999999901</v>
      </c>
      <c r="L1796">
        <v>284.48419999999999</v>
      </c>
      <c r="M1796">
        <v>-0.99944580000000005</v>
      </c>
      <c r="N1796">
        <v>0</v>
      </c>
      <c r="O1796">
        <v>-3.1503789999999997E-2</v>
      </c>
      <c r="P1796">
        <v>-0.99936329999999995</v>
      </c>
      <c r="Q1796">
        <v>-1.9994749999999999E-2</v>
      </c>
      <c r="R1796">
        <v>2.9552539999999999E-2</v>
      </c>
      <c r="S1796">
        <v>-2.98468</v>
      </c>
      <c r="T1796">
        <v>-0.48804500000000001</v>
      </c>
      <c r="U1796">
        <v>0.27301029999999998</v>
      </c>
      <c r="V1796">
        <v>6.1023059999999997E-2</v>
      </c>
      <c r="W1796">
        <v>-9.2662070000000003E-3</v>
      </c>
      <c r="X1796">
        <v>0.99809340000000002</v>
      </c>
      <c r="Y1796">
        <v>0.1204173</v>
      </c>
      <c r="Z1796">
        <v>1.4868640000000001E-2</v>
      </c>
      <c r="AA1796">
        <v>0.99261200000000005</v>
      </c>
      <c r="AB1796">
        <v>32</v>
      </c>
      <c r="AC1796">
        <v>-0.64449999999999297</v>
      </c>
      <c r="AD1796">
        <v>-0.15784479999999901</v>
      </c>
      <c r="AE1796">
        <v>9.8600000000033106E-2</v>
      </c>
      <c r="AF1796">
        <v>0.112275991585314</v>
      </c>
      <c r="AG1796">
        <v>-0.15784479999999901</v>
      </c>
      <c r="AH1796">
        <v>0.60558087559239904</v>
      </c>
      <c r="AI1796">
        <v>104.374538340591</v>
      </c>
      <c r="AJ1796">
        <v>79.496504894872302</v>
      </c>
      <c r="AK1796">
        <v>0.63580584776861104</v>
      </c>
      <c r="AL1796">
        <v>90.530922121487095</v>
      </c>
      <c r="AM1796">
        <v>86.501312398751296</v>
      </c>
      <c r="AN1796">
        <v>1.0000000557837401</v>
      </c>
    </row>
    <row r="1797" spans="1:40" x14ac:dyDescent="0.25">
      <c r="A1797" t="str">
        <f>"20190312160950749"</f>
        <v>20190312160950749</v>
      </c>
      <c r="B1797" t="str">
        <f>"1552378190737488"</f>
        <v>1552378190737488</v>
      </c>
      <c r="C1797" t="s">
        <v>40</v>
      </c>
      <c r="D1797">
        <v>5.81325</v>
      </c>
      <c r="E1797">
        <v>0.52282589999999995</v>
      </c>
      <c r="F1797" t="s">
        <v>42</v>
      </c>
      <c r="G1797">
        <v>-310.00990000000002</v>
      </c>
      <c r="H1797">
        <v>0.95741779999999999</v>
      </c>
      <c r="I1797">
        <v>284.56849999999997</v>
      </c>
      <c r="J1797">
        <v>-309.3922</v>
      </c>
      <c r="K1797">
        <v>1.109556</v>
      </c>
      <c r="L1797">
        <v>284.47430000000003</v>
      </c>
      <c r="M1797">
        <v>-0.99944619999999995</v>
      </c>
      <c r="N1797">
        <v>0</v>
      </c>
      <c r="O1797">
        <v>-3.1495990000000001E-2</v>
      </c>
      <c r="P1797">
        <v>-0.99926570000000003</v>
      </c>
      <c r="Q1797">
        <v>-2.1293019999999999E-2</v>
      </c>
      <c r="R1797">
        <v>3.185118E-2</v>
      </c>
      <c r="S1797">
        <v>-2.9841920000000002</v>
      </c>
      <c r="T1797">
        <v>-0.48679040000000001</v>
      </c>
      <c r="U1797">
        <v>0.26959229999999901</v>
      </c>
      <c r="V1797">
        <v>6.3309489999999996E-2</v>
      </c>
      <c r="W1797">
        <v>-1.056897E-2</v>
      </c>
      <c r="X1797">
        <v>0.99793799999999999</v>
      </c>
      <c r="Y1797">
        <v>0.1193205</v>
      </c>
      <c r="Z1797">
        <v>1.474408E-2</v>
      </c>
      <c r="AA1797">
        <v>0.99274629999999997</v>
      </c>
      <c r="AB1797">
        <v>32</v>
      </c>
      <c r="AC1797">
        <v>-0.61770000000001302</v>
      </c>
      <c r="AD1797">
        <v>-0.1521382</v>
      </c>
      <c r="AE1797">
        <v>9.4199999999943801E-2</v>
      </c>
      <c r="AF1797">
        <v>0.107251185804575</v>
      </c>
      <c r="AG1797">
        <v>-0.1521382</v>
      </c>
      <c r="AH1797">
        <v>0.58003941691974903</v>
      </c>
      <c r="AI1797">
        <v>104.46239485253599</v>
      </c>
      <c r="AJ1797">
        <v>79.524140679134902</v>
      </c>
      <c r="AK1797">
        <v>0.60917532282285503</v>
      </c>
      <c r="AL1797">
        <v>90.605568635064003</v>
      </c>
      <c r="AM1797">
        <v>86.370002968895506</v>
      </c>
      <c r="AN1797">
        <v>1.00000002324746</v>
      </c>
    </row>
    <row r="1798" spans="1:40" x14ac:dyDescent="0.25">
      <c r="A1798" t="str">
        <f>"20190312160950771"</f>
        <v>20190312160950771</v>
      </c>
      <c r="B1798" t="str">
        <f>"1552378190767743"</f>
        <v>1552378190767743</v>
      </c>
      <c r="C1798" t="s">
        <v>40</v>
      </c>
      <c r="D1798">
        <v>5.7330079999999999</v>
      </c>
      <c r="E1798">
        <v>0.52300029999999997</v>
      </c>
      <c r="F1798" t="s">
        <v>42</v>
      </c>
      <c r="G1798">
        <v>-310.29820000000001</v>
      </c>
      <c r="H1798">
        <v>0.96242689999999997</v>
      </c>
      <c r="I1798">
        <v>284.55709999999999</v>
      </c>
      <c r="J1798">
        <v>-309.7079</v>
      </c>
      <c r="K1798">
        <v>1.109545</v>
      </c>
      <c r="L1798">
        <v>284.46440000000001</v>
      </c>
      <c r="M1798">
        <v>-0.99944659999999996</v>
      </c>
      <c r="N1798">
        <v>0</v>
      </c>
      <c r="O1798">
        <v>-3.1479809999999997E-2</v>
      </c>
      <c r="P1798">
        <v>-0.99918289999999998</v>
      </c>
      <c r="Q1798">
        <v>-2.160863E-2</v>
      </c>
      <c r="R1798">
        <v>3.4155400000000002E-2</v>
      </c>
      <c r="S1798">
        <v>-2.9831850000000002</v>
      </c>
      <c r="T1798">
        <v>-0.4845083</v>
      </c>
      <c r="U1798">
        <v>0.27182009999999901</v>
      </c>
      <c r="V1798">
        <v>6.5593559999999995E-2</v>
      </c>
      <c r="W1798">
        <v>-1.088911E-2</v>
      </c>
      <c r="X1798">
        <v>0.99778699999999998</v>
      </c>
      <c r="Y1798">
        <v>0.1200773</v>
      </c>
      <c r="Z1798">
        <v>1.4738569999999999E-2</v>
      </c>
      <c r="AA1798">
        <v>0.99265519999999996</v>
      </c>
      <c r="AB1798">
        <v>32</v>
      </c>
      <c r="AC1798">
        <v>-0.59030000000001304</v>
      </c>
      <c r="AD1798">
        <v>-0.1471181</v>
      </c>
      <c r="AE1798">
        <v>9.2699999999979299E-2</v>
      </c>
      <c r="AF1798">
        <v>0.10487997278893101</v>
      </c>
      <c r="AG1798">
        <v>-0.1471181</v>
      </c>
      <c r="AH1798">
        <v>0.55353453516967199</v>
      </c>
      <c r="AI1798">
        <v>104.635027295057</v>
      </c>
      <c r="AJ1798">
        <v>79.271166174782607</v>
      </c>
      <c r="AK1798">
        <v>0.58227487122949195</v>
      </c>
      <c r="AL1798">
        <v>90.623912380516202</v>
      </c>
      <c r="AM1798">
        <v>86.238842300330205</v>
      </c>
      <c r="AN1798">
        <v>0.99999999259953198</v>
      </c>
    </row>
    <row r="1799" spans="1:40" x14ac:dyDescent="0.25">
      <c r="A1799" t="str">
        <f>"20190312160950794"</f>
        <v>20190312160950794</v>
      </c>
      <c r="B1799" t="str">
        <f>"1552378190777502"</f>
        <v>1552378190777502</v>
      </c>
      <c r="C1799" t="s">
        <v>40</v>
      </c>
      <c r="D1799">
        <v>5.9593600000000002</v>
      </c>
      <c r="E1799">
        <v>0.552075599999999</v>
      </c>
      <c r="F1799" t="s">
        <v>42</v>
      </c>
      <c r="G1799">
        <v>-310.5865</v>
      </c>
      <c r="H1799">
        <v>0.96688370000000001</v>
      </c>
      <c r="I1799">
        <v>284.54700000000003</v>
      </c>
      <c r="J1799">
        <v>-310.03100000000001</v>
      </c>
      <c r="K1799">
        <v>1.1095349999999999</v>
      </c>
      <c r="L1799">
        <v>284.45420000000001</v>
      </c>
      <c r="M1799">
        <v>-0.99944750000000004</v>
      </c>
      <c r="N1799">
        <v>0</v>
      </c>
      <c r="O1799">
        <v>-3.1452510000000003E-2</v>
      </c>
      <c r="P1799">
        <v>-0.99913039999999997</v>
      </c>
      <c r="Q1799">
        <v>-2.097166E-2</v>
      </c>
      <c r="R1799">
        <v>3.6039910000000001E-2</v>
      </c>
      <c r="S1799">
        <v>-2.9824519999999999</v>
      </c>
      <c r="T1799">
        <v>-0.4842689</v>
      </c>
      <c r="U1799">
        <v>0.27999879999999999</v>
      </c>
      <c r="V1799">
        <v>6.7448229999999998E-2</v>
      </c>
      <c r="W1799">
        <v>-1.0256070000000001E-2</v>
      </c>
      <c r="X1799">
        <v>0.9976701</v>
      </c>
      <c r="Y1799">
        <v>0.12273820000000001</v>
      </c>
      <c r="Z1799">
        <v>1.494294E-2</v>
      </c>
      <c r="AA1799">
        <v>0.99232659999999995</v>
      </c>
      <c r="AB1799">
        <v>32</v>
      </c>
      <c r="AC1799">
        <v>-0.555499999999995</v>
      </c>
      <c r="AD1799">
        <v>-0.14265130000000001</v>
      </c>
      <c r="AE1799">
        <v>9.2800000000011096E-2</v>
      </c>
      <c r="AF1799">
        <v>0.10358169698073801</v>
      </c>
      <c r="AG1799">
        <v>-0.14265130000000001</v>
      </c>
      <c r="AH1799">
        <v>0.51900924055806896</v>
      </c>
      <c r="AI1799">
        <v>105.084879117486</v>
      </c>
      <c r="AJ1799">
        <v>78.713438161767797</v>
      </c>
      <c r="AK1799">
        <v>0.54813242298350096</v>
      </c>
      <c r="AL1799">
        <v>90.587639804454199</v>
      </c>
      <c r="AM1799">
        <v>86.132361392357893</v>
      </c>
      <c r="AN1799">
        <v>1.00000003956799</v>
      </c>
    </row>
    <row r="1800" spans="1:40" x14ac:dyDescent="0.25">
      <c r="A1800" t="str">
        <f>"20190312160950816"</f>
        <v>20190312160950816</v>
      </c>
      <c r="B1800" t="str">
        <f>"1552378190807759"</f>
        <v>1552378190807759</v>
      </c>
      <c r="C1800" t="s">
        <v>40</v>
      </c>
      <c r="D1800">
        <v>5.5808489999999997</v>
      </c>
      <c r="E1800">
        <v>0.50502170000000002</v>
      </c>
      <c r="F1800" t="s">
        <v>42</v>
      </c>
      <c r="G1800">
        <v>-310.84890000000001</v>
      </c>
      <c r="H1800">
        <v>0.90466860000000004</v>
      </c>
      <c r="I1800">
        <v>284.59609999999998</v>
      </c>
      <c r="J1800">
        <v>-310.3546</v>
      </c>
      <c r="K1800">
        <v>1.1095250000000001</v>
      </c>
      <c r="L1800">
        <v>284.44409999999999</v>
      </c>
      <c r="M1800">
        <v>-0.99944860000000002</v>
      </c>
      <c r="N1800">
        <v>0</v>
      </c>
      <c r="O1800">
        <v>-3.1415680000000001E-2</v>
      </c>
      <c r="P1800">
        <v>-0.99913540000000001</v>
      </c>
      <c r="Q1800">
        <v>-1.9946660000000001E-2</v>
      </c>
      <c r="R1800">
        <v>3.6480360000000003E-2</v>
      </c>
      <c r="S1800">
        <v>-2.9684140000000001</v>
      </c>
      <c r="T1800">
        <v>-0.74363119999999905</v>
      </c>
      <c r="U1800">
        <v>0.51354979999999995</v>
      </c>
      <c r="V1800">
        <v>6.7851869999999995E-2</v>
      </c>
      <c r="W1800">
        <v>-9.2331449999999999E-3</v>
      </c>
      <c r="X1800">
        <v>0.99765269999999995</v>
      </c>
      <c r="Y1800">
        <v>0.1945539</v>
      </c>
      <c r="Z1800">
        <v>3.1529670000000003E-2</v>
      </c>
      <c r="AA1800">
        <v>0.9803849</v>
      </c>
      <c r="AB1800">
        <v>32</v>
      </c>
      <c r="AC1800">
        <v>-0.49430000000000901</v>
      </c>
      <c r="AD1800">
        <v>-0.20485639999999999</v>
      </c>
      <c r="AE1800">
        <v>0.15199999999998601</v>
      </c>
      <c r="AF1800">
        <v>0.144741751492662</v>
      </c>
      <c r="AG1800">
        <v>-0.20485639999999999</v>
      </c>
      <c r="AH1800">
        <v>0.42291646102345898</v>
      </c>
      <c r="AI1800">
        <v>114.621621258514</v>
      </c>
      <c r="AJ1800">
        <v>71.106659683807905</v>
      </c>
      <c r="AK1800">
        <v>0.491705859483829</v>
      </c>
      <c r="AL1800">
        <v>90.529027747202207</v>
      </c>
      <c r="AM1800">
        <v>86.1092189620406</v>
      </c>
      <c r="AN1800">
        <v>1.0000000185231801</v>
      </c>
    </row>
    <row r="1801" spans="1:40" x14ac:dyDescent="0.25">
      <c r="A1801" t="str">
        <f>"20190312160950838"</f>
        <v>20190312160950838</v>
      </c>
      <c r="B1801" t="str">
        <f>"1552378190827279"</f>
        <v>1552378190827279</v>
      </c>
      <c r="C1801" t="s">
        <v>40</v>
      </c>
      <c r="D1801">
        <v>5.6786430000000001</v>
      </c>
      <c r="E1801">
        <v>0.49992429999999899</v>
      </c>
      <c r="F1801" t="s">
        <v>42</v>
      </c>
      <c r="G1801">
        <v>-311.17450000000002</v>
      </c>
      <c r="H1801">
        <v>1.001433</v>
      </c>
      <c r="I1801">
        <v>284.48379999999997</v>
      </c>
      <c r="J1801">
        <v>-310.66180000000003</v>
      </c>
      <c r="K1801">
        <v>1.109521</v>
      </c>
      <c r="L1801">
        <v>284.43439999999998</v>
      </c>
      <c r="M1801">
        <v>-0.99945010000000001</v>
      </c>
      <c r="N1801">
        <v>0</v>
      </c>
      <c r="O1801">
        <v>-3.1374579999999999E-2</v>
      </c>
      <c r="P1801">
        <v>-0.99918759999999995</v>
      </c>
      <c r="Q1801">
        <v>-1.9260530000000001E-2</v>
      </c>
      <c r="R1801">
        <v>3.5404850000000002E-2</v>
      </c>
      <c r="S1801">
        <v>-2.989471</v>
      </c>
      <c r="T1801">
        <v>-0.39411119999999999</v>
      </c>
      <c r="U1801">
        <v>0.14471439999999999</v>
      </c>
      <c r="V1801">
        <v>6.6737249999999998E-2</v>
      </c>
      <c r="W1801">
        <v>-8.5468880000000007E-3</v>
      </c>
      <c r="X1801">
        <v>0.99773400000000001</v>
      </c>
      <c r="Y1801">
        <v>7.8716629999999996E-2</v>
      </c>
      <c r="Z1801">
        <v>9.2799100000000006E-3</v>
      </c>
      <c r="AA1801">
        <v>0.99685380000000001</v>
      </c>
      <c r="AB1801">
        <v>32</v>
      </c>
      <c r="AC1801">
        <v>-0.51269999999999505</v>
      </c>
      <c r="AD1801">
        <v>-0.108087999999999</v>
      </c>
      <c r="AE1801">
        <v>4.9399999999991402E-2</v>
      </c>
      <c r="AF1801">
        <v>6.2701195379850999E-2</v>
      </c>
      <c r="AG1801">
        <v>-0.108087999999999</v>
      </c>
      <c r="AH1801">
        <v>0.48934827809391102</v>
      </c>
      <c r="AI1801">
        <v>102.357696931221</v>
      </c>
      <c r="AJ1801">
        <v>82.698360175209601</v>
      </c>
      <c r="AK1801">
        <v>0.50505068351556304</v>
      </c>
      <c r="AL1801">
        <v>90.489706561696494</v>
      </c>
      <c r="AM1801">
        <v>86.173253221143398</v>
      </c>
      <c r="AN1801">
        <v>1.00000002229402</v>
      </c>
    </row>
    <row r="1802" spans="1:40" x14ac:dyDescent="0.25">
      <c r="A1802" t="str">
        <f>"20190312160950859"</f>
        <v>20190312160950859</v>
      </c>
      <c r="B1802" t="str">
        <f>"1552378190847775"</f>
        <v>1552378190847775</v>
      </c>
      <c r="C1802" t="s">
        <v>40</v>
      </c>
      <c r="D1802">
        <v>5.5906279999999997</v>
      </c>
      <c r="E1802">
        <v>0.49722040000000001</v>
      </c>
      <c r="F1802" t="s">
        <v>42</v>
      </c>
      <c r="G1802">
        <v>-311.47309999999999</v>
      </c>
      <c r="H1802">
        <v>1.0259780000000001</v>
      </c>
      <c r="I1802">
        <v>284.4624</v>
      </c>
      <c r="J1802">
        <v>-310.97309999999999</v>
      </c>
      <c r="K1802">
        <v>1.1095250000000001</v>
      </c>
      <c r="L1802">
        <v>284.42469999999997</v>
      </c>
      <c r="M1802">
        <v>-0.99945139999999999</v>
      </c>
      <c r="N1802">
        <v>0</v>
      </c>
      <c r="O1802">
        <v>-3.132708E-2</v>
      </c>
      <c r="P1802">
        <v>-0.999247</v>
      </c>
      <c r="Q1802">
        <v>-1.9143299999999999E-2</v>
      </c>
      <c r="R1802">
        <v>3.3751539999999997E-2</v>
      </c>
      <c r="S1802">
        <v>-2.9928279999999998</v>
      </c>
      <c r="T1802">
        <v>-0.3084035</v>
      </c>
      <c r="U1802">
        <v>0.10226440000000001</v>
      </c>
      <c r="V1802">
        <v>6.5039280000000005E-2</v>
      </c>
      <c r="W1802">
        <v>-8.4280750000000001E-3</v>
      </c>
      <c r="X1802">
        <v>0.99784709999999999</v>
      </c>
      <c r="Y1802">
        <v>6.4934510000000001E-2</v>
      </c>
      <c r="Z1802">
        <v>6.554809E-3</v>
      </c>
      <c r="AA1802">
        <v>0.99786799999999998</v>
      </c>
      <c r="AB1802">
        <v>32</v>
      </c>
      <c r="AC1802">
        <v>-0.5</v>
      </c>
      <c r="AD1802">
        <v>-8.3546999999999996E-2</v>
      </c>
      <c r="AE1802">
        <v>3.77000000000293E-2</v>
      </c>
      <c r="AF1802">
        <v>5.1904924827959401E-2</v>
      </c>
      <c r="AG1802">
        <v>-8.3546999999999996E-2</v>
      </c>
      <c r="AH1802">
        <v>0.48510568516771002</v>
      </c>
      <c r="AI1802">
        <v>99.7174645048824</v>
      </c>
      <c r="AJ1802">
        <v>83.892750325821098</v>
      </c>
      <c r="AK1802">
        <v>0.494976512788667</v>
      </c>
      <c r="AL1802">
        <v>90.482898849896401</v>
      </c>
      <c r="AM1802">
        <v>86.270758822685593</v>
      </c>
      <c r="AN1802">
        <v>0.99999998768476595</v>
      </c>
    </row>
    <row r="1803" spans="1:40" x14ac:dyDescent="0.25">
      <c r="A1803" t="str">
        <f>"20190312160950881"</f>
        <v>20190312160950881</v>
      </c>
      <c r="B1803" t="str">
        <f>"1552378190877055"</f>
        <v>1552378190877055</v>
      </c>
      <c r="C1803" t="s">
        <v>40</v>
      </c>
      <c r="D1803">
        <v>5.6105099999999997</v>
      </c>
      <c r="E1803">
        <v>0.4971177</v>
      </c>
      <c r="F1803" t="s">
        <v>42</v>
      </c>
      <c r="G1803">
        <v>-311.76839999999999</v>
      </c>
      <c r="H1803">
        <v>1.04336299999999</v>
      </c>
      <c r="I1803">
        <v>284.44510000000002</v>
      </c>
      <c r="J1803">
        <v>-311.29640000000001</v>
      </c>
      <c r="K1803">
        <v>1.1095269999999999</v>
      </c>
      <c r="L1803">
        <v>284.41460000000001</v>
      </c>
      <c r="M1803">
        <v>-0.99945309999999998</v>
      </c>
      <c r="N1803">
        <v>0</v>
      </c>
      <c r="O1803">
        <v>-3.1273769999999999E-2</v>
      </c>
      <c r="P1803">
        <v>-0.99930850000000004</v>
      </c>
      <c r="Q1803">
        <v>-1.9169800000000001E-2</v>
      </c>
      <c r="R1803">
        <v>3.1864629999999998E-2</v>
      </c>
      <c r="S1803">
        <v>-2.994904</v>
      </c>
      <c r="T1803">
        <v>-0.24913250000000001</v>
      </c>
      <c r="U1803">
        <v>7.6324459999999997E-2</v>
      </c>
      <c r="V1803">
        <v>6.3101889999999994E-2</v>
      </c>
      <c r="W1803">
        <v>-8.4517489999999997E-3</v>
      </c>
      <c r="X1803">
        <v>0.99797130000000001</v>
      </c>
      <c r="Y1803">
        <v>5.642672E-2</v>
      </c>
      <c r="Z1803">
        <v>4.9392259999999997E-3</v>
      </c>
      <c r="AA1803">
        <v>0.99839449999999996</v>
      </c>
      <c r="AB1803">
        <v>32</v>
      </c>
      <c r="AC1803">
        <v>-0.47199999999997899</v>
      </c>
      <c r="AD1803">
        <v>-6.6164000000000306E-2</v>
      </c>
      <c r="AE1803">
        <v>3.05000000000177E-2</v>
      </c>
      <c r="AF1803">
        <v>4.4378740969588298E-2</v>
      </c>
      <c r="AG1803">
        <v>-6.6164000000000306E-2</v>
      </c>
      <c r="AH1803">
        <v>0.46177902917000901</v>
      </c>
      <c r="AI1803">
        <v>98.116984769641505</v>
      </c>
      <c r="AJ1803">
        <v>84.510513977675899</v>
      </c>
      <c r="AK1803">
        <v>0.46860113030939399</v>
      </c>
      <c r="AL1803">
        <v>90.484255313464999</v>
      </c>
      <c r="AM1803">
        <v>86.381994935265894</v>
      </c>
      <c r="AN1803">
        <v>0.99999999810321005</v>
      </c>
    </row>
    <row r="1804" spans="1:40" x14ac:dyDescent="0.25">
      <c r="A1804" t="str">
        <f>"20190312160950928"</f>
        <v>20190312160950928</v>
      </c>
      <c r="B1804" t="str">
        <f>"1552378190917070"</f>
        <v>1552378190917070</v>
      </c>
      <c r="C1804" t="s">
        <v>40</v>
      </c>
      <c r="D1804">
        <v>5.677505</v>
      </c>
      <c r="E1804">
        <v>0.49672670000000002</v>
      </c>
      <c r="F1804" t="s">
        <v>61</v>
      </c>
      <c r="G1804">
        <v>-327.12810000000002</v>
      </c>
      <c r="H1804" s="1">
        <v>2.2489819999999999E-6</v>
      </c>
      <c r="I1804">
        <v>284.78699999999998</v>
      </c>
      <c r="J1804">
        <v>-311.96089999999998</v>
      </c>
      <c r="K1804">
        <v>1.1095250000000001</v>
      </c>
      <c r="L1804">
        <v>284.39400000000001</v>
      </c>
      <c r="M1804">
        <v>-0.99945680000000003</v>
      </c>
      <c r="N1804">
        <v>0</v>
      </c>
      <c r="O1804">
        <v>-3.1157420000000002E-2</v>
      </c>
      <c r="P1804">
        <v>-0.99939639999999996</v>
      </c>
      <c r="Q1804">
        <v>-1.8193270000000001E-2</v>
      </c>
      <c r="R1804">
        <v>2.9599529999999999E-2</v>
      </c>
      <c r="S1804">
        <v>-2.9957889999999998</v>
      </c>
      <c r="T1804">
        <v>-0.2099519</v>
      </c>
      <c r="U1804">
        <v>7.0465089999999994E-2</v>
      </c>
      <c r="V1804">
        <v>6.0724590000000002E-2</v>
      </c>
      <c r="W1804">
        <v>-7.4680299999999996E-3</v>
      </c>
      <c r="X1804">
        <v>0.99812659999999997</v>
      </c>
      <c r="Y1804">
        <v>5.4444199999999998E-2</v>
      </c>
      <c r="Z1804">
        <v>4.0858589999999998E-3</v>
      </c>
      <c r="AA1804">
        <v>0.99850850000000002</v>
      </c>
      <c r="AB1804">
        <v>32</v>
      </c>
      <c r="AC1804">
        <v>-15.167199999999999</v>
      </c>
      <c r="AD1804">
        <v>-1.1095227510179999</v>
      </c>
      <c r="AE1804">
        <v>0.39300000000002899</v>
      </c>
      <c r="AF1804">
        <v>0.86080389030100402</v>
      </c>
      <c r="AG1804">
        <v>-1.1095227510179999</v>
      </c>
      <c r="AH1804">
        <v>15.0670152981487</v>
      </c>
      <c r="AI1804">
        <v>94.204780743424493</v>
      </c>
      <c r="AJ1804">
        <v>86.730150419786895</v>
      </c>
      <c r="AK1804">
        <v>15.132315555368001</v>
      </c>
      <c r="AL1804">
        <v>90.427890586902507</v>
      </c>
      <c r="AM1804">
        <v>86.518498161153602</v>
      </c>
      <c r="AN1804">
        <v>0.99999997846515398</v>
      </c>
    </row>
    <row r="1805" spans="1:40" x14ac:dyDescent="0.25">
      <c r="A1805" t="str">
        <f>"20190312160950949"</f>
        <v>20190312160950949</v>
      </c>
      <c r="B1805" t="str">
        <f>"1552378190937567"</f>
        <v>1552378190937567</v>
      </c>
      <c r="C1805" t="s">
        <v>40</v>
      </c>
      <c r="D1805">
        <v>5.6180440000000003</v>
      </c>
      <c r="E1805">
        <v>0.49646879999999999</v>
      </c>
      <c r="F1805" t="s">
        <v>42</v>
      </c>
      <c r="G1805">
        <v>-312.92349999999999</v>
      </c>
      <c r="H1805">
        <v>1.049296</v>
      </c>
      <c r="I1805">
        <v>284.41359999999997</v>
      </c>
      <c r="J1805">
        <v>-312.26330000000002</v>
      </c>
      <c r="K1805">
        <v>1.1095189999999999</v>
      </c>
      <c r="L1805">
        <v>284.38459999999998</v>
      </c>
      <c r="M1805">
        <v>-0.99945839999999997</v>
      </c>
      <c r="N1805">
        <v>0</v>
      </c>
      <c r="O1805">
        <v>-3.1102580000000001E-2</v>
      </c>
      <c r="P1805">
        <v>-0.99939560000000005</v>
      </c>
      <c r="Q1805">
        <v>-1.8207620000000001E-2</v>
      </c>
      <c r="R1805">
        <v>2.9613130000000001E-2</v>
      </c>
      <c r="S1805">
        <v>-2.9965820000000001</v>
      </c>
      <c r="T1805">
        <v>-0.18748719999999999</v>
      </c>
      <c r="U1805">
        <v>6.0943600000000001E-2</v>
      </c>
      <c r="V1805">
        <v>6.0683170000000002E-2</v>
      </c>
      <c r="W1805">
        <v>-7.4793259999999997E-3</v>
      </c>
      <c r="X1805">
        <v>0.99812909999999999</v>
      </c>
      <c r="Y1805">
        <v>5.1260609999999998E-2</v>
      </c>
      <c r="Z1805">
        <v>3.5458070000000002E-3</v>
      </c>
      <c r="AA1805">
        <v>0.99867899999999998</v>
      </c>
      <c r="AB1805">
        <v>32</v>
      </c>
      <c r="AC1805">
        <v>-0.66019999999997403</v>
      </c>
      <c r="AD1805">
        <v>-6.0223000000000103E-2</v>
      </c>
      <c r="AE1805">
        <v>2.89999999999963E-2</v>
      </c>
      <c r="AF1805">
        <v>4.9113195530221497E-2</v>
      </c>
      <c r="AG1805">
        <v>-6.0223000000000103E-2</v>
      </c>
      <c r="AH1805">
        <v>0.65355082861507996</v>
      </c>
      <c r="AI1805">
        <v>95.2500682034769</v>
      </c>
      <c r="AJ1805">
        <v>85.702400659128998</v>
      </c>
      <c r="AK1805">
        <v>0.65815469404057902</v>
      </c>
      <c r="AL1805">
        <v>90.428537790096399</v>
      </c>
      <c r="AM1805">
        <v>86.520875737310703</v>
      </c>
      <c r="AN1805">
        <v>1.0000000438527299</v>
      </c>
    </row>
    <row r="1806" spans="1:40" x14ac:dyDescent="0.25">
      <c r="A1806" t="str">
        <f>"20190312160950971"</f>
        <v>20190312160950971</v>
      </c>
      <c r="B1806" t="str">
        <f>"1552378190966847"</f>
        <v>1552378190966847</v>
      </c>
      <c r="C1806" t="s">
        <v>40</v>
      </c>
      <c r="D1806">
        <v>5.7113709999999998</v>
      </c>
      <c r="E1806">
        <v>0.49591160000000001</v>
      </c>
      <c r="F1806" t="s">
        <v>42</v>
      </c>
      <c r="G1806">
        <v>-313.21469999999999</v>
      </c>
      <c r="H1806">
        <v>1.052859</v>
      </c>
      <c r="I1806">
        <v>284.40350000000001</v>
      </c>
      <c r="J1806">
        <v>-312.58870000000002</v>
      </c>
      <c r="K1806">
        <v>1.109515</v>
      </c>
      <c r="L1806">
        <v>284.37450000000001</v>
      </c>
      <c r="M1806">
        <v>-0.99946029999999997</v>
      </c>
      <c r="N1806">
        <v>0</v>
      </c>
      <c r="O1806">
        <v>-3.104057E-2</v>
      </c>
      <c r="P1806">
        <v>-0.99937589999999998</v>
      </c>
      <c r="Q1806">
        <v>-1.8210029999999999E-2</v>
      </c>
      <c r="R1806">
        <v>3.0277169999999999E-2</v>
      </c>
      <c r="S1806">
        <v>-2.996826</v>
      </c>
      <c r="T1806">
        <v>-0.17860690000000001</v>
      </c>
      <c r="U1806">
        <v>5.8868410000000003E-2</v>
      </c>
      <c r="V1806">
        <v>6.128455E-2</v>
      </c>
      <c r="W1806">
        <v>-7.4787229999999996E-3</v>
      </c>
      <c r="X1806">
        <v>0.99809230000000004</v>
      </c>
      <c r="Y1806">
        <v>5.0522020000000001E-2</v>
      </c>
      <c r="Z1806">
        <v>3.3522270000000002E-3</v>
      </c>
      <c r="AA1806">
        <v>0.99871730000000003</v>
      </c>
      <c r="AB1806">
        <v>32</v>
      </c>
      <c r="AC1806">
        <v>-0.62599999999997602</v>
      </c>
      <c r="AD1806">
        <v>-5.6655999999999998E-2</v>
      </c>
      <c r="AE1806">
        <v>2.89999999999963E-2</v>
      </c>
      <c r="AF1806">
        <v>4.8025999822163698E-2</v>
      </c>
      <c r="AG1806">
        <v>-5.6655999999999998E-2</v>
      </c>
      <c r="AH1806">
        <v>0.61973265099707298</v>
      </c>
      <c r="AI1806">
        <v>95.207936032306307</v>
      </c>
      <c r="AJ1806">
        <v>85.568736775027205</v>
      </c>
      <c r="AK1806">
        <v>0.62416741160267097</v>
      </c>
      <c r="AL1806">
        <v>90.4285032657057</v>
      </c>
      <c r="AM1806">
        <v>86.486353784462395</v>
      </c>
      <c r="AN1806">
        <v>0.99999998334285101</v>
      </c>
    </row>
    <row r="1807" spans="1:40" x14ac:dyDescent="0.25">
      <c r="A1807" t="str">
        <f>"20190312160950995"</f>
        <v>20190312160950995</v>
      </c>
      <c r="B1807" t="str">
        <f>"1552378190987343"</f>
        <v>1552378190987343</v>
      </c>
      <c r="C1807" t="s">
        <v>40</v>
      </c>
      <c r="D1807">
        <v>5.764456</v>
      </c>
      <c r="E1807">
        <v>0.49577559999999898</v>
      </c>
      <c r="F1807" t="s">
        <v>61</v>
      </c>
      <c r="G1807">
        <v>-332.92399999999998</v>
      </c>
      <c r="H1807" s="1">
        <v>1.297366E-8</v>
      </c>
      <c r="I1807">
        <v>284.75880000000001</v>
      </c>
      <c r="J1807">
        <v>-312.92680000000001</v>
      </c>
      <c r="K1807">
        <v>1.109513</v>
      </c>
      <c r="L1807">
        <v>284.36410000000001</v>
      </c>
      <c r="M1807">
        <v>-0.99946239999999997</v>
      </c>
      <c r="N1807">
        <v>0</v>
      </c>
      <c r="O1807">
        <v>-3.0968869999999999E-2</v>
      </c>
      <c r="P1807">
        <v>-0.99935750000000001</v>
      </c>
      <c r="Q1807">
        <v>-1.764522E-2</v>
      </c>
      <c r="R1807">
        <v>3.119572E-2</v>
      </c>
      <c r="S1807">
        <v>-2.9971920000000001</v>
      </c>
      <c r="T1807">
        <v>-0.16353019999999999</v>
      </c>
      <c r="U1807">
        <v>5.6640629999999997E-2</v>
      </c>
      <c r="V1807">
        <v>6.213026E-2</v>
      </c>
      <c r="W1807">
        <v>-6.9108769999999898E-3</v>
      </c>
      <c r="X1807">
        <v>0.99804409999999999</v>
      </c>
      <c r="Y1807">
        <v>4.97306E-2</v>
      </c>
      <c r="Z1807">
        <v>3.0438599999999998E-3</v>
      </c>
      <c r="AA1807">
        <v>0.99875800000000003</v>
      </c>
      <c r="AB1807">
        <v>32</v>
      </c>
      <c r="AC1807">
        <v>-19.997199999999999</v>
      </c>
      <c r="AD1807">
        <v>-1.10951298702634</v>
      </c>
      <c r="AE1807">
        <v>0.3947</v>
      </c>
      <c r="AF1807">
        <v>1.0107269996492501</v>
      </c>
      <c r="AG1807">
        <v>-1.10951298702634</v>
      </c>
      <c r="AH1807">
        <v>19.9141032083356</v>
      </c>
      <c r="AI1807">
        <v>93.184842784677997</v>
      </c>
      <c r="AJ1807">
        <v>87.094484162068397</v>
      </c>
      <c r="AK1807">
        <v>19.9705807308762</v>
      </c>
      <c r="AL1807">
        <v>90.395967245705094</v>
      </c>
      <c r="AM1807">
        <v>86.437818838627393</v>
      </c>
      <c r="AN1807">
        <v>0.999999977486693</v>
      </c>
    </row>
    <row r="1808" spans="1:40" x14ac:dyDescent="0.25">
      <c r="A1808" t="str">
        <f>"20190312160951017"</f>
        <v>20190312160951017</v>
      </c>
      <c r="B1808" t="str">
        <f>"1552378191007839"</f>
        <v>1552378191007839</v>
      </c>
      <c r="C1808" t="s">
        <v>40</v>
      </c>
      <c r="D1808">
        <v>5.7940769999999997</v>
      </c>
      <c r="E1808">
        <v>0.49563659999999998</v>
      </c>
      <c r="F1808" t="s">
        <v>61</v>
      </c>
      <c r="G1808">
        <v>-334.32240000000002</v>
      </c>
      <c r="H1808" s="1">
        <v>7.5620490000000005E-7</v>
      </c>
      <c r="I1808">
        <v>284.7808</v>
      </c>
      <c r="J1808">
        <v>-313.24599999999998</v>
      </c>
      <c r="K1808">
        <v>1.1095090000000001</v>
      </c>
      <c r="L1808">
        <v>284.35430000000002</v>
      </c>
      <c r="M1808">
        <v>-0.99946489999999999</v>
      </c>
      <c r="N1808">
        <v>0</v>
      </c>
      <c r="O1808">
        <v>-3.0888800000000001E-2</v>
      </c>
      <c r="P1808">
        <v>-0.9993474</v>
      </c>
      <c r="Q1808">
        <v>-1.6924410000000001E-2</v>
      </c>
      <c r="R1808">
        <v>3.1916369999999999E-2</v>
      </c>
      <c r="S1808">
        <v>-2.9973749999999999</v>
      </c>
      <c r="T1808">
        <v>-0.15543509999999999</v>
      </c>
      <c r="U1808">
        <v>5.8380130000000002E-2</v>
      </c>
      <c r="V1808">
        <v>6.2770489999999998E-2</v>
      </c>
      <c r="W1808">
        <v>-6.1871869999999898E-3</v>
      </c>
      <c r="X1808">
        <v>0.99800880000000003</v>
      </c>
      <c r="Y1808">
        <v>5.0239850000000003E-2</v>
      </c>
      <c r="Z1808">
        <v>2.9022449999999999E-3</v>
      </c>
      <c r="AA1808">
        <v>0.99873299999999998</v>
      </c>
      <c r="AB1808">
        <v>32</v>
      </c>
      <c r="AC1808">
        <v>-21.0764</v>
      </c>
      <c r="AD1808">
        <v>-1.1095082437951</v>
      </c>
      <c r="AE1808">
        <v>0.42649999999997501</v>
      </c>
      <c r="AF1808">
        <v>1.07438274968082</v>
      </c>
      <c r="AG1808">
        <v>-1.1095082437951</v>
      </c>
      <c r="AH1808">
        <v>20.9950093143439</v>
      </c>
      <c r="AI1808">
        <v>93.021109360909705</v>
      </c>
      <c r="AJ1808">
        <v>87.0705443926811</v>
      </c>
      <c r="AK1808">
        <v>21.051739190509899</v>
      </c>
      <c r="AL1808">
        <v>90.354501967424099</v>
      </c>
      <c r="AM1808">
        <v>86.401080863770204</v>
      </c>
      <c r="AN1808">
        <v>0.99999999028762598</v>
      </c>
    </row>
    <row r="1809" spans="1:40" x14ac:dyDescent="0.25">
      <c r="A1809" t="str">
        <f>"20190312160951038"</f>
        <v>20190312160951038</v>
      </c>
      <c r="B1809" t="str">
        <f>"1552378191027359"</f>
        <v>1552378191027359</v>
      </c>
      <c r="C1809" t="s">
        <v>40</v>
      </c>
      <c r="D1809">
        <v>5.741066</v>
      </c>
      <c r="E1809">
        <v>0.4956699</v>
      </c>
      <c r="F1809" t="s">
        <v>61</v>
      </c>
      <c r="G1809">
        <v>-335.42270000000002</v>
      </c>
      <c r="H1809" s="1">
        <v>1.341086E-6</v>
      </c>
      <c r="I1809">
        <v>284.79500000000002</v>
      </c>
      <c r="J1809">
        <v>-313.5471</v>
      </c>
      <c r="K1809">
        <v>1.109497</v>
      </c>
      <c r="L1809">
        <v>284.3451</v>
      </c>
      <c r="M1809">
        <v>-0.99946760000000001</v>
      </c>
      <c r="N1809">
        <v>0</v>
      </c>
      <c r="O1809">
        <v>-3.0796279999999999E-2</v>
      </c>
      <c r="P1809">
        <v>-0.99935810000000003</v>
      </c>
      <c r="Q1809">
        <v>-1.6791799999999999E-2</v>
      </c>
      <c r="R1809">
        <v>3.1646929999999997E-2</v>
      </c>
      <c r="S1809">
        <v>-2.997528</v>
      </c>
      <c r="T1809">
        <v>-0.1499674</v>
      </c>
      <c r="U1809">
        <v>5.9570310000000001E-2</v>
      </c>
      <c r="V1809">
        <v>6.2408789999999999E-2</v>
      </c>
      <c r="W1809">
        <v>-6.0514719999999996E-3</v>
      </c>
      <c r="X1809">
        <v>0.99803229999999998</v>
      </c>
      <c r="Y1809">
        <v>5.0550070000000003E-2</v>
      </c>
      <c r="Z1809">
        <v>2.8032629999999998E-3</v>
      </c>
      <c r="AA1809">
        <v>0.99871759999999998</v>
      </c>
      <c r="AB1809">
        <v>32</v>
      </c>
      <c r="AC1809">
        <v>-21.875599999999999</v>
      </c>
      <c r="AD1809">
        <v>-1.1094956589139999</v>
      </c>
      <c r="AE1809">
        <v>0.44990000000001301</v>
      </c>
      <c r="AF1809">
        <v>1.1205316063772</v>
      </c>
      <c r="AG1809">
        <v>-1.1094956589139999</v>
      </c>
      <c r="AH1809">
        <v>21.795325098607901</v>
      </c>
      <c r="AI1809">
        <v>92.910301382057796</v>
      </c>
      <c r="AJ1809">
        <v>87.056925913934094</v>
      </c>
      <c r="AK1809">
        <v>21.852294338399499</v>
      </c>
      <c r="AL1809">
        <v>90.346725930467898</v>
      </c>
      <c r="AM1809">
        <v>86.421848778159699</v>
      </c>
      <c r="AN1809">
        <v>0.99999997461295997</v>
      </c>
    </row>
    <row r="1810" spans="1:40" x14ac:dyDescent="0.25">
      <c r="A1810" t="str">
        <f>"20190312160951060"</f>
        <v>20190312160951060</v>
      </c>
      <c r="B1810" t="str">
        <f>"1552378191047856"</f>
        <v>1552378191047856</v>
      </c>
      <c r="C1810" t="s">
        <v>40</v>
      </c>
      <c r="D1810">
        <v>5.7373209999999997</v>
      </c>
      <c r="E1810">
        <v>0.49547989999999997</v>
      </c>
      <c r="F1810" t="s">
        <v>61</v>
      </c>
      <c r="G1810">
        <v>-336.24360000000001</v>
      </c>
      <c r="H1810" s="1">
        <v>1.7780379999999999E-6</v>
      </c>
      <c r="I1810">
        <v>284.79289999999997</v>
      </c>
      <c r="J1810">
        <v>-313.87180000000001</v>
      </c>
      <c r="K1810">
        <v>1.1094790000000001</v>
      </c>
      <c r="L1810">
        <v>284.33519999999999</v>
      </c>
      <c r="M1810">
        <v>-0.99947149999999996</v>
      </c>
      <c r="N1810">
        <v>0</v>
      </c>
      <c r="O1810">
        <v>-3.0670179999999998E-2</v>
      </c>
      <c r="P1810">
        <v>-0.9993455</v>
      </c>
      <c r="Q1810">
        <v>-1.691488E-2</v>
      </c>
      <c r="R1810">
        <v>3.1980450000000001E-2</v>
      </c>
      <c r="S1810">
        <v>-2.9975589999999999</v>
      </c>
      <c r="T1810">
        <v>-0.14653250000000001</v>
      </c>
      <c r="U1810">
        <v>5.9143069999999999E-2</v>
      </c>
      <c r="V1810">
        <v>6.2615779999999996E-2</v>
      </c>
      <c r="W1810">
        <v>-6.1724120000000004E-3</v>
      </c>
      <c r="X1810">
        <v>0.99801859999999998</v>
      </c>
      <c r="Y1810">
        <v>5.0286629999999999E-2</v>
      </c>
      <c r="Z1810">
        <v>2.726516E-3</v>
      </c>
      <c r="AA1810">
        <v>0.99873109999999998</v>
      </c>
      <c r="AB1810">
        <v>32</v>
      </c>
      <c r="AC1810">
        <v>-22.3718</v>
      </c>
      <c r="AD1810">
        <v>-1.1094772219619999</v>
      </c>
      <c r="AE1810">
        <v>0.45769999999998801</v>
      </c>
      <c r="AF1810">
        <v>1.14086689680329</v>
      </c>
      <c r="AG1810">
        <v>-1.1094772219619999</v>
      </c>
      <c r="AH1810">
        <v>22.292431823708799</v>
      </c>
      <c r="AI1810">
        <v>92.845498263226503</v>
      </c>
      <c r="AJ1810">
        <v>87.070311558449504</v>
      </c>
      <c r="AK1810">
        <v>22.349161809718499</v>
      </c>
      <c r="AL1810">
        <v>90.353655409654607</v>
      </c>
      <c r="AM1810">
        <v>86.409963028415305</v>
      </c>
      <c r="AN1810">
        <v>0.99999998026043202</v>
      </c>
    </row>
    <row r="1811" spans="1:40" x14ac:dyDescent="0.25">
      <c r="A1811" t="str">
        <f>"20190312160951083"</f>
        <v>20190312160951083</v>
      </c>
      <c r="B1811" t="str">
        <f>"1552378191077136"</f>
        <v>1552378191077136</v>
      </c>
      <c r="C1811" t="s">
        <v>40</v>
      </c>
      <c r="D1811">
        <v>5.7602969999999996</v>
      </c>
      <c r="E1811">
        <v>0.49563990000000002</v>
      </c>
      <c r="F1811" t="s">
        <v>61</v>
      </c>
      <c r="G1811">
        <v>-337.27679999999998</v>
      </c>
      <c r="H1811" s="1">
        <v>2.327855E-6</v>
      </c>
      <c r="I1811">
        <v>284.79219999999998</v>
      </c>
      <c r="J1811">
        <v>-314.20400000000001</v>
      </c>
      <c r="K1811">
        <v>1.109451</v>
      </c>
      <c r="L1811">
        <v>284.32510000000002</v>
      </c>
      <c r="M1811">
        <v>-0.99947640000000004</v>
      </c>
      <c r="N1811">
        <v>0</v>
      </c>
      <c r="O1811">
        <v>-3.0508360000000002E-2</v>
      </c>
      <c r="P1811">
        <v>-0.99933700000000003</v>
      </c>
      <c r="Q1811">
        <v>-1.7003420000000002E-2</v>
      </c>
      <c r="R1811">
        <v>3.2196870000000002E-2</v>
      </c>
      <c r="S1811">
        <v>-2.997681</v>
      </c>
      <c r="T1811">
        <v>-0.14210049999999999</v>
      </c>
      <c r="U1811">
        <v>5.8532710000000002E-2</v>
      </c>
      <c r="V1811">
        <v>6.2669669999999997E-2</v>
      </c>
      <c r="W1811">
        <v>-6.2592739999999996E-3</v>
      </c>
      <c r="X1811">
        <v>0.99801470000000003</v>
      </c>
      <c r="Y1811">
        <v>4.9927220000000001E-2</v>
      </c>
      <c r="Z1811">
        <v>2.627861E-3</v>
      </c>
      <c r="AA1811">
        <v>0.99874940000000001</v>
      </c>
      <c r="AB1811">
        <v>32</v>
      </c>
      <c r="AC1811">
        <v>-23.072799999999901</v>
      </c>
      <c r="AD1811">
        <v>-1.1094486721450001</v>
      </c>
      <c r="AE1811">
        <v>0.46709999999995899</v>
      </c>
      <c r="AF1811">
        <v>1.16813693485384</v>
      </c>
      <c r="AG1811">
        <v>-1.1094486721450001</v>
      </c>
      <c r="AH1811">
        <v>22.9946622890449</v>
      </c>
      <c r="AI1811">
        <v>92.758718306641896</v>
      </c>
      <c r="AJ1811">
        <v>87.091854182659006</v>
      </c>
      <c r="AK1811">
        <v>23.051028481217902</v>
      </c>
      <c r="AL1811">
        <v>90.358632323483405</v>
      </c>
      <c r="AM1811">
        <v>86.406867365384997</v>
      </c>
      <c r="AN1811">
        <v>1.0000000037325001</v>
      </c>
    </row>
    <row r="1812" spans="1:40" x14ac:dyDescent="0.25">
      <c r="A1812" t="str">
        <f>"20190312160951107"</f>
        <v>20190312160951107</v>
      </c>
      <c r="B1812" t="str">
        <f>"1552378191097631"</f>
        <v>1552378191097631</v>
      </c>
      <c r="C1812" t="s">
        <v>40</v>
      </c>
      <c r="D1812">
        <v>5.6316139999999999</v>
      </c>
      <c r="E1812">
        <v>0.46911239999999998</v>
      </c>
      <c r="F1812" t="s">
        <v>61</v>
      </c>
      <c r="G1812">
        <v>-337.34010000000001</v>
      </c>
      <c r="H1812" s="1">
        <v>2.3616010000000002E-6</v>
      </c>
      <c r="I1812">
        <v>284.79199999999997</v>
      </c>
      <c r="J1812">
        <v>-314.53829999999999</v>
      </c>
      <c r="K1812">
        <v>1.1094250000000001</v>
      </c>
      <c r="L1812">
        <v>284.3152</v>
      </c>
      <c r="M1812">
        <v>-0.99948250000000005</v>
      </c>
      <c r="N1812">
        <v>0</v>
      </c>
      <c r="O1812">
        <v>-3.030596E-2</v>
      </c>
      <c r="P1812">
        <v>-0.99932140000000003</v>
      </c>
      <c r="Q1812">
        <v>-1.699794E-2</v>
      </c>
      <c r="R1812">
        <v>3.2676669999999998E-2</v>
      </c>
      <c r="S1812">
        <v>-2.9975890000000001</v>
      </c>
      <c r="T1812">
        <v>-0.1437435</v>
      </c>
      <c r="U1812">
        <v>6.0485839999999999E-2</v>
      </c>
      <c r="V1812">
        <v>6.2946230000000006E-2</v>
      </c>
      <c r="W1812">
        <v>-6.2526439999999999E-3</v>
      </c>
      <c r="X1812">
        <v>0.99799729999999998</v>
      </c>
      <c r="Y1812">
        <v>5.0373670000000002E-2</v>
      </c>
      <c r="Z1812">
        <v>2.6592790000000001E-3</v>
      </c>
      <c r="AA1812">
        <v>0.99872689999999997</v>
      </c>
      <c r="AB1812">
        <v>32</v>
      </c>
      <c r="AC1812">
        <v>-22.8018</v>
      </c>
      <c r="AD1812">
        <v>-1.109422638399</v>
      </c>
      <c r="AE1812">
        <v>0.47680000000002498</v>
      </c>
      <c r="AF1812">
        <v>1.16489511782328</v>
      </c>
      <c r="AG1812">
        <v>-1.109422638399</v>
      </c>
      <c r="AH1812">
        <v>22.723105279823201</v>
      </c>
      <c r="AI1812">
        <v>92.791503785484494</v>
      </c>
      <c r="AJ1812">
        <v>87.065313216726096</v>
      </c>
      <c r="AK1812">
        <v>22.7799761365997</v>
      </c>
      <c r="AL1812">
        <v>90.358252458150403</v>
      </c>
      <c r="AM1812">
        <v>86.390990002741304</v>
      </c>
      <c r="AN1812">
        <v>0.99999996711774597</v>
      </c>
    </row>
    <row r="1813" spans="1:40" x14ac:dyDescent="0.25">
      <c r="A1813" t="str">
        <f>"20190312160951129"</f>
        <v>20190312160951129</v>
      </c>
      <c r="B1813" t="str">
        <f>"1552378191117152"</f>
        <v>1552378191117152</v>
      </c>
      <c r="C1813" t="s">
        <v>40</v>
      </c>
      <c r="D1813">
        <v>5.6682119999999996</v>
      </c>
      <c r="E1813">
        <v>0.46660679999999999</v>
      </c>
      <c r="F1813" t="s">
        <v>61</v>
      </c>
      <c r="G1813">
        <v>-340.07470000000001</v>
      </c>
      <c r="H1813" s="1">
        <v>-1.497037E-6</v>
      </c>
      <c r="I1813">
        <v>283.04559999999998</v>
      </c>
      <c r="J1813">
        <v>-314.85890000000001</v>
      </c>
      <c r="K1813">
        <v>1.1093949999999999</v>
      </c>
      <c r="L1813">
        <v>284.3057</v>
      </c>
      <c r="M1813">
        <v>-0.99948910000000002</v>
      </c>
      <c r="N1813">
        <v>0</v>
      </c>
      <c r="O1813">
        <v>-3.008131E-2</v>
      </c>
      <c r="P1813">
        <v>-0.9992991</v>
      </c>
      <c r="Q1813">
        <v>-1.6778999999999999E-2</v>
      </c>
      <c r="R1813">
        <v>3.3459120000000002E-2</v>
      </c>
      <c r="S1813">
        <v>-3.0047000000000001</v>
      </c>
      <c r="T1813">
        <v>-0.13053870000000001</v>
      </c>
      <c r="U1813">
        <v>-0.1493835</v>
      </c>
      <c r="V1813">
        <v>6.3502909999999996E-2</v>
      </c>
      <c r="W1813">
        <v>-6.0325550000000002E-3</v>
      </c>
      <c r="X1813">
        <v>0.99796339999999994</v>
      </c>
      <c r="Y1813">
        <v>-1.9596740000000001E-2</v>
      </c>
      <c r="Z1813">
        <v>8.7991549999999995E-4</v>
      </c>
      <c r="AA1813">
        <v>0.99980760000000002</v>
      </c>
      <c r="AB1813">
        <v>32</v>
      </c>
      <c r="AC1813">
        <v>-25.215800000000002</v>
      </c>
      <c r="AD1813">
        <v>-1.1093964970370001</v>
      </c>
      <c r="AE1813">
        <v>-1.26010000000002</v>
      </c>
      <c r="AF1813">
        <v>-0.49999572993571001</v>
      </c>
      <c r="AG1813">
        <v>-1.1093964970370001</v>
      </c>
      <c r="AH1813">
        <v>25.193650303549202</v>
      </c>
      <c r="AI1813">
        <v>92.520881629561302</v>
      </c>
      <c r="AJ1813">
        <v>91.136948576951696</v>
      </c>
      <c r="AK1813">
        <v>25.223020674279201</v>
      </c>
      <c r="AL1813">
        <v>90.345642044699304</v>
      </c>
      <c r="AM1813">
        <v>86.359034993531196</v>
      </c>
      <c r="AN1813">
        <v>0.99999997951892705</v>
      </c>
    </row>
    <row r="1814" spans="1:40" x14ac:dyDescent="0.25">
      <c r="A1814" t="str">
        <f>"20190312160951172"</f>
        <v>20190312160951172</v>
      </c>
      <c r="B1814" t="str">
        <f>"1552378191166926"</f>
        <v>1552378191166926</v>
      </c>
      <c r="C1814" t="s">
        <v>40</v>
      </c>
      <c r="D1814">
        <v>5.536753</v>
      </c>
      <c r="E1814">
        <v>0.4659721</v>
      </c>
      <c r="F1814" t="s">
        <v>61</v>
      </c>
      <c r="G1814">
        <v>-341.47379999999998</v>
      </c>
      <c r="H1814" s="1">
        <v>-7.5252249999999998E-7</v>
      </c>
      <c r="I1814">
        <v>282.82940000000002</v>
      </c>
      <c r="J1814">
        <v>-315.49450000000002</v>
      </c>
      <c r="K1814">
        <v>1.1094079999999999</v>
      </c>
      <c r="L1814">
        <v>284.28710000000001</v>
      </c>
      <c r="M1814">
        <v>-0.99950220000000001</v>
      </c>
      <c r="N1814">
        <v>0</v>
      </c>
      <c r="O1814">
        <v>-2.9570760000000001E-2</v>
      </c>
      <c r="P1814">
        <v>-0.99923309999999999</v>
      </c>
      <c r="Q1814">
        <v>-1.6560579999999998E-2</v>
      </c>
      <c r="R1814">
        <v>3.5482279999999998E-2</v>
      </c>
      <c r="S1814">
        <v>-3.0056150000000001</v>
      </c>
      <c r="T1814">
        <v>-0.12528410000000001</v>
      </c>
      <c r="U1814">
        <v>-0.16671749999999999</v>
      </c>
      <c r="V1814">
        <v>6.5013479999999998E-2</v>
      </c>
      <c r="W1814">
        <v>-5.6290359999999996E-3</v>
      </c>
      <c r="X1814">
        <v>0.99786850000000005</v>
      </c>
      <c r="Y1814">
        <v>-2.5835400000000001E-2</v>
      </c>
      <c r="Z1814">
        <v>6.9300929999999996E-4</v>
      </c>
      <c r="AA1814">
        <v>0.99966600000000005</v>
      </c>
      <c r="AB1814">
        <v>32</v>
      </c>
      <c r="AC1814">
        <v>-25.979299999999899</v>
      </c>
      <c r="AD1814">
        <v>-1.1094087525225</v>
      </c>
      <c r="AE1814">
        <v>-1.45769999999998</v>
      </c>
      <c r="AF1814">
        <v>-0.68753850139091599</v>
      </c>
      <c r="AG1814">
        <v>-1.1094087525225</v>
      </c>
      <c r="AH1814">
        <v>25.9638465762987</v>
      </c>
      <c r="AI1814">
        <v>92.445845714461498</v>
      </c>
      <c r="AJ1814">
        <v>91.516872716473799</v>
      </c>
      <c r="AK1814">
        <v>25.996631051131398</v>
      </c>
      <c r="AL1814">
        <v>90.322521711697703</v>
      </c>
      <c r="AM1814">
        <v>86.272313697795894</v>
      </c>
      <c r="AN1814">
        <v>0.99999999096012404</v>
      </c>
    </row>
    <row r="1815" spans="1:40" x14ac:dyDescent="0.25">
      <c r="A1815" t="str">
        <f>"20190312160951195"</f>
        <v>20190312160951195</v>
      </c>
      <c r="B1815" t="str">
        <f>"1552378191187426"</f>
        <v>1552378191187426</v>
      </c>
      <c r="C1815" t="s">
        <v>40</v>
      </c>
      <c r="D1815">
        <v>5.575164</v>
      </c>
      <c r="E1815">
        <v>0.46606720000000001</v>
      </c>
      <c r="F1815" t="s">
        <v>61</v>
      </c>
      <c r="G1815">
        <v>-359.17880000000002</v>
      </c>
      <c r="H1815" s="1">
        <v>3.3477079999999999E-6</v>
      </c>
      <c r="I1815">
        <v>281.8854</v>
      </c>
      <c r="J1815">
        <v>-315.81700000000001</v>
      </c>
      <c r="K1815">
        <v>1.1094660000000001</v>
      </c>
      <c r="L1815">
        <v>284.27789999999999</v>
      </c>
      <c r="M1815">
        <v>-0.99950779999999995</v>
      </c>
      <c r="N1815">
        <v>0</v>
      </c>
      <c r="O1815">
        <v>-2.9293099999999999E-2</v>
      </c>
      <c r="P1815">
        <v>-0.99924060000000003</v>
      </c>
      <c r="Q1815">
        <v>-1.627137E-2</v>
      </c>
      <c r="R1815">
        <v>3.541097E-2</v>
      </c>
      <c r="S1815">
        <v>-3.006866</v>
      </c>
      <c r="T1815">
        <v>-7.6362250000000007E-2</v>
      </c>
      <c r="U1815">
        <v>-0.16531370000000001</v>
      </c>
      <c r="V1815">
        <v>6.466558E-2</v>
      </c>
      <c r="W1815">
        <v>-5.0929979999999996E-3</v>
      </c>
      <c r="X1815">
        <v>0.99789399999999995</v>
      </c>
      <c r="Y1815">
        <v>-2.5622679999999998E-2</v>
      </c>
      <c r="Z1815">
        <v>4.1800449999999999E-4</v>
      </c>
      <c r="AA1815">
        <v>0.99967159999999999</v>
      </c>
      <c r="AB1815">
        <v>32</v>
      </c>
      <c r="AC1815">
        <v>-43.361800000000002</v>
      </c>
      <c r="AD1815">
        <v>-1.1094626522919999</v>
      </c>
      <c r="AE1815">
        <v>-2.3924999999999801</v>
      </c>
      <c r="AF1815">
        <v>-1.1204602598497699</v>
      </c>
      <c r="AG1815">
        <v>-1.1094626522919999</v>
      </c>
      <c r="AH1815">
        <v>43.384961882651403</v>
      </c>
      <c r="AI1815">
        <v>91.464389933030901</v>
      </c>
      <c r="AJ1815">
        <v>91.479392259958701</v>
      </c>
      <c r="AK1815">
        <v>43.4136068085785</v>
      </c>
      <c r="AL1815">
        <v>90.291808550376999</v>
      </c>
      <c r="AM1815">
        <v>86.292299975644994</v>
      </c>
      <c r="AN1815">
        <v>1.0000000055506799</v>
      </c>
    </row>
    <row r="1816" spans="1:40" x14ac:dyDescent="0.25">
      <c r="A1816" t="str">
        <f>"20190312160951217"</f>
        <v>20190312160951217</v>
      </c>
      <c r="B1816" t="str">
        <f>"1552378191206959"</f>
        <v>1552378191206959</v>
      </c>
      <c r="C1816" t="s">
        <v>40</v>
      </c>
      <c r="D1816">
        <v>5.4996650000000002</v>
      </c>
      <c r="E1816">
        <v>0.46597050000000001</v>
      </c>
      <c r="F1816" t="s">
        <v>61</v>
      </c>
      <c r="G1816">
        <v>-366.87009999999998</v>
      </c>
      <c r="H1816" s="1">
        <v>2.1191219999999999E-6</v>
      </c>
      <c r="I1816">
        <v>281.4837</v>
      </c>
      <c r="J1816">
        <v>-316.14080000000001</v>
      </c>
      <c r="K1816">
        <v>1.1094980000000001</v>
      </c>
      <c r="L1816">
        <v>284.26870000000002</v>
      </c>
      <c r="M1816">
        <v>-0.99951389999999996</v>
      </c>
      <c r="N1816">
        <v>0</v>
      </c>
      <c r="O1816">
        <v>-2.8995679999999999E-2</v>
      </c>
      <c r="P1816">
        <v>-0.99927089999999996</v>
      </c>
      <c r="Q1816">
        <v>-1.587353E-2</v>
      </c>
      <c r="R1816">
        <v>3.4726060000000003E-2</v>
      </c>
      <c r="S1816">
        <v>-3.0071110000000001</v>
      </c>
      <c r="T1816">
        <v>-6.534922E-2</v>
      </c>
      <c r="U1816">
        <v>-0.16458130000000001</v>
      </c>
      <c r="V1816">
        <v>6.3685240000000004E-2</v>
      </c>
      <c r="W1816">
        <v>-4.4748039999999998E-3</v>
      </c>
      <c r="X1816">
        <v>0.99795999999999996</v>
      </c>
      <c r="Y1816">
        <v>-2.5672480000000001E-2</v>
      </c>
      <c r="Z1816">
        <v>3.5071640000000002E-4</v>
      </c>
      <c r="AA1816">
        <v>0.99967030000000001</v>
      </c>
      <c r="AB1816">
        <v>32</v>
      </c>
      <c r="AC1816">
        <v>-50.729299999999903</v>
      </c>
      <c r="AD1816">
        <v>-1.10949588087799</v>
      </c>
      <c r="AE1816">
        <v>-2.7850000000000201</v>
      </c>
      <c r="AF1816">
        <v>-1.3121760182256399</v>
      </c>
      <c r="AG1816">
        <v>-1.10949588087799</v>
      </c>
      <c r="AH1816">
        <v>50.7645161053537</v>
      </c>
      <c r="AI1816">
        <v>91.251624198213307</v>
      </c>
      <c r="AJ1816">
        <v>91.480668316719203</v>
      </c>
      <c r="AK1816">
        <v>50.793590958143596</v>
      </c>
      <c r="AL1816">
        <v>90.256388239607602</v>
      </c>
      <c r="AM1816">
        <v>86.3485968644233</v>
      </c>
      <c r="AN1816">
        <v>0.99999999763234704</v>
      </c>
    </row>
    <row r="1817" spans="1:40" x14ac:dyDescent="0.25">
      <c r="A1817" t="str">
        <f>"20190312160951239"</f>
        <v>20190312160951239</v>
      </c>
      <c r="B1817" t="str">
        <f>"1552378191227439"</f>
        <v>1552378191227439</v>
      </c>
      <c r="C1817" t="s">
        <v>40</v>
      </c>
      <c r="D1817">
        <v>5.537725</v>
      </c>
      <c r="E1817">
        <v>0.46600970000000003</v>
      </c>
      <c r="F1817" t="s">
        <v>61</v>
      </c>
      <c r="G1817">
        <v>-372.81670000000003</v>
      </c>
      <c r="H1817" s="1">
        <v>-3.7859540000000002E-8</v>
      </c>
      <c r="I1817">
        <v>281.11779999999999</v>
      </c>
      <c r="J1817">
        <v>-316.45769999999999</v>
      </c>
      <c r="K1817">
        <v>1.1095120000000001</v>
      </c>
      <c r="L1817">
        <v>284.25979999999998</v>
      </c>
      <c r="M1817">
        <v>-0.99952050000000003</v>
      </c>
      <c r="N1817">
        <v>0</v>
      </c>
      <c r="O1817">
        <v>-2.869907E-2</v>
      </c>
      <c r="P1817">
        <v>-0.99928649999999997</v>
      </c>
      <c r="Q1817">
        <v>-1.6463579999999998E-2</v>
      </c>
      <c r="R1817">
        <v>3.3997380000000001E-2</v>
      </c>
      <c r="S1817">
        <v>-3.0070190000000001</v>
      </c>
      <c r="T1817">
        <v>-5.8865899999999999E-2</v>
      </c>
      <c r="U1817">
        <v>-0.1671753</v>
      </c>
      <c r="V1817">
        <v>6.2660759999999996E-2</v>
      </c>
      <c r="W1817">
        <v>-4.8881150000000002E-3</v>
      </c>
      <c r="X1817">
        <v>0.99802290000000005</v>
      </c>
      <c r="Y1817">
        <v>-2.6830050000000001E-2</v>
      </c>
      <c r="Z1817">
        <v>2.9881200000000003E-4</v>
      </c>
      <c r="AA1817">
        <v>0.99963999999999997</v>
      </c>
      <c r="AB1817">
        <v>32</v>
      </c>
      <c r="AC1817">
        <v>-56.359000000000002</v>
      </c>
      <c r="AD1817">
        <v>-1.10951203785954</v>
      </c>
      <c r="AE1817">
        <v>-3.1419999999999901</v>
      </c>
      <c r="AF1817">
        <v>-1.5225571903409301</v>
      </c>
      <c r="AG1817">
        <v>-1.10951203785954</v>
      </c>
      <c r="AH1817">
        <v>56.404168789039502</v>
      </c>
      <c r="AI1817">
        <v>91.126495117393304</v>
      </c>
      <c r="AJ1817">
        <v>91.546249572051295</v>
      </c>
      <c r="AK1817">
        <v>56.435622209225897</v>
      </c>
      <c r="AL1817">
        <v>90.280069478316506</v>
      </c>
      <c r="AM1817">
        <v>86.407406318078003</v>
      </c>
      <c r="AN1817">
        <v>0.99999998671821999</v>
      </c>
    </row>
    <row r="1818" spans="1:40" x14ac:dyDescent="0.25">
      <c r="A1818" t="str">
        <f>"20190312160951261"</f>
        <v>20190312160951261</v>
      </c>
      <c r="B1818" t="str">
        <f>"1552378191257695"</f>
        <v>1552378191257695</v>
      </c>
      <c r="C1818" t="s">
        <v>40</v>
      </c>
      <c r="D1818">
        <v>5.4766510000000004</v>
      </c>
      <c r="E1818">
        <v>0.46612209999999898</v>
      </c>
      <c r="F1818" t="s">
        <v>61</v>
      </c>
      <c r="G1818">
        <v>-373.17689999999999</v>
      </c>
      <c r="H1818" s="1">
        <v>1.53811E-7</v>
      </c>
      <c r="I1818">
        <v>281.06779999999998</v>
      </c>
      <c r="J1818">
        <v>-316.77749999999997</v>
      </c>
      <c r="K1818">
        <v>1.10951</v>
      </c>
      <c r="L1818">
        <v>284.2509</v>
      </c>
      <c r="M1818">
        <v>-0.9995269</v>
      </c>
      <c r="N1818">
        <v>0</v>
      </c>
      <c r="O1818">
        <v>-2.8406420000000002E-2</v>
      </c>
      <c r="P1818">
        <v>-0.99928430000000001</v>
      </c>
      <c r="Q1818">
        <v>-1.7312500000000001E-2</v>
      </c>
      <c r="R1818">
        <v>3.3634669999999998E-2</v>
      </c>
      <c r="S1818">
        <v>-3.0069270000000001</v>
      </c>
      <c r="T1818">
        <v>-5.881989E-2</v>
      </c>
      <c r="U1818">
        <v>-0.16922000000000001</v>
      </c>
      <c r="V1818">
        <v>6.2005589999999999E-2</v>
      </c>
      <c r="W1818">
        <v>-5.575778E-3</v>
      </c>
      <c r="X1818">
        <v>0.99806019999999895</v>
      </c>
      <c r="Y1818">
        <v>-2.7801719999999999E-2</v>
      </c>
      <c r="Z1818">
        <v>2.8337039999999999E-4</v>
      </c>
      <c r="AA1818">
        <v>0.99961339999999999</v>
      </c>
      <c r="AB1818">
        <v>32</v>
      </c>
      <c r="AC1818">
        <v>-56.3994</v>
      </c>
      <c r="AD1818">
        <v>-1.1095098461890001</v>
      </c>
      <c r="AE1818">
        <v>-3.18310000000002</v>
      </c>
      <c r="AF1818">
        <v>-1.57898972572813</v>
      </c>
      <c r="AG1818">
        <v>-1.1095098461890001</v>
      </c>
      <c r="AH1818">
        <v>56.445288883669399</v>
      </c>
      <c r="AI1818">
        <v>91.125642168631202</v>
      </c>
      <c r="AJ1818">
        <v>91.6023633073534</v>
      </c>
      <c r="AK1818">
        <v>56.478268898875001</v>
      </c>
      <c r="AL1818">
        <v>90.319470211002397</v>
      </c>
      <c r="AM1818">
        <v>86.445005528856697</v>
      </c>
      <c r="AN1818">
        <v>0.99999997265779605</v>
      </c>
    </row>
    <row r="1819" spans="1:40" x14ac:dyDescent="0.25">
      <c r="A1819" t="str">
        <f>"20190312160951285"</f>
        <v>20190312160951285</v>
      </c>
      <c r="B1819" t="str">
        <f>"1552378191277215"</f>
        <v>1552378191277215</v>
      </c>
      <c r="C1819" t="s">
        <v>40</v>
      </c>
      <c r="D1819">
        <v>5.4553940000000001</v>
      </c>
      <c r="E1819">
        <v>0.46631430000000001</v>
      </c>
      <c r="F1819" t="s">
        <v>61</v>
      </c>
      <c r="G1819">
        <v>-376.0616</v>
      </c>
      <c r="H1819" s="1">
        <v>1.68886E-6</v>
      </c>
      <c r="I1819">
        <v>280.91329999999999</v>
      </c>
      <c r="J1819">
        <v>-317.11559999999997</v>
      </c>
      <c r="K1819">
        <v>1.109515</v>
      </c>
      <c r="L1819">
        <v>284.24169999999998</v>
      </c>
      <c r="M1819">
        <v>-0.99953369999999997</v>
      </c>
      <c r="N1819">
        <v>0</v>
      </c>
      <c r="O1819">
        <v>-2.8099519999999999E-2</v>
      </c>
      <c r="P1819">
        <v>-0.99928159999999999</v>
      </c>
      <c r="Q1819">
        <v>-1.7677599999999901E-2</v>
      </c>
      <c r="R1819">
        <v>3.3532439999999997E-2</v>
      </c>
      <c r="S1819">
        <v>-3.0068359999999998</v>
      </c>
      <c r="T1819">
        <v>-5.6273339999999998E-2</v>
      </c>
      <c r="U1819">
        <v>-0.16928099999999999</v>
      </c>
      <c r="V1819">
        <v>6.159676E-2</v>
      </c>
      <c r="W1819">
        <v>-5.7828510000000003E-3</v>
      </c>
      <c r="X1819">
        <v>0.99808439999999998</v>
      </c>
      <c r="Y1819">
        <v>-2.8130410000000002E-2</v>
      </c>
      <c r="Z1819">
        <v>2.623053E-4</v>
      </c>
      <c r="AA1819">
        <v>0.99960420000000005</v>
      </c>
      <c r="AB1819">
        <v>32</v>
      </c>
      <c r="AC1819">
        <v>-58.945999999999998</v>
      </c>
      <c r="AD1819">
        <v>-1.10951331114</v>
      </c>
      <c r="AE1819">
        <v>-3.3283999999999798</v>
      </c>
      <c r="AF1819">
        <v>-1.6700231581912499</v>
      </c>
      <c r="AG1819">
        <v>-1.10951331114</v>
      </c>
      <c r="AH1819">
        <v>58.995418883757601</v>
      </c>
      <c r="AI1819">
        <v>91.076990248012905</v>
      </c>
      <c r="AJ1819">
        <v>91.6214773015612</v>
      </c>
      <c r="AK1819">
        <v>59.029479469215303</v>
      </c>
      <c r="AL1819">
        <v>90.331334790701504</v>
      </c>
      <c r="AM1819">
        <v>86.468471055984296</v>
      </c>
      <c r="AN1819">
        <v>1.0000000358657699</v>
      </c>
    </row>
    <row r="1820" spans="1:40" x14ac:dyDescent="0.25">
      <c r="A1820" t="str">
        <f>"20190312160951307"</f>
        <v>20190312160951307</v>
      </c>
      <c r="B1820" t="str">
        <f>"1552378191297711"</f>
        <v>1552378191297711</v>
      </c>
      <c r="C1820" t="s">
        <v>40</v>
      </c>
      <c r="D1820">
        <v>5.4631400000000001</v>
      </c>
      <c r="E1820">
        <v>0.46632780000000001</v>
      </c>
      <c r="F1820" t="s">
        <v>61</v>
      </c>
      <c r="G1820">
        <v>-378.82940000000002</v>
      </c>
      <c r="H1820" s="1">
        <v>3.1618040000000001E-6</v>
      </c>
      <c r="I1820">
        <v>280.79610000000002</v>
      </c>
      <c r="J1820">
        <v>-317.44139999999999</v>
      </c>
      <c r="K1820">
        <v>1.109523</v>
      </c>
      <c r="L1820">
        <v>284.23289999999997</v>
      </c>
      <c r="M1820">
        <v>-0.99954030000000005</v>
      </c>
      <c r="N1820">
        <v>0</v>
      </c>
      <c r="O1820">
        <v>-2.7801039999999999E-2</v>
      </c>
      <c r="P1820">
        <v>-0.99927600000000005</v>
      </c>
      <c r="Q1820">
        <v>-1.7799410000000002E-2</v>
      </c>
      <c r="R1820">
        <v>3.3631380000000002E-2</v>
      </c>
      <c r="S1820">
        <v>-3.006866</v>
      </c>
      <c r="T1820">
        <v>-5.4058429999999998E-2</v>
      </c>
      <c r="U1820">
        <v>-0.1678772</v>
      </c>
      <c r="V1820">
        <v>6.1397680000000003E-2</v>
      </c>
      <c r="W1820">
        <v>-5.7690349999999996E-3</v>
      </c>
      <c r="X1820">
        <v>0.99809669999999895</v>
      </c>
      <c r="Y1820">
        <v>-2.796305E-2</v>
      </c>
      <c r="Z1820">
        <v>2.4813009999999998E-4</v>
      </c>
      <c r="AA1820">
        <v>0.99960890000000002</v>
      </c>
      <c r="AB1820">
        <v>32</v>
      </c>
      <c r="AC1820">
        <v>-61.387999999999998</v>
      </c>
      <c r="AD1820">
        <v>-1.1095198381960001</v>
      </c>
      <c r="AE1820">
        <v>-3.4367999999999399</v>
      </c>
      <c r="AF1820">
        <v>-1.7281335527396999</v>
      </c>
      <c r="AG1820">
        <v>-1.1095198381960001</v>
      </c>
      <c r="AH1820">
        <v>61.439814666377302</v>
      </c>
      <c r="AI1820">
        <v>91.034162807412002</v>
      </c>
      <c r="AJ1820">
        <v>91.611148411365704</v>
      </c>
      <c r="AK1820">
        <v>61.474127127485502</v>
      </c>
      <c r="AL1820">
        <v>90.330543194291096</v>
      </c>
      <c r="AM1820">
        <v>86.479899440221203</v>
      </c>
      <c r="AN1820">
        <v>0.999999989712551</v>
      </c>
    </row>
    <row r="1821" spans="1:40" x14ac:dyDescent="0.25">
      <c r="A1821" t="str">
        <f>"20190312160951629"</f>
        <v>20190312160951629</v>
      </c>
      <c r="B1821" t="str">
        <f>"1552378191627599"</f>
        <v>1552378191627599</v>
      </c>
      <c r="C1821" t="s">
        <v>40</v>
      </c>
      <c r="D1821">
        <v>6.0213380000000001</v>
      </c>
      <c r="E1821">
        <v>0.43353120000000001</v>
      </c>
      <c r="F1821" t="s">
        <v>61</v>
      </c>
      <c r="G1821">
        <v>-382.87569999999999</v>
      </c>
      <c r="H1821" s="1">
        <v>-6.5000449999999998E-9</v>
      </c>
      <c r="I1821">
        <v>280.589</v>
      </c>
      <c r="J1821">
        <v>-322.17149999999998</v>
      </c>
      <c r="K1821">
        <v>1.1081190000000001</v>
      </c>
      <c r="L1821">
        <v>284.11489999999998</v>
      </c>
      <c r="M1821">
        <v>-0.99970899999999996</v>
      </c>
      <c r="N1821">
        <v>0</v>
      </c>
      <c r="O1821">
        <v>-2.366998E-2</v>
      </c>
      <c r="P1821">
        <v>-0.99916059999999995</v>
      </c>
      <c r="Q1821">
        <v>-1.3992030000000001E-2</v>
      </c>
      <c r="R1821">
        <v>3.8501140000000003E-2</v>
      </c>
      <c r="S1821">
        <v>-3.0068969999999999</v>
      </c>
      <c r="T1821">
        <v>-5.0985809999999999E-2</v>
      </c>
      <c r="U1821">
        <v>-0.16744999999999999</v>
      </c>
      <c r="V1821">
        <v>6.2135509999999998E-2</v>
      </c>
      <c r="W1821">
        <v>-9.3727159999999997E-3</v>
      </c>
      <c r="X1821">
        <v>0.99802369999999996</v>
      </c>
      <c r="Y1821">
        <v>-3.1952090000000002E-2</v>
      </c>
      <c r="Z1821">
        <v>1.302605E-4</v>
      </c>
      <c r="AA1821">
        <v>0.99948939999999997</v>
      </c>
      <c r="AB1821">
        <v>34</v>
      </c>
      <c r="AC1821">
        <v>-60.7042</v>
      </c>
      <c r="AD1821">
        <v>-1.1081190065000399</v>
      </c>
      <c r="AE1821">
        <v>-3.5258999999999698</v>
      </c>
      <c r="AF1821">
        <v>-2.0873361531483399</v>
      </c>
      <c r="AG1821">
        <v>-1.1081190065000399</v>
      </c>
      <c r="AH1821">
        <v>60.7504754188977</v>
      </c>
      <c r="AI1821">
        <v>91.044371594288705</v>
      </c>
      <c r="AJ1821">
        <v>91.9678615110126</v>
      </c>
      <c r="AK1821">
        <v>60.796423937357503</v>
      </c>
      <c r="AL1821">
        <v>90.537024938981403</v>
      </c>
      <c r="AM1821">
        <v>86.437445978876497</v>
      </c>
      <c r="AN1821">
        <v>0.99999998758493303</v>
      </c>
    </row>
    <row r="1822" spans="1:40" x14ac:dyDescent="0.25">
      <c r="A1822" t="str">
        <f>"20190312160951652"</f>
        <v>20190312160951652</v>
      </c>
      <c r="B1822" t="str">
        <f>"1552378191647120"</f>
        <v>1552378191647120</v>
      </c>
      <c r="C1822" t="s">
        <v>40</v>
      </c>
      <c r="D1822">
        <v>5.1706320000000003</v>
      </c>
      <c r="E1822">
        <v>0.4457776</v>
      </c>
      <c r="F1822" t="s">
        <v>73</v>
      </c>
      <c r="G1822">
        <v>-440.6841</v>
      </c>
      <c r="H1822">
        <v>8.1726510000000001</v>
      </c>
      <c r="I1822">
        <v>267.97730000000001</v>
      </c>
      <c r="J1822">
        <v>-322.512</v>
      </c>
      <c r="K1822">
        <v>1.108136</v>
      </c>
      <c r="L1822">
        <v>284.1071</v>
      </c>
      <c r="M1822">
        <v>-0.99971699999999997</v>
      </c>
      <c r="N1822">
        <v>0</v>
      </c>
      <c r="O1822">
        <v>-2.3427739999999999E-2</v>
      </c>
      <c r="P1822">
        <v>-0.99916139999999998</v>
      </c>
      <c r="Q1822">
        <v>-1.3606729999999999E-2</v>
      </c>
      <c r="R1822">
        <v>3.8623409999999997E-2</v>
      </c>
      <c r="S1822">
        <v>-3.0208740000000001</v>
      </c>
      <c r="T1822">
        <v>0.1800745</v>
      </c>
      <c r="U1822">
        <v>-0.4113464</v>
      </c>
      <c r="V1822">
        <v>6.2015389999999997E-2</v>
      </c>
      <c r="W1822">
        <v>-9.5188540000000002E-3</v>
      </c>
      <c r="X1822">
        <v>0.99802979999999997</v>
      </c>
      <c r="Y1822">
        <v>-0.1115188</v>
      </c>
      <c r="Z1822">
        <v>1.917394E-3</v>
      </c>
      <c r="AA1822">
        <v>0.99376050000000005</v>
      </c>
      <c r="AB1822">
        <v>34</v>
      </c>
      <c r="AC1822">
        <v>-118.1721</v>
      </c>
      <c r="AD1822">
        <v>7.0645149999999903</v>
      </c>
      <c r="AE1822">
        <v>-16.1297999999999</v>
      </c>
      <c r="AF1822">
        <v>-13.3101456950867</v>
      </c>
      <c r="AG1822">
        <v>7.0645149999999903</v>
      </c>
      <c r="AH1822">
        <v>118.103191290393</v>
      </c>
      <c r="AI1822">
        <v>86.598331317836795</v>
      </c>
      <c r="AJ1822">
        <v>96.430062194696404</v>
      </c>
      <c r="AK1822">
        <v>119.060619617003</v>
      </c>
      <c r="AL1822">
        <v>90.545398396817603</v>
      </c>
      <c r="AM1822">
        <v>86.444337077897202</v>
      </c>
      <c r="AN1822">
        <v>0.99999999943318196</v>
      </c>
    </row>
    <row r="1823" spans="1:40" x14ac:dyDescent="0.25">
      <c r="A1823" t="str">
        <f>"20190312160951675"</f>
        <v>20190312160951675</v>
      </c>
      <c r="B1823" t="str">
        <f>"1552378191667619"</f>
        <v>1552378191667619</v>
      </c>
      <c r="C1823" t="s">
        <v>40</v>
      </c>
      <c r="D1823">
        <v>5.2682510000000002</v>
      </c>
      <c r="E1823">
        <v>0.44981779999999999</v>
      </c>
      <c r="F1823" t="s">
        <v>73</v>
      </c>
      <c r="G1823">
        <v>-456.08100000000002</v>
      </c>
      <c r="H1823">
        <v>6.0859649999999998</v>
      </c>
      <c r="I1823">
        <v>270.18599999999998</v>
      </c>
      <c r="J1823">
        <v>-322.87990000000002</v>
      </c>
      <c r="K1823">
        <v>1.1082689999999999</v>
      </c>
      <c r="L1823">
        <v>284.09870000000001</v>
      </c>
      <c r="M1823">
        <v>-0.99972340000000004</v>
      </c>
      <c r="N1823">
        <v>0</v>
      </c>
      <c r="O1823">
        <v>-2.3168049999999999E-2</v>
      </c>
      <c r="P1823">
        <v>-0.99917520000000004</v>
      </c>
      <c r="Q1823">
        <v>-1.2964659999999999E-2</v>
      </c>
      <c r="R1823">
        <v>3.848911E-2</v>
      </c>
      <c r="S1823">
        <v>-3.0162049999999998</v>
      </c>
      <c r="T1823">
        <v>0.1124077</v>
      </c>
      <c r="U1823">
        <v>-0.31436160000000002</v>
      </c>
      <c r="V1823">
        <v>6.1622000000000003E-2</v>
      </c>
      <c r="W1823">
        <v>-8.9243109999999903E-3</v>
      </c>
      <c r="X1823">
        <v>0.99805960000000005</v>
      </c>
      <c r="Y1823">
        <v>-8.0552079999999998E-2</v>
      </c>
      <c r="Z1823">
        <v>6.3594770000000001E-4</v>
      </c>
      <c r="AA1823">
        <v>0.99675020000000003</v>
      </c>
      <c r="AB1823">
        <v>34</v>
      </c>
      <c r="AC1823">
        <v>-133.201099999999</v>
      </c>
      <c r="AD1823">
        <v>4.9776959999999999</v>
      </c>
      <c r="AE1823">
        <v>-13.912699999999999</v>
      </c>
      <c r="AF1823">
        <v>-10.808000067926301</v>
      </c>
      <c r="AG1823">
        <v>4.9776959999999999</v>
      </c>
      <c r="AH1823">
        <v>133.303529504051</v>
      </c>
      <c r="AI1823">
        <v>87.868495974089498</v>
      </c>
      <c r="AJ1823">
        <v>94.635295093706304</v>
      </c>
      <c r="AK1823">
        <v>133.83355820262</v>
      </c>
      <c r="AL1823">
        <v>90.511332173724398</v>
      </c>
      <c r="AM1823">
        <v>86.466940069129393</v>
      </c>
      <c r="AN1823">
        <v>0.99999993968149004</v>
      </c>
    </row>
    <row r="1824" spans="1:40" x14ac:dyDescent="0.25">
      <c r="A1824" t="str">
        <f>"20190312160951696"</f>
        <v>20190312160951696</v>
      </c>
      <c r="B1824" t="str">
        <f>"1552378191687135"</f>
        <v>1552378191687135</v>
      </c>
      <c r="C1824" t="s">
        <v>40</v>
      </c>
      <c r="D1824">
        <v>5.2475559999999897</v>
      </c>
      <c r="E1824">
        <v>0.45042480000000001</v>
      </c>
      <c r="F1824" t="s">
        <v>75</v>
      </c>
      <c r="G1824">
        <v>-511.07600000000002</v>
      </c>
      <c r="H1824">
        <v>7.1016179999999904</v>
      </c>
      <c r="I1824">
        <v>266.44580000000002</v>
      </c>
      <c r="J1824">
        <v>-323.20589999999999</v>
      </c>
      <c r="K1824">
        <v>1.1084309999999999</v>
      </c>
      <c r="L1824">
        <v>284.09140000000002</v>
      </c>
      <c r="M1824">
        <v>-0.99972799999999995</v>
      </c>
      <c r="N1824">
        <v>0</v>
      </c>
      <c r="O1824">
        <v>-2.2924150000000001E-2</v>
      </c>
      <c r="P1824">
        <v>-0.99919860000000005</v>
      </c>
      <c r="Q1824">
        <v>-1.2137240000000001E-2</v>
      </c>
      <c r="R1824">
        <v>3.8145869999999998E-2</v>
      </c>
      <c r="S1824">
        <v>-3.0146480000000002</v>
      </c>
      <c r="T1824">
        <v>9.6006510000000003E-2</v>
      </c>
      <c r="U1824">
        <v>-0.28277590000000002</v>
      </c>
      <c r="V1824">
        <v>6.1036359999999998E-2</v>
      </c>
      <c r="W1824">
        <v>-7.8574460000000006E-3</v>
      </c>
      <c r="X1824">
        <v>0.99810460000000001</v>
      </c>
      <c r="Y1824">
        <v>-7.0518049999999999E-2</v>
      </c>
      <c r="Z1824">
        <v>3.9210180000000001E-4</v>
      </c>
      <c r="AA1824">
        <v>0.99751040000000002</v>
      </c>
      <c r="AB1824">
        <v>34</v>
      </c>
      <c r="AC1824">
        <v>-187.87010000000001</v>
      </c>
      <c r="AD1824">
        <v>5.9931869999999901</v>
      </c>
      <c r="AE1824">
        <v>-17.645600000000002</v>
      </c>
      <c r="AF1824">
        <v>-13.3207234297483</v>
      </c>
      <c r="AG1824">
        <v>5.9931869999999901</v>
      </c>
      <c r="AH1824">
        <v>188.035560392533</v>
      </c>
      <c r="AI1824">
        <v>88.1790116091518</v>
      </c>
      <c r="AJ1824">
        <v>94.052150107830002</v>
      </c>
      <c r="AK1824">
        <v>188.60204647681601</v>
      </c>
      <c r="AL1824">
        <v>90.450203133106498</v>
      </c>
      <c r="AM1824">
        <v>86.500590923835503</v>
      </c>
      <c r="AN1824">
        <v>0.99999998462042605</v>
      </c>
    </row>
    <row r="1825" spans="1:40" x14ac:dyDescent="0.25">
      <c r="A1825" t="str">
        <f>"20190312160951720"</f>
        <v>20190312160951720</v>
      </c>
      <c r="B1825" t="str">
        <f>"1552378191707631"</f>
        <v>1552378191707631</v>
      </c>
      <c r="C1825" t="s">
        <v>40</v>
      </c>
      <c r="D1825">
        <v>5.2153460000000003</v>
      </c>
      <c r="E1825">
        <v>0.45224360000000002</v>
      </c>
      <c r="F1825" t="s">
        <v>75</v>
      </c>
      <c r="G1825">
        <v>-512.82759999999996</v>
      </c>
      <c r="H1825">
        <v>7.5314209999999999</v>
      </c>
      <c r="I1825">
        <v>266.54629999999997</v>
      </c>
      <c r="J1825">
        <v>-323.56700000000001</v>
      </c>
      <c r="K1825">
        <v>1.1085929999999999</v>
      </c>
      <c r="L1825">
        <v>284.08350000000002</v>
      </c>
      <c r="M1825">
        <v>-0.99973259999999997</v>
      </c>
      <c r="N1825">
        <v>0</v>
      </c>
      <c r="O1825">
        <v>-2.2637540000000001E-2</v>
      </c>
      <c r="P1825">
        <v>-0.99921850000000001</v>
      </c>
      <c r="Q1825">
        <v>-1.16741E-2</v>
      </c>
      <c r="R1825">
        <v>3.7769219999999999E-2</v>
      </c>
      <c r="S1825">
        <v>-3.0142519999999999</v>
      </c>
      <c r="T1825">
        <v>0.10210180000000001</v>
      </c>
      <c r="U1825">
        <v>-0.27890009999999998</v>
      </c>
      <c r="V1825">
        <v>6.0374780000000003E-2</v>
      </c>
      <c r="W1825">
        <v>-7.0078939999999998E-3</v>
      </c>
      <c r="X1825">
        <v>0.99815120000000002</v>
      </c>
      <c r="Y1825">
        <v>-6.9541829999999999E-2</v>
      </c>
      <c r="Z1825">
        <v>4.1024159999999998E-4</v>
      </c>
      <c r="AA1825">
        <v>0.99757899999999999</v>
      </c>
      <c r="AB1825">
        <v>35</v>
      </c>
      <c r="AC1825">
        <v>-189.26059999999899</v>
      </c>
      <c r="AD1825">
        <v>6.422828</v>
      </c>
      <c r="AE1825">
        <v>-17.537199999999999</v>
      </c>
      <c r="AF1825">
        <v>-13.233153045063499</v>
      </c>
      <c r="AG1825">
        <v>6.422828</v>
      </c>
      <c r="AH1825">
        <v>189.39283888082599</v>
      </c>
      <c r="AI1825">
        <v>88.062408442477505</v>
      </c>
      <c r="AJ1825">
        <v>93.996843649672101</v>
      </c>
      <c r="AK1825">
        <v>189.96319769463301</v>
      </c>
      <c r="AL1825">
        <v>90.401526027477402</v>
      </c>
      <c r="AM1825">
        <v>86.538589893819093</v>
      </c>
      <c r="AN1825">
        <v>1.0000000213499001</v>
      </c>
    </row>
    <row r="1826" spans="1:40" x14ac:dyDescent="0.25">
      <c r="A1826" t="str">
        <f>"20190312160951742"</f>
        <v>20190312160951742</v>
      </c>
      <c r="B1826" t="str">
        <f>"1552378191737887"</f>
        <v>1552378191737887</v>
      </c>
      <c r="C1826" t="s">
        <v>40</v>
      </c>
      <c r="D1826">
        <v>5.282311</v>
      </c>
      <c r="E1826">
        <v>0.45390180000000002</v>
      </c>
      <c r="F1826" t="s">
        <v>75</v>
      </c>
      <c r="G1826">
        <v>-511.07619999999997</v>
      </c>
      <c r="H1826">
        <v>7.3921000000000001</v>
      </c>
      <c r="I1826">
        <v>267.5521</v>
      </c>
      <c r="J1826">
        <v>-323.91550000000001</v>
      </c>
      <c r="K1826">
        <v>1.1087260000000001</v>
      </c>
      <c r="L1826">
        <v>284.07589999999999</v>
      </c>
      <c r="M1826">
        <v>-0.99973730000000005</v>
      </c>
      <c r="N1826">
        <v>0</v>
      </c>
      <c r="O1826">
        <v>-2.2342150000000002E-2</v>
      </c>
      <c r="P1826">
        <v>-0.99921649999999995</v>
      </c>
      <c r="Q1826">
        <v>-1.193787E-2</v>
      </c>
      <c r="R1826">
        <v>3.7740240000000001E-2</v>
      </c>
      <c r="S1826">
        <v>-3.0135800000000001</v>
      </c>
      <c r="T1826">
        <v>0.1009874</v>
      </c>
      <c r="U1826">
        <v>-0.26568599999999998</v>
      </c>
      <c r="V1826">
        <v>6.0050920000000001E-2</v>
      </c>
      <c r="W1826">
        <v>-6.8577029999999997E-3</v>
      </c>
      <c r="X1826">
        <v>0.9981717</v>
      </c>
      <c r="Y1826">
        <v>-6.5520179999999997E-2</v>
      </c>
      <c r="Z1826">
        <v>3.4856049999999999E-4</v>
      </c>
      <c r="AA1826">
        <v>0.99785119999999905</v>
      </c>
      <c r="AB1826">
        <v>35</v>
      </c>
      <c r="AC1826">
        <v>-187.16069999999999</v>
      </c>
      <c r="AD1826">
        <v>6.2833740000000002</v>
      </c>
      <c r="AE1826">
        <v>-16.523799999999898</v>
      </c>
      <c r="AF1826">
        <v>-12.3242650865062</v>
      </c>
      <c r="AG1826">
        <v>6.2833740000000002</v>
      </c>
      <c r="AH1826">
        <v>187.273721509973</v>
      </c>
      <c r="AI1826">
        <v>88.082487838679299</v>
      </c>
      <c r="AJ1826">
        <v>93.765139297166996</v>
      </c>
      <c r="AK1826">
        <v>187.78395849204199</v>
      </c>
      <c r="AL1826">
        <v>90.392920541648195</v>
      </c>
      <c r="AM1826">
        <v>86.557183207778493</v>
      </c>
      <c r="AN1826">
        <v>0.99999994188208396</v>
      </c>
    </row>
    <row r="1827" spans="1:40" x14ac:dyDescent="0.25">
      <c r="A1827" t="str">
        <f>"20190312160951766"</f>
        <v>20190312160951766</v>
      </c>
      <c r="B1827" t="str">
        <f>"1552378191757407"</f>
        <v>1552378191757407</v>
      </c>
      <c r="C1827" t="s">
        <v>40</v>
      </c>
      <c r="D1827">
        <v>5.2262550000000001</v>
      </c>
      <c r="E1827">
        <v>0.4539667</v>
      </c>
      <c r="F1827" t="s">
        <v>75</v>
      </c>
      <c r="G1827">
        <v>-512.82770000000005</v>
      </c>
      <c r="H1827">
        <v>7.6819769999999998</v>
      </c>
      <c r="I1827">
        <v>268.24900000000002</v>
      </c>
      <c r="J1827">
        <v>-324.26710000000003</v>
      </c>
      <c r="K1827">
        <v>1.108832</v>
      </c>
      <c r="L1827">
        <v>284.0684</v>
      </c>
      <c r="M1827">
        <v>-0.99974189999999996</v>
      </c>
      <c r="N1827">
        <v>0</v>
      </c>
      <c r="O1827">
        <v>-2.2026299999999999E-2</v>
      </c>
      <c r="P1827">
        <v>-0.99918510000000005</v>
      </c>
      <c r="Q1827">
        <v>-1.273323E-2</v>
      </c>
      <c r="R1827">
        <v>3.8300609999999999E-2</v>
      </c>
      <c r="S1827">
        <v>-3.0131839999999999</v>
      </c>
      <c r="T1827">
        <v>0.1048456</v>
      </c>
      <c r="U1827">
        <v>-0.25244139999999998</v>
      </c>
      <c r="V1827">
        <v>6.0294899999999998E-2</v>
      </c>
      <c r="W1827">
        <v>-7.2225319999999898E-3</v>
      </c>
      <c r="X1827">
        <v>0.99815449999999994</v>
      </c>
      <c r="Y1827">
        <v>-6.1492779999999997E-2</v>
      </c>
      <c r="Z1827">
        <v>3.0300990000000001E-4</v>
      </c>
      <c r="AA1827">
        <v>0.99810750000000004</v>
      </c>
      <c r="AB1827">
        <v>35</v>
      </c>
      <c r="AC1827">
        <v>-188.56059999999999</v>
      </c>
      <c r="AD1827">
        <v>6.5731449999999896</v>
      </c>
      <c r="AE1827">
        <v>-15.8193999999999</v>
      </c>
      <c r="AF1827">
        <v>-11.648149497286999</v>
      </c>
      <c r="AG1827">
        <v>6.5731449999999896</v>
      </c>
      <c r="AH1827">
        <v>188.63567422663601</v>
      </c>
      <c r="AI1827">
        <v>88.008085962655699</v>
      </c>
      <c r="AJ1827">
        <v>93.5334964721429</v>
      </c>
      <c r="AK1827">
        <v>189.10923619125501</v>
      </c>
      <c r="AL1827">
        <v>90.413824189427999</v>
      </c>
      <c r="AM1827">
        <v>86.543169866271199</v>
      </c>
      <c r="AN1827">
        <v>1.00000002290237</v>
      </c>
    </row>
    <row r="1828" spans="1:40" x14ac:dyDescent="0.25">
      <c r="A1828" t="str">
        <f>"20190312160951787"</f>
        <v>20190312160951787</v>
      </c>
      <c r="B1828" t="str">
        <f>"1552378191777903"</f>
        <v>1552378191777903</v>
      </c>
      <c r="C1828" t="s">
        <v>40</v>
      </c>
      <c r="D1828">
        <v>5.363111</v>
      </c>
      <c r="E1828">
        <v>0.4543914</v>
      </c>
      <c r="F1828" t="s">
        <v>75</v>
      </c>
      <c r="G1828">
        <v>-512.82780000000002</v>
      </c>
      <c r="H1828">
        <v>7.7662369999999896</v>
      </c>
      <c r="I1828">
        <v>268.41340000000002</v>
      </c>
      <c r="J1828">
        <v>-324.61309999999997</v>
      </c>
      <c r="K1828">
        <v>1.108905</v>
      </c>
      <c r="L1828">
        <v>284.06099999999998</v>
      </c>
      <c r="M1828">
        <v>-0.99974649999999998</v>
      </c>
      <c r="N1828">
        <v>0</v>
      </c>
      <c r="O1828">
        <v>-2.170967E-2</v>
      </c>
      <c r="P1828">
        <v>-0.99914049999999999</v>
      </c>
      <c r="Q1828">
        <v>-1.3529309999999999E-2</v>
      </c>
      <c r="R1828">
        <v>3.9186119999999998E-2</v>
      </c>
      <c r="S1828">
        <v>-3.0133969999999999</v>
      </c>
      <c r="T1828">
        <v>0.1063935</v>
      </c>
      <c r="U1828">
        <v>-0.25018309999999999</v>
      </c>
      <c r="V1828">
        <v>6.0863029999999999E-2</v>
      </c>
      <c r="W1828">
        <v>-7.6022599999999996E-3</v>
      </c>
      <c r="X1828">
        <v>0.99811709999999998</v>
      </c>
      <c r="Y1828">
        <v>-6.1059479999999999E-2</v>
      </c>
      <c r="Z1828">
        <v>3.10981E-4</v>
      </c>
      <c r="AA1828">
        <v>0.99813410000000002</v>
      </c>
      <c r="AB1828">
        <v>35</v>
      </c>
      <c r="AC1828">
        <v>-188.21469999999999</v>
      </c>
      <c r="AD1828">
        <v>6.6573319999999896</v>
      </c>
      <c r="AE1828">
        <v>-15.647599999999899</v>
      </c>
      <c r="AF1828">
        <v>-11.5434173082068</v>
      </c>
      <c r="AG1828">
        <v>6.6573319999999896</v>
      </c>
      <c r="AH1828">
        <v>188.276113705059</v>
      </c>
      <c r="AI1828">
        <v>87.978691218342107</v>
      </c>
      <c r="AJ1828">
        <v>93.508475993315301</v>
      </c>
      <c r="AK1828">
        <v>188.747094134956</v>
      </c>
      <c r="AL1828">
        <v>90.435581641608195</v>
      </c>
      <c r="AM1828">
        <v>86.510547488039606</v>
      </c>
      <c r="AN1828">
        <v>0.99999992404514604</v>
      </c>
    </row>
    <row r="1829" spans="1:40" x14ac:dyDescent="0.25">
      <c r="A1829" t="str">
        <f>"20190312160951809"</f>
        <v>20190312160951809</v>
      </c>
      <c r="B1829" t="str">
        <f>"1552378191797424"</f>
        <v>1552378191797424</v>
      </c>
      <c r="C1829" t="s">
        <v>40</v>
      </c>
      <c r="D1829">
        <v>5.3900750000000004</v>
      </c>
      <c r="E1829">
        <v>0.45362269999999999</v>
      </c>
      <c r="F1829" t="s">
        <v>75</v>
      </c>
      <c r="G1829">
        <v>-512.82759999999996</v>
      </c>
      <c r="H1829">
        <v>7.5166029999999999</v>
      </c>
      <c r="I1829">
        <v>268.80720000000002</v>
      </c>
      <c r="J1829">
        <v>-324.94439999999997</v>
      </c>
      <c r="K1829">
        <v>1.1089519999999999</v>
      </c>
      <c r="L1829">
        <v>284.05410000000001</v>
      </c>
      <c r="M1829">
        <v>-0.99975069999999999</v>
      </c>
      <c r="N1829">
        <v>0</v>
      </c>
      <c r="O1829">
        <v>-2.1406339999999999E-2</v>
      </c>
      <c r="P1829">
        <v>-0.99911859999999997</v>
      </c>
      <c r="Q1829">
        <v>-1.3859959999999999E-2</v>
      </c>
      <c r="R1829">
        <v>3.962487E-2</v>
      </c>
      <c r="S1829">
        <v>-3.01355</v>
      </c>
      <c r="T1829">
        <v>0.1025964</v>
      </c>
      <c r="U1829">
        <v>-0.24423220000000001</v>
      </c>
      <c r="V1829">
        <v>6.0998499999999997E-2</v>
      </c>
      <c r="W1829">
        <v>-7.55355099999999E-3</v>
      </c>
      <c r="X1829">
        <v>0.99810929999999998</v>
      </c>
      <c r="Y1829">
        <v>-5.940264E-2</v>
      </c>
      <c r="Z1829">
        <v>2.8204370000000002E-4</v>
      </c>
      <c r="AA1829">
        <v>0.99823410000000001</v>
      </c>
      <c r="AB1829">
        <v>35</v>
      </c>
      <c r="AC1829">
        <v>-187.88319999999999</v>
      </c>
      <c r="AD1829">
        <v>6.4076510000000004</v>
      </c>
      <c r="AE1829">
        <v>-15.246899999999901</v>
      </c>
      <c r="AF1829">
        <v>-11.2084820022279</v>
      </c>
      <c r="AG1829">
        <v>6.4076510000000004</v>
      </c>
      <c r="AH1829">
        <v>187.94935716658699</v>
      </c>
      <c r="AI1829">
        <v>88.050863907690299</v>
      </c>
      <c r="AJ1829">
        <v>93.412829051851901</v>
      </c>
      <c r="AK1829">
        <v>188.392274043989</v>
      </c>
      <c r="AL1829">
        <v>90.432790697902504</v>
      </c>
      <c r="AM1829">
        <v>86.502772596571404</v>
      </c>
      <c r="AN1829">
        <v>1.0000000239407201</v>
      </c>
    </row>
    <row r="1830" spans="1:40" x14ac:dyDescent="0.25">
      <c r="A1830" t="str">
        <f>"20190312160952121"</f>
        <v>20190312160952121</v>
      </c>
      <c r="B1830" t="str">
        <f>"1552378192117670"</f>
        <v>1552378192117670</v>
      </c>
      <c r="C1830" t="s">
        <v>40</v>
      </c>
      <c r="D1830">
        <v>5.380471</v>
      </c>
      <c r="E1830">
        <v>0.45298939999999999</v>
      </c>
      <c r="F1830" t="s">
        <v>75</v>
      </c>
      <c r="G1830">
        <v>-512.82770000000005</v>
      </c>
      <c r="H1830">
        <v>7.6463049999999999</v>
      </c>
      <c r="I1830">
        <v>268.52870000000001</v>
      </c>
      <c r="J1830">
        <v>-329.8544</v>
      </c>
      <c r="K1830">
        <v>1.108849</v>
      </c>
      <c r="L1830">
        <v>283.96499999999997</v>
      </c>
      <c r="M1830">
        <v>-0.99982769999999999</v>
      </c>
      <c r="N1830">
        <v>0</v>
      </c>
      <c r="O1830">
        <v>-1.6226109999999998E-2</v>
      </c>
      <c r="P1830">
        <v>-0.99889289999999997</v>
      </c>
      <c r="Q1830">
        <v>-1.6560289999999998E-2</v>
      </c>
      <c r="R1830">
        <v>4.4034959999999998E-2</v>
      </c>
      <c r="S1830">
        <v>-3.0139770000000001</v>
      </c>
      <c r="T1830">
        <v>0.104871699999999</v>
      </c>
      <c r="U1830">
        <v>-0.249054</v>
      </c>
      <c r="V1830">
        <v>6.0230840000000001E-2</v>
      </c>
      <c r="W1830">
        <v>-7.6118740000000002E-3</v>
      </c>
      <c r="X1830">
        <v>0.99815549999999997</v>
      </c>
      <c r="Y1830">
        <v>-6.6139829999999997E-2</v>
      </c>
      <c r="Z1830">
        <v>5.8499910000000003E-4</v>
      </c>
      <c r="AA1830">
        <v>0.99781019999999998</v>
      </c>
      <c r="AB1830">
        <v>35</v>
      </c>
      <c r="AC1830">
        <v>-182.97329999999999</v>
      </c>
      <c r="AD1830">
        <v>6.5374559999999997</v>
      </c>
      <c r="AE1830">
        <v>-15.4362999999999</v>
      </c>
      <c r="AF1830">
        <v>-12.449421896230101</v>
      </c>
      <c r="AG1830">
        <v>6.5374559999999997</v>
      </c>
      <c r="AH1830">
        <v>182.967771333326</v>
      </c>
      <c r="AI1830">
        <v>87.958403298119407</v>
      </c>
      <c r="AJ1830">
        <v>93.892497550341105</v>
      </c>
      <c r="AK1830">
        <v>183.50730716564499</v>
      </c>
      <c r="AL1830">
        <v>90.4361324449563</v>
      </c>
      <c r="AM1830">
        <v>86.546837116519796</v>
      </c>
      <c r="AN1830">
        <v>1.0000000484465701</v>
      </c>
    </row>
    <row r="1831" spans="1:40" x14ac:dyDescent="0.25">
      <c r="A1831" t="str">
        <f>"20190312160952145"</f>
        <v>20190312160952145</v>
      </c>
      <c r="B1831" t="str">
        <f>"1552378192137191"</f>
        <v>1552378192137191</v>
      </c>
      <c r="C1831" t="s">
        <v>40</v>
      </c>
      <c r="D1831">
        <v>5.4760039999999996</v>
      </c>
      <c r="E1831">
        <v>0.4528548</v>
      </c>
      <c r="F1831" t="s">
        <v>75</v>
      </c>
      <c r="G1831">
        <v>-511.07580000000002</v>
      </c>
      <c r="H1831">
        <v>6.2592629999999998</v>
      </c>
      <c r="I1831">
        <v>269.48309999999998</v>
      </c>
      <c r="J1831">
        <v>-330.2303</v>
      </c>
      <c r="K1831">
        <v>1.108849</v>
      </c>
      <c r="L1831">
        <v>283.95929999999998</v>
      </c>
      <c r="M1831">
        <v>-0.99983409999999995</v>
      </c>
      <c r="N1831">
        <v>0</v>
      </c>
      <c r="O1831">
        <v>-1.5794229999999999E-2</v>
      </c>
      <c r="P1831">
        <v>-0.99888370000000004</v>
      </c>
      <c r="Q1831">
        <v>-1.6808690000000001E-2</v>
      </c>
      <c r="R1831">
        <v>4.4146070000000003E-2</v>
      </c>
      <c r="S1831">
        <v>-3.0153810000000001</v>
      </c>
      <c r="T1831">
        <v>8.5700040000000005E-2</v>
      </c>
      <c r="U1831">
        <v>-0.24096679999999901</v>
      </c>
      <c r="V1831">
        <v>5.9910199999999997E-2</v>
      </c>
      <c r="W1831">
        <v>-7.7937659999999997E-3</v>
      </c>
      <c r="X1831">
        <v>0.99817339999999999</v>
      </c>
      <c r="Y1831">
        <v>-6.3884709999999997E-2</v>
      </c>
      <c r="Z1831">
        <v>4.5818889999999998E-4</v>
      </c>
      <c r="AA1831">
        <v>0.99795719999999999</v>
      </c>
      <c r="AB1831">
        <v>35</v>
      </c>
      <c r="AC1831">
        <v>-180.84549999999999</v>
      </c>
      <c r="AD1831">
        <v>5.1504139999999996</v>
      </c>
      <c r="AE1831">
        <v>-14.4762</v>
      </c>
      <c r="AF1831">
        <v>-11.608605479005501</v>
      </c>
      <c r="AG1831">
        <v>5.1504139999999996</v>
      </c>
      <c r="AH1831">
        <v>180.905793311682</v>
      </c>
      <c r="AI1831">
        <v>88.372566812306204</v>
      </c>
      <c r="AJ1831">
        <v>93.671598397101405</v>
      </c>
      <c r="AK1831">
        <v>181.351020232222</v>
      </c>
      <c r="AL1831">
        <v>90.446554394361399</v>
      </c>
      <c r="AM1831">
        <v>86.565237412086503</v>
      </c>
      <c r="AN1831">
        <v>1.0000000556600299</v>
      </c>
    </row>
    <row r="1832" spans="1:40" x14ac:dyDescent="0.25">
      <c r="A1832" t="str">
        <f>"20190312160952166"</f>
        <v>20190312160952166</v>
      </c>
      <c r="B1832" t="str">
        <f>"1552378192157687"</f>
        <v>1552378192157687</v>
      </c>
      <c r="C1832" t="s">
        <v>40</v>
      </c>
      <c r="D1832">
        <v>5.5023160000000004</v>
      </c>
      <c r="E1832">
        <v>0.45308999999999999</v>
      </c>
      <c r="F1832" t="s">
        <v>75</v>
      </c>
      <c r="G1832">
        <v>-512.82680000000005</v>
      </c>
      <c r="H1832">
        <v>4.891807</v>
      </c>
      <c r="I1832">
        <v>269.31459999999998</v>
      </c>
      <c r="J1832">
        <v>-330.58350000000002</v>
      </c>
      <c r="K1832">
        <v>1.1088559999999901</v>
      </c>
      <c r="L1832">
        <v>283.95409999999998</v>
      </c>
      <c r="M1832">
        <v>-0.99983979999999995</v>
      </c>
      <c r="N1832">
        <v>0</v>
      </c>
      <c r="O1832">
        <v>-1.5389480000000001E-2</v>
      </c>
      <c r="P1832">
        <v>-0.99884470000000003</v>
      </c>
      <c r="Q1832">
        <v>-1.6806680000000001E-2</v>
      </c>
      <c r="R1832">
        <v>4.5018570000000001E-2</v>
      </c>
      <c r="S1832">
        <v>-3.0151370000000002</v>
      </c>
      <c r="T1832">
        <v>6.2467580000000002E-2</v>
      </c>
      <c r="U1832">
        <v>-0.24182129999999999</v>
      </c>
      <c r="V1832">
        <v>6.0377989999999999E-2</v>
      </c>
      <c r="W1832">
        <v>-7.7388999999999999E-3</v>
      </c>
      <c r="X1832">
        <v>0.99814559999999997</v>
      </c>
      <c r="Y1832">
        <v>-6.4584909999999995E-2</v>
      </c>
      <c r="Z1832">
        <v>3.4964220000000001E-4</v>
      </c>
      <c r="AA1832">
        <v>0.99791220000000003</v>
      </c>
      <c r="AB1832">
        <v>36</v>
      </c>
      <c r="AC1832">
        <v>-182.2433</v>
      </c>
      <c r="AD1832">
        <v>3.7829510000000002</v>
      </c>
      <c r="AE1832">
        <v>-14.6394999999999</v>
      </c>
      <c r="AF1832">
        <v>-11.8279556199289</v>
      </c>
      <c r="AG1832">
        <v>3.7829510000000002</v>
      </c>
      <c r="AH1832">
        <v>182.36894405039601</v>
      </c>
      <c r="AI1832">
        <v>88.814152234584895</v>
      </c>
      <c r="AJ1832">
        <v>93.710851658689705</v>
      </c>
      <c r="AK1832">
        <v>182.79125527899899</v>
      </c>
      <c r="AL1832">
        <v>90.443410727285496</v>
      </c>
      <c r="AM1832">
        <v>86.538386931710605</v>
      </c>
      <c r="AN1832">
        <v>1.0000000155244999</v>
      </c>
    </row>
    <row r="1833" spans="1:40" x14ac:dyDescent="0.25">
      <c r="A1833" t="str">
        <f>"20190312160952188"</f>
        <v>20190312160952188</v>
      </c>
      <c r="B1833" t="str">
        <f>"1552378192177207"</f>
        <v>1552378192177207</v>
      </c>
      <c r="C1833" t="s">
        <v>40</v>
      </c>
      <c r="D1833">
        <v>5.5901459999999998</v>
      </c>
      <c r="E1833">
        <v>0.4536808</v>
      </c>
      <c r="F1833" t="s">
        <v>75</v>
      </c>
      <c r="G1833">
        <v>-512.82650000000001</v>
      </c>
      <c r="H1833">
        <v>3.9235199999999999</v>
      </c>
      <c r="I1833">
        <v>269.58960000000002</v>
      </c>
      <c r="J1833">
        <v>-330.928</v>
      </c>
      <c r="K1833">
        <v>1.1088579999999999</v>
      </c>
      <c r="L1833">
        <v>283.94920000000002</v>
      </c>
      <c r="M1833">
        <v>-0.9998454</v>
      </c>
      <c r="N1833">
        <v>0</v>
      </c>
      <c r="O1833">
        <v>-1.499436E-2</v>
      </c>
      <c r="P1833">
        <v>-0.9988262</v>
      </c>
      <c r="Q1833">
        <v>-1.633364E-2</v>
      </c>
      <c r="R1833">
        <v>4.5602400000000001E-2</v>
      </c>
      <c r="S1833">
        <v>-3.0149539999999999</v>
      </c>
      <c r="T1833">
        <v>4.6565889999999999E-2</v>
      </c>
      <c r="U1833">
        <v>-0.2376404</v>
      </c>
      <c r="V1833">
        <v>6.0567700000000002E-2</v>
      </c>
      <c r="W1833">
        <v>-7.2198499999999999E-3</v>
      </c>
      <c r="X1833">
        <v>0.99813799999999997</v>
      </c>
      <c r="Y1833">
        <v>-6.3613649999999994E-2</v>
      </c>
      <c r="Z1833">
        <v>2.5928159999999997E-4</v>
      </c>
      <c r="AA1833">
        <v>0.99797460000000004</v>
      </c>
      <c r="AB1833">
        <v>36</v>
      </c>
      <c r="AC1833">
        <v>-181.89850000000001</v>
      </c>
      <c r="AD1833">
        <v>2.81466199999999</v>
      </c>
      <c r="AE1833">
        <v>-14.3596</v>
      </c>
      <c r="AF1833">
        <v>-11.6276520428226</v>
      </c>
      <c r="AG1833">
        <v>2.81466199999999</v>
      </c>
      <c r="AH1833">
        <v>182.05005117198999</v>
      </c>
      <c r="AI1833">
        <v>89.116025829049704</v>
      </c>
      <c r="AJ1833">
        <v>93.654553579566098</v>
      </c>
      <c r="AK1833">
        <v>182.44271908170899</v>
      </c>
      <c r="AL1833">
        <v>90.413670519435499</v>
      </c>
      <c r="AM1833">
        <v>86.527510605615205</v>
      </c>
      <c r="AN1833">
        <v>1.00000001978065</v>
      </c>
    </row>
    <row r="1834" spans="1:40" x14ac:dyDescent="0.25">
      <c r="A1834" t="str">
        <f>"20190312160952210"</f>
        <v>20190312160952210</v>
      </c>
      <c r="B1834" t="str">
        <f>"1552378192207462"</f>
        <v>1552378192207462</v>
      </c>
      <c r="C1834" t="s">
        <v>40</v>
      </c>
      <c r="D1834">
        <v>4.7418719999999999</v>
      </c>
      <c r="E1834">
        <v>0.45386100000000001</v>
      </c>
      <c r="F1834" t="s">
        <v>75</v>
      </c>
      <c r="G1834">
        <v>-512.82619999999997</v>
      </c>
      <c r="H1834">
        <v>3.1484529999999999</v>
      </c>
      <c r="I1834">
        <v>269.98590000000002</v>
      </c>
      <c r="J1834">
        <v>-331.27820000000003</v>
      </c>
      <c r="K1834">
        <v>1.108857</v>
      </c>
      <c r="L1834">
        <v>283.9443</v>
      </c>
      <c r="M1834">
        <v>-0.99985100000000005</v>
      </c>
      <c r="N1834">
        <v>0</v>
      </c>
      <c r="O1834">
        <v>-1.459326E-2</v>
      </c>
      <c r="P1834">
        <v>-0.99883500000000003</v>
      </c>
      <c r="Q1834">
        <v>-1.5724519999999999E-2</v>
      </c>
      <c r="R1834">
        <v>4.5627729999999998E-2</v>
      </c>
      <c r="S1834">
        <v>-3.014618</v>
      </c>
      <c r="T1834">
        <v>3.3803699999999999E-2</v>
      </c>
      <c r="U1834">
        <v>-0.2314148</v>
      </c>
      <c r="V1834">
        <v>6.0193400000000001E-2</v>
      </c>
      <c r="W1834">
        <v>-6.5687810000000001E-3</v>
      </c>
      <c r="X1834">
        <v>0.99816510000000003</v>
      </c>
      <c r="Y1834">
        <v>-6.1976860000000002E-2</v>
      </c>
      <c r="Z1834">
        <v>1.835878E-4</v>
      </c>
      <c r="AA1834">
        <v>0.99807760000000001</v>
      </c>
      <c r="AB1834">
        <v>36</v>
      </c>
      <c r="AC1834">
        <v>-181.548</v>
      </c>
      <c r="AD1834">
        <v>2.039596</v>
      </c>
      <c r="AE1834">
        <v>-13.9583999999999</v>
      </c>
      <c r="AF1834">
        <v>-11.3060051067303</v>
      </c>
      <c r="AG1834">
        <v>2.039596</v>
      </c>
      <c r="AH1834">
        <v>181.70957361957099</v>
      </c>
      <c r="AI1834">
        <v>89.358152614179701</v>
      </c>
      <c r="AJ1834">
        <v>93.560364832447306</v>
      </c>
      <c r="AK1834">
        <v>182.072389033381</v>
      </c>
      <c r="AL1834">
        <v>90.376366141820398</v>
      </c>
      <c r="AM1834">
        <v>86.549011552952194</v>
      </c>
      <c r="AN1834">
        <v>0.99999998057269701</v>
      </c>
    </row>
    <row r="1835" spans="1:40" x14ac:dyDescent="0.25">
      <c r="A1835" t="str">
        <f>"20190312160952276"</f>
        <v>20190312160952276</v>
      </c>
      <c r="B1835" t="str">
        <f>"1552378192267974"</f>
        <v>1552378192267974</v>
      </c>
      <c r="C1835" t="s">
        <v>40</v>
      </c>
      <c r="D1835">
        <v>4.9856170000000004</v>
      </c>
      <c r="E1835">
        <v>0.46617150000000002</v>
      </c>
      <c r="F1835" t="s">
        <v>75</v>
      </c>
      <c r="G1835">
        <v>-512.82600000000002</v>
      </c>
      <c r="H1835">
        <v>2.449767</v>
      </c>
      <c r="I1835">
        <v>270.08199999999999</v>
      </c>
      <c r="J1835">
        <v>-332.34769999999997</v>
      </c>
      <c r="K1835">
        <v>1.108868</v>
      </c>
      <c r="L1835">
        <v>283.93029999999999</v>
      </c>
      <c r="M1835">
        <v>-0.99986710000000001</v>
      </c>
      <c r="N1835">
        <v>0</v>
      </c>
      <c r="O1835">
        <v>-1.336831E-2</v>
      </c>
      <c r="P1835">
        <v>-0.99875519999999995</v>
      </c>
      <c r="Q1835">
        <v>-1.6695450000000001E-2</v>
      </c>
      <c r="R1835">
        <v>4.7004009999999999E-2</v>
      </c>
      <c r="S1835">
        <v>-3.0143430000000002</v>
      </c>
      <c r="T1835">
        <v>2.2265199999999999E-2</v>
      </c>
      <c r="U1835">
        <v>-0.2301636</v>
      </c>
      <c r="V1835">
        <v>6.0344700000000001E-2</v>
      </c>
      <c r="W1835">
        <v>-7.4399499999999999E-3</v>
      </c>
      <c r="X1835">
        <v>0.99814990000000003</v>
      </c>
      <c r="Y1835">
        <v>-6.2796279999999996E-2</v>
      </c>
      <c r="Z1835">
        <v>1.32991E-4</v>
      </c>
      <c r="AA1835">
        <v>0.99802639999999998</v>
      </c>
      <c r="AB1835">
        <v>36</v>
      </c>
      <c r="AC1835">
        <v>-180.47829999999999</v>
      </c>
      <c r="AD1835">
        <v>1.3408990000000001</v>
      </c>
      <c r="AE1835">
        <v>-13.848299999999901</v>
      </c>
      <c r="AF1835">
        <v>-11.4336400563048</v>
      </c>
      <c r="AG1835">
        <v>1.3408990000000001</v>
      </c>
      <c r="AH1835">
        <v>180.63739461854101</v>
      </c>
      <c r="AI1835">
        <v>89.575541872129904</v>
      </c>
      <c r="AJ1835">
        <v>93.621766999033795</v>
      </c>
      <c r="AK1835">
        <v>181.00385208508601</v>
      </c>
      <c r="AL1835">
        <v>90.426281655022905</v>
      </c>
      <c r="AM1835">
        <v>86.5403057570893</v>
      </c>
      <c r="AN1835">
        <v>1.0000000292720499</v>
      </c>
    </row>
    <row r="1836" spans="1:40" x14ac:dyDescent="0.25">
      <c r="A1836" t="str">
        <f>"20190312160952299"</f>
        <v>20190312160952299</v>
      </c>
      <c r="B1836" t="str">
        <f>"1552378192297255"</f>
        <v>1552378192297255</v>
      </c>
      <c r="C1836" t="s">
        <v>40</v>
      </c>
      <c r="D1836">
        <v>5.3751939999999996</v>
      </c>
      <c r="E1836">
        <v>0.43911430000000001</v>
      </c>
      <c r="F1836" t="s">
        <v>42</v>
      </c>
      <c r="G1836">
        <v>-333.12020000000001</v>
      </c>
      <c r="H1836">
        <v>0.89132670000000003</v>
      </c>
      <c r="I1836">
        <v>283.89510000000001</v>
      </c>
      <c r="J1836">
        <v>-332.709</v>
      </c>
      <c r="K1836">
        <v>1.108859</v>
      </c>
      <c r="L1836">
        <v>283.92579999999998</v>
      </c>
      <c r="M1836">
        <v>-0.99987230000000005</v>
      </c>
      <c r="N1836">
        <v>0</v>
      </c>
      <c r="O1836">
        <v>-1.295464E-2</v>
      </c>
      <c r="P1836">
        <v>-0.99873670000000003</v>
      </c>
      <c r="Q1836">
        <v>-1.623931E-2</v>
      </c>
      <c r="R1836">
        <v>4.7554899999999997E-2</v>
      </c>
      <c r="S1836">
        <v>-2.996124</v>
      </c>
      <c r="T1836">
        <v>-0.84373069999999895</v>
      </c>
      <c r="U1836">
        <v>-0.13763429999999999</v>
      </c>
      <c r="V1836">
        <v>6.0482920000000003E-2</v>
      </c>
      <c r="W1836">
        <v>-6.9572660000000001E-3</v>
      </c>
      <c r="X1836">
        <v>0.99814499999999995</v>
      </c>
      <c r="Y1836">
        <v>-3.2196870000000002E-2</v>
      </c>
      <c r="Z1836">
        <v>-8.6817699999999895E-4</v>
      </c>
      <c r="AA1836">
        <v>0.99948110000000001</v>
      </c>
      <c r="AB1836">
        <v>36</v>
      </c>
      <c r="AC1836">
        <v>-0.411200000000007</v>
      </c>
      <c r="AD1836">
        <v>-0.21753229999999901</v>
      </c>
      <c r="AE1836">
        <v>-3.06999999999675E-2</v>
      </c>
      <c r="AF1836">
        <v>-1.9846721393685901E-2</v>
      </c>
      <c r="AG1836">
        <v>-0.21753229999999901</v>
      </c>
      <c r="AH1836">
        <v>0.32195910310091402</v>
      </c>
      <c r="AI1836">
        <v>123.994619480925</v>
      </c>
      <c r="AJ1836">
        <v>93.527455173536097</v>
      </c>
      <c r="AK1836">
        <v>0.389065364640588</v>
      </c>
      <c r="AL1836">
        <v>90.398625188988305</v>
      </c>
      <c r="AM1836">
        <v>86.532383633768106</v>
      </c>
      <c r="AN1836">
        <v>1.00000001409346</v>
      </c>
    </row>
    <row r="1837" spans="1:40" x14ac:dyDescent="0.25">
      <c r="A1837" t="str">
        <f>"20190312160952322"</f>
        <v>20190312160952322</v>
      </c>
      <c r="B1837" t="str">
        <f>"1552378192317750"</f>
        <v>1552378192317750</v>
      </c>
      <c r="C1837" t="s">
        <v>40</v>
      </c>
      <c r="D1837">
        <v>5.5630610000000003</v>
      </c>
      <c r="E1837">
        <v>0.43484089999999997</v>
      </c>
      <c r="F1837" t="s">
        <v>61</v>
      </c>
      <c r="G1837">
        <v>-348.5575</v>
      </c>
      <c r="H1837" s="1">
        <v>3.0170850000000001E-6</v>
      </c>
      <c r="I1837">
        <v>282.11700000000002</v>
      </c>
      <c r="J1837">
        <v>-333.07029999999997</v>
      </c>
      <c r="K1837">
        <v>1.1088639999999901</v>
      </c>
      <c r="L1837">
        <v>283.92149999999998</v>
      </c>
      <c r="M1837">
        <v>-0.99987760000000003</v>
      </c>
      <c r="N1837">
        <v>0</v>
      </c>
      <c r="O1837">
        <v>-1.2541439999999999E-2</v>
      </c>
      <c r="P1837">
        <v>-0.99870179999999997</v>
      </c>
      <c r="Q1837">
        <v>-1.6428410000000001E-2</v>
      </c>
      <c r="R1837">
        <v>4.8221020000000003E-2</v>
      </c>
      <c r="S1837">
        <v>-3.0167540000000002</v>
      </c>
      <c r="T1837">
        <v>-0.2110708</v>
      </c>
      <c r="U1837">
        <v>-0.34429929999999997</v>
      </c>
      <c r="V1837">
        <v>6.0735810000000001E-2</v>
      </c>
      <c r="W1837">
        <v>-7.1228990000000002E-3</v>
      </c>
      <c r="X1837">
        <v>0.99812849999999997</v>
      </c>
      <c r="Y1837">
        <v>-0.1007103</v>
      </c>
      <c r="Z1837">
        <v>-2.6340669999999999E-3</v>
      </c>
      <c r="AA1837">
        <v>0.99491229999999997</v>
      </c>
      <c r="AB1837">
        <v>36</v>
      </c>
      <c r="AC1837">
        <v>-15.4872</v>
      </c>
      <c r="AD1837">
        <v>-1.10886098291499</v>
      </c>
      <c r="AE1837">
        <v>-1.80449999999996</v>
      </c>
      <c r="AF1837">
        <v>-1.60201528649348</v>
      </c>
      <c r="AG1837">
        <v>-1.10886098291499</v>
      </c>
      <c r="AH1837">
        <v>15.430570861812599</v>
      </c>
      <c r="AI1837">
        <v>94.088384347346405</v>
      </c>
      <c r="AJ1837">
        <v>95.927262322220699</v>
      </c>
      <c r="AK1837">
        <v>15.5530878856583</v>
      </c>
      <c r="AL1837">
        <v>90.408115485975401</v>
      </c>
      <c r="AM1837">
        <v>86.517863083628598</v>
      </c>
      <c r="AN1837">
        <v>1.0000000384093799</v>
      </c>
    </row>
    <row r="1838" spans="1:40" x14ac:dyDescent="0.25">
      <c r="A1838" t="str">
        <f>"20190312160952348"</f>
        <v>20190312160952348</v>
      </c>
      <c r="B1838" t="str">
        <f>"1552378192337271"</f>
        <v>1552378192337271</v>
      </c>
      <c r="C1838" t="s">
        <v>40</v>
      </c>
      <c r="D1838">
        <v>5.3684260000000004</v>
      </c>
      <c r="E1838">
        <v>0.43615989999999999</v>
      </c>
      <c r="F1838" t="s">
        <v>61</v>
      </c>
      <c r="G1838">
        <v>-377.18189999999998</v>
      </c>
      <c r="H1838">
        <v>8.000082E-2</v>
      </c>
      <c r="I1838">
        <v>278.45060000000001</v>
      </c>
      <c r="J1838">
        <v>-333.47519999999997</v>
      </c>
      <c r="K1838">
        <v>1.1088629999999999</v>
      </c>
      <c r="L1838">
        <v>283.9169</v>
      </c>
      <c r="M1838">
        <v>-0.99988279999999996</v>
      </c>
      <c r="N1838">
        <v>0</v>
      </c>
      <c r="O1838">
        <v>-1.2078169999999999E-2</v>
      </c>
      <c r="P1838">
        <v>-0.99866370000000004</v>
      </c>
      <c r="Q1838">
        <v>-1.6873559999999999E-2</v>
      </c>
      <c r="R1838">
        <v>4.8850530000000003E-2</v>
      </c>
      <c r="S1838">
        <v>-3.0208740000000001</v>
      </c>
      <c r="T1838">
        <v>-7.0459129999999995E-2</v>
      </c>
      <c r="U1838">
        <v>-0.37466430000000001</v>
      </c>
      <c r="V1838">
        <v>6.0902190000000002E-2</v>
      </c>
      <c r="W1838">
        <v>-7.5446530000000001E-3</v>
      </c>
      <c r="X1838">
        <v>0.99811519999999998</v>
      </c>
      <c r="Y1838">
        <v>-0.1110598</v>
      </c>
      <c r="Z1838">
        <v>-1.0095130000000001E-3</v>
      </c>
      <c r="AA1838">
        <v>0.99381319999999995</v>
      </c>
      <c r="AB1838">
        <v>36</v>
      </c>
      <c r="AC1838">
        <v>-43.706699999999998</v>
      </c>
      <c r="AD1838">
        <v>-1.02886218</v>
      </c>
      <c r="AE1838">
        <v>-5.4662999999999897</v>
      </c>
      <c r="AF1838">
        <v>-4.9352882032482199</v>
      </c>
      <c r="AG1838">
        <v>-1.02886218</v>
      </c>
      <c r="AH1838">
        <v>43.745669586378703</v>
      </c>
      <c r="AI1838">
        <v>91.338811209072304</v>
      </c>
      <c r="AJ1838">
        <v>96.436764535905098</v>
      </c>
      <c r="AK1838">
        <v>44.035204491351898</v>
      </c>
      <c r="AL1838">
        <v>90.432280886479901</v>
      </c>
      <c r="AM1838">
        <v>86.508301255245996</v>
      </c>
      <c r="AN1838">
        <v>0.99999997550336295</v>
      </c>
    </row>
    <row r="1839" spans="1:40" x14ac:dyDescent="0.25">
      <c r="A1839" t="str">
        <f>"20190312160952367"</f>
        <v>20190312160952367</v>
      </c>
      <c r="B1839" t="str">
        <f>"1552378192357767"</f>
        <v>1552378192357767</v>
      </c>
      <c r="C1839" t="s">
        <v>40</v>
      </c>
      <c r="D1839">
        <v>5.3513760000000001</v>
      </c>
      <c r="E1839">
        <v>0.43752839999999998</v>
      </c>
      <c r="F1839" t="s">
        <v>73</v>
      </c>
      <c r="G1839">
        <v>-448.28190000000001</v>
      </c>
      <c r="H1839">
        <v>1.015574</v>
      </c>
      <c r="I1839">
        <v>270.18470000000002</v>
      </c>
      <c r="J1839">
        <v>-333.803</v>
      </c>
      <c r="K1839">
        <v>1.108862</v>
      </c>
      <c r="L1839">
        <v>283.91329999999999</v>
      </c>
      <c r="M1839">
        <v>-0.99988719999999998</v>
      </c>
      <c r="N1839">
        <v>0</v>
      </c>
      <c r="O1839">
        <v>-1.1703679999999999E-2</v>
      </c>
      <c r="P1839">
        <v>-0.99865380000000004</v>
      </c>
      <c r="Q1839">
        <v>-1.6991030000000001E-2</v>
      </c>
      <c r="R1839">
        <v>4.901163E-2</v>
      </c>
      <c r="S1839">
        <v>-3.0216059999999998</v>
      </c>
      <c r="T1839">
        <v>-2.4549960000000001E-3</v>
      </c>
      <c r="U1839">
        <v>-0.36141970000000001</v>
      </c>
      <c r="V1839">
        <v>6.0689109999999998E-2</v>
      </c>
      <c r="W1839">
        <v>-7.6445069999999896E-3</v>
      </c>
      <c r="X1839">
        <v>0.99812749999999995</v>
      </c>
      <c r="Y1839">
        <v>-0.1071357</v>
      </c>
      <c r="Z1839" s="1">
        <v>-3.3894389999999998E-5</v>
      </c>
      <c r="AA1839">
        <v>0.99424440000000003</v>
      </c>
      <c r="AB1839">
        <v>36</v>
      </c>
      <c r="AC1839">
        <v>-114.478899999999</v>
      </c>
      <c r="AD1839">
        <v>-9.3287999999999996E-2</v>
      </c>
      <c r="AE1839">
        <v>-13.728599999999901</v>
      </c>
      <c r="AF1839">
        <v>-12.3877677517939</v>
      </c>
      <c r="AG1839">
        <v>-9.3287999999999996E-2</v>
      </c>
      <c r="AH1839">
        <v>114.631665817141</v>
      </c>
      <c r="AI1839">
        <v>90.046357767688903</v>
      </c>
      <c r="AJ1839">
        <v>96.167781521698501</v>
      </c>
      <c r="AK1839">
        <v>115.299107978059</v>
      </c>
      <c r="AL1839">
        <v>90.438002228952996</v>
      </c>
      <c r="AM1839">
        <v>86.5205304543816</v>
      </c>
      <c r="AN1839">
        <v>1.00000005640805</v>
      </c>
    </row>
    <row r="1840" spans="1:40" x14ac:dyDescent="0.25">
      <c r="A1840" t="str">
        <f>"20190312160952389"</f>
        <v>20190312160952389</v>
      </c>
      <c r="B1840" t="str">
        <f>"1552378192377287"</f>
        <v>1552378192377287</v>
      </c>
      <c r="C1840" t="s">
        <v>40</v>
      </c>
      <c r="D1840">
        <v>5.4150260000000001</v>
      </c>
      <c r="E1840">
        <v>0.438002</v>
      </c>
      <c r="F1840" t="s">
        <v>73</v>
      </c>
      <c r="G1840">
        <v>-453.03379999999999</v>
      </c>
      <c r="H1840">
        <v>0.75180909999999901</v>
      </c>
      <c r="I1840">
        <v>270.08659999999998</v>
      </c>
      <c r="J1840">
        <v>-334.14920000000001</v>
      </c>
      <c r="K1840">
        <v>1.10886</v>
      </c>
      <c r="L1840">
        <v>283.90960000000001</v>
      </c>
      <c r="M1840">
        <v>-0.99989159999999999</v>
      </c>
      <c r="N1840">
        <v>0</v>
      </c>
      <c r="O1840">
        <v>-1.130798E-2</v>
      </c>
      <c r="P1840">
        <v>-0.99864869999999994</v>
      </c>
      <c r="Q1840">
        <v>-1.7152219999999999E-2</v>
      </c>
      <c r="R1840">
        <v>4.9060739999999999E-2</v>
      </c>
      <c r="S1840">
        <v>-3.0210880000000002</v>
      </c>
      <c r="T1840">
        <v>-9.0467929999999992E-3</v>
      </c>
      <c r="U1840">
        <v>-0.35034179999999998</v>
      </c>
      <c r="V1840">
        <v>6.0343090000000002E-2</v>
      </c>
      <c r="W1840">
        <v>-7.7885130000000004E-3</v>
      </c>
      <c r="X1840">
        <v>0.99814729999999996</v>
      </c>
      <c r="Y1840">
        <v>-0.1039525</v>
      </c>
      <c r="Z1840">
        <v>-1.213807E-4</v>
      </c>
      <c r="AA1840">
        <v>0.99458219999999997</v>
      </c>
      <c r="AB1840">
        <v>36</v>
      </c>
      <c r="AC1840">
        <v>-118.884599999999</v>
      </c>
      <c r="AD1840">
        <v>-0.3570509</v>
      </c>
      <c r="AE1840">
        <v>-13.823</v>
      </c>
      <c r="AF1840">
        <v>-12.4776006182625</v>
      </c>
      <c r="AG1840">
        <v>-0.3570509</v>
      </c>
      <c r="AH1840">
        <v>119.032255971583</v>
      </c>
      <c r="AI1840">
        <v>90.170928205828403</v>
      </c>
      <c r="AJ1840">
        <v>95.984196479978195</v>
      </c>
      <c r="AK1840">
        <v>119.684986377651</v>
      </c>
      <c r="AL1840">
        <v>90.446253439381195</v>
      </c>
      <c r="AM1840">
        <v>86.540388847956507</v>
      </c>
      <c r="AN1840">
        <v>0.99999999097139403</v>
      </c>
    </row>
    <row r="1841" spans="1:40" x14ac:dyDescent="0.25">
      <c r="A1841" t="str">
        <f>"20190312160952411"</f>
        <v>20190312160952411</v>
      </c>
      <c r="B1841" t="str">
        <f>"1552378192407543"</f>
        <v>1552378192407543</v>
      </c>
      <c r="C1841" t="s">
        <v>40</v>
      </c>
      <c r="D1841">
        <v>5.4397539999999998</v>
      </c>
      <c r="E1841">
        <v>0.43902400000000003</v>
      </c>
      <c r="F1841" t="s">
        <v>73</v>
      </c>
      <c r="G1841">
        <v>-454.74849999999998</v>
      </c>
      <c r="H1841">
        <v>0.76838779999999995</v>
      </c>
      <c r="I1841">
        <v>270.08659999999998</v>
      </c>
      <c r="J1841">
        <v>-334.51530000000002</v>
      </c>
      <c r="K1841">
        <v>1.1088610000000001</v>
      </c>
      <c r="L1841">
        <v>283.90589999999997</v>
      </c>
      <c r="M1841">
        <v>-0.99989600000000001</v>
      </c>
      <c r="N1841">
        <v>0</v>
      </c>
      <c r="O1841">
        <v>-1.088914E-2</v>
      </c>
      <c r="P1841">
        <v>-0.99863760000000001</v>
      </c>
      <c r="Q1841">
        <v>-1.737002E-2</v>
      </c>
      <c r="R1841">
        <v>4.9205060000000002E-2</v>
      </c>
      <c r="S1841">
        <v>-3.020905</v>
      </c>
      <c r="T1841">
        <v>-8.5282329999999996E-3</v>
      </c>
      <c r="U1841">
        <v>-0.34625240000000002</v>
      </c>
      <c r="V1841">
        <v>6.006881E-2</v>
      </c>
      <c r="W1841">
        <v>-7.9898790000000001E-3</v>
      </c>
      <c r="X1841">
        <v>0.99816229999999995</v>
      </c>
      <c r="Y1841">
        <v>-0.10304729999999999</v>
      </c>
      <c r="Z1841">
        <v>-1.1434349999999999E-4</v>
      </c>
      <c r="AA1841">
        <v>0.99467649999999996</v>
      </c>
      <c r="AB1841">
        <v>36</v>
      </c>
      <c r="AC1841">
        <v>-120.233199999999</v>
      </c>
      <c r="AD1841">
        <v>-0.34047319999999998</v>
      </c>
      <c r="AE1841">
        <v>-13.819299999999901</v>
      </c>
      <c r="AF1841">
        <v>-12.5090869156121</v>
      </c>
      <c r="AG1841">
        <v>-0.34047319999999998</v>
      </c>
      <c r="AH1841">
        <v>120.37560524466799</v>
      </c>
      <c r="AI1841">
        <v>90.161188325360499</v>
      </c>
      <c r="AJ1841">
        <v>95.932718527080496</v>
      </c>
      <c r="AK1841">
        <v>121.02429307987001</v>
      </c>
      <c r="AL1841">
        <v>90.457791198686095</v>
      </c>
      <c r="AM1841">
        <v>86.556127659552601</v>
      </c>
      <c r="AN1841">
        <v>1.00000003862126</v>
      </c>
    </row>
    <row r="1842" spans="1:40" x14ac:dyDescent="0.25">
      <c r="A1842" t="str">
        <f>"20190312160952434"</f>
        <v>20190312160952434</v>
      </c>
      <c r="B1842" t="str">
        <f>"1552378192427063"</f>
        <v>1552378192427063</v>
      </c>
      <c r="C1842" t="s">
        <v>40</v>
      </c>
      <c r="D1842">
        <v>5.5198260000000001</v>
      </c>
      <c r="E1842">
        <v>0.44019180000000002</v>
      </c>
      <c r="F1842" t="s">
        <v>73</v>
      </c>
      <c r="G1842">
        <v>-456.08100000000002</v>
      </c>
      <c r="H1842">
        <v>0.91433909999999996</v>
      </c>
      <c r="I1842">
        <v>270.315</v>
      </c>
      <c r="J1842">
        <v>-334.88619999999997</v>
      </c>
      <c r="K1842">
        <v>1.10886</v>
      </c>
      <c r="L1842">
        <v>283.90219999999999</v>
      </c>
      <c r="M1842">
        <v>-0.99990040000000002</v>
      </c>
      <c r="N1842">
        <v>0</v>
      </c>
      <c r="O1842">
        <v>-1.04653E-2</v>
      </c>
      <c r="P1842">
        <v>-0.99861560000000005</v>
      </c>
      <c r="Q1842">
        <v>-1.7409259999999999E-2</v>
      </c>
      <c r="R1842">
        <v>4.9638719999999997E-2</v>
      </c>
      <c r="S1842">
        <v>-3.0206909999999998</v>
      </c>
      <c r="T1842">
        <v>-4.8331019999999997E-3</v>
      </c>
      <c r="U1842">
        <v>-0.33770749999999999</v>
      </c>
      <c r="V1842">
        <v>6.0079269999999997E-2</v>
      </c>
      <c r="W1842">
        <v>-8.0141190000000001E-3</v>
      </c>
      <c r="X1842">
        <v>0.99816139999999998</v>
      </c>
      <c r="Y1842">
        <v>-0.1006988</v>
      </c>
      <c r="Z1842" s="1">
        <v>-6.3618219999999907E-5</v>
      </c>
      <c r="AA1842">
        <v>0.99491700000000005</v>
      </c>
      <c r="AB1842">
        <v>36</v>
      </c>
      <c r="AC1842">
        <v>-121.1948</v>
      </c>
      <c r="AD1842">
        <v>-0.1945209</v>
      </c>
      <c r="AE1842">
        <v>-13.5871999999999</v>
      </c>
      <c r="AF1842">
        <v>-12.318027713349201</v>
      </c>
      <c r="AG1842">
        <v>-0.1945209</v>
      </c>
      <c r="AH1842">
        <v>121.330054263817</v>
      </c>
      <c r="AI1842">
        <v>90.091388888158406</v>
      </c>
      <c r="AJ1842">
        <v>95.797088139798504</v>
      </c>
      <c r="AK1842">
        <v>121.953899949072</v>
      </c>
      <c r="AL1842">
        <v>90.459180127695106</v>
      </c>
      <c r="AM1842">
        <v>86.555526311032693</v>
      </c>
      <c r="AN1842">
        <v>0.99999996261851798</v>
      </c>
    </row>
    <row r="1843" spans="1:40" x14ac:dyDescent="0.25">
      <c r="A1843" t="str">
        <f>"20190312160952456"</f>
        <v>20190312160952456</v>
      </c>
      <c r="B1843" t="str">
        <f>"1552378192447559"</f>
        <v>1552378192447559</v>
      </c>
      <c r="C1843" t="s">
        <v>40</v>
      </c>
      <c r="D1843">
        <v>5.506462</v>
      </c>
      <c r="E1843">
        <v>0.44123190000000001</v>
      </c>
      <c r="F1843" t="s">
        <v>75</v>
      </c>
      <c r="G1843">
        <v>-512.82539999999995</v>
      </c>
      <c r="H1843">
        <v>0.94016160000000004</v>
      </c>
      <c r="I1843">
        <v>264.6343</v>
      </c>
      <c r="J1843">
        <v>-335.24779999999998</v>
      </c>
      <c r="K1843">
        <v>1.1088559999999901</v>
      </c>
      <c r="L1843">
        <v>283.89870000000002</v>
      </c>
      <c r="M1843">
        <v>-0.99990460000000003</v>
      </c>
      <c r="N1843">
        <v>0</v>
      </c>
      <c r="O1843">
        <v>-1.0052409999999999E-2</v>
      </c>
      <c r="P1843">
        <v>-0.99859920000000002</v>
      </c>
      <c r="Q1843">
        <v>-1.7427249999999998E-2</v>
      </c>
      <c r="R1843">
        <v>4.9959400000000001E-2</v>
      </c>
      <c r="S1843">
        <v>-3.0203859999999998</v>
      </c>
      <c r="T1843">
        <v>-2.862215E-3</v>
      </c>
      <c r="U1843">
        <v>-0.32705689999999998</v>
      </c>
      <c r="V1843">
        <v>5.9987480000000003E-2</v>
      </c>
      <c r="W1843">
        <v>-8.0184190000000006E-3</v>
      </c>
      <c r="X1843">
        <v>0.99816689999999997</v>
      </c>
      <c r="Y1843">
        <v>-9.7653959999999998E-2</v>
      </c>
      <c r="Z1843" s="1">
        <v>-3.6637929999999999E-5</v>
      </c>
      <c r="AA1843">
        <v>0.99522040000000001</v>
      </c>
      <c r="AB1843">
        <v>36</v>
      </c>
      <c r="AC1843">
        <v>-177.57759999999899</v>
      </c>
      <c r="AD1843">
        <v>-0.168694399999999</v>
      </c>
      <c r="AE1843">
        <v>-19.264399999999998</v>
      </c>
      <c r="AF1843">
        <v>-17.478248011251701</v>
      </c>
      <c r="AG1843">
        <v>-0.168694399999999</v>
      </c>
      <c r="AH1843">
        <v>177.76213055668501</v>
      </c>
      <c r="AI1843">
        <v>90.054112141168503</v>
      </c>
      <c r="AJ1843">
        <v>95.615489087284402</v>
      </c>
      <c r="AK1843">
        <v>178.61940732013201</v>
      </c>
      <c r="AL1843">
        <v>90.459426501082106</v>
      </c>
      <c r="AM1843">
        <v>86.560795092596905</v>
      </c>
      <c r="AN1843">
        <v>0.99999997652780903</v>
      </c>
    </row>
    <row r="1844" spans="1:40" x14ac:dyDescent="0.25">
      <c r="A1844" t="str">
        <f>"20190312160952478"</f>
        <v>20190312160952478</v>
      </c>
      <c r="B1844" t="str">
        <f>"1552378192467079"</f>
        <v>1552378192467079</v>
      </c>
      <c r="C1844" t="s">
        <v>40</v>
      </c>
      <c r="D1844">
        <v>5.5486180000000003</v>
      </c>
      <c r="E1844">
        <v>0.44213629999999998</v>
      </c>
      <c r="F1844" t="s">
        <v>75</v>
      </c>
      <c r="G1844">
        <v>-512.82550000000003</v>
      </c>
      <c r="H1844">
        <v>0.97440610000000005</v>
      </c>
      <c r="I1844">
        <v>265.21859999999998</v>
      </c>
      <c r="J1844">
        <v>-335.59699999999998</v>
      </c>
      <c r="K1844">
        <v>1.108859</v>
      </c>
      <c r="L1844">
        <v>283.8956</v>
      </c>
      <c r="M1844">
        <v>-0.99990829999999997</v>
      </c>
      <c r="N1844">
        <v>0</v>
      </c>
      <c r="O1844">
        <v>-9.6538249999999996E-3</v>
      </c>
      <c r="P1844">
        <v>-0.99860110000000002</v>
      </c>
      <c r="Q1844">
        <v>-1.6765559999999999E-2</v>
      </c>
      <c r="R1844">
        <v>5.0148350000000001E-2</v>
      </c>
      <c r="S1844">
        <v>-3.0200200000000001</v>
      </c>
      <c r="T1844">
        <v>-2.2852419999999998E-3</v>
      </c>
      <c r="U1844">
        <v>-0.31768800000000003</v>
      </c>
      <c r="V1844">
        <v>5.9779440000000003E-2</v>
      </c>
      <c r="W1844">
        <v>-7.3441299999999999E-3</v>
      </c>
      <c r="X1844">
        <v>0.99818459999999998</v>
      </c>
      <c r="Y1844">
        <v>-9.5010609999999995E-2</v>
      </c>
      <c r="Z1844" s="1">
        <v>-2.8564E-5</v>
      </c>
      <c r="AA1844">
        <v>0.99547620000000003</v>
      </c>
      <c r="AB1844">
        <v>36</v>
      </c>
      <c r="AC1844">
        <v>-177.2285</v>
      </c>
      <c r="AD1844">
        <v>-0.13445289999999999</v>
      </c>
      <c r="AE1844">
        <v>-18.677</v>
      </c>
      <c r="AF1844">
        <v>-16.965109842168999</v>
      </c>
      <c r="AG1844">
        <v>-0.13445289999999999</v>
      </c>
      <c r="AH1844">
        <v>177.400452181383</v>
      </c>
      <c r="AI1844">
        <v>90.043227599940707</v>
      </c>
      <c r="AJ1844">
        <v>95.462681343986205</v>
      </c>
      <c r="AK1844">
        <v>178.20985793075101</v>
      </c>
      <c r="AL1844">
        <v>90.420791433092006</v>
      </c>
      <c r="AM1844">
        <v>86.572754599058399</v>
      </c>
      <c r="AN1844">
        <v>1.0000000066846599</v>
      </c>
    </row>
    <row r="1845" spans="1:40" x14ac:dyDescent="0.25">
      <c r="A1845" t="str">
        <f>"20190312160952501"</f>
        <v>20190312160952501</v>
      </c>
      <c r="B1845" t="str">
        <f>"1552378192497335"</f>
        <v>1552378192497335</v>
      </c>
      <c r="C1845" t="s">
        <v>40</v>
      </c>
      <c r="D1845">
        <v>5.5373109999999999</v>
      </c>
      <c r="E1845">
        <v>0.44329950000000001</v>
      </c>
      <c r="F1845" t="s">
        <v>75</v>
      </c>
      <c r="G1845">
        <v>-512.82539999999995</v>
      </c>
      <c r="H1845">
        <v>0.77744009999999997</v>
      </c>
      <c r="I1845">
        <v>265.70690000000002</v>
      </c>
      <c r="J1845">
        <v>-335.96510000000001</v>
      </c>
      <c r="K1845">
        <v>1.10886</v>
      </c>
      <c r="L1845">
        <v>283.89249999999998</v>
      </c>
      <c r="M1845">
        <v>-0.99991229999999998</v>
      </c>
      <c r="N1845">
        <v>0</v>
      </c>
      <c r="O1845">
        <v>-9.2336640000000008E-3</v>
      </c>
      <c r="P1845">
        <v>-0.99857830000000003</v>
      </c>
      <c r="Q1845">
        <v>-1.674316E-2</v>
      </c>
      <c r="R1845">
        <v>5.061214E-2</v>
      </c>
      <c r="S1845">
        <v>-3.0196839999999998</v>
      </c>
      <c r="T1845">
        <v>-5.6455139999999999E-3</v>
      </c>
      <c r="U1845">
        <v>-0.30990600000000001</v>
      </c>
      <c r="V1845">
        <v>5.9823609999999999E-2</v>
      </c>
      <c r="W1845">
        <v>-7.3097659999999997E-3</v>
      </c>
      <c r="X1845">
        <v>0.99818220000000002</v>
      </c>
      <c r="Y1845">
        <v>-9.2902070000000003E-2</v>
      </c>
      <c r="Z1845" s="1">
        <v>-6.9399639999999995E-5</v>
      </c>
      <c r="AA1845">
        <v>0.99567530000000004</v>
      </c>
      <c r="AB1845">
        <v>36</v>
      </c>
      <c r="AC1845">
        <v>-176.860299999999</v>
      </c>
      <c r="AD1845">
        <v>-0.33141989999999999</v>
      </c>
      <c r="AE1845">
        <v>-18.185599999999901</v>
      </c>
      <c r="AF1845">
        <v>-16.551624957215498</v>
      </c>
      <c r="AG1845">
        <v>-0.33141989999999999</v>
      </c>
      <c r="AH1845">
        <v>177.02007173642801</v>
      </c>
      <c r="AI1845">
        <v>90.106804127583899</v>
      </c>
      <c r="AJ1845">
        <v>95.341705219796907</v>
      </c>
      <c r="AK1845">
        <v>177.79249681987301</v>
      </c>
      <c r="AL1845">
        <v>90.418822470594804</v>
      </c>
      <c r="AM1845">
        <v>86.570220082499802</v>
      </c>
      <c r="AN1845">
        <v>1.0000000006946199</v>
      </c>
    </row>
    <row r="1846" spans="1:40" x14ac:dyDescent="0.25">
      <c r="A1846" t="str">
        <f>"20190312160952537"</f>
        <v>20190312160952537</v>
      </c>
      <c r="B1846" t="str">
        <f>"1552378192527591"</f>
        <v>1552378192527591</v>
      </c>
      <c r="C1846" t="s">
        <v>40</v>
      </c>
      <c r="D1846">
        <v>5.4909879999999998</v>
      </c>
      <c r="E1846">
        <v>0.44423119999999999</v>
      </c>
      <c r="F1846" t="s">
        <v>75</v>
      </c>
      <c r="G1846">
        <v>-512.82529999999997</v>
      </c>
      <c r="H1846">
        <v>0.38376769999999999</v>
      </c>
      <c r="I1846">
        <v>266.3519</v>
      </c>
      <c r="J1846">
        <v>-336.54109999999997</v>
      </c>
      <c r="K1846">
        <v>1.1088739999999999</v>
      </c>
      <c r="L1846">
        <v>283.88780000000003</v>
      </c>
      <c r="M1846">
        <v>-0.99991779999999997</v>
      </c>
      <c r="N1846">
        <v>0</v>
      </c>
      <c r="O1846">
        <v>-8.5797679999999998E-3</v>
      </c>
      <c r="P1846">
        <v>-0.99850000000000005</v>
      </c>
      <c r="Q1846">
        <v>-1.6653210000000002E-2</v>
      </c>
      <c r="R1846">
        <v>5.2160829999999998E-2</v>
      </c>
      <c r="S1846">
        <v>-3.0192260000000002</v>
      </c>
      <c r="T1846">
        <v>-1.23769E-2</v>
      </c>
      <c r="U1846">
        <v>-0.2994385</v>
      </c>
      <c r="V1846">
        <v>6.0718950000000001E-2</v>
      </c>
      <c r="W1846">
        <v>-7.2036829999999998E-3</v>
      </c>
      <c r="X1846">
        <v>0.99812889999999999</v>
      </c>
      <c r="Y1846">
        <v>-9.0150460000000002E-2</v>
      </c>
      <c r="Z1846">
        <v>-1.492439E-4</v>
      </c>
      <c r="AA1846">
        <v>0.99592820000000004</v>
      </c>
      <c r="AB1846">
        <v>36</v>
      </c>
      <c r="AC1846">
        <v>-176.2842</v>
      </c>
      <c r="AD1846">
        <v>-0.72510629999999998</v>
      </c>
      <c r="AE1846">
        <v>-17.535900000000002</v>
      </c>
      <c r="AF1846">
        <v>-16.022439876139401</v>
      </c>
      <c r="AG1846">
        <v>-0.72510629999999998</v>
      </c>
      <c r="AH1846">
        <v>176.42521601799899</v>
      </c>
      <c r="AI1846">
        <v>90.2345187630483</v>
      </c>
      <c r="AJ1846">
        <v>95.189205689053495</v>
      </c>
      <c r="AK1846">
        <v>177.15276234292401</v>
      </c>
      <c r="AL1846">
        <v>90.412744205767098</v>
      </c>
      <c r="AM1846">
        <v>86.518828724073003</v>
      </c>
      <c r="AN1846">
        <v>0.99999999247653804</v>
      </c>
    </row>
    <row r="1847" spans="1:40" x14ac:dyDescent="0.25">
      <c r="A1847" t="str">
        <f>"20190312160952557"</f>
        <v>20190312160952557</v>
      </c>
      <c r="B1847" t="str">
        <f>"1552378192547111"</f>
        <v>1552378192547111</v>
      </c>
      <c r="C1847" t="s">
        <v>40</v>
      </c>
      <c r="D1847">
        <v>5.5035800000000004</v>
      </c>
      <c r="E1847">
        <v>0.44471149999999998</v>
      </c>
      <c r="F1847" t="s">
        <v>75</v>
      </c>
      <c r="G1847">
        <v>-512.8252</v>
      </c>
      <c r="H1847">
        <v>0.11462070000000001</v>
      </c>
      <c r="I1847">
        <v>267.11</v>
      </c>
      <c r="J1847">
        <v>-336.88690000000003</v>
      </c>
      <c r="K1847">
        <v>1.108878</v>
      </c>
      <c r="L1847">
        <v>283.8852</v>
      </c>
      <c r="M1847">
        <v>-0.99992099999999995</v>
      </c>
      <c r="N1847">
        <v>0</v>
      </c>
      <c r="O1847">
        <v>-8.1895330000000006E-3</v>
      </c>
      <c r="P1847">
        <v>-0.99845090000000003</v>
      </c>
      <c r="Q1847">
        <v>-1.6588640000000002E-2</v>
      </c>
      <c r="R1847">
        <v>5.3110270000000001E-2</v>
      </c>
      <c r="S1847">
        <v>-3.0192260000000002</v>
      </c>
      <c r="T1847">
        <v>-1.7027259999999999E-2</v>
      </c>
      <c r="U1847">
        <v>-0.28735349999999998</v>
      </c>
      <c r="V1847">
        <v>6.1278449999999998E-2</v>
      </c>
      <c r="W1847">
        <v>-7.1300790000000001E-3</v>
      </c>
      <c r="X1847">
        <v>0.99809519999999996</v>
      </c>
      <c r="Y1847">
        <v>-8.6588929999999995E-2</v>
      </c>
      <c r="Z1847">
        <v>-1.9753309999999999E-4</v>
      </c>
      <c r="AA1847">
        <v>0.99624409999999997</v>
      </c>
      <c r="AB1847">
        <v>36</v>
      </c>
      <c r="AC1847">
        <v>-175.938299999999</v>
      </c>
      <c r="AD1847">
        <v>-0.99425730000000001</v>
      </c>
      <c r="AE1847">
        <v>-16.775199999999899</v>
      </c>
      <c r="AF1847">
        <v>-15.333234106436301</v>
      </c>
      <c r="AG1847">
        <v>-0.99425730000000001</v>
      </c>
      <c r="AH1847">
        <v>176.06421462768199</v>
      </c>
      <c r="AI1847">
        <v>90.322333179628799</v>
      </c>
      <c r="AJ1847">
        <v>94.977266926904306</v>
      </c>
      <c r="AK1847">
        <v>176.73342719532101</v>
      </c>
      <c r="AL1847">
        <v>90.408526913213905</v>
      </c>
      <c r="AM1847">
        <v>86.486712824060206</v>
      </c>
      <c r="AN1847">
        <v>0.99999995736199299</v>
      </c>
    </row>
    <row r="1848" spans="1:40" x14ac:dyDescent="0.25">
      <c r="A1848" t="str">
        <f>"20190312160952579"</f>
        <v>20190312160952579</v>
      </c>
      <c r="B1848" t="str">
        <f>"1552378192567607"</f>
        <v>1552378192567607</v>
      </c>
      <c r="C1848" t="s">
        <v>40</v>
      </c>
      <c r="D1848">
        <v>5.5276990000000001</v>
      </c>
      <c r="E1848">
        <v>0.44432359999999999</v>
      </c>
      <c r="F1848" t="s">
        <v>41</v>
      </c>
      <c r="G1848">
        <v>-499.95780000000002</v>
      </c>
      <c r="H1848">
        <v>2.99332E-2</v>
      </c>
      <c r="I1848">
        <v>268.71800000000002</v>
      </c>
      <c r="J1848">
        <v>-337.23489999999998</v>
      </c>
      <c r="K1848">
        <v>1.108876</v>
      </c>
      <c r="L1848">
        <v>283.8827</v>
      </c>
      <c r="M1848">
        <v>-0.99992400000000004</v>
      </c>
      <c r="N1848">
        <v>0</v>
      </c>
      <c r="O1848">
        <v>-7.797984E-3</v>
      </c>
      <c r="P1848">
        <v>-0.99842629999999999</v>
      </c>
      <c r="Q1848">
        <v>-1.6299299999999999E-2</v>
      </c>
      <c r="R1848">
        <v>5.365905E-2</v>
      </c>
      <c r="S1848">
        <v>-3.0192869999999998</v>
      </c>
      <c r="T1848">
        <v>-1.9976850000000001E-2</v>
      </c>
      <c r="U1848">
        <v>-0.28082279999999998</v>
      </c>
      <c r="V1848">
        <v>6.1436640000000001E-2</v>
      </c>
      <c r="W1848">
        <v>-6.8315449999999996E-3</v>
      </c>
      <c r="X1848">
        <v>0.99808759999999996</v>
      </c>
      <c r="Y1848">
        <v>-8.4840600000000002E-2</v>
      </c>
      <c r="Z1848">
        <v>-2.285825E-4</v>
      </c>
      <c r="AA1848">
        <v>0.99639449999999996</v>
      </c>
      <c r="AB1848">
        <v>36</v>
      </c>
      <c r="AC1848">
        <v>-162.72290000000001</v>
      </c>
      <c r="AD1848">
        <v>-1.0789428000000001</v>
      </c>
      <c r="AE1848">
        <v>-15.1646999999999</v>
      </c>
      <c r="AF1848">
        <v>-13.894664842825501</v>
      </c>
      <c r="AG1848">
        <v>-1.0789428000000001</v>
      </c>
      <c r="AH1848">
        <v>162.82911446200799</v>
      </c>
      <c r="AI1848">
        <v>90.378274628409301</v>
      </c>
      <c r="AJ1848">
        <v>94.877393847865804</v>
      </c>
      <c r="AK1848">
        <v>163.42443619343399</v>
      </c>
      <c r="AL1848">
        <v>90.391421743048696</v>
      </c>
      <c r="AM1848">
        <v>86.477639342659501</v>
      </c>
      <c r="AN1848">
        <v>0.99999999400766804</v>
      </c>
    </row>
    <row r="1849" spans="1:40" x14ac:dyDescent="0.25">
      <c r="A1849" t="str">
        <f>"20190312160952601"</f>
        <v>20190312160952601</v>
      </c>
      <c r="B1849" t="str">
        <f>"1552378192597863"</f>
        <v>1552378192597863</v>
      </c>
      <c r="C1849" t="s">
        <v>40</v>
      </c>
      <c r="D1849">
        <v>5.5283959999999999</v>
      </c>
      <c r="E1849">
        <v>0.4437276</v>
      </c>
      <c r="F1849" t="s">
        <v>59</v>
      </c>
      <c r="G1849">
        <v>-478.93700000000001</v>
      </c>
      <c r="H1849">
        <v>7.9998780000000005E-2</v>
      </c>
      <c r="I1849">
        <v>270.63650000000001</v>
      </c>
      <c r="J1849">
        <v>-337.59820000000002</v>
      </c>
      <c r="K1849">
        <v>1.108878</v>
      </c>
      <c r="L1849">
        <v>283.8802</v>
      </c>
      <c r="M1849">
        <v>-0.99992720000000002</v>
      </c>
      <c r="N1849">
        <v>0</v>
      </c>
      <c r="O1849">
        <v>-7.3909359999999999E-3</v>
      </c>
      <c r="P1849">
        <v>-0.99841139999999995</v>
      </c>
      <c r="Q1849">
        <v>-1.67647E-2</v>
      </c>
      <c r="R1849">
        <v>5.379689E-2</v>
      </c>
      <c r="S1849">
        <v>-3.0194700000000001</v>
      </c>
      <c r="T1849">
        <v>-2.19239E-2</v>
      </c>
      <c r="U1849">
        <v>-0.28225709999999998</v>
      </c>
      <c r="V1849">
        <v>6.1167590000000001E-2</v>
      </c>
      <c r="W1849">
        <v>-7.2871180000000004E-3</v>
      </c>
      <c r="X1849">
        <v>0.99810089999999996</v>
      </c>
      <c r="Y1849">
        <v>-8.5709460000000001E-2</v>
      </c>
      <c r="Z1849">
        <v>-2.5693619999999999E-4</v>
      </c>
      <c r="AA1849">
        <v>0.99632010000000004</v>
      </c>
      <c r="AB1849">
        <v>36</v>
      </c>
      <c r="AC1849">
        <v>-141.338799999999</v>
      </c>
      <c r="AD1849">
        <v>-1.0288792200000001</v>
      </c>
      <c r="AE1849">
        <v>-13.243699999999899</v>
      </c>
      <c r="AF1849">
        <v>-12.1980239295546</v>
      </c>
      <c r="AG1849">
        <v>-1.0288792200000001</v>
      </c>
      <c r="AH1849">
        <v>141.42539789322799</v>
      </c>
      <c r="AI1849">
        <v>90.415281513752902</v>
      </c>
      <c r="AJ1849">
        <v>94.929594889006395</v>
      </c>
      <c r="AK1849">
        <v>141.95419525147301</v>
      </c>
      <c r="AL1849">
        <v>90.417524805113402</v>
      </c>
      <c r="AM1849">
        <v>86.493072878801001</v>
      </c>
      <c r="AN1849">
        <v>0.99999999136798201</v>
      </c>
    </row>
    <row r="1850" spans="1:40" x14ac:dyDescent="0.25">
      <c r="A1850" t="str">
        <f>"20190312160952625"</f>
        <v>20190312160952625</v>
      </c>
      <c r="B1850" t="str">
        <f>"1552378192617383"</f>
        <v>1552378192617383</v>
      </c>
      <c r="C1850" t="s">
        <v>40</v>
      </c>
      <c r="D1850">
        <v>5.5072109999999999</v>
      </c>
      <c r="E1850">
        <v>0.44343189999999999</v>
      </c>
      <c r="F1850" t="s">
        <v>43</v>
      </c>
      <c r="G1850">
        <v>-462.02749999999997</v>
      </c>
      <c r="H1850">
        <v>-0.05</v>
      </c>
      <c r="I1850">
        <v>272.07130000000001</v>
      </c>
      <c r="J1850">
        <v>-337.98360000000002</v>
      </c>
      <c r="K1850">
        <v>1.108876</v>
      </c>
      <c r="L1850">
        <v>283.87779999999998</v>
      </c>
      <c r="M1850">
        <v>-0.99993019999999999</v>
      </c>
      <c r="N1850">
        <v>0</v>
      </c>
      <c r="O1850">
        <v>-6.960043E-3</v>
      </c>
      <c r="P1850">
        <v>-0.99838780000000005</v>
      </c>
      <c r="Q1850">
        <v>-1.6932320000000001E-2</v>
      </c>
      <c r="R1850">
        <v>5.417959E-2</v>
      </c>
      <c r="S1850">
        <v>-3.0197750000000001</v>
      </c>
      <c r="T1850">
        <v>-2.812481E-2</v>
      </c>
      <c r="U1850">
        <v>-0.28659059999999997</v>
      </c>
      <c r="V1850">
        <v>6.1119899999999998E-2</v>
      </c>
      <c r="W1850">
        <v>-7.4450699999999998E-3</v>
      </c>
      <c r="X1850">
        <v>0.99810270000000001</v>
      </c>
      <c r="Y1850">
        <v>-8.7545090000000006E-2</v>
      </c>
      <c r="Z1850">
        <v>-3.4208170000000002E-4</v>
      </c>
      <c r="AA1850">
        <v>0.9961605</v>
      </c>
      <c r="AB1850">
        <v>37</v>
      </c>
      <c r="AC1850">
        <v>-124.043899999999</v>
      </c>
      <c r="AD1850">
        <v>-1.158876</v>
      </c>
      <c r="AE1850">
        <v>-11.8064999999999</v>
      </c>
      <c r="AF1850">
        <v>-10.9418773236536</v>
      </c>
      <c r="AG1850">
        <v>-1.158876</v>
      </c>
      <c r="AH1850">
        <v>124.11233722473401</v>
      </c>
      <c r="AI1850">
        <v>90.532906354352306</v>
      </c>
      <c r="AJ1850">
        <v>95.038231567011096</v>
      </c>
      <c r="AK1850">
        <v>124.5991168682</v>
      </c>
      <c r="AL1850">
        <v>90.426575014875596</v>
      </c>
      <c r="AM1850">
        <v>86.495806581991502</v>
      </c>
      <c r="AN1850">
        <v>1.0000000354953</v>
      </c>
    </row>
    <row r="1851" spans="1:40" x14ac:dyDescent="0.25">
      <c r="A1851" t="str">
        <f>"20190312160952647"</f>
        <v>20190312160952647</v>
      </c>
      <c r="B1851" t="str">
        <f>"1552378192637879"</f>
        <v>1552378192637879</v>
      </c>
      <c r="C1851" t="s">
        <v>40</v>
      </c>
      <c r="D1851">
        <v>5.5174529999999997</v>
      </c>
      <c r="E1851">
        <v>0.4431679</v>
      </c>
      <c r="F1851" t="s">
        <v>74</v>
      </c>
      <c r="G1851">
        <v>-435.13729999999998</v>
      </c>
      <c r="H1851">
        <v>8.0001199999999995E-2</v>
      </c>
      <c r="I1851">
        <v>274.6225</v>
      </c>
      <c r="J1851">
        <v>-338.35169999999999</v>
      </c>
      <c r="K1851">
        <v>1.1088769999999999</v>
      </c>
      <c r="L1851">
        <v>283.87569999999999</v>
      </c>
      <c r="M1851">
        <v>-0.99993270000000001</v>
      </c>
      <c r="N1851">
        <v>0</v>
      </c>
      <c r="O1851">
        <v>-6.5491710000000003E-3</v>
      </c>
      <c r="P1851">
        <v>-0.998363</v>
      </c>
      <c r="Q1851">
        <v>-1.6804779999999998E-2</v>
      </c>
      <c r="R1851">
        <v>5.4671650000000002E-2</v>
      </c>
      <c r="S1851">
        <v>-3.0198969999999998</v>
      </c>
      <c r="T1851">
        <v>-3.1981229999999999E-2</v>
      </c>
      <c r="U1851">
        <v>-0.28768919999999998</v>
      </c>
      <c r="V1851">
        <v>6.1201930000000002E-2</v>
      </c>
      <c r="W1851">
        <v>-7.3088800000000002E-3</v>
      </c>
      <c r="X1851">
        <v>0.99809870000000001</v>
      </c>
      <c r="Y1851">
        <v>-8.8308670000000006E-2</v>
      </c>
      <c r="Z1851">
        <v>-3.9733709999999997E-4</v>
      </c>
      <c r="AA1851">
        <v>0.99609309999999995</v>
      </c>
      <c r="AB1851">
        <v>37</v>
      </c>
      <c r="AC1851">
        <v>-96.785600000000002</v>
      </c>
      <c r="AD1851">
        <v>-1.0288758</v>
      </c>
      <c r="AE1851">
        <v>-9.2531999999999908</v>
      </c>
      <c r="AF1851">
        <v>-8.6181419394799406</v>
      </c>
      <c r="AG1851">
        <v>-1.0288758</v>
      </c>
      <c r="AH1851">
        <v>96.833284008472802</v>
      </c>
      <c r="AI1851">
        <v>90.606361293991696</v>
      </c>
      <c r="AJ1851">
        <v>95.085912150422999</v>
      </c>
      <c r="AK1851">
        <v>97.221478325349494</v>
      </c>
      <c r="AL1851">
        <v>90.418771682246799</v>
      </c>
      <c r="AM1851">
        <v>86.491101263145694</v>
      </c>
      <c r="AN1851">
        <v>1.00000005545213</v>
      </c>
    </row>
    <row r="1852" spans="1:40" x14ac:dyDescent="0.25">
      <c r="A1852" t="str">
        <f>"20190312160952669"</f>
        <v>20190312160952669</v>
      </c>
      <c r="B1852" t="str">
        <f>"1552378192657399"</f>
        <v>1552378192657399</v>
      </c>
      <c r="C1852" t="s">
        <v>40</v>
      </c>
      <c r="D1852">
        <v>5.4526649999999997</v>
      </c>
      <c r="E1852">
        <v>0.44285619999999998</v>
      </c>
      <c r="F1852" t="s">
        <v>74</v>
      </c>
      <c r="G1852">
        <v>-430.17270000000002</v>
      </c>
      <c r="H1852">
        <v>8.0001610000000001E-2</v>
      </c>
      <c r="I1852">
        <v>275.1078</v>
      </c>
      <c r="J1852">
        <v>-338.70089999999999</v>
      </c>
      <c r="K1852">
        <v>1.1088769999999999</v>
      </c>
      <c r="L1852">
        <v>283.87369999999999</v>
      </c>
      <c r="M1852">
        <v>-0.99993529999999997</v>
      </c>
      <c r="N1852">
        <v>0</v>
      </c>
      <c r="O1852">
        <v>-6.1601099999999999E-3</v>
      </c>
      <c r="P1852">
        <v>-0.99829409999999996</v>
      </c>
      <c r="Q1852">
        <v>-1.7163069999999999E-2</v>
      </c>
      <c r="R1852">
        <v>5.58074E-2</v>
      </c>
      <c r="S1852">
        <v>-3.0201720000000001</v>
      </c>
      <c r="T1852">
        <v>-3.384173E-2</v>
      </c>
      <c r="U1852">
        <v>-0.28839110000000001</v>
      </c>
      <c r="V1852">
        <v>6.1948320000000001E-2</v>
      </c>
      <c r="W1852">
        <v>-7.6603769999999899E-3</v>
      </c>
      <c r="X1852">
        <v>0.99804999999999999</v>
      </c>
      <c r="Y1852">
        <v>-8.8916480000000006E-2</v>
      </c>
      <c r="Z1852">
        <v>-4.2815449999999999E-4</v>
      </c>
      <c r="AA1852">
        <v>0.99603900000000001</v>
      </c>
      <c r="AB1852">
        <v>37</v>
      </c>
      <c r="AC1852">
        <v>-91.471800000000002</v>
      </c>
      <c r="AD1852">
        <v>-1.0288753900000001</v>
      </c>
      <c r="AE1852">
        <v>-8.7658999999999807</v>
      </c>
      <c r="AF1852">
        <v>-8.2012033926267804</v>
      </c>
      <c r="AG1852">
        <v>-1.0288753900000001</v>
      </c>
      <c r="AH1852">
        <v>91.512593067252098</v>
      </c>
      <c r="AI1852">
        <v>90.641577845846797</v>
      </c>
      <c r="AJ1852">
        <v>95.1210699745006</v>
      </c>
      <c r="AK1852">
        <v>91.885107670110798</v>
      </c>
      <c r="AL1852">
        <v>90.438911547138503</v>
      </c>
      <c r="AM1852">
        <v>86.448244401250804</v>
      </c>
      <c r="AN1852">
        <v>1.0000000391132999</v>
      </c>
    </row>
    <row r="1853" spans="1:40" x14ac:dyDescent="0.25">
      <c r="A1853" t="str">
        <f>"20190312160952690"</f>
        <v>20190312160952690</v>
      </c>
      <c r="B1853" t="str">
        <f>"1552378192687655"</f>
        <v>1552378192687655</v>
      </c>
      <c r="C1853" t="s">
        <v>40</v>
      </c>
      <c r="D1853">
        <v>5.6051330000000004</v>
      </c>
      <c r="E1853">
        <v>0.44243680000000002</v>
      </c>
      <c r="F1853" t="s">
        <v>74</v>
      </c>
      <c r="G1853">
        <v>-429.9581</v>
      </c>
      <c r="H1853">
        <v>2.3837529999999999E-2</v>
      </c>
      <c r="I1853">
        <v>275.1848</v>
      </c>
      <c r="J1853">
        <v>-339.06569999999999</v>
      </c>
      <c r="K1853">
        <v>1.1088789999999999</v>
      </c>
      <c r="L1853">
        <v>283.87180000000001</v>
      </c>
      <c r="M1853">
        <v>-0.99993750000000003</v>
      </c>
      <c r="N1853">
        <v>0</v>
      </c>
      <c r="O1853">
        <v>-5.7544800000000002E-3</v>
      </c>
      <c r="P1853">
        <v>-0.99823150000000005</v>
      </c>
      <c r="Q1853">
        <v>-1.6357110000000001E-2</v>
      </c>
      <c r="R1853">
        <v>5.7151250000000001E-2</v>
      </c>
      <c r="S1853">
        <v>-3.0205690000000001</v>
      </c>
      <c r="T1853">
        <v>-3.5914300000000003E-2</v>
      </c>
      <c r="U1853">
        <v>-0.28759770000000001</v>
      </c>
      <c r="V1853">
        <v>6.2887819999999997E-2</v>
      </c>
      <c r="W1853">
        <v>-6.8477429999999999E-3</v>
      </c>
      <c r="X1853">
        <v>0.99799709999999997</v>
      </c>
      <c r="Y1853">
        <v>-8.9048180000000005E-2</v>
      </c>
      <c r="Z1853">
        <v>-4.59913E-4</v>
      </c>
      <c r="AA1853">
        <v>0.9960272</v>
      </c>
      <c r="AB1853">
        <v>37</v>
      </c>
      <c r="AC1853">
        <v>-90.892399999999995</v>
      </c>
      <c r="AD1853">
        <v>-1.08504147</v>
      </c>
      <c r="AE1853">
        <v>-8.68700000000001</v>
      </c>
      <c r="AF1853">
        <v>-8.1626409185829392</v>
      </c>
      <c r="AG1853">
        <v>-1.08504147</v>
      </c>
      <c r="AH1853">
        <v>90.928045776259395</v>
      </c>
      <c r="AI1853">
        <v>90.680938281813198</v>
      </c>
      <c r="AJ1853">
        <v>95.129711053118299</v>
      </c>
      <c r="AK1853">
        <v>91.300139816140799</v>
      </c>
      <c r="AL1853">
        <v>90.392349843156893</v>
      </c>
      <c r="AM1853">
        <v>86.394329369297694</v>
      </c>
      <c r="AN1853">
        <v>0.99999999054847799</v>
      </c>
    </row>
    <row r="1854" spans="1:40" x14ac:dyDescent="0.25">
      <c r="A1854" t="str">
        <f>"20190312160952714"</f>
        <v>20190312160952714</v>
      </c>
      <c r="B1854" t="str">
        <f>"1552378192707176"</f>
        <v>1552378192707176</v>
      </c>
      <c r="C1854" t="s">
        <v>40</v>
      </c>
      <c r="D1854">
        <v>5.4151930000000004</v>
      </c>
      <c r="E1854">
        <v>0.4421524</v>
      </c>
      <c r="F1854" t="s">
        <v>74</v>
      </c>
      <c r="G1854">
        <v>-430.47669999999999</v>
      </c>
      <c r="H1854">
        <v>8.0001470000000005E-2</v>
      </c>
      <c r="I1854">
        <v>275.19670000000002</v>
      </c>
      <c r="J1854">
        <v>-339.44209999999998</v>
      </c>
      <c r="K1854">
        <v>1.1088769999999999</v>
      </c>
      <c r="L1854">
        <v>283.87009999999998</v>
      </c>
      <c r="M1854">
        <v>-0.99993969999999999</v>
      </c>
      <c r="N1854">
        <v>0</v>
      </c>
      <c r="O1854">
        <v>-5.33813E-3</v>
      </c>
      <c r="P1854">
        <v>-0.99813110000000005</v>
      </c>
      <c r="Q1854">
        <v>-1.6379169999999998E-2</v>
      </c>
      <c r="R1854">
        <v>5.8875839999999999E-2</v>
      </c>
      <c r="S1854">
        <v>-3.0211489999999999</v>
      </c>
      <c r="T1854">
        <v>-3.4004569999999998E-2</v>
      </c>
      <c r="U1854">
        <v>-0.28671259999999998</v>
      </c>
      <c r="V1854">
        <v>6.4196619999999996E-2</v>
      </c>
      <c r="W1854">
        <v>-6.8635639999999999E-3</v>
      </c>
      <c r="X1854">
        <v>0.99791370000000001</v>
      </c>
      <c r="Y1854">
        <v>-8.9156280000000004E-2</v>
      </c>
      <c r="Z1854">
        <v>-4.4066370000000001E-4</v>
      </c>
      <c r="AA1854">
        <v>0.99601759999999995</v>
      </c>
      <c r="AB1854">
        <v>37</v>
      </c>
      <c r="AC1854">
        <v>-91.034599999999998</v>
      </c>
      <c r="AD1854">
        <v>-1.0288755300000001</v>
      </c>
      <c r="AE1854">
        <v>-8.6733999999999494</v>
      </c>
      <c r="AF1854">
        <v>-8.1862632292072295</v>
      </c>
      <c r="AG1854">
        <v>-1.0288755300000001</v>
      </c>
      <c r="AH1854">
        <v>91.068076686016596</v>
      </c>
      <c r="AI1854">
        <v>90.6446936119019</v>
      </c>
      <c r="AJ1854">
        <v>95.136608599198198</v>
      </c>
      <c r="AK1854">
        <v>91.441063433253504</v>
      </c>
      <c r="AL1854">
        <v>90.393256324069895</v>
      </c>
      <c r="AM1854">
        <v>86.319186789103597</v>
      </c>
      <c r="AN1854">
        <v>1.0000000335889401</v>
      </c>
    </row>
    <row r="1855" spans="1:40" x14ac:dyDescent="0.25">
      <c r="A1855" t="str">
        <f>"20190312160952736"</f>
        <v>20190312160952736</v>
      </c>
      <c r="B1855" t="str">
        <f>"1552378192727675"</f>
        <v>1552378192727675</v>
      </c>
      <c r="C1855" t="s">
        <v>40</v>
      </c>
      <c r="D1855">
        <v>5.3951960000000003</v>
      </c>
      <c r="E1855">
        <v>0.44190590000000002</v>
      </c>
      <c r="F1855" t="s">
        <v>74</v>
      </c>
      <c r="G1855">
        <v>-429.9667</v>
      </c>
      <c r="H1855">
        <v>5.8536730000000002E-2</v>
      </c>
      <c r="I1855">
        <v>275.36489999999998</v>
      </c>
      <c r="J1855">
        <v>-339.82479999999998</v>
      </c>
      <c r="K1855">
        <v>1.108881</v>
      </c>
      <c r="L1855">
        <v>283.86840000000001</v>
      </c>
      <c r="M1855">
        <v>-0.99994179999999999</v>
      </c>
      <c r="N1855">
        <v>0</v>
      </c>
      <c r="O1855">
        <v>-4.9207309999999898E-3</v>
      </c>
      <c r="P1855">
        <v>-0.99810489999999996</v>
      </c>
      <c r="Q1855">
        <v>-1.636044E-2</v>
      </c>
      <c r="R1855">
        <v>5.9320980000000002E-2</v>
      </c>
      <c r="S1855">
        <v>-3.0217589999999999</v>
      </c>
      <c r="T1855">
        <v>-3.5060880000000003E-2</v>
      </c>
      <c r="U1855">
        <v>-0.28390500000000002</v>
      </c>
      <c r="V1855">
        <v>6.4224879999999998E-2</v>
      </c>
      <c r="W1855">
        <v>-6.8359220000000004E-3</v>
      </c>
      <c r="X1855">
        <v>0.99791200000000002</v>
      </c>
      <c r="Y1855">
        <v>-8.8635519999999995E-2</v>
      </c>
      <c r="Z1855">
        <v>-4.5609719999999999E-4</v>
      </c>
      <c r="AA1855">
        <v>0.99606399999999995</v>
      </c>
      <c r="AB1855">
        <v>37</v>
      </c>
      <c r="AC1855">
        <v>-90.141900000000007</v>
      </c>
      <c r="AD1855">
        <v>-1.0503442700000001</v>
      </c>
      <c r="AE1855">
        <v>-8.5035000000000291</v>
      </c>
      <c r="AF1855">
        <v>-8.0587280541307198</v>
      </c>
      <c r="AG1855">
        <v>-1.0503442700000001</v>
      </c>
      <c r="AH1855">
        <v>90.170519290703595</v>
      </c>
      <c r="AI1855">
        <v>90.664726053488707</v>
      </c>
      <c r="AJ1855">
        <v>95.107075219866005</v>
      </c>
      <c r="AK1855">
        <v>90.536008693177394</v>
      </c>
      <c r="AL1855">
        <v>90.391672544916204</v>
      </c>
      <c r="AM1855">
        <v>86.317564659419304</v>
      </c>
      <c r="AN1855">
        <v>0.99999996239230104</v>
      </c>
    </row>
    <row r="1856" spans="1:40" x14ac:dyDescent="0.25">
      <c r="A1856" t="str">
        <f>"20190312160952782"</f>
        <v>20190312160952782</v>
      </c>
      <c r="B1856" t="str">
        <f>"1552378192777448"</f>
        <v>1552378192777448</v>
      </c>
      <c r="C1856" t="s">
        <v>40</v>
      </c>
      <c r="D1856">
        <v>5.2869000000000002</v>
      </c>
      <c r="E1856">
        <v>0.44135580000000002</v>
      </c>
      <c r="F1856" t="s">
        <v>74</v>
      </c>
      <c r="G1856">
        <v>-429.95819999999998</v>
      </c>
      <c r="H1856">
        <v>4.9586579999999998E-2</v>
      </c>
      <c r="I1856">
        <v>275.3827</v>
      </c>
      <c r="J1856">
        <v>-340.56880000000001</v>
      </c>
      <c r="K1856">
        <v>1.1088899999999999</v>
      </c>
      <c r="L1856">
        <v>283.86559999999997</v>
      </c>
      <c r="M1856">
        <v>-0.99994519999999998</v>
      </c>
      <c r="N1856">
        <v>0</v>
      </c>
      <c r="O1856">
        <v>-4.1400209999999998E-3</v>
      </c>
      <c r="P1856">
        <v>-0.99807159999999995</v>
      </c>
      <c r="Q1856">
        <v>-1.6147160000000001E-2</v>
      </c>
      <c r="R1856">
        <v>5.9936879999999998E-2</v>
      </c>
      <c r="S1856">
        <v>-3.0220340000000001</v>
      </c>
      <c r="T1856">
        <v>-3.5516499999999999E-2</v>
      </c>
      <c r="U1856">
        <v>-0.28451539999999997</v>
      </c>
      <c r="V1856">
        <v>6.4062209999999994E-2</v>
      </c>
      <c r="W1856">
        <v>-6.6041819999999897E-3</v>
      </c>
      <c r="X1856">
        <v>0.99792400000000003</v>
      </c>
      <c r="Y1856">
        <v>-8.9603859999999994E-2</v>
      </c>
      <c r="Z1856">
        <v>-4.768094E-4</v>
      </c>
      <c r="AA1856">
        <v>0.99597729999999995</v>
      </c>
      <c r="AB1856">
        <v>37</v>
      </c>
      <c r="AC1856">
        <v>-89.389399999999895</v>
      </c>
      <c r="AD1856">
        <v>-1.05930342</v>
      </c>
      <c r="AE1856">
        <v>-8.4828999999999706</v>
      </c>
      <c r="AF1856">
        <v>-8.11160722413155</v>
      </c>
      <c r="AG1856">
        <v>-1.05930342</v>
      </c>
      <c r="AH1856">
        <v>89.411310660245306</v>
      </c>
      <c r="AI1856">
        <v>90.676005869018894</v>
      </c>
      <c r="AJ1856">
        <v>95.183818873338296</v>
      </c>
      <c r="AK1856">
        <v>89.784758001996593</v>
      </c>
      <c r="AL1856">
        <v>90.378394526878495</v>
      </c>
      <c r="AM1856">
        <v>86.326910083906895</v>
      </c>
      <c r="AN1856">
        <v>0.99999994587298502</v>
      </c>
    </row>
    <row r="1857" spans="1:40" x14ac:dyDescent="0.25">
      <c r="A1857" t="str">
        <f>"20190312160952803"</f>
        <v>20190312160952803</v>
      </c>
      <c r="B1857" t="str">
        <f>"1552378192796967"</f>
        <v>1552378192796967</v>
      </c>
      <c r="C1857" t="s">
        <v>40</v>
      </c>
      <c r="D1857">
        <v>5.1722549999999998</v>
      </c>
      <c r="E1857">
        <v>0.44108890000000001</v>
      </c>
      <c r="F1857" t="s">
        <v>74</v>
      </c>
      <c r="G1857">
        <v>-430.92540000000002</v>
      </c>
      <c r="H1857">
        <v>8.0001420000000004E-2</v>
      </c>
      <c r="I1857">
        <v>275.29180000000002</v>
      </c>
      <c r="J1857">
        <v>-340.9298</v>
      </c>
      <c r="K1857">
        <v>1.1089009999999999</v>
      </c>
      <c r="L1857">
        <v>283.86439999999999</v>
      </c>
      <c r="M1857">
        <v>-0.99994649999999996</v>
      </c>
      <c r="N1857">
        <v>0</v>
      </c>
      <c r="O1857">
        <v>-3.7813500000000002E-3</v>
      </c>
      <c r="P1857">
        <v>-0.99809060000000005</v>
      </c>
      <c r="Q1857">
        <v>-1.5596830000000001E-2</v>
      </c>
      <c r="R1857">
        <v>5.9768120000000001E-2</v>
      </c>
      <c r="S1857">
        <v>-3.0225219999999999</v>
      </c>
      <c r="T1857">
        <v>-3.4417389999999999E-2</v>
      </c>
      <c r="U1857">
        <v>-0.28680420000000001</v>
      </c>
      <c r="V1857">
        <v>6.353644E-2</v>
      </c>
      <c r="W1857">
        <v>-6.0439669999999999E-3</v>
      </c>
      <c r="X1857">
        <v>0.99796119999999999</v>
      </c>
      <c r="Y1857">
        <v>-9.0693839999999998E-2</v>
      </c>
      <c r="Z1857">
        <v>-4.722304E-4</v>
      </c>
      <c r="AA1857">
        <v>0.99587870000000001</v>
      </c>
      <c r="AB1857">
        <v>37</v>
      </c>
      <c r="AC1857">
        <v>-89.995599999999996</v>
      </c>
      <c r="AD1857">
        <v>-1.02889957999999</v>
      </c>
      <c r="AE1857">
        <v>-8.5725999999999605</v>
      </c>
      <c r="AF1857">
        <v>-8.2311518638209709</v>
      </c>
      <c r="AG1857">
        <v>-1.02889957999999</v>
      </c>
      <c r="AH1857">
        <v>90.015714026699797</v>
      </c>
      <c r="AI1857">
        <v>90.652154366718094</v>
      </c>
      <c r="AJ1857">
        <v>95.224669550834903</v>
      </c>
      <c r="AK1857">
        <v>90.397119794203704</v>
      </c>
      <c r="AL1857">
        <v>90.346295914958603</v>
      </c>
      <c r="AM1857">
        <v>86.357109703754801</v>
      </c>
      <c r="AN1857">
        <v>0.99999998272520496</v>
      </c>
    </row>
    <row r="1858" spans="1:40" x14ac:dyDescent="0.25">
      <c r="A1858" t="str">
        <f>"20190312160952826"</f>
        <v>20190312160952826</v>
      </c>
      <c r="B1858" t="str">
        <f>"1552378192817464"</f>
        <v>1552378192817464</v>
      </c>
      <c r="C1858" t="s">
        <v>40</v>
      </c>
      <c r="D1858">
        <v>5.0868779999999996</v>
      </c>
      <c r="E1858">
        <v>0.44084479999999998</v>
      </c>
      <c r="F1858" t="s">
        <v>74</v>
      </c>
      <c r="G1858">
        <v>-437.2432</v>
      </c>
      <c r="H1858">
        <v>8.0000989999999994E-2</v>
      </c>
      <c r="I1858">
        <v>274.63799999999998</v>
      </c>
      <c r="J1858">
        <v>-341.30889999999999</v>
      </c>
      <c r="K1858">
        <v>1.108914</v>
      </c>
      <c r="L1858">
        <v>283.86329999999998</v>
      </c>
      <c r="M1858">
        <v>-0.99994780000000005</v>
      </c>
      <c r="N1858">
        <v>0</v>
      </c>
      <c r="O1858">
        <v>-3.4210320000000001E-3</v>
      </c>
      <c r="P1858">
        <v>-0.99808220000000003</v>
      </c>
      <c r="Q1858">
        <v>-1.560243E-2</v>
      </c>
      <c r="R1858">
        <v>5.9907620000000002E-2</v>
      </c>
      <c r="S1858">
        <v>-3.022583</v>
      </c>
      <c r="T1858">
        <v>-3.2289739999999997E-2</v>
      </c>
      <c r="U1858">
        <v>-0.2895508</v>
      </c>
      <c r="V1858">
        <v>6.3316289999999997E-2</v>
      </c>
      <c r="W1858">
        <v>-6.0397929999999999E-3</v>
      </c>
      <c r="X1858">
        <v>0.99797519999999995</v>
      </c>
      <c r="Y1858">
        <v>-9.194811E-2</v>
      </c>
      <c r="Z1858">
        <v>-4.535357E-4</v>
      </c>
      <c r="AA1858">
        <v>0.99576370000000003</v>
      </c>
      <c r="AB1858">
        <v>37</v>
      </c>
      <c r="AC1858">
        <v>-95.934299999999993</v>
      </c>
      <c r="AD1858">
        <v>-1.0289130099999999</v>
      </c>
      <c r="AE1858">
        <v>-9.2253000000000007</v>
      </c>
      <c r="AF1858">
        <v>-8.8960225592519198</v>
      </c>
      <c r="AG1858">
        <v>-1.0289130099999999</v>
      </c>
      <c r="AH1858">
        <v>95.954363617143002</v>
      </c>
      <c r="AI1858">
        <v>90.611732541414</v>
      </c>
      <c r="AJ1858">
        <v>95.296806259257593</v>
      </c>
      <c r="AK1858">
        <v>96.371353505737204</v>
      </c>
      <c r="AL1858">
        <v>90.346056763881094</v>
      </c>
      <c r="AM1858">
        <v>86.3697490801963</v>
      </c>
      <c r="AN1858">
        <v>0.99999996574694205</v>
      </c>
    </row>
    <row r="1859" spans="1:40" x14ac:dyDescent="0.25">
      <c r="A1859" t="str">
        <f>"20190312160952846"</f>
        <v>20190312160952846</v>
      </c>
      <c r="B1859" t="str">
        <f>"1552378192837000"</f>
        <v>1552378192837000</v>
      </c>
      <c r="C1859" t="s">
        <v>40</v>
      </c>
      <c r="D1859">
        <v>5.1608010000000002</v>
      </c>
      <c r="E1859">
        <v>0.44069510000000001</v>
      </c>
      <c r="F1859" t="s">
        <v>43</v>
      </c>
      <c r="G1859">
        <v>-451.95830000000001</v>
      </c>
      <c r="H1859">
        <v>-0.05</v>
      </c>
      <c r="I1859">
        <v>273.21269999999998</v>
      </c>
      <c r="J1859">
        <v>-341.65249999999997</v>
      </c>
      <c r="K1859">
        <v>1.108924</v>
      </c>
      <c r="L1859">
        <v>283.86250000000001</v>
      </c>
      <c r="M1859">
        <v>-0.99994879999999997</v>
      </c>
      <c r="N1859">
        <v>0</v>
      </c>
      <c r="O1859">
        <v>-3.1062189999999999E-3</v>
      </c>
      <c r="P1859">
        <v>-0.99808439999999998</v>
      </c>
      <c r="Q1859">
        <v>-1.5688799999999999E-2</v>
      </c>
      <c r="R1859">
        <v>5.9847230000000001E-2</v>
      </c>
      <c r="S1859">
        <v>-3.0227360000000001</v>
      </c>
      <c r="T1859">
        <v>-3.1659359999999998E-2</v>
      </c>
      <c r="U1859">
        <v>-0.29095460000000001</v>
      </c>
      <c r="V1859">
        <v>6.294189E-2</v>
      </c>
      <c r="W1859">
        <v>-6.1176819999999897E-3</v>
      </c>
      <c r="X1859">
        <v>0.99799839999999995</v>
      </c>
      <c r="Y1859">
        <v>-9.2715140000000001E-2</v>
      </c>
      <c r="Z1859">
        <v>-4.5194659999999999E-4</v>
      </c>
      <c r="AA1859">
        <v>0.99569260000000004</v>
      </c>
      <c r="AB1859">
        <v>37</v>
      </c>
      <c r="AC1859">
        <v>-110.3058</v>
      </c>
      <c r="AD1859">
        <v>-1.1589240000000001</v>
      </c>
      <c r="AE1859">
        <v>-10.649800000000001</v>
      </c>
      <c r="AF1859">
        <v>-10.305971628560201</v>
      </c>
      <c r="AG1859">
        <v>-1.1589240000000001</v>
      </c>
      <c r="AH1859">
        <v>110.326283964442</v>
      </c>
      <c r="AI1859">
        <v>90.599233570786396</v>
      </c>
      <c r="AJ1859">
        <v>95.336716152154096</v>
      </c>
      <c r="AK1859">
        <v>110.812657622896</v>
      </c>
      <c r="AL1859">
        <v>90.350519560533201</v>
      </c>
      <c r="AM1859">
        <v>86.391242145300595</v>
      </c>
      <c r="AN1859">
        <v>0.99999995697619104</v>
      </c>
    </row>
    <row r="1860" spans="1:40" x14ac:dyDescent="0.25">
      <c r="A1860" t="str">
        <f>"20190312160952869"</f>
        <v>20190312160952869</v>
      </c>
      <c r="B1860" t="str">
        <f>"1552378192857479"</f>
        <v>1552378192857479</v>
      </c>
      <c r="C1860" t="s">
        <v>40</v>
      </c>
      <c r="D1860">
        <v>5.0875579999999996</v>
      </c>
      <c r="E1860">
        <v>0.44043739999999998</v>
      </c>
      <c r="F1860" t="s">
        <v>43</v>
      </c>
      <c r="G1860">
        <v>-450.7774</v>
      </c>
      <c r="H1860">
        <v>-0.05</v>
      </c>
      <c r="I1860">
        <v>273.30709999999999</v>
      </c>
      <c r="J1860">
        <v>-342.017</v>
      </c>
      <c r="K1860">
        <v>1.10893</v>
      </c>
      <c r="L1860">
        <v>283.86160000000001</v>
      </c>
      <c r="M1860">
        <v>-0.99994970000000005</v>
      </c>
      <c r="N1860">
        <v>0</v>
      </c>
      <c r="O1860">
        <v>-2.7815019999999999E-3</v>
      </c>
      <c r="P1860">
        <v>-0.99808960000000002</v>
      </c>
      <c r="Q1860">
        <v>-1.564571E-2</v>
      </c>
      <c r="R1860">
        <v>5.97735E-2</v>
      </c>
      <c r="S1860">
        <v>-3.0227970000000002</v>
      </c>
      <c r="T1860">
        <v>-3.2102579999999999E-2</v>
      </c>
      <c r="U1860">
        <v>-0.29238890000000001</v>
      </c>
      <c r="V1860">
        <v>6.2544260000000004E-2</v>
      </c>
      <c r="W1860">
        <v>-6.0658040000000002E-3</v>
      </c>
      <c r="X1860">
        <v>0.99802369999999996</v>
      </c>
      <c r="Y1860">
        <v>-9.3504439999999994E-2</v>
      </c>
      <c r="Z1860">
        <v>-4.6587540000000001E-4</v>
      </c>
      <c r="AA1860">
        <v>0.99561880000000003</v>
      </c>
      <c r="AB1860">
        <v>37</v>
      </c>
      <c r="AC1860">
        <v>-108.7604</v>
      </c>
      <c r="AD1860">
        <v>-1.15893</v>
      </c>
      <c r="AE1860">
        <v>-10.554500000000001</v>
      </c>
      <c r="AF1860">
        <v>-10.2507747722336</v>
      </c>
      <c r="AG1860">
        <v>-1.15893</v>
      </c>
      <c r="AH1860">
        <v>108.777101959332</v>
      </c>
      <c r="AI1860">
        <v>90.607723734619299</v>
      </c>
      <c r="AJ1860">
        <v>95.383456065604904</v>
      </c>
      <c r="AK1860">
        <v>109.265179324645</v>
      </c>
      <c r="AL1860">
        <v>90.347547119972603</v>
      </c>
      <c r="AM1860">
        <v>86.414071154215094</v>
      </c>
      <c r="AN1860">
        <v>0.99999994209940002</v>
      </c>
    </row>
    <row r="1861" spans="1:40" x14ac:dyDescent="0.25">
      <c r="A1861" t="str">
        <f>"20190312160952893"</f>
        <v>20190312160952893</v>
      </c>
      <c r="B1861" t="str">
        <f>"1552378192887735"</f>
        <v>1552378192887735</v>
      </c>
      <c r="C1861" t="s">
        <v>40</v>
      </c>
      <c r="D1861">
        <v>5.1349929999999997</v>
      </c>
      <c r="E1861">
        <v>0.47909560000000001</v>
      </c>
      <c r="F1861" t="s">
        <v>43</v>
      </c>
      <c r="G1861">
        <v>-454.88819999999998</v>
      </c>
      <c r="H1861">
        <v>-0.05</v>
      </c>
      <c r="I1861">
        <v>272.8621</v>
      </c>
      <c r="J1861">
        <v>-342.4212</v>
      </c>
      <c r="K1861">
        <v>1.10893</v>
      </c>
      <c r="L1861">
        <v>283.86079999999998</v>
      </c>
      <c r="M1861">
        <v>-0.99995049999999996</v>
      </c>
      <c r="N1861">
        <v>0</v>
      </c>
      <c r="O1861">
        <v>-2.429947E-3</v>
      </c>
      <c r="P1861">
        <v>-0.99805920000000004</v>
      </c>
      <c r="Q1861">
        <v>-1.61776E-2</v>
      </c>
      <c r="R1861">
        <v>6.0137709999999997E-2</v>
      </c>
      <c r="S1861">
        <v>-3.022888</v>
      </c>
      <c r="T1861">
        <v>-3.103817E-2</v>
      </c>
      <c r="U1861">
        <v>-0.29458620000000002</v>
      </c>
      <c r="V1861">
        <v>6.2557269999999998E-2</v>
      </c>
      <c r="W1861">
        <v>-6.5890380000000002E-3</v>
      </c>
      <c r="X1861">
        <v>0.99801960000000001</v>
      </c>
      <c r="Y1861">
        <v>-9.4568739999999998E-2</v>
      </c>
      <c r="Z1861">
        <v>-4.5945190000000003E-4</v>
      </c>
      <c r="AA1861">
        <v>0.99551820000000002</v>
      </c>
      <c r="AB1861">
        <v>37</v>
      </c>
      <c r="AC1861">
        <v>-112.466999999999</v>
      </c>
      <c r="AD1861">
        <v>-1.15893</v>
      </c>
      <c r="AE1861">
        <v>-10.9986999999999</v>
      </c>
      <c r="AF1861">
        <v>-10.724237986302899</v>
      </c>
      <c r="AG1861">
        <v>-1.15893</v>
      </c>
      <c r="AH1861">
        <v>112.481564696437</v>
      </c>
      <c r="AI1861">
        <v>90.587649377081107</v>
      </c>
      <c r="AJ1861">
        <v>95.446242186019404</v>
      </c>
      <c r="AK1861">
        <v>112.9975875658</v>
      </c>
      <c r="AL1861">
        <v>90.377526809777294</v>
      </c>
      <c r="AM1861">
        <v>86.413312486363395</v>
      </c>
      <c r="AN1861">
        <v>0.99999997471788804</v>
      </c>
    </row>
    <row r="1862" spans="1:40" x14ac:dyDescent="0.25">
      <c r="A1862" t="str">
        <f>"20190312160952915"</f>
        <v>20190312160952915</v>
      </c>
      <c r="B1862" t="str">
        <f>"1552378192907259"</f>
        <v>1552378192907259</v>
      </c>
      <c r="C1862" t="s">
        <v>40</v>
      </c>
      <c r="D1862">
        <v>5.190188</v>
      </c>
      <c r="E1862">
        <v>0.50074319999999894</v>
      </c>
      <c r="F1862" t="s">
        <v>42</v>
      </c>
      <c r="G1862">
        <v>-343.3218</v>
      </c>
      <c r="H1862">
        <v>1.0273540000000001</v>
      </c>
      <c r="I1862">
        <v>283.86430000000001</v>
      </c>
      <c r="J1862">
        <v>-342.77719999999999</v>
      </c>
      <c r="K1862">
        <v>1.108938</v>
      </c>
      <c r="L1862">
        <v>283.8603</v>
      </c>
      <c r="M1862">
        <v>-0.99995089999999998</v>
      </c>
      <c r="N1862">
        <v>0</v>
      </c>
      <c r="O1862">
        <v>-2.1242560000000001E-3</v>
      </c>
      <c r="P1862">
        <v>-0.99801609999999996</v>
      </c>
      <c r="Q1862">
        <v>-1.6577740000000001E-2</v>
      </c>
      <c r="R1862">
        <v>6.0735829999999998E-2</v>
      </c>
      <c r="S1862">
        <v>-3.0007929999999998</v>
      </c>
      <c r="T1862">
        <v>-0.27195330000000001</v>
      </c>
      <c r="U1862">
        <v>1.077271E-2</v>
      </c>
      <c r="V1862">
        <v>6.2849849999999999E-2</v>
      </c>
      <c r="W1862">
        <v>-6.9822520000000004E-3</v>
      </c>
      <c r="X1862">
        <v>0.99799859999999896</v>
      </c>
      <c r="Y1862">
        <v>5.6822690000000002E-3</v>
      </c>
      <c r="Z1862">
        <v>4.490866E-4</v>
      </c>
      <c r="AA1862">
        <v>0.99998370000000003</v>
      </c>
      <c r="AB1862">
        <v>37</v>
      </c>
      <c r="AC1862">
        <v>-0.54460000000000197</v>
      </c>
      <c r="AD1862">
        <v>-8.1583999999999796E-2</v>
      </c>
      <c r="AE1862">
        <v>4.0000000000190898E-3</v>
      </c>
      <c r="AF1862">
        <v>5.0437314544099204E-3</v>
      </c>
      <c r="AG1862">
        <v>-8.1583999999999796E-2</v>
      </c>
      <c r="AH1862">
        <v>0.53263765265934204</v>
      </c>
      <c r="AI1862">
        <v>98.7079174970102</v>
      </c>
      <c r="AJ1862">
        <v>89.457462523070802</v>
      </c>
      <c r="AK1862">
        <v>0.53887313656688995</v>
      </c>
      <c r="AL1862">
        <v>90.400056809506296</v>
      </c>
      <c r="AM1862">
        <v>86.396506041552101</v>
      </c>
      <c r="AN1862">
        <v>1.0000000305449801</v>
      </c>
    </row>
    <row r="1863" spans="1:40" x14ac:dyDescent="0.25">
      <c r="A1863" t="str">
        <f>"20190312160952936"</f>
        <v>20190312160952936</v>
      </c>
      <c r="B1863" t="str">
        <f>"1552378192927752"</f>
        <v>1552378192927752</v>
      </c>
      <c r="C1863" t="s">
        <v>40</v>
      </c>
      <c r="D1863">
        <v>5.0654779999999997</v>
      </c>
      <c r="E1863">
        <v>0.51058709999999996</v>
      </c>
      <c r="F1863" t="s">
        <v>42</v>
      </c>
      <c r="G1863">
        <v>-343.63909999999998</v>
      </c>
      <c r="H1863">
        <v>0.9960772</v>
      </c>
      <c r="I1863">
        <v>283.9135</v>
      </c>
      <c r="J1863">
        <v>-343.14420000000001</v>
      </c>
      <c r="K1863">
        <v>1.10894</v>
      </c>
      <c r="L1863">
        <v>283.85969999999998</v>
      </c>
      <c r="M1863">
        <v>-0.99995160000000005</v>
      </c>
      <c r="N1863">
        <v>0</v>
      </c>
      <c r="O1863">
        <v>-1.8117599999999999E-3</v>
      </c>
      <c r="P1863">
        <v>-0.99796560000000001</v>
      </c>
      <c r="Q1863">
        <v>-1.7017089999999999E-2</v>
      </c>
      <c r="R1863">
        <v>6.1443730000000002E-2</v>
      </c>
      <c r="S1863">
        <v>-2.9883419999999998</v>
      </c>
      <c r="T1863">
        <v>-0.3913857</v>
      </c>
      <c r="U1863">
        <v>0.18292240000000001</v>
      </c>
      <c r="V1863">
        <v>6.3245590000000004E-2</v>
      </c>
      <c r="W1863">
        <v>-7.414828E-3</v>
      </c>
      <c r="X1863">
        <v>0.99797049999999998</v>
      </c>
      <c r="Y1863">
        <v>6.2359970000000001E-2</v>
      </c>
      <c r="Z1863">
        <v>4.2986259999999998E-3</v>
      </c>
      <c r="AA1863">
        <v>0.9980445</v>
      </c>
      <c r="AB1863">
        <v>37</v>
      </c>
      <c r="AC1863">
        <v>-0.49489999999997197</v>
      </c>
      <c r="AD1863">
        <v>-0.1128628</v>
      </c>
      <c r="AE1863">
        <v>5.3800000000023801E-2</v>
      </c>
      <c r="AF1863">
        <v>5.2022622355251201E-2</v>
      </c>
      <c r="AG1863">
        <v>-0.1128628</v>
      </c>
      <c r="AH1863">
        <v>0.47061216809128598</v>
      </c>
      <c r="AI1863">
        <v>103.40735608599699</v>
      </c>
      <c r="AJ1863">
        <v>83.6919947657791</v>
      </c>
      <c r="AK1863">
        <v>0.48674446850081199</v>
      </c>
      <c r="AL1863">
        <v>90.424842221302001</v>
      </c>
      <c r="AM1863">
        <v>86.373774823298803</v>
      </c>
      <c r="AN1863">
        <v>1.00000005159948</v>
      </c>
    </row>
    <row r="1864" spans="1:40" x14ac:dyDescent="0.25">
      <c r="A1864" t="str">
        <f>"20190312160952959"</f>
        <v>20190312160952959</v>
      </c>
      <c r="B1864" t="str">
        <f>"1552378192947271"</f>
        <v>1552378192947271</v>
      </c>
      <c r="C1864" t="s">
        <v>40</v>
      </c>
      <c r="D1864">
        <v>5.5432100000000002</v>
      </c>
      <c r="E1864">
        <v>0.5144031</v>
      </c>
      <c r="F1864" t="s">
        <v>42</v>
      </c>
      <c r="G1864">
        <v>-343.96510000000001</v>
      </c>
      <c r="H1864">
        <v>0.98042989999999997</v>
      </c>
      <c r="I1864">
        <v>283.93189999999998</v>
      </c>
      <c r="J1864">
        <v>-343.5206</v>
      </c>
      <c r="K1864">
        <v>1.1089370000000001</v>
      </c>
      <c r="L1864">
        <v>283.85930000000002</v>
      </c>
      <c r="M1864">
        <v>-0.99995210000000001</v>
      </c>
      <c r="N1864">
        <v>0</v>
      </c>
      <c r="O1864">
        <v>-1.4925779999999901E-3</v>
      </c>
      <c r="P1864">
        <v>-0.99787650000000006</v>
      </c>
      <c r="Q1864">
        <v>-1.7100509999999999E-2</v>
      </c>
      <c r="R1864">
        <v>6.2848429999999997E-2</v>
      </c>
      <c r="S1864">
        <v>-2.981995</v>
      </c>
      <c r="T1864">
        <v>-0.46676590000000001</v>
      </c>
      <c r="U1864">
        <v>0.2621155</v>
      </c>
      <c r="V1864">
        <v>6.4331579999999999E-2</v>
      </c>
      <c r="W1864">
        <v>-7.4925119999999998E-3</v>
      </c>
      <c r="X1864">
        <v>0.99790040000000002</v>
      </c>
      <c r="Y1864">
        <v>8.796756E-2</v>
      </c>
      <c r="Z1864">
        <v>7.0618959999999998E-3</v>
      </c>
      <c r="AA1864">
        <v>0.99609829999999999</v>
      </c>
      <c r="AB1864">
        <v>37</v>
      </c>
      <c r="AC1864">
        <v>-0.444500000000005</v>
      </c>
      <c r="AD1864">
        <v>-0.12850710000000001</v>
      </c>
      <c r="AE1864">
        <v>7.2599999999965803E-2</v>
      </c>
      <c r="AF1864">
        <v>6.7748041687229296E-2</v>
      </c>
      <c r="AG1864">
        <v>-0.12850710000000001</v>
      </c>
      <c r="AH1864">
        <v>0.41093682434238998</v>
      </c>
      <c r="AI1864">
        <v>107.14773336692301</v>
      </c>
      <c r="AJ1864">
        <v>80.638288586080805</v>
      </c>
      <c r="AK1864">
        <v>0.435858859613376</v>
      </c>
      <c r="AL1864">
        <v>90.429293354050102</v>
      </c>
      <c r="AM1864">
        <v>86.311420962251006</v>
      </c>
      <c r="AN1864">
        <v>0.99999994912076196</v>
      </c>
    </row>
    <row r="1865" spans="1:40" x14ac:dyDescent="0.25">
      <c r="A1865" t="str">
        <f>"20190312160952982"</f>
        <v>20190312160952982</v>
      </c>
      <c r="B1865" t="str">
        <f>"1552378192977528"</f>
        <v>1552378192977528</v>
      </c>
      <c r="C1865" t="s">
        <v>40</v>
      </c>
      <c r="D1865">
        <v>5.0072950000000001</v>
      </c>
      <c r="E1865">
        <v>0.51895059999999904</v>
      </c>
      <c r="F1865" t="s">
        <v>42</v>
      </c>
      <c r="G1865">
        <v>-344.29950000000002</v>
      </c>
      <c r="H1865">
        <v>0.98128009999999999</v>
      </c>
      <c r="I1865">
        <v>283.93729999999999</v>
      </c>
      <c r="J1865">
        <v>-343.89640000000003</v>
      </c>
      <c r="K1865">
        <v>1.108932</v>
      </c>
      <c r="L1865">
        <v>283.85910000000001</v>
      </c>
      <c r="M1865">
        <v>-0.99995239999999996</v>
      </c>
      <c r="N1865">
        <v>0</v>
      </c>
      <c r="O1865">
        <v>-1.174228E-3</v>
      </c>
      <c r="P1865">
        <v>-0.99780869999999999</v>
      </c>
      <c r="Q1865">
        <v>-1.7492890000000001E-2</v>
      </c>
      <c r="R1865">
        <v>6.3810969999999995E-2</v>
      </c>
      <c r="S1865">
        <v>-2.9793400000000001</v>
      </c>
      <c r="T1865">
        <v>-0.4884347</v>
      </c>
      <c r="U1865">
        <v>0.29635620000000001</v>
      </c>
      <c r="V1865">
        <v>6.4976039999999999E-2</v>
      </c>
      <c r="W1865">
        <v>-7.8786569999999903E-3</v>
      </c>
      <c r="X1865">
        <v>0.99785570000000001</v>
      </c>
      <c r="Y1865">
        <v>9.8828410000000005E-2</v>
      </c>
      <c r="Z1865">
        <v>8.2186389999999998E-3</v>
      </c>
      <c r="AA1865">
        <v>0.99507060000000003</v>
      </c>
      <c r="AB1865">
        <v>37</v>
      </c>
      <c r="AC1865">
        <v>-0.40309999999999402</v>
      </c>
      <c r="AD1865">
        <v>-0.12765190000000001</v>
      </c>
      <c r="AE1865">
        <v>7.8199999999981104E-2</v>
      </c>
      <c r="AF1865">
        <v>7.17399139802819E-2</v>
      </c>
      <c r="AG1865">
        <v>-0.12765190000000001</v>
      </c>
      <c r="AH1865">
        <v>0.36749128021440097</v>
      </c>
      <c r="AI1865">
        <v>108.825523248569</v>
      </c>
      <c r="AJ1865">
        <v>78.9539085627205</v>
      </c>
      <c r="AK1865">
        <v>0.39559001992609399</v>
      </c>
      <c r="AL1865">
        <v>90.451418474279095</v>
      </c>
      <c r="AM1865">
        <v>86.274406697594202</v>
      </c>
      <c r="AN1865">
        <v>0.99999997851634703</v>
      </c>
    </row>
    <row r="1866" spans="1:40" x14ac:dyDescent="0.25">
      <c r="A1866" t="str">
        <f>"20190312160953015"</f>
        <v>20190312160953015</v>
      </c>
      <c r="B1866" t="str">
        <f>"1552378193007785"</f>
        <v>1552378193007785</v>
      </c>
      <c r="C1866" t="s">
        <v>40</v>
      </c>
      <c r="D1866">
        <v>4.9769880000000004</v>
      </c>
      <c r="E1866">
        <v>0.5208045</v>
      </c>
      <c r="F1866" t="s">
        <v>42</v>
      </c>
      <c r="G1866">
        <v>-344.63319999999999</v>
      </c>
      <c r="H1866">
        <v>0.97989119999999996</v>
      </c>
      <c r="I1866">
        <v>283.94220000000001</v>
      </c>
      <c r="J1866">
        <v>-344.45949999999999</v>
      </c>
      <c r="K1866">
        <v>1.108938</v>
      </c>
      <c r="L1866">
        <v>283.85890000000001</v>
      </c>
      <c r="M1866">
        <v>-0.99995270000000003</v>
      </c>
      <c r="N1866">
        <v>0</v>
      </c>
      <c r="O1866">
        <v>-6.9592039999999997E-4</v>
      </c>
      <c r="P1866">
        <v>-0.99778840000000002</v>
      </c>
      <c r="Q1866">
        <v>-1.7372160000000001E-2</v>
      </c>
      <c r="R1866">
        <v>6.4160759999999997E-2</v>
      </c>
      <c r="S1866">
        <v>-2.9760439999999999</v>
      </c>
      <c r="T1866">
        <v>-0.52121569999999995</v>
      </c>
      <c r="U1866">
        <v>0.33477780000000001</v>
      </c>
      <c r="V1866">
        <v>6.484877E-2</v>
      </c>
      <c r="W1866">
        <v>-7.747019E-3</v>
      </c>
      <c r="X1866">
        <v>0.997865</v>
      </c>
      <c r="Y1866">
        <v>0.11080139999999999</v>
      </c>
      <c r="Z1866">
        <v>9.7204300000000004E-3</v>
      </c>
      <c r="AA1866">
        <v>0.99379499999999998</v>
      </c>
      <c r="AB1866">
        <v>37</v>
      </c>
      <c r="AC1866">
        <v>-0.173699999999996</v>
      </c>
      <c r="AD1866">
        <v>-0.12904679999999899</v>
      </c>
      <c r="AE1866">
        <v>8.3300000000008298E-2</v>
      </c>
      <c r="AF1866">
        <v>5.7581588580306403E-2</v>
      </c>
      <c r="AG1866">
        <v>-0.12904679999999899</v>
      </c>
      <c r="AH1866">
        <v>0.119857077917465</v>
      </c>
      <c r="AI1866">
        <v>134.141896135167</v>
      </c>
      <c r="AJ1866">
        <v>64.339497118285905</v>
      </c>
      <c r="AK1866">
        <v>0.185295534378422</v>
      </c>
      <c r="AL1866">
        <v>90.443875946420206</v>
      </c>
      <c r="AM1866">
        <v>86.281718164408503</v>
      </c>
      <c r="AN1866">
        <v>0.99999996874944896</v>
      </c>
    </row>
    <row r="1867" spans="1:40" x14ac:dyDescent="0.25">
      <c r="A1867" t="str">
        <f>"20190312160953037"</f>
        <v>20190312160953037</v>
      </c>
      <c r="B1867" t="str">
        <f>"1552378193027307"</f>
        <v>1552378193027307</v>
      </c>
      <c r="C1867" t="s">
        <v>40</v>
      </c>
      <c r="D1867">
        <v>5.258108</v>
      </c>
      <c r="E1867">
        <v>0.52151959999999997</v>
      </c>
      <c r="F1867" t="s">
        <v>42</v>
      </c>
      <c r="G1867">
        <v>-345.29169999999999</v>
      </c>
      <c r="H1867">
        <v>0.95604440000000002</v>
      </c>
      <c r="I1867">
        <v>283.95729999999998</v>
      </c>
      <c r="J1867">
        <v>-344.827</v>
      </c>
      <c r="K1867">
        <v>1.1089389999999999</v>
      </c>
      <c r="L1867">
        <v>283.85890000000001</v>
      </c>
      <c r="M1867">
        <v>-0.99995290000000003</v>
      </c>
      <c r="N1867">
        <v>0</v>
      </c>
      <c r="O1867">
        <v>-3.835218E-4</v>
      </c>
      <c r="P1867">
        <v>-0.99781240000000004</v>
      </c>
      <c r="Q1867">
        <v>-1.7125459999999999E-2</v>
      </c>
      <c r="R1867">
        <v>6.3852279999999997E-2</v>
      </c>
      <c r="S1867">
        <v>-2.974548</v>
      </c>
      <c r="T1867">
        <v>-0.54658629999999997</v>
      </c>
      <c r="U1867">
        <v>0.35098269999999998</v>
      </c>
      <c r="V1867">
        <v>6.4228679999999996E-2</v>
      </c>
      <c r="W1867">
        <v>-7.4925590000000002E-3</v>
      </c>
      <c r="X1867">
        <v>0.99790710000000005</v>
      </c>
      <c r="Y1867">
        <v>0.115647</v>
      </c>
      <c r="Z1867">
        <v>1.0571240000000001E-2</v>
      </c>
      <c r="AA1867">
        <v>0.99323410000000001</v>
      </c>
      <c r="AB1867">
        <v>37</v>
      </c>
      <c r="AC1867">
        <v>-0.46469999999999301</v>
      </c>
      <c r="AD1867">
        <v>-0.15289459999999999</v>
      </c>
      <c r="AE1867">
        <v>9.8399999999969595E-2</v>
      </c>
      <c r="AF1867">
        <v>8.9323648243901904E-2</v>
      </c>
      <c r="AG1867">
        <v>-0.15289459999999999</v>
      </c>
      <c r="AH1867">
        <v>0.42103949142800501</v>
      </c>
      <c r="AI1867">
        <v>109.556561477489</v>
      </c>
      <c r="AJ1867">
        <v>78.022273517562297</v>
      </c>
      <c r="AK1867">
        <v>0.45676003129292497</v>
      </c>
      <c r="AL1867">
        <v>90.429296016168294</v>
      </c>
      <c r="AM1867">
        <v>86.317329346866401</v>
      </c>
      <c r="AN1867">
        <v>1.0000000210026601</v>
      </c>
    </row>
    <row r="1868" spans="1:40" x14ac:dyDescent="0.25">
      <c r="A1868" t="str">
        <f>"20190312160953059"</f>
        <v>20190312160953059</v>
      </c>
      <c r="B1868" t="str">
        <f>"1552378193047800"</f>
        <v>1552378193047800</v>
      </c>
      <c r="C1868" t="s">
        <v>40</v>
      </c>
      <c r="D1868">
        <v>5.2367780000000002</v>
      </c>
      <c r="E1868">
        <v>0.52327820000000003</v>
      </c>
      <c r="F1868" t="s">
        <v>42</v>
      </c>
      <c r="G1868">
        <v>-345.62939999999998</v>
      </c>
      <c r="H1868">
        <v>0.96101639999999999</v>
      </c>
      <c r="I1868">
        <v>283.95530000000002</v>
      </c>
      <c r="J1868">
        <v>-345.19330000000002</v>
      </c>
      <c r="K1868">
        <v>1.1089389999999999</v>
      </c>
      <c r="L1868">
        <v>283.85910000000001</v>
      </c>
      <c r="M1868">
        <v>-0.99995290000000003</v>
      </c>
      <c r="N1868">
        <v>0</v>
      </c>
      <c r="O1868" s="1">
        <v>-7.1241530000000001E-5</v>
      </c>
      <c r="P1868">
        <v>-0.99781339999999996</v>
      </c>
      <c r="Q1868">
        <v>-1.795515E-2</v>
      </c>
      <c r="R1868">
        <v>6.3608849999999995E-2</v>
      </c>
      <c r="S1868">
        <v>-2.974396</v>
      </c>
      <c r="T1868">
        <v>-0.5483981</v>
      </c>
      <c r="U1868">
        <v>0.35589599999999999</v>
      </c>
      <c r="V1868">
        <v>6.3673140000000003E-2</v>
      </c>
      <c r="W1868">
        <v>-8.3147810000000003E-3</v>
      </c>
      <c r="X1868">
        <v>0.99793620000000005</v>
      </c>
      <c r="Y1868">
        <v>0.1169321</v>
      </c>
      <c r="Z1868">
        <v>1.06654E-2</v>
      </c>
      <c r="AA1868">
        <v>0.99308260000000004</v>
      </c>
      <c r="AB1868">
        <v>37</v>
      </c>
      <c r="AC1868">
        <v>-0.43609999999995303</v>
      </c>
      <c r="AD1868">
        <v>-0.14792259999999899</v>
      </c>
      <c r="AE1868">
        <v>9.6200000000010194E-2</v>
      </c>
      <c r="AF1868">
        <v>8.6717003283362001E-2</v>
      </c>
      <c r="AG1868">
        <v>-0.14792259999999899</v>
      </c>
      <c r="AH1868">
        <v>0.39297797308001797</v>
      </c>
      <c r="AI1868">
        <v>110.181996835303</v>
      </c>
      <c r="AJ1868">
        <v>77.556171706063395</v>
      </c>
      <c r="AK1868">
        <v>0.42875706591878499</v>
      </c>
      <c r="AL1868">
        <v>90.476407333280306</v>
      </c>
      <c r="AM1868">
        <v>86.349201912309496</v>
      </c>
      <c r="AN1868">
        <v>1.00000003180548</v>
      </c>
    </row>
    <row r="1869" spans="1:40" x14ac:dyDescent="0.25">
      <c r="A1869" t="str">
        <f>"20190312160953081"</f>
        <v>20190312160953081</v>
      </c>
      <c r="B1869" t="str">
        <f>"1552378193077079"</f>
        <v>1552378193077079</v>
      </c>
      <c r="C1869" t="s">
        <v>40</v>
      </c>
      <c r="D1869">
        <v>4.9538089999999997</v>
      </c>
      <c r="E1869">
        <v>0.52484560000000002</v>
      </c>
      <c r="F1869" t="s">
        <v>42</v>
      </c>
      <c r="G1869">
        <v>-345.96629999999999</v>
      </c>
      <c r="H1869">
        <v>0.96313499999999996</v>
      </c>
      <c r="I1869">
        <v>283.95499999999998</v>
      </c>
      <c r="J1869">
        <v>-345.57409999999999</v>
      </c>
      <c r="K1869">
        <v>1.10894</v>
      </c>
      <c r="L1869">
        <v>283.85930000000002</v>
      </c>
      <c r="M1869">
        <v>-0.99995290000000003</v>
      </c>
      <c r="N1869">
        <v>0</v>
      </c>
      <c r="O1869">
        <v>2.5314240000000001E-4</v>
      </c>
      <c r="P1869">
        <v>-0.99780429999999998</v>
      </c>
      <c r="Q1869">
        <v>-1.833075E-2</v>
      </c>
      <c r="R1869">
        <v>6.3646469999999997E-2</v>
      </c>
      <c r="S1869">
        <v>-2.9730219999999998</v>
      </c>
      <c r="T1869">
        <v>-0.5607548</v>
      </c>
      <c r="U1869">
        <v>0.36828610000000001</v>
      </c>
      <c r="V1869">
        <v>6.3386869999999998E-2</v>
      </c>
      <c r="W1869">
        <v>-8.6830629999999995E-3</v>
      </c>
      <c r="X1869">
        <v>0.99795129999999999</v>
      </c>
      <c r="Y1869">
        <v>0.12059499999999999</v>
      </c>
      <c r="Z1869">
        <v>1.1184619999999999E-2</v>
      </c>
      <c r="AA1869">
        <v>0.99263880000000004</v>
      </c>
      <c r="AB1869">
        <v>38</v>
      </c>
      <c r="AC1869">
        <v>-0.39220000000000199</v>
      </c>
      <c r="AD1869">
        <v>-0.14580499999999899</v>
      </c>
      <c r="AE1869">
        <v>9.5699999999965202E-2</v>
      </c>
      <c r="AF1869">
        <v>8.4569434289715903E-2</v>
      </c>
      <c r="AG1869">
        <v>-0.14580499999999899</v>
      </c>
      <c r="AH1869">
        <v>0.346965833033481</v>
      </c>
      <c r="AI1869">
        <v>112.209014810041</v>
      </c>
      <c r="AJ1869">
        <v>76.301826602277998</v>
      </c>
      <c r="AK1869">
        <v>0.38574133371172498</v>
      </c>
      <c r="AL1869">
        <v>90.497509093043007</v>
      </c>
      <c r="AM1869">
        <v>86.365626398291198</v>
      </c>
      <c r="AN1869">
        <v>1.0000000440215699</v>
      </c>
    </row>
    <row r="1870" spans="1:40" x14ac:dyDescent="0.25">
      <c r="A1870" t="str">
        <f>"20190312160953105"</f>
        <v>20190312160953105</v>
      </c>
      <c r="B1870" t="str">
        <f>"1552378193097579"</f>
        <v>1552378193097579</v>
      </c>
      <c r="C1870" t="s">
        <v>40</v>
      </c>
      <c r="D1870">
        <v>5.1889120000000002</v>
      </c>
      <c r="E1870">
        <v>0.52551409999999998</v>
      </c>
      <c r="F1870" t="s">
        <v>42</v>
      </c>
      <c r="G1870">
        <v>-346.30549999999999</v>
      </c>
      <c r="H1870">
        <v>0.96932910000000005</v>
      </c>
      <c r="I1870">
        <v>283.95319999999998</v>
      </c>
      <c r="J1870">
        <v>-345.96140000000003</v>
      </c>
      <c r="K1870">
        <v>1.1089359999999999</v>
      </c>
      <c r="L1870">
        <v>283.85969999999998</v>
      </c>
      <c r="M1870">
        <v>-0.99995259999999997</v>
      </c>
      <c r="N1870">
        <v>0</v>
      </c>
      <c r="O1870">
        <v>5.8283510000000001E-4</v>
      </c>
      <c r="P1870">
        <v>-0.99776770000000004</v>
      </c>
      <c r="Q1870">
        <v>-1.839758E-2</v>
      </c>
      <c r="R1870">
        <v>6.4197790000000005E-2</v>
      </c>
      <c r="S1870">
        <v>-2.971924</v>
      </c>
      <c r="T1870">
        <v>-0.56734370000000001</v>
      </c>
      <c r="U1870">
        <v>0.38046259999999998</v>
      </c>
      <c r="V1870">
        <v>6.3608970000000001E-2</v>
      </c>
      <c r="W1870">
        <v>-8.7432299999999994E-3</v>
      </c>
      <c r="X1870">
        <v>0.99793659999999995</v>
      </c>
      <c r="Y1870">
        <v>0.1242077</v>
      </c>
      <c r="Z1870">
        <v>1.1593279999999999E-2</v>
      </c>
      <c r="AA1870">
        <v>0.99218850000000003</v>
      </c>
      <c r="AB1870">
        <v>38</v>
      </c>
      <c r="AC1870">
        <v>-0.34409999999996899</v>
      </c>
      <c r="AD1870">
        <v>-0.13960690000000001</v>
      </c>
      <c r="AE1870">
        <v>9.3500000000005898E-2</v>
      </c>
      <c r="AF1870">
        <v>8.0898649297565906E-2</v>
      </c>
      <c r="AG1870">
        <v>-0.13960690000000001</v>
      </c>
      <c r="AH1870">
        <v>0.29841159738248901</v>
      </c>
      <c r="AI1870">
        <v>114.300840837571</v>
      </c>
      <c r="AJ1870">
        <v>74.831829577729494</v>
      </c>
      <c r="AK1870">
        <v>0.339240562784212</v>
      </c>
      <c r="AL1870">
        <v>90.500956560286795</v>
      </c>
      <c r="AM1870">
        <v>86.352872720928005</v>
      </c>
      <c r="AN1870">
        <v>1.00000000137742</v>
      </c>
    </row>
    <row r="1871" spans="1:40" x14ac:dyDescent="0.25">
      <c r="A1871" t="str">
        <f>"20190312160953125"</f>
        <v>20190312160953125</v>
      </c>
      <c r="B1871" t="str">
        <f>"1552378193117096"</f>
        <v>1552378193117096</v>
      </c>
      <c r="C1871" t="s">
        <v>40</v>
      </c>
      <c r="D1871">
        <v>5.260446</v>
      </c>
      <c r="E1871">
        <v>0.52615669999999903</v>
      </c>
      <c r="F1871" t="s">
        <v>42</v>
      </c>
      <c r="G1871">
        <v>-346.95609999999999</v>
      </c>
      <c r="H1871">
        <v>0.91821370000000002</v>
      </c>
      <c r="I1871">
        <v>283.98970000000003</v>
      </c>
      <c r="J1871">
        <v>-346.32400000000001</v>
      </c>
      <c r="K1871">
        <v>1.108932</v>
      </c>
      <c r="L1871">
        <v>283.86020000000002</v>
      </c>
      <c r="M1871">
        <v>-0.99995239999999996</v>
      </c>
      <c r="N1871">
        <v>0</v>
      </c>
      <c r="O1871">
        <v>8.9137179999999904E-4</v>
      </c>
      <c r="P1871">
        <v>-0.99772059999999996</v>
      </c>
      <c r="Q1871">
        <v>-1.825794E-2</v>
      </c>
      <c r="R1871">
        <v>6.4966789999999996E-2</v>
      </c>
      <c r="S1871">
        <v>-2.9712830000000001</v>
      </c>
      <c r="T1871">
        <v>-0.56975450000000005</v>
      </c>
      <c r="U1871">
        <v>0.38742070000000001</v>
      </c>
      <c r="V1871">
        <v>6.4070340000000003E-2</v>
      </c>
      <c r="W1871">
        <v>-8.5976779999999992E-3</v>
      </c>
      <c r="X1871">
        <v>0.99790840000000003</v>
      </c>
      <c r="Y1871">
        <v>0.12616540000000001</v>
      </c>
      <c r="Z1871">
        <v>1.176928E-2</v>
      </c>
      <c r="AA1871">
        <v>0.99193940000000003</v>
      </c>
      <c r="AB1871">
        <v>38</v>
      </c>
      <c r="AC1871">
        <v>-0.63209999999997901</v>
      </c>
      <c r="AD1871">
        <v>-0.19071830000000001</v>
      </c>
      <c r="AE1871">
        <v>0.129500000000007</v>
      </c>
      <c r="AF1871">
        <v>0.118576582574552</v>
      </c>
      <c r="AG1871">
        <v>-0.19071830000000001</v>
      </c>
      <c r="AH1871">
        <v>0.581417399696596</v>
      </c>
      <c r="AI1871">
        <v>107.817766916412</v>
      </c>
      <c r="AJ1871">
        <v>78.472950733926197</v>
      </c>
      <c r="AK1871">
        <v>0.623281692784171</v>
      </c>
      <c r="AL1871">
        <v>90.492616706732704</v>
      </c>
      <c r="AM1871">
        <v>86.326387945854194</v>
      </c>
      <c r="AN1871">
        <v>1.00000005166263</v>
      </c>
    </row>
    <row r="1872" spans="1:40" x14ac:dyDescent="0.25">
      <c r="A1872" t="str">
        <f>"20190312160953149"</f>
        <v>20190312160953149</v>
      </c>
      <c r="B1872" t="str">
        <f>"1552378193137592"</f>
        <v>1552378193137592</v>
      </c>
      <c r="C1872" t="s">
        <v>40</v>
      </c>
      <c r="D1872">
        <v>5.2005270000000001</v>
      </c>
      <c r="E1872">
        <v>0.52673829999999999</v>
      </c>
      <c r="F1872" t="s">
        <v>42</v>
      </c>
      <c r="G1872">
        <v>-347.29509999999999</v>
      </c>
      <c r="H1872">
        <v>0.92229720000000004</v>
      </c>
      <c r="I1872">
        <v>283.98970000000003</v>
      </c>
      <c r="J1872">
        <v>-346.70729999999998</v>
      </c>
      <c r="K1872">
        <v>1.1089329999999999</v>
      </c>
      <c r="L1872">
        <v>283.86079999999998</v>
      </c>
      <c r="M1872">
        <v>-0.99995199999999995</v>
      </c>
      <c r="N1872">
        <v>0</v>
      </c>
      <c r="O1872">
        <v>1.2164840000000001E-3</v>
      </c>
      <c r="P1872">
        <v>-0.99766489999999997</v>
      </c>
      <c r="Q1872">
        <v>-1.8378459999999999E-2</v>
      </c>
      <c r="R1872">
        <v>6.57832E-2</v>
      </c>
      <c r="S1872">
        <v>-2.9706730000000001</v>
      </c>
      <c r="T1872">
        <v>-0.57102969999999997</v>
      </c>
      <c r="U1872">
        <v>0.39511109999999999</v>
      </c>
      <c r="V1872">
        <v>6.4562430000000004E-2</v>
      </c>
      <c r="W1872">
        <v>-8.712114E-3</v>
      </c>
      <c r="X1872">
        <v>0.99787559999999997</v>
      </c>
      <c r="Y1872">
        <v>0.12834960000000001</v>
      </c>
      <c r="Z1872">
        <v>1.194104E-2</v>
      </c>
      <c r="AA1872">
        <v>0.99165709999999996</v>
      </c>
      <c r="AB1872">
        <v>38</v>
      </c>
      <c r="AC1872">
        <v>-0.58780000000001498</v>
      </c>
      <c r="AD1872">
        <v>-0.18663579999999999</v>
      </c>
      <c r="AE1872">
        <v>0.12890000000004401</v>
      </c>
      <c r="AF1872">
        <v>0.116936620369834</v>
      </c>
      <c r="AG1872">
        <v>-0.18663579999999999</v>
      </c>
      <c r="AH1872">
        <v>0.53636328280019596</v>
      </c>
      <c r="AI1872">
        <v>108.77696437801301</v>
      </c>
      <c r="AJ1872">
        <v>77.700967508782398</v>
      </c>
      <c r="AK1872">
        <v>0.57982123638356198</v>
      </c>
      <c r="AL1872">
        <v>90.499173697221707</v>
      </c>
      <c r="AM1872">
        <v>86.298129712581201</v>
      </c>
      <c r="AN1872">
        <v>0.99999996068660602</v>
      </c>
    </row>
    <row r="1873" spans="1:40" x14ac:dyDescent="0.25">
      <c r="A1873" t="str">
        <f>"20190312160953172"</f>
        <v>20190312160953172</v>
      </c>
      <c r="B1873" t="str">
        <f>"1552378193167848"</f>
        <v>1552378193167848</v>
      </c>
      <c r="C1873" t="s">
        <v>40</v>
      </c>
      <c r="D1873">
        <v>5.0593380000000003</v>
      </c>
      <c r="E1873">
        <v>0.53982479999999999</v>
      </c>
      <c r="F1873" t="s">
        <v>42</v>
      </c>
      <c r="G1873">
        <v>-347.6361</v>
      </c>
      <c r="H1873">
        <v>0.92993720000000002</v>
      </c>
      <c r="I1873">
        <v>283.9871</v>
      </c>
      <c r="J1873">
        <v>-347.09649999999999</v>
      </c>
      <c r="K1873">
        <v>1.1089279999999999</v>
      </c>
      <c r="L1873">
        <v>283.86160000000001</v>
      </c>
      <c r="M1873">
        <v>-0.99995140000000005</v>
      </c>
      <c r="N1873">
        <v>0</v>
      </c>
      <c r="O1873">
        <v>1.5468369999999999E-3</v>
      </c>
      <c r="P1873">
        <v>-0.99765130000000002</v>
      </c>
      <c r="Q1873">
        <v>-1.8837900000000001E-2</v>
      </c>
      <c r="R1873">
        <v>6.5857810000000003E-2</v>
      </c>
      <c r="S1873">
        <v>-2.9699399999999998</v>
      </c>
      <c r="T1873">
        <v>-0.57237419999999894</v>
      </c>
      <c r="U1873">
        <v>0.40249629999999997</v>
      </c>
      <c r="V1873">
        <v>6.4306909999999995E-2</v>
      </c>
      <c r="W1873">
        <v>-9.1643179999999994E-3</v>
      </c>
      <c r="X1873">
        <v>0.99788809999999994</v>
      </c>
      <c r="Y1873">
        <v>0.13043339999999901</v>
      </c>
      <c r="Z1873">
        <v>1.21049E-2</v>
      </c>
      <c r="AA1873">
        <v>0.99138320000000002</v>
      </c>
      <c r="AB1873">
        <v>38</v>
      </c>
      <c r="AC1873">
        <v>-0.53960000000000696</v>
      </c>
      <c r="AD1873">
        <v>-0.17899080000000001</v>
      </c>
      <c r="AE1873">
        <v>0.12549999999998801</v>
      </c>
      <c r="AF1873">
        <v>0.112881944826536</v>
      </c>
      <c r="AG1873">
        <v>-0.17899080000000001</v>
      </c>
      <c r="AH1873">
        <v>0.48877288865165602</v>
      </c>
      <c r="AI1873">
        <v>109.63702349336999</v>
      </c>
      <c r="AJ1873">
        <v>76.995567084985495</v>
      </c>
      <c r="AK1873">
        <v>0.53261522380922</v>
      </c>
      <c r="AL1873">
        <v>90.525084087356007</v>
      </c>
      <c r="AM1873">
        <v>86.312786240166602</v>
      </c>
      <c r="AN1873">
        <v>1.00000001175988</v>
      </c>
    </row>
    <row r="1874" spans="1:40" x14ac:dyDescent="0.25">
      <c r="A1874" t="str">
        <f>"20190312160953195"</f>
        <v>20190312160953195</v>
      </c>
      <c r="B1874" t="str">
        <f>"1552378193187368"</f>
        <v>1552378193187368</v>
      </c>
      <c r="C1874" t="s">
        <v>40</v>
      </c>
      <c r="D1874">
        <v>5.2492349999999997</v>
      </c>
      <c r="E1874">
        <v>0.53696730000000004</v>
      </c>
      <c r="F1874" t="s">
        <v>42</v>
      </c>
      <c r="G1874">
        <v>-347.96539999999999</v>
      </c>
      <c r="H1874">
        <v>0.90735790000000005</v>
      </c>
      <c r="I1874">
        <v>284.0102</v>
      </c>
      <c r="J1874">
        <v>-347.47590000000002</v>
      </c>
      <c r="K1874">
        <v>1.1089260000000001</v>
      </c>
      <c r="L1874">
        <v>283.86250000000001</v>
      </c>
      <c r="M1874">
        <v>-0.99995069999999997</v>
      </c>
      <c r="N1874">
        <v>0</v>
      </c>
      <c r="O1874">
        <v>1.8693830000000001E-3</v>
      </c>
      <c r="P1874">
        <v>-0.9976313</v>
      </c>
      <c r="Q1874">
        <v>-1.911881E-2</v>
      </c>
      <c r="R1874">
        <v>6.6077579999999997E-2</v>
      </c>
      <c r="S1874">
        <v>-2.9607540000000001</v>
      </c>
      <c r="T1874">
        <v>-0.68689509999999998</v>
      </c>
      <c r="U1874">
        <v>0.50521850000000001</v>
      </c>
      <c r="V1874">
        <v>6.4204570000000002E-2</v>
      </c>
      <c r="W1874">
        <v>-9.4383720000000004E-3</v>
      </c>
      <c r="X1874">
        <v>0.99789209999999995</v>
      </c>
      <c r="Y1874">
        <v>0.16222439999999999</v>
      </c>
      <c r="Z1874">
        <v>1.8018159999999998E-2</v>
      </c>
      <c r="AA1874">
        <v>0.98658939999999995</v>
      </c>
      <c r="AB1874">
        <v>38</v>
      </c>
      <c r="AC1874">
        <v>-0.48949999999996402</v>
      </c>
      <c r="AD1874">
        <v>-0.2015681</v>
      </c>
      <c r="AE1874">
        <v>0.14769999999998601</v>
      </c>
      <c r="AF1874">
        <v>0.12704051321707299</v>
      </c>
      <c r="AG1874">
        <v>-0.2015681</v>
      </c>
      <c r="AH1874">
        <v>0.42389519129863601</v>
      </c>
      <c r="AI1874">
        <v>114.489154092953</v>
      </c>
      <c r="AJ1874">
        <v>73.316635146634994</v>
      </c>
      <c r="AK1874">
        <v>0.48626754378857601</v>
      </c>
      <c r="AL1874">
        <v>90.540786923149597</v>
      </c>
      <c r="AM1874">
        <v>86.318652752588505</v>
      </c>
      <c r="AN1874">
        <v>0.99999997645865202</v>
      </c>
    </row>
    <row r="1875" spans="1:40" x14ac:dyDescent="0.25">
      <c r="A1875" t="str">
        <f>"20190312160953217"</f>
        <v>20190312160953217</v>
      </c>
      <c r="B1875" t="str">
        <f>"1552378193207864"</f>
        <v>1552378193207864</v>
      </c>
      <c r="C1875" t="s">
        <v>40</v>
      </c>
      <c r="D1875">
        <v>5.0608279999999999</v>
      </c>
      <c r="E1875">
        <v>0.53781840000000003</v>
      </c>
      <c r="F1875" t="s">
        <v>42</v>
      </c>
      <c r="G1875">
        <v>-348.31119999999999</v>
      </c>
      <c r="H1875">
        <v>0.92624899999999999</v>
      </c>
      <c r="I1875">
        <v>283.99919999999997</v>
      </c>
      <c r="J1875">
        <v>-347.85230000000001</v>
      </c>
      <c r="K1875">
        <v>1.108927</v>
      </c>
      <c r="L1875">
        <v>283.86349999999999</v>
      </c>
      <c r="M1875">
        <v>-0.99995000000000001</v>
      </c>
      <c r="N1875">
        <v>0</v>
      </c>
      <c r="O1875">
        <v>2.1886539999999999E-3</v>
      </c>
      <c r="P1875">
        <v>-0.99767240000000001</v>
      </c>
      <c r="Q1875">
        <v>-1.9069409999999998E-2</v>
      </c>
      <c r="R1875">
        <v>6.5468349999999995E-2</v>
      </c>
      <c r="S1875">
        <v>-2.9626769999999998</v>
      </c>
      <c r="T1875">
        <v>-0.64793630000000002</v>
      </c>
      <c r="U1875">
        <v>0.48339840000000001</v>
      </c>
      <c r="V1875">
        <v>6.3276639999999995E-2</v>
      </c>
      <c r="W1875">
        <v>-9.3809589999999995E-3</v>
      </c>
      <c r="X1875">
        <v>0.9979519</v>
      </c>
      <c r="Y1875">
        <v>0.15534589999999901</v>
      </c>
      <c r="Z1875">
        <v>1.6212049999999999E-2</v>
      </c>
      <c r="AA1875">
        <v>0.98772709999999997</v>
      </c>
      <c r="AB1875">
        <v>38</v>
      </c>
      <c r="AC1875">
        <v>-0.458899999999971</v>
      </c>
      <c r="AD1875">
        <v>-0.18267800000000001</v>
      </c>
      <c r="AE1875">
        <v>0.135699999999985</v>
      </c>
      <c r="AF1875">
        <v>0.11756347661476001</v>
      </c>
      <c r="AG1875">
        <v>-0.18267800000000001</v>
      </c>
      <c r="AH1875">
        <v>0.40079116907458401</v>
      </c>
      <c r="AI1875">
        <v>113.62292607306701</v>
      </c>
      <c r="AJ1875">
        <v>73.652082892373798</v>
      </c>
      <c r="AK1875">
        <v>0.45587935237946597</v>
      </c>
      <c r="AL1875">
        <v>90.537497260928006</v>
      </c>
      <c r="AM1875">
        <v>86.3719318672497</v>
      </c>
      <c r="AN1875">
        <v>0.99999996513752898</v>
      </c>
    </row>
    <row r="1876" spans="1:40" x14ac:dyDescent="0.25">
      <c r="A1876" t="str">
        <f>"20190312160953239"</f>
        <v>20190312160953239</v>
      </c>
      <c r="B1876" t="str">
        <f>"1552378193227384"</f>
        <v>1552378193227384</v>
      </c>
      <c r="C1876" t="s">
        <v>40</v>
      </c>
      <c r="D1876">
        <v>4.8383799999999999</v>
      </c>
      <c r="E1876">
        <v>0.50792910000000002</v>
      </c>
      <c r="F1876" t="s">
        <v>42</v>
      </c>
      <c r="G1876">
        <v>-348.65300000000002</v>
      </c>
      <c r="H1876">
        <v>0.93301129999999999</v>
      </c>
      <c r="I1876">
        <v>283.9957</v>
      </c>
      <c r="J1876">
        <v>-348.22129999999999</v>
      </c>
      <c r="K1876">
        <v>1.1089329999999999</v>
      </c>
      <c r="L1876">
        <v>283.8646</v>
      </c>
      <c r="M1876">
        <v>-0.99994930000000004</v>
      </c>
      <c r="N1876">
        <v>0</v>
      </c>
      <c r="O1876">
        <v>2.501311E-3</v>
      </c>
      <c r="P1876">
        <v>-0.99769220000000003</v>
      </c>
      <c r="Q1876">
        <v>-1.8689290000000001E-2</v>
      </c>
      <c r="R1876">
        <v>6.5280069999999996E-2</v>
      </c>
      <c r="S1876">
        <v>-2.9625240000000002</v>
      </c>
      <c r="T1876">
        <v>-0.65090389999999998</v>
      </c>
      <c r="U1876">
        <v>0.48831180000000002</v>
      </c>
      <c r="V1876">
        <v>6.2776819999999997E-2</v>
      </c>
      <c r="W1876">
        <v>-8.9935789999999998E-3</v>
      </c>
      <c r="X1876">
        <v>0.99798710000000002</v>
      </c>
      <c r="Y1876">
        <v>0.1565877</v>
      </c>
      <c r="Z1876">
        <v>1.6349809999999999E-2</v>
      </c>
      <c r="AA1876">
        <v>0.98752870000000004</v>
      </c>
      <c r="AB1876">
        <v>38</v>
      </c>
      <c r="AC1876">
        <v>-0.431700000000034</v>
      </c>
      <c r="AD1876">
        <v>-0.17592169999999899</v>
      </c>
      <c r="AE1876">
        <v>0.13110000000000299</v>
      </c>
      <c r="AF1876">
        <v>0.112860239245742</v>
      </c>
      <c r="AG1876">
        <v>-0.17592169999999899</v>
      </c>
      <c r="AH1876">
        <v>0.375009444809496</v>
      </c>
      <c r="AI1876">
        <v>114.19011617107201</v>
      </c>
      <c r="AJ1876">
        <v>73.250671477005795</v>
      </c>
      <c r="AK1876">
        <v>0.42932267798221702</v>
      </c>
      <c r="AL1876">
        <v>90.515301049378095</v>
      </c>
      <c r="AM1876">
        <v>86.400640833744404</v>
      </c>
      <c r="AN1876">
        <v>1.00000003267947</v>
      </c>
    </row>
    <row r="1877" spans="1:40" x14ac:dyDescent="0.25">
      <c r="A1877" t="str">
        <f>"20190312160953262"</f>
        <v>20190312160953262</v>
      </c>
      <c r="B1877" t="str">
        <f>"1552378193257639"</f>
        <v>1552378193257639</v>
      </c>
      <c r="C1877" t="s">
        <v>40</v>
      </c>
      <c r="D1877">
        <v>4.90245</v>
      </c>
      <c r="E1877">
        <v>0.4392896</v>
      </c>
      <c r="F1877" t="s">
        <v>42</v>
      </c>
      <c r="G1877">
        <v>-349.00599999999997</v>
      </c>
      <c r="H1877">
        <v>0.96454289999999998</v>
      </c>
      <c r="I1877">
        <v>283.93099999999998</v>
      </c>
      <c r="J1877">
        <v>-348.59089999999998</v>
      </c>
      <c r="K1877">
        <v>1.1089329999999999</v>
      </c>
      <c r="L1877">
        <v>283.86579999999998</v>
      </c>
      <c r="M1877">
        <v>-0.99994839999999996</v>
      </c>
      <c r="N1877">
        <v>0</v>
      </c>
      <c r="O1877">
        <v>2.814979E-3</v>
      </c>
      <c r="P1877">
        <v>-0.99769359999999996</v>
      </c>
      <c r="Q1877">
        <v>-1.815812E-2</v>
      </c>
      <c r="R1877">
        <v>6.5406229999999996E-2</v>
      </c>
      <c r="S1877">
        <v>-2.980194</v>
      </c>
      <c r="T1877">
        <v>-0.54841569999999995</v>
      </c>
      <c r="U1877">
        <v>0.2514343</v>
      </c>
      <c r="V1877">
        <v>6.2590270000000003E-2</v>
      </c>
      <c r="W1877">
        <v>-8.4555789999999995E-3</v>
      </c>
      <c r="X1877">
        <v>0.99800350000000004</v>
      </c>
      <c r="Y1877">
        <v>7.997783E-2</v>
      </c>
      <c r="Z1877">
        <v>6.7720569999999997E-3</v>
      </c>
      <c r="AA1877">
        <v>0.99677369999999998</v>
      </c>
      <c r="AB1877">
        <v>38</v>
      </c>
      <c r="AC1877">
        <v>-0.41509999999999497</v>
      </c>
      <c r="AD1877">
        <v>-0.14439009999999899</v>
      </c>
      <c r="AE1877">
        <v>6.5200000000004296E-2</v>
      </c>
      <c r="AF1877">
        <v>5.72687605045962E-2</v>
      </c>
      <c r="AG1877">
        <v>-0.14439009999999899</v>
      </c>
      <c r="AH1877">
        <v>0.37142336999217901</v>
      </c>
      <c r="AI1877">
        <v>111.017165881902</v>
      </c>
      <c r="AJ1877">
        <v>81.234745333153896</v>
      </c>
      <c r="AK1877">
        <v>0.40259599064582102</v>
      </c>
      <c r="AL1877">
        <v>90.484474757233599</v>
      </c>
      <c r="AM1877">
        <v>86.411367651626094</v>
      </c>
      <c r="AN1877">
        <v>1.0000000123635699</v>
      </c>
    </row>
    <row r="1878" spans="1:40" x14ac:dyDescent="0.25">
      <c r="A1878" t="str">
        <f>"20190312160953283"</f>
        <v>20190312160953283</v>
      </c>
      <c r="B1878" t="str">
        <f>"1552378193277160"</f>
        <v>1552378193277160</v>
      </c>
      <c r="C1878" t="s">
        <v>40</v>
      </c>
      <c r="D1878">
        <v>4.8762569999999998</v>
      </c>
      <c r="E1878">
        <v>0.43565930000000003</v>
      </c>
      <c r="F1878" t="s">
        <v>61</v>
      </c>
      <c r="G1878">
        <v>-397.72460000000001</v>
      </c>
      <c r="H1878">
        <v>8.0000660000000001E-2</v>
      </c>
      <c r="I1878">
        <v>279.20030000000003</v>
      </c>
      <c r="J1878">
        <v>-348.97899999999998</v>
      </c>
      <c r="K1878">
        <v>1.1089340000000001</v>
      </c>
      <c r="L1878">
        <v>283.86720000000003</v>
      </c>
      <c r="M1878">
        <v>-0.99994720000000004</v>
      </c>
      <c r="N1878">
        <v>0</v>
      </c>
      <c r="O1878">
        <v>3.1440249999999999E-3</v>
      </c>
      <c r="P1878">
        <v>-0.99764269999999999</v>
      </c>
      <c r="Q1878">
        <v>-1.794113E-2</v>
      </c>
      <c r="R1878">
        <v>6.6237980000000002E-2</v>
      </c>
      <c r="S1878">
        <v>-3.024597</v>
      </c>
      <c r="T1878">
        <v>-6.3339469999999995E-2</v>
      </c>
      <c r="U1878">
        <v>-0.28720089999999998</v>
      </c>
      <c r="V1878">
        <v>6.3094120000000004E-2</v>
      </c>
      <c r="W1878">
        <v>-8.2327449999999996E-3</v>
      </c>
      <c r="X1878">
        <v>0.99797360000000002</v>
      </c>
      <c r="Y1878">
        <v>-9.7637619999999994E-2</v>
      </c>
      <c r="Z1878">
        <v>-1.085623E-3</v>
      </c>
      <c r="AA1878">
        <v>0.99522140000000003</v>
      </c>
      <c r="AB1878">
        <v>38</v>
      </c>
      <c r="AC1878">
        <v>-48.745599999999897</v>
      </c>
      <c r="AD1878">
        <v>-1.02893334</v>
      </c>
      <c r="AE1878">
        <v>-4.6668999999999903</v>
      </c>
      <c r="AF1878">
        <v>-4.8180144480591904</v>
      </c>
      <c r="AG1878">
        <v>-1.02893334</v>
      </c>
      <c r="AH1878">
        <v>48.709179890173303</v>
      </c>
      <c r="AI1878">
        <v>91.204261665152799</v>
      </c>
      <c r="AJ1878">
        <v>95.648973133846695</v>
      </c>
      <c r="AK1878">
        <v>48.957697787101203</v>
      </c>
      <c r="AL1878">
        <v>90.471706882209801</v>
      </c>
      <c r="AM1878">
        <v>86.382447567422105</v>
      </c>
      <c r="AN1878">
        <v>0.99999997618288405</v>
      </c>
    </row>
    <row r="1879" spans="1:40" x14ac:dyDescent="0.25">
      <c r="A1879" t="str">
        <f>"20190312160953306"</f>
        <v>20190312160953306</v>
      </c>
      <c r="B1879" t="str">
        <f>"1552378193297656"</f>
        <v>1552378193297656</v>
      </c>
      <c r="C1879" t="s">
        <v>40</v>
      </c>
      <c r="D1879">
        <v>4.8422650000000003</v>
      </c>
      <c r="E1879">
        <v>0.4347858</v>
      </c>
      <c r="F1879" t="s">
        <v>74</v>
      </c>
      <c r="G1879">
        <v>-422.00080000000003</v>
      </c>
      <c r="H1879" s="1">
        <v>5.1251500000000004E-6</v>
      </c>
      <c r="I1879">
        <v>276.30950000000001</v>
      </c>
      <c r="J1879">
        <v>-349.37459999999999</v>
      </c>
      <c r="K1879">
        <v>1.108932</v>
      </c>
      <c r="L1879">
        <v>283.86869999999999</v>
      </c>
      <c r="M1879">
        <v>-0.99994620000000001</v>
      </c>
      <c r="N1879">
        <v>0</v>
      </c>
      <c r="O1879">
        <v>3.4792690000000001E-3</v>
      </c>
      <c r="P1879">
        <v>-0.99763170000000001</v>
      </c>
      <c r="Q1879">
        <v>-1.7218629999999999E-2</v>
      </c>
      <c r="R1879">
        <v>6.6593669999999994E-2</v>
      </c>
      <c r="S1879">
        <v>-3.0270389999999998</v>
      </c>
      <c r="T1879">
        <v>-4.5969370000000002E-2</v>
      </c>
      <c r="U1879">
        <v>-0.3132935</v>
      </c>
      <c r="V1879">
        <v>6.31158E-2</v>
      </c>
      <c r="W1879">
        <v>-7.503376E-3</v>
      </c>
      <c r="X1879">
        <v>0.99797800000000003</v>
      </c>
      <c r="Y1879">
        <v>-0.1063962</v>
      </c>
      <c r="Z1879">
        <v>-8.5837979999999999E-4</v>
      </c>
      <c r="AA1879">
        <v>0.99432339999999997</v>
      </c>
      <c r="AB1879">
        <v>38</v>
      </c>
      <c r="AC1879">
        <v>-72.626199999999997</v>
      </c>
      <c r="AD1879">
        <v>-1.1089268748500001</v>
      </c>
      <c r="AE1879">
        <v>-7.5591999999999704</v>
      </c>
      <c r="AF1879">
        <v>-7.8100510633403202</v>
      </c>
      <c r="AG1879">
        <v>-1.1089268748500001</v>
      </c>
      <c r="AH1879">
        <v>72.582717959963901</v>
      </c>
      <c r="AI1879">
        <v>90.870280356650298</v>
      </c>
      <c r="AJ1879">
        <v>96.141514931255799</v>
      </c>
      <c r="AK1879">
        <v>73.010119592296306</v>
      </c>
      <c r="AL1879">
        <v>90.429915812484694</v>
      </c>
      <c r="AM1879">
        <v>86.381223742219802</v>
      </c>
      <c r="AN1879">
        <v>0.99999999667251804</v>
      </c>
    </row>
    <row r="1880" spans="1:40" x14ac:dyDescent="0.25">
      <c r="A1880" t="str">
        <f>"20190312160953327"</f>
        <v>20190312160953327</v>
      </c>
      <c r="B1880" t="str">
        <f>"1552378193317176"</f>
        <v>1552378193317176</v>
      </c>
      <c r="C1880" t="s">
        <v>40</v>
      </c>
      <c r="D1880">
        <v>4.9258499999999996</v>
      </c>
      <c r="E1880">
        <v>0.43393229999999999</v>
      </c>
      <c r="F1880" t="s">
        <v>74</v>
      </c>
      <c r="G1880">
        <v>-426.80329999999998</v>
      </c>
      <c r="H1880" s="1">
        <v>4.2727889999999999E-6</v>
      </c>
      <c r="I1880">
        <v>275.70839999999998</v>
      </c>
      <c r="J1880">
        <v>-349.73660000000001</v>
      </c>
      <c r="K1880">
        <v>1.108932</v>
      </c>
      <c r="L1880">
        <v>283.87020000000001</v>
      </c>
      <c r="M1880">
        <v>-0.99994499999999997</v>
      </c>
      <c r="N1880">
        <v>0</v>
      </c>
      <c r="O1880">
        <v>3.7859650000000001E-3</v>
      </c>
      <c r="P1880">
        <v>-0.99761460000000002</v>
      </c>
      <c r="Q1880">
        <v>-1.6821409999999998E-2</v>
      </c>
      <c r="R1880">
        <v>6.6951199999999905E-2</v>
      </c>
      <c r="S1880">
        <v>-3.0277099999999999</v>
      </c>
      <c r="T1880">
        <v>-4.3362619999999998E-2</v>
      </c>
      <c r="U1880">
        <v>-0.31909179999999998</v>
      </c>
      <c r="V1880">
        <v>6.3167699999999993E-2</v>
      </c>
      <c r="W1880">
        <v>-7.0997090000000001E-3</v>
      </c>
      <c r="X1880">
        <v>0.99797769999999997</v>
      </c>
      <c r="Y1880">
        <v>-0.1085632</v>
      </c>
      <c r="Z1880">
        <v>-8.2930519999999998E-4</v>
      </c>
      <c r="AA1880">
        <v>0.99408920000000001</v>
      </c>
      <c r="AB1880">
        <v>38</v>
      </c>
      <c r="AC1880">
        <v>-77.066699999999898</v>
      </c>
      <c r="AD1880">
        <v>-1.1089277272110001</v>
      </c>
      <c r="AE1880">
        <v>-8.1618000000000208</v>
      </c>
      <c r="AF1880">
        <v>-8.4517967605464595</v>
      </c>
      <c r="AG1880">
        <v>-1.1089277272110001</v>
      </c>
      <c r="AH1880">
        <v>77.019475935627696</v>
      </c>
      <c r="AI1880">
        <v>90.819967061680401</v>
      </c>
      <c r="AJ1880">
        <v>96.262343660769403</v>
      </c>
      <c r="AK1880">
        <v>77.489755855754794</v>
      </c>
      <c r="AL1880">
        <v>90.406786767965798</v>
      </c>
      <c r="AM1880">
        <v>86.378254860773893</v>
      </c>
      <c r="AN1880">
        <v>1.00000002694423</v>
      </c>
    </row>
    <row r="1881" spans="1:40" x14ac:dyDescent="0.25">
      <c r="A1881" t="str">
        <f>"20190312160953350"</f>
        <v>20190312160953350</v>
      </c>
      <c r="B1881" t="str">
        <f>"1552378193347431"</f>
        <v>1552378193347431</v>
      </c>
      <c r="C1881" t="s">
        <v>40</v>
      </c>
      <c r="D1881">
        <v>4.9090480000000003</v>
      </c>
      <c r="E1881">
        <v>0.43376320000000002</v>
      </c>
      <c r="F1881" t="s">
        <v>74</v>
      </c>
      <c r="G1881">
        <v>-430.43740000000003</v>
      </c>
      <c r="H1881">
        <v>8.0001470000000005E-2</v>
      </c>
      <c r="I1881">
        <v>275.21159999999998</v>
      </c>
      <c r="J1881">
        <v>-350.1225</v>
      </c>
      <c r="K1881">
        <v>1.108932</v>
      </c>
      <c r="L1881">
        <v>283.87200000000001</v>
      </c>
      <c r="M1881">
        <v>-0.99994369999999999</v>
      </c>
      <c r="N1881">
        <v>0</v>
      </c>
      <c r="O1881">
        <v>4.1126849999999996E-3</v>
      </c>
      <c r="P1881">
        <v>-0.99757810000000002</v>
      </c>
      <c r="Q1881">
        <v>-1.722564E-2</v>
      </c>
      <c r="R1881">
        <v>6.7390549999999994E-2</v>
      </c>
      <c r="S1881">
        <v>-3.0283199999999999</v>
      </c>
      <c r="T1881">
        <v>-3.8610940000000003E-2</v>
      </c>
      <c r="U1881">
        <v>-0.32492070000000001</v>
      </c>
      <c r="V1881">
        <v>6.3280840000000005E-2</v>
      </c>
      <c r="W1881">
        <v>-7.4971739999999997E-3</v>
      </c>
      <c r="X1881">
        <v>0.99796759999999995</v>
      </c>
      <c r="Y1881">
        <v>-0.110760999999999</v>
      </c>
      <c r="Z1881">
        <v>-7.563394E-4</v>
      </c>
      <c r="AA1881">
        <v>0.99384680000000003</v>
      </c>
      <c r="AB1881">
        <v>38</v>
      </c>
      <c r="AC1881">
        <v>-80.314899999999994</v>
      </c>
      <c r="AD1881">
        <v>-1.02893053</v>
      </c>
      <c r="AE1881">
        <v>-8.6604000000000294</v>
      </c>
      <c r="AF1881">
        <v>-8.9891940277135198</v>
      </c>
      <c r="AG1881">
        <v>-1.02893053</v>
      </c>
      <c r="AH1881">
        <v>80.265579173208593</v>
      </c>
      <c r="AI1881">
        <v>90.729876241461795</v>
      </c>
      <c r="AJ1881">
        <v>96.390106981076599</v>
      </c>
      <c r="AK1881">
        <v>80.773928388521895</v>
      </c>
      <c r="AL1881">
        <v>90.429560451994405</v>
      </c>
      <c r="AM1881">
        <v>86.371748624721604</v>
      </c>
      <c r="AN1881">
        <v>1.0000000014894199</v>
      </c>
    </row>
    <row r="1882" spans="1:40" x14ac:dyDescent="0.25">
      <c r="A1882" t="str">
        <f>"20190312160953373"</f>
        <v>20190312160953373</v>
      </c>
      <c r="B1882" t="str">
        <f>"1552378193367927"</f>
        <v>1552378193367927</v>
      </c>
      <c r="C1882" t="s">
        <v>40</v>
      </c>
      <c r="D1882">
        <v>4.958761</v>
      </c>
      <c r="E1882">
        <v>0.43358960000000002</v>
      </c>
      <c r="F1882" t="s">
        <v>74</v>
      </c>
      <c r="G1882">
        <v>-429.95920000000001</v>
      </c>
      <c r="H1882">
        <v>5.1030069999999997E-2</v>
      </c>
      <c r="I1882">
        <v>275.30990000000003</v>
      </c>
      <c r="J1882">
        <v>-350.52260000000001</v>
      </c>
      <c r="K1882">
        <v>1.1089260000000001</v>
      </c>
      <c r="L1882">
        <v>283.87389999999999</v>
      </c>
      <c r="M1882">
        <v>-0.99994209999999994</v>
      </c>
      <c r="N1882">
        <v>0</v>
      </c>
      <c r="O1882">
        <v>4.4513249999999999E-3</v>
      </c>
      <c r="P1882">
        <v>-0.99753879999999995</v>
      </c>
      <c r="Q1882">
        <v>-1.7543369999999999E-2</v>
      </c>
      <c r="R1882">
        <v>6.788893E-2</v>
      </c>
      <c r="S1882">
        <v>-3.0285639999999998</v>
      </c>
      <c r="T1882">
        <v>-4.0130970000000002E-2</v>
      </c>
      <c r="U1882">
        <v>-0.32479859999999999</v>
      </c>
      <c r="V1882">
        <v>6.3441259999999999E-2</v>
      </c>
      <c r="W1882">
        <v>-7.8079969999999997E-3</v>
      </c>
      <c r="X1882">
        <v>0.99795500000000004</v>
      </c>
      <c r="Y1882">
        <v>-0.1110487</v>
      </c>
      <c r="Z1882">
        <v>-7.9242630000000004E-4</v>
      </c>
      <c r="AA1882">
        <v>0.99381459999999999</v>
      </c>
      <c r="AB1882">
        <v>38</v>
      </c>
      <c r="AC1882">
        <v>-79.436599999999999</v>
      </c>
      <c r="AD1882">
        <v>-1.0578959299999999</v>
      </c>
      <c r="AE1882">
        <v>-8.5639999999999592</v>
      </c>
      <c r="AF1882">
        <v>-8.9159671133312397</v>
      </c>
      <c r="AG1882">
        <v>-1.0578959299999999</v>
      </c>
      <c r="AH1882">
        <v>79.3837725664158</v>
      </c>
      <c r="AI1882">
        <v>90.758728443914606</v>
      </c>
      <c r="AJ1882">
        <v>96.408304088396605</v>
      </c>
      <c r="AK1882">
        <v>79.889905246164503</v>
      </c>
      <c r="AL1882">
        <v>90.447369833617302</v>
      </c>
      <c r="AM1882">
        <v>86.362529691811702</v>
      </c>
      <c r="AN1882">
        <v>0.99999997015626896</v>
      </c>
    </row>
    <row r="1883" spans="1:40" x14ac:dyDescent="0.25">
      <c r="A1883" t="str">
        <f>"20190312160953396"</f>
        <v>20190312160953396</v>
      </c>
      <c r="B1883" t="str">
        <f>"1552378193387448"</f>
        <v>1552378193387448</v>
      </c>
      <c r="C1883" t="s">
        <v>40</v>
      </c>
      <c r="D1883">
        <v>4.96516</v>
      </c>
      <c r="E1883">
        <v>0.43345129999999998</v>
      </c>
      <c r="F1883" t="s">
        <v>74</v>
      </c>
      <c r="G1883">
        <v>-429.95819999999998</v>
      </c>
      <c r="H1883">
        <v>2.003953E-2</v>
      </c>
      <c r="I1883">
        <v>275.3603</v>
      </c>
      <c r="J1883">
        <v>-350.90379999999999</v>
      </c>
      <c r="K1883">
        <v>1.1089230000000001</v>
      </c>
      <c r="L1883">
        <v>283.8759</v>
      </c>
      <c r="M1883">
        <v>-0.99994050000000001</v>
      </c>
      <c r="N1883">
        <v>0</v>
      </c>
      <c r="O1883">
        <v>4.7738729999999997E-3</v>
      </c>
      <c r="P1883">
        <v>-0.99753760000000002</v>
      </c>
      <c r="Q1883">
        <v>-1.713481E-2</v>
      </c>
      <c r="R1883">
        <v>6.8010870000000001E-2</v>
      </c>
      <c r="S1883">
        <v>-3.028778</v>
      </c>
      <c r="T1883">
        <v>-4.1517850000000002E-2</v>
      </c>
      <c r="U1883">
        <v>-0.3246155</v>
      </c>
      <c r="V1883">
        <v>6.3241649999999996E-2</v>
      </c>
      <c r="W1883">
        <v>-7.3922669999999897E-3</v>
      </c>
      <c r="X1883">
        <v>0.99797089999999999</v>
      </c>
      <c r="Y1883">
        <v>-0.1113016</v>
      </c>
      <c r="Z1883">
        <v>-8.258928E-4</v>
      </c>
      <c r="AA1883">
        <v>0.99378630000000001</v>
      </c>
      <c r="AB1883">
        <v>38</v>
      </c>
      <c r="AC1883">
        <v>-79.054399999999902</v>
      </c>
      <c r="AD1883">
        <v>-1.0888834700000001</v>
      </c>
      <c r="AE1883">
        <v>-8.5155999999999992</v>
      </c>
      <c r="AF1883">
        <v>-8.8912492861650598</v>
      </c>
      <c r="AG1883">
        <v>-1.0888834700000001</v>
      </c>
      <c r="AH1883">
        <v>78.998029224482806</v>
      </c>
      <c r="AI1883">
        <v>90.784742499155399</v>
      </c>
      <c r="AJ1883">
        <v>96.421630808976403</v>
      </c>
      <c r="AK1883">
        <v>79.504267825269693</v>
      </c>
      <c r="AL1883">
        <v>90.4235495430692</v>
      </c>
      <c r="AM1883">
        <v>86.374001572411203</v>
      </c>
      <c r="AN1883">
        <v>1.0000000345764599</v>
      </c>
    </row>
    <row r="1884" spans="1:40" x14ac:dyDescent="0.25">
      <c r="A1884" t="str">
        <f>"20190312160953417"</f>
        <v>20190312160953417</v>
      </c>
      <c r="B1884" t="str">
        <f>"1552378193407943"</f>
        <v>1552378193407943</v>
      </c>
      <c r="C1884" t="s">
        <v>40</v>
      </c>
      <c r="D1884">
        <v>5.0352810000000003</v>
      </c>
      <c r="E1884">
        <v>0.43334479999999997</v>
      </c>
      <c r="F1884" t="s">
        <v>74</v>
      </c>
      <c r="G1884">
        <v>-429.5813</v>
      </c>
      <c r="H1884" s="1">
        <v>3.8121470000000001E-6</v>
      </c>
      <c r="I1884">
        <v>275.4246</v>
      </c>
      <c r="J1884">
        <v>-351.28219999999999</v>
      </c>
      <c r="K1884">
        <v>1.1089209999999901</v>
      </c>
      <c r="L1884">
        <v>283.87799999999999</v>
      </c>
      <c r="M1884">
        <v>-0.99993889999999996</v>
      </c>
      <c r="N1884">
        <v>0</v>
      </c>
      <c r="O1884">
        <v>5.0938590000000001E-3</v>
      </c>
      <c r="P1884">
        <v>-0.99753320000000001</v>
      </c>
      <c r="Q1884">
        <v>-1.6539930000000001E-2</v>
      </c>
      <c r="R1884">
        <v>6.8222270000000002E-2</v>
      </c>
      <c r="S1884">
        <v>-3.0288390000000001</v>
      </c>
      <c r="T1884">
        <v>-4.2689919999999999E-2</v>
      </c>
      <c r="U1884">
        <v>-0.32534790000000002</v>
      </c>
      <c r="V1884">
        <v>6.3134280000000001E-2</v>
      </c>
      <c r="W1884">
        <v>-6.7903919999999897E-3</v>
      </c>
      <c r="X1884">
        <v>0.99798200000000004</v>
      </c>
      <c r="Y1884">
        <v>-0.11185440000000001</v>
      </c>
      <c r="Z1884">
        <v>-8.5755960000000002E-4</v>
      </c>
      <c r="AA1884">
        <v>0.99372419999999995</v>
      </c>
      <c r="AB1884">
        <v>38</v>
      </c>
      <c r="AC1884">
        <v>-78.299099999999996</v>
      </c>
      <c r="AD1884">
        <v>-1.10891718785299</v>
      </c>
      <c r="AE1884">
        <v>-8.4533999999999807</v>
      </c>
      <c r="AF1884">
        <v>-8.8503993398756293</v>
      </c>
      <c r="AG1884">
        <v>-1.10891718785299</v>
      </c>
      <c r="AH1884">
        <v>78.239509203917805</v>
      </c>
      <c r="AI1884">
        <v>90.806874396358495</v>
      </c>
      <c r="AJ1884">
        <v>96.453824716543906</v>
      </c>
      <c r="AK1884">
        <v>78.746301921263097</v>
      </c>
      <c r="AL1884">
        <v>90.3890637696352</v>
      </c>
      <c r="AM1884">
        <v>86.380181468925301</v>
      </c>
      <c r="AN1884">
        <v>1.0000000595293099</v>
      </c>
    </row>
    <row r="1885" spans="1:40" x14ac:dyDescent="0.25">
      <c r="A1885" t="str">
        <f>"20190312160953439"</f>
        <v>20190312160953439</v>
      </c>
      <c r="B1885" t="str">
        <f>"1552378193427464"</f>
        <v>1552378193427464</v>
      </c>
      <c r="C1885" t="s">
        <v>40</v>
      </c>
      <c r="D1885">
        <v>5.0138429999999996</v>
      </c>
      <c r="E1885">
        <v>0.43319020000000003</v>
      </c>
      <c r="F1885" t="s">
        <v>74</v>
      </c>
      <c r="G1885">
        <v>-428.80950000000001</v>
      </c>
      <c r="H1885" s="1">
        <v>3.9177590000000003E-6</v>
      </c>
      <c r="I1885">
        <v>275.5428</v>
      </c>
      <c r="J1885">
        <v>-351.63760000000002</v>
      </c>
      <c r="K1885">
        <v>1.1089169999999999</v>
      </c>
      <c r="L1885">
        <v>283.88010000000003</v>
      </c>
      <c r="M1885">
        <v>-0.99993719999999997</v>
      </c>
      <c r="N1885">
        <v>0</v>
      </c>
      <c r="O1885">
        <v>5.3946549999999999E-3</v>
      </c>
      <c r="P1885">
        <v>-0.99749639999999995</v>
      </c>
      <c r="Q1885">
        <v>-1.7076359999999999E-2</v>
      </c>
      <c r="R1885">
        <v>6.8623829999999997E-2</v>
      </c>
      <c r="S1885">
        <v>-3.0289609999999998</v>
      </c>
      <c r="T1885">
        <v>-4.3324950000000001E-2</v>
      </c>
      <c r="U1885">
        <v>-0.32565309999999997</v>
      </c>
      <c r="V1885">
        <v>6.3235130000000001E-2</v>
      </c>
      <c r="W1885">
        <v>-7.3208539999999999E-3</v>
      </c>
      <c r="X1885">
        <v>0.99797179999999996</v>
      </c>
      <c r="Y1885">
        <v>-0.1122476</v>
      </c>
      <c r="Z1885">
        <v>-8.7736979999999997E-4</v>
      </c>
      <c r="AA1885">
        <v>0.99367989999999995</v>
      </c>
      <c r="AB1885">
        <v>38</v>
      </c>
      <c r="AC1885">
        <v>-77.171899999999994</v>
      </c>
      <c r="AD1885">
        <v>-1.1089130822409901</v>
      </c>
      <c r="AE1885">
        <v>-8.3373000000000204</v>
      </c>
      <c r="AF1885">
        <v>-8.7517283304362792</v>
      </c>
      <c r="AG1885">
        <v>-1.1089130822409901</v>
      </c>
      <c r="AH1885">
        <v>77.110059968886205</v>
      </c>
      <c r="AI1885">
        <v>90.818653700066207</v>
      </c>
      <c r="AJ1885">
        <v>96.475166836552404</v>
      </c>
      <c r="AK1885">
        <v>77.613038758954403</v>
      </c>
      <c r="AL1885">
        <v>90.419457785551003</v>
      </c>
      <c r="AM1885">
        <v>86.374377664360495</v>
      </c>
      <c r="AN1885">
        <v>0.99999999508232296</v>
      </c>
    </row>
    <row r="1886" spans="1:40" x14ac:dyDescent="0.25">
      <c r="A1886" t="str">
        <f>"20190312160953461"</f>
        <v>20190312160953461</v>
      </c>
      <c r="B1886" t="str">
        <f>"1552378193457720"</f>
        <v>1552378193457720</v>
      </c>
      <c r="C1886" t="s">
        <v>40</v>
      </c>
      <c r="D1886">
        <v>5.0762229999999997</v>
      </c>
      <c r="E1886">
        <v>0.43296129999999999</v>
      </c>
      <c r="F1886" t="s">
        <v>74</v>
      </c>
      <c r="G1886">
        <v>-424.98829999999998</v>
      </c>
      <c r="H1886" s="1">
        <v>4.5743749999999997E-6</v>
      </c>
      <c r="I1886">
        <v>275.99369999999999</v>
      </c>
      <c r="J1886">
        <v>-352.03190000000001</v>
      </c>
      <c r="K1886">
        <v>1.1089169999999999</v>
      </c>
      <c r="L1886">
        <v>283.88240000000002</v>
      </c>
      <c r="M1886">
        <v>-0.99993529999999997</v>
      </c>
      <c r="N1886">
        <v>0</v>
      </c>
      <c r="O1886">
        <v>5.7278140000000003E-3</v>
      </c>
      <c r="P1886">
        <v>-0.99742589999999998</v>
      </c>
      <c r="Q1886">
        <v>-1.7929549999999999E-2</v>
      </c>
      <c r="R1886">
        <v>6.9429290000000005E-2</v>
      </c>
      <c r="S1886">
        <v>-3.029175</v>
      </c>
      <c r="T1886">
        <v>-4.5794960000000003E-2</v>
      </c>
      <c r="U1886">
        <v>-0.32568360000000002</v>
      </c>
      <c r="V1886">
        <v>6.3707990000000006E-2</v>
      </c>
      <c r="W1886">
        <v>-8.1680650000000004E-3</v>
      </c>
      <c r="X1886">
        <v>0.99793520000000002</v>
      </c>
      <c r="Y1886">
        <v>-0.1125797</v>
      </c>
      <c r="Z1886">
        <v>-9.3484429999999999E-4</v>
      </c>
      <c r="AA1886">
        <v>0.99364229999999998</v>
      </c>
      <c r="AB1886">
        <v>38</v>
      </c>
      <c r="AC1886">
        <v>-72.956399999999903</v>
      </c>
      <c r="AD1886">
        <v>-1.108912425625</v>
      </c>
      <c r="AE1886">
        <v>-7.8887000000000196</v>
      </c>
      <c r="AF1886">
        <v>-8.3045750224888799</v>
      </c>
      <c r="AG1886">
        <v>-1.108912425625</v>
      </c>
      <c r="AH1886">
        <v>72.893370007063595</v>
      </c>
      <c r="AI1886">
        <v>90.865961231944596</v>
      </c>
      <c r="AJ1886">
        <v>96.499553494955094</v>
      </c>
      <c r="AK1886">
        <v>73.373285629434093</v>
      </c>
      <c r="AL1886">
        <v>90.468000834594307</v>
      </c>
      <c r="AM1886">
        <v>86.3472054916421</v>
      </c>
      <c r="AN1886">
        <v>1.00000004433736</v>
      </c>
    </row>
    <row r="1887" spans="1:40" x14ac:dyDescent="0.25">
      <c r="A1887" t="str">
        <f>"20190312160953485"</f>
        <v>20190312160953485</v>
      </c>
      <c r="B1887" t="str">
        <f>"1552378193477246"</f>
        <v>1552378193477246</v>
      </c>
      <c r="C1887" t="s">
        <v>40</v>
      </c>
      <c r="D1887">
        <v>5.061909</v>
      </c>
      <c r="E1887">
        <v>0.43282769999999998</v>
      </c>
      <c r="F1887" t="s">
        <v>74</v>
      </c>
      <c r="G1887">
        <v>-421.22489999999999</v>
      </c>
      <c r="H1887" s="1">
        <v>5.2447360000000001E-6</v>
      </c>
      <c r="I1887">
        <v>276.4579</v>
      </c>
      <c r="J1887">
        <v>-352.42259999999999</v>
      </c>
      <c r="K1887">
        <v>1.1089169999999999</v>
      </c>
      <c r="L1887">
        <v>283.88499999999999</v>
      </c>
      <c r="M1887">
        <v>-0.99993319999999997</v>
      </c>
      <c r="N1887">
        <v>0</v>
      </c>
      <c r="O1887">
        <v>6.0579350000000004E-3</v>
      </c>
      <c r="P1887">
        <v>-0.99736570000000002</v>
      </c>
      <c r="Q1887">
        <v>-1.823702E-2</v>
      </c>
      <c r="R1887">
        <v>7.0208510000000002E-2</v>
      </c>
      <c r="S1887">
        <v>-3.029541</v>
      </c>
      <c r="T1887">
        <v>-4.855251E-2</v>
      </c>
      <c r="U1887">
        <v>-0.32507320000000001</v>
      </c>
      <c r="V1887">
        <v>6.4157900000000004E-2</v>
      </c>
      <c r="W1887">
        <v>-8.4694609999999993E-3</v>
      </c>
      <c r="X1887">
        <v>0.99790380000000001</v>
      </c>
      <c r="Y1887">
        <v>-0.1126954</v>
      </c>
      <c r="Z1887">
        <v>-9.9722109999999999E-4</v>
      </c>
      <c r="AA1887">
        <v>0.99362910000000004</v>
      </c>
      <c r="AB1887">
        <v>38</v>
      </c>
      <c r="AC1887">
        <v>-68.802300000000002</v>
      </c>
      <c r="AD1887">
        <v>-1.108911755264</v>
      </c>
      <c r="AE1887">
        <v>-7.4270999999999896</v>
      </c>
      <c r="AF1887">
        <v>-7.8417701713870196</v>
      </c>
      <c r="AG1887">
        <v>-1.108911755264</v>
      </c>
      <c r="AH1887">
        <v>68.738391868435698</v>
      </c>
      <c r="AI1887">
        <v>90.918280202122702</v>
      </c>
      <c r="AJ1887">
        <v>96.5082445805037</v>
      </c>
      <c r="AK1887">
        <v>69.193132328002307</v>
      </c>
      <c r="AL1887">
        <v>90.485270180947495</v>
      </c>
      <c r="AM1887">
        <v>86.321364368472004</v>
      </c>
      <c r="AN1887">
        <v>0.99999998097824006</v>
      </c>
    </row>
    <row r="1888" spans="1:40" x14ac:dyDescent="0.25">
      <c r="A1888" t="str">
        <f>"20190312160953506"</f>
        <v>20190312160953506</v>
      </c>
      <c r="B1888" t="str">
        <f>"1552378193497739"</f>
        <v>1552378193497739</v>
      </c>
      <c r="C1888" t="s">
        <v>40</v>
      </c>
      <c r="D1888">
        <v>5.1159809999999997</v>
      </c>
      <c r="E1888">
        <v>0.43281770000000003</v>
      </c>
      <c r="F1888" t="s">
        <v>74</v>
      </c>
      <c r="G1888">
        <v>-419.96069999999997</v>
      </c>
      <c r="H1888" s="1">
        <v>5.4505209999999997E-6</v>
      </c>
      <c r="I1888">
        <v>276.6687</v>
      </c>
      <c r="J1888">
        <v>-352.80090000000001</v>
      </c>
      <c r="K1888">
        <v>1.108919</v>
      </c>
      <c r="L1888">
        <v>283.88749999999999</v>
      </c>
      <c r="M1888">
        <v>-0.99993120000000002</v>
      </c>
      <c r="N1888">
        <v>0</v>
      </c>
      <c r="O1888">
        <v>6.3775610000000003E-3</v>
      </c>
      <c r="P1888">
        <v>-0.99735589999999996</v>
      </c>
      <c r="Q1888">
        <v>-1.801024E-2</v>
      </c>
      <c r="R1888">
        <v>7.0402759999999995E-2</v>
      </c>
      <c r="S1888">
        <v>-3.029846</v>
      </c>
      <c r="T1888">
        <v>-4.9747230000000003E-2</v>
      </c>
      <c r="U1888">
        <v>-0.32373049999999998</v>
      </c>
      <c r="V1888">
        <v>6.4033209999999993E-2</v>
      </c>
      <c r="W1888">
        <v>-8.2357760000000002E-3</v>
      </c>
      <c r="X1888">
        <v>0.99791379999999996</v>
      </c>
      <c r="Y1888">
        <v>-0.11256620000000001</v>
      </c>
      <c r="Z1888">
        <v>-1.0258540000000001E-3</v>
      </c>
      <c r="AA1888">
        <v>0.99364370000000002</v>
      </c>
      <c r="AB1888">
        <v>38</v>
      </c>
      <c r="AC1888">
        <v>-67.159799999999905</v>
      </c>
      <c r="AD1888">
        <v>-1.1089135494789999</v>
      </c>
      <c r="AE1888">
        <v>-7.2187999999999803</v>
      </c>
      <c r="AF1888">
        <v>-7.6449292115201803</v>
      </c>
      <c r="AG1888">
        <v>-1.1089135494789999</v>
      </c>
      <c r="AH1888">
        <v>67.094310356567206</v>
      </c>
      <c r="AI1888">
        <v>90.940793946493798</v>
      </c>
      <c r="AJ1888">
        <v>96.500419945627101</v>
      </c>
      <c r="AK1888">
        <v>67.537553362057295</v>
      </c>
      <c r="AL1888">
        <v>90.471880532768196</v>
      </c>
      <c r="AM1888">
        <v>86.328530863410606</v>
      </c>
      <c r="AN1888">
        <v>1.0000000161098299</v>
      </c>
    </row>
    <row r="1889" spans="1:40" x14ac:dyDescent="0.25">
      <c r="A1889" t="str">
        <f>"20190312160953527"</f>
        <v>20190312160953527</v>
      </c>
      <c r="B1889" t="str">
        <f>"1552378193517256"</f>
        <v>1552378193517256</v>
      </c>
      <c r="C1889" t="s">
        <v>40</v>
      </c>
      <c r="D1889">
        <v>5.2692449999999997</v>
      </c>
      <c r="E1889">
        <v>0.43301909999999999</v>
      </c>
      <c r="F1889" t="s">
        <v>74</v>
      </c>
      <c r="G1889">
        <v>-418.97739999999999</v>
      </c>
      <c r="H1889" s="1">
        <v>5.2216369999999997E-6</v>
      </c>
      <c r="I1889">
        <v>276.8261</v>
      </c>
      <c r="J1889">
        <v>-353.17230000000001</v>
      </c>
      <c r="K1889">
        <v>1.108914</v>
      </c>
      <c r="L1889">
        <v>283.89019999999999</v>
      </c>
      <c r="M1889">
        <v>-0.99992910000000002</v>
      </c>
      <c r="N1889">
        <v>0</v>
      </c>
      <c r="O1889">
        <v>6.6912229999999996E-3</v>
      </c>
      <c r="P1889">
        <v>-0.99736270000000005</v>
      </c>
      <c r="Q1889">
        <v>-1.761424E-2</v>
      </c>
      <c r="R1889">
        <v>7.0409680000000002E-2</v>
      </c>
      <c r="S1889">
        <v>-3.029846</v>
      </c>
      <c r="T1889">
        <v>-5.0770879999999997E-2</v>
      </c>
      <c r="U1889">
        <v>-0.32330320000000001</v>
      </c>
      <c r="V1889">
        <v>6.372746E-2</v>
      </c>
      <c r="W1889">
        <v>-7.8313610000000002E-3</v>
      </c>
      <c r="X1889">
        <v>0.99793659999999995</v>
      </c>
      <c r="Y1889">
        <v>-0.11273859999999999</v>
      </c>
      <c r="Z1889">
        <v>-1.0536510000000001E-3</v>
      </c>
      <c r="AA1889">
        <v>0.99362410000000001</v>
      </c>
      <c r="AB1889">
        <v>38</v>
      </c>
      <c r="AC1889">
        <v>-65.805099999999896</v>
      </c>
      <c r="AD1889">
        <v>-1.1089087783630001</v>
      </c>
      <c r="AE1889">
        <v>-7.0640999999999901</v>
      </c>
      <c r="AF1889">
        <v>-7.5021736826414003</v>
      </c>
      <c r="AG1889">
        <v>-1.1089087783630001</v>
      </c>
      <c r="AH1889">
        <v>65.737902025785303</v>
      </c>
      <c r="AI1889">
        <v>90.960178772026495</v>
      </c>
      <c r="AJ1889">
        <v>96.510570623662801</v>
      </c>
      <c r="AK1889">
        <v>66.173892521106794</v>
      </c>
      <c r="AL1889">
        <v>90.448708524949893</v>
      </c>
      <c r="AM1889">
        <v>86.346097285563502</v>
      </c>
      <c r="AN1889">
        <v>0.99999998849636096</v>
      </c>
    </row>
    <row r="1890" spans="1:40" x14ac:dyDescent="0.25">
      <c r="A1890" t="str">
        <f>"20190312160953550"</f>
        <v>20190312160953550</v>
      </c>
      <c r="B1890" t="str">
        <f>"1552378193547512"</f>
        <v>1552378193547512</v>
      </c>
      <c r="C1890" t="s">
        <v>40</v>
      </c>
      <c r="D1890">
        <v>5.1712829999999999</v>
      </c>
      <c r="E1890">
        <v>0.4744661</v>
      </c>
      <c r="F1890" t="s">
        <v>74</v>
      </c>
      <c r="G1890">
        <v>-419.76409999999998</v>
      </c>
      <c r="H1890" s="1">
        <v>5.3622330000000004E-6</v>
      </c>
      <c r="I1890">
        <v>276.82319999999999</v>
      </c>
      <c r="J1890">
        <v>-353.55810000000002</v>
      </c>
      <c r="K1890">
        <v>1.1089180000000001</v>
      </c>
      <c r="L1890">
        <v>283.89299999999997</v>
      </c>
      <c r="M1890">
        <v>-0.99992669999999995</v>
      </c>
      <c r="N1890">
        <v>0</v>
      </c>
      <c r="O1890">
        <v>7.0170609999999998E-3</v>
      </c>
      <c r="P1890">
        <v>-0.99736899999999995</v>
      </c>
      <c r="Q1890">
        <v>-1.803807E-2</v>
      </c>
      <c r="R1890">
        <v>7.0213059999999994E-2</v>
      </c>
      <c r="S1890">
        <v>-3.0297550000000002</v>
      </c>
      <c r="T1890">
        <v>-5.0452469999999999E-2</v>
      </c>
      <c r="U1890">
        <v>-0.32153320000000002</v>
      </c>
      <c r="V1890">
        <v>6.3205410000000004E-2</v>
      </c>
      <c r="W1890">
        <v>-8.2369179999999993E-3</v>
      </c>
      <c r="X1890">
        <v>0.99796649999999998</v>
      </c>
      <c r="Y1890">
        <v>-0.1124918</v>
      </c>
      <c r="Z1890">
        <v>-1.05047E-3</v>
      </c>
      <c r="AA1890">
        <v>0.99365210000000004</v>
      </c>
      <c r="AB1890">
        <v>38</v>
      </c>
      <c r="AC1890">
        <v>-66.205999999999904</v>
      </c>
      <c r="AD1890">
        <v>-1.108912637767</v>
      </c>
      <c r="AE1890">
        <v>-7.0697999999999803</v>
      </c>
      <c r="AF1890">
        <v>-7.5321308167287997</v>
      </c>
      <c r="AG1890">
        <v>-1.108912637767</v>
      </c>
      <c r="AH1890">
        <v>66.136413282081307</v>
      </c>
      <c r="AI1890">
        <v>90.954422722259693</v>
      </c>
      <c r="AJ1890">
        <v>96.497296052498797</v>
      </c>
      <c r="AK1890">
        <v>66.573176608126303</v>
      </c>
      <c r="AL1890">
        <v>90.471945996600695</v>
      </c>
      <c r="AM1890">
        <v>86.376057940900097</v>
      </c>
      <c r="AN1890">
        <v>0.99999995289682697</v>
      </c>
    </row>
    <row r="1891" spans="1:40" x14ac:dyDescent="0.25">
      <c r="A1891" t="str">
        <f>"20190312160953573"</f>
        <v>20190312160953573</v>
      </c>
      <c r="B1891" t="str">
        <f>"1552378193568008"</f>
        <v>1552378193568008</v>
      </c>
      <c r="C1891" t="s">
        <v>40</v>
      </c>
      <c r="D1891">
        <v>5.1665760000000001</v>
      </c>
      <c r="E1891">
        <v>0.47793089999999999</v>
      </c>
      <c r="F1891" t="s">
        <v>61</v>
      </c>
      <c r="G1891">
        <v>-385.0847</v>
      </c>
      <c r="H1891" s="1">
        <v>1.1690210000000001E-6</v>
      </c>
      <c r="I1891">
        <v>283.96379999999999</v>
      </c>
      <c r="J1891">
        <v>-353.96370000000002</v>
      </c>
      <c r="K1891">
        <v>1.1089199999999999</v>
      </c>
      <c r="L1891">
        <v>283.89620000000002</v>
      </c>
      <c r="M1891">
        <v>-0.99992409999999998</v>
      </c>
      <c r="N1891">
        <v>0</v>
      </c>
      <c r="O1891">
        <v>7.3594659999999899E-3</v>
      </c>
      <c r="P1891">
        <v>-0.99737129999999996</v>
      </c>
      <c r="Q1891">
        <v>-1.8481210000000001E-2</v>
      </c>
      <c r="R1891">
        <v>7.0065890000000006E-2</v>
      </c>
      <c r="S1891">
        <v>-3.0055239999999999</v>
      </c>
      <c r="T1891">
        <v>-0.1057165</v>
      </c>
      <c r="U1891">
        <v>6.7443850000000003E-3</v>
      </c>
      <c r="V1891">
        <v>6.2716220000000003E-2</v>
      </c>
      <c r="W1891">
        <v>-8.6482469999999995E-3</v>
      </c>
      <c r="X1891">
        <v>0.99799389999999999</v>
      </c>
      <c r="Y1891">
        <v>-5.1081659999999999E-3</v>
      </c>
      <c r="Z1891">
        <v>-3.4860190000000001E-4</v>
      </c>
      <c r="AA1891">
        <v>0.99998690000000001</v>
      </c>
      <c r="AB1891">
        <v>39</v>
      </c>
      <c r="AC1891">
        <v>-31.120999999999899</v>
      </c>
      <c r="AD1891">
        <v>-1.1089188309789999</v>
      </c>
      <c r="AE1891">
        <v>6.7599999999970295E-2</v>
      </c>
      <c r="AF1891">
        <v>-0.16124222945681099</v>
      </c>
      <c r="AG1891">
        <v>-1.1089188309789999</v>
      </c>
      <c r="AH1891">
        <v>31.081191833283299</v>
      </c>
      <c r="AI1891">
        <v>92.043312134893199</v>
      </c>
      <c r="AJ1891">
        <v>90.297234945154003</v>
      </c>
      <c r="AK1891">
        <v>31.101385593050701</v>
      </c>
      <c r="AL1891">
        <v>90.4955142448337</v>
      </c>
      <c r="AM1891">
        <v>86.404130699139102</v>
      </c>
      <c r="AN1891">
        <v>0.99999997043223499</v>
      </c>
    </row>
    <row r="1892" spans="1:40" x14ac:dyDescent="0.25">
      <c r="A1892" t="str">
        <f>"20190312160953596"</f>
        <v>20190312160953596</v>
      </c>
      <c r="B1892" t="str">
        <f>"1552378193587528"</f>
        <v>1552378193587528</v>
      </c>
      <c r="C1892" t="s">
        <v>40</v>
      </c>
      <c r="D1892">
        <v>5.0892619999999997</v>
      </c>
      <c r="E1892">
        <v>0.47988979999999998</v>
      </c>
      <c r="F1892" t="s">
        <v>61</v>
      </c>
      <c r="G1892">
        <v>-390.38150000000002</v>
      </c>
      <c r="H1892" s="1">
        <v>-1.3337860000000001E-6</v>
      </c>
      <c r="I1892">
        <v>284.30869999999999</v>
      </c>
      <c r="J1892">
        <v>-354.34989999999999</v>
      </c>
      <c r="K1892">
        <v>1.108924</v>
      </c>
      <c r="L1892">
        <v>283.89940000000001</v>
      </c>
      <c r="M1892">
        <v>-0.99992099999999995</v>
      </c>
      <c r="N1892">
        <v>0</v>
      </c>
      <c r="O1892">
        <v>7.6854389999999996E-3</v>
      </c>
      <c r="P1892">
        <v>-0.99740649999999997</v>
      </c>
      <c r="Q1892">
        <v>-1.8428770000000001E-2</v>
      </c>
      <c r="R1892">
        <v>6.9573360000000001E-2</v>
      </c>
      <c r="S1892">
        <v>-3.0038149999999999</v>
      </c>
      <c r="T1892">
        <v>-9.1466309999999995E-2</v>
      </c>
      <c r="U1892">
        <v>3.4027099999999998E-2</v>
      </c>
      <c r="V1892">
        <v>6.1898069999999999E-2</v>
      </c>
      <c r="W1892">
        <v>-8.5544539999999995E-3</v>
      </c>
      <c r="X1892">
        <v>0.99804579999999998</v>
      </c>
      <c r="Y1892">
        <v>3.643449E-3</v>
      </c>
      <c r="Z1892">
        <v>-1.7851069999999999E-4</v>
      </c>
      <c r="AA1892">
        <v>0.99999329999999997</v>
      </c>
      <c r="AB1892">
        <v>39</v>
      </c>
      <c r="AC1892">
        <v>-36.031599999999997</v>
      </c>
      <c r="AD1892">
        <v>-1.1089253337859999</v>
      </c>
      <c r="AE1892">
        <v>0.40929999999997302</v>
      </c>
      <c r="AF1892">
        <v>0.132230317217085</v>
      </c>
      <c r="AG1892">
        <v>-1.1089253337859999</v>
      </c>
      <c r="AH1892">
        <v>35.9995874819354</v>
      </c>
      <c r="AI1892">
        <v>91.764359897729094</v>
      </c>
      <c r="AJ1892">
        <v>89.7895474487825</v>
      </c>
      <c r="AK1892">
        <v>36.016905740529999</v>
      </c>
      <c r="AL1892">
        <v>90.490140096013405</v>
      </c>
      <c r="AM1892">
        <v>86.451103180930204</v>
      </c>
      <c r="AN1892">
        <v>0.99999998432530102</v>
      </c>
    </row>
    <row r="1893" spans="1:40" x14ac:dyDescent="0.25">
      <c r="A1893" t="str">
        <f>"20190312160953617"</f>
        <v>20190312160953617</v>
      </c>
      <c r="B1893" t="str">
        <f>"1552378193607048"</f>
        <v>1552378193607048</v>
      </c>
      <c r="C1893" t="s">
        <v>40</v>
      </c>
      <c r="D1893">
        <v>5.1921460000000002</v>
      </c>
      <c r="E1893">
        <v>0.48084640000000001</v>
      </c>
      <c r="F1893" t="s">
        <v>61</v>
      </c>
      <c r="G1893">
        <v>-392.92669999999998</v>
      </c>
      <c r="H1893" s="1">
        <v>2.0669149999999999E-8</v>
      </c>
      <c r="I1893">
        <v>284.51960000000003</v>
      </c>
      <c r="J1893">
        <v>-354.7253</v>
      </c>
      <c r="K1893">
        <v>1.1089279999999999</v>
      </c>
      <c r="L1893">
        <v>283.90249999999997</v>
      </c>
      <c r="M1893">
        <v>-0.99991799999999997</v>
      </c>
      <c r="N1893">
        <v>0</v>
      </c>
      <c r="O1893">
        <v>8.0015559999999999E-3</v>
      </c>
      <c r="P1893">
        <v>-0.99742889999999995</v>
      </c>
      <c r="Q1893">
        <v>-1.841077E-2</v>
      </c>
      <c r="R1893">
        <v>6.9258470000000003E-2</v>
      </c>
      <c r="S1893">
        <v>-3.0028079999999999</v>
      </c>
      <c r="T1893">
        <v>-8.6318249999999999E-2</v>
      </c>
      <c r="U1893">
        <v>4.8278809999999998E-2</v>
      </c>
      <c r="V1893">
        <v>6.126761E-2</v>
      </c>
      <c r="W1893">
        <v>-8.4902640000000008E-3</v>
      </c>
      <c r="X1893">
        <v>0.99808529999999995</v>
      </c>
      <c r="Y1893">
        <v>8.0743489999999998E-3</v>
      </c>
      <c r="Z1893">
        <v>-1.13934599999999E-4</v>
      </c>
      <c r="AA1893">
        <v>0.99996739999999995</v>
      </c>
      <c r="AB1893">
        <v>39</v>
      </c>
      <c r="AC1893">
        <v>-38.2013999999999</v>
      </c>
      <c r="AD1893">
        <v>-1.10892797933085</v>
      </c>
      <c r="AE1893">
        <v>0.61710000000005005</v>
      </c>
      <c r="AF1893">
        <v>0.31113221389666701</v>
      </c>
      <c r="AG1893">
        <v>-1.10892797933085</v>
      </c>
      <c r="AH1893">
        <v>38.172956827718799</v>
      </c>
      <c r="AI1893">
        <v>91.663924559797806</v>
      </c>
      <c r="AJ1893">
        <v>89.533015792549406</v>
      </c>
      <c r="AK1893">
        <v>38.190328062072801</v>
      </c>
      <c r="AL1893">
        <v>90.486462121479207</v>
      </c>
      <c r="AM1893">
        <v>86.487298004369293</v>
      </c>
      <c r="AN1893">
        <v>1.00000003534699</v>
      </c>
    </row>
    <row r="1894" spans="1:40" x14ac:dyDescent="0.25">
      <c r="A1894" t="str">
        <f>"20190312160953640"</f>
        <v>20190312160953640</v>
      </c>
      <c r="B1894" t="str">
        <f>"1552378193627544"</f>
        <v>1552378193627544</v>
      </c>
      <c r="C1894" t="s">
        <v>40</v>
      </c>
      <c r="D1894">
        <v>5.2070639999999999</v>
      </c>
      <c r="E1894">
        <v>0.481101</v>
      </c>
      <c r="F1894" t="s">
        <v>61</v>
      </c>
      <c r="G1894">
        <v>-394.09399999999999</v>
      </c>
      <c r="H1894" s="1">
        <v>6.4185219999999998E-7</v>
      </c>
      <c r="I1894">
        <v>284.62520000000001</v>
      </c>
      <c r="J1894">
        <v>-355.1026</v>
      </c>
      <c r="K1894">
        <v>1.1089329999999999</v>
      </c>
      <c r="L1894">
        <v>283.9058</v>
      </c>
      <c r="M1894">
        <v>-0.9999152</v>
      </c>
      <c r="N1894">
        <v>0</v>
      </c>
      <c r="O1894">
        <v>8.3184999999999995E-3</v>
      </c>
      <c r="P1894">
        <v>-0.99742509999999995</v>
      </c>
      <c r="Q1894">
        <v>-1.8510169999999999E-2</v>
      </c>
      <c r="R1894">
        <v>6.9288760000000005E-2</v>
      </c>
      <c r="S1894">
        <v>-3.0023499999999999</v>
      </c>
      <c r="T1894">
        <v>-8.4569329999999998E-2</v>
      </c>
      <c r="U1894">
        <v>5.5114749999999997E-2</v>
      </c>
      <c r="V1894">
        <v>6.0981519999999997E-2</v>
      </c>
      <c r="W1894">
        <v>-8.5424960000000001E-3</v>
      </c>
      <c r="X1894">
        <v>0.99810239999999995</v>
      </c>
      <c r="Y1894">
        <v>1.0035280000000001E-2</v>
      </c>
      <c r="Z1894" s="1">
        <v>-9.2956720000000005E-5</v>
      </c>
      <c r="AA1894">
        <v>0.99994959999999999</v>
      </c>
      <c r="AB1894">
        <v>39</v>
      </c>
      <c r="AC1894">
        <v>-38.991399999999999</v>
      </c>
      <c r="AD1894">
        <v>-1.1089323581477999</v>
      </c>
      <c r="AE1894">
        <v>0.71940000000000703</v>
      </c>
      <c r="AF1894">
        <v>0.39468972358120302</v>
      </c>
      <c r="AG1894">
        <v>-1.1089323581477999</v>
      </c>
      <c r="AH1894">
        <v>38.964529359384599</v>
      </c>
      <c r="AI1894">
        <v>91.630116981299494</v>
      </c>
      <c r="AJ1894">
        <v>89.419644421430306</v>
      </c>
      <c r="AK1894">
        <v>38.982304436130903</v>
      </c>
      <c r="AL1894">
        <v>90.489454890774198</v>
      </c>
      <c r="AM1894">
        <v>86.5037195857672</v>
      </c>
      <c r="AN1894">
        <v>1.0000000604525801</v>
      </c>
    </row>
    <row r="1895" spans="1:40" x14ac:dyDescent="0.25">
      <c r="A1895" t="str">
        <f>"20190312160953663"</f>
        <v>20190312160953663</v>
      </c>
      <c r="B1895" t="str">
        <f>"1552378193657800"</f>
        <v>1552378193657800</v>
      </c>
      <c r="C1895" t="s">
        <v>40</v>
      </c>
      <c r="D1895">
        <v>5.3070659999999998</v>
      </c>
      <c r="E1895">
        <v>0.48141489999999998</v>
      </c>
      <c r="F1895" t="s">
        <v>61</v>
      </c>
      <c r="G1895">
        <v>-394.75810000000001</v>
      </c>
      <c r="H1895" s="1">
        <v>9.9526510000000006E-7</v>
      </c>
      <c r="I1895">
        <v>284.65879999999999</v>
      </c>
      <c r="J1895">
        <v>-355.50599999999997</v>
      </c>
      <c r="K1895">
        <v>1.10894</v>
      </c>
      <c r="L1895">
        <v>283.90940000000001</v>
      </c>
      <c r="M1895">
        <v>-0.99991180000000002</v>
      </c>
      <c r="N1895">
        <v>0</v>
      </c>
      <c r="O1895">
        <v>8.6580790000000008E-3</v>
      </c>
      <c r="P1895">
        <v>-0.99739460000000002</v>
      </c>
      <c r="Q1895">
        <v>-1.8866930000000001E-2</v>
      </c>
      <c r="R1895">
        <v>6.9628250000000003E-2</v>
      </c>
      <c r="S1895">
        <v>-3.0022280000000001</v>
      </c>
      <c r="T1895">
        <v>-8.3954570000000006E-2</v>
      </c>
      <c r="U1895">
        <v>5.7006840000000003E-2</v>
      </c>
      <c r="V1895">
        <v>6.0981960000000002E-2</v>
      </c>
      <c r="W1895">
        <v>-8.8510749999999999E-3</v>
      </c>
      <c r="X1895">
        <v>0.99809959999999998</v>
      </c>
      <c r="Y1895">
        <v>1.0326429999999999E-2</v>
      </c>
      <c r="Z1895" s="1">
        <v>-9.7707819999999994E-5</v>
      </c>
      <c r="AA1895">
        <v>0.99994669999999997</v>
      </c>
      <c r="AB1895">
        <v>39</v>
      </c>
      <c r="AC1895">
        <v>-39.252099999999999</v>
      </c>
      <c r="AD1895">
        <v>-1.1089390047348999</v>
      </c>
      <c r="AE1895">
        <v>0.74939999999997997</v>
      </c>
      <c r="AF1895">
        <v>0.409180416734991</v>
      </c>
      <c r="AG1895">
        <v>-1.1089390047348999</v>
      </c>
      <c r="AH1895">
        <v>39.225820260658601</v>
      </c>
      <c r="AI1895">
        <v>91.619268928918302</v>
      </c>
      <c r="AJ1895">
        <v>89.402346197479204</v>
      </c>
      <c r="AK1895">
        <v>39.243625590038903</v>
      </c>
      <c r="AL1895">
        <v>90.507135875480103</v>
      </c>
      <c r="AM1895">
        <v>86.5036846376657</v>
      </c>
      <c r="AN1895">
        <v>0.999999976247128</v>
      </c>
    </row>
    <row r="1896" spans="1:40" x14ac:dyDescent="0.25">
      <c r="A1896" t="str">
        <f>"20190312160953686"</f>
        <v>20190312160953686</v>
      </c>
      <c r="B1896" t="str">
        <f>"1552378193677322"</f>
        <v>1552378193677322</v>
      </c>
      <c r="C1896" t="s">
        <v>40</v>
      </c>
      <c r="D1896">
        <v>5.3292449999999896</v>
      </c>
      <c r="E1896">
        <v>0.481906</v>
      </c>
      <c r="F1896" t="s">
        <v>61</v>
      </c>
      <c r="G1896">
        <v>-394.89949999999999</v>
      </c>
      <c r="H1896" s="1">
        <v>1.0705050000000001E-6</v>
      </c>
      <c r="I1896">
        <v>284.70229999999998</v>
      </c>
      <c r="J1896">
        <v>-355.89530000000002</v>
      </c>
      <c r="K1896">
        <v>1.1089439999999999</v>
      </c>
      <c r="L1896">
        <v>283.91309999999999</v>
      </c>
      <c r="M1896">
        <v>-0.99990840000000003</v>
      </c>
      <c r="N1896">
        <v>0</v>
      </c>
      <c r="O1896">
        <v>8.9856399999999996E-3</v>
      </c>
      <c r="P1896">
        <v>-0.99733329999999998</v>
      </c>
      <c r="Q1896">
        <v>-1.902328E-2</v>
      </c>
      <c r="R1896">
        <v>7.0459010000000002E-2</v>
      </c>
      <c r="S1896">
        <v>-3.0020449999999999</v>
      </c>
      <c r="T1896">
        <v>-8.4508299999999995E-2</v>
      </c>
      <c r="U1896">
        <v>6.0424800000000001E-2</v>
      </c>
      <c r="V1896">
        <v>6.1486239999999998E-2</v>
      </c>
      <c r="W1896">
        <v>-8.9648119999999904E-3</v>
      </c>
      <c r="X1896">
        <v>0.9980677</v>
      </c>
      <c r="Y1896">
        <v>1.1137869999999999E-2</v>
      </c>
      <c r="Z1896" s="1">
        <v>-9.6157059999999999E-5</v>
      </c>
      <c r="AA1896">
        <v>0.99993799999999999</v>
      </c>
      <c r="AB1896">
        <v>39</v>
      </c>
      <c r="AC1896">
        <v>-39.004199999999898</v>
      </c>
      <c r="AD1896">
        <v>-1.108942929495</v>
      </c>
      <c r="AE1896">
        <v>0.78919999999999302</v>
      </c>
      <c r="AF1896">
        <v>0.438318314626918</v>
      </c>
      <c r="AG1896">
        <v>-1.108942929495</v>
      </c>
      <c r="AH1896">
        <v>38.978222127932497</v>
      </c>
      <c r="AI1896">
        <v>91.629540749002899</v>
      </c>
      <c r="AJ1896">
        <v>89.3557240521843</v>
      </c>
      <c r="AK1896">
        <v>38.996457244476197</v>
      </c>
      <c r="AL1896">
        <v>90.5136527568378</v>
      </c>
      <c r="AM1896">
        <v>86.474732673030104</v>
      </c>
      <c r="AN1896">
        <v>1.00000002967341</v>
      </c>
    </row>
    <row r="1897" spans="1:40" x14ac:dyDescent="0.25">
      <c r="A1897" t="str">
        <f>"20190312160953707"</f>
        <v>20190312160953707</v>
      </c>
      <c r="B1897" t="str">
        <f>"1552378193697350"</f>
        <v>1552378193697350</v>
      </c>
      <c r="C1897" t="s">
        <v>40</v>
      </c>
      <c r="D1897">
        <v>5.4671629999999896</v>
      </c>
      <c r="E1897">
        <v>0.50166659999999996</v>
      </c>
      <c r="F1897" t="s">
        <v>61</v>
      </c>
      <c r="G1897">
        <v>-398.05509999999998</v>
      </c>
      <c r="H1897" s="1">
        <v>2.7497469999999999E-6</v>
      </c>
      <c r="I1897">
        <v>284.85860000000002</v>
      </c>
      <c r="J1897">
        <v>-356.2672</v>
      </c>
      <c r="K1897">
        <v>1.108948</v>
      </c>
      <c r="L1897">
        <v>283.91669999999999</v>
      </c>
      <c r="M1897">
        <v>-0.99990509999999999</v>
      </c>
      <c r="N1897">
        <v>0</v>
      </c>
      <c r="O1897">
        <v>9.2987950000000003E-3</v>
      </c>
      <c r="P1897">
        <v>-0.99728530000000004</v>
      </c>
      <c r="Q1897">
        <v>-1.9284450000000002E-2</v>
      </c>
      <c r="R1897">
        <v>7.1064669999999996E-2</v>
      </c>
      <c r="S1897">
        <v>-3.00177</v>
      </c>
      <c r="T1897">
        <v>-7.8956369999999998E-2</v>
      </c>
      <c r="U1897">
        <v>6.7321779999999998E-2</v>
      </c>
      <c r="V1897">
        <v>6.1779559999999997E-2</v>
      </c>
      <c r="W1897">
        <v>-9.1881110000000005E-3</v>
      </c>
      <c r="X1897">
        <v>0.99804749999999998</v>
      </c>
      <c r="Y1897">
        <v>1.3122490000000001E-2</v>
      </c>
      <c r="Z1897" s="1">
        <v>-7.1988590000000003E-5</v>
      </c>
      <c r="AA1897">
        <v>0.99991390000000002</v>
      </c>
      <c r="AB1897">
        <v>39</v>
      </c>
      <c r="AC1897">
        <v>-41.787899999999901</v>
      </c>
      <c r="AD1897">
        <v>-1.1089452502529999</v>
      </c>
      <c r="AE1897">
        <v>0.94190000000003204</v>
      </c>
      <c r="AF1897">
        <v>0.552872925201356</v>
      </c>
      <c r="AG1897">
        <v>-1.1089452502529999</v>
      </c>
      <c r="AH1897">
        <v>41.7654542509284</v>
      </c>
      <c r="AI1897">
        <v>91.520811790410903</v>
      </c>
      <c r="AJ1897">
        <v>89.241587678611495</v>
      </c>
      <c r="AK1897">
        <v>41.783831763325303</v>
      </c>
      <c r="AL1897">
        <v>90.526447403184903</v>
      </c>
      <c r="AM1897">
        <v>86.457886598382501</v>
      </c>
      <c r="AN1897">
        <v>0.99999997383689498</v>
      </c>
    </row>
    <row r="1898" spans="1:40" x14ac:dyDescent="0.25">
      <c r="A1898" t="str">
        <f>"20190312160953728"</f>
        <v>20190312160953728</v>
      </c>
      <c r="B1898" t="str">
        <f>"1552378193717843"</f>
        <v>1552378193717843</v>
      </c>
      <c r="C1898" t="s">
        <v>40</v>
      </c>
      <c r="D1898">
        <v>5.4977850000000004</v>
      </c>
      <c r="E1898">
        <v>0.50659509999999996</v>
      </c>
      <c r="F1898" t="s">
        <v>61</v>
      </c>
      <c r="G1898">
        <v>-388.46300000000002</v>
      </c>
      <c r="H1898" s="1">
        <v>2.966773E-6</v>
      </c>
      <c r="I1898">
        <v>286.34769999999997</v>
      </c>
      <c r="J1898">
        <v>-356.64600000000002</v>
      </c>
      <c r="K1898">
        <v>1.1089469999999999</v>
      </c>
      <c r="L1898">
        <v>283.92059999999998</v>
      </c>
      <c r="M1898">
        <v>-0.99990179999999995</v>
      </c>
      <c r="N1898">
        <v>0</v>
      </c>
      <c r="O1898">
        <v>9.6173820000000007E-3</v>
      </c>
      <c r="P1898">
        <v>-0.99718439999999997</v>
      </c>
      <c r="Q1898">
        <v>-1.939213E-2</v>
      </c>
      <c r="R1898">
        <v>7.2439320000000001E-2</v>
      </c>
      <c r="S1898">
        <v>-2.9900509999999998</v>
      </c>
      <c r="T1898">
        <v>-0.1029887</v>
      </c>
      <c r="U1898">
        <v>0.225769</v>
      </c>
      <c r="V1898">
        <v>6.2837119999999996E-2</v>
      </c>
      <c r="W1898">
        <v>-9.2606170000000005E-3</v>
      </c>
      <c r="X1898">
        <v>0.9979808</v>
      </c>
      <c r="Y1898">
        <v>6.5665319999999999E-2</v>
      </c>
      <c r="Z1898">
        <v>7.9826669999999997E-4</v>
      </c>
      <c r="AA1898">
        <v>0.99784139999999999</v>
      </c>
      <c r="AB1898">
        <v>39</v>
      </c>
      <c r="AC1898">
        <v>-31.817</v>
      </c>
      <c r="AD1898">
        <v>-1.108944033227</v>
      </c>
      <c r="AE1898">
        <v>2.42709999999999</v>
      </c>
      <c r="AF1898">
        <v>2.1184170583245399</v>
      </c>
      <c r="AG1898">
        <v>-1.108944033227</v>
      </c>
      <c r="AH1898">
        <v>31.800464578856801</v>
      </c>
      <c r="AI1898">
        <v>91.992792711046405</v>
      </c>
      <c r="AJ1898">
        <v>86.188820141860205</v>
      </c>
      <c r="AK1898">
        <v>31.8902335383885</v>
      </c>
      <c r="AL1898">
        <v>90.530601869913895</v>
      </c>
      <c r="AM1898">
        <v>86.397169903347304</v>
      </c>
      <c r="AN1898">
        <v>0.99999996992287699</v>
      </c>
    </row>
    <row r="1899" spans="1:40" x14ac:dyDescent="0.25">
      <c r="A1899" t="str">
        <f>"20190312160953752"</f>
        <v>20190312160953752</v>
      </c>
      <c r="B1899" t="str">
        <f>"1552378193748099"</f>
        <v>1552378193748099</v>
      </c>
      <c r="C1899" t="s">
        <v>40</v>
      </c>
      <c r="D1899">
        <v>5.3963190000000001</v>
      </c>
      <c r="E1899">
        <v>0.50857280000000005</v>
      </c>
      <c r="F1899" t="s">
        <v>61</v>
      </c>
      <c r="G1899">
        <v>-386.69150000000002</v>
      </c>
      <c r="H1899" s="1">
        <v>2.0240800000000001E-6</v>
      </c>
      <c r="I1899">
        <v>286.62549999999999</v>
      </c>
      <c r="J1899">
        <v>-357.05349999999999</v>
      </c>
      <c r="K1899">
        <v>1.1089500000000001</v>
      </c>
      <c r="L1899">
        <v>283.9248</v>
      </c>
      <c r="M1899">
        <v>-0.99989779999999995</v>
      </c>
      <c r="N1899">
        <v>0</v>
      </c>
      <c r="O1899">
        <v>9.9605679999999995E-3</v>
      </c>
      <c r="P1899">
        <v>-0.99712990000000001</v>
      </c>
      <c r="Q1899">
        <v>-1.962995E-2</v>
      </c>
      <c r="R1899">
        <v>7.3120729999999995E-2</v>
      </c>
      <c r="S1899">
        <v>-2.9867859999999999</v>
      </c>
      <c r="T1899">
        <v>-0.110239</v>
      </c>
      <c r="U1899">
        <v>0.26889039999999997</v>
      </c>
      <c r="V1899">
        <v>6.3176540000000003E-2</v>
      </c>
      <c r="W1899">
        <v>-9.4586150000000001E-3</v>
      </c>
      <c r="X1899">
        <v>0.99795750000000005</v>
      </c>
      <c r="Y1899">
        <v>7.9691540000000005E-2</v>
      </c>
      <c r="Z1899">
        <v>1.1004579999999999E-3</v>
      </c>
      <c r="AA1899">
        <v>0.99681900000000001</v>
      </c>
      <c r="AB1899">
        <v>39</v>
      </c>
      <c r="AC1899">
        <v>-29.638000000000002</v>
      </c>
      <c r="AD1899">
        <v>-1.1089479759200001</v>
      </c>
      <c r="AE1899">
        <v>2.7006999999999799</v>
      </c>
      <c r="AF1899">
        <v>2.40200408384927</v>
      </c>
      <c r="AG1899">
        <v>-1.1089479759200001</v>
      </c>
      <c r="AH1899">
        <v>29.622302115442999</v>
      </c>
      <c r="AI1899">
        <v>92.136930731956895</v>
      </c>
      <c r="AJ1899">
        <v>85.364160320185505</v>
      </c>
      <c r="AK1899">
        <v>29.7402113619037</v>
      </c>
      <c r="AL1899">
        <v>90.541946824393506</v>
      </c>
      <c r="AM1899">
        <v>86.3776762411904</v>
      </c>
      <c r="AN1899">
        <v>0.99999995620516902</v>
      </c>
    </row>
    <row r="1900" spans="1:40" x14ac:dyDescent="0.25">
      <c r="A1900" t="str">
        <f>"20190312160953775"</f>
        <v>20190312160953775</v>
      </c>
      <c r="B1900" t="str">
        <f>"1552378193767619"</f>
        <v>1552378193767619</v>
      </c>
      <c r="C1900" t="s">
        <v>40</v>
      </c>
      <c r="D1900">
        <v>5.3247489999999997</v>
      </c>
      <c r="E1900">
        <v>0.50915849999999996</v>
      </c>
      <c r="F1900" t="s">
        <v>61</v>
      </c>
      <c r="G1900">
        <v>-386.28460000000001</v>
      </c>
      <c r="H1900" s="1">
        <v>1.807584E-6</v>
      </c>
      <c r="I1900">
        <v>286.73329999999999</v>
      </c>
      <c r="J1900">
        <v>-357.44400000000002</v>
      </c>
      <c r="K1900">
        <v>1.1089530000000001</v>
      </c>
      <c r="L1900">
        <v>283.92899999999997</v>
      </c>
      <c r="M1900">
        <v>-0.99989419999999996</v>
      </c>
      <c r="N1900">
        <v>0</v>
      </c>
      <c r="O1900">
        <v>1.0289339999999999E-2</v>
      </c>
      <c r="P1900">
        <v>-0.99710399999999999</v>
      </c>
      <c r="Q1900">
        <v>-1.9173119999999998E-2</v>
      </c>
      <c r="R1900">
        <v>7.3594099999999996E-2</v>
      </c>
      <c r="S1900">
        <v>-2.9853519999999998</v>
      </c>
      <c r="T1900">
        <v>-0.1132561</v>
      </c>
      <c r="U1900">
        <v>0.2868347</v>
      </c>
      <c r="V1900">
        <v>6.3322500000000004E-2</v>
      </c>
      <c r="W1900">
        <v>-8.9634439999999992E-3</v>
      </c>
      <c r="X1900">
        <v>0.99795290000000003</v>
      </c>
      <c r="Y1900">
        <v>8.5339020000000002E-2</v>
      </c>
      <c r="Z1900">
        <v>1.2251880000000001E-3</v>
      </c>
      <c r="AA1900">
        <v>0.99635119999999999</v>
      </c>
      <c r="AB1900">
        <v>39</v>
      </c>
      <c r="AC1900">
        <v>-28.840599999999899</v>
      </c>
      <c r="AD1900">
        <v>-1.108951192416</v>
      </c>
      <c r="AE1900">
        <v>2.8042999999999498</v>
      </c>
      <c r="AF1900">
        <v>2.50371807355197</v>
      </c>
      <c r="AG1900">
        <v>-1.108951192416</v>
      </c>
      <c r="AH1900">
        <v>28.825709880883799</v>
      </c>
      <c r="AI1900">
        <v>92.194878551353796</v>
      </c>
      <c r="AJ1900">
        <v>85.035912014473098</v>
      </c>
      <c r="AK1900">
        <v>28.955481813913501</v>
      </c>
      <c r="AL1900">
        <v>90.513574369570406</v>
      </c>
      <c r="AM1900">
        <v>86.369313069412897</v>
      </c>
      <c r="AN1900">
        <v>1.0000000364765</v>
      </c>
    </row>
    <row r="1901" spans="1:40" x14ac:dyDescent="0.25">
      <c r="A1901" t="str">
        <f>"20190312160953798"</f>
        <v>20190312160953798</v>
      </c>
      <c r="B1901" t="str">
        <f>"1552378193787139"</f>
        <v>1552378193787139</v>
      </c>
      <c r="C1901" t="s">
        <v>40</v>
      </c>
      <c r="D1901">
        <v>5.3396999999999997</v>
      </c>
      <c r="E1901">
        <v>0.5147986</v>
      </c>
      <c r="F1901" t="s">
        <v>61</v>
      </c>
      <c r="G1901">
        <v>-386.45749999999998</v>
      </c>
      <c r="H1901" s="1">
        <v>1.8995500000000001E-6</v>
      </c>
      <c r="I1901">
        <v>286.77420000000001</v>
      </c>
      <c r="J1901">
        <v>-357.84</v>
      </c>
      <c r="K1901">
        <v>1.1089469999999999</v>
      </c>
      <c r="L1901">
        <v>283.93340000000001</v>
      </c>
      <c r="M1901">
        <v>-0.99989019999999995</v>
      </c>
      <c r="N1901">
        <v>0</v>
      </c>
      <c r="O1901">
        <v>1.0622349999999999E-2</v>
      </c>
      <c r="P1901">
        <v>-0.99709400000000004</v>
      </c>
      <c r="Q1901">
        <v>-1.9543729999999999E-2</v>
      </c>
      <c r="R1901">
        <v>7.3630630000000002E-2</v>
      </c>
      <c r="S1901">
        <v>-2.9849239999999999</v>
      </c>
      <c r="T1901">
        <v>-0.1140896</v>
      </c>
      <c r="U1901">
        <v>0.292724599999999</v>
      </c>
      <c r="V1901">
        <v>6.3026360000000003E-2</v>
      </c>
      <c r="W1901">
        <v>-9.2970099999999996E-3</v>
      </c>
      <c r="X1901">
        <v>0.99796859999999998</v>
      </c>
      <c r="Y1901">
        <v>8.6966589999999996E-2</v>
      </c>
      <c r="Z1901">
        <v>1.2525870000000001E-3</v>
      </c>
      <c r="AA1901">
        <v>0.9962105</v>
      </c>
      <c r="AB1901">
        <v>39</v>
      </c>
      <c r="AC1901">
        <v>-28.6175</v>
      </c>
      <c r="AD1901">
        <v>-1.1089451004499999</v>
      </c>
      <c r="AE1901">
        <v>2.8408000000000002</v>
      </c>
      <c r="AF1901">
        <v>2.5328721113717299</v>
      </c>
      <c r="AG1901">
        <v>-1.1089451004499999</v>
      </c>
      <c r="AH1901">
        <v>28.6035306600916</v>
      </c>
      <c r="AI1901">
        <v>92.211572612100397</v>
      </c>
      <c r="AJ1901">
        <v>84.939598828329096</v>
      </c>
      <c r="AK1901">
        <v>28.7368607643768</v>
      </c>
      <c r="AL1901">
        <v>90.532687086910101</v>
      </c>
      <c r="AM1901">
        <v>86.386304284401305</v>
      </c>
      <c r="AN1901">
        <v>1.00000004151787</v>
      </c>
    </row>
    <row r="1902" spans="1:40" x14ac:dyDescent="0.25">
      <c r="A1902" t="str">
        <f>"20190312160953818"</f>
        <v>20190312160953818</v>
      </c>
      <c r="B1902" t="str">
        <f>"1552378193807166"</f>
        <v>1552378193807166</v>
      </c>
      <c r="C1902" t="s">
        <v>40</v>
      </c>
      <c r="D1902">
        <v>5.6818330000000001</v>
      </c>
      <c r="E1902">
        <v>0.51433649999999997</v>
      </c>
      <c r="F1902" t="s">
        <v>42</v>
      </c>
      <c r="G1902">
        <v>-358.68040000000002</v>
      </c>
      <c r="H1902">
        <v>1.044057</v>
      </c>
      <c r="I1902">
        <v>284.02859999999998</v>
      </c>
      <c r="J1902">
        <v>-358.21170000000001</v>
      </c>
      <c r="K1902">
        <v>1.1089469999999999</v>
      </c>
      <c r="L1902">
        <v>283.93759999999997</v>
      </c>
      <c r="M1902">
        <v>-0.99988659999999996</v>
      </c>
      <c r="N1902">
        <v>0</v>
      </c>
      <c r="O1902">
        <v>1.0934579999999999E-2</v>
      </c>
      <c r="P1902">
        <v>-0.9970618</v>
      </c>
      <c r="Q1902">
        <v>-2.06118E-2</v>
      </c>
      <c r="R1902">
        <v>7.3776300000000003E-2</v>
      </c>
      <c r="S1902">
        <v>-2.9794010000000002</v>
      </c>
      <c r="T1902">
        <v>-0.23024900000000001</v>
      </c>
      <c r="U1902">
        <v>0.3360901</v>
      </c>
      <c r="V1902">
        <v>6.2859970000000001E-2</v>
      </c>
      <c r="W1902">
        <v>-1.033354E-2</v>
      </c>
      <c r="X1902">
        <v>0.99796890000000005</v>
      </c>
      <c r="Y1902">
        <v>0.1009558</v>
      </c>
      <c r="Z1902">
        <v>3.0418630000000001E-3</v>
      </c>
      <c r="AA1902">
        <v>0.9948863</v>
      </c>
      <c r="AB1902">
        <v>39</v>
      </c>
      <c r="AC1902">
        <v>-0.468700000000012</v>
      </c>
      <c r="AD1902">
        <v>-6.4889999999999795E-2</v>
      </c>
      <c r="AE1902">
        <v>9.1000000000008199E-2</v>
      </c>
      <c r="AF1902">
        <v>8.4311902894782201E-2</v>
      </c>
      <c r="AG1902">
        <v>-6.4889999999999795E-2</v>
      </c>
      <c r="AH1902">
        <v>0.46114908984069197</v>
      </c>
      <c r="AI1902">
        <v>97.880763046205601</v>
      </c>
      <c r="AJ1902">
        <v>79.639043983294798</v>
      </c>
      <c r="AK1902">
        <v>0.47326281507280699</v>
      </c>
      <c r="AL1902">
        <v>90.592078742334493</v>
      </c>
      <c r="AM1902">
        <v>86.395820364842905</v>
      </c>
      <c r="AN1902">
        <v>1.0000000416222701</v>
      </c>
    </row>
    <row r="1903" spans="1:40" x14ac:dyDescent="0.25">
      <c r="A1903" t="str">
        <f>"20190312160953841"</f>
        <v>20190312160953841</v>
      </c>
      <c r="B1903" t="str">
        <f>"1552378193837424"</f>
        <v>1552378193837424</v>
      </c>
      <c r="C1903" t="s">
        <v>40</v>
      </c>
      <c r="D1903">
        <v>5.3606379999999998</v>
      </c>
      <c r="E1903">
        <v>0.51228629999999997</v>
      </c>
      <c r="F1903" t="s">
        <v>42</v>
      </c>
      <c r="G1903">
        <v>-359.02949999999998</v>
      </c>
      <c r="H1903">
        <v>1.04539</v>
      </c>
      <c r="I1903">
        <v>284.029</v>
      </c>
      <c r="J1903">
        <v>-358.59230000000002</v>
      </c>
      <c r="K1903">
        <v>1.108948</v>
      </c>
      <c r="L1903">
        <v>283.94200000000001</v>
      </c>
      <c r="M1903">
        <v>-0.99988279999999996</v>
      </c>
      <c r="N1903">
        <v>0</v>
      </c>
      <c r="O1903">
        <v>1.1253630000000001E-2</v>
      </c>
      <c r="P1903">
        <v>-0.99705509999999997</v>
      </c>
      <c r="Q1903">
        <v>-2.0943529999999998E-2</v>
      </c>
      <c r="R1903">
        <v>7.3775950000000007E-2</v>
      </c>
      <c r="S1903">
        <v>-2.9794309999999999</v>
      </c>
      <c r="T1903">
        <v>-0.2316126</v>
      </c>
      <c r="U1903">
        <v>0.33255000000000001</v>
      </c>
      <c r="V1903">
        <v>6.2540970000000001E-2</v>
      </c>
      <c r="W1903">
        <v>-1.0635510000000001E-2</v>
      </c>
      <c r="X1903">
        <v>0.99798569999999998</v>
      </c>
      <c r="Y1903">
        <v>9.9471859999999995E-2</v>
      </c>
      <c r="Z1903">
        <v>2.977899E-3</v>
      </c>
      <c r="AA1903">
        <v>0.99503589999999997</v>
      </c>
      <c r="AB1903">
        <v>39</v>
      </c>
      <c r="AC1903">
        <v>-0.43719999999996101</v>
      </c>
      <c r="AD1903">
        <v>-6.3558000000000003E-2</v>
      </c>
      <c r="AE1903">
        <v>8.6999999999989003E-2</v>
      </c>
      <c r="AF1903">
        <v>8.0438901328150403E-2</v>
      </c>
      <c r="AG1903">
        <v>-6.3558000000000003E-2</v>
      </c>
      <c r="AH1903">
        <v>0.42942174577679099</v>
      </c>
      <c r="AI1903">
        <v>98.277211386246407</v>
      </c>
      <c r="AJ1903">
        <v>79.390357022524398</v>
      </c>
      <c r="AK1903">
        <v>0.44148960571780899</v>
      </c>
      <c r="AL1903">
        <v>90.609381341544207</v>
      </c>
      <c r="AM1903">
        <v>86.414123114849204</v>
      </c>
      <c r="AN1903">
        <v>0.99999997220299497</v>
      </c>
    </row>
    <row r="1904" spans="1:40" x14ac:dyDescent="0.25">
      <c r="A1904" t="str">
        <f>"20190312160953875"</f>
        <v>20190312160953875</v>
      </c>
      <c r="B1904" t="str">
        <f>"1552378193867681"</f>
        <v>1552378193867681</v>
      </c>
      <c r="C1904" t="s">
        <v>40</v>
      </c>
      <c r="D1904">
        <v>5.357939</v>
      </c>
      <c r="E1904">
        <v>0.51261140000000005</v>
      </c>
      <c r="F1904" t="s">
        <v>61</v>
      </c>
      <c r="G1904">
        <v>-384.07479999999998</v>
      </c>
      <c r="H1904" s="1">
        <v>6.3159769999999898E-7</v>
      </c>
      <c r="I1904">
        <v>286.65960000000001</v>
      </c>
      <c r="J1904">
        <v>-359.1927</v>
      </c>
      <c r="K1904">
        <v>1.108954</v>
      </c>
      <c r="L1904">
        <v>283.94920000000002</v>
      </c>
      <c r="M1904">
        <v>-0.9998766</v>
      </c>
      <c r="N1904">
        <v>0</v>
      </c>
      <c r="O1904">
        <v>1.175816E-2</v>
      </c>
      <c r="P1904">
        <v>-0.99706989999999995</v>
      </c>
      <c r="Q1904">
        <v>-2.0377280000000001E-2</v>
      </c>
      <c r="R1904">
        <v>7.3733859999999998E-2</v>
      </c>
      <c r="S1904">
        <v>-2.982605</v>
      </c>
      <c r="T1904">
        <v>-0.129797</v>
      </c>
      <c r="U1904">
        <v>0.3180847</v>
      </c>
      <c r="V1904">
        <v>6.1995719999999997E-2</v>
      </c>
      <c r="W1904">
        <v>-1.0027869999999999E-2</v>
      </c>
      <c r="X1904">
        <v>0.99802599999999997</v>
      </c>
      <c r="Y1904">
        <v>9.4268240000000003E-2</v>
      </c>
      <c r="Z1904">
        <v>1.5344789999999901E-3</v>
      </c>
      <c r="AA1904">
        <v>0.99554560000000003</v>
      </c>
      <c r="AB1904">
        <v>39</v>
      </c>
      <c r="AC1904">
        <v>-24.882099999999902</v>
      </c>
      <c r="AD1904">
        <v>-1.1089533684023001</v>
      </c>
      <c r="AE1904">
        <v>2.7103999999999902</v>
      </c>
      <c r="AF1904">
        <v>2.4128924107744698</v>
      </c>
      <c r="AG1904">
        <v>-1.1089533684023001</v>
      </c>
      <c r="AH1904">
        <v>24.863442783407201</v>
      </c>
      <c r="AI1904">
        <v>92.541874486271595</v>
      </c>
      <c r="AJ1904">
        <v>84.457043386008394</v>
      </c>
      <c r="AK1904">
        <v>25.004851817258</v>
      </c>
      <c r="AL1904">
        <v>90.574564280093298</v>
      </c>
      <c r="AM1904">
        <v>86.445448469486095</v>
      </c>
      <c r="AN1904">
        <v>0.99999996207552699</v>
      </c>
    </row>
    <row r="1905" spans="1:40" x14ac:dyDescent="0.25">
      <c r="A1905" t="str">
        <f>"20190312160953897"</f>
        <v>20190312160953897</v>
      </c>
      <c r="B1905" t="str">
        <f>"1552378193887198"</f>
        <v>1552378193887198</v>
      </c>
      <c r="C1905" t="s">
        <v>40</v>
      </c>
      <c r="D1905">
        <v>5.31752</v>
      </c>
      <c r="E1905">
        <v>0.51229119999999995</v>
      </c>
      <c r="F1905" t="s">
        <v>61</v>
      </c>
      <c r="G1905">
        <v>-384.76209999999998</v>
      </c>
      <c r="H1905" s="1">
        <v>9.9734940000000001E-7</v>
      </c>
      <c r="I1905">
        <v>286.69749999999999</v>
      </c>
      <c r="J1905">
        <v>-359.57780000000002</v>
      </c>
      <c r="K1905">
        <v>1.1089530000000001</v>
      </c>
      <c r="L1905">
        <v>283.95409999999998</v>
      </c>
      <c r="M1905">
        <v>-0.99987239999999999</v>
      </c>
      <c r="N1905">
        <v>0</v>
      </c>
      <c r="O1905">
        <v>1.208175E-2</v>
      </c>
      <c r="P1905">
        <v>-0.99705149999999998</v>
      </c>
      <c r="Q1905">
        <v>-2.079433E-2</v>
      </c>
      <c r="R1905">
        <v>7.3862979999999995E-2</v>
      </c>
      <c r="S1905">
        <v>-2.9824519999999999</v>
      </c>
      <c r="T1905">
        <v>-0.12934979999999999</v>
      </c>
      <c r="U1905">
        <v>0.32055660000000002</v>
      </c>
      <c r="V1905">
        <v>6.1801639999999998E-2</v>
      </c>
      <c r="W1905">
        <v>-1.042154E-2</v>
      </c>
      <c r="X1905">
        <v>0.99803410000000004</v>
      </c>
      <c r="Y1905">
        <v>9.4767580000000004E-2</v>
      </c>
      <c r="Z1905">
        <v>1.526017E-3</v>
      </c>
      <c r="AA1905">
        <v>0.9954982</v>
      </c>
      <c r="AB1905">
        <v>39</v>
      </c>
      <c r="AC1905">
        <v>-25.184299999999901</v>
      </c>
      <c r="AD1905">
        <v>-1.1089520026505999</v>
      </c>
      <c r="AE1905">
        <v>2.7433999999999998</v>
      </c>
      <c r="AF1905">
        <v>2.4342481873287101</v>
      </c>
      <c r="AG1905">
        <v>-1.1089520026505999</v>
      </c>
      <c r="AH1905">
        <v>25.167382625436399</v>
      </c>
      <c r="AI1905">
        <v>92.511291250343106</v>
      </c>
      <c r="AJ1905">
        <v>84.475403178031499</v>
      </c>
      <c r="AK1905">
        <v>25.3091384088201</v>
      </c>
      <c r="AL1905">
        <v>90.597121032472202</v>
      </c>
      <c r="AM1905">
        <v>86.456576419162403</v>
      </c>
      <c r="AN1905">
        <v>1.00000005798273</v>
      </c>
    </row>
    <row r="1906" spans="1:40" x14ac:dyDescent="0.25">
      <c r="A1906" t="str">
        <f>"20190312160953918"</f>
        <v>20190312160953918</v>
      </c>
      <c r="B1906" t="str">
        <f>"1552378193907224"</f>
        <v>1552378193907224</v>
      </c>
      <c r="C1906" t="s">
        <v>40</v>
      </c>
      <c r="D1906">
        <v>5.3241779999999999</v>
      </c>
      <c r="E1906">
        <v>0.51244840000000003</v>
      </c>
      <c r="F1906" t="s">
        <v>61</v>
      </c>
      <c r="G1906">
        <v>-385.42750000000001</v>
      </c>
      <c r="H1906" s="1">
        <v>1.3514300000000001E-6</v>
      </c>
      <c r="I1906">
        <v>286.71379999999999</v>
      </c>
      <c r="J1906">
        <v>-359.95269999999999</v>
      </c>
      <c r="K1906">
        <v>1.1089469999999999</v>
      </c>
      <c r="L1906">
        <v>283.95890000000003</v>
      </c>
      <c r="M1906">
        <v>-0.99986830000000004</v>
      </c>
      <c r="N1906">
        <v>0</v>
      </c>
      <c r="O1906">
        <v>1.239702E-2</v>
      </c>
      <c r="P1906">
        <v>-0.99699079999999995</v>
      </c>
      <c r="Q1906">
        <v>-2.1453460000000001E-2</v>
      </c>
      <c r="R1906">
        <v>7.4492939999999994E-2</v>
      </c>
      <c r="S1906">
        <v>-2.982605</v>
      </c>
      <c r="T1906">
        <v>-0.12795380000000001</v>
      </c>
      <c r="U1906">
        <v>0.31842039999999999</v>
      </c>
      <c r="V1906">
        <v>6.2117279999999997E-2</v>
      </c>
      <c r="W1906">
        <v>-1.1060560000000001E-2</v>
      </c>
      <c r="X1906">
        <v>0.99800759999999999</v>
      </c>
      <c r="Y1906">
        <v>9.3746159999999995E-2</v>
      </c>
      <c r="Z1906">
        <v>1.4742290000000001E-3</v>
      </c>
      <c r="AA1906">
        <v>0.99559500000000001</v>
      </c>
      <c r="AB1906">
        <v>39</v>
      </c>
      <c r="AC1906">
        <v>-25.474799999999998</v>
      </c>
      <c r="AD1906">
        <v>-1.10894564857</v>
      </c>
      <c r="AE1906">
        <v>2.7548999999999602</v>
      </c>
      <c r="AF1906">
        <v>2.4342997792347001</v>
      </c>
      <c r="AG1906">
        <v>-1.10894564857</v>
      </c>
      <c r="AH1906">
        <v>25.459310000952801</v>
      </c>
      <c r="AI1906">
        <v>92.482779293055998</v>
      </c>
      <c r="AJ1906">
        <v>84.538250277904794</v>
      </c>
      <c r="AK1906">
        <v>25.5994539315056</v>
      </c>
      <c r="AL1906">
        <v>90.633736309274397</v>
      </c>
      <c r="AM1906">
        <v>86.438431202558505</v>
      </c>
      <c r="AN1906">
        <v>1.00000003105993</v>
      </c>
    </row>
    <row r="1907" spans="1:40" x14ac:dyDescent="0.25">
      <c r="A1907" t="str">
        <f>"20190312160953942"</f>
        <v>20190312160953942</v>
      </c>
      <c r="B1907" t="str">
        <f>"1552378193937480"</f>
        <v>1552378193937480</v>
      </c>
      <c r="C1907" t="s">
        <v>40</v>
      </c>
      <c r="D1907">
        <v>5.089677</v>
      </c>
      <c r="E1907">
        <v>0.50896719999999995</v>
      </c>
      <c r="F1907" t="s">
        <v>61</v>
      </c>
      <c r="G1907">
        <v>-385.5172</v>
      </c>
      <c r="H1907" s="1">
        <v>1.399198E-6</v>
      </c>
      <c r="I1907">
        <v>286.71589999999998</v>
      </c>
      <c r="J1907">
        <v>-360.35550000000001</v>
      </c>
      <c r="K1907">
        <v>1.108946</v>
      </c>
      <c r="L1907">
        <v>283.96420000000001</v>
      </c>
      <c r="M1907">
        <v>-0.99986390000000003</v>
      </c>
      <c r="N1907">
        <v>0</v>
      </c>
      <c r="O1907">
        <v>1.273547E-2</v>
      </c>
      <c r="P1907">
        <v>-0.99696479999999998</v>
      </c>
      <c r="Q1907">
        <v>-2.1625769999999999E-2</v>
      </c>
      <c r="R1907">
        <v>7.4788599999999997E-2</v>
      </c>
      <c r="S1907">
        <v>-2.9822690000000001</v>
      </c>
      <c r="T1907">
        <v>-0.1293657</v>
      </c>
      <c r="U1907">
        <v>0.32162479999999999</v>
      </c>
      <c r="V1907">
        <v>6.2075070000000003E-2</v>
      </c>
      <c r="W1907">
        <v>-1.121278E-2</v>
      </c>
      <c r="X1907">
        <v>0.99800849999999997</v>
      </c>
      <c r="Y1907">
        <v>9.4476500000000005E-2</v>
      </c>
      <c r="Z1907">
        <v>1.491724E-3</v>
      </c>
      <c r="AA1907">
        <v>0.99552600000000002</v>
      </c>
      <c r="AB1907">
        <v>39</v>
      </c>
      <c r="AC1907">
        <v>-25.1617</v>
      </c>
      <c r="AD1907">
        <v>-1.1089446008020001</v>
      </c>
      <c r="AE1907">
        <v>2.7516999999999698</v>
      </c>
      <c r="AF1907">
        <v>2.42635584900771</v>
      </c>
      <c r="AG1907">
        <v>-1.1089446008020001</v>
      </c>
      <c r="AH1907">
        <v>25.1464380004753</v>
      </c>
      <c r="AI1907">
        <v>92.5134195349344</v>
      </c>
      <c r="AJ1907">
        <v>84.488646372749599</v>
      </c>
      <c r="AK1907">
        <v>25.287552371580102</v>
      </c>
      <c r="AL1907">
        <v>90.642458431231205</v>
      </c>
      <c r="AM1907">
        <v>86.440848341752599</v>
      </c>
      <c r="AN1907">
        <v>1.0000000034115399</v>
      </c>
    </row>
    <row r="1908" spans="1:40" x14ac:dyDescent="0.25">
      <c r="A1908" t="str">
        <f>"20190312160953965"</f>
        <v>20190312160953965</v>
      </c>
      <c r="B1908" t="str">
        <f>"1552378193957976"</f>
        <v>1552378193957976</v>
      </c>
      <c r="C1908" t="s">
        <v>40</v>
      </c>
      <c r="D1908">
        <v>5.019952</v>
      </c>
      <c r="E1908">
        <v>0.43998530000000002</v>
      </c>
      <c r="F1908" t="s">
        <v>61</v>
      </c>
      <c r="G1908">
        <v>-387.50790000000001</v>
      </c>
      <c r="H1908" s="1">
        <v>2.4585619999999999E-6</v>
      </c>
      <c r="I1908">
        <v>286.64690000000002</v>
      </c>
      <c r="J1908">
        <v>-360.75790000000001</v>
      </c>
      <c r="K1908">
        <v>1.108943</v>
      </c>
      <c r="L1908">
        <v>283.96960000000001</v>
      </c>
      <c r="M1908">
        <v>-0.99985939999999995</v>
      </c>
      <c r="N1908">
        <v>0</v>
      </c>
      <c r="O1908">
        <v>1.307322E-2</v>
      </c>
      <c r="P1908">
        <v>-0.99698949999999997</v>
      </c>
      <c r="Q1908">
        <v>-2.1139290000000002E-2</v>
      </c>
      <c r="R1908">
        <v>7.4603039999999995E-2</v>
      </c>
      <c r="S1908">
        <v>-2.984375</v>
      </c>
      <c r="T1908">
        <v>-0.12188599999999999</v>
      </c>
      <c r="U1908">
        <v>0.29486079999999998</v>
      </c>
      <c r="V1908">
        <v>6.1552860000000001E-2</v>
      </c>
      <c r="W1908">
        <v>-1.070743E-2</v>
      </c>
      <c r="X1908">
        <v>0.9980464</v>
      </c>
      <c r="Y1908">
        <v>8.5244249999999994E-2</v>
      </c>
      <c r="Z1908">
        <v>1.203457E-3</v>
      </c>
      <c r="AA1908">
        <v>0.99635929999999995</v>
      </c>
      <c r="AB1908">
        <v>39</v>
      </c>
      <c r="AC1908">
        <v>-26.75</v>
      </c>
      <c r="AD1908">
        <v>-1.108940541438</v>
      </c>
      <c r="AE1908">
        <v>2.6772999999999998</v>
      </c>
      <c r="AF1908">
        <v>2.3233899367223101</v>
      </c>
      <c r="AG1908">
        <v>-1.108940541438</v>
      </c>
      <c r="AH1908">
        <v>26.737222357698698</v>
      </c>
      <c r="AI1908">
        <v>92.366105370174395</v>
      </c>
      <c r="AJ1908">
        <v>85.033632288149306</v>
      </c>
      <c r="AK1908">
        <v>26.860881395209798</v>
      </c>
      <c r="AL1908">
        <v>90.613502265530201</v>
      </c>
      <c r="AM1908">
        <v>86.470847587383304</v>
      </c>
      <c r="AN1908">
        <v>1.00000001009217</v>
      </c>
    </row>
    <row r="1909" spans="1:40" x14ac:dyDescent="0.25">
      <c r="A1909" t="str">
        <f>"20190312160953988"</f>
        <v>20190312160953988</v>
      </c>
      <c r="B1909" t="str">
        <f>"1552378193977496"</f>
        <v>1552378193977496</v>
      </c>
      <c r="C1909" t="s">
        <v>40</v>
      </c>
      <c r="D1909">
        <v>5.0159200000000004</v>
      </c>
      <c r="E1909">
        <v>0.44085669999999999</v>
      </c>
      <c r="F1909" t="s">
        <v>74</v>
      </c>
      <c r="G1909">
        <v>-430.54180000000002</v>
      </c>
      <c r="H1909">
        <v>7.6918169999999994E-2</v>
      </c>
      <c r="I1909">
        <v>278.12959999999998</v>
      </c>
      <c r="J1909">
        <v>-361.15309999999999</v>
      </c>
      <c r="K1909">
        <v>1.1089439999999999</v>
      </c>
      <c r="L1909">
        <v>283.9751</v>
      </c>
      <c r="M1909">
        <v>-0.99985489999999999</v>
      </c>
      <c r="N1909">
        <v>0</v>
      </c>
      <c r="O1909">
        <v>1.3405190000000001E-2</v>
      </c>
      <c r="P1909">
        <v>-0.99695630000000002</v>
      </c>
      <c r="Q1909">
        <v>-2.1211589999999999E-2</v>
      </c>
      <c r="R1909">
        <v>7.5024430000000003E-2</v>
      </c>
      <c r="S1909">
        <v>-3.027069</v>
      </c>
      <c r="T1909">
        <v>-4.4766899999999998E-2</v>
      </c>
      <c r="U1909">
        <v>-0.25332640000000001</v>
      </c>
      <c r="V1909">
        <v>6.1643209999999997E-2</v>
      </c>
      <c r="W1909">
        <v>-1.0763999999999999E-2</v>
      </c>
      <c r="X1909">
        <v>0.99804020000000004</v>
      </c>
      <c r="Y1909">
        <v>-9.6735299999999996E-2</v>
      </c>
      <c r="Z1909">
        <v>-9.1194059999999996E-4</v>
      </c>
      <c r="AA1909">
        <v>0.99530969999999996</v>
      </c>
      <c r="AB1909">
        <v>39</v>
      </c>
      <c r="AC1909">
        <v>-69.3887</v>
      </c>
      <c r="AD1909">
        <v>-1.03202583</v>
      </c>
      <c r="AE1909">
        <v>-5.8455000000000101</v>
      </c>
      <c r="AF1909">
        <v>-6.7737069480225101</v>
      </c>
      <c r="AG1909">
        <v>-1.03202583</v>
      </c>
      <c r="AH1909">
        <v>69.288880775517399</v>
      </c>
      <c r="AI1909">
        <v>90.849282945252199</v>
      </c>
      <c r="AJ1909">
        <v>95.583514595833407</v>
      </c>
      <c r="AK1909">
        <v>69.6268423975649</v>
      </c>
      <c r="AL1909">
        <v>90.616743683899898</v>
      </c>
      <c r="AM1909">
        <v>86.465658563146405</v>
      </c>
      <c r="AN1909">
        <v>0.99999999492557201</v>
      </c>
    </row>
    <row r="1910" spans="1:40" x14ac:dyDescent="0.25">
      <c r="A1910" t="str">
        <f>"20190312160954010"</f>
        <v>20190312160954010</v>
      </c>
      <c r="B1910" t="str">
        <f>"1552378193997522"</f>
        <v>1552378193997522</v>
      </c>
      <c r="C1910" t="s">
        <v>40</v>
      </c>
      <c r="D1910">
        <v>4.9941550000000001</v>
      </c>
      <c r="E1910">
        <v>0.44199070000000001</v>
      </c>
      <c r="F1910" t="s">
        <v>74</v>
      </c>
      <c r="G1910">
        <v>-426.50920000000002</v>
      </c>
      <c r="H1910" s="1">
        <v>3.4945339999999998E-6</v>
      </c>
      <c r="I1910">
        <v>278.68189999999998</v>
      </c>
      <c r="J1910">
        <v>-361.54599999999999</v>
      </c>
      <c r="K1910">
        <v>1.108948</v>
      </c>
      <c r="L1910">
        <v>283.98070000000001</v>
      </c>
      <c r="M1910">
        <v>-0.99985020000000002</v>
      </c>
      <c r="N1910">
        <v>0</v>
      </c>
      <c r="O1910">
        <v>1.3734970000000001E-2</v>
      </c>
      <c r="P1910">
        <v>-0.9969015</v>
      </c>
      <c r="Q1910">
        <v>-2.0989150000000002E-2</v>
      </c>
      <c r="R1910">
        <v>7.5807929999999996E-2</v>
      </c>
      <c r="S1910">
        <v>-3.0265200000000001</v>
      </c>
      <c r="T1910">
        <v>-5.1352979999999999E-2</v>
      </c>
      <c r="U1910">
        <v>-0.24511720000000001</v>
      </c>
      <c r="V1910">
        <v>6.2098260000000002E-2</v>
      </c>
      <c r="W1910">
        <v>-1.05281E-2</v>
      </c>
      <c r="X1910">
        <v>0.99801450000000003</v>
      </c>
      <c r="Y1910">
        <v>-9.4393299999999999E-2</v>
      </c>
      <c r="Z1910">
        <v>-1.0321429999999999E-3</v>
      </c>
      <c r="AA1910">
        <v>0.99553449999999999</v>
      </c>
      <c r="AB1910">
        <v>39</v>
      </c>
      <c r="AC1910">
        <v>-64.963200000000001</v>
      </c>
      <c r="AD1910">
        <v>-1.1089445054660001</v>
      </c>
      <c r="AE1910">
        <v>-5.2988000000000204</v>
      </c>
      <c r="AF1910">
        <v>-6.1888257239632596</v>
      </c>
      <c r="AG1910">
        <v>-1.1089445054660001</v>
      </c>
      <c r="AH1910">
        <v>64.865511818928695</v>
      </c>
      <c r="AI1910">
        <v>90.975009628543006</v>
      </c>
      <c r="AJ1910">
        <v>95.450099094357995</v>
      </c>
      <c r="AK1910">
        <v>65.1695169944458</v>
      </c>
      <c r="AL1910">
        <v>90.603226847280496</v>
      </c>
      <c r="AM1910">
        <v>86.439543484193194</v>
      </c>
      <c r="AN1910">
        <v>0.99999998849744298</v>
      </c>
    </row>
    <row r="1911" spans="1:40" x14ac:dyDescent="0.25">
      <c r="A1911" t="str">
        <f>"20190312160954031"</f>
        <v>20190312160954031</v>
      </c>
      <c r="B1911" t="str">
        <f>"1552378194027779"</f>
        <v>1552378194027779</v>
      </c>
      <c r="C1911" t="s">
        <v>40</v>
      </c>
      <c r="D1911">
        <v>4.8529140000000002</v>
      </c>
      <c r="E1911">
        <v>0.44286740000000002</v>
      </c>
      <c r="F1911" t="s">
        <v>74</v>
      </c>
      <c r="G1911">
        <v>-418.38679999999999</v>
      </c>
      <c r="H1911" s="1">
        <v>4.1406800000000003E-6</v>
      </c>
      <c r="I1911">
        <v>279.58769999999998</v>
      </c>
      <c r="J1911">
        <v>-361.93490000000003</v>
      </c>
      <c r="K1911">
        <v>1.1089530000000001</v>
      </c>
      <c r="L1911">
        <v>283.98630000000003</v>
      </c>
      <c r="M1911">
        <v>-0.9998456</v>
      </c>
      <c r="N1911">
        <v>0</v>
      </c>
      <c r="O1911">
        <v>1.4061540000000001E-2</v>
      </c>
      <c r="P1911">
        <v>-0.9968475</v>
      </c>
      <c r="Q1911">
        <v>-2.0560950000000001E-2</v>
      </c>
      <c r="R1911">
        <v>7.6633779999999999E-2</v>
      </c>
      <c r="S1911">
        <v>-3.0258790000000002</v>
      </c>
      <c r="T1911">
        <v>-5.9033750000000003E-2</v>
      </c>
      <c r="U1911">
        <v>-0.23385619999999999</v>
      </c>
      <c r="V1911">
        <v>6.2599440000000006E-2</v>
      </c>
      <c r="W1911">
        <v>-1.0088099999999999E-2</v>
      </c>
      <c r="X1911">
        <v>0.99798770000000003</v>
      </c>
      <c r="Y1911">
        <v>-9.1048599999999993E-2</v>
      </c>
      <c r="Z1911">
        <v>-1.160702E-3</v>
      </c>
      <c r="AA1911">
        <v>0.9958458</v>
      </c>
      <c r="AB1911">
        <v>39</v>
      </c>
      <c r="AC1911">
        <v>-56.451899999999902</v>
      </c>
      <c r="AD1911">
        <v>-1.1089488593200001</v>
      </c>
      <c r="AE1911">
        <v>-4.39860000000004</v>
      </c>
      <c r="AF1911">
        <v>-5.1900190968968802</v>
      </c>
      <c r="AG1911">
        <v>-1.1089488593200001</v>
      </c>
      <c r="AH1911">
        <v>56.362844823136498</v>
      </c>
      <c r="AI1911">
        <v>91.122411802617805</v>
      </c>
      <c r="AJ1911">
        <v>95.261089473172404</v>
      </c>
      <c r="AK1911">
        <v>56.6121571957447</v>
      </c>
      <c r="AL1911">
        <v>90.578015383969699</v>
      </c>
      <c r="AM1911">
        <v>86.410786586633506</v>
      </c>
      <c r="AN1911">
        <v>0.99999995450060497</v>
      </c>
    </row>
    <row r="1912" spans="1:40" x14ac:dyDescent="0.25">
      <c r="A1912" t="str">
        <f>"20190312160954054"</f>
        <v>20190312160954054</v>
      </c>
      <c r="B1912" t="str">
        <f>"1552378194048274"</f>
        <v>1552378194048274</v>
      </c>
      <c r="C1912" t="s">
        <v>40</v>
      </c>
      <c r="D1912">
        <v>4.9671529999999997</v>
      </c>
      <c r="E1912">
        <v>0.44333679999999998</v>
      </c>
      <c r="F1912" t="s">
        <v>74</v>
      </c>
      <c r="G1912">
        <v>-417.92919999999998</v>
      </c>
      <c r="H1912" s="1">
        <v>4.0303549999999998E-6</v>
      </c>
      <c r="I1912">
        <v>279.83390000000003</v>
      </c>
      <c r="J1912">
        <v>-362.32909999999998</v>
      </c>
      <c r="K1912">
        <v>1.1089500000000001</v>
      </c>
      <c r="L1912">
        <v>283.99209999999999</v>
      </c>
      <c r="M1912">
        <v>-0.99984079999999997</v>
      </c>
      <c r="N1912">
        <v>0</v>
      </c>
      <c r="O1912">
        <v>1.439205E-2</v>
      </c>
      <c r="P1912">
        <v>-0.99681240000000004</v>
      </c>
      <c r="Q1912">
        <v>-2.0297260000000001E-2</v>
      </c>
      <c r="R1912">
        <v>7.7157519999999993E-2</v>
      </c>
      <c r="S1912">
        <v>-3.0255130000000001</v>
      </c>
      <c r="T1912">
        <v>-5.9919359999999998E-2</v>
      </c>
      <c r="U1912">
        <v>-0.22436519999999999</v>
      </c>
      <c r="V1912">
        <v>6.2793879999999996E-2</v>
      </c>
      <c r="W1912">
        <v>-9.8130930000000002E-3</v>
      </c>
      <c r="X1912">
        <v>0.99797829999999998</v>
      </c>
      <c r="Y1912">
        <v>-8.8280429999999993E-2</v>
      </c>
      <c r="Z1912">
        <v>-1.157557E-3</v>
      </c>
      <c r="AA1912">
        <v>0.99609499999999995</v>
      </c>
      <c r="AB1912">
        <v>39</v>
      </c>
      <c r="AC1912">
        <v>-55.600099999999998</v>
      </c>
      <c r="AD1912">
        <v>-1.1089459696449999</v>
      </c>
      <c r="AE1912">
        <v>-4.1581999999999599</v>
      </c>
      <c r="AF1912">
        <v>-4.9560526410431001</v>
      </c>
      <c r="AG1912">
        <v>-1.1089459696449999</v>
      </c>
      <c r="AH1912">
        <v>55.512532151064597</v>
      </c>
      <c r="AI1912">
        <v>91.139884244306202</v>
      </c>
      <c r="AJ1912">
        <v>95.1017316623157</v>
      </c>
      <c r="AK1912">
        <v>55.7443579635407</v>
      </c>
      <c r="AL1912">
        <v>90.5622578214698</v>
      </c>
      <c r="AM1912">
        <v>86.399633593863797</v>
      </c>
      <c r="AN1912">
        <v>1.0000000277152801</v>
      </c>
    </row>
    <row r="1913" spans="1:40" x14ac:dyDescent="0.25">
      <c r="A1913" t="str">
        <f>"20190312160954076"</f>
        <v>20190312160954076</v>
      </c>
      <c r="B1913" t="str">
        <f>"1552378194067795"</f>
        <v>1552378194067795</v>
      </c>
      <c r="C1913" t="s">
        <v>40</v>
      </c>
      <c r="D1913">
        <v>4.9107089999999998</v>
      </c>
      <c r="E1913">
        <v>0.44368000000000002</v>
      </c>
      <c r="F1913" t="s">
        <v>74</v>
      </c>
      <c r="G1913">
        <v>-417.51139999999998</v>
      </c>
      <c r="H1913" s="1">
        <v>3.9420599999999997E-6</v>
      </c>
      <c r="I1913">
        <v>279.99599999999998</v>
      </c>
      <c r="J1913">
        <v>-362.71710000000002</v>
      </c>
      <c r="K1913">
        <v>1.1089530000000001</v>
      </c>
      <c r="L1913">
        <v>283.99799999999999</v>
      </c>
      <c r="M1913">
        <v>-0.99983569999999999</v>
      </c>
      <c r="N1913">
        <v>0</v>
      </c>
      <c r="O1913">
        <v>1.471749E-2</v>
      </c>
      <c r="P1913">
        <v>-0.99673140000000005</v>
      </c>
      <c r="Q1913">
        <v>-1.988622E-2</v>
      </c>
      <c r="R1913">
        <v>7.8301220000000005E-2</v>
      </c>
      <c r="S1913">
        <v>-3.02536</v>
      </c>
      <c r="T1913">
        <v>-6.0797810000000001E-2</v>
      </c>
      <c r="U1913">
        <v>-0.21908569999999999</v>
      </c>
      <c r="V1913">
        <v>6.3614309999999993E-2</v>
      </c>
      <c r="W1913">
        <v>-9.3927100000000003E-3</v>
      </c>
      <c r="X1913">
        <v>0.99793030000000005</v>
      </c>
      <c r="Y1913">
        <v>-8.6878899999999995E-2</v>
      </c>
      <c r="Z1913">
        <v>-1.167127E-3</v>
      </c>
      <c r="AA1913">
        <v>0.99621820000000005</v>
      </c>
      <c r="AB1913">
        <v>39</v>
      </c>
      <c r="AC1913">
        <v>-54.7942999999999</v>
      </c>
      <c r="AD1913">
        <v>-1.1089490579400001</v>
      </c>
      <c r="AE1913">
        <v>-4.0019999999999998</v>
      </c>
      <c r="AF1913">
        <v>-4.8060881216939704</v>
      </c>
      <c r="AG1913">
        <v>-1.1089490579400001</v>
      </c>
      <c r="AH1913">
        <v>54.707173201591097</v>
      </c>
      <c r="AI1913">
        <v>91.156808486675303</v>
      </c>
      <c r="AJ1913">
        <v>95.020610576430499</v>
      </c>
      <c r="AK1913">
        <v>54.929072910030797</v>
      </c>
      <c r="AL1913">
        <v>90.538170584940005</v>
      </c>
      <c r="AM1913">
        <v>86.352544405221906</v>
      </c>
      <c r="AN1913">
        <v>0.99999994354800303</v>
      </c>
    </row>
    <row r="1914" spans="1:40" x14ac:dyDescent="0.25">
      <c r="A1914" t="str">
        <f>"20190312160954098"</f>
        <v>20190312160954098</v>
      </c>
      <c r="B1914" t="str">
        <f>"1552378194087318"</f>
        <v>1552378194087318</v>
      </c>
      <c r="C1914" t="s">
        <v>40</v>
      </c>
      <c r="D1914">
        <v>4.8972879999999996</v>
      </c>
      <c r="E1914">
        <v>0.4437624</v>
      </c>
      <c r="F1914" t="s">
        <v>74</v>
      </c>
      <c r="G1914">
        <v>-417.83030000000002</v>
      </c>
      <c r="H1914" s="1">
        <v>3.9879100000000002E-6</v>
      </c>
      <c r="I1914">
        <v>280.11869999999999</v>
      </c>
      <c r="J1914">
        <v>-363.09679999999997</v>
      </c>
      <c r="K1914">
        <v>1.108957</v>
      </c>
      <c r="L1914">
        <v>284.00389999999999</v>
      </c>
      <c r="M1914">
        <v>-0.99983100000000003</v>
      </c>
      <c r="N1914">
        <v>0</v>
      </c>
      <c r="O1914">
        <v>1.503387E-2</v>
      </c>
      <c r="P1914">
        <v>-0.99667709999999998</v>
      </c>
      <c r="Q1914">
        <v>-1.891574E-2</v>
      </c>
      <c r="R1914">
        <v>7.9230449999999994E-2</v>
      </c>
      <c r="S1914">
        <v>-3.02536</v>
      </c>
      <c r="T1914">
        <v>-6.087422E-2</v>
      </c>
      <c r="U1914">
        <v>-0.21295169999999999</v>
      </c>
      <c r="V1914">
        <v>6.4229530000000007E-2</v>
      </c>
      <c r="W1914">
        <v>-8.4133739999999995E-3</v>
      </c>
      <c r="X1914">
        <v>0.99789969999999995</v>
      </c>
      <c r="Y1914">
        <v>-8.5184629999999997E-2</v>
      </c>
      <c r="Z1914">
        <v>-1.1580130000000001E-3</v>
      </c>
      <c r="AA1914">
        <v>0.99636449999999999</v>
      </c>
      <c r="AB1914">
        <v>39</v>
      </c>
      <c r="AC1914">
        <v>-54.733499999999999</v>
      </c>
      <c r="AD1914">
        <v>-1.10895301209</v>
      </c>
      <c r="AE1914">
        <v>-3.88519999999999</v>
      </c>
      <c r="AF1914">
        <v>-4.7057412017136597</v>
      </c>
      <c r="AG1914">
        <v>-1.10895301209</v>
      </c>
      <c r="AH1914">
        <v>54.646580437816901</v>
      </c>
      <c r="AI1914">
        <v>91.158268761363701</v>
      </c>
      <c r="AJ1914">
        <v>94.921728313955199</v>
      </c>
      <c r="AK1914">
        <v>54.860026709684703</v>
      </c>
      <c r="AL1914">
        <v>90.482056501925001</v>
      </c>
      <c r="AM1914">
        <v>86.317253510331994</v>
      </c>
      <c r="AN1914">
        <v>1.0000000143230801</v>
      </c>
    </row>
    <row r="1915" spans="1:40" x14ac:dyDescent="0.25">
      <c r="A1915" t="str">
        <f>"20190312160954120"</f>
        <v>20190312160954120</v>
      </c>
      <c r="B1915" t="str">
        <f>"1552378194117570"</f>
        <v>1552378194117570</v>
      </c>
      <c r="C1915" t="s">
        <v>40</v>
      </c>
      <c r="D1915">
        <v>4.8714719999999998</v>
      </c>
      <c r="E1915">
        <v>0.4438086</v>
      </c>
      <c r="F1915" t="s">
        <v>74</v>
      </c>
      <c r="G1915">
        <v>-425.10660000000001</v>
      </c>
      <c r="H1915" s="1">
        <v>3.4873040000000002E-6</v>
      </c>
      <c r="I1915">
        <v>279.71449999999999</v>
      </c>
      <c r="J1915">
        <v>-363.4889</v>
      </c>
      <c r="K1915">
        <v>1.108959</v>
      </c>
      <c r="L1915">
        <v>284.01010000000002</v>
      </c>
      <c r="M1915">
        <v>-0.9998262</v>
      </c>
      <c r="N1915">
        <v>0</v>
      </c>
      <c r="O1915">
        <v>1.535446E-2</v>
      </c>
      <c r="P1915">
        <v>-0.99667539999999999</v>
      </c>
      <c r="Q1915">
        <v>-1.8442299999999998E-2</v>
      </c>
      <c r="R1915">
        <v>7.9362559999999999E-2</v>
      </c>
      <c r="S1915">
        <v>-3.0255740000000002</v>
      </c>
      <c r="T1915">
        <v>-5.41079E-2</v>
      </c>
      <c r="U1915">
        <v>-0.20928959999999999</v>
      </c>
      <c r="V1915">
        <v>6.4042009999999996E-2</v>
      </c>
      <c r="W1915">
        <v>-7.9299890000000001E-3</v>
      </c>
      <c r="X1915">
        <v>0.99791569999999996</v>
      </c>
      <c r="Y1915">
        <v>-8.4303320000000001E-2</v>
      </c>
      <c r="Z1915">
        <v>-1.027146E-3</v>
      </c>
      <c r="AA1915">
        <v>0.99643959999999998</v>
      </c>
      <c r="AB1915">
        <v>39</v>
      </c>
      <c r="AC1915">
        <v>-61.617699999999999</v>
      </c>
      <c r="AD1915">
        <v>-1.108955512696</v>
      </c>
      <c r="AE1915">
        <v>-4.2956000000000296</v>
      </c>
      <c r="AF1915">
        <v>-5.2395640445949896</v>
      </c>
      <c r="AG1915">
        <v>-1.108955512696</v>
      </c>
      <c r="AH1915">
        <v>61.524643236029597</v>
      </c>
      <c r="AI1915">
        <v>91.028896697063303</v>
      </c>
      <c r="AJ1915">
        <v>94.867680326436698</v>
      </c>
      <c r="AK1915">
        <v>61.757303527819801</v>
      </c>
      <c r="AL1915">
        <v>90.454359661582103</v>
      </c>
      <c r="AM1915">
        <v>86.328034650780396</v>
      </c>
      <c r="AN1915">
        <v>1.00000000403843</v>
      </c>
    </row>
    <row r="1916" spans="1:40" x14ac:dyDescent="0.25">
      <c r="A1916" t="str">
        <f>"20190312160954142"</f>
        <v>20190312160954142</v>
      </c>
      <c r="B1916" t="str">
        <f>"1552378194138067"</f>
        <v>1552378194138067</v>
      </c>
      <c r="C1916" t="s">
        <v>40</v>
      </c>
      <c r="D1916">
        <v>4.8309860000000002</v>
      </c>
      <c r="E1916">
        <v>0.44378440000000002</v>
      </c>
      <c r="F1916" t="s">
        <v>74</v>
      </c>
      <c r="G1916">
        <v>-429.8143</v>
      </c>
      <c r="H1916" s="1">
        <v>2.708123E-6</v>
      </c>
      <c r="I1916">
        <v>279.43770000000001</v>
      </c>
      <c r="J1916">
        <v>-363.88369999999998</v>
      </c>
      <c r="K1916">
        <v>1.10897</v>
      </c>
      <c r="L1916">
        <v>284.01639999999998</v>
      </c>
      <c r="M1916">
        <v>-0.99982110000000002</v>
      </c>
      <c r="N1916">
        <v>0</v>
      </c>
      <c r="O1916">
        <v>1.5667489999999999E-2</v>
      </c>
      <c r="P1916">
        <v>-0.99660950000000004</v>
      </c>
      <c r="Q1916">
        <v>-1.851272E-2</v>
      </c>
      <c r="R1916">
        <v>8.016645E-2</v>
      </c>
      <c r="S1916">
        <v>-3.0256959999999999</v>
      </c>
      <c r="T1916">
        <v>-5.0589439999999999E-2</v>
      </c>
      <c r="U1916">
        <v>-0.20858760000000001</v>
      </c>
      <c r="V1916">
        <v>6.4534519999999998E-2</v>
      </c>
      <c r="W1916">
        <v>-7.9917089999999996E-3</v>
      </c>
      <c r="X1916">
        <v>0.99788350000000003</v>
      </c>
      <c r="Y1916">
        <v>-8.4384429999999996E-2</v>
      </c>
      <c r="Z1916">
        <v>-9.6623879999999996E-4</v>
      </c>
      <c r="AA1916">
        <v>0.99643280000000001</v>
      </c>
      <c r="AB1916">
        <v>39</v>
      </c>
      <c r="AC1916">
        <v>-65.930599999999998</v>
      </c>
      <c r="AD1916">
        <v>-1.1089672918769999</v>
      </c>
      <c r="AE1916">
        <v>-4.5786999999999596</v>
      </c>
      <c r="AF1916">
        <v>-5.6095835111216203</v>
      </c>
      <c r="AG1916">
        <v>-1.1089672918769999</v>
      </c>
      <c r="AH1916">
        <v>65.832229981860806</v>
      </c>
      <c r="AI1916">
        <v>90.961592483333504</v>
      </c>
      <c r="AJ1916">
        <v>94.870425097434605</v>
      </c>
      <c r="AK1916">
        <v>66.080100938234906</v>
      </c>
      <c r="AL1916">
        <v>90.457896059255802</v>
      </c>
      <c r="AM1916">
        <v>86.299754777517194</v>
      </c>
      <c r="AN1916">
        <v>1.0000000256283099</v>
      </c>
    </row>
    <row r="1917" spans="1:40" x14ac:dyDescent="0.25">
      <c r="A1917" t="str">
        <f>"20190312160954165"</f>
        <v>20190312160954165</v>
      </c>
      <c r="B1917" t="str">
        <f>"1552378194157586"</f>
        <v>1552378194157586</v>
      </c>
      <c r="C1917" t="s">
        <v>40</v>
      </c>
      <c r="D1917">
        <v>4.8554449999999996</v>
      </c>
      <c r="E1917">
        <v>0.44375510000000001</v>
      </c>
      <c r="F1917" t="s">
        <v>74</v>
      </c>
      <c r="G1917">
        <v>-432.09730000000002</v>
      </c>
      <c r="H1917">
        <v>4.5424559999999899E-3</v>
      </c>
      <c r="I1917">
        <v>279.3657</v>
      </c>
      <c r="J1917">
        <v>-364.28410000000002</v>
      </c>
      <c r="K1917">
        <v>1.1089739999999999</v>
      </c>
      <c r="L1917">
        <v>284.02289999999999</v>
      </c>
      <c r="M1917">
        <v>-0.99981629999999999</v>
      </c>
      <c r="N1917">
        <v>0</v>
      </c>
      <c r="O1917">
        <v>1.5966830000000001E-2</v>
      </c>
      <c r="P1917">
        <v>-0.99656089999999997</v>
      </c>
      <c r="Q1917">
        <v>-1.8090450000000001E-2</v>
      </c>
      <c r="R1917">
        <v>8.0863160000000003E-2</v>
      </c>
      <c r="S1917">
        <v>-3.0258790000000002</v>
      </c>
      <c r="T1917">
        <v>-4.8991199999999999E-2</v>
      </c>
      <c r="U1917">
        <v>-0.2062988</v>
      </c>
      <c r="V1917">
        <v>6.4933679999999994E-2</v>
      </c>
      <c r="W1917">
        <v>-7.5602809999999899E-3</v>
      </c>
      <c r="X1917">
        <v>0.997861</v>
      </c>
      <c r="Y1917">
        <v>-8.3929290000000004E-2</v>
      </c>
      <c r="Z1917">
        <v>-9.3684580000000001E-4</v>
      </c>
      <c r="AA1917">
        <v>0.99647129999999995</v>
      </c>
      <c r="AB1917">
        <v>39</v>
      </c>
      <c r="AC1917">
        <v>-67.813199999999995</v>
      </c>
      <c r="AD1917">
        <v>-1.1044315440000001</v>
      </c>
      <c r="AE1917">
        <v>-4.65719999999998</v>
      </c>
      <c r="AF1917">
        <v>-5.7379141346909703</v>
      </c>
      <c r="AG1917">
        <v>-1.1044315440000001</v>
      </c>
      <c r="AH1917">
        <v>67.7123133197572</v>
      </c>
      <c r="AI1917">
        <v>90.931111799999499</v>
      </c>
      <c r="AJ1917">
        <v>94.843649617974705</v>
      </c>
      <c r="AK1917">
        <v>67.963966944002294</v>
      </c>
      <c r="AL1917">
        <v>90.433176294752997</v>
      </c>
      <c r="AM1917">
        <v>86.276848419089106</v>
      </c>
      <c r="AN1917">
        <v>1.00000005798406</v>
      </c>
    </row>
    <row r="1918" spans="1:40" x14ac:dyDescent="0.25">
      <c r="A1918" t="str">
        <f>"20190312160954187"</f>
        <v>20190312160954187</v>
      </c>
      <c r="B1918" t="str">
        <f>"1552378194177106"</f>
        <v>1552378194177106</v>
      </c>
      <c r="C1918" t="s">
        <v>40</v>
      </c>
      <c r="D1918">
        <v>4.8262349999999996</v>
      </c>
      <c r="E1918">
        <v>0.44372879999999998</v>
      </c>
      <c r="F1918" t="s">
        <v>74</v>
      </c>
      <c r="G1918">
        <v>-433.49299999999999</v>
      </c>
      <c r="H1918">
        <v>8.0001230000000007E-2</v>
      </c>
      <c r="I1918">
        <v>279.3494</v>
      </c>
      <c r="J1918">
        <v>-364.68439999999998</v>
      </c>
      <c r="K1918">
        <v>1.1089960000000001</v>
      </c>
      <c r="L1918">
        <v>284.02960000000002</v>
      </c>
      <c r="M1918">
        <v>-0.99981180000000003</v>
      </c>
      <c r="N1918">
        <v>0</v>
      </c>
      <c r="O1918">
        <v>1.6243219999999999E-2</v>
      </c>
      <c r="P1918">
        <v>-0.99654209999999999</v>
      </c>
      <c r="Q1918">
        <v>-1.7902599999999901E-2</v>
      </c>
      <c r="R1918">
        <v>8.1140580000000004E-2</v>
      </c>
      <c r="S1918">
        <v>-3.0260929999999999</v>
      </c>
      <c r="T1918">
        <v>-4.49909E-2</v>
      </c>
      <c r="U1918">
        <v>-0.20434569999999999</v>
      </c>
      <c r="V1918">
        <v>6.4936240000000006E-2</v>
      </c>
      <c r="W1918">
        <v>-7.3623150000000004E-3</v>
      </c>
      <c r="X1918">
        <v>0.99786229999999998</v>
      </c>
      <c r="Y1918">
        <v>-8.3561819999999995E-2</v>
      </c>
      <c r="Z1918">
        <v>-8.6169259999999896E-4</v>
      </c>
      <c r="AA1918">
        <v>0.9965022</v>
      </c>
      <c r="AB1918">
        <v>39</v>
      </c>
      <c r="AC1918">
        <v>-68.808599999999998</v>
      </c>
      <c r="AD1918">
        <v>-1.0289947699999999</v>
      </c>
      <c r="AE1918">
        <v>-4.6802000000000099</v>
      </c>
      <c r="AF1918">
        <v>-5.7960283582646204</v>
      </c>
      <c r="AG1918">
        <v>-1.0289947699999999</v>
      </c>
      <c r="AH1918">
        <v>68.708200439918201</v>
      </c>
      <c r="AI1918">
        <v>90.854978538682801</v>
      </c>
      <c r="AJ1918">
        <v>94.821892875644096</v>
      </c>
      <c r="AK1918">
        <v>68.959912867248306</v>
      </c>
      <c r="AL1918">
        <v>90.421833369114296</v>
      </c>
      <c r="AM1918">
        <v>86.276706884323303</v>
      </c>
      <c r="AN1918">
        <v>1.0000000443543899</v>
      </c>
    </row>
    <row r="1919" spans="1:40" x14ac:dyDescent="0.25">
      <c r="A1919" t="str">
        <f>"20190312160954210"</f>
        <v>20190312160954210</v>
      </c>
      <c r="B1919" t="str">
        <f>"1552378194197603"</f>
        <v>1552378194197603</v>
      </c>
      <c r="C1919" t="s">
        <v>40</v>
      </c>
      <c r="D1919">
        <v>4.8120089999999998</v>
      </c>
      <c r="E1919">
        <v>0.44380249999999999</v>
      </c>
      <c r="F1919" t="s">
        <v>74</v>
      </c>
      <c r="G1919">
        <v>-432.52690000000001</v>
      </c>
      <c r="H1919">
        <v>7.3119329999999996E-2</v>
      </c>
      <c r="I1919">
        <v>279.45940000000002</v>
      </c>
      <c r="J1919">
        <v>-365.07040000000001</v>
      </c>
      <c r="K1919">
        <v>1.109016</v>
      </c>
      <c r="L1919">
        <v>284.03609999999998</v>
      </c>
      <c r="M1919">
        <v>-0.99980769999999997</v>
      </c>
      <c r="N1919">
        <v>0</v>
      </c>
      <c r="O1919">
        <v>1.648954E-2</v>
      </c>
      <c r="P1919">
        <v>-0.99652209999999997</v>
      </c>
      <c r="Q1919">
        <v>-1.7759090000000002E-2</v>
      </c>
      <c r="R1919">
        <v>8.1415180000000004E-2</v>
      </c>
      <c r="S1919">
        <v>-3.0261840000000002</v>
      </c>
      <c r="T1919">
        <v>-4.6206360000000002E-2</v>
      </c>
      <c r="U1919">
        <v>-0.20385739999999999</v>
      </c>
      <c r="V1919">
        <v>6.496557E-2</v>
      </c>
      <c r="W1919">
        <v>-7.2092269999999899E-3</v>
      </c>
      <c r="X1919">
        <v>0.99786140000000001</v>
      </c>
      <c r="Y1919">
        <v>-8.3644609999999994E-2</v>
      </c>
      <c r="Z1919">
        <v>-8.8933589999999998E-4</v>
      </c>
      <c r="AA1919">
        <v>0.99649520000000003</v>
      </c>
      <c r="AB1919">
        <v>39</v>
      </c>
      <c r="AC1919">
        <v>-67.456500000000005</v>
      </c>
      <c r="AD1919">
        <v>-1.0358966700000001</v>
      </c>
      <c r="AE1919">
        <v>-4.5766999999999598</v>
      </c>
      <c r="AF1919">
        <v>-5.6871319820515502</v>
      </c>
      <c r="AG1919">
        <v>-1.0358966700000001</v>
      </c>
      <c r="AH1919">
        <v>67.3560442469158</v>
      </c>
      <c r="AI1919">
        <v>90.877982648404199</v>
      </c>
      <c r="AJ1919">
        <v>94.826257620298804</v>
      </c>
      <c r="AK1919">
        <v>67.603648190646197</v>
      </c>
      <c r="AL1919">
        <v>90.413061885179403</v>
      </c>
      <c r="AM1919">
        <v>86.275026553728907</v>
      </c>
      <c r="AN1919">
        <v>0.99999993592465897</v>
      </c>
    </row>
    <row r="1920" spans="1:40" x14ac:dyDescent="0.25">
      <c r="A1920" t="str">
        <f>"20190312160954232"</f>
        <v>20190312160954232</v>
      </c>
      <c r="B1920" t="str">
        <f>"1552378194227859"</f>
        <v>1552378194227859</v>
      </c>
      <c r="C1920" t="s">
        <v>40</v>
      </c>
      <c r="D1920">
        <v>4.9023279999999998</v>
      </c>
      <c r="E1920">
        <v>0.47896749999999999</v>
      </c>
      <c r="F1920" t="s">
        <v>74</v>
      </c>
      <c r="G1920">
        <v>-433.37740000000002</v>
      </c>
      <c r="H1920">
        <v>8.0001290000000003E-2</v>
      </c>
      <c r="I1920">
        <v>279.46629999999999</v>
      </c>
      <c r="J1920">
        <v>-365.46379999999999</v>
      </c>
      <c r="K1920">
        <v>1.1090370000000001</v>
      </c>
      <c r="L1920">
        <v>284.0428</v>
      </c>
      <c r="M1920">
        <v>-0.99980369999999996</v>
      </c>
      <c r="N1920">
        <v>0</v>
      </c>
      <c r="O1920">
        <v>1.67163E-2</v>
      </c>
      <c r="P1920">
        <v>-0.99651909999999999</v>
      </c>
      <c r="Q1920">
        <v>-1.720008E-2</v>
      </c>
      <c r="R1920">
        <v>8.1572199999999997E-2</v>
      </c>
      <c r="S1920">
        <v>-3.0262150000000001</v>
      </c>
      <c r="T1920">
        <v>-4.5588610000000002E-2</v>
      </c>
      <c r="U1920">
        <v>-0.20245360000000001</v>
      </c>
      <c r="V1920">
        <v>6.4897220000000005E-2</v>
      </c>
      <c r="W1920">
        <v>-6.6403499999999997E-3</v>
      </c>
      <c r="X1920">
        <v>0.99786980000000003</v>
      </c>
      <c r="Y1920">
        <v>-8.3410070000000003E-2</v>
      </c>
      <c r="Z1920">
        <v>-8.7910050000000002E-4</v>
      </c>
      <c r="AA1920">
        <v>0.99651489999999998</v>
      </c>
      <c r="AB1920">
        <v>39</v>
      </c>
      <c r="AC1920">
        <v>-67.913600000000002</v>
      </c>
      <c r="AD1920">
        <v>-1.02903571</v>
      </c>
      <c r="AE1920">
        <v>-4.5765000000000002</v>
      </c>
      <c r="AF1920">
        <v>-5.7098838086726902</v>
      </c>
      <c r="AG1920">
        <v>-1.02903571</v>
      </c>
      <c r="AH1920">
        <v>67.8121046785716</v>
      </c>
      <c r="AI1920">
        <v>90.8663205906782</v>
      </c>
      <c r="AJ1920">
        <v>94.813039778528093</v>
      </c>
      <c r="AK1920">
        <v>68.059850341729003</v>
      </c>
      <c r="AL1920">
        <v>90.380466848197997</v>
      </c>
      <c r="AM1920">
        <v>86.278965801775797</v>
      </c>
      <c r="AN1920">
        <v>0.99999994058194297</v>
      </c>
    </row>
    <row r="1921" spans="1:40" x14ac:dyDescent="0.25">
      <c r="A1921" t="str">
        <f>"20190312160954256"</f>
        <v>20190312160954256</v>
      </c>
      <c r="B1921" t="str">
        <f>"1552378194247379"</f>
        <v>1552378194247379</v>
      </c>
      <c r="C1921" t="s">
        <v>40</v>
      </c>
      <c r="D1921">
        <v>4.8159140000000003</v>
      </c>
      <c r="E1921">
        <v>0.48438740000000002</v>
      </c>
      <c r="F1921" t="s">
        <v>74</v>
      </c>
      <c r="G1921">
        <v>-400.839</v>
      </c>
      <c r="H1921" s="1">
        <v>7.9617080000000006E-6</v>
      </c>
      <c r="I1921">
        <v>284.94779999999997</v>
      </c>
      <c r="J1921">
        <v>-365.89190000000002</v>
      </c>
      <c r="K1921">
        <v>1.1090660000000001</v>
      </c>
      <c r="L1921">
        <v>284.05009999999999</v>
      </c>
      <c r="M1921">
        <v>-0.99980009999999997</v>
      </c>
      <c r="N1921">
        <v>0</v>
      </c>
      <c r="O1921">
        <v>1.6932820000000001E-2</v>
      </c>
      <c r="P1921">
        <v>-0.99652149999999995</v>
      </c>
      <c r="Q1921">
        <v>-1.70884E-2</v>
      </c>
      <c r="R1921">
        <v>8.1567790000000001E-2</v>
      </c>
      <c r="S1921">
        <v>-3.0025629999999999</v>
      </c>
      <c r="T1921">
        <v>-9.4131709999999993E-2</v>
      </c>
      <c r="U1921">
        <v>7.6812740000000004E-2</v>
      </c>
      <c r="V1921">
        <v>6.4677159999999997E-2</v>
      </c>
      <c r="W1921">
        <v>-6.5177769999999998E-3</v>
      </c>
      <c r="X1921">
        <v>0.99788489999999996</v>
      </c>
      <c r="Y1921">
        <v>8.6461880000000008E-3</v>
      </c>
      <c r="Z1921">
        <v>-3.95141E-4</v>
      </c>
      <c r="AA1921">
        <v>0.99996260000000003</v>
      </c>
      <c r="AB1921">
        <v>40</v>
      </c>
      <c r="AC1921">
        <v>-34.947099999999899</v>
      </c>
      <c r="AD1921">
        <v>-1.1090580382919999</v>
      </c>
      <c r="AE1921">
        <v>0.89769999999998595</v>
      </c>
      <c r="AF1921">
        <v>0.30547742621729002</v>
      </c>
      <c r="AG1921">
        <v>-1.1090580382919999</v>
      </c>
      <c r="AH1921">
        <v>34.922142498629803</v>
      </c>
      <c r="AI1921">
        <v>91.818919507181505</v>
      </c>
      <c r="AJ1921">
        <v>89.498824538992906</v>
      </c>
      <c r="AK1921">
        <v>34.941084168709402</v>
      </c>
      <c r="AL1921">
        <v>90.373443778532007</v>
      </c>
      <c r="AM1921">
        <v>86.291604147889402</v>
      </c>
      <c r="AN1921">
        <v>0.99999994504534695</v>
      </c>
    </row>
    <row r="1922" spans="1:40" x14ac:dyDescent="0.25">
      <c r="A1922" t="str">
        <f>"20190312160954275"</f>
        <v>20190312160954275</v>
      </c>
      <c r="B1922" t="str">
        <f>"1552378194267885"</f>
        <v>1552378194267885</v>
      </c>
      <c r="C1922" t="s">
        <v>40</v>
      </c>
      <c r="D1922">
        <v>4.825259</v>
      </c>
      <c r="E1922">
        <v>0.48668939999999999</v>
      </c>
      <c r="F1922" t="s">
        <v>61</v>
      </c>
      <c r="G1922">
        <v>-398.43009999999998</v>
      </c>
      <c r="H1922" s="1">
        <v>2.949311E-6</v>
      </c>
      <c r="I1922">
        <v>285.35140000000001</v>
      </c>
      <c r="J1922">
        <v>-366.24349999999998</v>
      </c>
      <c r="K1922">
        <v>1.1090850000000001</v>
      </c>
      <c r="L1922">
        <v>284.05619999999999</v>
      </c>
      <c r="M1922">
        <v>-0.99979739999999995</v>
      </c>
      <c r="N1922">
        <v>0</v>
      </c>
      <c r="O1922">
        <v>1.7089139999999999E-2</v>
      </c>
      <c r="P1922">
        <v>-0.99654399999999999</v>
      </c>
      <c r="Q1922">
        <v>-1.7097850000000001E-2</v>
      </c>
      <c r="R1922">
        <v>8.1288310000000003E-2</v>
      </c>
      <c r="S1922">
        <v>-2.998901</v>
      </c>
      <c r="T1922">
        <v>-0.10221719999999999</v>
      </c>
      <c r="U1922">
        <v>0.1199341</v>
      </c>
      <c r="V1922">
        <v>6.4241519999999996E-2</v>
      </c>
      <c r="W1922">
        <v>-6.5182749999999996E-3</v>
      </c>
      <c r="X1922">
        <v>0.9979131</v>
      </c>
      <c r="Y1922">
        <v>2.2875079999999999E-2</v>
      </c>
      <c r="Z1922">
        <v>-1.9246319999999999E-4</v>
      </c>
      <c r="AA1922">
        <v>0.99973829999999997</v>
      </c>
      <c r="AB1922">
        <v>40</v>
      </c>
      <c r="AC1922">
        <v>-32.186599999999999</v>
      </c>
      <c r="AD1922">
        <v>-1.109082050689</v>
      </c>
      <c r="AE1922">
        <v>1.2952000000000199</v>
      </c>
      <c r="AF1922">
        <v>0.74405639012270497</v>
      </c>
      <c r="AG1922">
        <v>-1.109082050689</v>
      </c>
      <c r="AH1922">
        <v>32.165904063779998</v>
      </c>
      <c r="AI1922">
        <v>91.974251423408305</v>
      </c>
      <c r="AJ1922">
        <v>88.674879789266399</v>
      </c>
      <c r="AK1922">
        <v>32.193618422711403</v>
      </c>
      <c r="AL1922">
        <v>90.373472288934593</v>
      </c>
      <c r="AM1922">
        <v>86.316617253856293</v>
      </c>
      <c r="AN1922">
        <v>1.0000000079762399</v>
      </c>
    </row>
    <row r="1923" spans="1:40" x14ac:dyDescent="0.25">
      <c r="A1923" t="str">
        <f>"20190312160954299"</f>
        <v>20190312160954299</v>
      </c>
      <c r="B1923" t="str">
        <f>"1552378194287395"</f>
        <v>1552378194287395</v>
      </c>
      <c r="C1923" t="s">
        <v>40</v>
      </c>
      <c r="D1923">
        <v>4.77677</v>
      </c>
      <c r="E1923">
        <v>0.48757440000000002</v>
      </c>
      <c r="F1923" t="s">
        <v>74</v>
      </c>
      <c r="G1923">
        <v>-403.4273</v>
      </c>
      <c r="H1923" s="1">
        <v>6.6455890000000003E-6</v>
      </c>
      <c r="I1923">
        <v>285.76229999999998</v>
      </c>
      <c r="J1923">
        <v>-366.6388</v>
      </c>
      <c r="K1923">
        <v>1.1091</v>
      </c>
      <c r="L1923">
        <v>284.06310000000002</v>
      </c>
      <c r="M1923">
        <v>-0.99979470000000004</v>
      </c>
      <c r="N1923">
        <v>0</v>
      </c>
      <c r="O1923">
        <v>1.7246009999999999E-2</v>
      </c>
      <c r="P1923">
        <v>-0.99657549999999995</v>
      </c>
      <c r="Q1923">
        <v>-1.6748510000000001E-2</v>
      </c>
      <c r="R1923">
        <v>8.0975019999999995E-2</v>
      </c>
      <c r="S1923">
        <v>-2.9976500000000001</v>
      </c>
      <c r="T1923">
        <v>-8.9410779999999995E-2</v>
      </c>
      <c r="U1923">
        <v>0.13754269999999999</v>
      </c>
      <c r="V1923">
        <v>6.3771729999999999E-2</v>
      </c>
      <c r="W1923">
        <v>-6.1642829999999996E-3</v>
      </c>
      <c r="X1923">
        <v>0.99794550000000004</v>
      </c>
      <c r="Y1923">
        <v>2.8594580000000001E-2</v>
      </c>
      <c r="Z1923" s="1">
        <v>-8.7844669999999906E-5</v>
      </c>
      <c r="AA1923">
        <v>0.99959109999999995</v>
      </c>
      <c r="AB1923">
        <v>40</v>
      </c>
      <c r="AC1923">
        <v>-36.788499999999999</v>
      </c>
      <c r="AD1923">
        <v>-1.109093354411</v>
      </c>
      <c r="AE1923">
        <v>1.6991999999999601</v>
      </c>
      <c r="AF1923">
        <v>1.06349198851419</v>
      </c>
      <c r="AG1923">
        <v>-1.109093354411</v>
      </c>
      <c r="AH1923">
        <v>36.7789772072258</v>
      </c>
      <c r="AI1923">
        <v>91.726545867439398</v>
      </c>
      <c r="AJ1923">
        <v>88.343710646520407</v>
      </c>
      <c r="AK1923">
        <v>36.811061757141204</v>
      </c>
      <c r="AL1923">
        <v>90.353189627078507</v>
      </c>
      <c r="AM1923">
        <v>86.343598407816302</v>
      </c>
      <c r="AN1923">
        <v>1.0000000264511699</v>
      </c>
    </row>
    <row r="1924" spans="1:40" x14ac:dyDescent="0.25">
      <c r="A1924" t="str">
        <f>"20190312160954321"</f>
        <v>20190312160954321</v>
      </c>
      <c r="B1924" t="str">
        <f>"1552378194307891"</f>
        <v>1552378194307891</v>
      </c>
      <c r="C1924" t="s">
        <v>40</v>
      </c>
      <c r="D1924">
        <v>4.7377560000000001</v>
      </c>
      <c r="E1924">
        <v>0.48812739999999999</v>
      </c>
      <c r="F1924" t="s">
        <v>74</v>
      </c>
      <c r="G1924">
        <v>-416.23500000000001</v>
      </c>
      <c r="H1924" s="1">
        <v>3.1520879999999999E-6</v>
      </c>
      <c r="I1924">
        <v>286.44240000000002</v>
      </c>
      <c r="J1924">
        <v>-367.03500000000003</v>
      </c>
      <c r="K1924">
        <v>1.1091120000000001</v>
      </c>
      <c r="L1924">
        <v>284.07010000000002</v>
      </c>
      <c r="M1924">
        <v>-0.99979229999999997</v>
      </c>
      <c r="N1924">
        <v>0</v>
      </c>
      <c r="O1924">
        <v>1.7389060000000001E-2</v>
      </c>
      <c r="P1924">
        <v>-0.99654759999999998</v>
      </c>
      <c r="Q1924">
        <v>-1.723912E-2</v>
      </c>
      <c r="R1924">
        <v>8.1214229999999998E-2</v>
      </c>
      <c r="S1924">
        <v>-2.9974669999999999</v>
      </c>
      <c r="T1924">
        <v>-6.7031030000000005E-2</v>
      </c>
      <c r="U1924">
        <v>0.14379879999999901</v>
      </c>
      <c r="V1924">
        <v>6.3868460000000002E-2</v>
      </c>
      <c r="W1924">
        <v>-6.6595509999999997E-3</v>
      </c>
      <c r="X1924">
        <v>0.99793609999999999</v>
      </c>
      <c r="Y1924">
        <v>3.0537740000000001E-2</v>
      </c>
      <c r="Z1924" s="1">
        <v>-4.7346660000000002E-5</v>
      </c>
      <c r="AA1924">
        <v>0.99953360000000002</v>
      </c>
      <c r="AB1924">
        <v>40</v>
      </c>
      <c r="AC1924">
        <v>-49.199999999999903</v>
      </c>
      <c r="AD1924">
        <v>-1.1091088479119999</v>
      </c>
      <c r="AE1924">
        <v>2.3722999999999899</v>
      </c>
      <c r="AF1924">
        <v>1.51558277707881</v>
      </c>
      <c r="AG1924">
        <v>-1.1091088479119999</v>
      </c>
      <c r="AH1924">
        <v>49.208865471803797</v>
      </c>
      <c r="AI1924">
        <v>91.290547852187103</v>
      </c>
      <c r="AJ1924">
        <v>88.235906185252006</v>
      </c>
      <c r="AK1924">
        <v>49.244690623586798</v>
      </c>
      <c r="AL1924">
        <v>90.381566988185298</v>
      </c>
      <c r="AM1924">
        <v>86.338032998316294</v>
      </c>
      <c r="AN1924">
        <v>0.99999999474275103</v>
      </c>
    </row>
    <row r="1925" spans="1:40" x14ac:dyDescent="0.25">
      <c r="A1925" t="str">
        <f>"20190312160954344"</f>
        <v>20190312160954344</v>
      </c>
      <c r="B1925" t="str">
        <f>"1552378194337170"</f>
        <v>1552378194337170</v>
      </c>
      <c r="C1925" t="s">
        <v>40</v>
      </c>
      <c r="D1925">
        <v>4.7621840000000004</v>
      </c>
      <c r="E1925">
        <v>0.48882170000000003</v>
      </c>
      <c r="F1925" t="s">
        <v>74</v>
      </c>
      <c r="G1925">
        <v>-427.88060000000002</v>
      </c>
      <c r="H1925" s="1">
        <v>2.3496770000000001E-6</v>
      </c>
      <c r="I1925">
        <v>287.09879999999998</v>
      </c>
      <c r="J1925">
        <v>-367.44170000000003</v>
      </c>
      <c r="K1925">
        <v>1.109121</v>
      </c>
      <c r="L1925">
        <v>284.07729999999998</v>
      </c>
      <c r="M1925">
        <v>-0.99979010000000001</v>
      </c>
      <c r="N1925">
        <v>0</v>
      </c>
      <c r="O1925">
        <v>1.7524499999999998E-2</v>
      </c>
      <c r="P1925">
        <v>-0.99649940000000004</v>
      </c>
      <c r="Q1925">
        <v>-1.773895E-2</v>
      </c>
      <c r="R1925">
        <v>8.1697870000000006E-2</v>
      </c>
      <c r="S1925">
        <v>-2.9973139999999998</v>
      </c>
      <c r="T1925">
        <v>-5.4635759999999998E-2</v>
      </c>
      <c r="U1925">
        <v>0.14920039999999901</v>
      </c>
      <c r="V1925">
        <v>6.4217750000000004E-2</v>
      </c>
      <c r="W1925">
        <v>-7.1695259999999999E-3</v>
      </c>
      <c r="X1925">
        <v>0.99791010000000002</v>
      </c>
      <c r="Y1925">
        <v>3.2202599999999998E-2</v>
      </c>
      <c r="Z1925" s="1">
        <v>-2.589522E-5</v>
      </c>
      <c r="AA1925">
        <v>0.99948139999999996</v>
      </c>
      <c r="AB1925">
        <v>40</v>
      </c>
      <c r="AC1925">
        <v>-60.438899999999897</v>
      </c>
      <c r="AD1925">
        <v>-1.1091186503229999</v>
      </c>
      <c r="AE1925">
        <v>3.0215000000000001</v>
      </c>
      <c r="AF1925">
        <v>1.9611559882583001</v>
      </c>
      <c r="AG1925">
        <v>-1.1091186503229999</v>
      </c>
      <c r="AH1925">
        <v>60.462260240850497</v>
      </c>
      <c r="AI1925">
        <v>91.050362643029501</v>
      </c>
      <c r="AJ1925">
        <v>88.1422034357103</v>
      </c>
      <c r="AK1925">
        <v>60.504224566745002</v>
      </c>
      <c r="AL1925">
        <v>90.410787122938601</v>
      </c>
      <c r="AM1925">
        <v>86.317965353389795</v>
      </c>
      <c r="AN1925">
        <v>0.99999994460006703</v>
      </c>
    </row>
    <row r="1926" spans="1:40" x14ac:dyDescent="0.25">
      <c r="A1926" t="str">
        <f>"20190312160954366"</f>
        <v>20190312160954366</v>
      </c>
      <c r="B1926" t="str">
        <f>"1552378194357670"</f>
        <v>1552378194357670</v>
      </c>
      <c r="C1926" t="s">
        <v>40</v>
      </c>
      <c r="D1926">
        <v>4.9347919999999998</v>
      </c>
      <c r="E1926">
        <v>0.49190459999999903</v>
      </c>
      <c r="F1926" t="s">
        <v>74</v>
      </c>
      <c r="G1926">
        <v>-420.81400000000002</v>
      </c>
      <c r="H1926" s="1">
        <v>3.6245230000000002E-6</v>
      </c>
      <c r="I1926">
        <v>286.85469999999998</v>
      </c>
      <c r="J1926">
        <v>-367.84480000000002</v>
      </c>
      <c r="K1926">
        <v>1.109124</v>
      </c>
      <c r="L1926">
        <v>284.08449999999999</v>
      </c>
      <c r="M1926">
        <v>-0.99978800000000001</v>
      </c>
      <c r="N1926">
        <v>0</v>
      </c>
      <c r="O1926">
        <v>1.7652230000000001E-2</v>
      </c>
      <c r="P1926">
        <v>-0.99648599999999998</v>
      </c>
      <c r="Q1926">
        <v>-1.7735669999999999E-2</v>
      </c>
      <c r="R1926">
        <v>8.1862000000000004E-2</v>
      </c>
      <c r="S1926">
        <v>-2.9966740000000001</v>
      </c>
      <c r="T1926">
        <v>-6.2273139999999998E-2</v>
      </c>
      <c r="U1926">
        <v>0.15594479999999999</v>
      </c>
      <c r="V1926">
        <v>6.4254679999999995E-2</v>
      </c>
      <c r="W1926">
        <v>-7.1767819999999996E-3</v>
      </c>
      <c r="X1926">
        <v>0.99790769999999995</v>
      </c>
      <c r="Y1926">
        <v>3.4327940000000001E-2</v>
      </c>
      <c r="Z1926" s="1">
        <v>-1.0102700000000001E-5</v>
      </c>
      <c r="AA1926">
        <v>0.99941060000000004</v>
      </c>
      <c r="AB1926">
        <v>40</v>
      </c>
      <c r="AC1926">
        <v>-52.969200000000001</v>
      </c>
      <c r="AD1926">
        <v>-1.109120375477</v>
      </c>
      <c r="AE1926">
        <v>2.77019999999998</v>
      </c>
      <c r="AF1926">
        <v>1.8338894284829199</v>
      </c>
      <c r="AG1926">
        <v>-1.109120375477</v>
      </c>
      <c r="AH1926">
        <v>52.986680618014603</v>
      </c>
      <c r="AI1926">
        <v>91.198426216610898</v>
      </c>
      <c r="AJ1926">
        <v>88.017762239581302</v>
      </c>
      <c r="AK1926">
        <v>53.030006801420299</v>
      </c>
      <c r="AL1926">
        <v>90.411202859781199</v>
      </c>
      <c r="AM1926">
        <v>86.3158449024872</v>
      </c>
      <c r="AN1926">
        <v>0.99999997391053297</v>
      </c>
    </row>
    <row r="1927" spans="1:40" x14ac:dyDescent="0.25">
      <c r="A1927" t="str">
        <f>"20190312160954388"</f>
        <v>20190312160954388</v>
      </c>
      <c r="B1927" t="str">
        <f>"1552378194378163"</f>
        <v>1552378194378163</v>
      </c>
      <c r="C1927" t="s">
        <v>40</v>
      </c>
      <c r="D1927">
        <v>4.9027989999999999</v>
      </c>
      <c r="E1927">
        <v>0.53208880000000003</v>
      </c>
      <c r="F1927" t="s">
        <v>74</v>
      </c>
      <c r="G1927">
        <v>-402.72930000000002</v>
      </c>
      <c r="H1927" s="1">
        <v>6.8673189999999998E-6</v>
      </c>
      <c r="I1927">
        <v>286.18729999999999</v>
      </c>
      <c r="J1927">
        <v>-368.2457</v>
      </c>
      <c r="K1927">
        <v>1.109129</v>
      </c>
      <c r="L1927">
        <v>284.0917</v>
      </c>
      <c r="M1927">
        <v>-0.99978579999999995</v>
      </c>
      <c r="N1927">
        <v>0</v>
      </c>
      <c r="O1927">
        <v>1.777598E-2</v>
      </c>
      <c r="P1927">
        <v>-0.99651679999999998</v>
      </c>
      <c r="Q1927">
        <v>-1.7538930000000001E-2</v>
      </c>
      <c r="R1927">
        <v>8.1527139999999998E-2</v>
      </c>
      <c r="S1927">
        <v>-2.994049</v>
      </c>
      <c r="T1927">
        <v>-9.5192910000000006E-2</v>
      </c>
      <c r="U1927">
        <v>0.180481</v>
      </c>
      <c r="V1927">
        <v>6.3796080000000005E-2</v>
      </c>
      <c r="W1927">
        <v>-6.9893450000000001E-3</v>
      </c>
      <c r="X1927">
        <v>0.99793849999999995</v>
      </c>
      <c r="Y1927">
        <v>4.2403999999999997E-2</v>
      </c>
      <c r="Z1927">
        <v>1.0886710000000001E-4</v>
      </c>
      <c r="AA1927">
        <v>0.99910060000000001</v>
      </c>
      <c r="AB1927">
        <v>40</v>
      </c>
      <c r="AC1927">
        <v>-34.483600000000003</v>
      </c>
      <c r="AD1927">
        <v>-1.1091221326809999</v>
      </c>
      <c r="AE1927">
        <v>2.0955999999999899</v>
      </c>
      <c r="AF1927">
        <v>1.4807284324160399</v>
      </c>
      <c r="AG1927">
        <v>-1.1091221326809999</v>
      </c>
      <c r="AH1927">
        <v>34.4798658111363</v>
      </c>
      <c r="AI1927">
        <v>91.840716402333697</v>
      </c>
      <c r="AJ1927">
        <v>87.540959329186904</v>
      </c>
      <c r="AK1927">
        <v>34.529463577497602</v>
      </c>
      <c r="AL1927">
        <v>90.400463222487701</v>
      </c>
      <c r="AM1927">
        <v>86.342180483461703</v>
      </c>
      <c r="AN1927">
        <v>1.00000002027457</v>
      </c>
    </row>
    <row r="1928" spans="1:40" x14ac:dyDescent="0.25">
      <c r="A1928" t="str">
        <f>"20190312160954413"</f>
        <v>20190312160954413</v>
      </c>
      <c r="B1928" t="str">
        <f>"1552378194407443"</f>
        <v>1552378194407443</v>
      </c>
      <c r="C1928" t="s">
        <v>40</v>
      </c>
      <c r="D1928">
        <v>4.9482220000000003</v>
      </c>
      <c r="E1928">
        <v>0.53561650000000005</v>
      </c>
      <c r="F1928" t="s">
        <v>42</v>
      </c>
      <c r="G1928">
        <v>-369.18380000000002</v>
      </c>
      <c r="H1928">
        <v>0.92685660000000003</v>
      </c>
      <c r="I1928">
        <v>284.24759999999998</v>
      </c>
      <c r="J1928">
        <v>-368.67320000000001</v>
      </c>
      <c r="K1928">
        <v>1.109135</v>
      </c>
      <c r="L1928">
        <v>284.0994</v>
      </c>
      <c r="M1928">
        <v>-0.99978359999999999</v>
      </c>
      <c r="N1928">
        <v>0</v>
      </c>
      <c r="O1928">
        <v>1.7906950000000001E-2</v>
      </c>
      <c r="P1928">
        <v>-0.9965503</v>
      </c>
      <c r="Q1928">
        <v>-1.7550759999999999E-2</v>
      </c>
      <c r="R1928">
        <v>8.1114749999999999E-2</v>
      </c>
      <c r="S1928">
        <v>-2.9602050000000002</v>
      </c>
      <c r="T1928">
        <v>-0.57522200000000001</v>
      </c>
      <c r="U1928">
        <v>0.49066159999999998</v>
      </c>
      <c r="V1928">
        <v>6.3252649999999994E-2</v>
      </c>
      <c r="W1928">
        <v>-7.0100789999999998E-3</v>
      </c>
      <c r="X1928">
        <v>0.99797290000000005</v>
      </c>
      <c r="Y1928">
        <v>0.14354239999999999</v>
      </c>
      <c r="Z1928">
        <v>1.030266E-2</v>
      </c>
      <c r="AA1928">
        <v>0.98959050000000004</v>
      </c>
      <c r="AB1928">
        <v>40</v>
      </c>
      <c r="AC1928">
        <v>-0.51060000000001005</v>
      </c>
      <c r="AD1928">
        <v>-0.18227840000000001</v>
      </c>
      <c r="AE1928">
        <v>0.14819999999997399</v>
      </c>
      <c r="AF1928">
        <v>0.124409465823045</v>
      </c>
      <c r="AG1928">
        <v>-0.18227840000000001</v>
      </c>
      <c r="AH1928">
        <v>0.45919835118855101</v>
      </c>
      <c r="AI1928">
        <v>110.96366952979299</v>
      </c>
      <c r="AJ1928">
        <v>74.8409048977054</v>
      </c>
      <c r="AK1928">
        <v>0.50947645286825505</v>
      </c>
      <c r="AL1928">
        <v>90.401651240831697</v>
      </c>
      <c r="AM1928">
        <v>86.373379812383405</v>
      </c>
      <c r="AN1928">
        <v>0.99999997403700902</v>
      </c>
    </row>
    <row r="1929" spans="1:40" x14ac:dyDescent="0.25">
      <c r="A1929" t="str">
        <f>"20190312160954433"</f>
        <v>20190312160954433</v>
      </c>
      <c r="B1929" t="str">
        <f>"1552378194427938"</f>
        <v>1552378194427938</v>
      </c>
      <c r="C1929" t="s">
        <v>40</v>
      </c>
      <c r="D1929">
        <v>4.9723360000000003</v>
      </c>
      <c r="E1929">
        <v>0.53633949999999997</v>
      </c>
      <c r="F1929" t="s">
        <v>42</v>
      </c>
      <c r="G1929">
        <v>-369.53500000000003</v>
      </c>
      <c r="H1929">
        <v>0.91623600000000005</v>
      </c>
      <c r="I1929">
        <v>284.25020000000001</v>
      </c>
      <c r="J1929">
        <v>-369.04</v>
      </c>
      <c r="K1929">
        <v>1.1091489999999999</v>
      </c>
      <c r="L1929">
        <v>284.10610000000003</v>
      </c>
      <c r="M1929">
        <v>-0.9997817</v>
      </c>
      <c r="N1929">
        <v>0</v>
      </c>
      <c r="O1929">
        <v>1.801904E-2</v>
      </c>
      <c r="P1929">
        <v>-0.99660919999999997</v>
      </c>
      <c r="Q1929">
        <v>-1.7013589999999999E-2</v>
      </c>
      <c r="R1929">
        <v>8.0502920000000006E-2</v>
      </c>
      <c r="S1929">
        <v>-2.9567260000000002</v>
      </c>
      <c r="T1929">
        <v>-0.66182799999999997</v>
      </c>
      <c r="U1929">
        <v>0.51599119999999998</v>
      </c>
      <c r="V1929">
        <v>6.2528269999999997E-2</v>
      </c>
      <c r="W1929">
        <v>-6.4794869999999999E-3</v>
      </c>
      <c r="X1929">
        <v>0.99802210000000002</v>
      </c>
      <c r="Y1929">
        <v>0.15094569999999999</v>
      </c>
      <c r="Z1929">
        <v>1.2612750000000001E-2</v>
      </c>
      <c r="AA1929">
        <v>0.98846160000000005</v>
      </c>
      <c r="AB1929">
        <v>40</v>
      </c>
      <c r="AC1929">
        <v>-0.49500000000000399</v>
      </c>
      <c r="AD1929">
        <v>-0.192912999999999</v>
      </c>
      <c r="AE1929">
        <v>0.14409999999997999</v>
      </c>
      <c r="AF1929">
        <v>0.118556591059188</v>
      </c>
      <c r="AG1929">
        <v>-0.192912999999999</v>
      </c>
      <c r="AH1929">
        <v>0.43641083042852502</v>
      </c>
      <c r="AI1929">
        <v>113.102299513528</v>
      </c>
      <c r="AJ1929">
        <v>74.801663689672594</v>
      </c>
      <c r="AK1929">
        <v>0.49165587941963101</v>
      </c>
      <c r="AL1929">
        <v>90.371249878487404</v>
      </c>
      <c r="AM1929">
        <v>86.414979805385798</v>
      </c>
      <c r="AN1929">
        <v>0.99999994019469096</v>
      </c>
    </row>
    <row r="1930" spans="1:40" x14ac:dyDescent="0.25">
      <c r="A1930" t="str">
        <f>"20190312160954456"</f>
        <v>20190312160954456</v>
      </c>
      <c r="B1930" t="str">
        <f>"1552378194447462"</f>
        <v>1552378194447462</v>
      </c>
      <c r="C1930" t="s">
        <v>40</v>
      </c>
      <c r="D1930">
        <v>5.1208179999999999</v>
      </c>
      <c r="E1930">
        <v>0.53524680000000002</v>
      </c>
      <c r="F1930" t="s">
        <v>42</v>
      </c>
      <c r="G1930">
        <v>-369.88990000000001</v>
      </c>
      <c r="H1930">
        <v>0.91336890000000004</v>
      </c>
      <c r="I1930">
        <v>284.25569999999999</v>
      </c>
      <c r="J1930">
        <v>-369.4332</v>
      </c>
      <c r="K1930">
        <v>1.109154</v>
      </c>
      <c r="L1930">
        <v>284.11320000000001</v>
      </c>
      <c r="M1930">
        <v>-0.99977969999999905</v>
      </c>
      <c r="N1930">
        <v>0</v>
      </c>
      <c r="O1930">
        <v>1.8138769999999999E-2</v>
      </c>
      <c r="P1930">
        <v>-0.99662899999999999</v>
      </c>
      <c r="Q1930">
        <v>-1.705599E-2</v>
      </c>
      <c r="R1930">
        <v>8.0249130000000002E-2</v>
      </c>
      <c r="S1930">
        <v>-2.9566349999999999</v>
      </c>
      <c r="T1930">
        <v>-0.68109240000000004</v>
      </c>
      <c r="U1930">
        <v>0.51943969999999995</v>
      </c>
      <c r="V1930">
        <v>6.2154689999999999E-2</v>
      </c>
      <c r="W1930">
        <v>-6.5284490000000004E-3</v>
      </c>
      <c r="X1930">
        <v>0.99804519999999997</v>
      </c>
      <c r="Y1930">
        <v>0.1517483</v>
      </c>
      <c r="Z1930">
        <v>1.303356E-2</v>
      </c>
      <c r="AA1930">
        <v>0.98833320000000002</v>
      </c>
      <c r="AB1930">
        <v>40</v>
      </c>
      <c r="AC1930">
        <v>-0.45670000000001199</v>
      </c>
      <c r="AD1930">
        <v>-0.19578509999999999</v>
      </c>
      <c r="AE1930">
        <v>0.142499999999984</v>
      </c>
      <c r="AF1930">
        <v>0.11494220156103099</v>
      </c>
      <c r="AG1930">
        <v>-0.19578509999999999</v>
      </c>
      <c r="AH1930">
        <v>0.39333594547732598</v>
      </c>
      <c r="AI1930">
        <v>115.53723801489799</v>
      </c>
      <c r="AJ1930">
        <v>73.710370627501504</v>
      </c>
      <c r="AK1930">
        <v>0.45415490868892799</v>
      </c>
      <c r="AL1930">
        <v>90.374055222716507</v>
      </c>
      <c r="AM1930">
        <v>86.436425693303804</v>
      </c>
      <c r="AN1930">
        <v>1.0000000236891899</v>
      </c>
    </row>
    <row r="1931" spans="1:40" x14ac:dyDescent="0.25">
      <c r="A1931" t="str">
        <f>"20190312160954477"</f>
        <v>20190312160954477</v>
      </c>
      <c r="B1931" t="str">
        <f>"1552378194467956"</f>
        <v>1552378194467956</v>
      </c>
      <c r="C1931" t="s">
        <v>40</v>
      </c>
      <c r="D1931">
        <v>5.0215839999999998</v>
      </c>
      <c r="E1931">
        <v>0.53405290000000005</v>
      </c>
      <c r="F1931" t="s">
        <v>42</v>
      </c>
      <c r="G1931">
        <v>-370.24970000000002</v>
      </c>
      <c r="H1931">
        <v>0.9215198</v>
      </c>
      <c r="I1931">
        <v>284.25459999999998</v>
      </c>
      <c r="J1931">
        <v>-369.81790000000001</v>
      </c>
      <c r="K1931">
        <v>1.1091580000000001</v>
      </c>
      <c r="L1931">
        <v>284.12029999999999</v>
      </c>
      <c r="M1931">
        <v>-0.99977760000000004</v>
      </c>
      <c r="N1931">
        <v>0</v>
      </c>
      <c r="O1931">
        <v>1.8256540000000002E-2</v>
      </c>
      <c r="P1931">
        <v>-0.99657490000000004</v>
      </c>
      <c r="Q1931">
        <v>-1.7443460000000001E-2</v>
      </c>
      <c r="R1931">
        <v>8.0836450000000004E-2</v>
      </c>
      <c r="S1931">
        <v>-2.9574280000000002</v>
      </c>
      <c r="T1931">
        <v>-0.67969329999999994</v>
      </c>
      <c r="U1931">
        <v>0.51037600000000005</v>
      </c>
      <c r="V1931">
        <v>6.2625449999999999E-2</v>
      </c>
      <c r="W1931">
        <v>-6.9219569999999899E-3</v>
      </c>
      <c r="X1931">
        <v>0.99801309999999999</v>
      </c>
      <c r="Y1931">
        <v>0.1487386</v>
      </c>
      <c r="Z1931">
        <v>1.264185E-2</v>
      </c>
      <c r="AA1931">
        <v>0.9887958</v>
      </c>
      <c r="AB1931">
        <v>40</v>
      </c>
      <c r="AC1931">
        <v>-0.43180000000000901</v>
      </c>
      <c r="AD1931">
        <v>-0.1876382</v>
      </c>
      <c r="AE1931">
        <v>0.13429999999999601</v>
      </c>
      <c r="AF1931">
        <v>0.107828421629523</v>
      </c>
      <c r="AG1931">
        <v>-0.1876382</v>
      </c>
      <c r="AH1931">
        <v>0.37040480892083999</v>
      </c>
      <c r="AI1931">
        <v>115.937628248141</v>
      </c>
      <c r="AJ1931">
        <v>73.769211237336094</v>
      </c>
      <c r="AK1931">
        <v>0.42899275644471901</v>
      </c>
      <c r="AL1931">
        <v>90.396602087576696</v>
      </c>
      <c r="AM1931">
        <v>86.409390319473999</v>
      </c>
      <c r="AN1931">
        <v>1.00000000412401</v>
      </c>
    </row>
    <row r="1932" spans="1:40" x14ac:dyDescent="0.25">
      <c r="A1932" t="str">
        <f>"20190312160954500"</f>
        <v>20190312160954500</v>
      </c>
      <c r="B1932" t="str">
        <f>"1552378194487478"</f>
        <v>1552378194487478</v>
      </c>
      <c r="C1932" t="s">
        <v>40</v>
      </c>
      <c r="D1932">
        <v>5.0415850000000004</v>
      </c>
      <c r="E1932">
        <v>0.53377189999999997</v>
      </c>
      <c r="F1932" t="s">
        <v>42</v>
      </c>
      <c r="G1932">
        <v>-370.60980000000001</v>
      </c>
      <c r="H1932">
        <v>0.92918149999999999</v>
      </c>
      <c r="I1932">
        <v>284.2552</v>
      </c>
      <c r="J1932">
        <v>-370.21749999999997</v>
      </c>
      <c r="K1932">
        <v>1.109159</v>
      </c>
      <c r="L1932">
        <v>284.1277</v>
      </c>
      <c r="M1932">
        <v>-0.99977530000000003</v>
      </c>
      <c r="N1932">
        <v>0</v>
      </c>
      <c r="O1932">
        <v>1.8378950000000002E-2</v>
      </c>
      <c r="P1932">
        <v>-0.99655669999999996</v>
      </c>
      <c r="Q1932">
        <v>-1.7108080000000001E-2</v>
      </c>
      <c r="R1932">
        <v>8.1130439999999998E-2</v>
      </c>
      <c r="S1932">
        <v>-2.9577640000000001</v>
      </c>
      <c r="T1932">
        <v>-0.67223949999999999</v>
      </c>
      <c r="U1932">
        <v>0.50250240000000002</v>
      </c>
      <c r="V1932">
        <v>6.2797539999999999E-2</v>
      </c>
      <c r="W1932">
        <v>-6.5913169999999898E-3</v>
      </c>
      <c r="X1932">
        <v>0.99800449999999996</v>
      </c>
      <c r="Y1932">
        <v>0.14617759999999999</v>
      </c>
      <c r="Z1932">
        <v>1.2195249999999999E-2</v>
      </c>
      <c r="AA1932">
        <v>0.98918320000000004</v>
      </c>
      <c r="AB1932">
        <v>40</v>
      </c>
      <c r="AC1932">
        <v>-0.39230000000003401</v>
      </c>
      <c r="AD1932">
        <v>-0.17997749999999901</v>
      </c>
      <c r="AE1932">
        <v>0.127499999999997</v>
      </c>
      <c r="AF1932">
        <v>0.101034434349163</v>
      </c>
      <c r="AG1932">
        <v>-0.17997749999999901</v>
      </c>
      <c r="AH1932">
        <v>0.33147539404158999</v>
      </c>
      <c r="AI1932">
        <v>117.445955560605</v>
      </c>
      <c r="AJ1932">
        <v>73.048662464030897</v>
      </c>
      <c r="AK1932">
        <v>0.39048149032384699</v>
      </c>
      <c r="AL1932">
        <v>90.377657387984101</v>
      </c>
      <c r="AM1932">
        <v>86.399518570227102</v>
      </c>
      <c r="AN1932">
        <v>0.99999997925504702</v>
      </c>
    </row>
    <row r="1933" spans="1:40" x14ac:dyDescent="0.25">
      <c r="A1933" t="str">
        <f>"20190312160954522"</f>
        <v>20190312160954522</v>
      </c>
      <c r="B1933" t="str">
        <f>"1552378194517731"</f>
        <v>1552378194517731</v>
      </c>
      <c r="C1933" t="s">
        <v>40</v>
      </c>
      <c r="D1933">
        <v>5.0895419999999998</v>
      </c>
      <c r="E1933">
        <v>0.53280090000000002</v>
      </c>
      <c r="F1933" t="s">
        <v>42</v>
      </c>
      <c r="G1933">
        <v>-370.971</v>
      </c>
      <c r="H1933">
        <v>0.93836759999999997</v>
      </c>
      <c r="I1933">
        <v>284.25569999999999</v>
      </c>
      <c r="J1933">
        <v>-370.62020000000001</v>
      </c>
      <c r="K1933">
        <v>1.1091610000000001</v>
      </c>
      <c r="L1933">
        <v>284.13529999999997</v>
      </c>
      <c r="M1933">
        <v>-0.99977309999999997</v>
      </c>
      <c r="N1933">
        <v>0</v>
      </c>
      <c r="O1933">
        <v>1.8502020000000001E-2</v>
      </c>
      <c r="P1933">
        <v>-0.99651290000000003</v>
      </c>
      <c r="Q1933">
        <v>-1.686464E-2</v>
      </c>
      <c r="R1933">
        <v>8.1718200000000005E-2</v>
      </c>
      <c r="S1933">
        <v>-2.9580380000000002</v>
      </c>
      <c r="T1933">
        <v>-0.67052219999999996</v>
      </c>
      <c r="U1933">
        <v>0.50106809999999902</v>
      </c>
      <c r="V1933">
        <v>6.3263330000000007E-2</v>
      </c>
      <c r="W1933">
        <v>-6.3517799999999996E-3</v>
      </c>
      <c r="X1933">
        <v>0.99797670000000005</v>
      </c>
      <c r="Y1933">
        <v>0.14560780000000001</v>
      </c>
      <c r="Z1933">
        <v>1.2073550000000001E-2</v>
      </c>
      <c r="AA1933">
        <v>0.9892687</v>
      </c>
      <c r="AB1933">
        <v>40</v>
      </c>
      <c r="AC1933">
        <v>-0.35079999999999201</v>
      </c>
      <c r="AD1933">
        <v>-0.17079340000000001</v>
      </c>
      <c r="AE1933">
        <v>0.12040000000001699</v>
      </c>
      <c r="AF1933">
        <v>9.3962721270055699E-2</v>
      </c>
      <c r="AG1933">
        <v>-0.17079340000000001</v>
      </c>
      <c r="AH1933">
        <v>0.29121291041087899</v>
      </c>
      <c r="AI1933">
        <v>119.168265816155</v>
      </c>
      <c r="AJ1933">
        <v>72.117191818661496</v>
      </c>
      <c r="AK1933">
        <v>0.350434498390225</v>
      </c>
      <c r="AL1933">
        <v>90.363932617601606</v>
      </c>
      <c r="AM1933">
        <v>86.372782878798603</v>
      </c>
      <c r="AN1933">
        <v>1.00000004388737</v>
      </c>
    </row>
    <row r="1934" spans="1:40" x14ac:dyDescent="0.25">
      <c r="A1934" t="str">
        <f>"20190312160954546"</f>
        <v>20190312160954546</v>
      </c>
      <c r="B1934" t="str">
        <f>"1552378194537250"</f>
        <v>1552378194537250</v>
      </c>
      <c r="C1934" t="s">
        <v>40</v>
      </c>
      <c r="D1934">
        <v>5.1031170000000001</v>
      </c>
      <c r="E1934">
        <v>0.5334854</v>
      </c>
      <c r="F1934" t="s">
        <v>42</v>
      </c>
      <c r="G1934">
        <v>-371.33350000000002</v>
      </c>
      <c r="H1934">
        <v>0.94951620000000003</v>
      </c>
      <c r="I1934">
        <v>284.255</v>
      </c>
      <c r="J1934">
        <v>-371.03410000000002</v>
      </c>
      <c r="K1934">
        <v>1.109162</v>
      </c>
      <c r="L1934">
        <v>284.14299999999997</v>
      </c>
      <c r="M1934">
        <v>-0.99977079999999996</v>
      </c>
      <c r="N1934">
        <v>0</v>
      </c>
      <c r="O1934">
        <v>1.8629150000000001E-2</v>
      </c>
      <c r="P1934">
        <v>-0.99650589999999994</v>
      </c>
      <c r="Q1934">
        <v>-1.6934729999999999E-2</v>
      </c>
      <c r="R1934">
        <v>8.1786730000000002E-2</v>
      </c>
      <c r="S1934">
        <v>-2.9586489999999999</v>
      </c>
      <c r="T1934">
        <v>-0.66236139999999999</v>
      </c>
      <c r="U1934">
        <v>0.49545289999999997</v>
      </c>
      <c r="V1934">
        <v>6.3205029999999995E-2</v>
      </c>
      <c r="W1934">
        <v>-6.4238050000000003E-3</v>
      </c>
      <c r="X1934">
        <v>0.99797990000000003</v>
      </c>
      <c r="Y1934">
        <v>0.14374529999999999</v>
      </c>
      <c r="Z1934">
        <v>1.169706E-2</v>
      </c>
      <c r="AA1934">
        <v>0.98954560000000003</v>
      </c>
      <c r="AB1934">
        <v>40</v>
      </c>
      <c r="AC1934">
        <v>-0.29939999999999101</v>
      </c>
      <c r="AD1934">
        <v>-0.15964579999999901</v>
      </c>
      <c r="AE1934">
        <v>0.112000000000023</v>
      </c>
      <c r="AF1934">
        <v>8.5161689715579594E-2</v>
      </c>
      <c r="AG1934">
        <v>-0.15964579999999901</v>
      </c>
      <c r="AH1934">
        <v>0.24125971747782701</v>
      </c>
      <c r="AI1934">
        <v>121.963511773254</v>
      </c>
      <c r="AJ1934">
        <v>70.557599740793407</v>
      </c>
      <c r="AK1934">
        <v>0.30157179266359402</v>
      </c>
      <c r="AL1934">
        <v>90.368059442261199</v>
      </c>
      <c r="AM1934">
        <v>86.376128199660997</v>
      </c>
      <c r="AN1934">
        <v>1.0000000109459899</v>
      </c>
    </row>
    <row r="1935" spans="1:40" x14ac:dyDescent="0.25">
      <c r="A1935" t="str">
        <f>"20190312160954567"</f>
        <v>20190312160954567</v>
      </c>
      <c r="B1935" t="str">
        <f>"1552378194557750"</f>
        <v>1552378194557750</v>
      </c>
      <c r="C1935" t="s">
        <v>40</v>
      </c>
      <c r="D1935">
        <v>5.1413000000000002</v>
      </c>
      <c r="E1935">
        <v>0.53441629999999996</v>
      </c>
      <c r="F1935" t="s">
        <v>42</v>
      </c>
      <c r="G1935">
        <v>-372.02159999999998</v>
      </c>
      <c r="H1935">
        <v>0.88577280000000003</v>
      </c>
      <c r="I1935">
        <v>284.31049999999999</v>
      </c>
      <c r="J1935">
        <v>-371.4237</v>
      </c>
      <c r="K1935">
        <v>1.109162</v>
      </c>
      <c r="L1935">
        <v>284.15039999999999</v>
      </c>
      <c r="M1935">
        <v>-0.99976860000000001</v>
      </c>
      <c r="N1935">
        <v>0</v>
      </c>
      <c r="O1935">
        <v>1.8748129999999998E-2</v>
      </c>
      <c r="P1935">
        <v>-0.99644259999999996</v>
      </c>
      <c r="Q1935">
        <v>-1.7131070000000002E-2</v>
      </c>
      <c r="R1935">
        <v>8.2517179999999996E-2</v>
      </c>
      <c r="S1935">
        <v>-2.958008</v>
      </c>
      <c r="T1935">
        <v>-0.66925119999999905</v>
      </c>
      <c r="U1935">
        <v>0.50070190000000003</v>
      </c>
      <c r="V1935">
        <v>6.3817739999999998E-2</v>
      </c>
      <c r="W1935">
        <v>-6.6141400000000001E-3</v>
      </c>
      <c r="X1935">
        <v>0.99793960000000004</v>
      </c>
      <c r="Y1935">
        <v>0.14527290000000001</v>
      </c>
      <c r="Z1935">
        <v>1.195973E-2</v>
      </c>
      <c r="AA1935">
        <v>0.98931930000000001</v>
      </c>
      <c r="AB1935">
        <v>40</v>
      </c>
      <c r="AC1935">
        <v>-0.597899999999981</v>
      </c>
      <c r="AD1935">
        <v>-0.22338919999999901</v>
      </c>
      <c r="AE1935">
        <v>0.16009999999999899</v>
      </c>
      <c r="AF1935">
        <v>0.13170634894343999</v>
      </c>
      <c r="AG1935">
        <v>-0.22338919999999901</v>
      </c>
      <c r="AH1935">
        <v>0.53155860782595998</v>
      </c>
      <c r="AI1935">
        <v>112.191443742087</v>
      </c>
      <c r="AJ1935">
        <v>76.083862727626894</v>
      </c>
      <c r="AK1935">
        <v>0.59144217856230297</v>
      </c>
      <c r="AL1935">
        <v>90.378965089930603</v>
      </c>
      <c r="AM1935">
        <v>86.340945978829097</v>
      </c>
      <c r="AN1935">
        <v>0.999999948017402</v>
      </c>
    </row>
    <row r="1936" spans="1:40" x14ac:dyDescent="0.25">
      <c r="A1936" t="str">
        <f>"20190312160954589"</f>
        <v>20190312160954589</v>
      </c>
      <c r="B1936" t="str">
        <f>"1552378194577266"</f>
        <v>1552378194577266</v>
      </c>
      <c r="C1936" t="s">
        <v>40</v>
      </c>
      <c r="D1936">
        <v>5.104838</v>
      </c>
      <c r="E1936">
        <v>0.53527630000000004</v>
      </c>
      <c r="F1936" t="s">
        <v>42</v>
      </c>
      <c r="G1936">
        <v>-372.38099999999997</v>
      </c>
      <c r="H1936">
        <v>0.88910259999999997</v>
      </c>
      <c r="I1936">
        <v>284.31560000000002</v>
      </c>
      <c r="J1936">
        <v>-371.82240000000002</v>
      </c>
      <c r="K1936">
        <v>1.109164</v>
      </c>
      <c r="L1936">
        <v>284.15800000000002</v>
      </c>
      <c r="M1936">
        <v>-0.99976600000000004</v>
      </c>
      <c r="N1936">
        <v>0</v>
      </c>
      <c r="O1936">
        <v>1.8869460000000001E-2</v>
      </c>
      <c r="P1936">
        <v>-0.99641069999999998</v>
      </c>
      <c r="Q1936">
        <v>-1.7382640000000001E-2</v>
      </c>
      <c r="R1936">
        <v>8.2847290000000004E-2</v>
      </c>
      <c r="S1936">
        <v>-2.9568479999999999</v>
      </c>
      <c r="T1936">
        <v>-0.67969380000000001</v>
      </c>
      <c r="U1936">
        <v>0.5097351</v>
      </c>
      <c r="V1936">
        <v>6.4027290000000001E-2</v>
      </c>
      <c r="W1936">
        <v>-6.8509869999999898E-3</v>
      </c>
      <c r="X1936">
        <v>0.99792460000000005</v>
      </c>
      <c r="Y1936">
        <v>0.14799010000000001</v>
      </c>
      <c r="Z1936">
        <v>1.242216E-2</v>
      </c>
      <c r="AA1936">
        <v>0.98891079999999998</v>
      </c>
      <c r="AB1936">
        <v>40</v>
      </c>
      <c r="AC1936">
        <v>-0.55859999999995502</v>
      </c>
      <c r="AD1936">
        <v>-0.22006139999999999</v>
      </c>
      <c r="AE1936">
        <v>0.15760000000000199</v>
      </c>
      <c r="AF1936">
        <v>0.12855100719093299</v>
      </c>
      <c r="AG1936">
        <v>-0.22006139999999999</v>
      </c>
      <c r="AH1936">
        <v>0.49090451129283802</v>
      </c>
      <c r="AI1936">
        <v>113.444220527399</v>
      </c>
      <c r="AJ1936">
        <v>75.325706356410095</v>
      </c>
      <c r="AK1936">
        <v>0.55311808904376203</v>
      </c>
      <c r="AL1936">
        <v>90.392535723648507</v>
      </c>
      <c r="AM1936">
        <v>86.328908991901599</v>
      </c>
      <c r="AN1936">
        <v>0.99999996858638796</v>
      </c>
    </row>
    <row r="1937" spans="1:40" x14ac:dyDescent="0.25">
      <c r="A1937" t="str">
        <f>"20190312160954612"</f>
        <v>20190312160954612</v>
      </c>
      <c r="B1937" t="str">
        <f>"1552378194607523"</f>
        <v>1552378194607523</v>
      </c>
      <c r="C1937" t="s">
        <v>40</v>
      </c>
      <c r="D1937">
        <v>5.177943</v>
      </c>
      <c r="E1937">
        <v>0.53557730000000003</v>
      </c>
      <c r="F1937" t="s">
        <v>42</v>
      </c>
      <c r="G1937">
        <v>-372.74200000000002</v>
      </c>
      <c r="H1937">
        <v>0.89575930000000004</v>
      </c>
      <c r="I1937">
        <v>284.31900000000002</v>
      </c>
      <c r="J1937">
        <v>-372.22710000000001</v>
      </c>
      <c r="K1937">
        <v>1.1091679999999999</v>
      </c>
      <c r="L1937">
        <v>284.16570000000002</v>
      </c>
      <c r="M1937">
        <v>-0.99976350000000003</v>
      </c>
      <c r="N1937">
        <v>0</v>
      </c>
      <c r="O1937">
        <v>1.8992390000000001E-2</v>
      </c>
      <c r="P1937">
        <v>-0.99641100000000005</v>
      </c>
      <c r="Q1937">
        <v>-1.7055420000000002E-2</v>
      </c>
      <c r="R1937">
        <v>8.2912100000000002E-2</v>
      </c>
      <c r="S1937">
        <v>-2.9558409999999999</v>
      </c>
      <c r="T1937">
        <v>-0.68600300000000003</v>
      </c>
      <c r="U1937">
        <v>0.51708980000000004</v>
      </c>
      <c r="V1937">
        <v>6.3969529999999997E-2</v>
      </c>
      <c r="W1937">
        <v>-6.4972700000000003E-3</v>
      </c>
      <c r="X1937">
        <v>0.99793069999999895</v>
      </c>
      <c r="Y1937">
        <v>0.15019879999999999</v>
      </c>
      <c r="Z1937">
        <v>1.2759299999999999E-2</v>
      </c>
      <c r="AA1937">
        <v>0.98857349999999999</v>
      </c>
      <c r="AB1937">
        <v>40</v>
      </c>
      <c r="AC1937">
        <v>-0.51489999999995395</v>
      </c>
      <c r="AD1937">
        <v>-0.21340869999999901</v>
      </c>
      <c r="AE1937">
        <v>0.15330000000000099</v>
      </c>
      <c r="AF1937">
        <v>0.12393610761962701</v>
      </c>
      <c r="AG1937">
        <v>-0.21340869999999901</v>
      </c>
      <c r="AH1937">
        <v>0.44715927927958798</v>
      </c>
      <c r="AI1937">
        <v>114.69845318825099</v>
      </c>
      <c r="AJ1937">
        <v>74.508583200902507</v>
      </c>
      <c r="AK1937">
        <v>0.51073951585268396</v>
      </c>
      <c r="AL1937">
        <v>90.372268769084101</v>
      </c>
      <c r="AM1937">
        <v>86.332234053925404</v>
      </c>
      <c r="AN1937">
        <v>0.99999999864418099</v>
      </c>
    </row>
    <row r="1938" spans="1:40" x14ac:dyDescent="0.25">
      <c r="A1938" t="str">
        <f>"20190312160954634"</f>
        <v>20190312160954634</v>
      </c>
      <c r="B1938" t="str">
        <f>"1552378194627043"</f>
        <v>1552378194627043</v>
      </c>
      <c r="C1938" t="s">
        <v>40</v>
      </c>
      <c r="D1938">
        <v>5.2122029999999997</v>
      </c>
      <c r="E1938">
        <v>0.53569909999999998</v>
      </c>
      <c r="F1938" t="s">
        <v>42</v>
      </c>
      <c r="G1938">
        <v>-373.10419999999999</v>
      </c>
      <c r="H1938">
        <v>0.90503330000000004</v>
      </c>
      <c r="I1938">
        <v>284.3202</v>
      </c>
      <c r="J1938">
        <v>-372.6311</v>
      </c>
      <c r="K1938">
        <v>1.1091690000000001</v>
      </c>
      <c r="L1938">
        <v>284.17349999999999</v>
      </c>
      <c r="M1938">
        <v>-0.9997606</v>
      </c>
      <c r="N1938">
        <v>0</v>
      </c>
      <c r="O1938">
        <v>1.9115320000000002E-2</v>
      </c>
      <c r="P1938">
        <v>-0.99640770000000001</v>
      </c>
      <c r="Q1938">
        <v>-1.760053E-2</v>
      </c>
      <c r="R1938">
        <v>8.2836199999999999E-2</v>
      </c>
      <c r="S1938">
        <v>-2.9557500000000001</v>
      </c>
      <c r="T1938">
        <v>-0.68798110000000001</v>
      </c>
      <c r="U1938">
        <v>0.5202637</v>
      </c>
      <c r="V1938">
        <v>6.37707E-2</v>
      </c>
      <c r="W1938">
        <v>-6.9916930000000002E-3</v>
      </c>
      <c r="X1938">
        <v>0.9979401</v>
      </c>
      <c r="Y1938">
        <v>0.15107400000000001</v>
      </c>
      <c r="Z1938">
        <v>1.286619E-2</v>
      </c>
      <c r="AA1938">
        <v>0.9884387</v>
      </c>
      <c r="AB1938">
        <v>40</v>
      </c>
      <c r="AC1938">
        <v>-0.47309999999998797</v>
      </c>
      <c r="AD1938">
        <v>-0.2041357</v>
      </c>
      <c r="AE1938">
        <v>0.14670000000000899</v>
      </c>
      <c r="AF1938">
        <v>0.117647052340615</v>
      </c>
      <c r="AG1938">
        <v>-0.2041357</v>
      </c>
      <c r="AH1938">
        <v>0.40673466958557902</v>
      </c>
      <c r="AI1938">
        <v>115.739917034139</v>
      </c>
      <c r="AJ1938">
        <v>73.867610790355897</v>
      </c>
      <c r="AK1938">
        <v>0.47004819367998402</v>
      </c>
      <c r="AL1938">
        <v>90.400597758548201</v>
      </c>
      <c r="AM1938">
        <v>86.343637572128003</v>
      </c>
      <c r="AN1938">
        <v>1.00000001456875</v>
      </c>
    </row>
    <row r="1939" spans="1:40" x14ac:dyDescent="0.25">
      <c r="A1939" t="str">
        <f>"20190312160954656"</f>
        <v>20190312160954656</v>
      </c>
      <c r="B1939" t="str">
        <f>"1552378194647542"</f>
        <v>1552378194647542</v>
      </c>
      <c r="C1939" t="s">
        <v>40</v>
      </c>
      <c r="D1939">
        <v>5.2701640000000003</v>
      </c>
      <c r="E1939">
        <v>0.53589119999999901</v>
      </c>
      <c r="F1939" t="s">
        <v>42</v>
      </c>
      <c r="G1939">
        <v>-373.4658</v>
      </c>
      <c r="H1939">
        <v>0.91247929999999999</v>
      </c>
      <c r="I1939">
        <v>284.3211</v>
      </c>
      <c r="J1939">
        <v>-373.02179999999998</v>
      </c>
      <c r="K1939">
        <v>1.1091879999999901</v>
      </c>
      <c r="L1939">
        <v>284.18110000000001</v>
      </c>
      <c r="M1939">
        <v>-0.99975740000000002</v>
      </c>
      <c r="N1939">
        <v>0</v>
      </c>
      <c r="O1939">
        <v>1.923426E-2</v>
      </c>
      <c r="P1939">
        <v>-0.9963552</v>
      </c>
      <c r="Q1939">
        <v>-1.884893E-2</v>
      </c>
      <c r="R1939">
        <v>8.3196450000000005E-2</v>
      </c>
      <c r="S1939">
        <v>-2.955139</v>
      </c>
      <c r="T1939">
        <v>-0.69640199999999997</v>
      </c>
      <c r="U1939">
        <v>0.52163700000000002</v>
      </c>
      <c r="V1939">
        <v>6.4012929999999996E-2</v>
      </c>
      <c r="W1939">
        <v>-8.1559760000000005E-3</v>
      </c>
      <c r="X1939">
        <v>0.99791569999999996</v>
      </c>
      <c r="Y1939">
        <v>0.1513485</v>
      </c>
      <c r="Z1939">
        <v>1.302592E-2</v>
      </c>
      <c r="AA1939">
        <v>0.98839460000000001</v>
      </c>
      <c r="AB1939">
        <v>40</v>
      </c>
      <c r="AC1939">
        <v>-0.44400000000001599</v>
      </c>
      <c r="AD1939">
        <v>-0.19670869999999899</v>
      </c>
      <c r="AE1939">
        <v>0.139999999999986</v>
      </c>
      <c r="AF1939">
        <v>0.11152314384258501</v>
      </c>
      <c r="AG1939">
        <v>-0.19670869999999899</v>
      </c>
      <c r="AH1939">
        <v>0.37895517653057198</v>
      </c>
      <c r="AI1939">
        <v>116.47172950239801</v>
      </c>
      <c r="AJ1939">
        <v>73.601312099971594</v>
      </c>
      <c r="AK1939">
        <v>0.44129213689747598</v>
      </c>
      <c r="AL1939">
        <v>90.467308202412696</v>
      </c>
      <c r="AM1939">
        <v>86.329697446916001</v>
      </c>
      <c r="AN1939">
        <v>0.99999995972909195</v>
      </c>
    </row>
    <row r="1940" spans="1:40" x14ac:dyDescent="0.25">
      <c r="A1940" t="str">
        <f>"20190312160954677"</f>
        <v>20190312160954677</v>
      </c>
      <c r="B1940" t="str">
        <f>"1552378194668035"</f>
        <v>1552378194668035</v>
      </c>
      <c r="C1940" t="s">
        <v>40</v>
      </c>
      <c r="D1940">
        <v>5.2640760000000002</v>
      </c>
      <c r="E1940">
        <v>0.53603919999999905</v>
      </c>
      <c r="F1940" t="s">
        <v>42</v>
      </c>
      <c r="G1940">
        <v>-373.82639999999998</v>
      </c>
      <c r="H1940">
        <v>0.91752860000000003</v>
      </c>
      <c r="I1940">
        <v>284.32389999999998</v>
      </c>
      <c r="J1940">
        <v>-373.41079999999999</v>
      </c>
      <c r="K1940">
        <v>1.109205</v>
      </c>
      <c r="L1940">
        <v>284.18869999999998</v>
      </c>
      <c r="M1940">
        <v>-0.99975380000000003</v>
      </c>
      <c r="N1940">
        <v>0</v>
      </c>
      <c r="O1940">
        <v>1.9353860000000001E-2</v>
      </c>
      <c r="P1940">
        <v>-0.99629590000000001</v>
      </c>
      <c r="Q1940">
        <v>-1.9524550000000002E-2</v>
      </c>
      <c r="R1940">
        <v>8.3745910000000007E-2</v>
      </c>
      <c r="S1940">
        <v>-2.9540099999999998</v>
      </c>
      <c r="T1940">
        <v>-0.70366680000000004</v>
      </c>
      <c r="U1940">
        <v>0.52334590000000003</v>
      </c>
      <c r="V1940">
        <v>6.4443650000000005E-2</v>
      </c>
      <c r="W1940">
        <v>-8.7105719999999998E-3</v>
      </c>
      <c r="X1940">
        <v>0.99788330000000003</v>
      </c>
      <c r="Y1940">
        <v>0.1517666</v>
      </c>
      <c r="Z1940">
        <v>1.318328E-2</v>
      </c>
      <c r="AA1940">
        <v>0.98832850000000005</v>
      </c>
      <c r="AB1940">
        <v>40</v>
      </c>
      <c r="AC1940">
        <v>-0.41559999999998298</v>
      </c>
      <c r="AD1940">
        <v>-0.1916764</v>
      </c>
      <c r="AE1940">
        <v>0.13519999999999699</v>
      </c>
      <c r="AF1940">
        <v>0.10662174651954399</v>
      </c>
      <c r="AG1940">
        <v>-0.1916764</v>
      </c>
      <c r="AH1940">
        <v>0.350683917583691</v>
      </c>
      <c r="AI1940">
        <v>117.606983518698</v>
      </c>
      <c r="AJ1940">
        <v>73.088658948116205</v>
      </c>
      <c r="AK1940">
        <v>0.41362694447978499</v>
      </c>
      <c r="AL1940">
        <v>90.499085339497597</v>
      </c>
      <c r="AM1940">
        <v>86.304949849019295</v>
      </c>
      <c r="AN1940">
        <v>0.99999996925438905</v>
      </c>
    </row>
    <row r="1941" spans="1:40" x14ac:dyDescent="0.25">
      <c r="A1941" t="str">
        <f>"20190312160954701"</f>
        <v>20190312160954701</v>
      </c>
      <c r="B1941" t="str">
        <f>"1552378194697315"</f>
        <v>1552378194697315</v>
      </c>
      <c r="C1941" t="s">
        <v>40</v>
      </c>
      <c r="D1941">
        <v>5.4993550000000004</v>
      </c>
      <c r="E1941">
        <v>0.53592430000000002</v>
      </c>
      <c r="F1941" t="s">
        <v>42</v>
      </c>
      <c r="G1941">
        <v>-374.18709999999999</v>
      </c>
      <c r="H1941">
        <v>0.92248889999999995</v>
      </c>
      <c r="I1941">
        <v>284.3272</v>
      </c>
      <c r="J1941">
        <v>-373.82479999999998</v>
      </c>
      <c r="K1941">
        <v>1.1092379999999999</v>
      </c>
      <c r="L1941">
        <v>284.1968</v>
      </c>
      <c r="M1941">
        <v>-0.99974949999999996</v>
      </c>
      <c r="N1941">
        <v>0</v>
      </c>
      <c r="O1941">
        <v>1.9481680000000001E-2</v>
      </c>
      <c r="P1941">
        <v>-0.99629630000000002</v>
      </c>
      <c r="Q1941">
        <v>-1.914888E-2</v>
      </c>
      <c r="R1941">
        <v>8.3828E-2</v>
      </c>
      <c r="S1941">
        <v>-2.953125</v>
      </c>
      <c r="T1941">
        <v>-0.71040269999999905</v>
      </c>
      <c r="U1941">
        <v>0.52496339999999997</v>
      </c>
      <c r="V1941">
        <v>6.4398230000000001E-2</v>
      </c>
      <c r="W1941">
        <v>-8.1678269999999904E-3</v>
      </c>
      <c r="X1941">
        <v>0.99789079999999997</v>
      </c>
      <c r="Y1941">
        <v>0.15213929999999901</v>
      </c>
      <c r="Z1941">
        <v>1.3323089999999999E-2</v>
      </c>
      <c r="AA1941">
        <v>0.98826930000000002</v>
      </c>
      <c r="AB1941">
        <v>40</v>
      </c>
      <c r="AC1941">
        <v>-0.36230000000000401</v>
      </c>
      <c r="AD1941">
        <v>-0.186749099999999</v>
      </c>
      <c r="AE1941">
        <v>0.13040000000000801</v>
      </c>
      <c r="AF1941">
        <v>9.98335962681689E-2</v>
      </c>
      <c r="AG1941">
        <v>-0.186749099999999</v>
      </c>
      <c r="AH1941">
        <v>0.29530880731007703</v>
      </c>
      <c r="AI1941">
        <v>120.924898721625</v>
      </c>
      <c r="AJ1941">
        <v>71.321400191867397</v>
      </c>
      <c r="AK1941">
        <v>0.36338583484988202</v>
      </c>
      <c r="AL1941">
        <v>90.467987243263096</v>
      </c>
      <c r="AM1941">
        <v>86.307574594846201</v>
      </c>
      <c r="AN1941">
        <v>0.99999994707483597</v>
      </c>
    </row>
    <row r="1942" spans="1:40" x14ac:dyDescent="0.25">
      <c r="A1942" t="str">
        <f>"20190312160954724"</f>
        <v>20190312160954724</v>
      </c>
      <c r="B1942" t="str">
        <f>"1552378194717810"</f>
        <v>1552378194717810</v>
      </c>
      <c r="C1942" t="s">
        <v>40</v>
      </c>
      <c r="D1942">
        <v>5.2295860000000003</v>
      </c>
      <c r="E1942">
        <v>0.53581420000000002</v>
      </c>
      <c r="F1942" t="s">
        <v>42</v>
      </c>
      <c r="G1942">
        <v>-374.55099999999999</v>
      </c>
      <c r="H1942">
        <v>0.93439209999999995</v>
      </c>
      <c r="I1942">
        <v>284.3261</v>
      </c>
      <c r="J1942">
        <v>-374.23329999999999</v>
      </c>
      <c r="K1942">
        <v>1.1092679999999999</v>
      </c>
      <c r="L1942">
        <v>284.20490000000001</v>
      </c>
      <c r="M1942">
        <v>-0.99974499999999999</v>
      </c>
      <c r="N1942">
        <v>0</v>
      </c>
      <c r="O1942">
        <v>1.9594199999999999E-2</v>
      </c>
      <c r="P1942">
        <v>-0.99627719999999997</v>
      </c>
      <c r="Q1942">
        <v>-1.9557950000000001E-2</v>
      </c>
      <c r="R1942">
        <v>8.3959640000000002E-2</v>
      </c>
      <c r="S1942">
        <v>-2.9533390000000002</v>
      </c>
      <c r="T1942">
        <v>-0.711045699999999</v>
      </c>
      <c r="U1942">
        <v>0.5248718</v>
      </c>
      <c r="V1942">
        <v>6.4417719999999998E-2</v>
      </c>
      <c r="W1942">
        <v>-8.3768939999999993E-3</v>
      </c>
      <c r="X1942">
        <v>0.99788779999999999</v>
      </c>
      <c r="Y1942">
        <v>0.15198729999999999</v>
      </c>
      <c r="Z1942">
        <v>1.3289530000000001E-2</v>
      </c>
      <c r="AA1942">
        <v>0.98829310000000004</v>
      </c>
      <c r="AB1942">
        <v>40</v>
      </c>
      <c r="AC1942">
        <v>-0.31770000000000198</v>
      </c>
      <c r="AD1942">
        <v>-0.174875899999999</v>
      </c>
      <c r="AE1942">
        <v>0.121199999999987</v>
      </c>
      <c r="AF1942">
        <v>9.0906884621026404E-2</v>
      </c>
      <c r="AG1942">
        <v>-0.174875899999999</v>
      </c>
      <c r="AH1942">
        <v>0.25307659000558103</v>
      </c>
      <c r="AI1942">
        <v>123.0366461508</v>
      </c>
      <c r="AJ1942">
        <v>70.241356107015406</v>
      </c>
      <c r="AK1942">
        <v>0.32077001493463098</v>
      </c>
      <c r="AL1942">
        <v>90.479966314798503</v>
      </c>
      <c r="AM1942">
        <v>86.306449109035</v>
      </c>
      <c r="AN1942">
        <v>0.99999993819596</v>
      </c>
    </row>
    <row r="1943" spans="1:40" x14ac:dyDescent="0.25">
      <c r="A1943" t="str">
        <f>"20190312160954747"</f>
        <v>20190312160954747</v>
      </c>
      <c r="B1943" t="str">
        <f>"1552378194737334"</f>
        <v>1552378194737334</v>
      </c>
      <c r="C1943" t="s">
        <v>40</v>
      </c>
      <c r="D1943">
        <v>5.2716880000000002</v>
      </c>
      <c r="E1943">
        <v>0.53606799999999999</v>
      </c>
      <c r="F1943" t="s">
        <v>42</v>
      </c>
      <c r="G1943">
        <v>-374.91460000000001</v>
      </c>
      <c r="H1943">
        <v>0.94570929999999997</v>
      </c>
      <c r="I1943">
        <v>284.3261</v>
      </c>
      <c r="J1943">
        <v>-374.63709999999998</v>
      </c>
      <c r="K1943">
        <v>1.1093109999999999</v>
      </c>
      <c r="L1943">
        <v>284.21300000000002</v>
      </c>
      <c r="M1943">
        <v>-0.99973999999999996</v>
      </c>
      <c r="N1943">
        <v>0</v>
      </c>
      <c r="O1943">
        <v>1.9705460000000001E-2</v>
      </c>
      <c r="P1943">
        <v>-0.99628159999999999</v>
      </c>
      <c r="Q1943">
        <v>-1.977224E-2</v>
      </c>
      <c r="R1943">
        <v>8.385637E-2</v>
      </c>
      <c r="S1943">
        <v>-2.953125</v>
      </c>
      <c r="T1943">
        <v>-0.70894000000000001</v>
      </c>
      <c r="U1943">
        <v>0.52474980000000004</v>
      </c>
      <c r="V1943">
        <v>6.4203300000000005E-2</v>
      </c>
      <c r="W1943">
        <v>-8.3485469999999996E-3</v>
      </c>
      <c r="X1943">
        <v>0.99790190000000001</v>
      </c>
      <c r="Y1943">
        <v>0.15187700000000001</v>
      </c>
      <c r="Z1943">
        <v>1.321312E-2</v>
      </c>
      <c r="AA1943">
        <v>0.9883111</v>
      </c>
      <c r="AB1943">
        <v>40</v>
      </c>
      <c r="AC1943">
        <v>-0.277500000000031</v>
      </c>
      <c r="AD1943">
        <v>-0.16360169999999999</v>
      </c>
      <c r="AE1943">
        <v>0.113100000000031</v>
      </c>
      <c r="AF1943">
        <v>8.2899922406374699E-2</v>
      </c>
      <c r="AG1943">
        <v>-0.16360169999999999</v>
      </c>
      <c r="AH1943">
        <v>0.215455422843637</v>
      </c>
      <c r="AI1943">
        <v>125.324485794392</v>
      </c>
      <c r="AJ1943">
        <v>68.954971519837699</v>
      </c>
      <c r="AK1943">
        <v>0.28294690775939502</v>
      </c>
      <c r="AL1943">
        <v>90.478342073488406</v>
      </c>
      <c r="AM1943">
        <v>86.318761424256493</v>
      </c>
      <c r="AN1943">
        <v>0.99999998199575502</v>
      </c>
    </row>
    <row r="1944" spans="1:40" x14ac:dyDescent="0.25">
      <c r="A1944" t="str">
        <f>"20190312160954768"</f>
        <v>20190312160954768</v>
      </c>
      <c r="B1944" t="str">
        <f>"1552378194757826"</f>
        <v>1552378194757826</v>
      </c>
      <c r="C1944" t="s">
        <v>40</v>
      </c>
      <c r="D1944">
        <v>5.5692209999999998</v>
      </c>
      <c r="E1944">
        <v>0.53589519999999902</v>
      </c>
      <c r="F1944" t="s">
        <v>42</v>
      </c>
      <c r="G1944">
        <v>-375.60129999999998</v>
      </c>
      <c r="H1944">
        <v>0.87706649999999997</v>
      </c>
      <c r="I1944">
        <v>284.38529999999997</v>
      </c>
      <c r="J1944">
        <v>-375.0247</v>
      </c>
      <c r="K1944">
        <v>1.109364</v>
      </c>
      <c r="L1944">
        <v>284.2208</v>
      </c>
      <c r="M1944">
        <v>-0.99973480000000003</v>
      </c>
      <c r="N1944">
        <v>0</v>
      </c>
      <c r="O1944">
        <v>1.98202E-2</v>
      </c>
      <c r="P1944">
        <v>-0.99627259999999995</v>
      </c>
      <c r="Q1944">
        <v>-2.0119850000000002E-2</v>
      </c>
      <c r="R1944">
        <v>8.3883810000000003E-2</v>
      </c>
      <c r="S1944">
        <v>-2.9527589999999999</v>
      </c>
      <c r="T1944">
        <v>-0.71126259999999997</v>
      </c>
      <c r="U1944">
        <v>0.52639769999999997</v>
      </c>
      <c r="V1944">
        <v>6.4116489999999998E-2</v>
      </c>
      <c r="W1944">
        <v>-8.4317369999999999E-3</v>
      </c>
      <c r="X1944">
        <v>0.99790679999999998</v>
      </c>
      <c r="Y1944">
        <v>0.15228720000000001</v>
      </c>
      <c r="Z1944">
        <v>1.3277499999999999E-2</v>
      </c>
      <c r="AA1944">
        <v>0.98824710000000004</v>
      </c>
      <c r="AB1944">
        <v>40</v>
      </c>
      <c r="AC1944">
        <v>-0.57659999999998401</v>
      </c>
      <c r="AD1944">
        <v>-0.23229749999999999</v>
      </c>
      <c r="AE1944">
        <v>0.164499999999975</v>
      </c>
      <c r="AF1944">
        <v>0.13306640901386099</v>
      </c>
      <c r="AG1944">
        <v>-0.23229749999999999</v>
      </c>
      <c r="AH1944">
        <v>0.50408796175761394</v>
      </c>
      <c r="AI1944">
        <v>114.01606384841701</v>
      </c>
      <c r="AJ1944">
        <v>75.212683848579005</v>
      </c>
      <c r="AK1944">
        <v>0.57076568826712004</v>
      </c>
      <c r="AL1944">
        <v>90.483108668557804</v>
      </c>
      <c r="AM1944">
        <v>86.323743211076206</v>
      </c>
      <c r="AN1944">
        <v>0.999999999982498</v>
      </c>
    </row>
    <row r="1945" spans="1:40" x14ac:dyDescent="0.25">
      <c r="A1945" t="str">
        <f>"20190312160954791"</f>
        <v>20190312160954791</v>
      </c>
      <c r="B1945" t="str">
        <f>"1552378194787108"</f>
        <v>1552378194787108</v>
      </c>
      <c r="C1945" t="s">
        <v>40</v>
      </c>
      <c r="D1945">
        <v>5.4397229999999999</v>
      </c>
      <c r="E1945">
        <v>0.53581400000000001</v>
      </c>
      <c r="F1945" t="s">
        <v>42</v>
      </c>
      <c r="G1945">
        <v>-375.96199999999999</v>
      </c>
      <c r="H1945">
        <v>0.88468590000000003</v>
      </c>
      <c r="I1945">
        <v>284.38749999999999</v>
      </c>
      <c r="J1945">
        <v>-375.43270000000001</v>
      </c>
      <c r="K1945">
        <v>1.109415</v>
      </c>
      <c r="L1945">
        <v>284.22899999999998</v>
      </c>
      <c r="M1945">
        <v>-0.99972870000000003</v>
      </c>
      <c r="N1945">
        <v>0</v>
      </c>
      <c r="O1945">
        <v>1.9948750000000001E-2</v>
      </c>
      <c r="P1945">
        <v>-0.99630079999999999</v>
      </c>
      <c r="Q1945">
        <v>-2.0477260000000001E-2</v>
      </c>
      <c r="R1945">
        <v>8.3459019999999995E-2</v>
      </c>
      <c r="S1945">
        <v>-2.952728</v>
      </c>
      <c r="T1945">
        <v>-0.70784659999999999</v>
      </c>
      <c r="U1945">
        <v>0.52496339999999997</v>
      </c>
      <c r="V1945">
        <v>6.3563019999999998E-2</v>
      </c>
      <c r="W1945">
        <v>-8.4985479999999999E-3</v>
      </c>
      <c r="X1945">
        <v>0.99794159999999998</v>
      </c>
      <c r="Y1945">
        <v>0.1517491</v>
      </c>
      <c r="Z1945">
        <v>1.312285E-2</v>
      </c>
      <c r="AA1945">
        <v>0.98833190000000004</v>
      </c>
      <c r="AB1945">
        <v>40</v>
      </c>
      <c r="AC1945">
        <v>-0.52929999999997701</v>
      </c>
      <c r="AD1945">
        <v>-0.22472909999999999</v>
      </c>
      <c r="AE1945">
        <v>0.15849999999994599</v>
      </c>
      <c r="AF1945">
        <v>0.126913309722544</v>
      </c>
      <c r="AG1945">
        <v>-0.22472909999999999</v>
      </c>
      <c r="AH1945">
        <v>0.45678925406841098</v>
      </c>
      <c r="AI1945">
        <v>115.361879271723</v>
      </c>
      <c r="AJ1945">
        <v>74.472697742181595</v>
      </c>
      <c r="AK1945">
        <v>0.52465853581535804</v>
      </c>
      <c r="AL1945">
        <v>90.486936813553598</v>
      </c>
      <c r="AM1945">
        <v>86.355518448999007</v>
      </c>
      <c r="AN1945">
        <v>0.99999995992009305</v>
      </c>
    </row>
    <row r="1946" spans="1:40" x14ac:dyDescent="0.25">
      <c r="A1946" t="str">
        <f>"20190312160954814"</f>
        <v>20190312160954814</v>
      </c>
      <c r="B1946" t="str">
        <f>"1552378194807604"</f>
        <v>1552378194807604</v>
      </c>
      <c r="C1946" t="s">
        <v>40</v>
      </c>
      <c r="D1946">
        <v>5.4834500000000004</v>
      </c>
      <c r="E1946">
        <v>0.55312910000000004</v>
      </c>
      <c r="F1946" t="s">
        <v>42</v>
      </c>
      <c r="G1946">
        <v>-376.32420000000002</v>
      </c>
      <c r="H1946">
        <v>0.89706909999999895</v>
      </c>
      <c r="I1946">
        <v>284.38740000000001</v>
      </c>
      <c r="J1946">
        <v>-375.83629999999999</v>
      </c>
      <c r="K1946">
        <v>1.1094599999999999</v>
      </c>
      <c r="L1946">
        <v>284.2371</v>
      </c>
      <c r="M1946">
        <v>-0.99972269999999996</v>
      </c>
      <c r="N1946">
        <v>0</v>
      </c>
      <c r="O1946">
        <v>2.007691E-2</v>
      </c>
      <c r="P1946">
        <v>-0.99633629999999995</v>
      </c>
      <c r="Q1946">
        <v>-2.068733E-2</v>
      </c>
      <c r="R1946">
        <v>8.2983199999999993E-2</v>
      </c>
      <c r="S1946">
        <v>-2.9528500000000002</v>
      </c>
      <c r="T1946">
        <v>-0.70341419999999999</v>
      </c>
      <c r="U1946">
        <v>0.52334590000000003</v>
      </c>
      <c r="V1946">
        <v>6.2958719999999996E-2</v>
      </c>
      <c r="W1946">
        <v>-8.4149189999999999E-3</v>
      </c>
      <c r="X1946">
        <v>0.99798070000000005</v>
      </c>
      <c r="Y1946">
        <v>0.1511546</v>
      </c>
      <c r="Z1946">
        <v>1.294376E-2</v>
      </c>
      <c r="AA1946">
        <v>0.98842540000000001</v>
      </c>
      <c r="AB1946">
        <v>40</v>
      </c>
      <c r="AC1946">
        <v>-0.48790000000002398</v>
      </c>
      <c r="AD1946">
        <v>-0.21239089999999999</v>
      </c>
      <c r="AE1946">
        <v>0.150300000000015</v>
      </c>
      <c r="AF1946">
        <v>0.119747951205718</v>
      </c>
      <c r="AG1946">
        <v>-0.21239089999999999</v>
      </c>
      <c r="AH1946">
        <v>0.41840381787417502</v>
      </c>
      <c r="AI1946">
        <v>116.01365378204601</v>
      </c>
      <c r="AJ1946">
        <v>74.028779813686896</v>
      </c>
      <c r="AK1946">
        <v>0.48426358631685601</v>
      </c>
      <c r="AL1946">
        <v>90.482145012521002</v>
      </c>
      <c r="AM1946">
        <v>86.3902159003203</v>
      </c>
      <c r="AN1946">
        <v>1.0000000444291499</v>
      </c>
    </row>
    <row r="1947" spans="1:40" x14ac:dyDescent="0.25">
      <c r="A1947" t="str">
        <f>"20190312160954836"</f>
        <v>20190312160954836</v>
      </c>
      <c r="B1947" t="str">
        <f>"1552378194827124"</f>
        <v>1552378194827124</v>
      </c>
      <c r="C1947" t="s">
        <v>40</v>
      </c>
      <c r="D1947">
        <v>5.3896269999999999</v>
      </c>
      <c r="E1947">
        <v>0.55206509999999998</v>
      </c>
      <c r="F1947" t="s">
        <v>42</v>
      </c>
      <c r="G1947">
        <v>-376.6721</v>
      </c>
      <c r="H1947">
        <v>0.87412409999999996</v>
      </c>
      <c r="I1947">
        <v>284.42439999999999</v>
      </c>
      <c r="J1947">
        <v>-376.2405</v>
      </c>
      <c r="K1947">
        <v>1.1094999999999999</v>
      </c>
      <c r="L1947">
        <v>284.24529999999999</v>
      </c>
      <c r="M1947">
        <v>-0.9997163</v>
      </c>
      <c r="N1947">
        <v>0</v>
      </c>
      <c r="O1947">
        <v>2.0201899999999998E-2</v>
      </c>
      <c r="P1947">
        <v>-0.99631579999999997</v>
      </c>
      <c r="Q1947">
        <v>-2.132444E-2</v>
      </c>
      <c r="R1947">
        <v>8.3066899999999999E-2</v>
      </c>
      <c r="S1947">
        <v>-2.9390869999999998</v>
      </c>
      <c r="T1947">
        <v>-0.82748409999999994</v>
      </c>
      <c r="U1947">
        <v>0.65762330000000002</v>
      </c>
      <c r="V1947">
        <v>6.2917899999999999E-2</v>
      </c>
      <c r="W1947">
        <v>-8.757707E-3</v>
      </c>
      <c r="X1947">
        <v>0.99798030000000004</v>
      </c>
      <c r="Y1947">
        <v>0.1922238</v>
      </c>
      <c r="Z1947">
        <v>2.072527E-2</v>
      </c>
      <c r="AA1947">
        <v>0.98113220000000001</v>
      </c>
      <c r="AB1947">
        <v>40</v>
      </c>
      <c r="AC1947">
        <v>-0.43160000000000298</v>
      </c>
      <c r="AD1947">
        <v>-0.2353759</v>
      </c>
      <c r="AE1947">
        <v>0.17910000000000501</v>
      </c>
      <c r="AF1947">
        <v>0.13587019444262999</v>
      </c>
      <c r="AG1947">
        <v>-0.2353759</v>
      </c>
      <c r="AH1947">
        <v>0.34707052393218801</v>
      </c>
      <c r="AI1947">
        <v>122.272907925265</v>
      </c>
      <c r="AJ1947">
        <v>68.620789969315595</v>
      </c>
      <c r="AK1947">
        <v>0.44081795859657502</v>
      </c>
      <c r="AL1947">
        <v>90.501786054010296</v>
      </c>
      <c r="AM1947">
        <v>86.392548720272899</v>
      </c>
      <c r="AN1947">
        <v>1.0000000193801899</v>
      </c>
    </row>
    <row r="1948" spans="1:40" x14ac:dyDescent="0.25">
      <c r="A1948" t="str">
        <f>"20190312160954858"</f>
        <v>20190312160954858</v>
      </c>
      <c r="B1948" t="str">
        <f>"1552378194847620"</f>
        <v>1552378194847620</v>
      </c>
      <c r="C1948" t="s">
        <v>40</v>
      </c>
      <c r="D1948">
        <v>5.3840070000000004</v>
      </c>
      <c r="E1948">
        <v>0.55131949999999996</v>
      </c>
      <c r="F1948" t="s">
        <v>42</v>
      </c>
      <c r="G1948">
        <v>-377.03359999999998</v>
      </c>
      <c r="H1948">
        <v>0.88656349999999995</v>
      </c>
      <c r="I1948">
        <v>284.42090000000002</v>
      </c>
      <c r="J1948">
        <v>-376.6241</v>
      </c>
      <c r="K1948">
        <v>1.109529</v>
      </c>
      <c r="L1948">
        <v>284.25319999999999</v>
      </c>
      <c r="M1948">
        <v>-0.9997106</v>
      </c>
      <c r="N1948">
        <v>0</v>
      </c>
      <c r="O1948">
        <v>2.0315989999999999E-2</v>
      </c>
      <c r="P1948">
        <v>-0.9963265</v>
      </c>
      <c r="Q1948">
        <v>-2.1891359999999999E-2</v>
      </c>
      <c r="R1948">
        <v>8.2792740000000004E-2</v>
      </c>
      <c r="S1948">
        <v>-2.9393009999999999</v>
      </c>
      <c r="T1948">
        <v>-0.82632589999999995</v>
      </c>
      <c r="U1948">
        <v>0.64916989999999997</v>
      </c>
      <c r="V1948">
        <v>6.2529660000000001E-2</v>
      </c>
      <c r="W1948">
        <v>-9.0532890000000008E-3</v>
      </c>
      <c r="X1948">
        <v>0.9980021</v>
      </c>
      <c r="Y1948">
        <v>0.18952459999999999</v>
      </c>
      <c r="Z1948">
        <v>2.0302799999999999E-2</v>
      </c>
      <c r="AA1948">
        <v>0.98166600000000004</v>
      </c>
      <c r="AB1948">
        <v>40</v>
      </c>
      <c r="AC1948">
        <v>-0.40949999999997899</v>
      </c>
      <c r="AD1948">
        <v>-0.22296550000000001</v>
      </c>
      <c r="AE1948">
        <v>0.167700000000024</v>
      </c>
      <c r="AF1948">
        <v>0.127081528794633</v>
      </c>
      <c r="AG1948">
        <v>-0.22296550000000001</v>
      </c>
      <c r="AH1948">
        <v>0.32923561140915603</v>
      </c>
      <c r="AI1948">
        <v>122.28431000231799</v>
      </c>
      <c r="AJ1948">
        <v>68.893929283477405</v>
      </c>
      <c r="AK1948">
        <v>0.41744390877217502</v>
      </c>
      <c r="AL1948">
        <v>90.518722307444406</v>
      </c>
      <c r="AM1948">
        <v>86.414828660287498</v>
      </c>
      <c r="AN1948">
        <v>1.0000000560129201</v>
      </c>
    </row>
    <row r="1949" spans="1:40" x14ac:dyDescent="0.25">
      <c r="A1949" t="str">
        <f>"20190312160954879"</f>
        <v>20190312160954879</v>
      </c>
      <c r="B1949" t="str">
        <f>"1552378194867139"</f>
        <v>1552378194867139</v>
      </c>
      <c r="C1949" t="s">
        <v>40</v>
      </c>
      <c r="D1949">
        <v>5.4008570000000002</v>
      </c>
      <c r="E1949">
        <v>0.54780019999999996</v>
      </c>
      <c r="F1949" t="s">
        <v>42</v>
      </c>
      <c r="G1949">
        <v>-377.39319999999998</v>
      </c>
      <c r="H1949">
        <v>0.89574529999999997</v>
      </c>
      <c r="I1949">
        <v>284.42149999999998</v>
      </c>
      <c r="J1949">
        <v>-377.01319999999998</v>
      </c>
      <c r="K1949">
        <v>1.109558</v>
      </c>
      <c r="L1949">
        <v>284.26119999999997</v>
      </c>
      <c r="M1949">
        <v>-0.99970499999999995</v>
      </c>
      <c r="N1949">
        <v>0</v>
      </c>
      <c r="O1949">
        <v>2.042915E-2</v>
      </c>
      <c r="P1949">
        <v>-0.99632500000000002</v>
      </c>
      <c r="Q1949">
        <v>-2.2253950000000002E-2</v>
      </c>
      <c r="R1949">
        <v>8.2711610000000005E-2</v>
      </c>
      <c r="S1949">
        <v>-2.9397280000000001</v>
      </c>
      <c r="T1949">
        <v>-0.81707739999999995</v>
      </c>
      <c r="U1949">
        <v>0.64233399999999996</v>
      </c>
      <c r="V1949">
        <v>6.2335260000000003E-2</v>
      </c>
      <c r="W1949">
        <v>-9.1589949999999996E-3</v>
      </c>
      <c r="X1949">
        <v>0.99801329999999999</v>
      </c>
      <c r="Y1949">
        <v>0.18742039999999999</v>
      </c>
      <c r="Z1949">
        <v>1.9771210000000001E-2</v>
      </c>
      <c r="AA1949">
        <v>0.98208079999999998</v>
      </c>
      <c r="AB1949">
        <v>40</v>
      </c>
      <c r="AC1949">
        <v>-0.37999999999999501</v>
      </c>
      <c r="AD1949">
        <v>-0.213812699999999</v>
      </c>
      <c r="AE1949">
        <v>0.16030000000000599</v>
      </c>
      <c r="AF1949">
        <v>0.120197827587291</v>
      </c>
      <c r="AG1949">
        <v>-0.213812699999999</v>
      </c>
      <c r="AH1949">
        <v>0.302022648499713</v>
      </c>
      <c r="AI1949">
        <v>123.33532235996501</v>
      </c>
      <c r="AJ1949">
        <v>68.298621332201407</v>
      </c>
      <c r="AK1949">
        <v>0.38907720139424101</v>
      </c>
      <c r="AL1949">
        <v>90.5247790641221</v>
      </c>
      <c r="AM1949">
        <v>86.4259857566758</v>
      </c>
      <c r="AN1949">
        <v>1.00000005940278</v>
      </c>
    </row>
    <row r="1950" spans="1:40" x14ac:dyDescent="0.25">
      <c r="A1950" t="str">
        <f>"20190312160954902"</f>
        <v>20190312160954902</v>
      </c>
      <c r="B1950" t="str">
        <f>"1552378194897395"</f>
        <v>1552378194897395</v>
      </c>
      <c r="C1950" t="s">
        <v>40</v>
      </c>
      <c r="D1950">
        <v>5.5374210000000001</v>
      </c>
      <c r="E1950">
        <v>0.54443779999999997</v>
      </c>
      <c r="F1950" t="s">
        <v>42</v>
      </c>
      <c r="G1950">
        <v>-377.75740000000002</v>
      </c>
      <c r="H1950">
        <v>0.91664920000000005</v>
      </c>
      <c r="I1950">
        <v>284.41739999999999</v>
      </c>
      <c r="J1950">
        <v>-377.41039999999998</v>
      </c>
      <c r="K1950">
        <v>1.1095809999999999</v>
      </c>
      <c r="L1950">
        <v>284.26940000000002</v>
      </c>
      <c r="M1950">
        <v>-0.99969949999999996</v>
      </c>
      <c r="N1950">
        <v>0</v>
      </c>
      <c r="O1950">
        <v>2.0544E-2</v>
      </c>
      <c r="P1950">
        <v>-0.99636820000000004</v>
      </c>
      <c r="Q1950">
        <v>-2.15639E-2</v>
      </c>
      <c r="R1950">
        <v>8.2374130000000004E-2</v>
      </c>
      <c r="S1950">
        <v>-2.9429020000000001</v>
      </c>
      <c r="T1950">
        <v>-0.76282469999999902</v>
      </c>
      <c r="U1950">
        <v>0.61566160000000003</v>
      </c>
      <c r="V1950">
        <v>6.1882600000000003E-2</v>
      </c>
      <c r="W1950">
        <v>-8.229999E-3</v>
      </c>
      <c r="X1950">
        <v>0.99804950000000003</v>
      </c>
      <c r="Y1950">
        <v>0.17958209999999999</v>
      </c>
      <c r="Z1950">
        <v>1.7479890000000001E-2</v>
      </c>
      <c r="AA1950">
        <v>0.98358769999999995</v>
      </c>
      <c r="AB1950">
        <v>40</v>
      </c>
      <c r="AC1950">
        <v>-0.347000000000036</v>
      </c>
      <c r="AD1950">
        <v>-0.19293179999999899</v>
      </c>
      <c r="AE1950">
        <v>0.14799999999996699</v>
      </c>
      <c r="AF1950">
        <v>0.111639485587956</v>
      </c>
      <c r="AG1950">
        <v>-0.19293179999999899</v>
      </c>
      <c r="AH1950">
        <v>0.27740965005199902</v>
      </c>
      <c r="AI1950">
        <v>122.829709132735</v>
      </c>
      <c r="AJ1950">
        <v>68.078396194663299</v>
      </c>
      <c r="AK1950">
        <v>0.35586818927175301</v>
      </c>
      <c r="AL1950">
        <v>90.471549532962598</v>
      </c>
      <c r="AM1950">
        <v>86.4520009998202</v>
      </c>
      <c r="AN1950">
        <v>0.999999996758275</v>
      </c>
    </row>
    <row r="1951" spans="1:40" x14ac:dyDescent="0.25">
      <c r="A1951" t="str">
        <f>"20190312160954926"</f>
        <v>20190312160954926</v>
      </c>
      <c r="B1951" t="str">
        <f>"1552378194917891"</f>
        <v>1552378194917891</v>
      </c>
      <c r="C1951" t="s">
        <v>40</v>
      </c>
      <c r="D1951">
        <v>5.8190140000000001</v>
      </c>
      <c r="E1951">
        <v>0.54298310000000005</v>
      </c>
      <c r="F1951" t="s">
        <v>42</v>
      </c>
      <c r="G1951">
        <v>-378.12189999999998</v>
      </c>
      <c r="H1951">
        <v>0.93783019999999995</v>
      </c>
      <c r="I1951">
        <v>284.4119</v>
      </c>
      <c r="J1951">
        <v>-377.83879999999999</v>
      </c>
      <c r="K1951">
        <v>1.1095919999999999</v>
      </c>
      <c r="L1951">
        <v>284.2783</v>
      </c>
      <c r="M1951">
        <v>-0.99969379999999997</v>
      </c>
      <c r="N1951">
        <v>0</v>
      </c>
      <c r="O1951">
        <v>2.0669429999999999E-2</v>
      </c>
      <c r="P1951">
        <v>-0.99636069999999999</v>
      </c>
      <c r="Q1951">
        <v>-2.173464E-2</v>
      </c>
      <c r="R1951">
        <v>8.2420099999999996E-2</v>
      </c>
      <c r="S1951">
        <v>-2.9468380000000001</v>
      </c>
      <c r="T1951">
        <v>-0.71144259999999904</v>
      </c>
      <c r="U1951">
        <v>0.58944700000000005</v>
      </c>
      <c r="V1951">
        <v>6.1803469999999999E-2</v>
      </c>
      <c r="W1951">
        <v>-8.17255699999999E-3</v>
      </c>
      <c r="X1951">
        <v>0.99805489999999997</v>
      </c>
      <c r="Y1951">
        <v>0.1716608</v>
      </c>
      <c r="Z1951">
        <v>1.5365119999999999E-2</v>
      </c>
      <c r="AA1951">
        <v>0.98503629999999998</v>
      </c>
      <c r="AB1951">
        <v>40</v>
      </c>
      <c r="AC1951">
        <v>-0.28309999999999003</v>
      </c>
      <c r="AD1951">
        <v>-0.17176179999999899</v>
      </c>
      <c r="AE1951">
        <v>0.133600000000001</v>
      </c>
      <c r="AF1951">
        <v>9.81657458806202E-2</v>
      </c>
      <c r="AG1951">
        <v>-0.17176179999999899</v>
      </c>
      <c r="AH1951">
        <v>0.219668185847644</v>
      </c>
      <c r="AI1951">
        <v>125.52211062432301</v>
      </c>
      <c r="AJ1951">
        <v>65.920994607611306</v>
      </c>
      <c r="AK1951">
        <v>0.29562263356707602</v>
      </c>
      <c r="AL1951">
        <v>90.4682582265078</v>
      </c>
      <c r="AM1951">
        <v>86.456545423538401</v>
      </c>
      <c r="AN1951">
        <v>1.0000000215029801</v>
      </c>
    </row>
    <row r="1952" spans="1:40" x14ac:dyDescent="0.25">
      <c r="A1952" t="str">
        <f>"20190312160954947"</f>
        <v>20190312160954947</v>
      </c>
      <c r="B1952" t="str">
        <f>"1552378194937414"</f>
        <v>1552378194937414</v>
      </c>
      <c r="C1952" t="s">
        <v>40</v>
      </c>
      <c r="D1952">
        <v>5.3721079999999999</v>
      </c>
      <c r="E1952">
        <v>0.54228759999999998</v>
      </c>
      <c r="F1952" t="s">
        <v>42</v>
      </c>
      <c r="G1952">
        <v>-378.80770000000001</v>
      </c>
      <c r="H1952">
        <v>0.88216260000000002</v>
      </c>
      <c r="I1952">
        <v>284.4683</v>
      </c>
      <c r="J1952">
        <v>-378.2124</v>
      </c>
      <c r="K1952">
        <v>1.1096029999999999</v>
      </c>
      <c r="L1952">
        <v>284.28609999999998</v>
      </c>
      <c r="M1952">
        <v>-0.9996891</v>
      </c>
      <c r="N1952">
        <v>0</v>
      </c>
      <c r="O1952">
        <v>2.078004E-2</v>
      </c>
      <c r="P1952">
        <v>-0.99634920000000005</v>
      </c>
      <c r="Q1952">
        <v>-2.1631890000000001E-2</v>
      </c>
      <c r="R1952">
        <v>8.2589159999999995E-2</v>
      </c>
      <c r="S1952">
        <v>-2.9480590000000002</v>
      </c>
      <c r="T1952">
        <v>-0.69208910000000001</v>
      </c>
      <c r="U1952">
        <v>0.57748409999999994</v>
      </c>
      <c r="V1952">
        <v>6.1862599999999997E-2</v>
      </c>
      <c r="W1952">
        <v>-7.8937620000000003E-3</v>
      </c>
      <c r="X1952">
        <v>0.99805339999999998</v>
      </c>
      <c r="Y1952">
        <v>0.16794589999999901</v>
      </c>
      <c r="Z1952">
        <v>1.4506E-2</v>
      </c>
      <c r="AA1952">
        <v>0.9856895</v>
      </c>
      <c r="AB1952">
        <v>40</v>
      </c>
      <c r="AC1952">
        <v>-0.59530000000000804</v>
      </c>
      <c r="AD1952">
        <v>-0.22744039999999999</v>
      </c>
      <c r="AE1952">
        <v>0.18220000000002301</v>
      </c>
      <c r="AF1952">
        <v>0.14979621316692901</v>
      </c>
      <c r="AG1952">
        <v>-0.22744039999999999</v>
      </c>
      <c r="AH1952">
        <v>0.52842978880216596</v>
      </c>
      <c r="AI1952">
        <v>112.494041114509</v>
      </c>
      <c r="AJ1952">
        <v>74.173334887863106</v>
      </c>
      <c r="AK1952">
        <v>0.59447967393748102</v>
      </c>
      <c r="AL1952">
        <v>90.452283970927198</v>
      </c>
      <c r="AM1952">
        <v>86.453158583528904</v>
      </c>
      <c r="AN1952">
        <v>0.99999994100441403</v>
      </c>
    </row>
    <row r="1953" spans="1:40" x14ac:dyDescent="0.25">
      <c r="A1953" t="str">
        <f>"20190312160954968"</f>
        <v>20190312160954968</v>
      </c>
      <c r="B1953" t="str">
        <f>"1552378194957907"</f>
        <v>1552378194957907</v>
      </c>
      <c r="C1953" t="s">
        <v>40</v>
      </c>
      <c r="D1953">
        <v>5.446644</v>
      </c>
      <c r="E1953">
        <v>0.50813140000000001</v>
      </c>
      <c r="F1953" t="s">
        <v>42</v>
      </c>
      <c r="G1953">
        <v>-379.16379999999998</v>
      </c>
      <c r="H1953">
        <v>0.88757410000000003</v>
      </c>
      <c r="I1953">
        <v>284.47109999999998</v>
      </c>
      <c r="J1953">
        <v>-378.59120000000001</v>
      </c>
      <c r="K1953">
        <v>1.109613</v>
      </c>
      <c r="L1953">
        <v>284.29410000000001</v>
      </c>
      <c r="M1953">
        <v>-0.99968460000000003</v>
      </c>
      <c r="N1953">
        <v>0</v>
      </c>
      <c r="O1953">
        <v>2.089301E-2</v>
      </c>
      <c r="P1953">
        <v>-0.99631519999999996</v>
      </c>
      <c r="Q1953">
        <v>-2.171348E-2</v>
      </c>
      <c r="R1953">
        <v>8.2974309999999996E-2</v>
      </c>
      <c r="S1953">
        <v>-2.948639</v>
      </c>
      <c r="T1953">
        <v>-0.68810990000000005</v>
      </c>
      <c r="U1953">
        <v>0.57229609999999997</v>
      </c>
      <c r="V1953">
        <v>6.2135389999999999E-2</v>
      </c>
      <c r="W1953">
        <v>-7.8171779999999993E-3</v>
      </c>
      <c r="X1953">
        <v>0.99803710000000001</v>
      </c>
      <c r="Y1953">
        <v>0.166218</v>
      </c>
      <c r="Z1953">
        <v>1.420137E-2</v>
      </c>
      <c r="AA1953">
        <v>0.98598680000000005</v>
      </c>
      <c r="AB1953">
        <v>40</v>
      </c>
      <c r="AC1953">
        <v>-0.57259999999996503</v>
      </c>
      <c r="AD1953">
        <v>-0.22203890000000001</v>
      </c>
      <c r="AE1953">
        <v>0.17699999999996399</v>
      </c>
      <c r="AF1953">
        <v>0.14508367594804</v>
      </c>
      <c r="AG1953">
        <v>-0.22203890000000001</v>
      </c>
      <c r="AH1953">
        <v>0.50663605086492702</v>
      </c>
      <c r="AI1953">
        <v>112.846952814101</v>
      </c>
      <c r="AJ1953">
        <v>74.020052534675202</v>
      </c>
      <c r="AK1953">
        <v>0.57186592325108399</v>
      </c>
      <c r="AL1953">
        <v>90.447895876052101</v>
      </c>
      <c r="AM1953">
        <v>86.437500550221202</v>
      </c>
      <c r="AN1953">
        <v>0.99999998396937195</v>
      </c>
    </row>
    <row r="1954" spans="1:40" x14ac:dyDescent="0.25">
      <c r="A1954" t="str">
        <f>"20190312160954992"</f>
        <v>20190312160954992</v>
      </c>
      <c r="B1954" t="str">
        <f>"1552378194987187"</f>
        <v>1552378194987187</v>
      </c>
      <c r="C1954" t="s">
        <v>40</v>
      </c>
      <c r="D1954">
        <v>5.5975419999999998</v>
      </c>
      <c r="E1954">
        <v>0.47418929999999998</v>
      </c>
      <c r="F1954" t="s">
        <v>42</v>
      </c>
      <c r="G1954">
        <v>-379.54360000000003</v>
      </c>
      <c r="H1954">
        <v>0.94930550000000002</v>
      </c>
      <c r="I1954">
        <v>284.392</v>
      </c>
      <c r="J1954">
        <v>-379.00349999999997</v>
      </c>
      <c r="K1954">
        <v>1.1096220000000001</v>
      </c>
      <c r="L1954">
        <v>284.30290000000002</v>
      </c>
      <c r="M1954">
        <v>-0.99967989999999995</v>
      </c>
      <c r="N1954">
        <v>0</v>
      </c>
      <c r="O1954">
        <v>2.101658E-2</v>
      </c>
      <c r="P1954">
        <v>-0.99629199999999996</v>
      </c>
      <c r="Q1954">
        <v>-2.2102790000000001E-2</v>
      </c>
      <c r="R1954">
        <v>8.3149470000000003E-2</v>
      </c>
      <c r="S1954">
        <v>-2.9746700000000001</v>
      </c>
      <c r="T1954">
        <v>-0.50071319999999997</v>
      </c>
      <c r="U1954">
        <v>0.3056335</v>
      </c>
      <c r="V1954">
        <v>6.2187630000000001E-2</v>
      </c>
      <c r="W1954">
        <v>-8.0556250000000003E-3</v>
      </c>
      <c r="X1954">
        <v>0.99803200000000003</v>
      </c>
      <c r="Y1954">
        <v>8.0449160000000006E-2</v>
      </c>
      <c r="Z1954">
        <v>3.2031439999999998E-3</v>
      </c>
      <c r="AA1954">
        <v>0.99675360000000002</v>
      </c>
      <c r="AB1954">
        <v>40</v>
      </c>
      <c r="AC1954">
        <v>-0.54010000000005198</v>
      </c>
      <c r="AD1954">
        <v>-0.160316499999999</v>
      </c>
      <c r="AE1954">
        <v>8.9099999999973506E-2</v>
      </c>
      <c r="AF1954">
        <v>7.1587881995355304E-2</v>
      </c>
      <c r="AG1954">
        <v>-0.160316499999999</v>
      </c>
      <c r="AH1954">
        <v>0.49904890184144701</v>
      </c>
      <c r="AI1954">
        <v>107.640092576754</v>
      </c>
      <c r="AJ1954">
        <v>81.836688395615198</v>
      </c>
      <c r="AK1954">
        <v>0.52903309107274699</v>
      </c>
      <c r="AL1954">
        <v>90.461558290358099</v>
      </c>
      <c r="AM1954">
        <v>86.434494948126499</v>
      </c>
      <c r="AN1954">
        <v>1.00000003372157</v>
      </c>
    </row>
    <row r="1955" spans="1:40" x14ac:dyDescent="0.25">
      <c r="A1955" t="str">
        <f>"20190312160955015"</f>
        <v>20190312160955015</v>
      </c>
      <c r="B1955" t="str">
        <f>"1552378195007683"</f>
        <v>1552378195007683</v>
      </c>
      <c r="C1955" t="s">
        <v>40</v>
      </c>
      <c r="D1955">
        <v>5.3528570000000002</v>
      </c>
      <c r="E1955">
        <v>0.46863670000000002</v>
      </c>
      <c r="F1955" t="s">
        <v>61</v>
      </c>
      <c r="G1955">
        <v>-398.27890000000002</v>
      </c>
      <c r="H1955" s="1">
        <v>2.868848E-6</v>
      </c>
      <c r="I1955">
        <v>284.57470000000001</v>
      </c>
      <c r="J1955">
        <v>-379.40050000000002</v>
      </c>
      <c r="K1955">
        <v>1.109631</v>
      </c>
      <c r="L1955">
        <v>284.31139999999999</v>
      </c>
      <c r="M1955">
        <v>-0.99967550000000005</v>
      </c>
      <c r="N1955">
        <v>0</v>
      </c>
      <c r="O1955">
        <v>2.1134400000000001E-2</v>
      </c>
      <c r="P1955">
        <v>-0.99627239999999995</v>
      </c>
      <c r="Q1955">
        <v>-2.1610520000000001E-2</v>
      </c>
      <c r="R1955">
        <v>8.3514320000000003E-2</v>
      </c>
      <c r="S1955">
        <v>-3.0038149999999999</v>
      </c>
      <c r="T1955">
        <v>-0.17291879999999901</v>
      </c>
      <c r="U1955">
        <v>4.2358399999999997E-2</v>
      </c>
      <c r="V1955">
        <v>6.2435440000000002E-2</v>
      </c>
      <c r="W1955">
        <v>-7.4368100000000003E-3</v>
      </c>
      <c r="X1955">
        <v>0.9980213</v>
      </c>
      <c r="Y1955">
        <v>-6.9908979999999997E-3</v>
      </c>
      <c r="Z1955">
        <v>-1.4166179999999999E-3</v>
      </c>
      <c r="AA1955">
        <v>0.99997449999999999</v>
      </c>
      <c r="AB1955">
        <v>40</v>
      </c>
      <c r="AC1955">
        <v>-18.878399999999999</v>
      </c>
      <c r="AD1955">
        <v>-1.109628131152</v>
      </c>
      <c r="AE1955">
        <v>0.26330000000001502</v>
      </c>
      <c r="AF1955">
        <v>-0.13531542971934099</v>
      </c>
      <c r="AG1955">
        <v>-1.109628131152</v>
      </c>
      <c r="AH1955">
        <v>18.814758953678801</v>
      </c>
      <c r="AI1955">
        <v>93.3751063281547</v>
      </c>
      <c r="AJ1955">
        <v>90.412063177393605</v>
      </c>
      <c r="AK1955">
        <v>18.847937270163001</v>
      </c>
      <c r="AL1955">
        <v>90.426101752590696</v>
      </c>
      <c r="AM1955">
        <v>86.420285444926293</v>
      </c>
      <c r="AN1955">
        <v>1.0000000027823299</v>
      </c>
    </row>
    <row r="1956" spans="1:40" x14ac:dyDescent="0.25">
      <c r="A1956" t="str">
        <f>"20190312160955037"</f>
        <v>20190312160955037</v>
      </c>
      <c r="B1956" t="str">
        <f>"1552378195027203"</f>
        <v>1552378195027203</v>
      </c>
      <c r="C1956" t="s">
        <v>40</v>
      </c>
      <c r="D1956">
        <v>5.3687139999999998</v>
      </c>
      <c r="E1956">
        <v>0.46660439999999997</v>
      </c>
      <c r="F1956" t="s">
        <v>74</v>
      </c>
      <c r="G1956">
        <v>-402.64609999999999</v>
      </c>
      <c r="H1956" s="1">
        <v>7.2921360000000002E-6</v>
      </c>
      <c r="I1956">
        <v>284.31</v>
      </c>
      <c r="J1956">
        <v>-379.81299999999999</v>
      </c>
      <c r="K1956">
        <v>1.109639</v>
      </c>
      <c r="L1956">
        <v>284.3202</v>
      </c>
      <c r="M1956">
        <v>-0.99967139999999999</v>
      </c>
      <c r="N1956">
        <v>0</v>
      </c>
      <c r="O1956">
        <v>2.1251969999999999E-2</v>
      </c>
      <c r="P1956">
        <v>-0.99626899999999996</v>
      </c>
      <c r="Q1956">
        <v>-2.1411889999999999E-2</v>
      </c>
      <c r="R1956">
        <v>8.3604300000000006E-2</v>
      </c>
      <c r="S1956">
        <v>-3.0081180000000001</v>
      </c>
      <c r="T1956">
        <v>-0.14359189999999999</v>
      </c>
      <c r="U1956">
        <v>-1.8310550000000001E-4</v>
      </c>
      <c r="V1956">
        <v>6.2408119999999997E-2</v>
      </c>
      <c r="W1956">
        <v>-7.1234180000000003E-3</v>
      </c>
      <c r="X1956">
        <v>0.9980253</v>
      </c>
      <c r="Y1956">
        <v>-2.12666E-2</v>
      </c>
      <c r="Z1956">
        <v>-1.521218E-3</v>
      </c>
      <c r="AA1956">
        <v>0.99977269999999896</v>
      </c>
      <c r="AB1956">
        <v>39</v>
      </c>
      <c r="AC1956">
        <v>-22.833099999999899</v>
      </c>
      <c r="AD1956">
        <v>-1.1096317078639999</v>
      </c>
      <c r="AE1956">
        <v>-1.0199999999997499E-2</v>
      </c>
      <c r="AF1956">
        <v>-0.49432844194631098</v>
      </c>
      <c r="AG1956">
        <v>-1.1096317078639999</v>
      </c>
      <c r="AH1956">
        <v>22.773939721097499</v>
      </c>
      <c r="AI1956">
        <v>92.788803291657402</v>
      </c>
      <c r="AJ1956">
        <v>91.243460154380898</v>
      </c>
      <c r="AK1956">
        <v>22.8063143351966</v>
      </c>
      <c r="AL1956">
        <v>90.408145235656804</v>
      </c>
      <c r="AM1956">
        <v>86.4218620610541</v>
      </c>
      <c r="AN1956">
        <v>1.00000000798301</v>
      </c>
    </row>
    <row r="1957" spans="1:40" x14ac:dyDescent="0.25">
      <c r="A1957" t="str">
        <f>"20190312160955058"</f>
        <v>20190312160955058</v>
      </c>
      <c r="B1957" t="str">
        <f>"1552378195047699"</f>
        <v>1552378195047699</v>
      </c>
      <c r="C1957" t="s">
        <v>40</v>
      </c>
      <c r="D1957">
        <v>5.6454579999999996</v>
      </c>
      <c r="E1957">
        <v>0.46672580000000002</v>
      </c>
      <c r="F1957" t="s">
        <v>74</v>
      </c>
      <c r="G1957">
        <v>-405.2482</v>
      </c>
      <c r="H1957" s="1">
        <v>6.1638010000000004E-6</v>
      </c>
      <c r="I1957">
        <v>284.18610000000001</v>
      </c>
      <c r="J1957">
        <v>-380.1696</v>
      </c>
      <c r="K1957">
        <v>1.1096440000000001</v>
      </c>
      <c r="L1957">
        <v>284.3279</v>
      </c>
      <c r="M1957">
        <v>-0.99966809999999995</v>
      </c>
      <c r="N1957">
        <v>0</v>
      </c>
      <c r="O1957">
        <v>2.134581E-2</v>
      </c>
      <c r="P1957">
        <v>-0.99624829999999998</v>
      </c>
      <c r="Q1957">
        <v>-2.1340709999999999E-2</v>
      </c>
      <c r="R1957">
        <v>8.3869299999999994E-2</v>
      </c>
      <c r="S1957">
        <v>-3.0097659999999999</v>
      </c>
      <c r="T1957">
        <v>-0.1313039</v>
      </c>
      <c r="U1957">
        <v>-1.586914E-2</v>
      </c>
      <c r="V1957">
        <v>6.2579969999999999E-2</v>
      </c>
      <c r="W1957">
        <v>-6.9658790000000003E-3</v>
      </c>
      <c r="X1957">
        <v>0.9980156</v>
      </c>
      <c r="Y1957">
        <v>-2.6573429999999999E-2</v>
      </c>
      <c r="Z1957">
        <v>-1.5102049999999999E-3</v>
      </c>
      <c r="AA1957">
        <v>0.99964569999999997</v>
      </c>
      <c r="AB1957">
        <v>39</v>
      </c>
      <c r="AC1957">
        <v>-25.078599999999899</v>
      </c>
      <c r="AD1957">
        <v>-1.109637836199</v>
      </c>
      <c r="AE1957">
        <v>-0.14179999999998899</v>
      </c>
      <c r="AF1957">
        <v>-0.675823362849862</v>
      </c>
      <c r="AG1957">
        <v>-1.109637836199</v>
      </c>
      <c r="AH1957">
        <v>25.020874652070201</v>
      </c>
      <c r="AI1957">
        <v>92.538392439337798</v>
      </c>
      <c r="AJ1957">
        <v>91.5472046603076</v>
      </c>
      <c r="AK1957">
        <v>25.054584444766</v>
      </c>
      <c r="AL1957">
        <v>90.399118712284405</v>
      </c>
      <c r="AM1957">
        <v>86.4120000504129</v>
      </c>
      <c r="AN1957">
        <v>0.99999995697940003</v>
      </c>
    </row>
    <row r="1958" spans="1:40" x14ac:dyDescent="0.25">
      <c r="A1958" t="str">
        <f>"20190312160955080"</f>
        <v>20190312160955080</v>
      </c>
      <c r="B1958" t="str">
        <f>"1552378195067220"</f>
        <v>1552378195067220</v>
      </c>
      <c r="C1958" t="s">
        <v>40</v>
      </c>
      <c r="D1958">
        <v>5.3795799999999998</v>
      </c>
      <c r="E1958">
        <v>0.4664508</v>
      </c>
      <c r="F1958" t="s">
        <v>74</v>
      </c>
      <c r="G1958">
        <v>-408.65050000000002</v>
      </c>
      <c r="H1958" s="1">
        <v>4.6529900000000003E-6</v>
      </c>
      <c r="I1958">
        <v>284.19589999999999</v>
      </c>
      <c r="J1958">
        <v>-380.56290000000001</v>
      </c>
      <c r="K1958">
        <v>1.1096680000000001</v>
      </c>
      <c r="L1958">
        <v>284.33629999999999</v>
      </c>
      <c r="M1958">
        <v>-0.99966500000000003</v>
      </c>
      <c r="N1958">
        <v>0</v>
      </c>
      <c r="O1958">
        <v>2.1437319999999999E-2</v>
      </c>
      <c r="P1958">
        <v>-0.9962086</v>
      </c>
      <c r="Q1958">
        <v>-2.1646510000000001E-2</v>
      </c>
      <c r="R1958">
        <v>8.4261600000000006E-2</v>
      </c>
      <c r="S1958">
        <v>-3.0099490000000002</v>
      </c>
      <c r="T1958">
        <v>-0.1172702</v>
      </c>
      <c r="U1958">
        <v>-1.394653E-2</v>
      </c>
      <c r="V1958">
        <v>6.288175E-2</v>
      </c>
      <c r="W1958">
        <v>-7.1881339999999997E-3</v>
      </c>
      <c r="X1958">
        <v>0.99799510000000002</v>
      </c>
      <c r="Y1958">
        <v>-2.603569E-2</v>
      </c>
      <c r="Z1958">
        <v>-1.3419370000000001E-3</v>
      </c>
      <c r="AA1958">
        <v>0.99966010000000005</v>
      </c>
      <c r="AB1958">
        <v>39</v>
      </c>
      <c r="AC1958">
        <v>-28.087599999999998</v>
      </c>
      <c r="AD1958">
        <v>-1.1096633470099999</v>
      </c>
      <c r="AE1958">
        <v>-0.140399999999999</v>
      </c>
      <c r="AF1958">
        <v>-0.74139677062931397</v>
      </c>
      <c r="AG1958">
        <v>-1.1096633470099999</v>
      </c>
      <c r="AH1958">
        <v>28.034378268603501</v>
      </c>
      <c r="AI1958">
        <v>92.265920290756995</v>
      </c>
      <c r="AJ1958">
        <v>91.514890272889005</v>
      </c>
      <c r="AK1958">
        <v>28.0661252548752</v>
      </c>
      <c r="AL1958">
        <v>90.411853286823998</v>
      </c>
      <c r="AM1958">
        <v>86.3946692684396</v>
      </c>
      <c r="AN1958">
        <v>1.00000000168873</v>
      </c>
    </row>
    <row r="1959" spans="1:40" x14ac:dyDescent="0.25">
      <c r="A1959" t="str">
        <f>"20190312160955104"</f>
        <v>20190312160955104</v>
      </c>
      <c r="B1959" t="str">
        <f>"1552378195097480"</f>
        <v>1552378195097480</v>
      </c>
      <c r="C1959" t="s">
        <v>40</v>
      </c>
      <c r="D1959">
        <v>5.3752420000000001</v>
      </c>
      <c r="E1959">
        <v>0.46753729999999899</v>
      </c>
      <c r="F1959" t="s">
        <v>74</v>
      </c>
      <c r="G1959">
        <v>-412.12209999999999</v>
      </c>
      <c r="H1959" s="1">
        <v>2.6200779999999999E-6</v>
      </c>
      <c r="I1959">
        <v>284.18279999999999</v>
      </c>
      <c r="J1959">
        <v>-380.96449999999999</v>
      </c>
      <c r="K1959">
        <v>1.1096900000000001</v>
      </c>
      <c r="L1959">
        <v>284.34500000000003</v>
      </c>
      <c r="M1959">
        <v>-0.9996623</v>
      </c>
      <c r="N1959">
        <v>0</v>
      </c>
      <c r="O1959">
        <v>2.1512420000000001E-2</v>
      </c>
      <c r="P1959">
        <v>-0.99617060000000002</v>
      </c>
      <c r="Q1959">
        <v>-2.1602550000000002E-2</v>
      </c>
      <c r="R1959">
        <v>8.4722779999999998E-2</v>
      </c>
      <c r="S1959">
        <v>-3.0103149999999999</v>
      </c>
      <c r="T1959">
        <v>-0.105847</v>
      </c>
      <c r="U1959">
        <v>-1.464844E-2</v>
      </c>
      <c r="V1959">
        <v>6.3269080000000005E-2</v>
      </c>
      <c r="W1959">
        <v>-7.0697679999999997E-3</v>
      </c>
      <c r="X1959">
        <v>0.99797150000000001</v>
      </c>
      <c r="Y1959">
        <v>-2.6349770000000002E-2</v>
      </c>
      <c r="Z1959">
        <v>-1.2193180000000001E-3</v>
      </c>
      <c r="AA1959">
        <v>0.99965199999999999</v>
      </c>
      <c r="AB1959">
        <v>39</v>
      </c>
      <c r="AC1959">
        <v>-31.157599999999999</v>
      </c>
      <c r="AD1959">
        <v>-1.109687379922</v>
      </c>
      <c r="AE1959">
        <v>-0.16220000000004101</v>
      </c>
      <c r="AF1959">
        <v>-0.83145443230279803</v>
      </c>
      <c r="AG1959">
        <v>-1.109687379922</v>
      </c>
      <c r="AH1959">
        <v>31.107441165355699</v>
      </c>
      <c r="AI1959">
        <v>92.042301833493894</v>
      </c>
      <c r="AJ1959">
        <v>91.531064219085806</v>
      </c>
      <c r="AK1959">
        <v>31.1383303728736</v>
      </c>
      <c r="AL1959">
        <v>90.405071228168893</v>
      </c>
      <c r="AM1959">
        <v>86.372435230417693</v>
      </c>
      <c r="AN1959">
        <v>1.00000003645793</v>
      </c>
    </row>
    <row r="1960" spans="1:40" x14ac:dyDescent="0.25">
      <c r="A1960" t="str">
        <f>"20190312160955126"</f>
        <v>20190312160955126</v>
      </c>
      <c r="B1960" t="str">
        <f>"1552378195117971"</f>
        <v>1552378195117971</v>
      </c>
      <c r="C1960" t="s">
        <v>40</v>
      </c>
      <c r="D1960">
        <v>5.3546310000000004</v>
      </c>
      <c r="E1960">
        <v>0.46783910000000001</v>
      </c>
      <c r="F1960" t="s">
        <v>74</v>
      </c>
      <c r="G1960">
        <v>-412.07960000000003</v>
      </c>
      <c r="H1960" s="1">
        <v>2.6025800000000002E-6</v>
      </c>
      <c r="I1960">
        <v>284.29680000000002</v>
      </c>
      <c r="J1960">
        <v>-381.37150000000003</v>
      </c>
      <c r="K1960">
        <v>1.1097159999999999</v>
      </c>
      <c r="L1960">
        <v>284.35379999999998</v>
      </c>
      <c r="M1960">
        <v>-0.99966029999999995</v>
      </c>
      <c r="N1960">
        <v>0</v>
      </c>
      <c r="O1960">
        <v>2.1565819999999999E-2</v>
      </c>
      <c r="P1960">
        <v>-0.99614550000000002</v>
      </c>
      <c r="Q1960">
        <v>-2.1187129999999998E-2</v>
      </c>
      <c r="R1960">
        <v>8.5120689999999999E-2</v>
      </c>
      <c r="S1960">
        <v>-3.0096440000000002</v>
      </c>
      <c r="T1960">
        <v>-0.1073358</v>
      </c>
      <c r="U1960">
        <v>-4.6691889999999998E-3</v>
      </c>
      <c r="V1960">
        <v>6.3614550000000006E-2</v>
      </c>
      <c r="W1960">
        <v>-6.5897119999999898E-3</v>
      </c>
      <c r="X1960">
        <v>0.99795279999999997</v>
      </c>
      <c r="Y1960">
        <v>-2.3090759999999998E-2</v>
      </c>
      <c r="Z1960">
        <v>-1.1805419999999999E-3</v>
      </c>
      <c r="AA1960">
        <v>0.99973270000000003</v>
      </c>
      <c r="AB1960">
        <v>39</v>
      </c>
      <c r="AC1960">
        <v>-30.708100000000002</v>
      </c>
      <c r="AD1960">
        <v>-1.10971339742</v>
      </c>
      <c r="AE1960">
        <v>-5.69999999999595E-2</v>
      </c>
      <c r="AF1960">
        <v>-0.71836491359457499</v>
      </c>
      <c r="AG1960">
        <v>-1.10971339742</v>
      </c>
      <c r="AH1960">
        <v>30.659688435783298</v>
      </c>
      <c r="AI1960">
        <v>92.072321397201506</v>
      </c>
      <c r="AJ1960">
        <v>91.342210258355195</v>
      </c>
      <c r="AK1960">
        <v>30.6881737311428</v>
      </c>
      <c r="AL1960">
        <v>90.377565413460403</v>
      </c>
      <c r="AM1960">
        <v>86.352612695901698</v>
      </c>
      <c r="AN1960">
        <v>1.00000001315189</v>
      </c>
    </row>
    <row r="1961" spans="1:40" x14ac:dyDescent="0.25">
      <c r="A1961" t="str">
        <f>"20190312160955148"</f>
        <v>20190312160955148</v>
      </c>
      <c r="B1961" t="str">
        <f>"1552378195137492"</f>
        <v>1552378195137492</v>
      </c>
      <c r="C1961" t="s">
        <v>40</v>
      </c>
      <c r="D1961">
        <v>5.2329629999999998</v>
      </c>
      <c r="E1961">
        <v>0.46809390000000001</v>
      </c>
      <c r="F1961" t="s">
        <v>74</v>
      </c>
      <c r="G1961">
        <v>-413.75450000000001</v>
      </c>
      <c r="H1961" s="1">
        <v>2.8956619999999999E-6</v>
      </c>
      <c r="I1961">
        <v>284.34269999999998</v>
      </c>
      <c r="J1961">
        <v>-381.74250000000001</v>
      </c>
      <c r="K1961">
        <v>1.109745</v>
      </c>
      <c r="L1961">
        <v>284.36189999999999</v>
      </c>
      <c r="M1961">
        <v>-0.99965879999999996</v>
      </c>
      <c r="N1961">
        <v>0</v>
      </c>
      <c r="O1961">
        <v>2.1599500000000001E-2</v>
      </c>
      <c r="P1961">
        <v>-0.9961508</v>
      </c>
      <c r="Q1961">
        <v>-2.094644E-2</v>
      </c>
      <c r="R1961">
        <v>8.5117990000000004E-2</v>
      </c>
      <c r="S1961">
        <v>-3.0095209999999999</v>
      </c>
      <c r="T1961">
        <v>-0.1031313</v>
      </c>
      <c r="U1961">
        <v>-1.037598E-3</v>
      </c>
      <c r="V1961">
        <v>6.3578369999999995E-2</v>
      </c>
      <c r="W1961">
        <v>-6.2978230000000001E-3</v>
      </c>
      <c r="X1961">
        <v>0.99795699999999998</v>
      </c>
      <c r="Y1961">
        <v>-2.192098E-2</v>
      </c>
      <c r="Z1961">
        <v>-1.1154870000000001E-3</v>
      </c>
      <c r="AA1961">
        <v>0.99975910000000001</v>
      </c>
      <c r="AB1961">
        <v>39</v>
      </c>
      <c r="AC1961">
        <v>-32.012</v>
      </c>
      <c r="AD1961">
        <v>-1.109742104338</v>
      </c>
      <c r="AE1961">
        <v>-1.9200000000011999E-2</v>
      </c>
      <c r="AF1961">
        <v>-0.70986023075271298</v>
      </c>
      <c r="AG1961">
        <v>-1.109742104338</v>
      </c>
      <c r="AH1961">
        <v>31.965700194436302</v>
      </c>
      <c r="AI1961">
        <v>91.987829423628895</v>
      </c>
      <c r="AJ1961">
        <v>91.272154566485298</v>
      </c>
      <c r="AK1961">
        <v>31.992833853941899</v>
      </c>
      <c r="AL1961">
        <v>90.360841055142203</v>
      </c>
      <c r="AM1961">
        <v>86.354696808294804</v>
      </c>
      <c r="AN1961">
        <v>1.00000002277769</v>
      </c>
    </row>
    <row r="1962" spans="1:40" x14ac:dyDescent="0.25">
      <c r="A1962" t="str">
        <f>"20190312160955193"</f>
        <v>20190312160955193</v>
      </c>
      <c r="B1962" t="str">
        <f>"1552378195187267"</f>
        <v>1552378195187267</v>
      </c>
      <c r="C1962" t="s">
        <v>40</v>
      </c>
      <c r="D1962">
        <v>5.3232889999999999</v>
      </c>
      <c r="E1962">
        <v>0.46834340000000002</v>
      </c>
      <c r="F1962" t="s">
        <v>74</v>
      </c>
      <c r="G1962">
        <v>-415.73899999999998</v>
      </c>
      <c r="H1962" s="1">
        <v>3.2449419999999999E-6</v>
      </c>
      <c r="I1962">
        <v>284.37389999999999</v>
      </c>
      <c r="J1962">
        <v>-382.53070000000002</v>
      </c>
      <c r="K1962">
        <v>1.109783</v>
      </c>
      <c r="L1962">
        <v>284.37900000000002</v>
      </c>
      <c r="M1962">
        <v>-0.99965680000000001</v>
      </c>
      <c r="N1962">
        <v>0</v>
      </c>
      <c r="O1962">
        <v>2.1633779999999998E-2</v>
      </c>
      <c r="P1962">
        <v>-0.99622270000000002</v>
      </c>
      <c r="Q1962">
        <v>-2.142556E-2</v>
      </c>
      <c r="R1962">
        <v>8.4152179999999993E-2</v>
      </c>
      <c r="S1962">
        <v>-3.0093990000000002</v>
      </c>
      <c r="T1962">
        <v>-9.8235370000000002E-2</v>
      </c>
      <c r="U1962">
        <v>1.0681149999999999E-3</v>
      </c>
      <c r="V1962">
        <v>6.2577240000000006E-2</v>
      </c>
      <c r="W1962">
        <v>-6.690138E-3</v>
      </c>
      <c r="X1962">
        <v>0.99801770000000001</v>
      </c>
      <c r="Y1962">
        <v>-2.1258450000000002E-2</v>
      </c>
      <c r="Z1962">
        <v>-1.0529109999999999E-3</v>
      </c>
      <c r="AA1962">
        <v>0.99977340000000003</v>
      </c>
      <c r="AB1962">
        <v>39</v>
      </c>
      <c r="AC1962">
        <v>-33.208300000000001</v>
      </c>
      <c r="AD1962">
        <v>-1.109779755058</v>
      </c>
      <c r="AE1962">
        <v>-5.1000000000271904E-3</v>
      </c>
      <c r="AF1962">
        <v>-0.722791055141217</v>
      </c>
      <c r="AG1962">
        <v>-1.109779755058</v>
      </c>
      <c r="AH1962">
        <v>33.163378689171999</v>
      </c>
      <c r="AI1962">
        <v>91.916176803622704</v>
      </c>
      <c r="AJ1962">
        <v>91.2485555808301</v>
      </c>
      <c r="AK1962">
        <v>33.189813559216603</v>
      </c>
      <c r="AL1962">
        <v>90.383319531530603</v>
      </c>
      <c r="AM1962">
        <v>86.412163694828905</v>
      </c>
      <c r="AN1962">
        <v>0.99999999921288296</v>
      </c>
    </row>
    <row r="1963" spans="1:40" x14ac:dyDescent="0.25">
      <c r="A1963" t="str">
        <f>"20190312160955215"</f>
        <v>20190312160955215</v>
      </c>
      <c r="B1963" t="str">
        <f>"1552378195207763"</f>
        <v>1552378195207763</v>
      </c>
      <c r="C1963" t="s">
        <v>40</v>
      </c>
      <c r="D1963">
        <v>5.2952120000000003</v>
      </c>
      <c r="E1963">
        <v>0.46845609999999999</v>
      </c>
      <c r="F1963" t="s">
        <v>74</v>
      </c>
      <c r="G1963">
        <v>-418.53019999999998</v>
      </c>
      <c r="H1963" s="1">
        <v>3.7392769999999999E-6</v>
      </c>
      <c r="I1963">
        <v>284.38299999999998</v>
      </c>
      <c r="J1963">
        <v>-382.92290000000003</v>
      </c>
      <c r="K1963">
        <v>1.1097969999999999</v>
      </c>
      <c r="L1963">
        <v>284.38740000000001</v>
      </c>
      <c r="M1963">
        <v>-0.9996564</v>
      </c>
      <c r="N1963">
        <v>0</v>
      </c>
      <c r="O1963">
        <v>2.1637750000000001E-2</v>
      </c>
      <c r="P1963">
        <v>-0.99632960000000004</v>
      </c>
      <c r="Q1963">
        <v>-2.077234E-2</v>
      </c>
      <c r="R1963">
        <v>8.3043459999999999E-2</v>
      </c>
      <c r="S1963">
        <v>-3.009369</v>
      </c>
      <c r="T1963">
        <v>-9.2771530000000005E-2</v>
      </c>
      <c r="U1963">
        <v>3.3569339999999902E-4</v>
      </c>
      <c r="V1963">
        <v>6.1462669999999997E-2</v>
      </c>
      <c r="W1963">
        <v>-6.0025460000000001E-3</v>
      </c>
      <c r="X1963">
        <v>0.99809130000000001</v>
      </c>
      <c r="Y1963">
        <v>-2.1508099999999999E-2</v>
      </c>
      <c r="Z1963">
        <v>-9.9835729999999995E-4</v>
      </c>
      <c r="AA1963">
        <v>0.9997682</v>
      </c>
      <c r="AB1963">
        <v>39</v>
      </c>
      <c r="AC1963">
        <v>-35.607299999999903</v>
      </c>
      <c r="AD1963">
        <v>-1.1097932607230001</v>
      </c>
      <c r="AE1963">
        <v>-4.4000000000323702E-3</v>
      </c>
      <c r="AF1963">
        <v>-0.77419309715720797</v>
      </c>
      <c r="AG1963">
        <v>-1.1097932607230001</v>
      </c>
      <c r="AH1963">
        <v>35.564318638295703</v>
      </c>
      <c r="AI1963">
        <v>91.786925737940507</v>
      </c>
      <c r="AJ1963">
        <v>91.247064301412294</v>
      </c>
      <c r="AK1963">
        <v>35.590051647046799</v>
      </c>
      <c r="AL1963">
        <v>90.343922628877493</v>
      </c>
      <c r="AM1963">
        <v>86.476163748837905</v>
      </c>
      <c r="AN1963">
        <v>0.99999996674885006</v>
      </c>
    </row>
    <row r="1964" spans="1:40" x14ac:dyDescent="0.25">
      <c r="A1964" t="str">
        <f>"20190312160955238"</f>
        <v>20190312160955238</v>
      </c>
      <c r="B1964" t="str">
        <f>"1552378195227284"</f>
        <v>1552378195227284</v>
      </c>
      <c r="C1964" t="s">
        <v>40</v>
      </c>
      <c r="D1964">
        <v>5.2286890000000001</v>
      </c>
      <c r="E1964">
        <v>0.46847800000000001</v>
      </c>
      <c r="F1964" t="s">
        <v>74</v>
      </c>
      <c r="G1964">
        <v>-420.82229999999998</v>
      </c>
      <c r="H1964" s="1">
        <v>3.8412060000000003E-6</v>
      </c>
      <c r="I1964">
        <v>284.35930000000002</v>
      </c>
      <c r="J1964">
        <v>-383.32299999999998</v>
      </c>
      <c r="K1964">
        <v>1.109812</v>
      </c>
      <c r="L1964">
        <v>284.39609999999999</v>
      </c>
      <c r="M1964">
        <v>-0.99965579999999998</v>
      </c>
      <c r="N1964">
        <v>0</v>
      </c>
      <c r="O1964">
        <v>2.163727E-2</v>
      </c>
      <c r="P1964">
        <v>-0.99635680000000004</v>
      </c>
      <c r="Q1964">
        <v>-2.0833419999999998E-2</v>
      </c>
      <c r="R1964">
        <v>8.2700040000000002E-2</v>
      </c>
      <c r="S1964">
        <v>-3.009369</v>
      </c>
      <c r="T1964">
        <v>-8.8122249999999999E-2</v>
      </c>
      <c r="U1964">
        <v>-2.2277830000000001E-3</v>
      </c>
      <c r="V1964">
        <v>6.1119359999999998E-2</v>
      </c>
      <c r="W1964">
        <v>-6.0350769999999998E-3</v>
      </c>
      <c r="X1964">
        <v>0.9981122</v>
      </c>
      <c r="Y1964">
        <v>-2.2360890000000001E-2</v>
      </c>
      <c r="Z1964">
        <v>-9.6081689999999995E-4</v>
      </c>
      <c r="AA1964">
        <v>0.99974949999999996</v>
      </c>
      <c r="AB1964">
        <v>39</v>
      </c>
      <c r="AC1964">
        <v>-37.499299999999899</v>
      </c>
      <c r="AD1964">
        <v>-1.1098081587940001</v>
      </c>
      <c r="AE1964">
        <v>-3.6799999999971002E-2</v>
      </c>
      <c r="AF1964">
        <v>-0.84752083891869101</v>
      </c>
      <c r="AG1964">
        <v>-1.1098081587940001</v>
      </c>
      <c r="AH1964">
        <v>37.456914548758903</v>
      </c>
      <c r="AI1964">
        <v>91.696681916503906</v>
      </c>
      <c r="AJ1964">
        <v>91.296184787693406</v>
      </c>
      <c r="AK1964">
        <v>37.482934960255598</v>
      </c>
      <c r="AL1964">
        <v>90.345786546757594</v>
      </c>
      <c r="AM1964">
        <v>86.495870734122605</v>
      </c>
      <c r="AN1964">
        <v>0.99999998105502197</v>
      </c>
    </row>
    <row r="1965" spans="1:40" x14ac:dyDescent="0.25">
      <c r="A1965" t="str">
        <f>"20190312160955260"</f>
        <v>20190312160955260</v>
      </c>
      <c r="B1965" t="str">
        <f>"1552378195247780"</f>
        <v>1552378195247780</v>
      </c>
      <c r="C1965" t="s">
        <v>40</v>
      </c>
      <c r="D1965">
        <v>5.2079630000000003</v>
      </c>
      <c r="E1965">
        <v>0.4685339</v>
      </c>
      <c r="F1965" t="s">
        <v>74</v>
      </c>
      <c r="G1965">
        <v>-422.17</v>
      </c>
      <c r="H1965" s="1">
        <v>3.6021339999999999E-6</v>
      </c>
      <c r="I1965">
        <v>284.35939999999999</v>
      </c>
      <c r="J1965">
        <v>-383.69409999999999</v>
      </c>
      <c r="K1965">
        <v>1.1098220000000001</v>
      </c>
      <c r="L1965">
        <v>284.40410000000003</v>
      </c>
      <c r="M1965">
        <v>-0.99965559999999998</v>
      </c>
      <c r="N1965">
        <v>0</v>
      </c>
      <c r="O1965">
        <v>2.1635540000000002E-2</v>
      </c>
      <c r="P1965">
        <v>-0.99639650000000002</v>
      </c>
      <c r="Q1965">
        <v>-2.070255E-2</v>
      </c>
      <c r="R1965">
        <v>8.2251969999999994E-2</v>
      </c>
      <c r="S1965">
        <v>-3.0093990000000002</v>
      </c>
      <c r="T1965">
        <v>-8.597457E-2</v>
      </c>
      <c r="U1965">
        <v>-2.8381349999999999E-3</v>
      </c>
      <c r="V1965">
        <v>6.0672400000000001E-2</v>
      </c>
      <c r="W1965">
        <v>-5.8818050000000004E-3</v>
      </c>
      <c r="X1965">
        <v>0.99814040000000004</v>
      </c>
      <c r="Y1965">
        <v>-2.2562749999999999E-2</v>
      </c>
      <c r="Z1965">
        <v>-9.4023429999999996E-4</v>
      </c>
      <c r="AA1965">
        <v>0.99974499999999999</v>
      </c>
      <c r="AB1965">
        <v>39</v>
      </c>
      <c r="AC1965">
        <v>-38.475900000000003</v>
      </c>
      <c r="AD1965">
        <v>-1.1098183978659999</v>
      </c>
      <c r="AE1965">
        <v>-4.4700000000034303E-2</v>
      </c>
      <c r="AF1965">
        <v>-0.87649898464239395</v>
      </c>
      <c r="AG1965">
        <v>-1.1098183978659999</v>
      </c>
      <c r="AH1965">
        <v>38.433947307068998</v>
      </c>
      <c r="AI1965">
        <v>91.653583213223598</v>
      </c>
      <c r="AJ1965">
        <v>91.306422906344807</v>
      </c>
      <c r="AK1965">
        <v>38.459956486570299</v>
      </c>
      <c r="AL1965">
        <v>90.337004546619298</v>
      </c>
      <c r="AM1965">
        <v>86.5215309768558</v>
      </c>
      <c r="AN1965">
        <v>0.99999999693198904</v>
      </c>
    </row>
    <row r="1966" spans="1:40" x14ac:dyDescent="0.25">
      <c r="A1966" t="str">
        <f>"20190312160955281"</f>
        <v>20190312160955281</v>
      </c>
      <c r="B1966" t="str">
        <f>"1552378195278037"</f>
        <v>1552378195278037</v>
      </c>
      <c r="C1966" t="s">
        <v>40</v>
      </c>
      <c r="D1966">
        <v>5.2177069999999999</v>
      </c>
      <c r="E1966">
        <v>0.46872170000000002</v>
      </c>
      <c r="F1966" t="s">
        <v>74</v>
      </c>
      <c r="G1966">
        <v>-424.0009</v>
      </c>
      <c r="H1966" s="1">
        <v>3.2779590000000001E-6</v>
      </c>
      <c r="I1966">
        <v>284.3526</v>
      </c>
      <c r="J1966">
        <v>-384.07369999999997</v>
      </c>
      <c r="K1966">
        <v>1.109831</v>
      </c>
      <c r="L1966">
        <v>284.41230000000002</v>
      </c>
      <c r="M1966">
        <v>-0.99965530000000002</v>
      </c>
      <c r="N1966">
        <v>0</v>
      </c>
      <c r="O1966">
        <v>2.1634130000000001E-2</v>
      </c>
      <c r="P1966">
        <v>-0.99643800000000005</v>
      </c>
      <c r="Q1966">
        <v>-2.0684379999999999E-2</v>
      </c>
      <c r="R1966">
        <v>8.1752060000000001E-2</v>
      </c>
      <c r="S1966">
        <v>-3.00943</v>
      </c>
      <c r="T1966">
        <v>-8.2862379999999999E-2</v>
      </c>
      <c r="U1966">
        <v>-3.8452149999999999E-3</v>
      </c>
      <c r="V1966">
        <v>6.0172929999999999E-2</v>
      </c>
      <c r="W1966">
        <v>-5.8442340000000002E-3</v>
      </c>
      <c r="X1966">
        <v>0.99817089999999997</v>
      </c>
      <c r="Y1966">
        <v>-2.289706E-2</v>
      </c>
      <c r="Z1966">
        <v>-9.1076609999999995E-4</v>
      </c>
      <c r="AA1966">
        <v>0.9997374</v>
      </c>
      <c r="AB1966">
        <v>39</v>
      </c>
      <c r="AC1966">
        <v>-39.927199999999999</v>
      </c>
      <c r="AD1966">
        <v>-1.109827722041</v>
      </c>
      <c r="AE1966">
        <v>-5.9700000000020702E-2</v>
      </c>
      <c r="AF1966">
        <v>-0.92285880064544701</v>
      </c>
      <c r="AG1966">
        <v>-1.109827722041</v>
      </c>
      <c r="AH1966">
        <v>39.885744476845801</v>
      </c>
      <c r="AI1966">
        <v>91.593427452868397</v>
      </c>
      <c r="AJ1966">
        <v>91.325448037593503</v>
      </c>
      <c r="AK1966">
        <v>39.911852856147597</v>
      </c>
      <c r="AL1966">
        <v>90.334851835093701</v>
      </c>
      <c r="AM1966">
        <v>86.550202294706196</v>
      </c>
      <c r="AN1966">
        <v>1.0000000410913199</v>
      </c>
    </row>
    <row r="1967" spans="1:40" x14ac:dyDescent="0.25">
      <c r="A1967" t="str">
        <f>"20190312160955305"</f>
        <v>20190312160955305</v>
      </c>
      <c r="B1967" t="str">
        <f>"1552378195297555"</f>
        <v>1552378195297555</v>
      </c>
      <c r="C1967" t="s">
        <v>40</v>
      </c>
      <c r="D1967">
        <v>5.1633389999999997</v>
      </c>
      <c r="E1967">
        <v>0.4689374</v>
      </c>
      <c r="F1967" t="s">
        <v>74</v>
      </c>
      <c r="G1967">
        <v>-426.03550000000001</v>
      </c>
      <c r="H1967" s="1">
        <v>2.9163739999999999E-6</v>
      </c>
      <c r="I1967">
        <v>284.36040000000003</v>
      </c>
      <c r="J1967">
        <v>-384.47669999999999</v>
      </c>
      <c r="K1967">
        <v>1.1098399999999999</v>
      </c>
      <c r="L1967">
        <v>284.42099999999999</v>
      </c>
      <c r="M1967">
        <v>-0.99965510000000002</v>
      </c>
      <c r="N1967">
        <v>0</v>
      </c>
      <c r="O1967">
        <v>2.1633650000000001E-2</v>
      </c>
      <c r="P1967">
        <v>-0.99643879999999996</v>
      </c>
      <c r="Q1967">
        <v>-2.0856429999999999E-2</v>
      </c>
      <c r="R1967">
        <v>8.1699610000000006E-2</v>
      </c>
      <c r="S1967">
        <v>-3.009369</v>
      </c>
      <c r="T1967">
        <v>-7.9593300000000006E-2</v>
      </c>
      <c r="U1967">
        <v>-3.7231450000000002E-3</v>
      </c>
      <c r="V1967">
        <v>6.0121090000000002E-2</v>
      </c>
      <c r="W1967">
        <v>-5.9996569999999898E-3</v>
      </c>
      <c r="X1967">
        <v>0.99817310000000004</v>
      </c>
      <c r="Y1967">
        <v>-2.285736E-2</v>
      </c>
      <c r="Z1967">
        <v>-8.7432759999999895E-4</v>
      </c>
      <c r="AA1967">
        <v>0.99973829999999997</v>
      </c>
      <c r="AB1967">
        <v>39</v>
      </c>
      <c r="AC1967">
        <v>-41.558799999999998</v>
      </c>
      <c r="AD1967">
        <v>-1.1098370836260001</v>
      </c>
      <c r="AE1967">
        <v>-6.05999999999653E-2</v>
      </c>
      <c r="AF1967">
        <v>-0.95907003352593001</v>
      </c>
      <c r="AG1967">
        <v>-1.1098370836260001</v>
      </c>
      <c r="AH1967">
        <v>41.518151097683003</v>
      </c>
      <c r="AI1967">
        <v>91.530821881027407</v>
      </c>
      <c r="AJ1967">
        <v>91.323298190408806</v>
      </c>
      <c r="AK1967">
        <v>41.544054018011202</v>
      </c>
      <c r="AL1967">
        <v>90.343757073390606</v>
      </c>
      <c r="AM1967">
        <v>86.553174763962701</v>
      </c>
      <c r="AN1967">
        <v>1.00000003945525</v>
      </c>
    </row>
    <row r="1968" spans="1:40" x14ac:dyDescent="0.25">
      <c r="A1968" t="str">
        <f>"20190312160955326"</f>
        <v>20190312160955326</v>
      </c>
      <c r="B1968" t="str">
        <f>"1552378195318051"</f>
        <v>1552378195318051</v>
      </c>
      <c r="C1968" t="s">
        <v>40</v>
      </c>
      <c r="D1968">
        <v>5.3338109999999999</v>
      </c>
      <c r="E1968">
        <v>0.46918729999999997</v>
      </c>
      <c r="F1968" t="s">
        <v>74</v>
      </c>
      <c r="G1968">
        <v>-426.13549999999998</v>
      </c>
      <c r="H1968" s="1">
        <v>2.8958950000000002E-6</v>
      </c>
      <c r="I1968">
        <v>284.39190000000002</v>
      </c>
      <c r="J1968">
        <v>-384.86239999999998</v>
      </c>
      <c r="K1968">
        <v>1.10985</v>
      </c>
      <c r="L1968">
        <v>284.42939999999999</v>
      </c>
      <c r="M1968">
        <v>-0.99965510000000002</v>
      </c>
      <c r="N1968">
        <v>0</v>
      </c>
      <c r="O1968">
        <v>2.1633980000000001E-2</v>
      </c>
      <c r="P1968">
        <v>-0.99638800000000005</v>
      </c>
      <c r="Q1968">
        <v>-2.0806129999999999E-2</v>
      </c>
      <c r="R1968">
        <v>8.2331689999999999E-2</v>
      </c>
      <c r="S1968">
        <v>-3.0091549999999998</v>
      </c>
      <c r="T1968">
        <v>-8.0167409999999995E-2</v>
      </c>
      <c r="U1968">
        <v>-2.1057129999999999E-3</v>
      </c>
      <c r="V1968">
        <v>6.0753960000000003E-2</v>
      </c>
      <c r="W1968">
        <v>-5.9372280000000001E-3</v>
      </c>
      <c r="X1968">
        <v>0.99813510000000005</v>
      </c>
      <c r="Y1968">
        <v>-2.2320380000000001E-2</v>
      </c>
      <c r="Z1968">
        <v>-8.7355110000000001E-4</v>
      </c>
      <c r="AA1968">
        <v>0.99975049999999999</v>
      </c>
      <c r="AB1968">
        <v>39</v>
      </c>
      <c r="AC1968">
        <v>-41.273099999999999</v>
      </c>
      <c r="AD1968">
        <v>-1.109847104105</v>
      </c>
      <c r="AE1968">
        <v>-3.7499999999965797E-2</v>
      </c>
      <c r="AF1968">
        <v>-0.92981927243606999</v>
      </c>
      <c r="AG1968">
        <v>-1.109847104105</v>
      </c>
      <c r="AH1968">
        <v>41.232811864284699</v>
      </c>
      <c r="AI1968">
        <v>91.541443604854294</v>
      </c>
      <c r="AJ1968">
        <v>91.291827791531105</v>
      </c>
      <c r="AK1968">
        <v>41.258224618969997</v>
      </c>
      <c r="AL1968">
        <v>90.340180109754598</v>
      </c>
      <c r="AM1968">
        <v>86.516848035199104</v>
      </c>
      <c r="AN1968">
        <v>0.99999998609200702</v>
      </c>
    </row>
    <row r="1969" spans="1:40" x14ac:dyDescent="0.25">
      <c r="A1969" t="str">
        <f>"20190312160955348"</f>
        <v>20190312160955348</v>
      </c>
      <c r="B1969" t="str">
        <f>"1552378195337571"</f>
        <v>1552378195337571</v>
      </c>
      <c r="C1969" t="s">
        <v>40</v>
      </c>
      <c r="D1969">
        <v>5.3395140000000003</v>
      </c>
      <c r="E1969">
        <v>0.50150169999999905</v>
      </c>
      <c r="F1969" t="s">
        <v>74</v>
      </c>
      <c r="G1969">
        <v>-426.36520000000002</v>
      </c>
      <c r="H1969" s="1">
        <v>2.849686E-6</v>
      </c>
      <c r="I1969">
        <v>284.45429999999999</v>
      </c>
      <c r="J1969">
        <v>-385.2337</v>
      </c>
      <c r="K1969">
        <v>1.1098539999999999</v>
      </c>
      <c r="L1969">
        <v>284.43740000000003</v>
      </c>
      <c r="M1969">
        <v>-0.99965479999999995</v>
      </c>
      <c r="N1969">
        <v>0</v>
      </c>
      <c r="O1969">
        <v>2.1634520000000001E-2</v>
      </c>
      <c r="P1969">
        <v>-0.99639599999999995</v>
      </c>
      <c r="Q1969">
        <v>-2.0311880000000001E-2</v>
      </c>
      <c r="R1969">
        <v>8.2355109999999995E-2</v>
      </c>
      <c r="S1969">
        <v>-3.0090330000000001</v>
      </c>
      <c r="T1969">
        <v>-8.0466029999999994E-2</v>
      </c>
      <c r="U1969">
        <v>1.8005370000000001E-3</v>
      </c>
      <c r="V1969">
        <v>6.0776539999999997E-2</v>
      </c>
      <c r="W1969">
        <v>-5.4328019999999996E-3</v>
      </c>
      <c r="X1969">
        <v>0.99813660000000004</v>
      </c>
      <c r="Y1969">
        <v>-2.1023440000000001E-2</v>
      </c>
      <c r="Z1969">
        <v>-8.5951419999999998E-4</v>
      </c>
      <c r="AA1969">
        <v>0.99977859999999996</v>
      </c>
      <c r="AB1969">
        <v>39</v>
      </c>
      <c r="AC1969">
        <v>-41.131500000000003</v>
      </c>
      <c r="AD1969">
        <v>-1.1098511503140001</v>
      </c>
      <c r="AE1969">
        <v>1.68999999999641E-2</v>
      </c>
      <c r="AF1969">
        <v>-0.87242790927965796</v>
      </c>
      <c r="AG1969">
        <v>-1.1098511503140001</v>
      </c>
      <c r="AH1969">
        <v>41.092317969782897</v>
      </c>
      <c r="AI1969">
        <v>91.546761488878602</v>
      </c>
      <c r="AJ1969">
        <v>91.216259659535993</v>
      </c>
      <c r="AK1969">
        <v>41.116559877529703</v>
      </c>
      <c r="AL1969">
        <v>90.311278160616595</v>
      </c>
      <c r="AM1969">
        <v>86.515561888926101</v>
      </c>
      <c r="AN1969">
        <v>0.99999998770575105</v>
      </c>
    </row>
    <row r="1970" spans="1:40" x14ac:dyDescent="0.25">
      <c r="A1970" t="str">
        <f>"20190312160955370"</f>
        <v>20190312160955370</v>
      </c>
      <c r="B1970" t="str">
        <f>"1552378195367827"</f>
        <v>1552378195367827</v>
      </c>
      <c r="C1970" t="s">
        <v>40</v>
      </c>
      <c r="D1970">
        <v>5.1717459999999997</v>
      </c>
      <c r="E1970">
        <v>0.54578130000000002</v>
      </c>
      <c r="F1970" t="s">
        <v>42</v>
      </c>
      <c r="G1970">
        <v>-386.20819999999998</v>
      </c>
      <c r="H1970">
        <v>0.99777669999999996</v>
      </c>
      <c r="I1970">
        <v>284.52080000000001</v>
      </c>
      <c r="J1970">
        <v>-385.6123</v>
      </c>
      <c r="K1970">
        <v>1.1098629999999901</v>
      </c>
      <c r="L1970">
        <v>284.44560000000001</v>
      </c>
      <c r="M1970">
        <v>-0.99965470000000001</v>
      </c>
      <c r="N1970">
        <v>0</v>
      </c>
      <c r="O1970">
        <v>2.1634790000000001E-2</v>
      </c>
      <c r="P1970">
        <v>-0.99639630000000001</v>
      </c>
      <c r="Q1970">
        <v>-1.9724769999999999E-2</v>
      </c>
      <c r="R1970">
        <v>8.2496699999999895E-2</v>
      </c>
      <c r="S1970">
        <v>-2.9828800000000002</v>
      </c>
      <c r="T1970">
        <v>-0.3431573</v>
      </c>
      <c r="U1970">
        <v>0.25396729999999901</v>
      </c>
      <c r="V1970">
        <v>6.0918010000000002E-2</v>
      </c>
      <c r="W1970">
        <v>-4.837381E-3</v>
      </c>
      <c r="X1970">
        <v>0.99813099999999999</v>
      </c>
      <c r="Y1970">
        <v>6.2985020000000003E-2</v>
      </c>
      <c r="Z1970">
        <v>1.128743E-3</v>
      </c>
      <c r="AA1970">
        <v>0.99801390000000001</v>
      </c>
      <c r="AB1970">
        <v>39</v>
      </c>
      <c r="AC1970">
        <v>-0.59589999999997101</v>
      </c>
      <c r="AD1970">
        <v>-0.112086299999999</v>
      </c>
      <c r="AE1970">
        <v>7.5199999999995201E-2</v>
      </c>
      <c r="AF1970">
        <v>6.0192557731627197E-2</v>
      </c>
      <c r="AG1970">
        <v>-0.112086299999999</v>
      </c>
      <c r="AH1970">
        <v>0.57728346465615499</v>
      </c>
      <c r="AI1970">
        <v>100.930109723168</v>
      </c>
      <c r="AJ1970">
        <v>84.047357476311603</v>
      </c>
      <c r="AK1970">
        <v>0.59113677031578704</v>
      </c>
      <c r="AL1970">
        <v>90.277162610374106</v>
      </c>
      <c r="AM1970">
        <v>86.507451643374694</v>
      </c>
      <c r="AN1970">
        <v>0.99999994867914799</v>
      </c>
    </row>
    <row r="1971" spans="1:40" x14ac:dyDescent="0.25">
      <c r="A1971" t="str">
        <f>"20190312160955393"</f>
        <v>20190312160955393</v>
      </c>
      <c r="B1971" t="str">
        <f>"1552378195387347"</f>
        <v>1552378195387347</v>
      </c>
      <c r="C1971" t="s">
        <v>40</v>
      </c>
      <c r="D1971">
        <v>5.1512859999999998</v>
      </c>
      <c r="E1971">
        <v>0.54336980000000001</v>
      </c>
      <c r="F1971" t="s">
        <v>42</v>
      </c>
      <c r="G1971">
        <v>-386.49930000000001</v>
      </c>
      <c r="H1971">
        <v>0.87960839999999996</v>
      </c>
      <c r="I1971">
        <v>284.62630000000001</v>
      </c>
      <c r="J1971">
        <v>-386.01010000000002</v>
      </c>
      <c r="K1971">
        <v>1.109866</v>
      </c>
      <c r="L1971">
        <v>284.45429999999999</v>
      </c>
      <c r="M1971">
        <v>-0.99965470000000001</v>
      </c>
      <c r="N1971">
        <v>0</v>
      </c>
      <c r="O1971">
        <v>2.163489E-2</v>
      </c>
      <c r="P1971">
        <v>-0.99641630000000003</v>
      </c>
      <c r="Q1971">
        <v>-1.924437E-2</v>
      </c>
      <c r="R1971">
        <v>8.2367109999999993E-2</v>
      </c>
      <c r="S1971">
        <v>-2.946075</v>
      </c>
      <c r="T1971">
        <v>-0.76477119999999998</v>
      </c>
      <c r="U1971">
        <v>0.59948729999999995</v>
      </c>
      <c r="V1971">
        <v>6.0787809999999998E-2</v>
      </c>
      <c r="W1971">
        <v>-4.3498469999999996E-3</v>
      </c>
      <c r="X1971">
        <v>0.99814119999999995</v>
      </c>
      <c r="Y1971">
        <v>0.17332539999999999</v>
      </c>
      <c r="Z1971">
        <v>1.644748E-2</v>
      </c>
      <c r="AA1971">
        <v>0.98472729999999997</v>
      </c>
      <c r="AB1971">
        <v>39</v>
      </c>
      <c r="AC1971">
        <v>-0.48919999999998198</v>
      </c>
      <c r="AD1971">
        <v>-0.23025759999999901</v>
      </c>
      <c r="AE1971">
        <v>0.17200000000002499</v>
      </c>
      <c r="AF1971">
        <v>0.13479711004801301</v>
      </c>
      <c r="AG1971">
        <v>-0.23025759999999901</v>
      </c>
      <c r="AH1971">
        <v>0.41164410199347601</v>
      </c>
      <c r="AI1971">
        <v>117.994462706435</v>
      </c>
      <c r="AJ1971">
        <v>71.868431777846894</v>
      </c>
      <c r="AK1971">
        <v>0.490550394904613</v>
      </c>
      <c r="AL1971">
        <v>90.249228668787197</v>
      </c>
      <c r="AM1971">
        <v>86.514933371782504</v>
      </c>
      <c r="AN1971">
        <v>0.999999967075479</v>
      </c>
    </row>
    <row r="1972" spans="1:40" x14ac:dyDescent="0.25">
      <c r="A1972" t="str">
        <f>"20190312160955417"</f>
        <v>20190312160955417</v>
      </c>
      <c r="B1972" t="str">
        <f>"1552378195407374"</f>
        <v>1552378195407374</v>
      </c>
      <c r="C1972" t="s">
        <v>40</v>
      </c>
      <c r="D1972">
        <v>5.1434139999999999</v>
      </c>
      <c r="E1972">
        <v>0.54289730000000003</v>
      </c>
      <c r="F1972" t="s">
        <v>42</v>
      </c>
      <c r="G1972">
        <v>-386.84899999999999</v>
      </c>
      <c r="H1972">
        <v>0.89110409999999995</v>
      </c>
      <c r="I1972">
        <v>284.61939999999998</v>
      </c>
      <c r="J1972">
        <v>-386.40940000000001</v>
      </c>
      <c r="K1972">
        <v>1.1098709999999901</v>
      </c>
      <c r="L1972">
        <v>284.46289999999999</v>
      </c>
      <c r="M1972">
        <v>-0.99965459999999995</v>
      </c>
      <c r="N1972">
        <v>0</v>
      </c>
      <c r="O1972">
        <v>2.1634839999999999E-2</v>
      </c>
      <c r="P1972">
        <v>-0.99641979999999997</v>
      </c>
      <c r="Q1972">
        <v>-1.902438E-2</v>
      </c>
      <c r="R1972">
        <v>8.2377099999999995E-2</v>
      </c>
      <c r="S1972">
        <v>-2.948029</v>
      </c>
      <c r="T1972">
        <v>-0.76871400000000001</v>
      </c>
      <c r="U1972">
        <v>0.57977290000000004</v>
      </c>
      <c r="V1972">
        <v>6.0797999999999998E-2</v>
      </c>
      <c r="W1972">
        <v>-4.1244589999999996E-3</v>
      </c>
      <c r="X1972">
        <v>0.99814159999999996</v>
      </c>
      <c r="Y1972">
        <v>0.16701469999999999</v>
      </c>
      <c r="Z1972">
        <v>1.5727419999999999E-2</v>
      </c>
      <c r="AA1972">
        <v>0.98582899999999996</v>
      </c>
      <c r="AB1972">
        <v>39</v>
      </c>
      <c r="AC1972">
        <v>-0.439599999999984</v>
      </c>
      <c r="AD1972">
        <v>-0.21876689999999899</v>
      </c>
      <c r="AE1972">
        <v>0.15649999999999401</v>
      </c>
      <c r="AF1972">
        <v>0.120472077600029</v>
      </c>
      <c r="AG1972">
        <v>-0.21876689999999899</v>
      </c>
      <c r="AH1972">
        <v>0.36307915758160503</v>
      </c>
      <c r="AI1972">
        <v>119.76410192873099</v>
      </c>
      <c r="AJ1972">
        <v>71.643812654646695</v>
      </c>
      <c r="AK1972">
        <v>0.44068010244058597</v>
      </c>
      <c r="AL1972">
        <v>90.236314756195597</v>
      </c>
      <c r="AM1972">
        <v>86.514351995746196</v>
      </c>
      <c r="AN1972">
        <v>1.0000000308082999</v>
      </c>
    </row>
    <row r="1973" spans="1:40" x14ac:dyDescent="0.25">
      <c r="A1973" t="str">
        <f>"20190312160955438"</f>
        <v>20190312160955438</v>
      </c>
      <c r="B1973" t="str">
        <f>"1552378195427870"</f>
        <v>1552378195427870</v>
      </c>
      <c r="C1973" t="s">
        <v>40</v>
      </c>
      <c r="D1973">
        <v>5.0788379999999904</v>
      </c>
      <c r="E1973">
        <v>0.54049840000000005</v>
      </c>
      <c r="F1973" t="s">
        <v>42</v>
      </c>
      <c r="G1973">
        <v>-387.1995</v>
      </c>
      <c r="H1973">
        <v>0.90508089999999997</v>
      </c>
      <c r="I1973">
        <v>284.6173</v>
      </c>
      <c r="J1973">
        <v>-386.78949999999998</v>
      </c>
      <c r="K1973">
        <v>1.109877</v>
      </c>
      <c r="L1973">
        <v>284.47109999999998</v>
      </c>
      <c r="M1973">
        <v>-0.99965440000000005</v>
      </c>
      <c r="N1973">
        <v>0</v>
      </c>
      <c r="O1973">
        <v>2.1635270000000002E-2</v>
      </c>
      <c r="P1973">
        <v>-0.99638959999999999</v>
      </c>
      <c r="Q1973">
        <v>-1.923484E-2</v>
      </c>
      <c r="R1973">
        <v>8.2690449999999999E-2</v>
      </c>
      <c r="S1973">
        <v>-2.9486080000000001</v>
      </c>
      <c r="T1973">
        <v>-0.76435169999999997</v>
      </c>
      <c r="U1973">
        <v>0.57528690000000005</v>
      </c>
      <c r="V1973">
        <v>6.1111329999999998E-2</v>
      </c>
      <c r="W1973">
        <v>-4.331395E-3</v>
      </c>
      <c r="X1973">
        <v>0.99812160000000005</v>
      </c>
      <c r="Y1973">
        <v>0.1656292</v>
      </c>
      <c r="Z1973">
        <v>1.546498E-2</v>
      </c>
      <c r="AA1973">
        <v>0.98606680000000002</v>
      </c>
      <c r="AB1973">
        <v>39</v>
      </c>
      <c r="AC1973">
        <v>-0.41000000000002501</v>
      </c>
      <c r="AD1973">
        <v>-0.20479609999999901</v>
      </c>
      <c r="AE1973">
        <v>0.14620000000002101</v>
      </c>
      <c r="AF1973">
        <v>0.112411319321745</v>
      </c>
      <c r="AG1973">
        <v>-0.20479609999999901</v>
      </c>
      <c r="AH1973">
        <v>0.33820376046272999</v>
      </c>
      <c r="AI1973">
        <v>119.883001560249</v>
      </c>
      <c r="AJ1973">
        <v>71.614354160281707</v>
      </c>
      <c r="AK1973">
        <v>0.41104687187472499</v>
      </c>
      <c r="AL1973">
        <v>90.248171418471898</v>
      </c>
      <c r="AM1973">
        <v>86.496362881936193</v>
      </c>
      <c r="AN1973">
        <v>1.0000000420117801</v>
      </c>
    </row>
    <row r="1974" spans="1:40" x14ac:dyDescent="0.25">
      <c r="A1974" t="str">
        <f>"20190312160955460"</f>
        <v>20190312160955460</v>
      </c>
      <c r="B1974" t="str">
        <f>"1552378195447391"</f>
        <v>1552378195447391</v>
      </c>
      <c r="C1974" t="s">
        <v>40</v>
      </c>
      <c r="D1974">
        <v>4.9791980000000002</v>
      </c>
      <c r="E1974">
        <v>0.54084350000000003</v>
      </c>
      <c r="F1974" t="s">
        <v>42</v>
      </c>
      <c r="G1974">
        <v>-387.54880000000003</v>
      </c>
      <c r="H1974">
        <v>0.91716960000000003</v>
      </c>
      <c r="I1974">
        <v>284.61489999999998</v>
      </c>
      <c r="J1974">
        <v>-387.15300000000002</v>
      </c>
      <c r="K1974">
        <v>1.1098809999999999</v>
      </c>
      <c r="L1974">
        <v>284.47899999999998</v>
      </c>
      <c r="M1974">
        <v>-0.99965440000000005</v>
      </c>
      <c r="N1974">
        <v>0</v>
      </c>
      <c r="O1974">
        <v>2.1635419999999999E-2</v>
      </c>
      <c r="P1974">
        <v>-0.99638590000000005</v>
      </c>
      <c r="Q1974">
        <v>-1.9280909999999998E-2</v>
      </c>
      <c r="R1974">
        <v>8.2727869999999995E-2</v>
      </c>
      <c r="S1974">
        <v>-2.9502259999999998</v>
      </c>
      <c r="T1974">
        <v>-0.74881529999999996</v>
      </c>
      <c r="U1974">
        <v>0.55703740000000002</v>
      </c>
      <c r="V1974">
        <v>6.1148880000000003E-2</v>
      </c>
      <c r="W1974">
        <v>-4.3748720000000001E-3</v>
      </c>
      <c r="X1974">
        <v>0.99811910000000004</v>
      </c>
      <c r="Y1974">
        <v>0.159994</v>
      </c>
      <c r="Z1974">
        <v>1.446237E-2</v>
      </c>
      <c r="AA1974">
        <v>0.987012</v>
      </c>
      <c r="AB1974">
        <v>39</v>
      </c>
      <c r="AC1974">
        <v>-0.39580000000000798</v>
      </c>
      <c r="AD1974">
        <v>-0.19271139999999901</v>
      </c>
      <c r="AE1974">
        <v>0.13589999999993499</v>
      </c>
      <c r="AF1974">
        <v>0.105030862404834</v>
      </c>
      <c r="AG1974">
        <v>-0.19271139999999901</v>
      </c>
      <c r="AH1974">
        <v>0.32890056779910198</v>
      </c>
      <c r="AI1974">
        <v>119.168378164816</v>
      </c>
      <c r="AJ1974">
        <v>72.2896762865592</v>
      </c>
      <c r="AK1974">
        <v>0.39540453872715497</v>
      </c>
      <c r="AL1974">
        <v>90.250662493234202</v>
      </c>
      <c r="AM1974">
        <v>86.494206672455306</v>
      </c>
      <c r="AN1974">
        <v>1.0000000314075399</v>
      </c>
    </row>
    <row r="1975" spans="1:40" x14ac:dyDescent="0.25">
      <c r="A1975" t="str">
        <f>"20190312160955483"</f>
        <v>20190312160955483</v>
      </c>
      <c r="B1975" t="str">
        <f>"1552378195477647"</f>
        <v>1552378195477647</v>
      </c>
      <c r="C1975" t="s">
        <v>40</v>
      </c>
      <c r="D1975">
        <v>4.9809999999999999</v>
      </c>
      <c r="E1975">
        <v>0.5404544</v>
      </c>
      <c r="F1975" t="s">
        <v>42</v>
      </c>
      <c r="G1975">
        <v>-387.8947</v>
      </c>
      <c r="H1975">
        <v>0.92173559999999999</v>
      </c>
      <c r="I1975">
        <v>284.62020000000001</v>
      </c>
      <c r="J1975">
        <v>-387.55869999999999</v>
      </c>
      <c r="K1975">
        <v>1.109893</v>
      </c>
      <c r="L1975">
        <v>284.48779999999999</v>
      </c>
      <c r="M1975">
        <v>-0.99965440000000005</v>
      </c>
      <c r="N1975">
        <v>0</v>
      </c>
      <c r="O1975">
        <v>2.1635580000000001E-2</v>
      </c>
      <c r="P1975">
        <v>-0.99638970000000004</v>
      </c>
      <c r="Q1975">
        <v>-1.89023E-2</v>
      </c>
      <c r="R1975">
        <v>8.2766409999999999E-2</v>
      </c>
      <c r="S1975">
        <v>-2.9498600000000001</v>
      </c>
      <c r="T1975">
        <v>-0.74827460000000001</v>
      </c>
      <c r="U1975">
        <v>0.56021119999999902</v>
      </c>
      <c r="V1975">
        <v>6.1187039999999998E-2</v>
      </c>
      <c r="W1975">
        <v>-3.994259E-3</v>
      </c>
      <c r="X1975">
        <v>0.99811830000000001</v>
      </c>
      <c r="Y1975">
        <v>0.1610161</v>
      </c>
      <c r="Z1975">
        <v>1.4579099999999999E-2</v>
      </c>
      <c r="AA1975">
        <v>0.9868441</v>
      </c>
      <c r="AB1975">
        <v>39</v>
      </c>
      <c r="AC1975">
        <v>-0.33600000000001201</v>
      </c>
      <c r="AD1975">
        <v>-0.1881574</v>
      </c>
      <c r="AE1975">
        <v>0.132400000000018</v>
      </c>
      <c r="AF1975">
        <v>9.83910406786416E-2</v>
      </c>
      <c r="AG1975">
        <v>-0.1881574</v>
      </c>
      <c r="AH1975">
        <v>0.266457958161266</v>
      </c>
      <c r="AI1975">
        <v>123.521481899093</v>
      </c>
      <c r="AJ1975">
        <v>69.733060470496099</v>
      </c>
      <c r="AK1975">
        <v>0.34071079749262001</v>
      </c>
      <c r="AL1975">
        <v>90.228854797376599</v>
      </c>
      <c r="AM1975">
        <v>86.492021536733702</v>
      </c>
      <c r="AN1975">
        <v>0.99999997438190502</v>
      </c>
    </row>
    <row r="1976" spans="1:40" x14ac:dyDescent="0.25">
      <c r="A1976" t="str">
        <f>"20190312160955506"</f>
        <v>20190312160955506</v>
      </c>
      <c r="B1976" t="str">
        <f>"1552378195498143"</f>
        <v>1552378195498143</v>
      </c>
      <c r="C1976" t="s">
        <v>40</v>
      </c>
      <c r="D1976">
        <v>5.1345729999999996</v>
      </c>
      <c r="E1976">
        <v>0.54078870000000001</v>
      </c>
      <c r="F1976" t="s">
        <v>42</v>
      </c>
      <c r="G1976">
        <v>-388.24489999999997</v>
      </c>
      <c r="H1976">
        <v>0.93589699999999998</v>
      </c>
      <c r="I1976">
        <v>284.61759999999998</v>
      </c>
      <c r="J1976">
        <v>-387.94290000000001</v>
      </c>
      <c r="K1976">
        <v>1.1098950000000001</v>
      </c>
      <c r="L1976">
        <v>284.49610000000001</v>
      </c>
      <c r="M1976">
        <v>-0.99965440000000005</v>
      </c>
      <c r="N1976">
        <v>0</v>
      </c>
      <c r="O1976">
        <v>2.163557E-2</v>
      </c>
      <c r="P1976">
        <v>-0.99633939999999999</v>
      </c>
      <c r="Q1976">
        <v>-1.864969E-2</v>
      </c>
      <c r="R1976">
        <v>8.3426440000000004E-2</v>
      </c>
      <c r="S1976">
        <v>-2.9504389999999998</v>
      </c>
      <c r="T1976">
        <v>-0.74814590000000003</v>
      </c>
      <c r="U1976">
        <v>0.55712890000000004</v>
      </c>
      <c r="V1976">
        <v>6.1848069999999998E-2</v>
      </c>
      <c r="W1976">
        <v>-3.7413099999999999E-3</v>
      </c>
      <c r="X1976">
        <v>0.99807860000000004</v>
      </c>
      <c r="Y1976">
        <v>0.16001770000000001</v>
      </c>
      <c r="Z1976">
        <v>1.44517E-2</v>
      </c>
      <c r="AA1976">
        <v>0.98700829999999995</v>
      </c>
      <c r="AB1976">
        <v>38</v>
      </c>
      <c r="AC1976">
        <v>-0.30199999999996402</v>
      </c>
      <c r="AD1976">
        <v>-0.17399800000000001</v>
      </c>
      <c r="AE1976">
        <v>0.12149999999996899</v>
      </c>
      <c r="AF1976">
        <v>8.9395856713401597E-2</v>
      </c>
      <c r="AG1976">
        <v>-0.17399800000000001</v>
      </c>
      <c r="AH1976">
        <v>0.23688001834285499</v>
      </c>
      <c r="AI1976">
        <v>124.498040763601</v>
      </c>
      <c r="AJ1976">
        <v>69.324057056114299</v>
      </c>
      <c r="AK1976">
        <v>0.30721176131722899</v>
      </c>
      <c r="AL1976">
        <v>90.214361765118696</v>
      </c>
      <c r="AM1976">
        <v>86.454078826318593</v>
      </c>
      <c r="AN1976">
        <v>1.0000000364705901</v>
      </c>
    </row>
    <row r="1977" spans="1:40" x14ac:dyDescent="0.25">
      <c r="A1977" t="str">
        <f>"20190312160955527"</f>
        <v>20190312160955527</v>
      </c>
      <c r="B1977" t="str">
        <f>"1552378195518168"</f>
        <v>1552378195518168</v>
      </c>
      <c r="C1977" t="s">
        <v>40</v>
      </c>
      <c r="D1977">
        <v>4.8750210000000003</v>
      </c>
      <c r="E1977">
        <v>0.5408269</v>
      </c>
      <c r="F1977" t="s">
        <v>42</v>
      </c>
      <c r="G1977">
        <v>-388.90109999999999</v>
      </c>
      <c r="H1977">
        <v>0.86554419999999899</v>
      </c>
      <c r="I1977">
        <v>284.67910000000001</v>
      </c>
      <c r="J1977">
        <v>-388.30900000000003</v>
      </c>
      <c r="K1977">
        <v>1.1099019999999999</v>
      </c>
      <c r="L1977">
        <v>284.50400000000002</v>
      </c>
      <c r="M1977">
        <v>-0.99965440000000005</v>
      </c>
      <c r="N1977">
        <v>0</v>
      </c>
      <c r="O1977">
        <v>2.1635390000000001E-2</v>
      </c>
      <c r="P1977">
        <v>-0.99634140000000004</v>
      </c>
      <c r="Q1977">
        <v>-1.8872969999999999E-2</v>
      </c>
      <c r="R1977">
        <v>8.3353709999999998E-2</v>
      </c>
      <c r="S1977">
        <v>-2.9499209999999998</v>
      </c>
      <c r="T1977">
        <v>-0.75232860000000001</v>
      </c>
      <c r="U1977">
        <v>0.56207280000000004</v>
      </c>
      <c r="V1977">
        <v>6.177556E-2</v>
      </c>
      <c r="W1977">
        <v>-3.9643250000000003E-3</v>
      </c>
      <c r="X1977">
        <v>0.99808220000000003</v>
      </c>
      <c r="Y1977">
        <v>0.16155220000000001</v>
      </c>
      <c r="Z1977">
        <v>1.4721359999999999E-2</v>
      </c>
      <c r="AA1977">
        <v>0.98675440000000003</v>
      </c>
      <c r="AB1977">
        <v>38</v>
      </c>
      <c r="AC1977">
        <v>-0.59209999999995899</v>
      </c>
      <c r="AD1977">
        <v>-0.24435779999999999</v>
      </c>
      <c r="AE1977">
        <v>0.17509999999998599</v>
      </c>
      <c r="AF1977">
        <v>0.14027689362583701</v>
      </c>
      <c r="AG1977">
        <v>-0.24435779999999999</v>
      </c>
      <c r="AH1977">
        <v>0.51507791283895299</v>
      </c>
      <c r="AI1977">
        <v>114.595363203479</v>
      </c>
      <c r="AJ1977">
        <v>74.765476722719796</v>
      </c>
      <c r="AK1977">
        <v>0.58710612124273298</v>
      </c>
      <c r="AL1977">
        <v>90.227139684521106</v>
      </c>
      <c r="AM1977">
        <v>86.4582381795</v>
      </c>
      <c r="AN1977">
        <v>1.0000000068214201</v>
      </c>
    </row>
    <row r="1978" spans="1:40" x14ac:dyDescent="0.25">
      <c r="A1978" t="str">
        <f>"20190312160955549"</f>
        <v>20190312160955549</v>
      </c>
      <c r="B1978" t="str">
        <f>"1552378195537688"</f>
        <v>1552378195537688</v>
      </c>
      <c r="C1978" t="s">
        <v>40</v>
      </c>
      <c r="D1978">
        <v>5.077718</v>
      </c>
      <c r="E1978">
        <v>0.54009469999999904</v>
      </c>
      <c r="F1978" t="s">
        <v>42</v>
      </c>
      <c r="G1978">
        <v>-389.24540000000002</v>
      </c>
      <c r="H1978">
        <v>0.870087099999999</v>
      </c>
      <c r="I1978">
        <v>284.68290000000002</v>
      </c>
      <c r="J1978">
        <v>-388.68700000000001</v>
      </c>
      <c r="K1978">
        <v>1.1099079999999999</v>
      </c>
      <c r="L1978">
        <v>284.51220000000001</v>
      </c>
      <c r="M1978">
        <v>-0.99965440000000005</v>
      </c>
      <c r="N1978">
        <v>0</v>
      </c>
      <c r="O1978">
        <v>2.1635209999999998E-2</v>
      </c>
      <c r="P1978">
        <v>-0.99638459999999995</v>
      </c>
      <c r="Q1978">
        <v>-1.8788909999999999E-2</v>
      </c>
      <c r="R1978">
        <v>8.2854670000000005E-2</v>
      </c>
      <c r="S1978">
        <v>-2.949646</v>
      </c>
      <c r="T1978">
        <v>-0.75545689999999999</v>
      </c>
      <c r="U1978">
        <v>0.56256099999999998</v>
      </c>
      <c r="V1978">
        <v>6.127577E-2</v>
      </c>
      <c r="W1978">
        <v>-3.880217E-3</v>
      </c>
      <c r="X1978">
        <v>0.99811329999999998</v>
      </c>
      <c r="Y1978">
        <v>0.16168669999999999</v>
      </c>
      <c r="Z1978">
        <v>1.479865E-2</v>
      </c>
      <c r="AA1978">
        <v>0.98673120000000003</v>
      </c>
      <c r="AB1978">
        <v>38</v>
      </c>
      <c r="AC1978">
        <v>-0.55840000000006196</v>
      </c>
      <c r="AD1978">
        <v>-0.239820899999999</v>
      </c>
      <c r="AE1978">
        <v>0.17070000000001001</v>
      </c>
      <c r="AF1978">
        <v>0.135688538664403</v>
      </c>
      <c r="AG1978">
        <v>-0.239820899999999</v>
      </c>
      <c r="AH1978">
        <v>0.48084924087133102</v>
      </c>
      <c r="AI1978">
        <v>115.640989807563</v>
      </c>
      <c r="AJ1978">
        <v>74.2417191348881</v>
      </c>
      <c r="AK1978">
        <v>0.55420342478933304</v>
      </c>
      <c r="AL1978">
        <v>90.222320622723402</v>
      </c>
      <c r="AM1978">
        <v>86.486929640459607</v>
      </c>
      <c r="AN1978">
        <v>0.99999996785497403</v>
      </c>
    </row>
    <row r="1979" spans="1:40" x14ac:dyDescent="0.25">
      <c r="A1979" t="str">
        <f>"20190312160955571"</f>
        <v>20190312160955571</v>
      </c>
      <c r="B1979" t="str">
        <f>"1552378195567944"</f>
        <v>1552378195567944</v>
      </c>
      <c r="C1979" t="s">
        <v>40</v>
      </c>
      <c r="D1979">
        <v>5.130852</v>
      </c>
      <c r="E1979">
        <v>0.54040929999999998</v>
      </c>
      <c r="F1979" t="s">
        <v>42</v>
      </c>
      <c r="G1979">
        <v>-389.59160000000003</v>
      </c>
      <c r="H1979">
        <v>0.88028709999999899</v>
      </c>
      <c r="I1979">
        <v>284.6825</v>
      </c>
      <c r="J1979">
        <v>-389.07130000000001</v>
      </c>
      <c r="K1979">
        <v>1.109915</v>
      </c>
      <c r="L1979">
        <v>284.52050000000003</v>
      </c>
      <c r="M1979">
        <v>-0.99965440000000005</v>
      </c>
      <c r="N1979">
        <v>0</v>
      </c>
      <c r="O1979">
        <v>2.1635040000000001E-2</v>
      </c>
      <c r="P1979">
        <v>-0.99641869999999999</v>
      </c>
      <c r="Q1979">
        <v>-1.869084E-2</v>
      </c>
      <c r="R1979">
        <v>8.2466100000000001E-2</v>
      </c>
      <c r="S1979">
        <v>-2.9505919999999999</v>
      </c>
      <c r="T1979">
        <v>-0.74897250000000004</v>
      </c>
      <c r="U1979">
        <v>0.55480959999999901</v>
      </c>
      <c r="V1979">
        <v>6.0886820000000001E-2</v>
      </c>
      <c r="W1979">
        <v>-3.7829230000000001E-3</v>
      </c>
      <c r="X1979">
        <v>0.99813750000000001</v>
      </c>
      <c r="Y1979">
        <v>0.1592729</v>
      </c>
      <c r="Z1979">
        <v>1.4375300000000001E-2</v>
      </c>
      <c r="AA1979">
        <v>0.9871299</v>
      </c>
      <c r="AB1979">
        <v>38</v>
      </c>
      <c r="AC1979">
        <v>-0.52030000000001997</v>
      </c>
      <c r="AD1979">
        <v>-0.2296279</v>
      </c>
      <c r="AE1979">
        <v>0.161999999999977</v>
      </c>
      <c r="AF1979">
        <v>0.127979450582002</v>
      </c>
      <c r="AG1979">
        <v>-0.2296279</v>
      </c>
      <c r="AH1979">
        <v>0.44471728493658702</v>
      </c>
      <c r="AI1979">
        <v>116.390955173257</v>
      </c>
      <c r="AJ1979">
        <v>73.945393228635595</v>
      </c>
      <c r="AK1979">
        <v>0.51660543527052705</v>
      </c>
      <c r="AL1979">
        <v>90.216746040788195</v>
      </c>
      <c r="AM1979">
        <v>86.509258080141194</v>
      </c>
      <c r="AN1979">
        <v>0.99999999213119295</v>
      </c>
    </row>
    <row r="1980" spans="1:40" x14ac:dyDescent="0.25">
      <c r="A1980" t="str">
        <f>"20190312160955595"</f>
        <v>20190312160955595</v>
      </c>
      <c r="B1980" t="str">
        <f>"1552378195587464"</f>
        <v>1552378195587464</v>
      </c>
      <c r="C1980" t="s">
        <v>40</v>
      </c>
      <c r="D1980">
        <v>4.5707139999999997</v>
      </c>
      <c r="E1980">
        <v>0.54062250000000001</v>
      </c>
      <c r="F1980" t="s">
        <v>42</v>
      </c>
      <c r="G1980">
        <v>-389.93799999999999</v>
      </c>
      <c r="H1980">
        <v>0.89166139999999905</v>
      </c>
      <c r="I1980">
        <v>284.68380000000002</v>
      </c>
      <c r="J1980">
        <v>-389.46870000000001</v>
      </c>
      <c r="K1980">
        <v>1.1099250000000001</v>
      </c>
      <c r="L1980">
        <v>284.52910000000003</v>
      </c>
      <c r="M1980">
        <v>-0.99965440000000005</v>
      </c>
      <c r="N1980">
        <v>0</v>
      </c>
      <c r="O1980">
        <v>2.163493E-2</v>
      </c>
      <c r="P1980">
        <v>-0.9964248</v>
      </c>
      <c r="Q1980">
        <v>-1.7666560000000001E-2</v>
      </c>
      <c r="R1980">
        <v>8.2615859999999999E-2</v>
      </c>
      <c r="S1980">
        <v>-2.9508670000000001</v>
      </c>
      <c r="T1980">
        <v>-0.74303940000000002</v>
      </c>
      <c r="U1980">
        <v>0.55541989999999997</v>
      </c>
      <c r="V1980">
        <v>6.1036460000000001E-2</v>
      </c>
      <c r="W1980">
        <v>-2.7600620000000002E-3</v>
      </c>
      <c r="X1980">
        <v>0.99813169999999996</v>
      </c>
      <c r="Y1980">
        <v>0.15951279999999901</v>
      </c>
      <c r="Z1980">
        <v>1.429279E-2</v>
      </c>
      <c r="AA1980">
        <v>0.98709239999999998</v>
      </c>
      <c r="AB1980">
        <v>38</v>
      </c>
      <c r="AC1980">
        <v>-0.46930000000003202</v>
      </c>
      <c r="AD1980">
        <v>-0.2182636</v>
      </c>
      <c r="AE1980">
        <v>0.15469999999999101</v>
      </c>
      <c r="AF1980">
        <v>0.12091800752180699</v>
      </c>
      <c r="AG1980">
        <v>-0.2182636</v>
      </c>
      <c r="AH1980">
        <v>0.39539499193153399</v>
      </c>
      <c r="AI1980">
        <v>117.828727699336</v>
      </c>
      <c r="AJ1980">
        <v>72.995543802904507</v>
      </c>
      <c r="AK1980">
        <v>0.467543969346779</v>
      </c>
      <c r="AL1980">
        <v>90.158140107904501</v>
      </c>
      <c r="AM1980">
        <v>86.500679980318907</v>
      </c>
      <c r="AN1980">
        <v>0.99999997896823201</v>
      </c>
    </row>
    <row r="1981" spans="1:40" x14ac:dyDescent="0.25">
      <c r="A1981" t="str">
        <f>"20190312160955683"</f>
        <v>20190312160955683</v>
      </c>
      <c r="B1981" t="str">
        <f>"1552378195677767"</f>
        <v>1552378195677767</v>
      </c>
      <c r="C1981" t="s">
        <v>40</v>
      </c>
      <c r="D1981">
        <v>4.5040870000000002</v>
      </c>
      <c r="E1981">
        <v>0.54062250000000001</v>
      </c>
      <c r="F1981" t="s">
        <v>42</v>
      </c>
      <c r="G1981">
        <v>-391.31639999999999</v>
      </c>
      <c r="H1981">
        <v>0.92862630000000002</v>
      </c>
      <c r="I1981">
        <v>284.68950000000001</v>
      </c>
      <c r="J1981">
        <v>-390.98090000000002</v>
      </c>
      <c r="K1981">
        <v>1.1099190000000001</v>
      </c>
      <c r="L1981">
        <v>284.56180000000001</v>
      </c>
      <c r="M1981">
        <v>-0.9996545</v>
      </c>
      <c r="N1981">
        <v>0</v>
      </c>
      <c r="O1981">
        <v>2.163445E-2</v>
      </c>
      <c r="P1981">
        <v>-0.99636089999999999</v>
      </c>
      <c r="Q1981">
        <v>-1.8635639999999998E-2</v>
      </c>
      <c r="R1981">
        <v>8.3174419999999999E-2</v>
      </c>
      <c r="S1981">
        <v>-2.950256</v>
      </c>
      <c r="T1981">
        <v>-0.7482607</v>
      </c>
      <c r="U1981">
        <v>0.55984500000000004</v>
      </c>
      <c r="V1981">
        <v>6.1596850000000002E-2</v>
      </c>
      <c r="W1981">
        <v>-3.7375519999999999E-3</v>
      </c>
      <c r="X1981">
        <v>0.99809409999999998</v>
      </c>
      <c r="Y1981">
        <v>0.16087989999999999</v>
      </c>
      <c r="Z1981">
        <v>1.456054E-2</v>
      </c>
      <c r="AA1981">
        <v>0.98686660000000004</v>
      </c>
      <c r="AB1981">
        <v>38</v>
      </c>
      <c r="AC1981">
        <v>-0.33549999999996699</v>
      </c>
      <c r="AD1981">
        <v>-0.1812927</v>
      </c>
      <c r="AE1981">
        <v>0.127700000000004</v>
      </c>
      <c r="AF1981">
        <v>9.5941517791343203E-2</v>
      </c>
      <c r="AG1981">
        <v>-0.1812927</v>
      </c>
      <c r="AH1981">
        <v>0.26946001181869</v>
      </c>
      <c r="AI1981">
        <v>122.367457587429</v>
      </c>
      <c r="AJ1981">
        <v>70.401675037998203</v>
      </c>
      <c r="AK1981">
        <v>0.33864511790180102</v>
      </c>
      <c r="AL1981">
        <v>90.214146456709997</v>
      </c>
      <c r="AM1981">
        <v>86.4685001435045</v>
      </c>
      <c r="AN1981">
        <v>0.99999998683984204</v>
      </c>
    </row>
    <row r="1982" spans="1:40" x14ac:dyDescent="0.25">
      <c r="A1982" t="str">
        <f>"20190312160955706"</f>
        <v>20190312160955706</v>
      </c>
      <c r="B1982" t="str">
        <f>"1552378195697283"</f>
        <v>1552378195697283</v>
      </c>
      <c r="C1982" t="s">
        <v>40</v>
      </c>
      <c r="D1982">
        <v>4.6157820000000003</v>
      </c>
      <c r="E1982">
        <v>0.426259</v>
      </c>
      <c r="F1982" t="s">
        <v>42</v>
      </c>
      <c r="G1982">
        <v>-391.66030000000001</v>
      </c>
      <c r="H1982">
        <v>0.93752519999999995</v>
      </c>
      <c r="I1982">
        <v>284.69099999999997</v>
      </c>
      <c r="J1982">
        <v>-391.3578</v>
      </c>
      <c r="K1982">
        <v>1.1099209999999999</v>
      </c>
      <c r="L1982">
        <v>284.57</v>
      </c>
      <c r="M1982">
        <v>-0.99965470000000001</v>
      </c>
      <c r="N1982">
        <v>0</v>
      </c>
      <c r="O1982">
        <v>2.163429E-2</v>
      </c>
      <c r="P1982">
        <v>-0.99644029999999995</v>
      </c>
      <c r="Q1982">
        <v>-1.8268699999999999E-2</v>
      </c>
      <c r="R1982">
        <v>8.2300739999999997E-2</v>
      </c>
      <c r="S1982">
        <v>-2.9502259999999998</v>
      </c>
      <c r="T1982">
        <v>-0.74872950000000005</v>
      </c>
      <c r="U1982">
        <v>0.55953980000000003</v>
      </c>
      <c r="V1982">
        <v>6.0721799999999999E-2</v>
      </c>
      <c r="W1982">
        <v>-3.3723770000000002E-3</v>
      </c>
      <c r="X1982">
        <v>0.99814899999999995</v>
      </c>
      <c r="Y1982">
        <v>0.16078100000000001</v>
      </c>
      <c r="Z1982">
        <v>1.4557459999999999E-2</v>
      </c>
      <c r="AA1982">
        <v>0.9868827</v>
      </c>
      <c r="AB1982">
        <v>38</v>
      </c>
      <c r="AC1982">
        <v>-0.30250000000000898</v>
      </c>
      <c r="AD1982">
        <v>-0.17239579999999899</v>
      </c>
      <c r="AE1982">
        <v>0.12099999999998</v>
      </c>
      <c r="AF1982">
        <v>8.9396364343017204E-2</v>
      </c>
      <c r="AG1982">
        <v>-0.17239579999999899</v>
      </c>
      <c r="AH1982">
        <v>0.23831975485152801</v>
      </c>
      <c r="AI1982">
        <v>124.109679050023</v>
      </c>
      <c r="AJ1982">
        <v>69.438378655091995</v>
      </c>
      <c r="AK1982">
        <v>0.30742206714528802</v>
      </c>
      <c r="AL1982">
        <v>90.193223341451898</v>
      </c>
      <c r="AM1982">
        <v>86.518735660376706</v>
      </c>
      <c r="AN1982">
        <v>0.99999996806143399</v>
      </c>
    </row>
    <row r="1983" spans="1:40" x14ac:dyDescent="0.25">
      <c r="A1983" t="str">
        <f>"20190312160955728"</f>
        <v>20190312160955728</v>
      </c>
      <c r="B1983" t="str">
        <f>"1552378195717309"</f>
        <v>1552378195717309</v>
      </c>
      <c r="C1983" t="s">
        <v>40</v>
      </c>
      <c r="D1983">
        <v>4.819134</v>
      </c>
      <c r="E1983">
        <v>0.43237300000000001</v>
      </c>
      <c r="F1983" t="s">
        <v>74</v>
      </c>
      <c r="G1983">
        <v>-432.95650000000001</v>
      </c>
      <c r="H1983" s="1">
        <v>3.9389590000000002E-6</v>
      </c>
      <c r="I1983">
        <v>279.91640000000001</v>
      </c>
      <c r="J1983">
        <v>-391.72430000000003</v>
      </c>
      <c r="K1983">
        <v>1.1099139999999901</v>
      </c>
      <c r="L1983">
        <v>284.5779</v>
      </c>
      <c r="M1983">
        <v>-0.99965470000000001</v>
      </c>
      <c r="N1983">
        <v>0</v>
      </c>
      <c r="O1983">
        <v>2.1634190000000001E-2</v>
      </c>
      <c r="P1983">
        <v>-0.99647030000000003</v>
      </c>
      <c r="Q1983">
        <v>-1.851336E-2</v>
      </c>
      <c r="R1983">
        <v>8.1879380000000002E-2</v>
      </c>
      <c r="S1983">
        <v>-3.0372919999999999</v>
      </c>
      <c r="T1983">
        <v>-8.1039550000000002E-2</v>
      </c>
      <c r="U1983">
        <v>-0.33978269999999999</v>
      </c>
      <c r="V1983">
        <v>6.0299810000000002E-2</v>
      </c>
      <c r="W1983">
        <v>-3.6196100000000001E-3</v>
      </c>
      <c r="X1983">
        <v>0.9981738</v>
      </c>
      <c r="Y1983">
        <v>-0.13259889999999999</v>
      </c>
      <c r="Z1983">
        <v>-2.33869999999999E-3</v>
      </c>
      <c r="AA1983">
        <v>0.99116700000000002</v>
      </c>
      <c r="AB1983">
        <v>38</v>
      </c>
      <c r="AC1983">
        <v>-41.232199999999899</v>
      </c>
      <c r="AD1983">
        <v>-1.10991006104099</v>
      </c>
      <c r="AE1983">
        <v>-4.6614999999999798</v>
      </c>
      <c r="AF1983">
        <v>-5.54856343846728</v>
      </c>
      <c r="AG1983">
        <v>-1.10991006104099</v>
      </c>
      <c r="AH1983">
        <v>41.092288617054301</v>
      </c>
      <c r="AI1983">
        <v>91.5332853113716</v>
      </c>
      <c r="AJ1983">
        <v>97.689960191790703</v>
      </c>
      <c r="AK1983">
        <v>41.480051113295197</v>
      </c>
      <c r="AL1983">
        <v>90.207388818588498</v>
      </c>
      <c r="AM1983">
        <v>86.542955730817695</v>
      </c>
      <c r="AN1983">
        <v>1.00000005183451</v>
      </c>
    </row>
    <row r="1984" spans="1:40" x14ac:dyDescent="0.25">
      <c r="A1984" t="str">
        <f>"20190312160955750"</f>
        <v>20190312160955750</v>
      </c>
      <c r="B1984" t="str">
        <f>"1552378195747565"</f>
        <v>1552378195747565</v>
      </c>
      <c r="C1984" t="s">
        <v>40</v>
      </c>
      <c r="D1984">
        <v>4.862825</v>
      </c>
      <c r="E1984">
        <v>0.43834489999999998</v>
      </c>
      <c r="F1984" t="s">
        <v>75</v>
      </c>
      <c r="G1984">
        <v>-512.82529999999997</v>
      </c>
      <c r="H1984">
        <v>0.29885650000000002</v>
      </c>
      <c r="I1984">
        <v>272.94819999999999</v>
      </c>
      <c r="J1984">
        <v>-392.11099999999999</v>
      </c>
      <c r="K1984">
        <v>1.1099209999999999</v>
      </c>
      <c r="L1984">
        <v>284.58629999999999</v>
      </c>
      <c r="M1984">
        <v>-0.9996545</v>
      </c>
      <c r="N1984">
        <v>0</v>
      </c>
      <c r="O1984">
        <v>2.1634219999999999E-2</v>
      </c>
      <c r="P1984">
        <v>-0.99645090000000003</v>
      </c>
      <c r="Q1984">
        <v>-1.9203419999999999E-2</v>
      </c>
      <c r="R1984">
        <v>8.1955879999999995E-2</v>
      </c>
      <c r="S1984">
        <v>-3.0341800000000001</v>
      </c>
      <c r="T1984">
        <v>-2.031898E-2</v>
      </c>
      <c r="U1984">
        <v>-0.29138180000000002</v>
      </c>
      <c r="V1984">
        <v>6.0376730000000003E-2</v>
      </c>
      <c r="W1984">
        <v>-4.3130970000000001E-3</v>
      </c>
      <c r="X1984">
        <v>0.99816629999999995</v>
      </c>
      <c r="Y1984">
        <v>-0.117105399999999</v>
      </c>
      <c r="Z1984">
        <v>-5.3579439999999995E-4</v>
      </c>
      <c r="AA1984">
        <v>0.99311939999999999</v>
      </c>
      <c r="AB1984">
        <v>38</v>
      </c>
      <c r="AC1984">
        <v>-120.714299999999</v>
      </c>
      <c r="AD1984">
        <v>-0.81106449999999897</v>
      </c>
      <c r="AE1984">
        <v>-11.6381</v>
      </c>
      <c r="AF1984">
        <v>-14.246589067193201</v>
      </c>
      <c r="AG1984">
        <v>-0.81106449999999897</v>
      </c>
      <c r="AH1984">
        <v>120.428845103935</v>
      </c>
      <c r="AI1984">
        <v>90.383197975034093</v>
      </c>
      <c r="AJ1984">
        <v>96.746666813276093</v>
      </c>
      <c r="AK1984">
        <v>121.271306823751</v>
      </c>
      <c r="AL1984">
        <v>90.247123031460603</v>
      </c>
      <c r="AM1984">
        <v>86.538530605824207</v>
      </c>
      <c r="AN1984">
        <v>0.99999995739345604</v>
      </c>
    </row>
    <row r="1985" spans="1:40" x14ac:dyDescent="0.25">
      <c r="A1985" t="str">
        <f>"20190312160955773"</f>
        <v>20190312160955773</v>
      </c>
      <c r="B1985" t="str">
        <f>"1552378195768061"</f>
        <v>1552378195768061</v>
      </c>
      <c r="C1985" t="s">
        <v>40</v>
      </c>
      <c r="D1985">
        <v>4.876366</v>
      </c>
      <c r="E1985">
        <v>0.4407604</v>
      </c>
      <c r="F1985" t="s">
        <v>75</v>
      </c>
      <c r="G1985">
        <v>-512.82510000000002</v>
      </c>
      <c r="H1985">
        <v>2.9024479999999998E-2</v>
      </c>
      <c r="I1985">
        <v>274.87979999999999</v>
      </c>
      <c r="J1985">
        <v>-392.50279999999998</v>
      </c>
      <c r="K1985">
        <v>1.109923</v>
      </c>
      <c r="L1985">
        <v>284.59480000000002</v>
      </c>
      <c r="M1985">
        <v>-0.99965470000000001</v>
      </c>
      <c r="N1985">
        <v>0</v>
      </c>
      <c r="O1985">
        <v>2.163406E-2</v>
      </c>
      <c r="P1985">
        <v>-0.99645459999999997</v>
      </c>
      <c r="Q1985">
        <v>-1.9006970000000002E-2</v>
      </c>
      <c r="R1985">
        <v>8.1956539999999994E-2</v>
      </c>
      <c r="S1985">
        <v>-3.0301819999999999</v>
      </c>
      <c r="T1985">
        <v>-2.7130720000000001E-2</v>
      </c>
      <c r="U1985">
        <v>-0.24365229999999999</v>
      </c>
      <c r="V1985">
        <v>6.0377350000000003E-2</v>
      </c>
      <c r="W1985">
        <v>-4.1199820000000003E-3</v>
      </c>
      <c r="X1985">
        <v>0.99816709999999997</v>
      </c>
      <c r="Y1985">
        <v>-0.10169300000000001</v>
      </c>
      <c r="Z1985">
        <v>-6.4794799999999997E-4</v>
      </c>
      <c r="AA1985">
        <v>0.99481560000000002</v>
      </c>
      <c r="AB1985">
        <v>38</v>
      </c>
      <c r="AC1985">
        <v>-120.3223</v>
      </c>
      <c r="AD1985">
        <v>-1.0808985200000001</v>
      </c>
      <c r="AE1985">
        <v>-9.7150000000000301</v>
      </c>
      <c r="AF1985">
        <v>-12.315087788870599</v>
      </c>
      <c r="AG1985">
        <v>-1.0808985200000001</v>
      </c>
      <c r="AH1985">
        <v>120.074307463409</v>
      </c>
      <c r="AI1985">
        <v>90.513066444422904</v>
      </c>
      <c r="AJ1985">
        <v>95.855906963540605</v>
      </c>
      <c r="AK1985">
        <v>120.709026347144</v>
      </c>
      <c r="AL1985">
        <v>90.236058253029299</v>
      </c>
      <c r="AM1985">
        <v>86.538497914461999</v>
      </c>
      <c r="AN1985">
        <v>0.99999997908355598</v>
      </c>
    </row>
    <row r="1986" spans="1:40" x14ac:dyDescent="0.25">
      <c r="A1986" t="str">
        <f>"20190312160955796"</f>
        <v>20190312160955796</v>
      </c>
      <c r="B1986" t="str">
        <f>"1552378195787581"</f>
        <v>1552378195787581</v>
      </c>
      <c r="C1986" t="s">
        <v>40</v>
      </c>
      <c r="D1986">
        <v>4.9369230000000002</v>
      </c>
      <c r="E1986">
        <v>0.44254830000000001</v>
      </c>
      <c r="F1986" t="s">
        <v>75</v>
      </c>
      <c r="G1986">
        <v>-511.95859999999999</v>
      </c>
      <c r="H1986">
        <v>3.0618490000000002E-2</v>
      </c>
      <c r="I1986">
        <v>275.73689999999999</v>
      </c>
      <c r="J1986">
        <v>-392.8827</v>
      </c>
      <c r="K1986">
        <v>1.1099239999999999</v>
      </c>
      <c r="L1986">
        <v>284.60300000000001</v>
      </c>
      <c r="M1986">
        <v>-0.99965479999999995</v>
      </c>
      <c r="N1986">
        <v>0</v>
      </c>
      <c r="O1986">
        <v>2.163373E-2</v>
      </c>
      <c r="P1986">
        <v>-0.99649580000000004</v>
      </c>
      <c r="Q1986">
        <v>-1.8661270000000001E-2</v>
      </c>
      <c r="R1986">
        <v>8.1535440000000001E-2</v>
      </c>
      <c r="S1986">
        <v>-3.0286559999999998</v>
      </c>
      <c r="T1986">
        <v>-2.7362350000000001E-2</v>
      </c>
      <c r="U1986">
        <v>-0.2245789</v>
      </c>
      <c r="V1986">
        <v>5.9955870000000001E-2</v>
      </c>
      <c r="W1986">
        <v>-3.7772169999999998E-3</v>
      </c>
      <c r="X1986">
        <v>0.99819389999999997</v>
      </c>
      <c r="Y1986">
        <v>-9.550314E-2</v>
      </c>
      <c r="Z1986">
        <v>-6.2603769999999999E-4</v>
      </c>
      <c r="AA1986">
        <v>0.99542889999999995</v>
      </c>
      <c r="AB1986">
        <v>38</v>
      </c>
      <c r="AC1986">
        <v>-119.0759</v>
      </c>
      <c r="AD1986">
        <v>-1.07930551</v>
      </c>
      <c r="AE1986">
        <v>-8.8661000000000101</v>
      </c>
      <c r="AF1986">
        <v>-11.439432105450001</v>
      </c>
      <c r="AG1986">
        <v>-1.07930551</v>
      </c>
      <c r="AH1986">
        <v>118.846487402256</v>
      </c>
      <c r="AI1986">
        <v>90.517924294092794</v>
      </c>
      <c r="AJ1986">
        <v>95.498001875441204</v>
      </c>
      <c r="AK1986">
        <v>119.400641016427</v>
      </c>
      <c r="AL1986">
        <v>90.216419103164498</v>
      </c>
      <c r="AM1986">
        <v>86.562695766690894</v>
      </c>
      <c r="AN1986">
        <v>1.0000000178564601</v>
      </c>
    </row>
    <row r="1987" spans="1:40" x14ac:dyDescent="0.25">
      <c r="A1987" t="str">
        <f>"20190312160955819"</f>
        <v>20190312160955819</v>
      </c>
      <c r="B1987" t="str">
        <f>"1552378195807608"</f>
        <v>1552378195807608</v>
      </c>
      <c r="C1987" t="s">
        <v>40</v>
      </c>
      <c r="D1987">
        <v>4.9345679999999996</v>
      </c>
      <c r="E1987">
        <v>0.44362970000000002</v>
      </c>
      <c r="F1987" t="s">
        <v>75</v>
      </c>
      <c r="G1987">
        <v>-511.95859999999999</v>
      </c>
      <c r="H1987">
        <v>1.9712629999999998E-2</v>
      </c>
      <c r="I1987">
        <v>276.27980000000002</v>
      </c>
      <c r="J1987">
        <v>-393.25970000000001</v>
      </c>
      <c r="K1987">
        <v>1.1099250000000001</v>
      </c>
      <c r="L1987">
        <v>284.6112</v>
      </c>
      <c r="M1987">
        <v>-0.99965490000000001</v>
      </c>
      <c r="N1987">
        <v>0</v>
      </c>
      <c r="O1987">
        <v>2.1633579999999999E-2</v>
      </c>
      <c r="P1987">
        <v>-0.99652149999999995</v>
      </c>
      <c r="Q1987">
        <v>-1.85086E-2</v>
      </c>
      <c r="R1987">
        <v>8.1255560000000004E-2</v>
      </c>
      <c r="S1987">
        <v>-3.027374</v>
      </c>
      <c r="T1987">
        <v>-2.771533E-2</v>
      </c>
      <c r="U1987">
        <v>-0.21160889999999999</v>
      </c>
      <c r="V1987">
        <v>5.9675510000000001E-2</v>
      </c>
      <c r="W1987">
        <v>-3.6277689999999999E-3</v>
      </c>
      <c r="X1987">
        <v>0.99821130000000002</v>
      </c>
      <c r="Y1987">
        <v>-9.1290650000000001E-2</v>
      </c>
      <c r="Z1987">
        <v>-6.1521639999999995E-4</v>
      </c>
      <c r="AA1987">
        <v>0.99582409999999999</v>
      </c>
      <c r="AB1987">
        <v>38</v>
      </c>
      <c r="AC1987">
        <v>-118.698899999999</v>
      </c>
      <c r="AD1987">
        <v>-1.0902123699999999</v>
      </c>
      <c r="AE1987">
        <v>-8.3313999999999702</v>
      </c>
      <c r="AF1987">
        <v>-10.896702339251799</v>
      </c>
      <c r="AG1987">
        <v>-1.0902123699999999</v>
      </c>
      <c r="AH1987">
        <v>118.480910439464</v>
      </c>
      <c r="AI1987">
        <v>90.524981724941398</v>
      </c>
      <c r="AJ1987">
        <v>95.254716726672399</v>
      </c>
      <c r="AK1987">
        <v>118.985935401821</v>
      </c>
      <c r="AL1987">
        <v>90.207856295510297</v>
      </c>
      <c r="AM1987">
        <v>86.578790191670905</v>
      </c>
      <c r="AN1987">
        <v>1.0000000633246799</v>
      </c>
    </row>
    <row r="1988" spans="1:40" x14ac:dyDescent="0.25">
      <c r="A1988" t="str">
        <f>"20190312160955840"</f>
        <v>20190312160955840</v>
      </c>
      <c r="B1988" t="str">
        <f>"1552378195828103"</f>
        <v>1552378195828103</v>
      </c>
      <c r="C1988" t="s">
        <v>40</v>
      </c>
      <c r="D1988">
        <v>4.9626729999999997</v>
      </c>
      <c r="E1988">
        <v>0.4444708</v>
      </c>
      <c r="F1988" t="s">
        <v>75</v>
      </c>
      <c r="G1988">
        <v>-511.95859999999999</v>
      </c>
      <c r="H1988">
        <v>2.0609559999999999E-2</v>
      </c>
      <c r="I1988">
        <v>276.61709999999999</v>
      </c>
      <c r="J1988">
        <v>-393.62509999999997</v>
      </c>
      <c r="K1988">
        <v>1.1099250000000001</v>
      </c>
      <c r="L1988">
        <v>284.6191</v>
      </c>
      <c r="M1988">
        <v>-0.99965479999999995</v>
      </c>
      <c r="N1988">
        <v>0</v>
      </c>
      <c r="O1988">
        <v>2.1633779999999998E-2</v>
      </c>
      <c r="P1988">
        <v>-0.99651940000000006</v>
      </c>
      <c r="Q1988">
        <v>-1.8256680000000001E-2</v>
      </c>
      <c r="R1988">
        <v>8.1335420000000005E-2</v>
      </c>
      <c r="S1988">
        <v>-3.0265200000000001</v>
      </c>
      <c r="T1988">
        <v>-2.7772669999999999E-2</v>
      </c>
      <c r="U1988">
        <v>-0.20382690000000001</v>
      </c>
      <c r="V1988">
        <v>5.9755250000000003E-2</v>
      </c>
      <c r="W1988">
        <v>-3.3794150000000002E-3</v>
      </c>
      <c r="X1988">
        <v>0.99820730000000002</v>
      </c>
      <c r="Y1988">
        <v>-8.8761690000000004E-2</v>
      </c>
      <c r="Z1988">
        <v>-6.051276E-4</v>
      </c>
      <c r="AA1988">
        <v>0.99605270000000001</v>
      </c>
      <c r="AB1988">
        <v>38</v>
      </c>
      <c r="AC1988">
        <v>-118.3335</v>
      </c>
      <c r="AD1988">
        <v>-1.08931544</v>
      </c>
      <c r="AE1988">
        <v>-8.0020000000000095</v>
      </c>
      <c r="AF1988">
        <v>-10.5595215134407</v>
      </c>
      <c r="AG1988">
        <v>-1.08931544</v>
      </c>
      <c r="AH1988">
        <v>118.12270237196699</v>
      </c>
      <c r="AI1988">
        <v>90.526262343812405</v>
      </c>
      <c r="AJ1988">
        <v>95.108349627364404</v>
      </c>
      <c r="AK1988">
        <v>118.598747541351</v>
      </c>
      <c r="AL1988">
        <v>90.193626592620703</v>
      </c>
      <c r="AM1988">
        <v>86.574215865634002</v>
      </c>
      <c r="AN1988">
        <v>0.999999962060796</v>
      </c>
    </row>
    <row r="1989" spans="1:40" x14ac:dyDescent="0.25">
      <c r="A1989" t="str">
        <f>"20190312160955863"</f>
        <v>20190312160955863</v>
      </c>
      <c r="B1989" t="str">
        <f>"1552378195857383"</f>
        <v>1552378195857383</v>
      </c>
      <c r="C1989" t="s">
        <v>40</v>
      </c>
      <c r="D1989">
        <v>5.0243880000000001</v>
      </c>
      <c r="E1989">
        <v>0.44552449999999999</v>
      </c>
      <c r="F1989" t="s">
        <v>75</v>
      </c>
      <c r="G1989">
        <v>-511.95859999999999</v>
      </c>
      <c r="H1989">
        <v>3.9157930000000001E-2</v>
      </c>
      <c r="I1989">
        <v>276.91579999999999</v>
      </c>
      <c r="J1989">
        <v>-394.00599999999997</v>
      </c>
      <c r="K1989">
        <v>1.109926</v>
      </c>
      <c r="L1989">
        <v>284.62729999999999</v>
      </c>
      <c r="M1989">
        <v>-0.99965499999999996</v>
      </c>
      <c r="N1989">
        <v>0</v>
      </c>
      <c r="O1989">
        <v>2.1633510000000002E-2</v>
      </c>
      <c r="P1989">
        <v>-0.99650349999999999</v>
      </c>
      <c r="Q1989">
        <v>-1.8498250000000001E-2</v>
      </c>
      <c r="R1989">
        <v>8.1480479999999994E-2</v>
      </c>
      <c r="S1989">
        <v>-3.026062</v>
      </c>
      <c r="T1989">
        <v>-2.7379870000000001E-2</v>
      </c>
      <c r="U1989">
        <v>-0.196991</v>
      </c>
      <c r="V1989">
        <v>5.9901200000000002E-2</v>
      </c>
      <c r="W1989">
        <v>-3.6249419999999999E-3</v>
      </c>
      <c r="X1989">
        <v>0.99819769999999997</v>
      </c>
      <c r="Y1989">
        <v>-8.6531239999999995E-2</v>
      </c>
      <c r="Z1989">
        <v>-5.8662059999999895E-4</v>
      </c>
      <c r="AA1989">
        <v>0.99624900000000005</v>
      </c>
      <c r="AB1989">
        <v>38</v>
      </c>
      <c r="AC1989">
        <v>-117.9526</v>
      </c>
      <c r="AD1989">
        <v>-1.07076807</v>
      </c>
      <c r="AE1989">
        <v>-7.7115</v>
      </c>
      <c r="AF1989">
        <v>-10.2608647501789</v>
      </c>
      <c r="AG1989">
        <v>-1.07076807</v>
      </c>
      <c r="AH1989">
        <v>117.74848163474999</v>
      </c>
      <c r="AI1989">
        <v>90.519048705209698</v>
      </c>
      <c r="AJ1989">
        <v>94.980300755711497</v>
      </c>
      <c r="AK1989">
        <v>118.199563522757</v>
      </c>
      <c r="AL1989">
        <v>90.207694338436099</v>
      </c>
      <c r="AM1989">
        <v>86.565835566493902</v>
      </c>
      <c r="AN1989">
        <v>0.99999997112561601</v>
      </c>
    </row>
    <row r="1990" spans="1:40" x14ac:dyDescent="0.25">
      <c r="A1990" t="str">
        <f>"20190312160955886"</f>
        <v>20190312160955886</v>
      </c>
      <c r="B1990" t="str">
        <f>"1552378195877879"</f>
        <v>1552378195877879</v>
      </c>
      <c r="C1990" t="s">
        <v>40</v>
      </c>
      <c r="D1990">
        <v>5.0401449999999999</v>
      </c>
      <c r="E1990">
        <v>0.44617079999999998</v>
      </c>
      <c r="F1990" t="s">
        <v>59</v>
      </c>
      <c r="G1990">
        <v>-499.97449999999998</v>
      </c>
      <c r="H1990">
        <v>6.6806669999999999E-2</v>
      </c>
      <c r="I1990">
        <v>278.03199999999998</v>
      </c>
      <c r="J1990">
        <v>-394.3929</v>
      </c>
      <c r="K1990">
        <v>1.109918</v>
      </c>
      <c r="L1990">
        <v>284.63569999999999</v>
      </c>
      <c r="M1990">
        <v>-0.99965510000000002</v>
      </c>
      <c r="N1990">
        <v>0</v>
      </c>
      <c r="O1990">
        <v>2.1633360000000001E-2</v>
      </c>
      <c r="P1990">
        <v>-0.99651869999999998</v>
      </c>
      <c r="Q1990">
        <v>-1.9134290000000002E-2</v>
      </c>
      <c r="R1990">
        <v>8.1144759999999996E-2</v>
      </c>
      <c r="S1990">
        <v>-3.02536</v>
      </c>
      <c r="T1990">
        <v>-2.9780629999999999E-2</v>
      </c>
      <c r="U1990">
        <v>-0.1882935</v>
      </c>
      <c r="V1990">
        <v>5.9565149999999997E-2</v>
      </c>
      <c r="W1990">
        <v>-4.2647229999999998E-3</v>
      </c>
      <c r="X1990">
        <v>0.99821530000000003</v>
      </c>
      <c r="Y1990">
        <v>-8.3692539999999996E-2</v>
      </c>
      <c r="Z1990">
        <v>-6.2430009999999998E-4</v>
      </c>
      <c r="AA1990">
        <v>0.99649140000000003</v>
      </c>
      <c r="AB1990">
        <v>38</v>
      </c>
      <c r="AC1990">
        <v>-105.581599999999</v>
      </c>
      <c r="AD1990">
        <v>-1.0431113299999999</v>
      </c>
      <c r="AE1990">
        <v>-6.6036999999999999</v>
      </c>
      <c r="AF1990">
        <v>-8.8856282464169603</v>
      </c>
      <c r="AG1990">
        <v>-1.0431113299999999</v>
      </c>
      <c r="AH1990">
        <v>105.403761212568</v>
      </c>
      <c r="AI1990">
        <v>90.564996009592605</v>
      </c>
      <c r="AJ1990">
        <v>94.818690434378297</v>
      </c>
      <c r="AK1990">
        <v>105.78277434599801</v>
      </c>
      <c r="AL1990">
        <v>90.244351371831002</v>
      </c>
      <c r="AM1990">
        <v>86.585115819102001</v>
      </c>
      <c r="AN1990">
        <v>0.99999999005543905</v>
      </c>
    </row>
    <row r="1991" spans="1:40" x14ac:dyDescent="0.25">
      <c r="A1991" t="str">
        <f>"20190312160955906"</f>
        <v>20190312160955906</v>
      </c>
      <c r="B1991" t="str">
        <f>"1552378195897399"</f>
        <v>1552378195897399</v>
      </c>
      <c r="C1991" t="s">
        <v>40</v>
      </c>
      <c r="D1991">
        <v>5.0671860000000004</v>
      </c>
      <c r="E1991">
        <v>0.44683580000000001</v>
      </c>
      <c r="F1991" t="s">
        <v>59</v>
      </c>
      <c r="G1991">
        <v>-490.21620000000001</v>
      </c>
      <c r="H1991" s="1">
        <v>3.2225590000000002E-6</v>
      </c>
      <c r="I1991">
        <v>278.79739999999998</v>
      </c>
      <c r="J1991">
        <v>-394.73759999999999</v>
      </c>
      <c r="K1991">
        <v>1.109915</v>
      </c>
      <c r="L1991">
        <v>284.6431</v>
      </c>
      <c r="M1991">
        <v>-0.99965499999999996</v>
      </c>
      <c r="N1991">
        <v>0</v>
      </c>
      <c r="O1991">
        <v>2.1633389999999999E-2</v>
      </c>
      <c r="P1991">
        <v>-0.996502</v>
      </c>
      <c r="Q1991">
        <v>-1.966033E-2</v>
      </c>
      <c r="R1991">
        <v>8.1224030000000003E-2</v>
      </c>
      <c r="S1991">
        <v>-3.0248110000000001</v>
      </c>
      <c r="T1991">
        <v>-3.5036209999999998E-2</v>
      </c>
      <c r="U1991">
        <v>-0.18429570000000001</v>
      </c>
      <c r="V1991">
        <v>5.9644700000000002E-2</v>
      </c>
      <c r="W1991">
        <v>-4.7945330000000001E-3</v>
      </c>
      <c r="X1991">
        <v>0.99820819999999999</v>
      </c>
      <c r="Y1991">
        <v>-8.2389770000000001E-2</v>
      </c>
      <c r="Z1991">
        <v>-7.2709209999999996E-4</v>
      </c>
      <c r="AA1991">
        <v>0.99659989999999998</v>
      </c>
      <c r="AB1991">
        <v>38</v>
      </c>
      <c r="AC1991">
        <v>-95.4786</v>
      </c>
      <c r="AD1991">
        <v>-1.1099117774409999</v>
      </c>
      <c r="AE1991">
        <v>-5.8457000000000203</v>
      </c>
      <c r="AF1991">
        <v>-7.9090218205403904</v>
      </c>
      <c r="AG1991">
        <v>-1.1099117774409999</v>
      </c>
      <c r="AH1991">
        <v>95.316941460828801</v>
      </c>
      <c r="AI1991">
        <v>90.664862073878595</v>
      </c>
      <c r="AJ1991">
        <v>94.743310557943502</v>
      </c>
      <c r="AK1991">
        <v>95.650948033767804</v>
      </c>
      <c r="AL1991">
        <v>90.274707545985606</v>
      </c>
      <c r="AM1991">
        <v>86.580541749165903</v>
      </c>
      <c r="AN1991">
        <v>1.000000044166</v>
      </c>
    </row>
    <row r="1992" spans="1:40" x14ac:dyDescent="0.25">
      <c r="A1992" t="str">
        <f>"20190312160955928"</f>
        <v>20190312160955928</v>
      </c>
      <c r="B1992" t="str">
        <f>"1552378195917896"</f>
        <v>1552378195917896</v>
      </c>
      <c r="C1992" t="s">
        <v>40</v>
      </c>
      <c r="D1992">
        <v>5.1896940000000003</v>
      </c>
      <c r="E1992">
        <v>0.44725789999999999</v>
      </c>
      <c r="F1992" t="s">
        <v>59</v>
      </c>
      <c r="G1992">
        <v>-476.97469999999998</v>
      </c>
      <c r="H1992" s="1">
        <v>3.0986529999999998E-6</v>
      </c>
      <c r="I1992">
        <v>279.78359999999998</v>
      </c>
      <c r="J1992">
        <v>-395.11020000000002</v>
      </c>
      <c r="K1992">
        <v>1.1099110000000001</v>
      </c>
      <c r="L1992">
        <v>284.65120000000002</v>
      </c>
      <c r="M1992">
        <v>-0.99965510000000002</v>
      </c>
      <c r="N1992">
        <v>0</v>
      </c>
      <c r="O1992">
        <v>2.1633240000000001E-2</v>
      </c>
      <c r="P1992">
        <v>-0.99646369999999895</v>
      </c>
      <c r="Q1992">
        <v>-1.9888780000000002E-2</v>
      </c>
      <c r="R1992">
        <v>8.1637580000000001E-2</v>
      </c>
      <c r="S1992">
        <v>-3.0243229999999999</v>
      </c>
      <c r="T1992">
        <v>-4.0817739999999998E-2</v>
      </c>
      <c r="U1992">
        <v>-0.17871090000000001</v>
      </c>
      <c r="V1992">
        <v>6.0059220000000003E-2</v>
      </c>
      <c r="W1992">
        <v>-5.0273840000000002E-3</v>
      </c>
      <c r="X1992">
        <v>0.99818220000000002</v>
      </c>
      <c r="Y1992">
        <v>-8.0563220000000005E-2</v>
      </c>
      <c r="Z1992">
        <v>-8.3492880000000003E-4</v>
      </c>
      <c r="AA1992">
        <v>0.9967492</v>
      </c>
      <c r="AB1992">
        <v>38</v>
      </c>
      <c r="AC1992">
        <v>-81.864499999999893</v>
      </c>
      <c r="AD1992">
        <v>-1.1099079013469999</v>
      </c>
      <c r="AE1992">
        <v>-4.8676000000000403</v>
      </c>
      <c r="AF1992">
        <v>-6.6364357283069397</v>
      </c>
      <c r="AG1992">
        <v>-1.1099079013469999</v>
      </c>
      <c r="AH1992">
        <v>81.725054276530798</v>
      </c>
      <c r="AI1992">
        <v>90.775533622825193</v>
      </c>
      <c r="AJ1992">
        <v>94.642484068987699</v>
      </c>
      <c r="AK1992">
        <v>82.001577248412204</v>
      </c>
      <c r="AL1992">
        <v>90.288049085784394</v>
      </c>
      <c r="AM1992">
        <v>86.556744633379395</v>
      </c>
      <c r="AN1992">
        <v>1.00000004444686</v>
      </c>
    </row>
    <row r="1993" spans="1:40" x14ac:dyDescent="0.25">
      <c r="A1993" t="str">
        <f>"20190312160955953"</f>
        <v>20190312160955953</v>
      </c>
      <c r="B1993" t="str">
        <f>"1552378195948152"</f>
        <v>1552378195948152</v>
      </c>
      <c r="C1993" t="s">
        <v>40</v>
      </c>
      <c r="D1993">
        <v>5.1267750000000003</v>
      </c>
      <c r="E1993">
        <v>0.42883769999999999</v>
      </c>
      <c r="F1993" t="s">
        <v>59</v>
      </c>
      <c r="G1993">
        <v>-470.70389999999998</v>
      </c>
      <c r="H1993" s="1">
        <v>5.9249200000000004E-6</v>
      </c>
      <c r="I1993">
        <v>280.30360000000002</v>
      </c>
      <c r="J1993">
        <v>-395.50569999999999</v>
      </c>
      <c r="K1993">
        <v>1.1099110000000001</v>
      </c>
      <c r="L1993">
        <v>284.65980000000002</v>
      </c>
      <c r="M1993">
        <v>-0.99965519999999997</v>
      </c>
      <c r="N1993">
        <v>0</v>
      </c>
      <c r="O1993">
        <v>2.1633090000000001E-2</v>
      </c>
      <c r="P1993">
        <v>-0.99648590000000004</v>
      </c>
      <c r="Q1993">
        <v>-2.028903E-2</v>
      </c>
      <c r="R1993">
        <v>8.1266149999999995E-2</v>
      </c>
      <c r="S1993">
        <v>-3.0240480000000001</v>
      </c>
      <c r="T1993">
        <v>-4.440057E-2</v>
      </c>
      <c r="U1993">
        <v>-0.17391970000000001</v>
      </c>
      <c r="V1993">
        <v>5.9687520000000001E-2</v>
      </c>
      <c r="W1993">
        <v>-5.4316099999999999E-3</v>
      </c>
      <c r="X1993">
        <v>0.99820229999999999</v>
      </c>
      <c r="Y1993">
        <v>-7.8992870000000007E-2</v>
      </c>
      <c r="Z1993">
        <v>-8.9681069999999997E-4</v>
      </c>
      <c r="AA1993">
        <v>0.9968747</v>
      </c>
      <c r="AB1993">
        <v>37</v>
      </c>
      <c r="AC1993">
        <v>-75.1981999999999</v>
      </c>
      <c r="AD1993">
        <v>-1.1099050750799999</v>
      </c>
      <c r="AE1993">
        <v>-4.3562000000000003</v>
      </c>
      <c r="AF1993">
        <v>-5.9808313759243896</v>
      </c>
      <c r="AG1993">
        <v>-1.1099050750799999</v>
      </c>
      <c r="AH1993">
        <v>75.070050228810899</v>
      </c>
      <c r="AI1993">
        <v>90.844376962994502</v>
      </c>
      <c r="AJ1993">
        <v>94.555133759282896</v>
      </c>
      <c r="AK1993">
        <v>75.316098375972103</v>
      </c>
      <c r="AL1993">
        <v>90.311209869458494</v>
      </c>
      <c r="AM1993">
        <v>86.578072512522098</v>
      </c>
      <c r="AN1993">
        <v>0.999999967078115</v>
      </c>
    </row>
    <row r="1994" spans="1:40" x14ac:dyDescent="0.25">
      <c r="A1994" t="str">
        <f>"20190312160955974"</f>
        <v>20190312160955974</v>
      </c>
      <c r="B1994" t="str">
        <f>"1552378195967671"</f>
        <v>1552378195967671</v>
      </c>
      <c r="C1994" t="s">
        <v>40</v>
      </c>
      <c r="D1994">
        <v>5.2154819999999997</v>
      </c>
      <c r="E1994">
        <v>0.4248962</v>
      </c>
      <c r="F1994" t="s">
        <v>75</v>
      </c>
      <c r="G1994">
        <v>-512.82539999999995</v>
      </c>
      <c r="H1994">
        <v>0.61282579999999998</v>
      </c>
      <c r="I1994">
        <v>272.25200000000001</v>
      </c>
      <c r="J1994">
        <v>-395.8741</v>
      </c>
      <c r="K1994">
        <v>1.109909</v>
      </c>
      <c r="L1994">
        <v>284.66770000000002</v>
      </c>
      <c r="M1994">
        <v>-0.99965519999999997</v>
      </c>
      <c r="N1994">
        <v>0</v>
      </c>
      <c r="O1994">
        <v>2.1632950000000001E-2</v>
      </c>
      <c r="P1994">
        <v>-0.99648490000000001</v>
      </c>
      <c r="Q1994">
        <v>-2.093921E-2</v>
      </c>
      <c r="R1994">
        <v>8.1114220000000001E-2</v>
      </c>
      <c r="S1994">
        <v>-3.0364689999999999</v>
      </c>
      <c r="T1994">
        <v>-1.286352E-2</v>
      </c>
      <c r="U1994">
        <v>-0.32113649999999999</v>
      </c>
      <c r="V1994">
        <v>5.9535860000000003E-2</v>
      </c>
      <c r="W1994">
        <v>-6.0857350000000001E-3</v>
      </c>
      <c r="X1994">
        <v>0.99820759999999997</v>
      </c>
      <c r="Y1994">
        <v>-0.12666269999999999</v>
      </c>
      <c r="Z1994">
        <v>-3.5896620000000002E-4</v>
      </c>
      <c r="AA1994">
        <v>0.99194579999999999</v>
      </c>
      <c r="AB1994">
        <v>37</v>
      </c>
      <c r="AC1994">
        <v>-116.95129999999899</v>
      </c>
      <c r="AD1994">
        <v>-0.4970832</v>
      </c>
      <c r="AE1994">
        <v>-12.415699999999999</v>
      </c>
      <c r="AF1994">
        <v>-14.9428087641119</v>
      </c>
      <c r="AG1994">
        <v>-0.4970832</v>
      </c>
      <c r="AH1994">
        <v>116.653223162695</v>
      </c>
      <c r="AI1994">
        <v>90.242168821077897</v>
      </c>
      <c r="AJ1994">
        <v>97.299606759178801</v>
      </c>
      <c r="AK1994">
        <v>117.607436413324</v>
      </c>
      <c r="AL1994">
        <v>90.348689088776297</v>
      </c>
      <c r="AM1994">
        <v>86.586764784182904</v>
      </c>
      <c r="AN1994">
        <v>0.99999998374709398</v>
      </c>
    </row>
    <row r="1995" spans="1:40" x14ac:dyDescent="0.25">
      <c r="A1995" t="str">
        <f>"20190312160955996"</f>
        <v>20190312160955996</v>
      </c>
      <c r="B1995" t="str">
        <f>"1552378195987192"</f>
        <v>1552378195987192</v>
      </c>
      <c r="C1995" t="s">
        <v>40</v>
      </c>
      <c r="D1995">
        <v>5.124568</v>
      </c>
      <c r="E1995">
        <v>0.42401270000000002</v>
      </c>
      <c r="F1995" t="s">
        <v>75</v>
      </c>
      <c r="G1995">
        <v>-512.82539999999995</v>
      </c>
      <c r="H1995">
        <v>0.81390419999999997</v>
      </c>
      <c r="I1995">
        <v>271.1003</v>
      </c>
      <c r="J1995">
        <v>-396.24790000000002</v>
      </c>
      <c r="K1995">
        <v>1.109909</v>
      </c>
      <c r="L1995">
        <v>284.67579999999998</v>
      </c>
      <c r="M1995">
        <v>-0.99965530000000002</v>
      </c>
      <c r="N1995">
        <v>0</v>
      </c>
      <c r="O1995">
        <v>2.163286E-2</v>
      </c>
      <c r="P1995">
        <v>-0.99645360000000005</v>
      </c>
      <c r="Q1995">
        <v>-2.156508E-2</v>
      </c>
      <c r="R1995">
        <v>8.1335149999999995E-2</v>
      </c>
      <c r="S1995">
        <v>-3.0391539999999999</v>
      </c>
      <c r="T1995">
        <v>-7.6900719999999896E-3</v>
      </c>
      <c r="U1995">
        <v>-0.35256959999999998</v>
      </c>
      <c r="V1995">
        <v>5.9757379999999999E-2</v>
      </c>
      <c r="W1995">
        <v>-6.7158690000000002E-3</v>
      </c>
      <c r="X1995">
        <v>0.99819029999999997</v>
      </c>
      <c r="Y1995">
        <v>-0.13669990000000001</v>
      </c>
      <c r="Z1995">
        <v>-2.269451E-4</v>
      </c>
      <c r="AA1995">
        <v>0.99061250000000001</v>
      </c>
      <c r="AB1995">
        <v>37</v>
      </c>
      <c r="AC1995">
        <v>-116.57749999999901</v>
      </c>
      <c r="AD1995">
        <v>-0.29600480000000001</v>
      </c>
      <c r="AE1995">
        <v>-13.5754999999999</v>
      </c>
      <c r="AF1995">
        <v>-16.094403847054998</v>
      </c>
      <c r="AG1995">
        <v>-0.29600480000000001</v>
      </c>
      <c r="AH1995">
        <v>116.255763879889</v>
      </c>
      <c r="AI1995">
        <v>90.144505244140802</v>
      </c>
      <c r="AJ1995">
        <v>97.881907136353504</v>
      </c>
      <c r="AK1995">
        <v>117.36490143705799</v>
      </c>
      <c r="AL1995">
        <v>90.3847938569875</v>
      </c>
      <c r="AM1995">
        <v>86.5740358360013</v>
      </c>
      <c r="AN1995">
        <v>0.99999996118748902</v>
      </c>
    </row>
    <row r="1996" spans="1:40" x14ac:dyDescent="0.25">
      <c r="A1996" t="str">
        <f>"20190312160956019"</f>
        <v>20190312160956019</v>
      </c>
      <c r="B1996" t="str">
        <f>"1552378196007688"</f>
        <v>1552378196007688</v>
      </c>
      <c r="C1996" t="s">
        <v>40</v>
      </c>
      <c r="D1996">
        <v>5.1789300000000003</v>
      </c>
      <c r="E1996">
        <v>0.42367280000000002</v>
      </c>
      <c r="F1996" t="s">
        <v>75</v>
      </c>
      <c r="G1996">
        <v>-512.82539999999995</v>
      </c>
      <c r="H1996">
        <v>0.76141449999999999</v>
      </c>
      <c r="I1996">
        <v>270.904</v>
      </c>
      <c r="J1996">
        <v>-396.60980000000001</v>
      </c>
      <c r="K1996">
        <v>1.1099159999999999</v>
      </c>
      <c r="L1996">
        <v>284.68369999999999</v>
      </c>
      <c r="M1996">
        <v>-0.99965539999999997</v>
      </c>
      <c r="N1996">
        <v>0</v>
      </c>
      <c r="O1996">
        <v>2.1632889999999998E-2</v>
      </c>
      <c r="P1996">
        <v>-0.99644140000000003</v>
      </c>
      <c r="Q1996">
        <v>-2.1850560000000002E-2</v>
      </c>
      <c r="R1996">
        <v>8.1406690000000004E-2</v>
      </c>
      <c r="S1996">
        <v>-3.0397639999999999</v>
      </c>
      <c r="T1996">
        <v>-9.0849399999999997E-3</v>
      </c>
      <c r="U1996">
        <v>-0.35910029999999998</v>
      </c>
      <c r="V1996">
        <v>5.982904E-2</v>
      </c>
      <c r="W1996">
        <v>-7.0053629999999997E-3</v>
      </c>
      <c r="X1996">
        <v>0.99818410000000002</v>
      </c>
      <c r="Y1996">
        <v>-0.13877619999999999</v>
      </c>
      <c r="Z1996">
        <v>-2.71115E-4</v>
      </c>
      <c r="AA1996">
        <v>0.99032370000000003</v>
      </c>
      <c r="AB1996">
        <v>37</v>
      </c>
      <c r="AC1996">
        <v>-116.215599999999</v>
      </c>
      <c r="AD1996">
        <v>-0.34850149999999902</v>
      </c>
      <c r="AE1996">
        <v>-13.779699999999901</v>
      </c>
      <c r="AF1996">
        <v>-16.290687388935002</v>
      </c>
      <c r="AG1996">
        <v>-0.34850149999999902</v>
      </c>
      <c r="AH1996">
        <v>115.88924202222501</v>
      </c>
      <c r="AI1996">
        <v>90.170621531943496</v>
      </c>
      <c r="AJ1996">
        <v>98.001704920002993</v>
      </c>
      <c r="AK1996">
        <v>117.029160320774</v>
      </c>
      <c r="AL1996">
        <v>90.401380999486094</v>
      </c>
      <c r="AM1996">
        <v>86.569916028910001</v>
      </c>
      <c r="AN1996">
        <v>1.0000000433154399</v>
      </c>
    </row>
    <row r="1997" spans="1:40" x14ac:dyDescent="0.25">
      <c r="A1997" t="str">
        <f>"20190312160956041"</f>
        <v>20190312160956041</v>
      </c>
      <c r="B1997" t="str">
        <f>"1552378196037943"</f>
        <v>1552378196037943</v>
      </c>
      <c r="C1997" t="s">
        <v>40</v>
      </c>
      <c r="D1997">
        <v>5.2790660000000003</v>
      </c>
      <c r="E1997">
        <v>0.42333330000000002</v>
      </c>
      <c r="F1997" t="s">
        <v>75</v>
      </c>
      <c r="G1997">
        <v>-512.82539999999995</v>
      </c>
      <c r="H1997">
        <v>0.72924800000000001</v>
      </c>
      <c r="I1997">
        <v>270.86500000000001</v>
      </c>
      <c r="J1997">
        <v>-396.988</v>
      </c>
      <c r="K1997">
        <v>1.109917</v>
      </c>
      <c r="L1997">
        <v>284.6918</v>
      </c>
      <c r="M1997">
        <v>-0.99965550000000003</v>
      </c>
      <c r="N1997">
        <v>0</v>
      </c>
      <c r="O1997">
        <v>2.1632559999999999E-2</v>
      </c>
      <c r="P1997">
        <v>-0.99644370000000004</v>
      </c>
      <c r="Q1997">
        <v>-2.19081E-2</v>
      </c>
      <c r="R1997">
        <v>8.1364640000000002E-2</v>
      </c>
      <c r="S1997">
        <v>-3.0400700000000001</v>
      </c>
      <c r="T1997">
        <v>-9.9557640000000006E-3</v>
      </c>
      <c r="U1997">
        <v>-0.36148069999999999</v>
      </c>
      <c r="V1997">
        <v>5.9787340000000001E-2</v>
      </c>
      <c r="W1997">
        <v>-7.0669749999999996E-3</v>
      </c>
      <c r="X1997">
        <v>0.99818609999999997</v>
      </c>
      <c r="Y1997">
        <v>-0.13952879999999901</v>
      </c>
      <c r="Z1997">
        <v>-2.9828599999999998E-4</v>
      </c>
      <c r="AA1997">
        <v>0.99021800000000004</v>
      </c>
      <c r="AB1997">
        <v>37</v>
      </c>
      <c r="AC1997">
        <v>-115.83739999999899</v>
      </c>
      <c r="AD1997">
        <v>-0.38066899999999998</v>
      </c>
      <c r="AE1997">
        <v>-13.826799999999899</v>
      </c>
      <c r="AF1997">
        <v>-16.329526128808901</v>
      </c>
      <c r="AG1997">
        <v>-0.38066899999999998</v>
      </c>
      <c r="AH1997">
        <v>115.50991472710101</v>
      </c>
      <c r="AI1997">
        <v>90.186961594171606</v>
      </c>
      <c r="AJ1997">
        <v>98.046528410684303</v>
      </c>
      <c r="AK1997">
        <v>116.659070512074</v>
      </c>
      <c r="AL1997">
        <v>90.404911220250895</v>
      </c>
      <c r="AM1997">
        <v>86.572307898573698</v>
      </c>
      <c r="AN1997">
        <v>0.99999997919656702</v>
      </c>
    </row>
    <row r="1998" spans="1:40" x14ac:dyDescent="0.25">
      <c r="A1998" t="str">
        <f>"20190312160956064"</f>
        <v>20190312160956064</v>
      </c>
      <c r="B1998" t="str">
        <f>"1552378196057464"</f>
        <v>1552378196057464</v>
      </c>
      <c r="C1998" t="s">
        <v>40</v>
      </c>
      <c r="D1998">
        <v>4.3953879999999996</v>
      </c>
      <c r="E1998">
        <v>0.42313089999999998</v>
      </c>
      <c r="F1998" t="s">
        <v>75</v>
      </c>
      <c r="G1998">
        <v>-512.82529999999997</v>
      </c>
      <c r="H1998">
        <v>0.51062739999999995</v>
      </c>
      <c r="I1998">
        <v>270.80880000000002</v>
      </c>
      <c r="J1998">
        <v>-397.36610000000002</v>
      </c>
      <c r="K1998">
        <v>1.1099159999999999</v>
      </c>
      <c r="L1998">
        <v>284.7</v>
      </c>
      <c r="M1998">
        <v>-0.99965550000000003</v>
      </c>
      <c r="N1998">
        <v>0</v>
      </c>
      <c r="O1998">
        <v>2.163259E-2</v>
      </c>
      <c r="P1998">
        <v>-0.9964771</v>
      </c>
      <c r="Q1998">
        <v>-2.2085730000000001E-2</v>
      </c>
      <c r="R1998">
        <v>8.0906019999999995E-2</v>
      </c>
      <c r="S1998">
        <v>-3.0400700000000001</v>
      </c>
      <c r="T1998">
        <v>-1.572585E-2</v>
      </c>
      <c r="U1998">
        <v>-0.36434939999999999</v>
      </c>
      <c r="V1998">
        <v>5.9328100000000002E-2</v>
      </c>
      <c r="W1998">
        <v>-7.2483360000000002E-3</v>
      </c>
      <c r="X1998">
        <v>0.99821219999999999</v>
      </c>
      <c r="Y1998">
        <v>-0.14044870000000001</v>
      </c>
      <c r="Z1998">
        <v>-4.7350760000000001E-4</v>
      </c>
      <c r="AA1998">
        <v>0.99008790000000002</v>
      </c>
      <c r="AB1998">
        <v>37</v>
      </c>
      <c r="AC1998">
        <v>-115.459199999999</v>
      </c>
      <c r="AD1998">
        <v>-0.59928859999999895</v>
      </c>
      <c r="AE1998">
        <v>-13.8911999999999</v>
      </c>
      <c r="AF1998">
        <v>-16.385470898097001</v>
      </c>
      <c r="AG1998">
        <v>-0.59928859999999895</v>
      </c>
      <c r="AH1998">
        <v>115.12858194422201</v>
      </c>
      <c r="AI1998">
        <v>90.295268481984195</v>
      </c>
      <c r="AJ1998">
        <v>98.100120615967001</v>
      </c>
      <c r="AK1998">
        <v>116.290297032323</v>
      </c>
      <c r="AL1998">
        <v>90.415302706612096</v>
      </c>
      <c r="AM1998">
        <v>86.598663443758596</v>
      </c>
      <c r="AN1998">
        <v>0.99999997902660898</v>
      </c>
    </row>
    <row r="1999" spans="1:40" x14ac:dyDescent="0.25">
      <c r="A1999" t="str">
        <f>"20190312160956086"</f>
        <v>20190312160956086</v>
      </c>
      <c r="B1999" t="str">
        <f>"1552378196077961"</f>
        <v>1552378196077961</v>
      </c>
      <c r="C1999" t="s">
        <v>40</v>
      </c>
      <c r="D1999">
        <v>5.1527459999999996</v>
      </c>
      <c r="E1999">
        <v>0.42298730000000001</v>
      </c>
      <c r="F1999" t="s">
        <v>75</v>
      </c>
      <c r="G1999">
        <v>-512.82529999999997</v>
      </c>
      <c r="H1999">
        <v>0.50940379999999996</v>
      </c>
      <c r="I1999">
        <v>270.7441</v>
      </c>
      <c r="J1999">
        <v>-397.73430000000002</v>
      </c>
      <c r="K1999">
        <v>1.1099129999999999</v>
      </c>
      <c r="L1999">
        <v>284.70800000000003</v>
      </c>
      <c r="M1999">
        <v>-0.99965559999999998</v>
      </c>
      <c r="N1999">
        <v>0</v>
      </c>
      <c r="O1999">
        <v>2.1632439999999999E-2</v>
      </c>
      <c r="P1999">
        <v>-0.99645499999999998</v>
      </c>
      <c r="Q1999">
        <v>-2.2541229999999999E-2</v>
      </c>
      <c r="R1999">
        <v>8.1053440000000004E-2</v>
      </c>
      <c r="S1999">
        <v>-3.0400700000000001</v>
      </c>
      <c r="T1999">
        <v>-1.580954E-2</v>
      </c>
      <c r="U1999">
        <v>-0.36746220000000002</v>
      </c>
      <c r="V1999">
        <v>5.9476099999999997E-2</v>
      </c>
      <c r="W1999">
        <v>-7.7081169999999996E-3</v>
      </c>
      <c r="X1999">
        <v>0.99819990000000003</v>
      </c>
      <c r="Y1999">
        <v>-0.14144770000000001</v>
      </c>
      <c r="Z1999">
        <v>-4.7858610000000001E-4</v>
      </c>
      <c r="AA1999">
        <v>0.98994559999999998</v>
      </c>
      <c r="AB1999">
        <v>37</v>
      </c>
      <c r="AC1999">
        <v>-115.090999999999</v>
      </c>
      <c r="AD1999">
        <v>-0.60050919999999997</v>
      </c>
      <c r="AE1999">
        <v>-13.963899999999899</v>
      </c>
      <c r="AF1999">
        <v>-16.4501642179724</v>
      </c>
      <c r="AG1999">
        <v>-0.60050919999999997</v>
      </c>
      <c r="AH1999">
        <v>114.75887629215001</v>
      </c>
      <c r="AI1999">
        <v>90.296780543136407</v>
      </c>
      <c r="AJ1999">
        <v>98.157519568922496</v>
      </c>
      <c r="AK1999">
        <v>115.933464547276</v>
      </c>
      <c r="AL1999">
        <v>90.441646976077095</v>
      </c>
      <c r="AM1999">
        <v>86.590156540775595</v>
      </c>
      <c r="AN1999">
        <v>0.99999993094945006</v>
      </c>
    </row>
    <row r="2000" spans="1:40" x14ac:dyDescent="0.25">
      <c r="A2000" t="str">
        <f>"20190312160956107"</f>
        <v>20190312160956107</v>
      </c>
      <c r="B2000" t="str">
        <f>"1552378196097480"</f>
        <v>1552378196097480</v>
      </c>
      <c r="C2000" t="s">
        <v>40</v>
      </c>
      <c r="D2000">
        <v>5.1718029999999997</v>
      </c>
      <c r="E2000">
        <v>0.42293550000000002</v>
      </c>
      <c r="F2000" t="s">
        <v>75</v>
      </c>
      <c r="G2000">
        <v>-512.82529999999997</v>
      </c>
      <c r="H2000">
        <v>0.45100639999999997</v>
      </c>
      <c r="I2000">
        <v>270.7697</v>
      </c>
      <c r="J2000">
        <v>-398.08659999999998</v>
      </c>
      <c r="K2000">
        <v>1.109912</v>
      </c>
      <c r="L2000">
        <v>284.71559999999999</v>
      </c>
      <c r="M2000">
        <v>-0.99965550000000003</v>
      </c>
      <c r="N2000">
        <v>0</v>
      </c>
      <c r="O2000">
        <v>2.1632470000000001E-2</v>
      </c>
      <c r="P2000">
        <v>-0.9964421</v>
      </c>
      <c r="Q2000">
        <v>-2.307534E-2</v>
      </c>
      <c r="R2000">
        <v>8.1061369999999994E-2</v>
      </c>
      <c r="S2000">
        <v>-3.0402529999999999</v>
      </c>
      <c r="T2000">
        <v>-1.7403599999999901E-2</v>
      </c>
      <c r="U2000">
        <v>-0.36819459999999998</v>
      </c>
      <c r="V2000">
        <v>5.9484330000000002E-2</v>
      </c>
      <c r="W2000">
        <v>-8.2462279999999995E-3</v>
      </c>
      <c r="X2000">
        <v>0.99819519999999995</v>
      </c>
      <c r="Y2000">
        <v>-0.1416752</v>
      </c>
      <c r="Z2000">
        <v>-5.2745069999999997E-4</v>
      </c>
      <c r="AA2000">
        <v>0.98991300000000004</v>
      </c>
      <c r="AB2000">
        <v>37</v>
      </c>
      <c r="AC2000">
        <v>-114.73869999999999</v>
      </c>
      <c r="AD2000">
        <v>-0.65890559999999998</v>
      </c>
      <c r="AE2000">
        <v>-13.9458999999999</v>
      </c>
      <c r="AF2000">
        <v>-16.424457744600101</v>
      </c>
      <c r="AG2000">
        <v>-0.65890559999999998</v>
      </c>
      <c r="AH2000">
        <v>114.40640856806201</v>
      </c>
      <c r="AI2000">
        <v>90.326633579239299</v>
      </c>
      <c r="AJ2000">
        <v>98.169698116340101</v>
      </c>
      <c r="AK2000">
        <v>115.581241082782</v>
      </c>
      <c r="AL2000">
        <v>90.472479406013306</v>
      </c>
      <c r="AM2000">
        <v>86.589669797976001</v>
      </c>
      <c r="AN2000">
        <v>1.0000000215474001</v>
      </c>
    </row>
    <row r="2001" spans="1:40" x14ac:dyDescent="0.25">
      <c r="A2001" t="str">
        <f>"20190312160956130"</f>
        <v>20190312160956130</v>
      </c>
      <c r="B2001" t="str">
        <f>"1552378196117975"</f>
        <v>1552378196117975</v>
      </c>
      <c r="C2001" t="s">
        <v>40</v>
      </c>
      <c r="D2001">
        <v>5.1881089999999999</v>
      </c>
      <c r="E2001">
        <v>0.42275239999999997</v>
      </c>
      <c r="F2001" t="s">
        <v>75</v>
      </c>
      <c r="G2001">
        <v>-512.82529999999997</v>
      </c>
      <c r="H2001">
        <v>0.37260710000000002</v>
      </c>
      <c r="I2001">
        <v>270.80739999999997</v>
      </c>
      <c r="J2001">
        <v>-398.46170000000001</v>
      </c>
      <c r="K2001">
        <v>1.10992</v>
      </c>
      <c r="L2001">
        <v>284.72370000000001</v>
      </c>
      <c r="M2001">
        <v>-0.99965570000000004</v>
      </c>
      <c r="N2001">
        <v>0</v>
      </c>
      <c r="O2001">
        <v>2.1632200000000001E-2</v>
      </c>
      <c r="P2001">
        <v>-0.99651650000000003</v>
      </c>
      <c r="Q2001">
        <v>-2.2649539999999999E-2</v>
      </c>
      <c r="R2001">
        <v>8.0262680000000003E-2</v>
      </c>
      <c r="S2001">
        <v>-3.0402830000000001</v>
      </c>
      <c r="T2001">
        <v>-1.9534590000000001E-2</v>
      </c>
      <c r="U2001">
        <v>-0.36853029999999998</v>
      </c>
      <c r="V2001">
        <v>5.8684479999999997E-2</v>
      </c>
      <c r="W2001">
        <v>-7.8237410000000004E-3</v>
      </c>
      <c r="X2001">
        <v>0.99824590000000002</v>
      </c>
      <c r="Y2001">
        <v>-0.14178080000000001</v>
      </c>
      <c r="Z2001">
        <v>-5.9235970000000001E-4</v>
      </c>
      <c r="AA2001">
        <v>0.9898979</v>
      </c>
      <c r="AB2001">
        <v>37</v>
      </c>
      <c r="AC2001">
        <v>-114.363599999999</v>
      </c>
      <c r="AD2001">
        <v>-0.73731289999999905</v>
      </c>
      <c r="AE2001">
        <v>-13.9163</v>
      </c>
      <c r="AF2001">
        <v>-16.386580750240501</v>
      </c>
      <c r="AG2001">
        <v>-0.73731289999999905</v>
      </c>
      <c r="AH2001">
        <v>114.031088691356</v>
      </c>
      <c r="AI2001">
        <v>90.366696481062704</v>
      </c>
      <c r="AJ2001">
        <v>98.177577311013394</v>
      </c>
      <c r="AK2001">
        <v>115.20482996442701</v>
      </c>
      <c r="AL2001">
        <v>90.448271922438394</v>
      </c>
      <c r="AM2001">
        <v>86.635590884282607</v>
      </c>
      <c r="AN2001">
        <v>0.99999997799145701</v>
      </c>
    </row>
    <row r="2002" spans="1:40" x14ac:dyDescent="0.25">
      <c r="A2002" t="str">
        <f>"20190312160956153"</f>
        <v>20190312160956153</v>
      </c>
      <c r="B2002" t="str">
        <f>"1552378196148232"</f>
        <v>1552378196148232</v>
      </c>
      <c r="C2002" t="s">
        <v>40</v>
      </c>
      <c r="D2002">
        <v>5.1478549999999998</v>
      </c>
      <c r="E2002">
        <v>0.42266900000000002</v>
      </c>
      <c r="F2002" t="s">
        <v>75</v>
      </c>
      <c r="G2002">
        <v>-512.82529999999997</v>
      </c>
      <c r="H2002">
        <v>0.32332309999999997</v>
      </c>
      <c r="I2002">
        <v>270.70940000000002</v>
      </c>
      <c r="J2002">
        <v>-398.83199999999999</v>
      </c>
      <c r="K2002">
        <v>1.109917</v>
      </c>
      <c r="L2002">
        <v>284.73169999999999</v>
      </c>
      <c r="M2002">
        <v>-0.99965579999999998</v>
      </c>
      <c r="N2002">
        <v>0</v>
      </c>
      <c r="O2002">
        <v>2.163205E-2</v>
      </c>
      <c r="P2002">
        <v>-0.99655320000000003</v>
      </c>
      <c r="Q2002">
        <v>-2.2407489999999999E-2</v>
      </c>
      <c r="R2002">
        <v>7.9873189999999997E-2</v>
      </c>
      <c r="S2002">
        <v>-3.040009</v>
      </c>
      <c r="T2002">
        <v>-2.0907160000000001E-2</v>
      </c>
      <c r="U2002">
        <v>-0.37252809999999997</v>
      </c>
      <c r="V2002">
        <v>5.82943E-2</v>
      </c>
      <c r="W2002">
        <v>-7.5852200000000002E-3</v>
      </c>
      <c r="X2002">
        <v>0.99827060000000001</v>
      </c>
      <c r="Y2002">
        <v>-0.14307349999999999</v>
      </c>
      <c r="Z2002">
        <v>-6.384149E-4</v>
      </c>
      <c r="AA2002">
        <v>0.98971189999999998</v>
      </c>
      <c r="AB2002">
        <v>37</v>
      </c>
      <c r="AC2002">
        <v>-113.993299999999</v>
      </c>
      <c r="AD2002">
        <v>-0.78659389999999996</v>
      </c>
      <c r="AE2002">
        <v>-14.0222999999999</v>
      </c>
      <c r="AF2002">
        <v>-16.484425326608601</v>
      </c>
      <c r="AG2002">
        <v>-0.78659389999999996</v>
      </c>
      <c r="AH2002">
        <v>113.657924013083</v>
      </c>
      <c r="AI2002">
        <v>90.392415653784397</v>
      </c>
      <c r="AJ2002">
        <v>98.252375132440093</v>
      </c>
      <c r="AK2002">
        <v>114.849809313188</v>
      </c>
      <c r="AL2002">
        <v>90.434605270763498</v>
      </c>
      <c r="AM2002">
        <v>86.657991719684702</v>
      </c>
      <c r="AN2002">
        <v>0.99999997589964895</v>
      </c>
    </row>
    <row r="2003" spans="1:40" x14ac:dyDescent="0.25">
      <c r="A2003" t="str">
        <f>"20190312160956175"</f>
        <v>20190312160956175</v>
      </c>
      <c r="B2003" t="str">
        <f>"1552378196167755"</f>
        <v>1552378196167755</v>
      </c>
      <c r="C2003" t="s">
        <v>40</v>
      </c>
      <c r="D2003">
        <v>5.1272399999999996</v>
      </c>
      <c r="E2003">
        <v>0.42263489999999998</v>
      </c>
      <c r="F2003" t="s">
        <v>75</v>
      </c>
      <c r="G2003">
        <v>-512.82529999999997</v>
      </c>
      <c r="H2003">
        <v>0.3479913</v>
      </c>
      <c r="I2003">
        <v>270.6961</v>
      </c>
      <c r="J2003">
        <v>-399.2097</v>
      </c>
      <c r="K2003">
        <v>1.1099190000000001</v>
      </c>
      <c r="L2003">
        <v>284.73989999999998</v>
      </c>
      <c r="M2003">
        <v>-0.99965579999999998</v>
      </c>
      <c r="N2003">
        <v>0</v>
      </c>
      <c r="O2003">
        <v>2.1631899999999999E-2</v>
      </c>
      <c r="P2003">
        <v>-0.99656579999999995</v>
      </c>
      <c r="Q2003">
        <v>-2.2537140000000001E-2</v>
      </c>
      <c r="R2003">
        <v>7.9681379999999996E-2</v>
      </c>
      <c r="S2003">
        <v>-3.0399479999999999</v>
      </c>
      <c r="T2003">
        <v>-2.031672E-2</v>
      </c>
      <c r="U2003">
        <v>-0.37429810000000002</v>
      </c>
      <c r="V2003">
        <v>5.8102479999999998E-2</v>
      </c>
      <c r="W2003">
        <v>-7.7186009999999899E-3</v>
      </c>
      <c r="X2003">
        <v>0.99828079999999997</v>
      </c>
      <c r="Y2003">
        <v>-0.14364360000000001</v>
      </c>
      <c r="Z2003">
        <v>-6.2227300000000001E-4</v>
      </c>
      <c r="AA2003">
        <v>0.98962930000000005</v>
      </c>
      <c r="AB2003">
        <v>37</v>
      </c>
      <c r="AC2003">
        <v>-113.61559999999901</v>
      </c>
      <c r="AD2003">
        <v>-0.76192769999999999</v>
      </c>
      <c r="AE2003">
        <v>-14.0437999999999</v>
      </c>
      <c r="AF2003">
        <v>-16.497774393889198</v>
      </c>
      <c r="AG2003">
        <v>-0.76192769999999999</v>
      </c>
      <c r="AH2003">
        <v>113.28016300901901</v>
      </c>
      <c r="AI2003">
        <v>90.381345444988398</v>
      </c>
      <c r="AJ2003">
        <v>98.286125533770601</v>
      </c>
      <c r="AK2003">
        <v>114.477737683453</v>
      </c>
      <c r="AL2003">
        <v>90.442247645629294</v>
      </c>
      <c r="AM2003">
        <v>86.668997902002403</v>
      </c>
      <c r="AN2003">
        <v>1.00000001531609</v>
      </c>
    </row>
    <row r="2004" spans="1:40" x14ac:dyDescent="0.25">
      <c r="A2004" t="str">
        <f>"20190312160956197"</f>
        <v>20190312160956197</v>
      </c>
      <c r="B2004" t="str">
        <f>"1552378196187284"</f>
        <v>1552378196187284</v>
      </c>
      <c r="C2004" t="s">
        <v>40</v>
      </c>
      <c r="D2004">
        <v>5.0894820000000003</v>
      </c>
      <c r="E2004">
        <v>0.42252149999999999</v>
      </c>
      <c r="F2004" t="s">
        <v>75</v>
      </c>
      <c r="G2004">
        <v>-512.82529999999997</v>
      </c>
      <c r="H2004">
        <v>0.37335770000000001</v>
      </c>
      <c r="I2004">
        <v>270.721</v>
      </c>
      <c r="J2004">
        <v>-399.56560000000002</v>
      </c>
      <c r="K2004">
        <v>1.109917</v>
      </c>
      <c r="L2004">
        <v>284.74759999999998</v>
      </c>
      <c r="M2004">
        <v>-0.99965590000000004</v>
      </c>
      <c r="N2004">
        <v>0</v>
      </c>
      <c r="O2004">
        <v>2.1631750000000002E-2</v>
      </c>
      <c r="P2004">
        <v>-0.99653139999999996</v>
      </c>
      <c r="Q2004">
        <v>-2.3175379999999999E-2</v>
      </c>
      <c r="R2004">
        <v>7.9926129999999998E-2</v>
      </c>
      <c r="S2004">
        <v>-3.039917</v>
      </c>
      <c r="T2004">
        <v>-1.970541E-2</v>
      </c>
      <c r="U2004">
        <v>-0.37509160000000002</v>
      </c>
      <c r="V2004">
        <v>5.8347940000000001E-2</v>
      </c>
      <c r="W2004">
        <v>-8.3611060000000001E-3</v>
      </c>
      <c r="X2004">
        <v>0.99826130000000002</v>
      </c>
      <c r="Y2004">
        <v>-0.14389929999999901</v>
      </c>
      <c r="Z2004">
        <v>-6.0437119999999999E-4</v>
      </c>
      <c r="AA2004">
        <v>0.98959209999999997</v>
      </c>
      <c r="AB2004">
        <v>37</v>
      </c>
      <c r="AC2004">
        <v>-113.259699999999</v>
      </c>
      <c r="AD2004">
        <v>-0.73655930000000003</v>
      </c>
      <c r="AE2004">
        <v>-14.026599999999901</v>
      </c>
      <c r="AF2004">
        <v>-16.472906226094398</v>
      </c>
      <c r="AG2004">
        <v>-0.73655930000000003</v>
      </c>
      <c r="AH2004">
        <v>112.925035048485</v>
      </c>
      <c r="AI2004">
        <v>90.369795645723201</v>
      </c>
      <c r="AJ2004">
        <v>98.299466040690305</v>
      </c>
      <c r="AK2004">
        <v>114.122577520128</v>
      </c>
      <c r="AL2004">
        <v>90.479061664507199</v>
      </c>
      <c r="AM2004">
        <v>86.654892429405905</v>
      </c>
      <c r="AN2004">
        <v>1.0000000066367301</v>
      </c>
    </row>
    <row r="2005" spans="1:40" x14ac:dyDescent="0.25">
      <c r="A2005" t="str">
        <f>"20190312160956219"</f>
        <v>20190312160956219</v>
      </c>
      <c r="B2005" t="str">
        <f>"1552378196207767"</f>
        <v>1552378196207767</v>
      </c>
      <c r="C2005" t="s">
        <v>40</v>
      </c>
      <c r="D2005">
        <v>5.060988</v>
      </c>
      <c r="E2005">
        <v>0.4223365</v>
      </c>
      <c r="F2005" t="s">
        <v>75</v>
      </c>
      <c r="G2005">
        <v>-512.82529999999997</v>
      </c>
      <c r="H2005">
        <v>0.3761256</v>
      </c>
      <c r="I2005">
        <v>270.76990000000001</v>
      </c>
      <c r="J2005">
        <v>-399.93360000000001</v>
      </c>
      <c r="K2005">
        <v>1.109926</v>
      </c>
      <c r="L2005">
        <v>284.75560000000002</v>
      </c>
      <c r="M2005">
        <v>-0.99965599999999999</v>
      </c>
      <c r="N2005">
        <v>0</v>
      </c>
      <c r="O2005">
        <v>2.1631609999999999E-2</v>
      </c>
      <c r="P2005">
        <v>-0.99651829999999997</v>
      </c>
      <c r="Q2005">
        <v>-2.266197E-2</v>
      </c>
      <c r="R2005">
        <v>8.0239229999999995E-2</v>
      </c>
      <c r="S2005">
        <v>-3.0400700000000001</v>
      </c>
      <c r="T2005">
        <v>-1.9693970000000002E-2</v>
      </c>
      <c r="U2005">
        <v>-0.37518309999999999</v>
      </c>
      <c r="V2005">
        <v>5.8661579999999998E-2</v>
      </c>
      <c r="W2005">
        <v>-7.8520320000000001E-3</v>
      </c>
      <c r="X2005">
        <v>0.998247</v>
      </c>
      <c r="Y2005">
        <v>-0.14392240000000001</v>
      </c>
      <c r="Z2005">
        <v>-6.0406269999999996E-4</v>
      </c>
      <c r="AA2005">
        <v>0.98958880000000005</v>
      </c>
      <c r="AB2005">
        <v>37</v>
      </c>
      <c r="AC2005">
        <v>-112.89169999999901</v>
      </c>
      <c r="AD2005">
        <v>-0.73380040000000002</v>
      </c>
      <c r="AE2005">
        <v>-13.9857</v>
      </c>
      <c r="AF2005">
        <v>-16.4240411614647</v>
      </c>
      <c r="AG2005">
        <v>-0.73380040000000002</v>
      </c>
      <c r="AH2005">
        <v>112.558028351903</v>
      </c>
      <c r="AI2005">
        <v>90.369609570193802</v>
      </c>
      <c r="AJ2005">
        <v>98.301794642562697</v>
      </c>
      <c r="AK2005">
        <v>113.75235091007301</v>
      </c>
      <c r="AL2005">
        <v>90.449892937871695</v>
      </c>
      <c r="AM2005">
        <v>86.636904435520094</v>
      </c>
      <c r="AN2005">
        <v>0.99999995419181098</v>
      </c>
    </row>
    <row r="2006" spans="1:40" x14ac:dyDescent="0.25">
      <c r="A2006" t="str">
        <f>"20190312160956242"</f>
        <v>20190312160956242</v>
      </c>
      <c r="B2006" t="str">
        <f>"1552378196238025"</f>
        <v>1552378196238025</v>
      </c>
      <c r="C2006" t="s">
        <v>40</v>
      </c>
      <c r="D2006">
        <v>5.0276230000000002</v>
      </c>
      <c r="E2006">
        <v>0.42203580000000002</v>
      </c>
      <c r="F2006" t="s">
        <v>75</v>
      </c>
      <c r="G2006">
        <v>-512.82529999999997</v>
      </c>
      <c r="H2006">
        <v>0.50375059999999905</v>
      </c>
      <c r="I2006">
        <v>270.80650000000003</v>
      </c>
      <c r="J2006">
        <v>-400.31079999999997</v>
      </c>
      <c r="K2006">
        <v>1.1099300000000001</v>
      </c>
      <c r="L2006">
        <v>284.76369999999997</v>
      </c>
      <c r="M2006">
        <v>-0.99965599999999999</v>
      </c>
      <c r="N2006">
        <v>0</v>
      </c>
      <c r="O2006">
        <v>2.1631640000000001E-2</v>
      </c>
      <c r="P2006">
        <v>-0.99653910000000001</v>
      </c>
      <c r="Q2006">
        <v>-2.2219300000000001E-2</v>
      </c>
      <c r="R2006">
        <v>8.0101399999999906E-2</v>
      </c>
      <c r="S2006">
        <v>-3.040375</v>
      </c>
      <c r="T2006">
        <v>-1.6323210000000001E-2</v>
      </c>
      <c r="U2006">
        <v>-0.37567139999999999</v>
      </c>
      <c r="V2006">
        <v>5.8523199999999997E-2</v>
      </c>
      <c r="W2006">
        <v>-7.4134179999999997E-3</v>
      </c>
      <c r="X2006">
        <v>0.99825850000000005</v>
      </c>
      <c r="Y2006">
        <v>-0.144068</v>
      </c>
      <c r="Z2006">
        <v>-5.0100959999999995E-4</v>
      </c>
      <c r="AA2006">
        <v>0.98956759999999999</v>
      </c>
      <c r="AB2006">
        <v>37</v>
      </c>
      <c r="AC2006">
        <v>-112.5145</v>
      </c>
      <c r="AD2006">
        <v>-0.60617939999999904</v>
      </c>
      <c r="AE2006">
        <v>-13.957199999999901</v>
      </c>
      <c r="AF2006">
        <v>-16.387605834746999</v>
      </c>
      <c r="AG2006">
        <v>-0.60617939999999904</v>
      </c>
      <c r="AH2006">
        <v>112.183009594483</v>
      </c>
      <c r="AI2006">
        <v>90.306342740814401</v>
      </c>
      <c r="AJ2006">
        <v>98.310939020532999</v>
      </c>
      <c r="AK2006">
        <v>113.37525620758601</v>
      </c>
      <c r="AL2006">
        <v>90.424761463187494</v>
      </c>
      <c r="AM2006">
        <v>86.644858243194093</v>
      </c>
      <c r="AN2006">
        <v>0.99999997826346598</v>
      </c>
    </row>
    <row r="2007" spans="1:40" x14ac:dyDescent="0.25">
      <c r="A2007" t="str">
        <f>"20190312160956267"</f>
        <v>20190312160956267</v>
      </c>
      <c r="B2007" t="str">
        <f>"1552378196257545"</f>
        <v>1552378196257545</v>
      </c>
      <c r="C2007" t="s">
        <v>40</v>
      </c>
      <c r="D2007">
        <v>5.0009230000000002</v>
      </c>
      <c r="E2007">
        <v>0.42189140000000003</v>
      </c>
      <c r="F2007" t="s">
        <v>75</v>
      </c>
      <c r="G2007">
        <v>-512.82539999999995</v>
      </c>
      <c r="H2007">
        <v>0.60351599999999905</v>
      </c>
      <c r="I2007">
        <v>270.75889999999998</v>
      </c>
      <c r="J2007">
        <v>-400.71530000000001</v>
      </c>
      <c r="K2007">
        <v>1.1099300000000001</v>
      </c>
      <c r="L2007">
        <v>284.77249999999998</v>
      </c>
      <c r="M2007">
        <v>-0.99965599999999999</v>
      </c>
      <c r="N2007">
        <v>0</v>
      </c>
      <c r="O2007">
        <v>2.1631560000000001E-2</v>
      </c>
      <c r="P2007">
        <v>-0.99653230000000004</v>
      </c>
      <c r="Q2007">
        <v>-2.2500590000000001E-2</v>
      </c>
      <c r="R2007">
        <v>8.0107520000000002E-2</v>
      </c>
      <c r="S2007">
        <v>-3.0404659999999999</v>
      </c>
      <c r="T2007">
        <v>-1.36826E-2</v>
      </c>
      <c r="U2007">
        <v>-0.37844850000000002</v>
      </c>
      <c r="V2007">
        <v>5.8529619999999997E-2</v>
      </c>
      <c r="W2007">
        <v>-7.6993419999999996E-3</v>
      </c>
      <c r="X2007">
        <v>0.99825600000000003</v>
      </c>
      <c r="Y2007">
        <v>-0.1449551</v>
      </c>
      <c r="Z2007">
        <v>-4.2191430000000001E-4</v>
      </c>
      <c r="AA2007">
        <v>0.98943809999999999</v>
      </c>
      <c r="AB2007">
        <v>37</v>
      </c>
      <c r="AC2007">
        <v>-112.11009999999899</v>
      </c>
      <c r="AD2007">
        <v>-0.50641399999999903</v>
      </c>
      <c r="AE2007">
        <v>-14.013599999999901</v>
      </c>
      <c r="AF2007">
        <v>-16.435373158724499</v>
      </c>
      <c r="AG2007">
        <v>-0.50641399999999903</v>
      </c>
      <c r="AH2007">
        <v>111.778446586455</v>
      </c>
      <c r="AI2007">
        <v>90.256816426473904</v>
      </c>
      <c r="AJ2007">
        <v>98.364564709759193</v>
      </c>
      <c r="AK2007">
        <v>112.98141027304899</v>
      </c>
      <c r="AL2007">
        <v>90.441144151853194</v>
      </c>
      <c r="AM2007">
        <v>86.644482640594902</v>
      </c>
      <c r="AN2007">
        <v>1.00000001891028</v>
      </c>
    </row>
    <row r="2008" spans="1:40" x14ac:dyDescent="0.25">
      <c r="A2008" t="str">
        <f>"20190312160956286"</f>
        <v>20190312160956286</v>
      </c>
      <c r="B2008" t="str">
        <f>"1552378196278040"</f>
        <v>1552378196278040</v>
      </c>
      <c r="C2008" t="s">
        <v>40</v>
      </c>
      <c r="D2008">
        <v>4.9496060000000002</v>
      </c>
      <c r="E2008">
        <v>0.42181439999999998</v>
      </c>
      <c r="F2008" t="s">
        <v>75</v>
      </c>
      <c r="G2008">
        <v>-512.82539999999995</v>
      </c>
      <c r="H2008">
        <v>0.62798449999999995</v>
      </c>
      <c r="I2008">
        <v>270.77390000000003</v>
      </c>
      <c r="J2008">
        <v>-401.04950000000002</v>
      </c>
      <c r="K2008">
        <v>1.1099300000000001</v>
      </c>
      <c r="L2008">
        <v>284.77969999999999</v>
      </c>
      <c r="M2008">
        <v>-0.99965599999999999</v>
      </c>
      <c r="N2008">
        <v>0</v>
      </c>
      <c r="O2008">
        <v>2.163141E-2</v>
      </c>
      <c r="P2008">
        <v>-0.99653519999999896</v>
      </c>
      <c r="Q2008">
        <v>-2.2428150000000001E-2</v>
      </c>
      <c r="R2008">
        <v>8.0092389999999999E-2</v>
      </c>
      <c r="S2008">
        <v>-3.0406490000000002</v>
      </c>
      <c r="T2008">
        <v>-1.306915E-2</v>
      </c>
      <c r="U2008">
        <v>-0.37966919999999998</v>
      </c>
      <c r="V2008">
        <v>5.8514669999999998E-2</v>
      </c>
      <c r="W2008">
        <v>-7.6306309999999997E-3</v>
      </c>
      <c r="X2008">
        <v>0.99825739999999996</v>
      </c>
      <c r="Y2008">
        <v>-0.14533889999999999</v>
      </c>
      <c r="Z2008">
        <v>-4.037852E-4</v>
      </c>
      <c r="AA2008">
        <v>0.98938179999999998</v>
      </c>
      <c r="AB2008">
        <v>37</v>
      </c>
      <c r="AC2008">
        <v>-111.775899999999</v>
      </c>
      <c r="AD2008">
        <v>-0.48194549999999903</v>
      </c>
      <c r="AE2008">
        <v>-14.005799999999899</v>
      </c>
      <c r="AF2008">
        <v>-16.420357850321199</v>
      </c>
      <c r="AG2008">
        <v>-0.48194549999999903</v>
      </c>
      <c r="AH2008">
        <v>111.44470185855</v>
      </c>
      <c r="AI2008">
        <v>90.245129063624503</v>
      </c>
      <c r="AJ2008">
        <v>98.381702725407393</v>
      </c>
      <c r="AK2008">
        <v>112.648932510427</v>
      </c>
      <c r="AL2008">
        <v>90.437207187722393</v>
      </c>
      <c r="AM2008">
        <v>86.645342464025902</v>
      </c>
      <c r="AN2008">
        <v>1.0000000148947099</v>
      </c>
    </row>
    <row r="2009" spans="1:40" x14ac:dyDescent="0.25">
      <c r="A2009" t="str">
        <f>"20190312160956308"</f>
        <v>20190312160956308</v>
      </c>
      <c r="B2009" t="str">
        <f>"1552378196297560"</f>
        <v>1552378196297560</v>
      </c>
      <c r="C2009" t="s">
        <v>40</v>
      </c>
      <c r="D2009">
        <v>4.9371879999999999</v>
      </c>
      <c r="E2009">
        <v>0.4216995</v>
      </c>
      <c r="F2009" t="s">
        <v>75</v>
      </c>
      <c r="G2009">
        <v>-512.82539999999995</v>
      </c>
      <c r="H2009">
        <v>0.68579789999999996</v>
      </c>
      <c r="I2009">
        <v>270.8032</v>
      </c>
      <c r="J2009">
        <v>-401.3974</v>
      </c>
      <c r="K2009">
        <v>1.109934</v>
      </c>
      <c r="L2009">
        <v>284.78730000000002</v>
      </c>
      <c r="M2009">
        <v>-0.99965619999999999</v>
      </c>
      <c r="N2009">
        <v>0</v>
      </c>
      <c r="O2009">
        <v>2.1631259999999999E-2</v>
      </c>
      <c r="P2009">
        <v>-0.99654509999999996</v>
      </c>
      <c r="Q2009">
        <v>-2.2244650000000001E-2</v>
      </c>
      <c r="R2009">
        <v>8.0021389999999998E-2</v>
      </c>
      <c r="S2009">
        <v>-3.0407709999999999</v>
      </c>
      <c r="T2009">
        <v>-1.1535999999999999E-2</v>
      </c>
      <c r="U2009">
        <v>-0.38021850000000001</v>
      </c>
      <c r="V2009">
        <v>5.8443630000000003E-2</v>
      </c>
      <c r="W2009">
        <v>-7.4509049999999999E-3</v>
      </c>
      <c r="X2009">
        <v>0.99826289999999995</v>
      </c>
      <c r="Y2009">
        <v>-0.14551020000000001</v>
      </c>
      <c r="Z2009">
        <v>-3.5672230000000001E-4</v>
      </c>
      <c r="AA2009">
        <v>0.98935669999999998</v>
      </c>
      <c r="AB2009">
        <v>37</v>
      </c>
      <c r="AC2009">
        <v>-111.427999999999</v>
      </c>
      <c r="AD2009">
        <v>-0.42413609999999902</v>
      </c>
      <c r="AE2009">
        <v>-13.9841</v>
      </c>
      <c r="AF2009">
        <v>-16.391186139286301</v>
      </c>
      <c r="AG2009">
        <v>-0.42413609999999902</v>
      </c>
      <c r="AH2009">
        <v>111.097810413132</v>
      </c>
      <c r="AI2009">
        <v>90.216393519855501</v>
      </c>
      <c r="AJ2009">
        <v>98.392776751605695</v>
      </c>
      <c r="AK2009">
        <v>112.30126603505499</v>
      </c>
      <c r="AL2009">
        <v>90.426909362001993</v>
      </c>
      <c r="AM2009">
        <v>86.649424334952599</v>
      </c>
      <c r="AN2009">
        <v>0.99999999569465203</v>
      </c>
    </row>
    <row r="2010" spans="1:40" x14ac:dyDescent="0.25">
      <c r="A2010" t="str">
        <f>"20190312160956330"</f>
        <v>20190312160956330</v>
      </c>
      <c r="B2010" t="str">
        <f>"1552378196318055"</f>
        <v>1552378196318055</v>
      </c>
      <c r="C2010" t="s">
        <v>40</v>
      </c>
      <c r="D2010">
        <v>4.8965509999999997</v>
      </c>
      <c r="E2010">
        <v>0.42153620000000003</v>
      </c>
      <c r="F2010" t="s">
        <v>75</v>
      </c>
      <c r="G2010">
        <v>-512.82539999999995</v>
      </c>
      <c r="H2010">
        <v>0.76733669999999998</v>
      </c>
      <c r="I2010">
        <v>270.81209999999999</v>
      </c>
      <c r="J2010">
        <v>-401.76600000000002</v>
      </c>
      <c r="K2010">
        <v>1.1099399999999999</v>
      </c>
      <c r="L2010">
        <v>284.79520000000002</v>
      </c>
      <c r="M2010">
        <v>-0.99965619999999999</v>
      </c>
      <c r="N2010">
        <v>0</v>
      </c>
      <c r="O2010">
        <v>2.1631290000000001E-2</v>
      </c>
      <c r="P2010">
        <v>-0.99655559999999999</v>
      </c>
      <c r="Q2010">
        <v>-2.1659810000000002E-2</v>
      </c>
      <c r="R2010">
        <v>8.0047450000000006E-2</v>
      </c>
      <c r="S2010">
        <v>-3.0408330000000001</v>
      </c>
      <c r="T2010">
        <v>-9.3472E-3</v>
      </c>
      <c r="U2010">
        <v>-0.3813782</v>
      </c>
      <c r="V2010">
        <v>5.8469149999999998E-2</v>
      </c>
      <c r="W2010">
        <v>-6.8699690000000001E-3</v>
      </c>
      <c r="X2010">
        <v>0.99826559999999998</v>
      </c>
      <c r="Y2010">
        <v>-0.1458797</v>
      </c>
      <c r="Z2010">
        <v>-2.8959249999999998E-4</v>
      </c>
      <c r="AA2010">
        <v>0.98930229999999997</v>
      </c>
      <c r="AB2010">
        <v>37</v>
      </c>
      <c r="AC2010">
        <v>-111.059399999999</v>
      </c>
      <c r="AD2010">
        <v>-0.342603299999999</v>
      </c>
      <c r="AE2010">
        <v>-13.9831</v>
      </c>
      <c r="AF2010">
        <v>-16.382295869811699</v>
      </c>
      <c r="AG2010">
        <v>-0.342603299999999</v>
      </c>
      <c r="AH2010">
        <v>110.729865191195</v>
      </c>
      <c r="AI2010">
        <v>90.175366344127397</v>
      </c>
      <c r="AJ2010">
        <v>98.415764438695803</v>
      </c>
      <c r="AK2010">
        <v>111.935696005552</v>
      </c>
      <c r="AL2010">
        <v>90.393623316322305</v>
      </c>
      <c r="AM2010">
        <v>86.647973653300298</v>
      </c>
      <c r="AN2010">
        <v>1.00000002305957</v>
      </c>
    </row>
    <row r="2011" spans="1:40" x14ac:dyDescent="0.25">
      <c r="A2011" t="str">
        <f>"20190312160956354"</f>
        <v>20190312160956354</v>
      </c>
      <c r="B2011" t="str">
        <f>"1552378196347339"</f>
        <v>1552378196347339</v>
      </c>
      <c r="C2011" t="s">
        <v>40</v>
      </c>
      <c r="D2011">
        <v>4.8642649999999996</v>
      </c>
      <c r="E2011">
        <v>0.4213365</v>
      </c>
      <c r="F2011" t="s">
        <v>75</v>
      </c>
      <c r="G2011">
        <v>-512.82539999999995</v>
      </c>
      <c r="H2011">
        <v>0.89395789999999997</v>
      </c>
      <c r="I2011">
        <v>270.82670000000002</v>
      </c>
      <c r="J2011">
        <v>-402.14760000000001</v>
      </c>
      <c r="K2011">
        <v>1.1099410000000001</v>
      </c>
      <c r="L2011">
        <v>284.80349999999999</v>
      </c>
      <c r="M2011">
        <v>-0.99965630000000005</v>
      </c>
      <c r="N2011">
        <v>0</v>
      </c>
      <c r="O2011">
        <v>2.163114E-2</v>
      </c>
      <c r="P2011">
        <v>-0.99655919999999998</v>
      </c>
      <c r="Q2011">
        <v>-2.122334E-2</v>
      </c>
      <c r="R2011">
        <v>8.0120999999999998E-2</v>
      </c>
      <c r="S2011">
        <v>-3.0409549999999999</v>
      </c>
      <c r="T2011">
        <v>-5.9117079999999999E-3</v>
      </c>
      <c r="U2011">
        <v>-0.38247680000000001</v>
      </c>
      <c r="V2011">
        <v>5.854297E-2</v>
      </c>
      <c r="W2011">
        <v>-6.4377559999999898E-3</v>
      </c>
      <c r="X2011">
        <v>0.99826409999999999</v>
      </c>
      <c r="Y2011">
        <v>-0.14622689999999999</v>
      </c>
      <c r="Z2011">
        <v>-1.8347980000000001E-4</v>
      </c>
      <c r="AA2011">
        <v>0.98925110000000005</v>
      </c>
      <c r="AB2011">
        <v>37</v>
      </c>
      <c r="AC2011">
        <v>-110.677799999999</v>
      </c>
      <c r="AD2011">
        <v>-0.21598310000000001</v>
      </c>
      <c r="AE2011">
        <v>-13.9767999999999</v>
      </c>
      <c r="AF2011">
        <v>-16.3678172627266</v>
      </c>
      <c r="AG2011">
        <v>-0.21598310000000001</v>
      </c>
      <c r="AH2011">
        <v>110.349116952785</v>
      </c>
      <c r="AI2011">
        <v>90.110929568226098</v>
      </c>
      <c r="AJ2011">
        <v>98.437028547537807</v>
      </c>
      <c r="AK2011">
        <v>111.55662106260201</v>
      </c>
      <c r="AL2011">
        <v>90.368858807786495</v>
      </c>
      <c r="AM2011">
        <v>86.643746202175393</v>
      </c>
      <c r="AN2011">
        <v>0.99999996869377195</v>
      </c>
    </row>
    <row r="2012" spans="1:40" x14ac:dyDescent="0.25">
      <c r="A2012" t="str">
        <f>"20190312160956375"</f>
        <v>20190312160956375</v>
      </c>
      <c r="B2012" t="str">
        <f>"1552378196367835"</f>
        <v>1552378196367835</v>
      </c>
      <c r="C2012" t="s">
        <v>40</v>
      </c>
      <c r="D2012">
        <v>4.8645339999999999</v>
      </c>
      <c r="E2012">
        <v>0.42114069999999998</v>
      </c>
      <c r="F2012" t="s">
        <v>75</v>
      </c>
      <c r="G2012">
        <v>-512.82550000000003</v>
      </c>
      <c r="H2012">
        <v>1.031463</v>
      </c>
      <c r="I2012">
        <v>270.83390000000003</v>
      </c>
      <c r="J2012">
        <v>-402.4984</v>
      </c>
      <c r="K2012">
        <v>1.109944</v>
      </c>
      <c r="L2012">
        <v>284.81110000000001</v>
      </c>
      <c r="M2012">
        <v>-0.99965630000000005</v>
      </c>
      <c r="N2012">
        <v>0</v>
      </c>
      <c r="O2012">
        <v>2.1630989999999999E-2</v>
      </c>
      <c r="P2012">
        <v>-0.99652390000000002</v>
      </c>
      <c r="Q2012">
        <v>-2.1291649999999999E-2</v>
      </c>
      <c r="R2012">
        <v>8.0539529999999998E-2</v>
      </c>
      <c r="S2012">
        <v>-3.0411679999999999</v>
      </c>
      <c r="T2012">
        <v>-2.1542309999999999E-3</v>
      </c>
      <c r="U2012">
        <v>-0.38385010000000003</v>
      </c>
      <c r="V2012">
        <v>5.8962189999999998E-2</v>
      </c>
      <c r="W2012">
        <v>-6.5104539999999997E-3</v>
      </c>
      <c r="X2012">
        <v>0.99823899999999999</v>
      </c>
      <c r="Y2012">
        <v>-0.14665819999999999</v>
      </c>
      <c r="Z2012" s="1">
        <v>-6.7005759999999999E-5</v>
      </c>
      <c r="AA2012">
        <v>0.98918720000000004</v>
      </c>
      <c r="AB2012">
        <v>37</v>
      </c>
      <c r="AC2012">
        <v>-110.3271</v>
      </c>
      <c r="AD2012">
        <v>-7.8480999999999995E-2</v>
      </c>
      <c r="AE2012">
        <v>-13.9771999999999</v>
      </c>
      <c r="AF2012">
        <v>-16.360667003614299</v>
      </c>
      <c r="AG2012">
        <v>-7.8480999999999995E-2</v>
      </c>
      <c r="AH2012">
        <v>109.998851680012</v>
      </c>
      <c r="AI2012">
        <v>90.040434078949303</v>
      </c>
      <c r="AJ2012">
        <v>98.459862006586505</v>
      </c>
      <c r="AK2012">
        <v>111.20892479918901</v>
      </c>
      <c r="AL2012">
        <v>90.373024167080899</v>
      </c>
      <c r="AM2012">
        <v>86.619683159200505</v>
      </c>
      <c r="AN2012">
        <v>1.0000000134909399</v>
      </c>
    </row>
    <row r="2013" spans="1:40" x14ac:dyDescent="0.25">
      <c r="A2013" t="str">
        <f>"20190312160956398"</f>
        <v>20190312160956398</v>
      </c>
      <c r="B2013" t="str">
        <f>"1552378196387352"</f>
        <v>1552378196387352</v>
      </c>
      <c r="C2013" t="s">
        <v>40</v>
      </c>
      <c r="D2013">
        <v>4.9602320000000004</v>
      </c>
      <c r="E2013">
        <v>0.42117070000000001</v>
      </c>
      <c r="F2013" t="s">
        <v>75</v>
      </c>
      <c r="G2013">
        <v>-512.82550000000003</v>
      </c>
      <c r="H2013">
        <v>1.0952189999999999</v>
      </c>
      <c r="I2013">
        <v>270.87849999999997</v>
      </c>
      <c r="J2013">
        <v>-402.85849999999999</v>
      </c>
      <c r="K2013">
        <v>1.1099460000000001</v>
      </c>
      <c r="L2013">
        <v>284.81889999999999</v>
      </c>
      <c r="M2013">
        <v>-0.99965649999999995</v>
      </c>
      <c r="N2013">
        <v>0</v>
      </c>
      <c r="O2013">
        <v>2.1630900000000002E-2</v>
      </c>
      <c r="P2013">
        <v>-0.99648859999999995</v>
      </c>
      <c r="Q2013">
        <v>-2.126343E-2</v>
      </c>
      <c r="R2013">
        <v>8.0984630000000002E-2</v>
      </c>
      <c r="S2013">
        <v>-3.0415040000000002</v>
      </c>
      <c r="T2013">
        <v>-4.0376190000000002E-4</v>
      </c>
      <c r="U2013">
        <v>-0.3840942</v>
      </c>
      <c r="V2013">
        <v>5.9408139999999998E-2</v>
      </c>
      <c r="W2013">
        <v>-6.4867220000000003E-3</v>
      </c>
      <c r="X2013">
        <v>0.99821269999999995</v>
      </c>
      <c r="Y2013">
        <v>-0.14672270000000001</v>
      </c>
      <c r="Z2013" s="1">
        <v>-1.2561539999999999E-5</v>
      </c>
      <c r="AA2013">
        <v>0.98917759999999999</v>
      </c>
      <c r="AB2013">
        <v>37</v>
      </c>
      <c r="AC2013">
        <v>-109.967</v>
      </c>
      <c r="AD2013">
        <v>-1.47269999999999E-2</v>
      </c>
      <c r="AE2013">
        <v>-13.9404</v>
      </c>
      <c r="AF2013">
        <v>-16.316082961027</v>
      </c>
      <c r="AG2013">
        <v>-1.47269999999999E-2</v>
      </c>
      <c r="AH2013">
        <v>109.63968644701499</v>
      </c>
      <c r="AI2013">
        <v>90.007612243199304</v>
      </c>
      <c r="AJ2013">
        <v>98.464379737047395</v>
      </c>
      <c r="AK2013">
        <v>110.847082164013</v>
      </c>
      <c r="AL2013">
        <v>90.371664400127898</v>
      </c>
      <c r="AM2013">
        <v>86.594087171363</v>
      </c>
      <c r="AN2013">
        <v>0.999999999550927</v>
      </c>
    </row>
    <row r="2014" spans="1:40" x14ac:dyDescent="0.25">
      <c r="A2014" t="str">
        <f>"20190312160956420"</f>
        <v>20190312160956420</v>
      </c>
      <c r="B2014" t="str">
        <f>"1552378196407848"</f>
        <v>1552378196407848</v>
      </c>
      <c r="C2014" t="s">
        <v>40</v>
      </c>
      <c r="D2014">
        <v>4.9594569999999996</v>
      </c>
      <c r="E2014">
        <v>0.40223930000000002</v>
      </c>
      <c r="F2014" t="s">
        <v>75</v>
      </c>
      <c r="G2014">
        <v>-512.82550000000003</v>
      </c>
      <c r="H2014">
        <v>1.035236</v>
      </c>
      <c r="I2014">
        <v>270.98840000000001</v>
      </c>
      <c r="J2014">
        <v>-403.22280000000001</v>
      </c>
      <c r="K2014">
        <v>1.1099380000000001</v>
      </c>
      <c r="L2014">
        <v>284.82679999999999</v>
      </c>
      <c r="M2014">
        <v>-0.99965660000000001</v>
      </c>
      <c r="N2014">
        <v>0</v>
      </c>
      <c r="O2014">
        <v>2.1630750000000001E-2</v>
      </c>
      <c r="P2014">
        <v>-0.99650099999999997</v>
      </c>
      <c r="Q2014">
        <v>-2.0979899999999999E-2</v>
      </c>
      <c r="R2014">
        <v>8.090696E-2</v>
      </c>
      <c r="S2014">
        <v>-3.041595</v>
      </c>
      <c r="T2014">
        <v>-2.064228E-3</v>
      </c>
      <c r="U2014">
        <v>-0.38253779999999998</v>
      </c>
      <c r="V2014">
        <v>5.9330359999999999E-2</v>
      </c>
      <c r="W2014">
        <v>-6.2071599999999998E-3</v>
      </c>
      <c r="X2014">
        <v>0.99821910000000003</v>
      </c>
      <c r="Y2014">
        <v>-0.14622060000000001</v>
      </c>
      <c r="Z2014" s="1">
        <v>-6.4050969999999998E-5</v>
      </c>
      <c r="AA2014">
        <v>0.98925200000000002</v>
      </c>
      <c r="AB2014">
        <v>37</v>
      </c>
      <c r="AC2014">
        <v>-109.6027</v>
      </c>
      <c r="AD2014">
        <v>-7.4701999999999796E-2</v>
      </c>
      <c r="AE2014">
        <v>-13.838399999999901</v>
      </c>
      <c r="AF2014">
        <v>-16.206202083588099</v>
      </c>
      <c r="AG2014">
        <v>-7.4701999999999796E-2</v>
      </c>
      <c r="AH2014">
        <v>109.277632730151</v>
      </c>
      <c r="AI2014">
        <v>90.038743548070101</v>
      </c>
      <c r="AJ2014">
        <v>98.435651312373693</v>
      </c>
      <c r="AK2014">
        <v>110.472836396414</v>
      </c>
      <c r="AL2014">
        <v>90.355646355972993</v>
      </c>
      <c r="AM2014">
        <v>86.5985576367991</v>
      </c>
      <c r="AN2014">
        <v>0.99999999602890199</v>
      </c>
    </row>
    <row r="2015" spans="1:40" x14ac:dyDescent="0.25">
      <c r="A2015" t="str">
        <f>"20190312160956443"</f>
        <v>20190312160956443</v>
      </c>
      <c r="B2015" t="str">
        <f>"1552378196438104"</f>
        <v>1552378196438104</v>
      </c>
      <c r="C2015" t="s">
        <v>40</v>
      </c>
      <c r="D2015">
        <v>4.9366370000000002</v>
      </c>
      <c r="E2015">
        <v>0.39769840000000001</v>
      </c>
      <c r="F2015" t="s">
        <v>75</v>
      </c>
      <c r="G2015">
        <v>-512.82560000000001</v>
      </c>
      <c r="H2015">
        <v>1.308446</v>
      </c>
      <c r="I2015">
        <v>265.69069999999999</v>
      </c>
      <c r="J2015">
        <v>-403.6044</v>
      </c>
      <c r="K2015">
        <v>1.109937</v>
      </c>
      <c r="L2015">
        <v>284.83499999999998</v>
      </c>
      <c r="M2015">
        <v>-0.99965660000000001</v>
      </c>
      <c r="N2015">
        <v>0</v>
      </c>
      <c r="O2015">
        <v>2.1630610000000002E-2</v>
      </c>
      <c r="P2015">
        <v>-0.99650419999999995</v>
      </c>
      <c r="Q2015">
        <v>-2.1263549999999999E-2</v>
      </c>
      <c r="R2015">
        <v>8.0792870000000003E-2</v>
      </c>
      <c r="S2015">
        <v>-3.0539550000000002</v>
      </c>
      <c r="T2015">
        <v>5.5333379999999996E-3</v>
      </c>
      <c r="U2015">
        <v>-0.53320310000000004</v>
      </c>
      <c r="V2015">
        <v>5.9216459999999999E-2</v>
      </c>
      <c r="W2015">
        <v>-6.4949309999999998E-3</v>
      </c>
      <c r="X2015">
        <v>0.998224</v>
      </c>
      <c r="Y2015">
        <v>-0.1932625</v>
      </c>
      <c r="Z2015">
        <v>2.1268550000000001E-4</v>
      </c>
      <c r="AA2015">
        <v>0.98114710000000005</v>
      </c>
      <c r="AB2015">
        <v>36</v>
      </c>
      <c r="AC2015">
        <v>-109.2212</v>
      </c>
      <c r="AD2015">
        <v>0.19850899999999899</v>
      </c>
      <c r="AE2015">
        <v>-19.144299999999902</v>
      </c>
      <c r="AF2015">
        <v>-21.502530616475099</v>
      </c>
      <c r="AG2015">
        <v>0.19850899999999899</v>
      </c>
      <c r="AH2015">
        <v>108.78114320850899</v>
      </c>
      <c r="AI2015">
        <v>89.897428711169994</v>
      </c>
      <c r="AJ2015">
        <v>101.18138994024299</v>
      </c>
      <c r="AK2015">
        <v>110.886136854368</v>
      </c>
      <c r="AL2015">
        <v>90.372134764424601</v>
      </c>
      <c r="AM2015">
        <v>86.605088924766406</v>
      </c>
      <c r="AN2015">
        <v>0.99999996371981204</v>
      </c>
    </row>
    <row r="2016" spans="1:40" x14ac:dyDescent="0.25">
      <c r="A2016" t="str">
        <f>"20190312160956467"</f>
        <v>20190312160956467</v>
      </c>
      <c r="B2016" t="str">
        <f>"1552378196457624"</f>
        <v>1552378196457624</v>
      </c>
      <c r="C2016" t="s">
        <v>40</v>
      </c>
      <c r="D2016">
        <v>4.9404260000000004</v>
      </c>
      <c r="E2016">
        <v>0.39694459999999998</v>
      </c>
      <c r="F2016" t="s">
        <v>75</v>
      </c>
      <c r="G2016">
        <v>-512.82560000000001</v>
      </c>
      <c r="H2016">
        <v>1.319728</v>
      </c>
      <c r="I2016">
        <v>264.48590000000002</v>
      </c>
      <c r="J2016">
        <v>-403.9776</v>
      </c>
      <c r="K2016">
        <v>1.1099460000000001</v>
      </c>
      <c r="L2016">
        <v>284.84309999999999</v>
      </c>
      <c r="M2016">
        <v>-0.99965660000000001</v>
      </c>
      <c r="N2016">
        <v>0</v>
      </c>
      <c r="O2016">
        <v>2.163064E-2</v>
      </c>
      <c r="P2016">
        <v>-0.99652669999999999</v>
      </c>
      <c r="Q2016">
        <v>-2.1179449999999999E-2</v>
      </c>
      <c r="R2016">
        <v>8.0537570000000003E-2</v>
      </c>
      <c r="S2016">
        <v>-3.0568240000000002</v>
      </c>
      <c r="T2016">
        <v>5.87368E-3</v>
      </c>
      <c r="U2016">
        <v>-0.569519</v>
      </c>
      <c r="V2016">
        <v>5.8960730000000003E-2</v>
      </c>
      <c r="W2016">
        <v>-6.4145570000000004E-3</v>
      </c>
      <c r="X2016">
        <v>0.99823969999999995</v>
      </c>
      <c r="Y2016">
        <v>-0.2043827</v>
      </c>
      <c r="Z2016">
        <v>2.3591660000000001E-4</v>
      </c>
      <c r="AA2016">
        <v>0.97889099999999996</v>
      </c>
      <c r="AB2016">
        <v>36</v>
      </c>
      <c r="AC2016">
        <v>-108.848</v>
      </c>
      <c r="AD2016">
        <v>0.209782</v>
      </c>
      <c r="AE2016">
        <v>-20.357199999999899</v>
      </c>
      <c r="AF2016">
        <v>-22.7070640153974</v>
      </c>
      <c r="AG2016">
        <v>0.209782</v>
      </c>
      <c r="AH2016">
        <v>108.381750876886</v>
      </c>
      <c r="AI2016">
        <v>89.891455986285393</v>
      </c>
      <c r="AJ2016">
        <v>101.832889067287</v>
      </c>
      <c r="AK2016">
        <v>110.735083364877</v>
      </c>
      <c r="AL2016">
        <v>90.367529561636999</v>
      </c>
      <c r="AM2016">
        <v>86.619769032111904</v>
      </c>
      <c r="AN2016">
        <v>1.00000000643986</v>
      </c>
    </row>
    <row r="2017" spans="1:40" x14ac:dyDescent="0.25">
      <c r="A2017" t="str">
        <f>"20190312160956487"</f>
        <v>20190312160956487</v>
      </c>
      <c r="B2017" t="str">
        <f>"1552378196478120"</f>
        <v>1552378196478120</v>
      </c>
      <c r="C2017" t="s">
        <v>40</v>
      </c>
      <c r="D2017">
        <v>4.9637149999999997</v>
      </c>
      <c r="E2017">
        <v>0.39647320000000003</v>
      </c>
      <c r="F2017" t="s">
        <v>75</v>
      </c>
      <c r="G2017">
        <v>-512.82560000000001</v>
      </c>
      <c r="H2017">
        <v>1.236019</v>
      </c>
      <c r="I2017">
        <v>264.3218</v>
      </c>
      <c r="J2017">
        <v>-404.32100000000003</v>
      </c>
      <c r="K2017">
        <v>1.109947</v>
      </c>
      <c r="L2017">
        <v>284.85050000000001</v>
      </c>
      <c r="M2017">
        <v>-0.99965669999999995</v>
      </c>
      <c r="N2017">
        <v>0</v>
      </c>
      <c r="O2017">
        <v>2.1630480000000001E-2</v>
      </c>
      <c r="P2017">
        <v>-0.99653150000000001</v>
      </c>
      <c r="Q2017">
        <v>-2.0475469999999999E-2</v>
      </c>
      <c r="R2017">
        <v>8.0658099999999996E-2</v>
      </c>
      <c r="S2017">
        <v>-3.0570680000000001</v>
      </c>
      <c r="T2017">
        <v>3.5430190000000001E-3</v>
      </c>
      <c r="U2017">
        <v>-0.57635499999999995</v>
      </c>
      <c r="V2017">
        <v>5.9081170000000002E-2</v>
      </c>
      <c r="W2017">
        <v>-5.7141479999999996E-3</v>
      </c>
      <c r="X2017">
        <v>0.99823680000000004</v>
      </c>
      <c r="Y2017">
        <v>-0.2064829</v>
      </c>
      <c r="Z2017">
        <v>1.4347169999999999E-4</v>
      </c>
      <c r="AA2017">
        <v>0.97845020000000005</v>
      </c>
      <c r="AB2017">
        <v>36</v>
      </c>
      <c r="AC2017">
        <v>-108.5046</v>
      </c>
      <c r="AD2017">
        <v>0.12607199999999899</v>
      </c>
      <c r="AE2017">
        <v>-20.528700000000001</v>
      </c>
      <c r="AF2017">
        <v>-22.871129273557401</v>
      </c>
      <c r="AG2017">
        <v>0.12607199999999899</v>
      </c>
      <c r="AH2017">
        <v>108.03497305209</v>
      </c>
      <c r="AI2017">
        <v>89.934588136197604</v>
      </c>
      <c r="AJ2017">
        <v>101.95309963394701</v>
      </c>
      <c r="AK2017">
        <v>110.42943380622199</v>
      </c>
      <c r="AL2017">
        <v>90.327398354605293</v>
      </c>
      <c r="AM2017">
        <v>86.612870424239304</v>
      </c>
      <c r="AN2017">
        <v>0.99999997250508699</v>
      </c>
    </row>
    <row r="2018" spans="1:40" x14ac:dyDescent="0.25">
      <c r="A2018" t="str">
        <f>"20190312160956509"</f>
        <v>20190312160956509</v>
      </c>
      <c r="B2018" t="str">
        <f>"1552378196497640"</f>
        <v>1552378196497640</v>
      </c>
      <c r="C2018" t="s">
        <v>40</v>
      </c>
      <c r="D2018">
        <v>4.9641120000000001</v>
      </c>
      <c r="E2018">
        <v>0.39601930000000002</v>
      </c>
      <c r="F2018" t="s">
        <v>75</v>
      </c>
      <c r="G2018">
        <v>-512.82560000000001</v>
      </c>
      <c r="H2018">
        <v>1.2547379999999999</v>
      </c>
      <c r="I2018">
        <v>264.27609999999999</v>
      </c>
      <c r="J2018">
        <v>-404.67419999999998</v>
      </c>
      <c r="K2018">
        <v>1.109947</v>
      </c>
      <c r="L2018">
        <v>284.85820000000001</v>
      </c>
      <c r="M2018">
        <v>-0.99965669999999995</v>
      </c>
      <c r="N2018">
        <v>0</v>
      </c>
      <c r="O2018">
        <v>2.1630389999999999E-2</v>
      </c>
      <c r="P2018">
        <v>-0.99652439999999998</v>
      </c>
      <c r="Q2018">
        <v>-2.0837769999999999E-2</v>
      </c>
      <c r="R2018">
        <v>8.0654279999999995E-2</v>
      </c>
      <c r="S2018">
        <v>-3.0574340000000002</v>
      </c>
      <c r="T2018">
        <v>4.0820839999999997E-3</v>
      </c>
      <c r="U2018">
        <v>-0.57974239999999999</v>
      </c>
      <c r="V2018">
        <v>5.90776999999999E-2</v>
      </c>
      <c r="W2018">
        <v>-6.0802060000000003E-3</v>
      </c>
      <c r="X2018">
        <v>0.99823490000000004</v>
      </c>
      <c r="Y2018">
        <v>-0.207508</v>
      </c>
      <c r="Z2018">
        <v>1.6594259999999999E-4</v>
      </c>
      <c r="AA2018">
        <v>0.97823329999999997</v>
      </c>
      <c r="AB2018">
        <v>36</v>
      </c>
      <c r="AC2018">
        <v>-108.1514</v>
      </c>
      <c r="AD2018">
        <v>0.144790999999999</v>
      </c>
      <c r="AE2018">
        <v>-20.582100000000001</v>
      </c>
      <c r="AF2018">
        <v>-22.916856536693501</v>
      </c>
      <c r="AG2018">
        <v>0.144790999999999</v>
      </c>
      <c r="AH2018">
        <v>107.68065713064701</v>
      </c>
      <c r="AI2018">
        <v>89.924645853851899</v>
      </c>
      <c r="AJ2018">
        <v>102.01457254591</v>
      </c>
      <c r="AK2018">
        <v>110.092357582373</v>
      </c>
      <c r="AL2018">
        <v>90.348372278584904</v>
      </c>
      <c r="AM2018">
        <v>86.613062465032598</v>
      </c>
      <c r="AN2018">
        <v>1.0000000295601501</v>
      </c>
    </row>
    <row r="2019" spans="1:40" x14ac:dyDescent="0.25">
      <c r="A2019" t="str">
        <f>"20190312160956532"</f>
        <v>20190312160956532</v>
      </c>
      <c r="B2019" t="str">
        <f>"1552378196527896"</f>
        <v>1552378196527896</v>
      </c>
      <c r="C2019" t="s">
        <v>40</v>
      </c>
      <c r="D2019">
        <v>4.9714989999999997</v>
      </c>
      <c r="E2019">
        <v>0.39578279999999999</v>
      </c>
      <c r="F2019" t="s">
        <v>75</v>
      </c>
      <c r="G2019">
        <v>-512.82550000000003</v>
      </c>
      <c r="H2019">
        <v>1.1017999999999999</v>
      </c>
      <c r="I2019">
        <v>264.21850000000001</v>
      </c>
      <c r="J2019">
        <v>-405.04610000000002</v>
      </c>
      <c r="K2019">
        <v>1.1099509999999999</v>
      </c>
      <c r="L2019">
        <v>284.86619999999999</v>
      </c>
      <c r="M2019">
        <v>-0.99965689999999996</v>
      </c>
      <c r="N2019">
        <v>0</v>
      </c>
      <c r="O2019">
        <v>2.1630239999999998E-2</v>
      </c>
      <c r="P2019">
        <v>-0.99652149999999995</v>
      </c>
      <c r="Q2019">
        <v>-2.0548919999999998E-2</v>
      </c>
      <c r="R2019">
        <v>8.0764039999999995E-2</v>
      </c>
      <c r="S2019">
        <v>-3.0576780000000001</v>
      </c>
      <c r="T2019">
        <v>-2.2816660000000001E-4</v>
      </c>
      <c r="U2019">
        <v>-0.58352660000000001</v>
      </c>
      <c r="V2019">
        <v>5.9187499999999997E-2</v>
      </c>
      <c r="W2019">
        <v>-5.7952869999999997E-3</v>
      </c>
      <c r="X2019">
        <v>0.99822999999999995</v>
      </c>
      <c r="Y2019">
        <v>-0.20866199999999999</v>
      </c>
      <c r="Z2019" s="1">
        <v>-9.3161780000000005E-6</v>
      </c>
      <c r="AA2019">
        <v>0.97798779999999996</v>
      </c>
      <c r="AB2019">
        <v>36</v>
      </c>
      <c r="AC2019">
        <v>-107.7794</v>
      </c>
      <c r="AD2019">
        <v>-8.1510000000002397E-3</v>
      </c>
      <c r="AE2019">
        <v>-20.647699999999901</v>
      </c>
      <c r="AF2019">
        <v>-22.974416754390699</v>
      </c>
      <c r="AG2019">
        <v>-8.1510000000002397E-3</v>
      </c>
      <c r="AH2019">
        <v>107.307514282868</v>
      </c>
      <c r="AI2019">
        <v>90.004255701065304</v>
      </c>
      <c r="AJ2019">
        <v>102.08452088255299</v>
      </c>
      <c r="AK2019">
        <v>109.739357175132</v>
      </c>
      <c r="AL2019">
        <v>90.332047365026597</v>
      </c>
      <c r="AM2019">
        <v>86.606765684455596</v>
      </c>
      <c r="AN2019">
        <v>0.99999993920382901</v>
      </c>
    </row>
    <row r="2020" spans="1:40" x14ac:dyDescent="0.25">
      <c r="A2020" t="str">
        <f>"20190312160956555"</f>
        <v>20190312160956555</v>
      </c>
      <c r="B2020" t="str">
        <f>"1552378196547419"</f>
        <v>1552378196547419</v>
      </c>
      <c r="C2020" t="s">
        <v>40</v>
      </c>
      <c r="D2020">
        <v>4.9702129999999904</v>
      </c>
      <c r="E2020">
        <v>0.39561659999999998</v>
      </c>
      <c r="F2020" t="s">
        <v>75</v>
      </c>
      <c r="G2020">
        <v>-512.82550000000003</v>
      </c>
      <c r="H2020">
        <v>1.03607</v>
      </c>
      <c r="I2020">
        <v>264.2448</v>
      </c>
      <c r="J2020">
        <v>-405.41059999999999</v>
      </c>
      <c r="K2020">
        <v>1.109945</v>
      </c>
      <c r="L2020">
        <v>284.8741</v>
      </c>
      <c r="M2020">
        <v>-0.99965689999999996</v>
      </c>
      <c r="N2020">
        <v>0</v>
      </c>
      <c r="O2020">
        <v>2.1630090000000001E-2</v>
      </c>
      <c r="P2020">
        <v>-0.99650899999999998</v>
      </c>
      <c r="Q2020">
        <v>-2.0683569999999998E-2</v>
      </c>
      <c r="R2020">
        <v>8.0885079999999998E-2</v>
      </c>
      <c r="S2020">
        <v>-3.0578310000000002</v>
      </c>
      <c r="T2020">
        <v>-2.0939109999999999E-3</v>
      </c>
      <c r="U2020">
        <v>-0.58505249999999998</v>
      </c>
      <c r="V2020">
        <v>5.9309069999999998E-2</v>
      </c>
      <c r="W2020">
        <v>-5.9338780000000001E-3</v>
      </c>
      <c r="X2020">
        <v>0.9982221</v>
      </c>
      <c r="Y2020">
        <v>-0.20912359999999999</v>
      </c>
      <c r="Z2020" s="1">
        <v>-8.5644049999999999E-5</v>
      </c>
      <c r="AA2020">
        <v>0.97788920000000001</v>
      </c>
      <c r="AB2020">
        <v>36</v>
      </c>
      <c r="AC2020">
        <v>-107.4149</v>
      </c>
      <c r="AD2020">
        <v>-7.3875000000000093E-2</v>
      </c>
      <c r="AE2020">
        <v>-20.629300000000001</v>
      </c>
      <c r="AF2020">
        <v>-22.9481095961359</v>
      </c>
      <c r="AG2020">
        <v>-7.3875000000000093E-2</v>
      </c>
      <c r="AH2020">
        <v>106.94345286851301</v>
      </c>
      <c r="AI2020">
        <v>90.038698186151194</v>
      </c>
      <c r="AJ2020">
        <v>102.110971154182</v>
      </c>
      <c r="AK2020">
        <v>109.377892204009</v>
      </c>
      <c r="AL2020">
        <v>90.339988137385703</v>
      </c>
      <c r="AM2020">
        <v>86.599785534885399</v>
      </c>
      <c r="AN2020">
        <v>1.0000000688103901</v>
      </c>
    </row>
    <row r="2021" spans="1:40" x14ac:dyDescent="0.25">
      <c r="A2021" t="str">
        <f>"20190312160956576"</f>
        <v>20190312160956576</v>
      </c>
      <c r="B2021" t="str">
        <f>"1552378196567913"</f>
        <v>1552378196567913</v>
      </c>
      <c r="C2021" t="s">
        <v>40</v>
      </c>
      <c r="D2021">
        <v>4.9890339999999904</v>
      </c>
      <c r="E2021">
        <v>0.39529160000000002</v>
      </c>
      <c r="F2021" t="s">
        <v>75</v>
      </c>
      <c r="G2021">
        <v>-512.82550000000003</v>
      </c>
      <c r="H2021">
        <v>0.99530730000000001</v>
      </c>
      <c r="I2021">
        <v>264.29039999999998</v>
      </c>
      <c r="J2021">
        <v>-405.76139999999998</v>
      </c>
      <c r="K2021">
        <v>1.1099460000000001</v>
      </c>
      <c r="L2021">
        <v>284.88170000000002</v>
      </c>
      <c r="M2021">
        <v>-0.99965689999999996</v>
      </c>
      <c r="N2021">
        <v>0</v>
      </c>
      <c r="O2021">
        <v>2.1630119999999999E-2</v>
      </c>
      <c r="P2021">
        <v>-0.99656140000000004</v>
      </c>
      <c r="Q2021">
        <v>-2.101358E-2</v>
      </c>
      <c r="R2021">
        <v>8.0149390000000001E-2</v>
      </c>
      <c r="S2021">
        <v>-3.058014</v>
      </c>
      <c r="T2021">
        <v>-3.2614469999999998E-3</v>
      </c>
      <c r="U2021">
        <v>-0.58599849999999998</v>
      </c>
      <c r="V2021">
        <v>5.8572350000000002E-2</v>
      </c>
      <c r="W2021">
        <v>-6.2669569999999897E-3</v>
      </c>
      <c r="X2021">
        <v>0.99826349999999997</v>
      </c>
      <c r="Y2021">
        <v>-0.2094046</v>
      </c>
      <c r="Z2021">
        <v>-1.3353479999999999E-4</v>
      </c>
      <c r="AA2021">
        <v>0.97782910000000001</v>
      </c>
      <c r="AB2021">
        <v>36</v>
      </c>
      <c r="AC2021">
        <v>-107.0641</v>
      </c>
      <c r="AD2021">
        <v>-0.114638699999999</v>
      </c>
      <c r="AE2021">
        <v>-20.5913</v>
      </c>
      <c r="AF2021">
        <v>-22.902518169554099</v>
      </c>
      <c r="AG2021">
        <v>-0.114638699999999</v>
      </c>
      <c r="AH2021">
        <v>106.593487239951</v>
      </c>
      <c r="AI2021">
        <v>90.060245294435802</v>
      </c>
      <c r="AJ2021">
        <v>102.12613151182801</v>
      </c>
      <c r="AK2021">
        <v>109.026189525783</v>
      </c>
      <c r="AL2021">
        <v>90.359072535068904</v>
      </c>
      <c r="AM2021">
        <v>86.642063693791798</v>
      </c>
      <c r="AN2021">
        <v>1.0000000051833999</v>
      </c>
    </row>
    <row r="2022" spans="1:40" x14ac:dyDescent="0.25">
      <c r="A2022" t="str">
        <f>"20190312160956599"</f>
        <v>20190312160956599</v>
      </c>
      <c r="B2022" t="str">
        <f>"1552378196587432"</f>
        <v>1552378196587432</v>
      </c>
      <c r="C2022" t="s">
        <v>40</v>
      </c>
      <c r="D2022">
        <v>5.0114580000000002</v>
      </c>
      <c r="E2022">
        <v>0.39530219999999999</v>
      </c>
      <c r="F2022" t="s">
        <v>75</v>
      </c>
      <c r="G2022">
        <v>-512.82539999999995</v>
      </c>
      <c r="H2022">
        <v>0.89148249999999996</v>
      </c>
      <c r="I2022">
        <v>264.20010000000002</v>
      </c>
      <c r="J2022">
        <v>-406.12619999999998</v>
      </c>
      <c r="K2022">
        <v>1.109953</v>
      </c>
      <c r="L2022">
        <v>284.88959999999997</v>
      </c>
      <c r="M2022">
        <v>-0.99965709999999997</v>
      </c>
      <c r="N2022">
        <v>0</v>
      </c>
      <c r="O2022">
        <v>2.1629969999999998E-2</v>
      </c>
      <c r="P2022">
        <v>-0.99663239999999997</v>
      </c>
      <c r="Q2022">
        <v>-2.0758140000000001E-2</v>
      </c>
      <c r="R2022">
        <v>7.9330300000000006E-2</v>
      </c>
      <c r="S2022">
        <v>-3.0577700000000001</v>
      </c>
      <c r="T2022">
        <v>-6.237149E-3</v>
      </c>
      <c r="U2022">
        <v>-0.59066770000000002</v>
      </c>
      <c r="V2022">
        <v>5.7751980000000001E-2</v>
      </c>
      <c r="W2022">
        <v>-6.0145600000000004E-3</v>
      </c>
      <c r="X2022">
        <v>0.9983128</v>
      </c>
      <c r="Y2022">
        <v>-0.21085809999999999</v>
      </c>
      <c r="Z2022">
        <v>-2.5682230000000002E-4</v>
      </c>
      <c r="AA2022">
        <v>0.97751670000000002</v>
      </c>
      <c r="AB2022">
        <v>36</v>
      </c>
      <c r="AC2022">
        <v>-106.699199999999</v>
      </c>
      <c r="AD2022">
        <v>-0.21847049999999901</v>
      </c>
      <c r="AE2022">
        <v>-20.689499999999899</v>
      </c>
      <c r="AF2022">
        <v>-22.992717525449699</v>
      </c>
      <c r="AG2022">
        <v>-0.21847049999999901</v>
      </c>
      <c r="AH2022">
        <v>106.226240513089</v>
      </c>
      <c r="AI2022">
        <v>90.115170338840599</v>
      </c>
      <c r="AJ2022">
        <v>102.213289310736</v>
      </c>
      <c r="AK2022">
        <v>108.686369716304</v>
      </c>
      <c r="AL2022">
        <v>90.344610996393001</v>
      </c>
      <c r="AM2022">
        <v>86.689153042246303</v>
      </c>
      <c r="AN2022">
        <v>0.99999995638487504</v>
      </c>
    </row>
    <row r="2023" spans="1:40" x14ac:dyDescent="0.25">
      <c r="A2023" t="str">
        <f>"20190312160956621"</f>
        <v>20190312160956621</v>
      </c>
      <c r="B2023" t="str">
        <f>"1552378196617687"</f>
        <v>1552378196617687</v>
      </c>
      <c r="C2023" t="s">
        <v>40</v>
      </c>
      <c r="D2023">
        <v>4.9959300000000004</v>
      </c>
      <c r="E2023">
        <v>0.482597</v>
      </c>
      <c r="F2023" t="s">
        <v>75</v>
      </c>
      <c r="G2023">
        <v>-512.82539999999995</v>
      </c>
      <c r="H2023">
        <v>0.86361239999999995</v>
      </c>
      <c r="I2023">
        <v>264.18</v>
      </c>
      <c r="J2023">
        <v>-406.4785</v>
      </c>
      <c r="K2023">
        <v>1.109952</v>
      </c>
      <c r="L2023">
        <v>284.8972</v>
      </c>
      <c r="M2023">
        <v>-0.99965709999999997</v>
      </c>
      <c r="N2023">
        <v>0</v>
      </c>
      <c r="O2023">
        <v>2.1629820000000001E-2</v>
      </c>
      <c r="P2023">
        <v>-0.99663670000000004</v>
      </c>
      <c r="Q2023">
        <v>-2.0701339999999999E-2</v>
      </c>
      <c r="R2023">
        <v>7.9290009999999994E-2</v>
      </c>
      <c r="S2023">
        <v>-3.05722</v>
      </c>
      <c r="T2023">
        <v>-7.0561169999999998E-3</v>
      </c>
      <c r="U2023">
        <v>-0.59338380000000002</v>
      </c>
      <c r="V2023">
        <v>5.771188E-2</v>
      </c>
      <c r="W2023">
        <v>-5.9614009999999999E-3</v>
      </c>
      <c r="X2023">
        <v>0.99831550000000002</v>
      </c>
      <c r="Y2023">
        <v>-0.21172750000000001</v>
      </c>
      <c r="Z2023">
        <v>-2.915649E-4</v>
      </c>
      <c r="AA2023">
        <v>0.97732870000000005</v>
      </c>
      <c r="AB2023">
        <v>36</v>
      </c>
      <c r="AC2023">
        <v>-106.346899999999</v>
      </c>
      <c r="AD2023">
        <v>-0.24633959999999999</v>
      </c>
      <c r="AE2023">
        <v>-20.717199999999899</v>
      </c>
      <c r="AF2023">
        <v>-23.012748034943399</v>
      </c>
      <c r="AG2023">
        <v>-0.24633959999999999</v>
      </c>
      <c r="AH2023">
        <v>105.87330909098</v>
      </c>
      <c r="AI2023">
        <v>90.130270265234003</v>
      </c>
      <c r="AJ2023">
        <v>102.263125938535</v>
      </c>
      <c r="AK2023">
        <v>108.345765183474</v>
      </c>
      <c r="AL2023">
        <v>90.341565134104897</v>
      </c>
      <c r="AM2023">
        <v>86.691455743336604</v>
      </c>
      <c r="AN2023">
        <v>1.0000000184676301</v>
      </c>
    </row>
    <row r="2024" spans="1:40" x14ac:dyDescent="0.25">
      <c r="A2024" t="str">
        <f>"20190312160956645"</f>
        <v>20190312160956645</v>
      </c>
      <c r="B2024" t="str">
        <f>"1552378196637212"</f>
        <v>1552378196637212</v>
      </c>
      <c r="C2024" t="s">
        <v>40</v>
      </c>
      <c r="D2024">
        <v>4.9891199999999998</v>
      </c>
      <c r="E2024">
        <v>0.48904330000000001</v>
      </c>
      <c r="F2024" t="s">
        <v>59</v>
      </c>
      <c r="G2024">
        <v>-493.41809999999998</v>
      </c>
      <c r="H2024" s="1">
        <v>3.6358680000000002E-6</v>
      </c>
      <c r="I2024">
        <v>287.79140000000001</v>
      </c>
      <c r="J2024">
        <v>-406.8519</v>
      </c>
      <c r="K2024">
        <v>1.1099540000000001</v>
      </c>
      <c r="L2024">
        <v>284.90530000000001</v>
      </c>
      <c r="M2024">
        <v>-0.99965720000000002</v>
      </c>
      <c r="N2024">
        <v>0</v>
      </c>
      <c r="O2024">
        <v>2.162973E-2</v>
      </c>
      <c r="P2024">
        <v>-0.99662770000000001</v>
      </c>
      <c r="Q2024">
        <v>-2.074165E-2</v>
      </c>
      <c r="R2024">
        <v>7.9392690000000002E-2</v>
      </c>
      <c r="S2024">
        <v>-3.0013429999999999</v>
      </c>
      <c r="T2024">
        <v>-3.8317799999999999E-2</v>
      </c>
      <c r="U2024">
        <v>9.9914550000000005E-2</v>
      </c>
      <c r="V2024">
        <v>5.781468E-2</v>
      </c>
      <c r="W2024">
        <v>-6.0057560000000001E-3</v>
      </c>
      <c r="X2024">
        <v>0.99830929999999996</v>
      </c>
      <c r="Y2024">
        <v>1.1644440000000001E-2</v>
      </c>
      <c r="Z2024">
        <v>-2.017377E-4</v>
      </c>
      <c r="AA2024">
        <v>0.99993220000000005</v>
      </c>
      <c r="AB2024">
        <v>36</v>
      </c>
      <c r="AC2024">
        <v>-86.566199999999895</v>
      </c>
      <c r="AD2024">
        <v>-1.1099503641320001</v>
      </c>
      <c r="AE2024">
        <v>2.8860999999999901</v>
      </c>
      <c r="AF2024">
        <v>1.0126510329127301</v>
      </c>
      <c r="AG2024">
        <v>-1.1099503641320001</v>
      </c>
      <c r="AH2024">
        <v>86.594155234263496</v>
      </c>
      <c r="AI2024">
        <v>90.734317937768793</v>
      </c>
      <c r="AJ2024">
        <v>89.330001135761805</v>
      </c>
      <c r="AK2024">
        <v>86.607188920210405</v>
      </c>
      <c r="AL2024">
        <v>90.344106529060596</v>
      </c>
      <c r="AM2024">
        <v>86.685554946725006</v>
      </c>
      <c r="AN2024">
        <v>1.00000003239756</v>
      </c>
    </row>
    <row r="2025" spans="1:40" x14ac:dyDescent="0.25">
      <c r="A2025" t="str">
        <f>"20190312160956666"</f>
        <v>20190312160956666</v>
      </c>
      <c r="B2025" t="str">
        <f>"1552378196657704"</f>
        <v>1552378196657704</v>
      </c>
      <c r="C2025" t="s">
        <v>40</v>
      </c>
      <c r="D2025">
        <v>4.911092</v>
      </c>
      <c r="E2025">
        <v>0.49080499999999999</v>
      </c>
      <c r="F2025" t="s">
        <v>52</v>
      </c>
      <c r="G2025">
        <v>-685.90769999999998</v>
      </c>
      <c r="H2025">
        <v>-0.1</v>
      </c>
      <c r="I2025">
        <v>299.07249999999999</v>
      </c>
      <c r="J2025">
        <v>-407.20859999999999</v>
      </c>
      <c r="K2025">
        <v>1.109958</v>
      </c>
      <c r="L2025">
        <v>284.91300000000001</v>
      </c>
      <c r="M2025">
        <v>-0.99965700000000002</v>
      </c>
      <c r="N2025">
        <v>0</v>
      </c>
      <c r="O2025">
        <v>2.1629760000000001E-2</v>
      </c>
      <c r="P2025">
        <v>-0.99666909999999997</v>
      </c>
      <c r="Q2025">
        <v>-2.0448060000000001E-2</v>
      </c>
      <c r="R2025">
        <v>7.8945319999999999E-2</v>
      </c>
      <c r="S2025">
        <v>-2.9977420000000001</v>
      </c>
      <c r="T2025">
        <v>-1.299787E-2</v>
      </c>
      <c r="U2025">
        <v>0.1521912</v>
      </c>
      <c r="V2025">
        <v>5.7366500000000001E-2</v>
      </c>
      <c r="W2025">
        <v>-5.7155060000000004E-3</v>
      </c>
      <c r="X2025">
        <v>0.99833689999999997</v>
      </c>
      <c r="Y2025">
        <v>2.9087080000000001E-2</v>
      </c>
      <c r="Z2025" s="1">
        <v>-3.0697000000000001E-5</v>
      </c>
      <c r="AA2025">
        <v>0.99957689999999999</v>
      </c>
      <c r="AB2025">
        <v>36</v>
      </c>
      <c r="AC2025">
        <v>-278.69909999999999</v>
      </c>
      <c r="AD2025">
        <v>-1.2099580000000001</v>
      </c>
      <c r="AE2025">
        <v>14.1594999999999</v>
      </c>
      <c r="AF2025">
        <v>8.1271819314632996</v>
      </c>
      <c r="AG2025">
        <v>-1.2099580000000001</v>
      </c>
      <c r="AH2025">
        <v>278.93494005010399</v>
      </c>
      <c r="AI2025">
        <v>90.248429418144596</v>
      </c>
      <c r="AJ2025">
        <v>88.3310749046951</v>
      </c>
      <c r="AK2025">
        <v>279.055936803473</v>
      </c>
      <c r="AL2025">
        <v>90.327476130270995</v>
      </c>
      <c r="AM2025">
        <v>86.711282662363402</v>
      </c>
      <c r="AN2025">
        <v>1.00000007411634</v>
      </c>
    </row>
    <row r="2026" spans="1:40" x14ac:dyDescent="0.25">
      <c r="A2026" t="str">
        <f>"20190312160956689"</f>
        <v>20190312160956689</v>
      </c>
      <c r="B2026" t="str">
        <f>"1552378196677224"</f>
        <v>1552378196677224</v>
      </c>
      <c r="C2026" t="s">
        <v>40</v>
      </c>
      <c r="D2026">
        <v>4.9845790000000001</v>
      </c>
      <c r="E2026">
        <v>0.4913959</v>
      </c>
      <c r="F2026" t="s">
        <v>52</v>
      </c>
      <c r="G2026">
        <v>-1098.26</v>
      </c>
      <c r="H2026">
        <v>-0.1</v>
      </c>
      <c r="I2026">
        <v>322.91300000000001</v>
      </c>
      <c r="J2026">
        <v>-407.56810000000002</v>
      </c>
      <c r="K2026">
        <v>1.1099650000000001</v>
      </c>
      <c r="L2026">
        <v>284.92079999999999</v>
      </c>
      <c r="M2026">
        <v>-0.99965729999999997</v>
      </c>
      <c r="N2026">
        <v>0</v>
      </c>
      <c r="O2026">
        <v>2.1629610000000001E-2</v>
      </c>
      <c r="P2026">
        <v>-0.99669149999999995</v>
      </c>
      <c r="Q2026">
        <v>-2.0096510000000001E-2</v>
      </c>
      <c r="R2026">
        <v>7.8754439999999995E-2</v>
      </c>
      <c r="S2026">
        <v>-2.9968870000000001</v>
      </c>
      <c r="T2026">
        <v>-5.2472350000000003E-3</v>
      </c>
      <c r="U2026">
        <v>0.16479489999999999</v>
      </c>
      <c r="V2026">
        <v>5.7175370000000003E-2</v>
      </c>
      <c r="W2026">
        <v>-5.3675750000000003E-3</v>
      </c>
      <c r="X2026">
        <v>0.99834970000000001</v>
      </c>
      <c r="Y2026">
        <v>3.329356E-2</v>
      </c>
      <c r="Z2026" s="1">
        <v>-8.7140940000000004E-6</v>
      </c>
      <c r="AA2026">
        <v>0.99944560000000005</v>
      </c>
      <c r="AB2026">
        <v>36</v>
      </c>
      <c r="AC2026">
        <v>-690.69190000000003</v>
      </c>
      <c r="AD2026">
        <v>-1.209965</v>
      </c>
      <c r="AE2026">
        <v>37.992199999999997</v>
      </c>
      <c r="AF2026">
        <v>23.042218468877898</v>
      </c>
      <c r="AG2026">
        <v>-1.209965</v>
      </c>
      <c r="AH2026">
        <v>691.35000986281705</v>
      </c>
      <c r="AI2026">
        <v>90.100220356074004</v>
      </c>
      <c r="AJ2026">
        <v>88.0910778583862</v>
      </c>
      <c r="AK2026">
        <v>691.73495212009198</v>
      </c>
      <c r="AL2026">
        <v>90.307540877053</v>
      </c>
      <c r="AM2026">
        <v>86.722257800828402</v>
      </c>
      <c r="AN2026">
        <v>0.99999997864305301</v>
      </c>
    </row>
    <row r="2027" spans="1:40" x14ac:dyDescent="0.25">
      <c r="A2027" t="str">
        <f>"20190312160956710"</f>
        <v>20190312160956710</v>
      </c>
      <c r="B2027" t="str">
        <f>"1552378196697720"</f>
        <v>1552378196697720</v>
      </c>
      <c r="C2027" t="s">
        <v>40</v>
      </c>
      <c r="D2027">
        <v>4.9066789999999996</v>
      </c>
      <c r="E2027">
        <v>0.4919905</v>
      </c>
      <c r="F2027" t="s">
        <v>45</v>
      </c>
      <c r="G2027">
        <v>0</v>
      </c>
      <c r="H2027">
        <v>0</v>
      </c>
      <c r="I2027">
        <v>0</v>
      </c>
      <c r="J2027">
        <v>-407.91340000000002</v>
      </c>
      <c r="K2027">
        <v>1.10996299999999</v>
      </c>
      <c r="L2027">
        <v>284.92829999999998</v>
      </c>
      <c r="M2027">
        <v>-0.99965720000000002</v>
      </c>
      <c r="N2027">
        <v>0</v>
      </c>
      <c r="O2027">
        <v>2.1629639999999999E-2</v>
      </c>
      <c r="P2027">
        <v>-0.99668029999999996</v>
      </c>
      <c r="Q2027">
        <v>-1.9938979999999999E-2</v>
      </c>
      <c r="R2027">
        <v>7.8933840000000005E-2</v>
      </c>
      <c r="S2027">
        <v>-2.9965820000000001</v>
      </c>
      <c r="T2027">
        <v>-2.959967E-3</v>
      </c>
      <c r="U2027">
        <v>0.16903689999999999</v>
      </c>
      <c r="V2027">
        <v>5.7354879999999997E-2</v>
      </c>
      <c r="W2027">
        <v>-5.2139480000000004E-3</v>
      </c>
      <c r="X2027">
        <v>0.99834020000000001</v>
      </c>
      <c r="Y2027">
        <v>3.4709520000000001E-2</v>
      </c>
      <c r="Z2027" s="1">
        <v>-4.2171139999999998E-6</v>
      </c>
      <c r="AA2027">
        <v>0.99939750000000005</v>
      </c>
      <c r="AB2027">
        <v>36</v>
      </c>
      <c r="AC2027">
        <v>-2.9965820000000001</v>
      </c>
      <c r="AD2027">
        <v>-2.959967E-3</v>
      </c>
      <c r="AE2027">
        <v>0.16903689999999999</v>
      </c>
      <c r="AF2027">
        <v>0.104175199971357</v>
      </c>
      <c r="AG2027">
        <v>-2.959967E-3</v>
      </c>
      <c r="AH2027">
        <v>2.9995344907523198</v>
      </c>
      <c r="AI2027">
        <v>90.056505891934506</v>
      </c>
      <c r="AJ2027">
        <v>88.010890964006805</v>
      </c>
      <c r="AK2027">
        <v>3.0013444312351898</v>
      </c>
      <c r="AL2027">
        <v>90.2987385801421</v>
      </c>
      <c r="AM2027">
        <v>86.711958198892503</v>
      </c>
      <c r="AN2027">
        <v>0.99999996122479895</v>
      </c>
    </row>
    <row r="2028" spans="1:40" x14ac:dyDescent="0.25">
      <c r="A2028" t="str">
        <f>"20190312160956734"</f>
        <v>20190312160956734</v>
      </c>
      <c r="B2028" t="str">
        <f>"1552378196727977"</f>
        <v>1552378196727977</v>
      </c>
      <c r="C2028" t="s">
        <v>40</v>
      </c>
      <c r="D2028">
        <v>4.9799309999999997</v>
      </c>
      <c r="E2028">
        <v>0.49262440000000002</v>
      </c>
      <c r="F2028" t="s">
        <v>52</v>
      </c>
      <c r="G2028">
        <v>-660.46439999999996</v>
      </c>
      <c r="H2028">
        <v>-0.1</v>
      </c>
      <c r="I2028">
        <v>299.61020000000002</v>
      </c>
      <c r="J2028">
        <v>-408.2971</v>
      </c>
      <c r="K2028">
        <v>1.1099650000000001</v>
      </c>
      <c r="L2028">
        <v>284.9366</v>
      </c>
      <c r="M2028">
        <v>-0.99965729999999997</v>
      </c>
      <c r="N2028">
        <v>0</v>
      </c>
      <c r="O2028">
        <v>2.1629490000000001E-2</v>
      </c>
      <c r="P2028">
        <v>-0.99667600000000001</v>
      </c>
      <c r="Q2028">
        <v>-2.0083460000000001E-2</v>
      </c>
      <c r="R2028">
        <v>7.8953819999999994E-2</v>
      </c>
      <c r="S2028">
        <v>-2.9958800000000001</v>
      </c>
      <c r="T2028">
        <v>-1.435316E-2</v>
      </c>
      <c r="U2028">
        <v>0.17416379999999901</v>
      </c>
      <c r="V2028">
        <v>5.7375229999999999E-2</v>
      </c>
      <c r="W2028">
        <v>-5.36266E-3</v>
      </c>
      <c r="X2028">
        <v>0.99833830000000001</v>
      </c>
      <c r="Y2028">
        <v>3.6427330000000001E-2</v>
      </c>
      <c r="Z2028" s="1">
        <v>-1.634016E-5</v>
      </c>
      <c r="AA2028">
        <v>0.99933629999999996</v>
      </c>
      <c r="AB2028">
        <v>36</v>
      </c>
      <c r="AC2028">
        <v>-252.16729999999899</v>
      </c>
      <c r="AD2028">
        <v>-1.209965</v>
      </c>
      <c r="AE2028">
        <v>14.6736</v>
      </c>
      <c r="AF2028">
        <v>9.2151117970271503</v>
      </c>
      <c r="AG2028">
        <v>-1.209965</v>
      </c>
      <c r="AH2028">
        <v>252.41991900599001</v>
      </c>
      <c r="AI2028">
        <v>90.2744601406729</v>
      </c>
      <c r="AJ2028">
        <v>87.909227440934501</v>
      </c>
      <c r="AK2028">
        <v>252.590969378804</v>
      </c>
      <c r="AL2028">
        <v>90.307259252085302</v>
      </c>
      <c r="AM2028">
        <v>86.710787888529396</v>
      </c>
      <c r="AN2028">
        <v>1.0000000181933499</v>
      </c>
    </row>
    <row r="2029" spans="1:40" x14ac:dyDescent="0.25">
      <c r="A2029" t="str">
        <f>"20190312160956757"</f>
        <v>20190312160956757</v>
      </c>
      <c r="B2029" t="str">
        <f>"1552378196747496"</f>
        <v>1552378196747496</v>
      </c>
      <c r="C2029" t="s">
        <v>40</v>
      </c>
      <c r="D2029">
        <v>4.9844179999999998</v>
      </c>
      <c r="E2029">
        <v>0.4927474</v>
      </c>
      <c r="F2029" t="s">
        <v>52</v>
      </c>
      <c r="G2029">
        <v>-653.15039999999999</v>
      </c>
      <c r="H2029">
        <v>-0.1</v>
      </c>
      <c r="I2029">
        <v>299.57940000000002</v>
      </c>
      <c r="J2029">
        <v>-408.65559999999999</v>
      </c>
      <c r="K2029">
        <v>1.109958</v>
      </c>
      <c r="L2029">
        <v>284.9443</v>
      </c>
      <c r="M2029">
        <v>-0.99965729999999997</v>
      </c>
      <c r="N2029">
        <v>0</v>
      </c>
      <c r="O2029">
        <v>2.162934E-2</v>
      </c>
      <c r="P2029">
        <v>-0.99668179999999995</v>
      </c>
      <c r="Q2029">
        <v>-2.031177E-2</v>
      </c>
      <c r="R2029">
        <v>7.8822740000000002E-2</v>
      </c>
      <c r="S2029">
        <v>-2.9954830000000001</v>
      </c>
      <c r="T2029">
        <v>-1.480246E-2</v>
      </c>
      <c r="U2029">
        <v>0.1791382</v>
      </c>
      <c r="V2029">
        <v>5.724419E-2</v>
      </c>
      <c r="W2029">
        <v>-5.594819E-3</v>
      </c>
      <c r="X2029">
        <v>0.99834449999999997</v>
      </c>
      <c r="Y2029">
        <v>3.8088829999999997E-2</v>
      </c>
      <c r="Z2029" s="1">
        <v>-1.275029E-5</v>
      </c>
      <c r="AA2029">
        <v>0.99927440000000001</v>
      </c>
      <c r="AB2029">
        <v>36</v>
      </c>
      <c r="AC2029">
        <v>-244.4948</v>
      </c>
      <c r="AD2029">
        <v>-1.2099580000000001</v>
      </c>
      <c r="AE2029">
        <v>14.6351</v>
      </c>
      <c r="AF2029">
        <v>9.3426112786199091</v>
      </c>
      <c r="AG2029">
        <v>-1.2099580000000001</v>
      </c>
      <c r="AH2029">
        <v>244.748199388675</v>
      </c>
      <c r="AI2029">
        <v>90.283043840665997</v>
      </c>
      <c r="AJ2029">
        <v>87.813947444832806</v>
      </c>
      <c r="AK2029">
        <v>244.929437773134</v>
      </c>
      <c r="AL2029">
        <v>90.3205611978441</v>
      </c>
      <c r="AM2029">
        <v>86.718304058812805</v>
      </c>
      <c r="AN2029">
        <v>0.99999996998432295</v>
      </c>
    </row>
    <row r="2030" spans="1:40" x14ac:dyDescent="0.25">
      <c r="A2030" t="str">
        <f>"20190312160956777"</f>
        <v>20190312160956777</v>
      </c>
      <c r="B2030" t="str">
        <f>"1552378196767992"</f>
        <v>1552378196767992</v>
      </c>
      <c r="C2030" t="s">
        <v>40</v>
      </c>
      <c r="D2030">
        <v>5.0228549999999998</v>
      </c>
      <c r="E2030">
        <v>0.49292580000000003</v>
      </c>
      <c r="F2030" t="s">
        <v>52</v>
      </c>
      <c r="G2030">
        <v>-658.2373</v>
      </c>
      <c r="H2030">
        <v>-0.1</v>
      </c>
      <c r="I2030">
        <v>299.91300000000001</v>
      </c>
      <c r="J2030">
        <v>-408.98910000000001</v>
      </c>
      <c r="K2030">
        <v>1.1099570000000001</v>
      </c>
      <c r="L2030">
        <v>284.95150000000001</v>
      </c>
      <c r="M2030">
        <v>-0.99965760000000004</v>
      </c>
      <c r="N2030">
        <v>0</v>
      </c>
      <c r="O2030">
        <v>2.162907E-2</v>
      </c>
      <c r="P2030">
        <v>-0.9966853</v>
      </c>
      <c r="Q2030">
        <v>-2.0468799999999999E-2</v>
      </c>
      <c r="R2030">
        <v>7.8738000000000002E-2</v>
      </c>
      <c r="S2030">
        <v>-2.995514</v>
      </c>
      <c r="T2030">
        <v>-1.452208E-2</v>
      </c>
      <c r="U2030">
        <v>0.17965699999999901</v>
      </c>
      <c r="V2030">
        <v>5.7159689999999999E-2</v>
      </c>
      <c r="W2030">
        <v>-5.7555019999999896E-3</v>
      </c>
      <c r="X2030">
        <v>0.99834849999999997</v>
      </c>
      <c r="Y2030">
        <v>3.8260950000000002E-2</v>
      </c>
      <c r="Z2030" s="1">
        <v>-1.209037E-5</v>
      </c>
      <c r="AA2030">
        <v>0.99926780000000004</v>
      </c>
      <c r="AB2030">
        <v>36</v>
      </c>
      <c r="AC2030">
        <v>-249.2482</v>
      </c>
      <c r="AD2030">
        <v>-1.2099569999999999</v>
      </c>
      <c r="AE2030">
        <v>14.961499999999999</v>
      </c>
      <c r="AF2030">
        <v>9.5661831661177601</v>
      </c>
      <c r="AG2030">
        <v>-1.2099569999999999</v>
      </c>
      <c r="AH2030">
        <v>249.50765907355</v>
      </c>
      <c r="AI2030">
        <v>90.277642739882396</v>
      </c>
      <c r="AJ2030">
        <v>87.804341578321697</v>
      </c>
      <c r="AK2030">
        <v>249.69390820096601</v>
      </c>
      <c r="AL2030">
        <v>90.329767780479202</v>
      </c>
      <c r="AM2030">
        <v>86.723150812573294</v>
      </c>
      <c r="AN2030">
        <v>1.0000000417082</v>
      </c>
    </row>
    <row r="2031" spans="1:40" x14ac:dyDescent="0.25">
      <c r="A2031" t="str">
        <f>"20190312160956800"</f>
        <v>20190312160956800</v>
      </c>
      <c r="B2031" t="str">
        <f>"1552378196787513"</f>
        <v>1552378196787513</v>
      </c>
      <c r="C2031" t="s">
        <v>40</v>
      </c>
      <c r="D2031">
        <v>5.0250599999999999</v>
      </c>
      <c r="E2031">
        <v>0.49314730000000001</v>
      </c>
      <c r="F2031" t="s">
        <v>76</v>
      </c>
      <c r="G2031">
        <v>-553.67660000000001</v>
      </c>
      <c r="H2031">
        <v>0.38282870000000002</v>
      </c>
      <c r="I2031">
        <v>293.69319999999999</v>
      </c>
      <c r="J2031">
        <v>-409.34800000000001</v>
      </c>
      <c r="K2031">
        <v>1.109958</v>
      </c>
      <c r="L2031">
        <v>284.95929999999998</v>
      </c>
      <c r="M2031">
        <v>-0.99965760000000004</v>
      </c>
      <c r="N2031">
        <v>0</v>
      </c>
      <c r="O2031">
        <v>2.1629099999999998E-2</v>
      </c>
      <c r="P2031">
        <v>-0.99668429999999997</v>
      </c>
      <c r="Q2031">
        <v>-2.0532169999999999E-2</v>
      </c>
      <c r="R2031">
        <v>7.8734960000000007E-2</v>
      </c>
      <c r="S2031">
        <v>-2.9952999999999999</v>
      </c>
      <c r="T2031">
        <v>-1.5051129999999999E-2</v>
      </c>
      <c r="U2031">
        <v>0.1809692</v>
      </c>
      <c r="V2031">
        <v>5.7156760000000001E-2</v>
      </c>
      <c r="W2031">
        <v>-5.8228830000000001E-3</v>
      </c>
      <c r="X2031">
        <v>0.99834820000000002</v>
      </c>
      <c r="Y2031">
        <v>3.8701359999999997E-2</v>
      </c>
      <c r="Z2031" s="1">
        <v>-1.142609E-5</v>
      </c>
      <c r="AA2031">
        <v>0.99925079999999999</v>
      </c>
      <c r="AB2031">
        <v>36</v>
      </c>
      <c r="AC2031">
        <v>-144.32859999999999</v>
      </c>
      <c r="AD2031">
        <v>-0.72712929999999998</v>
      </c>
      <c r="AE2031">
        <v>8.7339000000000002</v>
      </c>
      <c r="AF2031">
        <v>5.6096782466575101</v>
      </c>
      <c r="AG2031">
        <v>-0.72712929999999998</v>
      </c>
      <c r="AH2031">
        <v>144.48010210133401</v>
      </c>
      <c r="AI2031">
        <v>90.288134639122504</v>
      </c>
      <c r="AJ2031">
        <v>87.776513725318495</v>
      </c>
      <c r="AK2031">
        <v>144.590791927639</v>
      </c>
      <c r="AL2031">
        <v>90.333628517589304</v>
      </c>
      <c r="AM2031">
        <v>86.723317435039704</v>
      </c>
      <c r="AN2031">
        <v>0.99999996481168396</v>
      </c>
    </row>
    <row r="2032" spans="1:40" x14ac:dyDescent="0.25">
      <c r="A2032" t="str">
        <f>"20190312160956822"</f>
        <v>20190312160956822</v>
      </c>
      <c r="B2032" t="str">
        <f>"1552378196817768"</f>
        <v>1552378196817768</v>
      </c>
      <c r="C2032" t="s">
        <v>40</v>
      </c>
      <c r="D2032">
        <v>4.9497080000000002</v>
      </c>
      <c r="E2032">
        <v>0.493149</v>
      </c>
      <c r="F2032" t="s">
        <v>76</v>
      </c>
      <c r="G2032">
        <v>-552.62390000000005</v>
      </c>
      <c r="H2032">
        <v>0.37691829999999998</v>
      </c>
      <c r="I2032">
        <v>293.69319999999999</v>
      </c>
      <c r="J2032">
        <v>-409.70609999999999</v>
      </c>
      <c r="K2032">
        <v>1.10996299999999</v>
      </c>
      <c r="L2032">
        <v>284.96710000000002</v>
      </c>
      <c r="M2032">
        <v>-0.99965760000000004</v>
      </c>
      <c r="N2032">
        <v>0</v>
      </c>
      <c r="O2032">
        <v>2.162913E-2</v>
      </c>
      <c r="P2032">
        <v>-0.99667850000000002</v>
      </c>
      <c r="Q2032">
        <v>-2.0520440000000001E-2</v>
      </c>
      <c r="R2032">
        <v>7.8808859999999994E-2</v>
      </c>
      <c r="S2032">
        <v>-2.9952390000000002</v>
      </c>
      <c r="T2032">
        <v>-1.532269E-2</v>
      </c>
      <c r="U2032">
        <v>0.18258669999999999</v>
      </c>
      <c r="V2032">
        <v>5.723048E-2</v>
      </c>
      <c r="W2032">
        <v>-5.815153E-3</v>
      </c>
      <c r="X2032">
        <v>0.99834409999999896</v>
      </c>
      <c r="Y2032">
        <v>3.9240160000000003E-2</v>
      </c>
      <c r="Z2032" s="1">
        <v>-1.0255389999999999E-5</v>
      </c>
      <c r="AA2032">
        <v>0.99922979999999995</v>
      </c>
      <c r="AB2032">
        <v>36</v>
      </c>
      <c r="AC2032">
        <v>-142.9178</v>
      </c>
      <c r="AD2032">
        <v>-0.73304469999999899</v>
      </c>
      <c r="AE2032">
        <v>8.7260999999999704</v>
      </c>
      <c r="AF2032">
        <v>5.6323876599508997</v>
      </c>
      <c r="AG2032">
        <v>-0.73304469999999899</v>
      </c>
      <c r="AH2032">
        <v>143.069367512703</v>
      </c>
      <c r="AI2032">
        <v>90.293336666325999</v>
      </c>
      <c r="AJ2032">
        <v>87.745530837633197</v>
      </c>
      <c r="AK2032">
        <v>143.18206963781799</v>
      </c>
      <c r="AL2032">
        <v>90.333185587672901</v>
      </c>
      <c r="AM2032">
        <v>86.719086997054504</v>
      </c>
      <c r="AN2032">
        <v>1.0000000429251199</v>
      </c>
    </row>
    <row r="2033" spans="1:40" x14ac:dyDescent="0.25">
      <c r="A2033" t="str">
        <f>"20190312160956846"</f>
        <v>20190312160956846</v>
      </c>
      <c r="B2033" t="str">
        <f>"1552378196837292"</f>
        <v>1552378196837292</v>
      </c>
      <c r="C2033" t="s">
        <v>40</v>
      </c>
      <c r="D2033">
        <v>4.962243</v>
      </c>
      <c r="E2033">
        <v>0.49321559999999998</v>
      </c>
      <c r="F2033" t="s">
        <v>76</v>
      </c>
      <c r="G2033">
        <v>-552.61530000000005</v>
      </c>
      <c r="H2033">
        <v>0.51878519999999995</v>
      </c>
      <c r="I2033">
        <v>293.69319999999999</v>
      </c>
      <c r="J2033">
        <v>-410.07170000000002</v>
      </c>
      <c r="K2033">
        <v>1.10996299999999</v>
      </c>
      <c r="L2033">
        <v>284.97500000000002</v>
      </c>
      <c r="M2033">
        <v>-0.99965769999999998</v>
      </c>
      <c r="N2033">
        <v>0</v>
      </c>
      <c r="O2033">
        <v>2.16288E-2</v>
      </c>
      <c r="P2033">
        <v>-0.9966701</v>
      </c>
      <c r="Q2033">
        <v>-2.111917E-2</v>
      </c>
      <c r="R2033">
        <v>7.8758369999999994E-2</v>
      </c>
      <c r="S2033">
        <v>-2.9952390000000002</v>
      </c>
      <c r="T2033">
        <v>-1.2388710000000001E-2</v>
      </c>
      <c r="U2033">
        <v>0.18289179999999999</v>
      </c>
      <c r="V2033">
        <v>5.7180590000000003E-2</v>
      </c>
      <c r="W2033">
        <v>-6.4179709999999997E-3</v>
      </c>
      <c r="X2033">
        <v>0.99834319999999999</v>
      </c>
      <c r="Y2033">
        <v>3.934199E-2</v>
      </c>
      <c r="Z2033" s="1">
        <v>-8.0798849999999993E-6</v>
      </c>
      <c r="AA2033">
        <v>0.99922580000000005</v>
      </c>
      <c r="AB2033">
        <v>36</v>
      </c>
      <c r="AC2033">
        <v>-142.5436</v>
      </c>
      <c r="AD2033">
        <v>-0.59117779999999898</v>
      </c>
      <c r="AE2033">
        <v>8.7181999999999604</v>
      </c>
      <c r="AF2033">
        <v>5.6326825028992502</v>
      </c>
      <c r="AG2033">
        <v>-0.59117779999999898</v>
      </c>
      <c r="AH2033">
        <v>142.69638690452399</v>
      </c>
      <c r="AI2033">
        <v>90.237184994936001</v>
      </c>
      <c r="AJ2033">
        <v>87.739525996045302</v>
      </c>
      <c r="AK2033">
        <v>142.80873726413</v>
      </c>
      <c r="AL2033">
        <v>90.367725184056795</v>
      </c>
      <c r="AM2033">
        <v>86.721937905828995</v>
      </c>
      <c r="AN2033">
        <v>0.99999997760537196</v>
      </c>
    </row>
    <row r="2034" spans="1:40" x14ac:dyDescent="0.25">
      <c r="A2034" t="str">
        <f>"20190312160956868"</f>
        <v>20190312160956868</v>
      </c>
      <c r="B2034" t="str">
        <f>"1552378196857784"</f>
        <v>1552378196857784</v>
      </c>
      <c r="C2034" t="s">
        <v>40</v>
      </c>
      <c r="D2034">
        <v>4.9266589999999999</v>
      </c>
      <c r="E2034">
        <v>0.49327779999999999</v>
      </c>
      <c r="F2034" t="s">
        <v>76</v>
      </c>
      <c r="G2034">
        <v>-552.49649999999997</v>
      </c>
      <c r="H2034">
        <v>0.53999949999999997</v>
      </c>
      <c r="I2034">
        <v>293.69319999999999</v>
      </c>
      <c r="J2034">
        <v>-410.4196</v>
      </c>
      <c r="K2034">
        <v>1.109955</v>
      </c>
      <c r="L2034">
        <v>284.98250000000002</v>
      </c>
      <c r="M2034">
        <v>-0.99965769999999998</v>
      </c>
      <c r="N2034">
        <v>0</v>
      </c>
      <c r="O2034">
        <v>2.1628830000000002E-2</v>
      </c>
      <c r="P2034">
        <v>-0.99667169999999905</v>
      </c>
      <c r="Q2034">
        <v>-2.122508E-2</v>
      </c>
      <c r="R2034">
        <v>7.8709139999999997E-2</v>
      </c>
      <c r="S2034">
        <v>-2.9952700000000001</v>
      </c>
      <c r="T2034">
        <v>-1.198483E-2</v>
      </c>
      <c r="U2034">
        <v>0.1833496</v>
      </c>
      <c r="V2034">
        <v>5.7131309999999998E-2</v>
      </c>
      <c r="W2034">
        <v>-6.5277130000000001E-3</v>
      </c>
      <c r="X2034">
        <v>0.99834529999999999</v>
      </c>
      <c r="Y2034">
        <v>3.9493489999999999E-2</v>
      </c>
      <c r="Z2034" s="1">
        <v>-7.5136270000000001E-6</v>
      </c>
      <c r="AA2034">
        <v>0.99921979999999999</v>
      </c>
      <c r="AB2034">
        <v>36</v>
      </c>
      <c r="AC2034">
        <v>-142.076899999999</v>
      </c>
      <c r="AD2034">
        <v>-0.56995549999999995</v>
      </c>
      <c r="AE2034">
        <v>8.7106999999999708</v>
      </c>
      <c r="AF2034">
        <v>5.63528142133244</v>
      </c>
      <c r="AG2034">
        <v>-0.56995549999999995</v>
      </c>
      <c r="AH2034">
        <v>142.22979901723301</v>
      </c>
      <c r="AI2034">
        <v>90.229419352136603</v>
      </c>
      <c r="AJ2034">
        <v>87.731072886494204</v>
      </c>
      <c r="AK2034">
        <v>142.34253396104799</v>
      </c>
      <c r="AL2034">
        <v>90.374013073019199</v>
      </c>
      <c r="AM2034">
        <v>86.724763762403299</v>
      </c>
      <c r="AN2034">
        <v>0.99999996782570699</v>
      </c>
    </row>
    <row r="2035" spans="1:40" x14ac:dyDescent="0.25">
      <c r="A2035" t="str">
        <f>"20190312160956889"</f>
        <v>20190312160956889</v>
      </c>
      <c r="B2035" t="str">
        <f>"1552378196877304"</f>
        <v>1552378196877304</v>
      </c>
      <c r="C2035" t="s">
        <v>40</v>
      </c>
      <c r="D2035">
        <v>4.9946960000000002</v>
      </c>
      <c r="E2035">
        <v>0.4933438</v>
      </c>
      <c r="F2035" t="s">
        <v>76</v>
      </c>
      <c r="G2035">
        <v>-552.51070000000004</v>
      </c>
      <c r="H2035">
        <v>0.6085026</v>
      </c>
      <c r="I2035">
        <v>293.69319999999999</v>
      </c>
      <c r="J2035">
        <v>-410.77190000000002</v>
      </c>
      <c r="K2035">
        <v>1.1099619999999999</v>
      </c>
      <c r="L2035">
        <v>284.99009999999998</v>
      </c>
      <c r="M2035">
        <v>-0.99965769999999998</v>
      </c>
      <c r="N2035">
        <v>0</v>
      </c>
      <c r="O2035">
        <v>2.162886E-2</v>
      </c>
      <c r="P2035">
        <v>-0.99666909999999997</v>
      </c>
      <c r="Q2035">
        <v>-2.1459309999999999E-2</v>
      </c>
      <c r="R2035">
        <v>7.8678590000000007E-2</v>
      </c>
      <c r="S2035">
        <v>-2.9952999999999999</v>
      </c>
      <c r="T2035">
        <v>-1.0568859999999999E-2</v>
      </c>
      <c r="U2035">
        <v>0.18362429999999999</v>
      </c>
      <c r="V2035">
        <v>5.7100829999999998E-2</v>
      </c>
      <c r="W2035">
        <v>-6.7658369999999898E-3</v>
      </c>
      <c r="X2035">
        <v>0.9983455</v>
      </c>
      <c r="Y2035">
        <v>3.958416E-2</v>
      </c>
      <c r="Z2035" s="1">
        <v>-6.4661139999999998E-6</v>
      </c>
      <c r="AA2035">
        <v>0.99921629999999995</v>
      </c>
      <c r="AB2035">
        <v>36</v>
      </c>
      <c r="AC2035">
        <v>-141.7388</v>
      </c>
      <c r="AD2035">
        <v>-0.5014594</v>
      </c>
      <c r="AE2035">
        <v>8.7030999999999992</v>
      </c>
      <c r="AF2035">
        <v>5.6350125241314899</v>
      </c>
      <c r="AG2035">
        <v>-0.5014594</v>
      </c>
      <c r="AH2035">
        <v>141.89212485282599</v>
      </c>
      <c r="AI2035">
        <v>90.202328055347294</v>
      </c>
      <c r="AJ2035">
        <v>87.725787377756205</v>
      </c>
      <c r="AK2035">
        <v>142.00485880041899</v>
      </c>
      <c r="AL2035">
        <v>90.387656858984698</v>
      </c>
      <c r="AM2035">
        <v>86.726507979835802</v>
      </c>
      <c r="AN2035">
        <v>1.0000000093536201</v>
      </c>
    </row>
    <row r="2036" spans="1:40" x14ac:dyDescent="0.25">
      <c r="A2036" t="str">
        <f>"20190312160956912"</f>
        <v>20190312160956912</v>
      </c>
      <c r="B2036" t="str">
        <f>"1552378196907561"</f>
        <v>1552378196907561</v>
      </c>
      <c r="C2036" t="s">
        <v>40</v>
      </c>
      <c r="D2036">
        <v>4.8601999999999999</v>
      </c>
      <c r="E2036">
        <v>0.49345840000000002</v>
      </c>
      <c r="F2036" t="s">
        <v>76</v>
      </c>
      <c r="G2036">
        <v>-552.24580000000003</v>
      </c>
      <c r="H2036">
        <v>0.68578619999999901</v>
      </c>
      <c r="I2036">
        <v>293.69319999999999</v>
      </c>
      <c r="J2036">
        <v>-411.12200000000001</v>
      </c>
      <c r="K2036">
        <v>1.109964</v>
      </c>
      <c r="L2036">
        <v>284.99770000000001</v>
      </c>
      <c r="M2036">
        <v>-0.99965780000000004</v>
      </c>
      <c r="N2036">
        <v>0</v>
      </c>
      <c r="O2036">
        <v>2.1628709999999999E-2</v>
      </c>
      <c r="P2036">
        <v>-0.99667410000000001</v>
      </c>
      <c r="Q2036">
        <v>-2.099314E-2</v>
      </c>
      <c r="R2036">
        <v>7.8738970000000005E-2</v>
      </c>
      <c r="S2036">
        <v>-2.9953310000000002</v>
      </c>
      <c r="T2036">
        <v>-8.9789629999999995E-3</v>
      </c>
      <c r="U2036">
        <v>0.18426509999999999</v>
      </c>
      <c r="V2036">
        <v>5.7161160000000003E-2</v>
      </c>
      <c r="W2036">
        <v>-6.3034919999999999E-3</v>
      </c>
      <c r="X2036">
        <v>0.99834509999999999</v>
      </c>
      <c r="Y2036">
        <v>3.9796699999999997E-2</v>
      </c>
      <c r="Z2036" s="1">
        <v>-5.174577E-6</v>
      </c>
      <c r="AA2036">
        <v>0.99920779999999998</v>
      </c>
      <c r="AB2036">
        <v>35</v>
      </c>
      <c r="AC2036">
        <v>-141.12379999999999</v>
      </c>
      <c r="AD2036">
        <v>-0.42417779999999999</v>
      </c>
      <c r="AE2036">
        <v>8.6954999999999796</v>
      </c>
      <c r="AF2036">
        <v>5.6407584872672603</v>
      </c>
      <c r="AG2036">
        <v>-0.42417779999999999</v>
      </c>
      <c r="AH2036">
        <v>141.27760134438901</v>
      </c>
      <c r="AI2036">
        <v>90.171889782902497</v>
      </c>
      <c r="AJ2036">
        <v>87.713578959191906</v>
      </c>
      <c r="AK2036">
        <v>141.39080141488</v>
      </c>
      <c r="AL2036">
        <v>90.361165866776105</v>
      </c>
      <c r="AM2036">
        <v>86.723055588382394</v>
      </c>
      <c r="AN2036">
        <v>1.00000003545897</v>
      </c>
    </row>
    <row r="2037" spans="1:40" x14ac:dyDescent="0.25">
      <c r="A2037" t="str">
        <f>"20190312160956934"</f>
        <v>20190312160956934</v>
      </c>
      <c r="B2037" t="str">
        <f>"1552378196928056"</f>
        <v>1552378196928056</v>
      </c>
      <c r="C2037" t="s">
        <v>40</v>
      </c>
      <c r="D2037">
        <v>4.9742160000000002</v>
      </c>
      <c r="E2037">
        <v>0.49350870000000002</v>
      </c>
      <c r="F2037" t="s">
        <v>76</v>
      </c>
      <c r="G2037">
        <v>-551.5403</v>
      </c>
      <c r="H2037">
        <v>0.81994509999999898</v>
      </c>
      <c r="I2037">
        <v>293.69319999999999</v>
      </c>
      <c r="J2037">
        <v>-411.47539999999998</v>
      </c>
      <c r="K2037">
        <v>1.109969</v>
      </c>
      <c r="L2037">
        <v>285.00529999999998</v>
      </c>
      <c r="M2037">
        <v>-0.99965789999999999</v>
      </c>
      <c r="N2037">
        <v>0</v>
      </c>
      <c r="O2037">
        <v>2.1628560000000002E-2</v>
      </c>
      <c r="P2037">
        <v>-0.99668630000000003</v>
      </c>
      <c r="Q2037">
        <v>-2.093652E-2</v>
      </c>
      <c r="R2037">
        <v>7.8601580000000004E-2</v>
      </c>
      <c r="S2037">
        <v>-2.9952700000000001</v>
      </c>
      <c r="T2037">
        <v>-6.1845779999999996E-3</v>
      </c>
      <c r="U2037">
        <v>0.18548580000000001</v>
      </c>
      <c r="V2037">
        <v>5.702364E-2</v>
      </c>
      <c r="W2037">
        <v>-6.2506719999999997E-3</v>
      </c>
      <c r="X2037">
        <v>0.99835320000000005</v>
      </c>
      <c r="Y2037">
        <v>4.020381E-2</v>
      </c>
      <c r="Z2037" s="1">
        <v>-3.1439410000000002E-6</v>
      </c>
      <c r="AA2037">
        <v>0.99919150000000001</v>
      </c>
      <c r="AB2037">
        <v>35</v>
      </c>
      <c r="AC2037">
        <v>-140.06489999999999</v>
      </c>
      <c r="AD2037">
        <v>-0.2900239</v>
      </c>
      <c r="AE2037">
        <v>8.6879000000000097</v>
      </c>
      <c r="AF2037">
        <v>5.6561133293859003</v>
      </c>
      <c r="AG2037">
        <v>-0.2900239</v>
      </c>
      <c r="AH2037">
        <v>140.21945647369199</v>
      </c>
      <c r="AI2037">
        <v>90.118411664367699</v>
      </c>
      <c r="AJ2037">
        <v>87.690079293973895</v>
      </c>
      <c r="AK2037">
        <v>140.33378675727101</v>
      </c>
      <c r="AL2037">
        <v>90.358139478665507</v>
      </c>
      <c r="AM2037">
        <v>86.730948703989995</v>
      </c>
      <c r="AN2037">
        <v>0.99999993918476804</v>
      </c>
    </row>
    <row r="2038" spans="1:40" x14ac:dyDescent="0.25">
      <c r="A2038" t="str">
        <f>"20190312160956955"</f>
        <v>20190312160956955</v>
      </c>
      <c r="B2038" t="str">
        <f>"1552378196947580"</f>
        <v>1552378196947580</v>
      </c>
      <c r="C2038" t="s">
        <v>40</v>
      </c>
      <c r="D2038">
        <v>4.9625000000000004</v>
      </c>
      <c r="E2038">
        <v>0.493535</v>
      </c>
      <c r="F2038" t="s">
        <v>76</v>
      </c>
      <c r="G2038">
        <v>-551.81510000000003</v>
      </c>
      <c r="H2038">
        <v>0.90208100000000002</v>
      </c>
      <c r="I2038">
        <v>293.69319999999999</v>
      </c>
      <c r="J2038">
        <v>-411.81729999999999</v>
      </c>
      <c r="K2038">
        <v>1.10997099999999</v>
      </c>
      <c r="L2038">
        <v>285.0127</v>
      </c>
      <c r="M2038">
        <v>-0.99965800000000005</v>
      </c>
      <c r="N2038">
        <v>0</v>
      </c>
      <c r="O2038">
        <v>2.162847E-2</v>
      </c>
      <c r="P2038">
        <v>-0.99669319999999895</v>
      </c>
      <c r="Q2038">
        <v>-2.025296E-2</v>
      </c>
      <c r="R2038">
        <v>7.8694189999999997E-2</v>
      </c>
      <c r="S2038">
        <v>-2.9952390000000002</v>
      </c>
      <c r="T2038">
        <v>-4.435062E-3</v>
      </c>
      <c r="U2038">
        <v>0.1854248</v>
      </c>
      <c r="V2038">
        <v>5.7116310000000003E-2</v>
      </c>
      <c r="W2038">
        <v>-5.5708719999999897E-3</v>
      </c>
      <c r="X2038">
        <v>0.99835200000000002</v>
      </c>
      <c r="Y2038">
        <v>4.0184270000000001E-2</v>
      </c>
      <c r="Z2038" s="1">
        <v>-2.2689150000000002E-6</v>
      </c>
      <c r="AA2038">
        <v>0.99919230000000003</v>
      </c>
      <c r="AB2038">
        <v>35</v>
      </c>
      <c r="AC2038">
        <v>-139.99780000000001</v>
      </c>
      <c r="AD2038">
        <v>-0.20788999999999899</v>
      </c>
      <c r="AE2038">
        <v>8.6804999999999897</v>
      </c>
      <c r="AF2038">
        <v>5.6501911560012701</v>
      </c>
      <c r="AG2038">
        <v>-0.20788999999999899</v>
      </c>
      <c r="AH2038">
        <v>140.15250261329999</v>
      </c>
      <c r="AI2038">
        <v>90.084918520872804</v>
      </c>
      <c r="AJ2038">
        <v>87.691394104037897</v>
      </c>
      <c r="AK2038">
        <v>140.26650301166899</v>
      </c>
      <c r="AL2038">
        <v>90.319189101074798</v>
      </c>
      <c r="AM2038">
        <v>86.725643741073199</v>
      </c>
      <c r="AN2038">
        <v>1.00000001169342</v>
      </c>
    </row>
    <row r="2039" spans="1:40" x14ac:dyDescent="0.25">
      <c r="A2039" t="str">
        <f>"20190312160956978"</f>
        <v>20190312160956978</v>
      </c>
      <c r="B2039" t="str">
        <f>"1552378196968072"</f>
        <v>1552378196968072</v>
      </c>
      <c r="C2039" t="s">
        <v>40</v>
      </c>
      <c r="D2039">
        <v>4.9397060000000002</v>
      </c>
      <c r="E2039">
        <v>0.49360349999999997</v>
      </c>
      <c r="F2039" t="s">
        <v>76</v>
      </c>
      <c r="G2039">
        <v>-551.76369999999997</v>
      </c>
      <c r="H2039">
        <v>1.072908</v>
      </c>
      <c r="I2039">
        <v>293.69319999999999</v>
      </c>
      <c r="J2039">
        <v>-412.17619999999999</v>
      </c>
      <c r="K2039">
        <v>1.109974</v>
      </c>
      <c r="L2039">
        <v>285.0204</v>
      </c>
      <c r="M2039">
        <v>-0.99965800000000005</v>
      </c>
      <c r="N2039">
        <v>0</v>
      </c>
      <c r="O2039">
        <v>2.1628319999999999E-2</v>
      </c>
      <c r="P2039">
        <v>-0.99673719999999999</v>
      </c>
      <c r="Q2039">
        <v>-2.0217479999999999E-2</v>
      </c>
      <c r="R2039">
        <v>7.8144669999999999E-2</v>
      </c>
      <c r="S2039">
        <v>-2.9952999999999999</v>
      </c>
      <c r="T2039">
        <v>-7.9143050000000004E-4</v>
      </c>
      <c r="U2039">
        <v>0.18579100000000001</v>
      </c>
      <c r="V2039">
        <v>5.6566180000000001E-2</v>
      </c>
      <c r="W2039">
        <v>-5.5388779999999997E-3</v>
      </c>
      <c r="X2039">
        <v>0.99838349999999998</v>
      </c>
      <c r="Y2039">
        <v>4.0304880000000001E-2</v>
      </c>
      <c r="Z2039" s="1">
        <v>-3.8891489999999999E-7</v>
      </c>
      <c r="AA2039">
        <v>0.99918739999999995</v>
      </c>
      <c r="AB2039">
        <v>35</v>
      </c>
      <c r="AC2039">
        <v>-139.58749999999901</v>
      </c>
      <c r="AD2039">
        <v>-3.7066000000000002E-2</v>
      </c>
      <c r="AE2039">
        <v>8.6727999999999899</v>
      </c>
      <c r="AF2039">
        <v>5.6514010510015504</v>
      </c>
      <c r="AG2039">
        <v>-3.7066000000000002E-2</v>
      </c>
      <c r="AH2039">
        <v>139.74242925637901</v>
      </c>
      <c r="AI2039">
        <v>90.015185013996899</v>
      </c>
      <c r="AJ2039">
        <v>87.6841316164586</v>
      </c>
      <c r="AK2039">
        <v>139.85666320273</v>
      </c>
      <c r="AL2039">
        <v>90.317355951393907</v>
      </c>
      <c r="AM2039">
        <v>86.757215982633198</v>
      </c>
      <c r="AN2039">
        <v>1.00000001248077</v>
      </c>
    </row>
    <row r="2040" spans="1:40" x14ac:dyDescent="0.25">
      <c r="A2040" t="str">
        <f>"20190312160957001"</f>
        <v>20190312160957001</v>
      </c>
      <c r="B2040" t="str">
        <f>"1552378196987592"</f>
        <v>1552378196987592</v>
      </c>
      <c r="C2040" t="s">
        <v>40</v>
      </c>
      <c r="D2040">
        <v>4.9483290000000002</v>
      </c>
      <c r="E2040">
        <v>0.4937318</v>
      </c>
      <c r="F2040" t="s">
        <v>76</v>
      </c>
      <c r="G2040">
        <v>-552.64530000000002</v>
      </c>
      <c r="H2040">
        <v>1.1246130000000001</v>
      </c>
      <c r="I2040">
        <v>293.69319999999999</v>
      </c>
      <c r="J2040">
        <v>-412.52550000000002</v>
      </c>
      <c r="K2040">
        <v>1.109977</v>
      </c>
      <c r="L2040">
        <v>285.02800000000002</v>
      </c>
      <c r="M2040">
        <v>-0.99965800000000005</v>
      </c>
      <c r="N2040">
        <v>0</v>
      </c>
      <c r="O2040">
        <v>2.1628350000000001E-2</v>
      </c>
      <c r="P2040">
        <v>-0.99675420000000003</v>
      </c>
      <c r="Q2040">
        <v>-2.0194320000000002E-2</v>
      </c>
      <c r="R2040">
        <v>7.7932109999999999E-2</v>
      </c>
      <c r="S2040">
        <v>-2.9953310000000002</v>
      </c>
      <c r="T2040">
        <v>3.1399729999999999E-4</v>
      </c>
      <c r="U2040">
        <v>0.1849365</v>
      </c>
      <c r="V2040">
        <v>5.6353239999999999E-2</v>
      </c>
      <c r="W2040">
        <v>-5.5193940000000004E-3</v>
      </c>
      <c r="X2040">
        <v>0.99839560000000005</v>
      </c>
      <c r="Y2040">
        <v>4.0020260000000002E-2</v>
      </c>
      <c r="Z2040" s="1">
        <v>1.6920880000000001E-7</v>
      </c>
      <c r="AA2040">
        <v>0.9991989</v>
      </c>
      <c r="AB2040">
        <v>35</v>
      </c>
      <c r="AC2040">
        <v>-140.1198</v>
      </c>
      <c r="AD2040">
        <v>1.46359999999998E-2</v>
      </c>
      <c r="AE2040">
        <v>8.6651999999999703</v>
      </c>
      <c r="AF2040">
        <v>5.6322849583241599</v>
      </c>
      <c r="AG2040">
        <v>1.46359999999998E-2</v>
      </c>
      <c r="AH2040">
        <v>140.27444878096301</v>
      </c>
      <c r="AI2040">
        <v>89.9940266678651</v>
      </c>
      <c r="AJ2040">
        <v>87.700700962142307</v>
      </c>
      <c r="AK2040">
        <v>140.38747746457801</v>
      </c>
      <c r="AL2040">
        <v>90.316239599107305</v>
      </c>
      <c r="AM2040">
        <v>86.769436413844801</v>
      </c>
      <c r="AN2040">
        <v>0.99999996273399105</v>
      </c>
    </row>
    <row r="2041" spans="1:40" x14ac:dyDescent="0.25">
      <c r="A2041" t="str">
        <f>"20190312160957023"</f>
        <v>20190312160957023</v>
      </c>
      <c r="B2041" t="str">
        <f>"1552378197017848"</f>
        <v>1552378197017848</v>
      </c>
      <c r="C2041" t="s">
        <v>40</v>
      </c>
      <c r="D2041">
        <v>4.9866289999999998</v>
      </c>
      <c r="E2041">
        <v>0.49376819999999999</v>
      </c>
      <c r="F2041" t="s">
        <v>76</v>
      </c>
      <c r="G2041">
        <v>-552.7106</v>
      </c>
      <c r="H2041">
        <v>1.1452180000000001</v>
      </c>
      <c r="I2041">
        <v>293.69319999999999</v>
      </c>
      <c r="J2041">
        <v>-412.8852</v>
      </c>
      <c r="K2041">
        <v>1.1099829999999999</v>
      </c>
      <c r="L2041">
        <v>285.03579999999999</v>
      </c>
      <c r="M2041">
        <v>-0.99965800000000005</v>
      </c>
      <c r="N2041">
        <v>0</v>
      </c>
      <c r="O2041">
        <v>2.16282E-2</v>
      </c>
      <c r="P2041">
        <v>-0.99677959999999999</v>
      </c>
      <c r="Q2041">
        <v>-2.00363E-2</v>
      </c>
      <c r="R2041">
        <v>7.764799E-2</v>
      </c>
      <c r="S2041">
        <v>-2.9953310000000002</v>
      </c>
      <c r="T2041">
        <v>7.5483319999999996E-4</v>
      </c>
      <c r="U2041">
        <v>0.18515010000000001</v>
      </c>
      <c r="V2041">
        <v>5.6068859999999998E-2</v>
      </c>
      <c r="W2041">
        <v>-5.3650709999999999E-3</v>
      </c>
      <c r="X2041">
        <v>0.99841250000000004</v>
      </c>
      <c r="Y2041">
        <v>4.0091410000000001E-2</v>
      </c>
      <c r="Z2041" s="1">
        <v>3.9777390000000001E-7</v>
      </c>
      <c r="AA2041">
        <v>0.99919599999999997</v>
      </c>
      <c r="AB2041">
        <v>35</v>
      </c>
      <c r="AC2041">
        <v>-139.8254</v>
      </c>
      <c r="AD2041">
        <v>3.52350000000001E-2</v>
      </c>
      <c r="AE2041">
        <v>8.6573999999999902</v>
      </c>
      <c r="AF2041">
        <v>5.6308755570034501</v>
      </c>
      <c r="AG2041">
        <v>3.52350000000001E-2</v>
      </c>
      <c r="AH2041">
        <v>139.97994076785099</v>
      </c>
      <c r="AI2041">
        <v>89.985589468480597</v>
      </c>
      <c r="AJ2041">
        <v>87.696444561879503</v>
      </c>
      <c r="AK2041">
        <v>140.09315407404799</v>
      </c>
      <c r="AL2041">
        <v>90.307397396528003</v>
      </c>
      <c r="AM2041">
        <v>86.785759096856296</v>
      </c>
      <c r="AN2041">
        <v>1.0000000106023901</v>
      </c>
    </row>
    <row r="2042" spans="1:40" x14ac:dyDescent="0.25">
      <c r="A2042" t="str">
        <f>"20190312160957046"</f>
        <v>20190312160957046</v>
      </c>
      <c r="B2042" t="str">
        <f>"1552378197037368"</f>
        <v>1552378197037368</v>
      </c>
      <c r="C2042" t="s">
        <v>40</v>
      </c>
      <c r="D2042">
        <v>5.0348490000000004</v>
      </c>
      <c r="E2042">
        <v>0.50184200000000001</v>
      </c>
      <c r="F2042" t="s">
        <v>76</v>
      </c>
      <c r="G2042">
        <v>-553.24490000000003</v>
      </c>
      <c r="H2042">
        <v>1.2097990000000001</v>
      </c>
      <c r="I2042">
        <v>293.69319999999999</v>
      </c>
      <c r="J2042">
        <v>-413.23489999999998</v>
      </c>
      <c r="K2042">
        <v>1.109985</v>
      </c>
      <c r="L2042">
        <v>285.04329999999999</v>
      </c>
      <c r="M2042">
        <v>-0.99965820000000005</v>
      </c>
      <c r="N2042">
        <v>0</v>
      </c>
      <c r="O2042">
        <v>2.1628049999999999E-2</v>
      </c>
      <c r="P2042">
        <v>-0.99677939999999998</v>
      </c>
      <c r="Q2042">
        <v>-1.958667E-2</v>
      </c>
      <c r="R2042">
        <v>7.776479E-2</v>
      </c>
      <c r="S2042">
        <v>-2.9953310000000002</v>
      </c>
      <c r="T2042">
        <v>2.1319389999999998E-3</v>
      </c>
      <c r="U2042">
        <v>0.18475340000000001</v>
      </c>
      <c r="V2042">
        <v>5.6185819999999997E-2</v>
      </c>
      <c r="W2042">
        <v>-4.9193270000000002E-3</v>
      </c>
      <c r="X2042">
        <v>0.99840819999999997</v>
      </c>
      <c r="Y2042">
        <v>3.9959710000000002E-2</v>
      </c>
      <c r="Z2042" s="1">
        <v>1.170192E-6</v>
      </c>
      <c r="AA2042">
        <v>0.99920129999999996</v>
      </c>
      <c r="AB2042">
        <v>35</v>
      </c>
      <c r="AC2042">
        <v>-140.01</v>
      </c>
      <c r="AD2042">
        <v>9.9814E-2</v>
      </c>
      <c r="AE2042">
        <v>8.6499000000000006</v>
      </c>
      <c r="AF2042">
        <v>5.6194034540735904</v>
      </c>
      <c r="AG2042">
        <v>9.9814E-2</v>
      </c>
      <c r="AH2042">
        <v>140.16427237058701</v>
      </c>
      <c r="AI2042">
        <v>89.959231198477198</v>
      </c>
      <c r="AJ2042">
        <v>87.704152714918806</v>
      </c>
      <c r="AK2042">
        <v>140.276907961326</v>
      </c>
      <c r="AL2042">
        <v>90.281857814790797</v>
      </c>
      <c r="AM2042">
        <v>86.779054429401498</v>
      </c>
      <c r="AN2042">
        <v>0.99999998998722195</v>
      </c>
    </row>
    <row r="2043" spans="1:40" x14ac:dyDescent="0.25">
      <c r="A2043" t="str">
        <f>"20190312160957068"</f>
        <v>20190312160957068</v>
      </c>
      <c r="B2043" t="str">
        <f>"1552378197057865"</f>
        <v>1552378197057865</v>
      </c>
      <c r="C2043" t="s">
        <v>40</v>
      </c>
      <c r="D2043">
        <v>5.0414570000000003</v>
      </c>
      <c r="E2043">
        <v>0.5182814</v>
      </c>
      <c r="F2043" t="s">
        <v>42</v>
      </c>
      <c r="G2043">
        <v>-414.238</v>
      </c>
      <c r="H2043">
        <v>1.025204</v>
      </c>
      <c r="I2043">
        <v>285.12560000000002</v>
      </c>
      <c r="J2043">
        <v>-413.59129999999999</v>
      </c>
      <c r="K2043">
        <v>1.1099840000000001</v>
      </c>
      <c r="L2043">
        <v>285.05110000000002</v>
      </c>
      <c r="M2043">
        <v>-0.99965820000000005</v>
      </c>
      <c r="N2043">
        <v>0</v>
      </c>
      <c r="O2043">
        <v>2.1627899999999999E-2</v>
      </c>
      <c r="P2043">
        <v>-0.99678270000000002</v>
      </c>
      <c r="Q2043">
        <v>-1.9081359999999999E-2</v>
      </c>
      <c r="R2043">
        <v>7.785077E-2</v>
      </c>
      <c r="S2043">
        <v>-2.9856569999999998</v>
      </c>
      <c r="T2043">
        <v>-0.25239149999999999</v>
      </c>
      <c r="U2043">
        <v>0.24407960000000001</v>
      </c>
      <c r="V2043">
        <v>5.6271880000000003E-2</v>
      </c>
      <c r="W2043">
        <v>-4.4179589999999999E-3</v>
      </c>
      <c r="X2043">
        <v>0.99840569999999895</v>
      </c>
      <c r="Y2043">
        <v>5.976646E-2</v>
      </c>
      <c r="Z2043">
        <v>6.9577669999999997E-4</v>
      </c>
      <c r="AA2043">
        <v>0.99821219999999999</v>
      </c>
      <c r="AB2043">
        <v>35</v>
      </c>
      <c r="AC2043">
        <v>-0.646700000000066</v>
      </c>
      <c r="AD2043">
        <v>-8.4779999999999994E-2</v>
      </c>
      <c r="AE2043">
        <v>7.4500000000000399E-2</v>
      </c>
      <c r="AF2043">
        <v>5.9485357719576998E-2</v>
      </c>
      <c r="AG2043">
        <v>-8.4779999999999994E-2</v>
      </c>
      <c r="AH2043">
        <v>0.63734995783855297</v>
      </c>
      <c r="AI2043">
        <v>97.544569113443998</v>
      </c>
      <c r="AJ2043">
        <v>84.667898008035806</v>
      </c>
      <c r="AK2043">
        <v>0.64570978383468203</v>
      </c>
      <c r="AL2043">
        <v>90.253131230162396</v>
      </c>
      <c r="AM2043">
        <v>86.774123247672804</v>
      </c>
      <c r="AN2043">
        <v>0.99999999231647396</v>
      </c>
    </row>
    <row r="2044" spans="1:40" x14ac:dyDescent="0.25">
      <c r="A2044" t="str">
        <f>"20190312160957091"</f>
        <v>20190312160957091</v>
      </c>
      <c r="B2044" t="str">
        <f>"1552378197088121"</f>
        <v>1552378197088121</v>
      </c>
      <c r="C2044" t="s">
        <v>40</v>
      </c>
      <c r="D2044">
        <v>5.4929940000000004</v>
      </c>
      <c r="E2044">
        <v>0.51786350000000003</v>
      </c>
      <c r="F2044" t="s">
        <v>42</v>
      </c>
      <c r="G2044">
        <v>-414.49400000000003</v>
      </c>
      <c r="H2044">
        <v>0.90824559999999999</v>
      </c>
      <c r="I2044">
        <v>285.16289999999998</v>
      </c>
      <c r="J2044">
        <v>-413.9366</v>
      </c>
      <c r="K2044">
        <v>1.1099810000000001</v>
      </c>
      <c r="L2044">
        <v>285.05849999999998</v>
      </c>
      <c r="M2044">
        <v>-0.99965820000000005</v>
      </c>
      <c r="N2044">
        <v>0</v>
      </c>
      <c r="O2044">
        <v>2.162793E-2</v>
      </c>
      <c r="P2044">
        <v>-0.99678949999999999</v>
      </c>
      <c r="Q2044">
        <v>-1.9143429999999999E-2</v>
      </c>
      <c r="R2044">
        <v>7.7743279999999998E-2</v>
      </c>
      <c r="S2044">
        <v>-2.9683229999999998</v>
      </c>
      <c r="T2044">
        <v>-0.66346669999999996</v>
      </c>
      <c r="U2044">
        <v>0.36685180000000001</v>
      </c>
      <c r="V2044">
        <v>5.6163959999999999E-2</v>
      </c>
      <c r="W2044">
        <v>-4.4838040000000001E-3</v>
      </c>
      <c r="X2044">
        <v>0.99841150000000001</v>
      </c>
      <c r="Y2044">
        <v>9.9273940000000005E-2</v>
      </c>
      <c r="Z2044">
        <v>6.1628960000000002E-3</v>
      </c>
      <c r="AA2044">
        <v>0.99504110000000001</v>
      </c>
      <c r="AB2044">
        <v>35</v>
      </c>
      <c r="AC2044">
        <v>-0.55740000000002898</v>
      </c>
      <c r="AD2044">
        <v>-0.20173539999999901</v>
      </c>
      <c r="AE2044">
        <v>0.10439999999999799</v>
      </c>
      <c r="AF2044">
        <v>8.1948435082771803E-2</v>
      </c>
      <c r="AG2044">
        <v>-0.20173539999999901</v>
      </c>
      <c r="AH2044">
        <v>0.49667450250315698</v>
      </c>
      <c r="AI2044">
        <v>111.838641768242</v>
      </c>
      <c r="AJ2044">
        <v>80.630935842158905</v>
      </c>
      <c r="AK2044">
        <v>0.54230828784228802</v>
      </c>
      <c r="AL2044">
        <v>90.256903903847302</v>
      </c>
      <c r="AM2044">
        <v>86.780315572767293</v>
      </c>
      <c r="AN2044">
        <v>1.00000000911672</v>
      </c>
    </row>
    <row r="2045" spans="1:40" x14ac:dyDescent="0.25">
      <c r="A2045" t="str">
        <f>"20190312160957113"</f>
        <v>20190312160957113</v>
      </c>
      <c r="B2045" t="str">
        <f>"1552378197107644"</f>
        <v>1552378197107644</v>
      </c>
      <c r="C2045" t="s">
        <v>40</v>
      </c>
      <c r="D2045">
        <v>5.025207</v>
      </c>
      <c r="E2045">
        <v>0.51936970000000005</v>
      </c>
      <c r="F2045" t="s">
        <v>42</v>
      </c>
      <c r="G2045">
        <v>-414.80669999999998</v>
      </c>
      <c r="H2045">
        <v>0.90697499999999998</v>
      </c>
      <c r="I2045">
        <v>285.1651</v>
      </c>
      <c r="J2045">
        <v>-414.28390000000002</v>
      </c>
      <c r="K2045">
        <v>1.1099730000000001</v>
      </c>
      <c r="L2045">
        <v>285.06599999999997</v>
      </c>
      <c r="M2045">
        <v>-0.9996583</v>
      </c>
      <c r="N2045">
        <v>0</v>
      </c>
      <c r="O2045">
        <v>2.1627839999999999E-2</v>
      </c>
      <c r="P2045">
        <v>-0.99680219999999997</v>
      </c>
      <c r="Q2045">
        <v>-1.9333119999999999E-2</v>
      </c>
      <c r="R2045">
        <v>7.7535179999999995E-2</v>
      </c>
      <c r="S2045">
        <v>-2.9680179999999998</v>
      </c>
      <c r="T2045">
        <v>-0.69250369999999895</v>
      </c>
      <c r="U2045">
        <v>0.36312870000000003</v>
      </c>
      <c r="V2045">
        <v>5.595588E-2</v>
      </c>
      <c r="W2045">
        <v>-4.677222E-3</v>
      </c>
      <c r="X2045">
        <v>0.99842229999999998</v>
      </c>
      <c r="Y2045">
        <v>9.7925100000000001E-2</v>
      </c>
      <c r="Z2045">
        <v>6.272176E-3</v>
      </c>
      <c r="AA2045">
        <v>0.99517409999999995</v>
      </c>
      <c r="AB2045">
        <v>35</v>
      </c>
      <c r="AC2045">
        <v>-0.52279999999996096</v>
      </c>
      <c r="AD2045">
        <v>-0.20299799999999901</v>
      </c>
      <c r="AE2045">
        <v>9.9100000000021199E-2</v>
      </c>
      <c r="AF2045">
        <v>7.6617655317596206E-2</v>
      </c>
      <c r="AG2045">
        <v>-0.20299799999999901</v>
      </c>
      <c r="AH2045">
        <v>0.458143234869273</v>
      </c>
      <c r="AI2045">
        <v>113.606263690246</v>
      </c>
      <c r="AJ2045">
        <v>80.505989006801599</v>
      </c>
      <c r="AK2045">
        <v>0.50692571128997599</v>
      </c>
      <c r="AL2045">
        <v>90.267986054056607</v>
      </c>
      <c r="AM2045">
        <v>86.792253744657998</v>
      </c>
      <c r="AN2045">
        <v>1.0000000130247499</v>
      </c>
    </row>
    <row r="2046" spans="1:40" x14ac:dyDescent="0.25">
      <c r="A2046" t="str">
        <f>"20190312160957135"</f>
        <v>20190312160957135</v>
      </c>
      <c r="B2046" t="str">
        <f>"1552378197128137"</f>
        <v>1552378197128137</v>
      </c>
      <c r="C2046" t="s">
        <v>40</v>
      </c>
      <c r="D2046">
        <v>5.0918400000000004</v>
      </c>
      <c r="E2046">
        <v>0.51887850000000002</v>
      </c>
      <c r="F2046" t="s">
        <v>42</v>
      </c>
      <c r="G2046">
        <v>-415.11939999999998</v>
      </c>
      <c r="H2046">
        <v>0.90641470000000002</v>
      </c>
      <c r="I2046">
        <v>285.17180000000002</v>
      </c>
      <c r="J2046">
        <v>-414.6397</v>
      </c>
      <c r="K2046">
        <v>1.1099749999999999</v>
      </c>
      <c r="L2046">
        <v>285.07369999999997</v>
      </c>
      <c r="M2046">
        <v>-0.9996583</v>
      </c>
      <c r="N2046">
        <v>0</v>
      </c>
      <c r="O2046">
        <v>2.1627690000000001E-2</v>
      </c>
      <c r="P2046">
        <v>-0.99678580000000006</v>
      </c>
      <c r="Q2046">
        <v>-1.9563210000000001E-2</v>
      </c>
      <c r="R2046">
        <v>7.7687179999999995E-2</v>
      </c>
      <c r="S2046">
        <v>-2.9665219999999999</v>
      </c>
      <c r="T2046">
        <v>-0.72281499999999999</v>
      </c>
      <c r="U2046">
        <v>0.37393189999999998</v>
      </c>
      <c r="V2046">
        <v>5.6108289999999998E-2</v>
      </c>
      <c r="W2046">
        <v>-4.9114349999999996E-3</v>
      </c>
      <c r="X2046">
        <v>0.99841259999999998</v>
      </c>
      <c r="Y2046">
        <v>0.1012787</v>
      </c>
      <c r="Z2046">
        <v>6.9421709999999996E-3</v>
      </c>
      <c r="AA2046">
        <v>0.99483390000000005</v>
      </c>
      <c r="AB2046">
        <v>35</v>
      </c>
      <c r="AC2046">
        <v>-0.47969999999997898</v>
      </c>
      <c r="AD2046">
        <v>-0.2035603</v>
      </c>
      <c r="AE2046">
        <v>9.8100000000044901E-2</v>
      </c>
      <c r="AF2046">
        <v>7.4776486254805499E-2</v>
      </c>
      <c r="AG2046">
        <v>-0.2035603</v>
      </c>
      <c r="AH2046">
        <v>0.41071942733201799</v>
      </c>
      <c r="AI2046">
        <v>115.99402669977199</v>
      </c>
      <c r="AJ2046">
        <v>79.681619795625096</v>
      </c>
      <c r="AK2046">
        <v>0.46445534405435202</v>
      </c>
      <c r="AL2046">
        <v>90.281405630713095</v>
      </c>
      <c r="AM2046">
        <v>86.783503772300506</v>
      </c>
      <c r="AN2046">
        <v>0.99999999111962101</v>
      </c>
    </row>
    <row r="2047" spans="1:40" x14ac:dyDescent="0.25">
      <c r="A2047" t="str">
        <f>"20190312160957157"</f>
        <v>20190312160957157</v>
      </c>
      <c r="B2047" t="str">
        <f>"1552378197147657"</f>
        <v>1552378197147657</v>
      </c>
      <c r="C2047" t="s">
        <v>40</v>
      </c>
      <c r="D2047">
        <v>5.5332169999999996</v>
      </c>
      <c r="E2047">
        <v>0.51901549999999996</v>
      </c>
      <c r="F2047" t="s">
        <v>42</v>
      </c>
      <c r="G2047">
        <v>-415.4366</v>
      </c>
      <c r="H2047">
        <v>0.91617919999999997</v>
      </c>
      <c r="I2047">
        <v>285.17349999999999</v>
      </c>
      <c r="J2047">
        <v>-414.98430000000002</v>
      </c>
      <c r="K2047">
        <v>1.1099810000000001</v>
      </c>
      <c r="L2047">
        <v>285.08120000000002</v>
      </c>
      <c r="M2047">
        <v>-0.99965850000000001</v>
      </c>
      <c r="N2047">
        <v>0</v>
      </c>
      <c r="O2047">
        <v>2.1627540000000001E-2</v>
      </c>
      <c r="P2047">
        <v>-0.9967916</v>
      </c>
      <c r="Q2047">
        <v>-1.9421709999999998E-2</v>
      </c>
      <c r="R2047">
        <v>7.7651139999999994E-2</v>
      </c>
      <c r="S2047">
        <v>-2.966675</v>
      </c>
      <c r="T2047">
        <v>-0.72160829999999998</v>
      </c>
      <c r="U2047">
        <v>0.37011719999999998</v>
      </c>
      <c r="V2047">
        <v>5.6072499999999997E-2</v>
      </c>
      <c r="W2047">
        <v>-4.7736840000000003E-3</v>
      </c>
      <c r="X2047">
        <v>0.99841530000000001</v>
      </c>
      <c r="Y2047">
        <v>0.10005550000000001</v>
      </c>
      <c r="Z2047">
        <v>6.7850180000000003E-3</v>
      </c>
      <c r="AA2047">
        <v>0.99495869999999997</v>
      </c>
      <c r="AB2047">
        <v>35</v>
      </c>
      <c r="AC2047">
        <v>-0.452299999999979</v>
      </c>
      <c r="AD2047">
        <v>-0.193801799999999</v>
      </c>
      <c r="AE2047">
        <v>9.2299999999966006E-2</v>
      </c>
      <c r="AF2047">
        <v>7.0133744142704998E-2</v>
      </c>
      <c r="AG2047">
        <v>-0.193801799999999</v>
      </c>
      <c r="AH2047">
        <v>0.38613255075077302</v>
      </c>
      <c r="AI2047">
        <v>116.281326109264</v>
      </c>
      <c r="AJ2047">
        <v>79.705520640844796</v>
      </c>
      <c r="AK2047">
        <v>0.43769421574886302</v>
      </c>
      <c r="AL2047">
        <v>90.273512981378005</v>
      </c>
      <c r="AM2047">
        <v>86.785559861194898</v>
      </c>
      <c r="AN2047">
        <v>1.00000001229463</v>
      </c>
    </row>
    <row r="2048" spans="1:40" x14ac:dyDescent="0.25">
      <c r="A2048" t="str">
        <f>"20190312160957179"</f>
        <v>20190312160957179</v>
      </c>
      <c r="B2048" t="str">
        <f>"1552378197168153"</f>
        <v>1552378197168153</v>
      </c>
      <c r="C2048" t="s">
        <v>40</v>
      </c>
      <c r="D2048">
        <v>5.1224749999999997</v>
      </c>
      <c r="E2048">
        <v>0.51868619999999999</v>
      </c>
      <c r="F2048" t="s">
        <v>42</v>
      </c>
      <c r="G2048">
        <v>-415.75130000000001</v>
      </c>
      <c r="H2048">
        <v>0.92147420000000002</v>
      </c>
      <c r="I2048">
        <v>285.17750000000001</v>
      </c>
      <c r="J2048">
        <v>-415.32400000000001</v>
      </c>
      <c r="K2048">
        <v>1.10998</v>
      </c>
      <c r="L2048">
        <v>285.08850000000001</v>
      </c>
      <c r="M2048">
        <v>-0.99965850000000001</v>
      </c>
      <c r="N2048">
        <v>0</v>
      </c>
      <c r="O2048">
        <v>2.162739E-2</v>
      </c>
      <c r="P2048">
        <v>-0.99680170000000001</v>
      </c>
      <c r="Q2048">
        <v>-1.9127459999999999E-2</v>
      </c>
      <c r="R2048">
        <v>7.759365E-2</v>
      </c>
      <c r="S2048">
        <v>-2.966583</v>
      </c>
      <c r="T2048">
        <v>-0.72903680000000004</v>
      </c>
      <c r="U2048">
        <v>0.37103269999999999</v>
      </c>
      <c r="V2048">
        <v>5.6014880000000003E-2</v>
      </c>
      <c r="W2048">
        <v>-4.4830959999999998E-3</v>
      </c>
      <c r="X2048">
        <v>0.99841990000000003</v>
      </c>
      <c r="Y2048">
        <v>0.10030840000000001</v>
      </c>
      <c r="Z2048">
        <v>6.8835049999999998E-3</v>
      </c>
      <c r="AA2048">
        <v>0.99493259999999994</v>
      </c>
      <c r="AB2048">
        <v>35</v>
      </c>
      <c r="AC2048">
        <v>-0.42730000000000201</v>
      </c>
      <c r="AD2048">
        <v>-0.188505799999999</v>
      </c>
      <c r="AE2048">
        <v>8.8999999999998594E-2</v>
      </c>
      <c r="AF2048">
        <v>6.7201881101781102E-2</v>
      </c>
      <c r="AG2048">
        <v>-0.188505799999999</v>
      </c>
      <c r="AH2048">
        <v>0.361665031745593</v>
      </c>
      <c r="AI2048">
        <v>117.132653070784</v>
      </c>
      <c r="AJ2048">
        <v>79.473776530061997</v>
      </c>
      <c r="AK2048">
        <v>0.41334262379386799</v>
      </c>
      <c r="AL2048">
        <v>90.256863332452298</v>
      </c>
      <c r="AM2048">
        <v>86.788870861667306</v>
      </c>
      <c r="AN2048">
        <v>1.0000000308235799</v>
      </c>
    </row>
    <row r="2049" spans="1:40" x14ac:dyDescent="0.25">
      <c r="A2049" t="str">
        <f>"20190312160957203"</f>
        <v>20190312160957203</v>
      </c>
      <c r="B2049" t="str">
        <f>"1552378197197438"</f>
        <v>1552378197197438</v>
      </c>
      <c r="C2049" t="s">
        <v>40</v>
      </c>
      <c r="D2049">
        <v>5.1179100000000002</v>
      </c>
      <c r="E2049">
        <v>0.51826079999999997</v>
      </c>
      <c r="F2049" t="s">
        <v>42</v>
      </c>
      <c r="G2049">
        <v>-416.06630000000001</v>
      </c>
      <c r="H2049">
        <v>0.92768799999999996</v>
      </c>
      <c r="I2049">
        <v>285.18079999999998</v>
      </c>
      <c r="J2049">
        <v>-415.68299999999999</v>
      </c>
      <c r="K2049">
        <v>1.1099779999999999</v>
      </c>
      <c r="L2049">
        <v>285.09629999999999</v>
      </c>
      <c r="M2049">
        <v>-0.99965850000000001</v>
      </c>
      <c r="N2049">
        <v>0</v>
      </c>
      <c r="O2049">
        <v>2.1627420000000001E-2</v>
      </c>
      <c r="P2049">
        <v>-0.99680230000000003</v>
      </c>
      <c r="Q2049">
        <v>-1.8924360000000001E-2</v>
      </c>
      <c r="R2049">
        <v>7.7632350000000003E-2</v>
      </c>
      <c r="S2049">
        <v>-2.9669490000000001</v>
      </c>
      <c r="T2049">
        <v>-0.72875959999999995</v>
      </c>
      <c r="U2049">
        <v>0.36853029999999998</v>
      </c>
      <c r="V2049">
        <v>5.605338E-2</v>
      </c>
      <c r="W2049">
        <v>-4.2839669999999996E-3</v>
      </c>
      <c r="X2049">
        <v>0.99841860000000004</v>
      </c>
      <c r="Y2049">
        <v>9.9492700000000003E-2</v>
      </c>
      <c r="Z2049">
        <v>6.7821230000000001E-3</v>
      </c>
      <c r="AA2049">
        <v>0.99501519999999999</v>
      </c>
      <c r="AB2049">
        <v>35</v>
      </c>
      <c r="AC2049">
        <v>-0.383299999999962</v>
      </c>
      <c r="AD2049">
        <v>-0.18229000000000001</v>
      </c>
      <c r="AE2049">
        <v>8.4499999999991304E-2</v>
      </c>
      <c r="AF2049">
        <v>6.2671646300388698E-2</v>
      </c>
      <c r="AG2049">
        <v>-0.18229000000000001</v>
      </c>
      <c r="AH2049">
        <v>0.31672280677463899</v>
      </c>
      <c r="AI2049">
        <v>119.449216066066</v>
      </c>
      <c r="AJ2049">
        <v>78.807164878463794</v>
      </c>
      <c r="AK2049">
        <v>0.37077043528470099</v>
      </c>
      <c r="AL2049">
        <v>90.2454539752069</v>
      </c>
      <c r="AM2049">
        <v>86.786664245120704</v>
      </c>
      <c r="AN2049">
        <v>1.00000001730432</v>
      </c>
    </row>
    <row r="2050" spans="1:40" x14ac:dyDescent="0.25">
      <c r="A2050" t="str">
        <f>"20190312160957225"</f>
        <v>20190312160957225</v>
      </c>
      <c r="B2050" t="str">
        <f>"1552378197217931"</f>
        <v>1552378197217931</v>
      </c>
      <c r="C2050" t="s">
        <v>40</v>
      </c>
      <c r="D2050">
        <v>5.2464510000000004</v>
      </c>
      <c r="E2050">
        <v>0.51779039999999998</v>
      </c>
      <c r="F2050" t="s">
        <v>42</v>
      </c>
      <c r="G2050">
        <v>-416.38240000000002</v>
      </c>
      <c r="H2050">
        <v>0.93689239999999996</v>
      </c>
      <c r="I2050">
        <v>285.18279999999999</v>
      </c>
      <c r="J2050">
        <v>-416.03280000000001</v>
      </c>
      <c r="K2050">
        <v>1.109977</v>
      </c>
      <c r="L2050">
        <v>285.10390000000001</v>
      </c>
      <c r="M2050">
        <v>-0.99965859999999995</v>
      </c>
      <c r="N2050">
        <v>0</v>
      </c>
      <c r="O2050">
        <v>2.1627270000000001E-2</v>
      </c>
      <c r="P2050">
        <v>-0.9967317</v>
      </c>
      <c r="Q2050">
        <v>-1.9434960000000001E-2</v>
      </c>
      <c r="R2050">
        <v>7.8413419999999998E-2</v>
      </c>
      <c r="S2050">
        <v>-2.9672550000000002</v>
      </c>
      <c r="T2050">
        <v>-0.73432410000000004</v>
      </c>
      <c r="U2050">
        <v>0.36499019999999999</v>
      </c>
      <c r="V2050">
        <v>5.6836119999999997E-2</v>
      </c>
      <c r="W2050">
        <v>-4.7990560000000003E-3</v>
      </c>
      <c r="X2050">
        <v>0.99837200000000004</v>
      </c>
      <c r="Y2050">
        <v>9.8311709999999997E-2</v>
      </c>
      <c r="Z2050">
        <v>6.6887889999999997E-3</v>
      </c>
      <c r="AA2050">
        <v>0.99513320000000005</v>
      </c>
      <c r="AB2050">
        <v>35</v>
      </c>
      <c r="AC2050">
        <v>-0.34960000000000901</v>
      </c>
      <c r="AD2050">
        <v>-0.17308459999999901</v>
      </c>
      <c r="AE2050">
        <v>7.8899999999975906E-2</v>
      </c>
      <c r="AF2050">
        <v>5.7831386468764803E-2</v>
      </c>
      <c r="AG2050">
        <v>-0.17308459999999901</v>
      </c>
      <c r="AH2050">
        <v>0.28479898089824301</v>
      </c>
      <c r="AI2050">
        <v>120.777519842537</v>
      </c>
      <c r="AJ2050">
        <v>78.521564978270902</v>
      </c>
      <c r="AK2050">
        <v>0.33825021439570002</v>
      </c>
      <c r="AL2050">
        <v>90.274966706355499</v>
      </c>
      <c r="AM2050">
        <v>86.741736874357599</v>
      </c>
      <c r="AN2050">
        <v>1.0000000129295701</v>
      </c>
    </row>
    <row r="2051" spans="1:40" x14ac:dyDescent="0.25">
      <c r="A2051" t="str">
        <f>"20190312160957247"</f>
        <v>20190312160957247</v>
      </c>
      <c r="B2051" t="str">
        <f>"1552378197237452"</f>
        <v>1552378197237452</v>
      </c>
      <c r="C2051" t="s">
        <v>40</v>
      </c>
      <c r="D2051">
        <v>5.1906929999999996</v>
      </c>
      <c r="E2051">
        <v>0.51847589999999999</v>
      </c>
      <c r="F2051" t="s">
        <v>42</v>
      </c>
      <c r="G2051">
        <v>-416.97770000000003</v>
      </c>
      <c r="H2051">
        <v>0.87754549999999998</v>
      </c>
      <c r="I2051">
        <v>285.2199</v>
      </c>
      <c r="J2051">
        <v>-416.3691</v>
      </c>
      <c r="K2051">
        <v>1.10998</v>
      </c>
      <c r="L2051">
        <v>285.11110000000002</v>
      </c>
      <c r="M2051">
        <v>-0.99965870000000001</v>
      </c>
      <c r="N2051">
        <v>0</v>
      </c>
      <c r="O2051">
        <v>2.1627179999999999E-2</v>
      </c>
      <c r="P2051">
        <v>-0.99674309999999999</v>
      </c>
      <c r="Q2051">
        <v>-1.9460040000000001E-2</v>
      </c>
      <c r="R2051">
        <v>7.8258090000000002E-2</v>
      </c>
      <c r="S2051">
        <v>-2.967041</v>
      </c>
      <c r="T2051">
        <v>-0.72997419999999902</v>
      </c>
      <c r="U2051">
        <v>0.36328129999999997</v>
      </c>
      <c r="V2051">
        <v>5.668049E-2</v>
      </c>
      <c r="W2051">
        <v>-4.8277040000000004E-3</v>
      </c>
      <c r="X2051">
        <v>0.99838070000000001</v>
      </c>
      <c r="Y2051">
        <v>9.7796919999999996E-2</v>
      </c>
      <c r="Z2051">
        <v>6.5888309999999999E-3</v>
      </c>
      <c r="AA2051">
        <v>0.99518459999999997</v>
      </c>
      <c r="AB2051">
        <v>35</v>
      </c>
      <c r="AC2051">
        <v>-0.60860000000002301</v>
      </c>
      <c r="AD2051">
        <v>-0.23243449999999999</v>
      </c>
      <c r="AE2051">
        <v>0.108799999999973</v>
      </c>
      <c r="AF2051">
        <v>8.3770450669553603E-2</v>
      </c>
      <c r="AG2051">
        <v>-0.23243449999999999</v>
      </c>
      <c r="AH2051">
        <v>0.53516849998977101</v>
      </c>
      <c r="AI2051">
        <v>113.223938732607</v>
      </c>
      <c r="AJ2051">
        <v>81.103626135235999</v>
      </c>
      <c r="AK2051">
        <v>0.58944771487972702</v>
      </c>
      <c r="AL2051">
        <v>90.276608137476003</v>
      </c>
      <c r="AM2051">
        <v>86.750667837838904</v>
      </c>
      <c r="AN2051">
        <v>1.00000000340252</v>
      </c>
    </row>
    <row r="2052" spans="1:40" x14ac:dyDescent="0.25">
      <c r="A2052" t="str">
        <f>"20190312160957269"</f>
        <v>20190312160957269</v>
      </c>
      <c r="B2052" t="str">
        <f>"1552378197257944"</f>
        <v>1552378197257944</v>
      </c>
      <c r="C2052" t="s">
        <v>40</v>
      </c>
      <c r="D2052">
        <v>5.1298500000000002</v>
      </c>
      <c r="E2052">
        <v>0.54202439999999996</v>
      </c>
      <c r="F2052" t="s">
        <v>42</v>
      </c>
      <c r="G2052">
        <v>-417.29079999999999</v>
      </c>
      <c r="H2052">
        <v>0.88406899999999999</v>
      </c>
      <c r="I2052">
        <v>285.22629999999998</v>
      </c>
      <c r="J2052">
        <v>-416.72430000000003</v>
      </c>
      <c r="K2052">
        <v>1.109977</v>
      </c>
      <c r="L2052">
        <v>285.11880000000002</v>
      </c>
      <c r="M2052">
        <v>-0.99965870000000001</v>
      </c>
      <c r="N2052">
        <v>0</v>
      </c>
      <c r="O2052">
        <v>2.1627210000000001E-2</v>
      </c>
      <c r="P2052">
        <v>-0.99677119999999997</v>
      </c>
      <c r="Q2052">
        <v>-1.9478490000000001E-2</v>
      </c>
      <c r="R2052">
        <v>7.7896129999999994E-2</v>
      </c>
      <c r="S2052">
        <v>-2.9666139999999999</v>
      </c>
      <c r="T2052">
        <v>-0.72720560000000001</v>
      </c>
      <c r="U2052">
        <v>0.36953740000000002</v>
      </c>
      <c r="V2052">
        <v>5.6318149999999997E-2</v>
      </c>
      <c r="W2052">
        <v>-4.8497569999999997E-3</v>
      </c>
      <c r="X2052">
        <v>0.99840110000000004</v>
      </c>
      <c r="Y2052">
        <v>9.9838410000000002E-2</v>
      </c>
      <c r="Z2052">
        <v>6.8103319999999997E-3</v>
      </c>
      <c r="AA2052">
        <v>0.99498030000000004</v>
      </c>
      <c r="AB2052">
        <v>35</v>
      </c>
      <c r="AC2052">
        <v>-0.56649999999996203</v>
      </c>
      <c r="AD2052">
        <v>-0.225907999999999</v>
      </c>
      <c r="AE2052">
        <v>0.107499999999959</v>
      </c>
      <c r="AF2052">
        <v>8.2550476986652493E-2</v>
      </c>
      <c r="AG2052">
        <v>-0.225907999999999</v>
      </c>
      <c r="AH2052">
        <v>0.49301618106265199</v>
      </c>
      <c r="AI2052">
        <v>114.319395086206</v>
      </c>
      <c r="AJ2052">
        <v>80.494589227849403</v>
      </c>
      <c r="AK2052">
        <v>0.54855625099375704</v>
      </c>
      <c r="AL2052">
        <v>90.277871695556101</v>
      </c>
      <c r="AM2052">
        <v>86.771461510229301</v>
      </c>
      <c r="AN2052">
        <v>1.0000000053217899</v>
      </c>
    </row>
    <row r="2053" spans="1:40" x14ac:dyDescent="0.25">
      <c r="A2053" t="str">
        <f>"20190312160957295"</f>
        <v>20190312160957295</v>
      </c>
      <c r="B2053" t="str">
        <f>"1552378197288201"</f>
        <v>1552378197288201</v>
      </c>
      <c r="C2053" t="s">
        <v>40</v>
      </c>
      <c r="D2053">
        <v>5.4149529999999997</v>
      </c>
      <c r="E2053">
        <v>0.54553130000000005</v>
      </c>
      <c r="F2053" t="s">
        <v>42</v>
      </c>
      <c r="G2053">
        <v>-417.60079999999999</v>
      </c>
      <c r="H2053">
        <v>0.88004899999999997</v>
      </c>
      <c r="I2053">
        <v>285.28390000000002</v>
      </c>
      <c r="J2053">
        <v>-417.08240000000001</v>
      </c>
      <c r="K2053">
        <v>1.1099749999999999</v>
      </c>
      <c r="L2053">
        <v>285.1266</v>
      </c>
      <c r="M2053">
        <v>-0.99965879999999996</v>
      </c>
      <c r="N2053">
        <v>0</v>
      </c>
      <c r="O2053">
        <v>2.162706E-2</v>
      </c>
      <c r="P2053">
        <v>-0.99677610000000005</v>
      </c>
      <c r="Q2053">
        <v>-2.031898E-2</v>
      </c>
      <c r="R2053">
        <v>7.7619110000000005E-2</v>
      </c>
      <c r="S2053">
        <v>-2.9511720000000001</v>
      </c>
      <c r="T2053">
        <v>-0.77422650000000004</v>
      </c>
      <c r="U2053">
        <v>0.55508419999999903</v>
      </c>
      <c r="V2053">
        <v>5.6041170000000001E-2</v>
      </c>
      <c r="W2053">
        <v>-5.6940920000000004E-3</v>
      </c>
      <c r="X2053">
        <v>0.99841230000000003</v>
      </c>
      <c r="Y2053">
        <v>0.15905859999999999</v>
      </c>
      <c r="Z2053">
        <v>1.481651E-2</v>
      </c>
      <c r="AA2053">
        <v>0.98715790000000003</v>
      </c>
      <c r="AB2053">
        <v>35</v>
      </c>
      <c r="AC2053">
        <v>-0.51839999999998498</v>
      </c>
      <c r="AD2053">
        <v>-0.22992599999999999</v>
      </c>
      <c r="AE2053">
        <v>0.15730000000002001</v>
      </c>
      <c r="AF2053">
        <v>0.12375761541168</v>
      </c>
      <c r="AG2053">
        <v>-0.22992599999999999</v>
      </c>
      <c r="AH2053">
        <v>0.442052485161058</v>
      </c>
      <c r="AI2053">
        <v>116.60510769375701</v>
      </c>
      <c r="AJ2053">
        <v>74.359806463427404</v>
      </c>
      <c r="AK2053">
        <v>0.51341241948890604</v>
      </c>
      <c r="AL2053">
        <v>90.326249177272501</v>
      </c>
      <c r="AM2053">
        <v>86.787342504205796</v>
      </c>
      <c r="AN2053">
        <v>1.00000007810497</v>
      </c>
    </row>
    <row r="2054" spans="1:40" x14ac:dyDescent="0.25">
      <c r="A2054" t="str">
        <f>"20190312160957314"</f>
        <v>20190312160957314</v>
      </c>
      <c r="B2054" t="str">
        <f>"1552378197307721"</f>
        <v>1552378197307721</v>
      </c>
      <c r="C2054" t="s">
        <v>40</v>
      </c>
      <c r="D2054">
        <v>5.1480290000000002</v>
      </c>
      <c r="E2054">
        <v>0.53479779999999999</v>
      </c>
      <c r="F2054" t="s">
        <v>42</v>
      </c>
      <c r="G2054">
        <v>-417.91379999999998</v>
      </c>
      <c r="H2054">
        <v>0.88752640000000005</v>
      </c>
      <c r="I2054">
        <v>285.2903</v>
      </c>
      <c r="J2054">
        <v>-417.41520000000003</v>
      </c>
      <c r="K2054">
        <v>1.109977</v>
      </c>
      <c r="L2054">
        <v>285.13380000000001</v>
      </c>
      <c r="M2054">
        <v>-0.99965890000000002</v>
      </c>
      <c r="N2054">
        <v>0</v>
      </c>
      <c r="O2054">
        <v>2.1626909999999999E-2</v>
      </c>
      <c r="P2054">
        <v>-0.99678049999999996</v>
      </c>
      <c r="Q2054">
        <v>-2.0212959999999999E-2</v>
      </c>
      <c r="R2054">
        <v>7.7590900000000004E-2</v>
      </c>
      <c r="S2054">
        <v>-2.9484249999999999</v>
      </c>
      <c r="T2054">
        <v>-0.78879650000000001</v>
      </c>
      <c r="U2054">
        <v>0.57995609999999997</v>
      </c>
      <c r="V2054">
        <v>5.6013E-2</v>
      </c>
      <c r="W2054">
        <v>-5.5917199999999997E-3</v>
      </c>
      <c r="X2054">
        <v>0.99841440000000004</v>
      </c>
      <c r="Y2054">
        <v>0.16682049999999901</v>
      </c>
      <c r="Z2054">
        <v>1.6099510000000001E-2</v>
      </c>
      <c r="AA2054">
        <v>0.98585579999999995</v>
      </c>
      <c r="AB2054">
        <v>35</v>
      </c>
      <c r="AC2054">
        <v>-0.49859999999995303</v>
      </c>
      <c r="AD2054">
        <v>-0.222450599999999</v>
      </c>
      <c r="AE2054">
        <v>0.15649999999999401</v>
      </c>
      <c r="AF2054">
        <v>0.123331558206</v>
      </c>
      <c r="AG2054">
        <v>-0.222450599999999</v>
      </c>
      <c r="AH2054">
        <v>0.42488059321614802</v>
      </c>
      <c r="AI2054">
        <v>116.693512763575</v>
      </c>
      <c r="AJ2054">
        <v>73.813389612752005</v>
      </c>
      <c r="AK2054">
        <v>0.49519537677727299</v>
      </c>
      <c r="AL2054">
        <v>90.320383619796004</v>
      </c>
      <c r="AM2054">
        <v>86.788960758045704</v>
      </c>
      <c r="AN2054">
        <v>1.00000001881445</v>
      </c>
    </row>
    <row r="2055" spans="1:40" x14ac:dyDescent="0.25">
      <c r="A2055" t="str">
        <f>"20190312160957336"</f>
        <v>20190312160957336</v>
      </c>
      <c r="B2055" t="str">
        <f>"1552378197327748"</f>
        <v>1552378197327748</v>
      </c>
      <c r="C2055" t="s">
        <v>40</v>
      </c>
      <c r="D2055">
        <v>5.2487469999999998</v>
      </c>
      <c r="E2055">
        <v>0.54463519999999999</v>
      </c>
      <c r="F2055" t="s">
        <v>42</v>
      </c>
      <c r="G2055">
        <v>-418.23790000000002</v>
      </c>
      <c r="H2055">
        <v>0.92289580000000004</v>
      </c>
      <c r="I2055">
        <v>285.27249999999998</v>
      </c>
      <c r="J2055">
        <v>-417.76609999999999</v>
      </c>
      <c r="K2055">
        <v>1.1099749999999999</v>
      </c>
      <c r="L2055">
        <v>285.14139999999998</v>
      </c>
      <c r="M2055">
        <v>-0.99965899999999996</v>
      </c>
      <c r="N2055">
        <v>0</v>
      </c>
      <c r="O2055">
        <v>2.1626929999999999E-2</v>
      </c>
      <c r="P2055">
        <v>-0.99676430000000005</v>
      </c>
      <c r="Q2055">
        <v>-2.0468610000000002E-2</v>
      </c>
      <c r="R2055">
        <v>7.7730499999999994E-2</v>
      </c>
      <c r="S2055">
        <v>-2.9573360000000002</v>
      </c>
      <c r="T2055">
        <v>-0.67259780000000002</v>
      </c>
      <c r="U2055">
        <v>0.49707030000000002</v>
      </c>
      <c r="V2055">
        <v>5.6152790000000001E-2</v>
      </c>
      <c r="W2055">
        <v>-5.8514500000000002E-3</v>
      </c>
      <c r="X2055">
        <v>0.99840499999999999</v>
      </c>
      <c r="Y2055">
        <v>0.14141329999999999</v>
      </c>
      <c r="Z2055">
        <v>1.094962E-2</v>
      </c>
      <c r="AA2055">
        <v>0.9898901</v>
      </c>
      <c r="AB2055">
        <v>35</v>
      </c>
      <c r="AC2055">
        <v>-0.47180000000002997</v>
      </c>
      <c r="AD2055">
        <v>-0.187079199999999</v>
      </c>
      <c r="AE2055">
        <v>0.13110000000000299</v>
      </c>
      <c r="AF2055">
        <v>0.105470226434632</v>
      </c>
      <c r="AG2055">
        <v>-0.187079199999999</v>
      </c>
      <c r="AH2055">
        <v>0.41408535629002102</v>
      </c>
      <c r="AI2055">
        <v>113.644311280656</v>
      </c>
      <c r="AJ2055">
        <v>75.710239553046804</v>
      </c>
      <c r="AK2055">
        <v>0.46646465892996197</v>
      </c>
      <c r="AL2055">
        <v>90.335265315793194</v>
      </c>
      <c r="AM2055">
        <v>86.780933650081806</v>
      </c>
      <c r="AN2055">
        <v>0.99999995965844202</v>
      </c>
    </row>
    <row r="2056" spans="1:40" x14ac:dyDescent="0.25">
      <c r="A2056" t="str">
        <f>"20190312160957358"</f>
        <v>20190312160957358</v>
      </c>
      <c r="B2056" t="str">
        <f>"1552378197347268"</f>
        <v>1552378197347268</v>
      </c>
      <c r="C2056" t="s">
        <v>40</v>
      </c>
      <c r="D2056">
        <v>5.4122979999999998</v>
      </c>
      <c r="E2056">
        <v>0.54211119999999902</v>
      </c>
      <c r="F2056" t="s">
        <v>42</v>
      </c>
      <c r="G2056">
        <v>-418.53660000000002</v>
      </c>
      <c r="H2056">
        <v>0.89834609999999904</v>
      </c>
      <c r="I2056">
        <v>285.29140000000001</v>
      </c>
      <c r="J2056">
        <v>-418.09800000000001</v>
      </c>
      <c r="K2056">
        <v>1.1099810000000001</v>
      </c>
      <c r="L2056">
        <v>285.14859999999999</v>
      </c>
      <c r="M2056">
        <v>-0.99965899999999996</v>
      </c>
      <c r="N2056">
        <v>0</v>
      </c>
      <c r="O2056">
        <v>2.1626960000000001E-2</v>
      </c>
      <c r="P2056">
        <v>-0.99672780000000005</v>
      </c>
      <c r="Q2056">
        <v>-2.0758459999999999E-2</v>
      </c>
      <c r="R2056">
        <v>7.8121910000000003E-2</v>
      </c>
      <c r="S2056">
        <v>-2.948334</v>
      </c>
      <c r="T2056">
        <v>-0.80983689999999997</v>
      </c>
      <c r="U2056">
        <v>0.57357789999999997</v>
      </c>
      <c r="V2056">
        <v>5.6545020000000001E-2</v>
      </c>
      <c r="W2056">
        <v>-6.1454099999999996E-3</v>
      </c>
      <c r="X2056">
        <v>0.99838110000000002</v>
      </c>
      <c r="Y2056">
        <v>0.16458729999999999</v>
      </c>
      <c r="Z2056">
        <v>1.6219379999999999E-2</v>
      </c>
      <c r="AA2056">
        <v>0.98622920000000003</v>
      </c>
      <c r="AB2056">
        <v>35</v>
      </c>
      <c r="AC2056">
        <v>-0.43860000000000798</v>
      </c>
      <c r="AD2056">
        <v>-0.21163489999999999</v>
      </c>
      <c r="AE2056">
        <v>0.14280000000002199</v>
      </c>
      <c r="AF2056">
        <v>0.110101986650367</v>
      </c>
      <c r="AG2056">
        <v>-0.21163489999999999</v>
      </c>
      <c r="AH2056">
        <v>0.36479220059824002</v>
      </c>
      <c r="AI2056">
        <v>119.048038815667</v>
      </c>
      <c r="AJ2056">
        <v>73.205077318349694</v>
      </c>
      <c r="AK2056">
        <v>0.43587283464294302</v>
      </c>
      <c r="AL2056">
        <v>90.352108285686796</v>
      </c>
      <c r="AM2056">
        <v>86.758418664297906</v>
      </c>
      <c r="AN2056">
        <v>0.99999996309403805</v>
      </c>
    </row>
    <row r="2057" spans="1:40" x14ac:dyDescent="0.25">
      <c r="A2057" t="str">
        <f>"20190312160957381"</f>
        <v>20190312160957381</v>
      </c>
      <c r="B2057" t="str">
        <f>"1552378197367764"</f>
        <v>1552378197367764</v>
      </c>
      <c r="C2057" t="s">
        <v>40</v>
      </c>
      <c r="D2057">
        <v>5.3528250000000002</v>
      </c>
      <c r="E2057">
        <v>0.53979909999999998</v>
      </c>
      <c r="F2057" t="s">
        <v>42</v>
      </c>
      <c r="G2057">
        <v>-418.85210000000001</v>
      </c>
      <c r="H2057">
        <v>0.91428299999999996</v>
      </c>
      <c r="I2057">
        <v>285.29090000000002</v>
      </c>
      <c r="J2057">
        <v>-418.44720000000001</v>
      </c>
      <c r="K2057">
        <v>1.1099760000000001</v>
      </c>
      <c r="L2057">
        <v>285.15609999999998</v>
      </c>
      <c r="M2057">
        <v>-0.99965910000000002</v>
      </c>
      <c r="N2057">
        <v>0</v>
      </c>
      <c r="O2057">
        <v>2.1626989999999999E-2</v>
      </c>
      <c r="P2057">
        <v>-0.99671209999999999</v>
      </c>
      <c r="Q2057">
        <v>-2.1042539999999998E-2</v>
      </c>
      <c r="R2057">
        <v>7.8246010000000005E-2</v>
      </c>
      <c r="S2057">
        <v>-2.9503170000000001</v>
      </c>
      <c r="T2057">
        <v>-0.76578819999999903</v>
      </c>
      <c r="U2057">
        <v>0.555481</v>
      </c>
      <c r="V2057">
        <v>5.6669400000000002E-2</v>
      </c>
      <c r="W2057">
        <v>-6.4335470000000004E-3</v>
      </c>
      <c r="X2057">
        <v>0.99837229999999999</v>
      </c>
      <c r="Y2057">
        <v>0.15932379999999999</v>
      </c>
      <c r="Z2057">
        <v>1.469757E-2</v>
      </c>
      <c r="AA2057">
        <v>0.98711700000000002</v>
      </c>
      <c r="AB2057">
        <v>35</v>
      </c>
      <c r="AC2057">
        <v>-0.40489999999999698</v>
      </c>
      <c r="AD2057">
        <v>-0.19569300000000001</v>
      </c>
      <c r="AE2057">
        <v>0.134800000000041</v>
      </c>
      <c r="AF2057">
        <v>0.104116748175642</v>
      </c>
      <c r="AG2057">
        <v>-0.19569300000000001</v>
      </c>
      <c r="AH2057">
        <v>0.33688055840887798</v>
      </c>
      <c r="AI2057">
        <v>119.030074463202</v>
      </c>
      <c r="AJ2057">
        <v>72.825644177792697</v>
      </c>
      <c r="AK2057">
        <v>0.40326735317100398</v>
      </c>
      <c r="AL2057">
        <v>90.368617622096707</v>
      </c>
      <c r="AM2057">
        <v>86.751274959289105</v>
      </c>
      <c r="AN2057">
        <v>1.00000003041532</v>
      </c>
    </row>
    <row r="2058" spans="1:40" x14ac:dyDescent="0.25">
      <c r="A2058" t="str">
        <f>"20190312160957403"</f>
        <v>20190312160957403</v>
      </c>
      <c r="B2058" t="str">
        <f>"1552378197398019"</f>
        <v>1552378197398019</v>
      </c>
      <c r="C2058" t="s">
        <v>40</v>
      </c>
      <c r="D2058">
        <v>5.6170660000000003</v>
      </c>
      <c r="E2058">
        <v>0.53844169999999902</v>
      </c>
      <c r="F2058" t="s">
        <v>42</v>
      </c>
      <c r="G2058">
        <v>-419.16910000000001</v>
      </c>
      <c r="H2058">
        <v>0.93353459999999999</v>
      </c>
      <c r="I2058">
        <v>285.28789999999998</v>
      </c>
      <c r="J2058">
        <v>-418.79539999999997</v>
      </c>
      <c r="K2058">
        <v>1.109972</v>
      </c>
      <c r="L2058">
        <v>285.16359999999997</v>
      </c>
      <c r="M2058">
        <v>-0.99965910000000002</v>
      </c>
      <c r="N2058">
        <v>0</v>
      </c>
      <c r="O2058">
        <v>2.1626840000000001E-2</v>
      </c>
      <c r="P2058">
        <v>-0.99673829999999997</v>
      </c>
      <c r="Q2058">
        <v>-2.1313869999999999E-2</v>
      </c>
      <c r="R2058">
        <v>7.7837649999999994E-2</v>
      </c>
      <c r="S2058">
        <v>-2.9523619999999999</v>
      </c>
      <c r="T2058">
        <v>-0.72169110000000003</v>
      </c>
      <c r="U2058">
        <v>0.53836059999999997</v>
      </c>
      <c r="V2058">
        <v>5.6260589999999999E-2</v>
      </c>
      <c r="W2058">
        <v>-6.7084569999999897E-3</v>
      </c>
      <c r="X2058">
        <v>0.99839359999999999</v>
      </c>
      <c r="Y2058">
        <v>0.1542924</v>
      </c>
      <c r="Z2058">
        <v>1.3272010000000001E-2</v>
      </c>
      <c r="AA2058">
        <v>0.98793609999999998</v>
      </c>
      <c r="AB2058">
        <v>35</v>
      </c>
      <c r="AC2058">
        <v>-0.373700000000042</v>
      </c>
      <c r="AD2058">
        <v>-0.176437399999999</v>
      </c>
      <c r="AE2058">
        <v>0.124300000000005</v>
      </c>
      <c r="AF2058">
        <v>9.6766378033958697E-2</v>
      </c>
      <c r="AG2058">
        <v>-0.176437399999999</v>
      </c>
      <c r="AH2058">
        <v>0.313399484094326</v>
      </c>
      <c r="AI2058">
        <v>118.276762429756</v>
      </c>
      <c r="AJ2058">
        <v>72.841211799271207</v>
      </c>
      <c r="AK2058">
        <v>0.37244210914873799</v>
      </c>
      <c r="AL2058">
        <v>90.384369148883295</v>
      </c>
      <c r="AM2058">
        <v>86.774730093181404</v>
      </c>
      <c r="AN2058">
        <v>1.00000001895171</v>
      </c>
    </row>
    <row r="2059" spans="1:40" x14ac:dyDescent="0.25">
      <c r="A2059" t="str">
        <f>"20190312160957426"</f>
        <v>20190312160957426</v>
      </c>
      <c r="B2059" t="str">
        <f>"1552378197417539"</f>
        <v>1552378197417539</v>
      </c>
      <c r="C2059" t="s">
        <v>40</v>
      </c>
      <c r="D2059">
        <v>5.4077799999999998</v>
      </c>
      <c r="E2059">
        <v>0.53818199999999905</v>
      </c>
      <c r="F2059" t="s">
        <v>42</v>
      </c>
      <c r="G2059">
        <v>-419.48390000000001</v>
      </c>
      <c r="H2059">
        <v>0.94803660000000001</v>
      </c>
      <c r="I2059">
        <v>285.2869</v>
      </c>
      <c r="J2059">
        <v>-419.13659999999999</v>
      </c>
      <c r="K2059">
        <v>1.109979</v>
      </c>
      <c r="L2059">
        <v>285.17099999999999</v>
      </c>
      <c r="M2059">
        <v>-0.99965919999999997</v>
      </c>
      <c r="N2059">
        <v>0</v>
      </c>
      <c r="O2059">
        <v>2.1627049999999998E-2</v>
      </c>
      <c r="P2059">
        <v>-0.99679640000000003</v>
      </c>
      <c r="Q2059">
        <v>-2.1018040000000002E-2</v>
      </c>
      <c r="R2059">
        <v>7.7172229999999994E-2</v>
      </c>
      <c r="S2059">
        <v>-2.953827</v>
      </c>
      <c r="T2059">
        <v>-0.69482219999999995</v>
      </c>
      <c r="U2059">
        <v>0.52697749999999999</v>
      </c>
      <c r="V2059">
        <v>5.5593900000000002E-2</v>
      </c>
      <c r="W2059">
        <v>-6.4157800000000003E-3</v>
      </c>
      <c r="X2059">
        <v>0.99843289999999996</v>
      </c>
      <c r="Y2059">
        <v>0.1508806</v>
      </c>
      <c r="Z2059">
        <v>1.239606E-2</v>
      </c>
      <c r="AA2059">
        <v>0.98847419999999997</v>
      </c>
      <c r="AB2059">
        <v>34</v>
      </c>
      <c r="AC2059">
        <v>-0.34730000000001798</v>
      </c>
      <c r="AD2059">
        <v>-0.16194239999999999</v>
      </c>
      <c r="AE2059">
        <v>0.11590000000001</v>
      </c>
      <c r="AF2059">
        <v>9.06302548771281E-2</v>
      </c>
      <c r="AG2059">
        <v>-0.16194239999999999</v>
      </c>
      <c r="AH2059">
        <v>0.29250115120775</v>
      </c>
      <c r="AI2059">
        <v>117.871815564946</v>
      </c>
      <c r="AJ2059">
        <v>72.784624264396896</v>
      </c>
      <c r="AK2059">
        <v>0.34640454309190599</v>
      </c>
      <c r="AL2059">
        <v>90.3675996198494</v>
      </c>
      <c r="AM2059">
        <v>86.812995586441602</v>
      </c>
      <c r="AN2059">
        <v>1.00000004987631</v>
      </c>
    </row>
    <row r="2060" spans="1:40" x14ac:dyDescent="0.25">
      <c r="A2060" t="str">
        <f>"20190312160957447"</f>
        <v>20190312160957447</v>
      </c>
      <c r="B2060" t="str">
        <f>"1552378197438036"</f>
        <v>1552378197438036</v>
      </c>
      <c r="C2060" t="s">
        <v>40</v>
      </c>
      <c r="D2060">
        <v>5.2127600000000003</v>
      </c>
      <c r="E2060">
        <v>0.52107349999999997</v>
      </c>
      <c r="F2060" t="s">
        <v>42</v>
      </c>
      <c r="G2060">
        <v>-420.07409999999999</v>
      </c>
      <c r="H2060">
        <v>0.89161380000000001</v>
      </c>
      <c r="I2060">
        <v>285.3374</v>
      </c>
      <c r="J2060">
        <v>-419.47399999999999</v>
      </c>
      <c r="K2060">
        <v>1.109988</v>
      </c>
      <c r="L2060">
        <v>285.17829999999998</v>
      </c>
      <c r="M2060">
        <v>-0.99965919999999997</v>
      </c>
      <c r="N2060">
        <v>0</v>
      </c>
      <c r="O2060">
        <v>2.162708E-2</v>
      </c>
      <c r="P2060">
        <v>-0.99686249999999998</v>
      </c>
      <c r="Q2060">
        <v>-2.0970530000000001E-2</v>
      </c>
      <c r="R2060">
        <v>7.6325550000000006E-2</v>
      </c>
      <c r="S2060">
        <v>-2.95459</v>
      </c>
      <c r="T2060">
        <v>-0.68819819999999998</v>
      </c>
      <c r="U2060">
        <v>0.52304079999999997</v>
      </c>
      <c r="V2060">
        <v>5.474594E-2</v>
      </c>
      <c r="W2060">
        <v>-6.3713140000000003E-3</v>
      </c>
      <c r="X2060">
        <v>0.99848000000000003</v>
      </c>
      <c r="Y2060">
        <v>0.14965609999999999</v>
      </c>
      <c r="Z2060">
        <v>1.2139530000000001E-2</v>
      </c>
      <c r="AA2060">
        <v>0.98866359999999998</v>
      </c>
      <c r="AB2060">
        <v>34</v>
      </c>
      <c r="AC2060">
        <v>-0.60009999999999697</v>
      </c>
      <c r="AD2060">
        <v>-0.21837419999999899</v>
      </c>
      <c r="AE2060">
        <v>0.159100000000023</v>
      </c>
      <c r="AF2060">
        <v>0.12999898673076901</v>
      </c>
      <c r="AG2060">
        <v>-0.21837419999999899</v>
      </c>
      <c r="AH2060">
        <v>0.536965345446766</v>
      </c>
      <c r="AI2060">
        <v>111.567075202285</v>
      </c>
      <c r="AJ2060">
        <v>76.390585561554303</v>
      </c>
      <c r="AK2060">
        <v>0.59406970128717396</v>
      </c>
      <c r="AL2060">
        <v>90.365051867964993</v>
      </c>
      <c r="AM2060">
        <v>86.861655998280398</v>
      </c>
      <c r="AN2060">
        <v>1.0000000109942799</v>
      </c>
    </row>
    <row r="2061" spans="1:40" x14ac:dyDescent="0.25">
      <c r="A2061" t="str">
        <f>"20190312160957470"</f>
        <v>20190312160957470</v>
      </c>
      <c r="B2061" t="str">
        <f>"1552378197457556"</f>
        <v>1552378197457556</v>
      </c>
      <c r="C2061" t="s">
        <v>40</v>
      </c>
      <c r="D2061">
        <v>5.2554860000000003</v>
      </c>
      <c r="E2061">
        <v>0.46711019999999998</v>
      </c>
      <c r="F2061" t="s">
        <v>42</v>
      </c>
      <c r="G2061">
        <v>-420.3777</v>
      </c>
      <c r="H2061">
        <v>0.88777329999999999</v>
      </c>
      <c r="I2061">
        <v>285.29539999999997</v>
      </c>
      <c r="J2061">
        <v>-419.82190000000003</v>
      </c>
      <c r="K2061">
        <v>1.1099889999999999</v>
      </c>
      <c r="L2061">
        <v>285.1859</v>
      </c>
      <c r="M2061">
        <v>-0.99965939999999998</v>
      </c>
      <c r="N2061">
        <v>0</v>
      </c>
      <c r="O2061">
        <v>2.1626929999999999E-2</v>
      </c>
      <c r="P2061">
        <v>-0.99687700000000001</v>
      </c>
      <c r="Q2061">
        <v>-2.0706909999999999E-2</v>
      </c>
      <c r="R2061">
        <v>7.6207739999999996E-2</v>
      </c>
      <c r="S2061">
        <v>-2.9647519999999998</v>
      </c>
      <c r="T2061">
        <v>-0.72888889999999995</v>
      </c>
      <c r="U2061">
        <v>0.38366699999999998</v>
      </c>
      <c r="V2061">
        <v>5.4628019999999999E-2</v>
      </c>
      <c r="W2061">
        <v>-6.1115220000000003E-3</v>
      </c>
      <c r="X2061">
        <v>0.99848809999999999</v>
      </c>
      <c r="Y2061">
        <v>0.10443479999999999</v>
      </c>
      <c r="Z2061">
        <v>7.382469E-3</v>
      </c>
      <c r="AA2061">
        <v>0.99450430000000001</v>
      </c>
      <c r="AB2061">
        <v>34</v>
      </c>
      <c r="AC2061">
        <v>-0.55579999999997598</v>
      </c>
      <c r="AD2061">
        <v>-0.22221569999999899</v>
      </c>
      <c r="AE2061">
        <v>0.109499999999968</v>
      </c>
      <c r="AF2061">
        <v>8.4456861420341298E-2</v>
      </c>
      <c r="AG2061">
        <v>-0.22221569999999899</v>
      </c>
      <c r="AH2061">
        <v>0.48362021535720101</v>
      </c>
      <c r="AI2061">
        <v>114.353109289589</v>
      </c>
      <c r="AJ2061">
        <v>80.094065088555297</v>
      </c>
      <c r="AK2061">
        <v>0.53888894168428603</v>
      </c>
      <c r="AL2061">
        <v>90.350166586852893</v>
      </c>
      <c r="AM2061">
        <v>86.8684277180149</v>
      </c>
      <c r="AN2061">
        <v>1.0000000285559401</v>
      </c>
    </row>
    <row r="2062" spans="1:40" x14ac:dyDescent="0.25">
      <c r="A2062" t="str">
        <f>"20190312160957493"</f>
        <v>20190312160957493</v>
      </c>
      <c r="B2062" t="str">
        <f>"1552378197487813"</f>
        <v>1552378197487813</v>
      </c>
      <c r="C2062" t="s">
        <v>40</v>
      </c>
      <c r="D2062">
        <v>5.1676419999999998</v>
      </c>
      <c r="E2062">
        <v>0.46189370000000002</v>
      </c>
      <c r="F2062" t="s">
        <v>74</v>
      </c>
      <c r="G2062">
        <v>-438.7516</v>
      </c>
      <c r="H2062" s="1">
        <v>6.0675090000000004E-6</v>
      </c>
      <c r="I2062">
        <v>284.96440000000001</v>
      </c>
      <c r="J2062">
        <v>-420.1773</v>
      </c>
      <c r="K2062">
        <v>1.10999</v>
      </c>
      <c r="L2062">
        <v>285.19349999999997</v>
      </c>
      <c r="M2062">
        <v>-0.99965939999999998</v>
      </c>
      <c r="N2062">
        <v>0</v>
      </c>
      <c r="O2062">
        <v>2.1626960000000001E-2</v>
      </c>
      <c r="P2062">
        <v>-0.99689170000000005</v>
      </c>
      <c r="Q2062">
        <v>-2.0690500000000001E-2</v>
      </c>
      <c r="R2062">
        <v>7.6021309999999995E-2</v>
      </c>
      <c r="S2062">
        <v>-3.0084529999999998</v>
      </c>
      <c r="T2062">
        <v>-0.1764076</v>
      </c>
      <c r="U2062">
        <v>-3.5186769999999999E-2</v>
      </c>
      <c r="V2062">
        <v>5.4441330000000003E-2</v>
      </c>
      <c r="W2062">
        <v>-6.0988639999999998E-3</v>
      </c>
      <c r="X2062">
        <v>0.99849829999999995</v>
      </c>
      <c r="Y2062">
        <v>-3.322601E-2</v>
      </c>
      <c r="Z2062">
        <v>-2.2403890000000002E-3</v>
      </c>
      <c r="AA2062">
        <v>0.99944540000000004</v>
      </c>
      <c r="AB2062">
        <v>34</v>
      </c>
      <c r="AC2062">
        <v>-18.574299999999901</v>
      </c>
      <c r="AD2062">
        <v>-1.1099839324909999</v>
      </c>
      <c r="AE2062">
        <v>-0.229099999999959</v>
      </c>
      <c r="AF2062">
        <v>-0.62855059901044896</v>
      </c>
      <c r="AG2062">
        <v>-1.1099839324909999</v>
      </c>
      <c r="AH2062">
        <v>18.498946940155601</v>
      </c>
      <c r="AI2062">
        <v>93.431800105099697</v>
      </c>
      <c r="AJ2062">
        <v>91.946026839436101</v>
      </c>
      <c r="AK2062">
        <v>18.542874051252099</v>
      </c>
      <c r="AL2062">
        <v>90.349441349143603</v>
      </c>
      <c r="AM2062">
        <v>86.879140420059997</v>
      </c>
      <c r="AN2062">
        <v>0.99999995482857296</v>
      </c>
    </row>
    <row r="2063" spans="1:40" x14ac:dyDescent="0.25">
      <c r="A2063" t="str">
        <f>"20190312160957515"</f>
        <v>20190312160957515</v>
      </c>
      <c r="B2063" t="str">
        <f>"1552378197507332"</f>
        <v>1552378197507332</v>
      </c>
      <c r="C2063" t="s">
        <v>40</v>
      </c>
      <c r="D2063">
        <v>5.3472879999999998</v>
      </c>
      <c r="E2063">
        <v>0.46093580000000001</v>
      </c>
      <c r="F2063" t="s">
        <v>61</v>
      </c>
      <c r="G2063">
        <v>-446.69880000000001</v>
      </c>
      <c r="H2063" s="1">
        <v>2.0320300000000002E-6</v>
      </c>
      <c r="I2063">
        <v>284.52379999999999</v>
      </c>
      <c r="J2063">
        <v>-420.51080000000002</v>
      </c>
      <c r="K2063">
        <v>1.109996</v>
      </c>
      <c r="L2063">
        <v>285.20069999999998</v>
      </c>
      <c r="M2063">
        <v>-0.99965939999999998</v>
      </c>
      <c r="N2063">
        <v>0</v>
      </c>
      <c r="O2063">
        <v>2.1626980000000001E-2</v>
      </c>
      <c r="P2063">
        <v>-0.99690250000000002</v>
      </c>
      <c r="Q2063">
        <v>-2.032552E-2</v>
      </c>
      <c r="R2063">
        <v>7.597814E-2</v>
      </c>
      <c r="S2063">
        <v>-3.0125730000000002</v>
      </c>
      <c r="T2063">
        <v>-0.12608330000000001</v>
      </c>
      <c r="U2063">
        <v>-7.6080320000000007E-2</v>
      </c>
      <c r="V2063">
        <v>5.4397939999999999E-2</v>
      </c>
      <c r="W2063">
        <v>-5.7374339999999996E-3</v>
      </c>
      <c r="X2063">
        <v>0.99850289999999997</v>
      </c>
      <c r="Y2063">
        <v>-4.6802839999999998E-2</v>
      </c>
      <c r="Z2063">
        <v>-1.883525E-3</v>
      </c>
      <c r="AA2063">
        <v>0.99890239999999997</v>
      </c>
      <c r="AB2063">
        <v>34</v>
      </c>
      <c r="AC2063">
        <v>-26.187999999999899</v>
      </c>
      <c r="AD2063">
        <v>-1.1099939679699999</v>
      </c>
      <c r="AE2063">
        <v>-0.67689999999998895</v>
      </c>
      <c r="AF2063">
        <v>-1.2409415161165001</v>
      </c>
      <c r="AG2063">
        <v>-1.1099939679699999</v>
      </c>
      <c r="AH2063">
        <v>26.120337837329501</v>
      </c>
      <c r="AI2063">
        <v>92.430604314660798</v>
      </c>
      <c r="AJ2063">
        <v>92.719998920675195</v>
      </c>
      <c r="AK2063">
        <v>26.173346579900301</v>
      </c>
      <c r="AL2063">
        <v>90.328732541326403</v>
      </c>
      <c r="AM2063">
        <v>86.881637186723907</v>
      </c>
      <c r="AN2063">
        <v>1.0000000476667701</v>
      </c>
    </row>
    <row r="2064" spans="1:40" x14ac:dyDescent="0.25">
      <c r="A2064" t="str">
        <f>"20190312160957538"</f>
        <v>20190312160957538</v>
      </c>
      <c r="B2064" t="str">
        <f>"1552378197528335"</f>
        <v>1552378197528335</v>
      </c>
      <c r="C2064" t="s">
        <v>40</v>
      </c>
      <c r="D2064">
        <v>5.3616919999999997</v>
      </c>
      <c r="E2064">
        <v>0.46105990000000002</v>
      </c>
      <c r="F2064" t="s">
        <v>61</v>
      </c>
      <c r="G2064">
        <v>-449.2724</v>
      </c>
      <c r="H2064" s="1">
        <v>3.406964E-6</v>
      </c>
      <c r="I2064">
        <v>284.4006</v>
      </c>
      <c r="J2064">
        <v>-420.85239999999999</v>
      </c>
      <c r="K2064">
        <v>1.1100030000000001</v>
      </c>
      <c r="L2064">
        <v>285.2081</v>
      </c>
      <c r="M2064">
        <v>-0.99965939999999998</v>
      </c>
      <c r="N2064">
        <v>0</v>
      </c>
      <c r="O2064">
        <v>2.1627009999999999E-2</v>
      </c>
      <c r="P2064">
        <v>-0.99688359999999998</v>
      </c>
      <c r="Q2064">
        <v>-1.996239E-2</v>
      </c>
      <c r="R2064">
        <v>7.6320949999999999E-2</v>
      </c>
      <c r="S2064">
        <v>-3.013306</v>
      </c>
      <c r="T2064">
        <v>-0.1162921</v>
      </c>
      <c r="U2064">
        <v>-8.3831790000000003E-2</v>
      </c>
      <c r="V2064">
        <v>5.4741110000000003E-2</v>
      </c>
      <c r="W2064">
        <v>-5.3782269999999898E-3</v>
      </c>
      <c r="X2064">
        <v>0.99848610000000004</v>
      </c>
      <c r="Y2064">
        <v>-4.9371409999999998E-2</v>
      </c>
      <c r="Z2064">
        <v>-1.7864339999999999E-3</v>
      </c>
      <c r="AA2064">
        <v>0.99877890000000003</v>
      </c>
      <c r="AB2064">
        <v>34</v>
      </c>
      <c r="AC2064">
        <v>-28.42</v>
      </c>
      <c r="AD2064">
        <v>-1.109999593036</v>
      </c>
      <c r="AE2064">
        <v>-0.80750000000000399</v>
      </c>
      <c r="AF2064">
        <v>-1.4198521320754001</v>
      </c>
      <c r="AG2064">
        <v>-1.109999593036</v>
      </c>
      <c r="AH2064">
        <v>28.352670077330799</v>
      </c>
      <c r="AI2064">
        <v>92.239166669586595</v>
      </c>
      <c r="AJ2064">
        <v>92.866877486911903</v>
      </c>
      <c r="AK2064">
        <v>28.409892285742099</v>
      </c>
      <c r="AL2064">
        <v>90.308151192960395</v>
      </c>
      <c r="AM2064">
        <v>86.861951460457703</v>
      </c>
      <c r="AN2064">
        <v>1.00000000317145</v>
      </c>
    </row>
    <row r="2065" spans="1:40" x14ac:dyDescent="0.25">
      <c r="A2065" t="str">
        <f>"20190312160957559"</f>
        <v>20190312160957559</v>
      </c>
      <c r="B2065" t="str">
        <f>"1552378197547856"</f>
        <v>1552378197547856</v>
      </c>
      <c r="C2065" t="s">
        <v>40</v>
      </c>
      <c r="D2065">
        <v>5.3549569999999997</v>
      </c>
      <c r="E2065">
        <v>0.4614222</v>
      </c>
      <c r="F2065" t="s">
        <v>61</v>
      </c>
      <c r="G2065">
        <v>-450.01710000000003</v>
      </c>
      <c r="H2065" s="1">
        <v>-1.51887E-6</v>
      </c>
      <c r="I2065">
        <v>284.41449999999998</v>
      </c>
      <c r="J2065">
        <v>-421.1816</v>
      </c>
      <c r="K2065">
        <v>1.110012</v>
      </c>
      <c r="L2065">
        <v>285.21530000000001</v>
      </c>
      <c r="M2065">
        <v>-0.99965950000000003</v>
      </c>
      <c r="N2065">
        <v>0</v>
      </c>
      <c r="O2065">
        <v>2.1626860000000001E-2</v>
      </c>
      <c r="P2065">
        <v>-0.99688980000000005</v>
      </c>
      <c r="Q2065">
        <v>-1.937504E-2</v>
      </c>
      <c r="R2065">
        <v>7.6390940000000004E-2</v>
      </c>
      <c r="S2065">
        <v>-3.0133670000000001</v>
      </c>
      <c r="T2065">
        <v>-0.1146884</v>
      </c>
      <c r="U2065">
        <v>-8.2000729999999994E-2</v>
      </c>
      <c r="V2065">
        <v>5.481105E-2</v>
      </c>
      <c r="W2065">
        <v>-4.7943880000000001E-3</v>
      </c>
      <c r="X2065">
        <v>0.99848519999999996</v>
      </c>
      <c r="Y2065">
        <v>-4.8766129999999998E-2</v>
      </c>
      <c r="Z2065">
        <v>-1.7502749999999999E-3</v>
      </c>
      <c r="AA2065">
        <v>0.99880869999999999</v>
      </c>
      <c r="AB2065">
        <v>34</v>
      </c>
      <c r="AC2065">
        <v>-28.8355</v>
      </c>
      <c r="AD2065">
        <v>-1.11001351887</v>
      </c>
      <c r="AE2065">
        <v>-0.80080000000003704</v>
      </c>
      <c r="AF2065">
        <v>-1.4221946193269299</v>
      </c>
      <c r="AG2065">
        <v>-1.11001351887</v>
      </c>
      <c r="AH2065">
        <v>28.768835669618099</v>
      </c>
      <c r="AI2065">
        <v>92.206905506280506</v>
      </c>
      <c r="AJ2065">
        <v>92.830127292722096</v>
      </c>
      <c r="AK2065">
        <v>28.825347757361101</v>
      </c>
      <c r="AL2065">
        <v>90.274699259477899</v>
      </c>
      <c r="AM2065">
        <v>86.857947333391806</v>
      </c>
      <c r="AN2065">
        <v>0.99999996598871699</v>
      </c>
    </row>
    <row r="2066" spans="1:40" x14ac:dyDescent="0.25">
      <c r="A2066" t="str">
        <f>"20190312160957582"</f>
        <v>20190312160957582</v>
      </c>
      <c r="B2066" t="str">
        <f>"1552378197568351"</f>
        <v>1552378197568351</v>
      </c>
      <c r="C2066" t="s">
        <v>40</v>
      </c>
      <c r="D2066">
        <v>5.3619649999999996</v>
      </c>
      <c r="E2066">
        <v>0.46176109999999998</v>
      </c>
      <c r="F2066" t="s">
        <v>61</v>
      </c>
      <c r="G2066">
        <v>-452.6728</v>
      </c>
      <c r="H2066" s="1">
        <v>-1.047273E-7</v>
      </c>
      <c r="I2066">
        <v>284.3931</v>
      </c>
      <c r="J2066">
        <v>-421.52359999999999</v>
      </c>
      <c r="K2066">
        <v>1.110004</v>
      </c>
      <c r="L2066">
        <v>285.22269999999997</v>
      </c>
      <c r="M2066">
        <v>-0.99965950000000003</v>
      </c>
      <c r="N2066">
        <v>0</v>
      </c>
      <c r="O2066">
        <v>2.1626889999999999E-2</v>
      </c>
      <c r="P2066">
        <v>-0.99692049999999999</v>
      </c>
      <c r="Q2066">
        <v>-1.8797500000000002E-2</v>
      </c>
      <c r="R2066">
        <v>7.6131900000000002E-2</v>
      </c>
      <c r="S2066">
        <v>-3.0133670000000001</v>
      </c>
      <c r="T2066">
        <v>-0.1062163</v>
      </c>
      <c r="U2066">
        <v>-7.8674320000000006E-2</v>
      </c>
      <c r="V2066">
        <v>5.4551339999999997E-2</v>
      </c>
      <c r="W2066">
        <v>-4.2202400000000001E-3</v>
      </c>
      <c r="X2066">
        <v>0.99850209999999995</v>
      </c>
      <c r="Y2066">
        <v>-4.7672260000000001E-2</v>
      </c>
      <c r="Z2066">
        <v>-1.6018180000000001E-3</v>
      </c>
      <c r="AA2066">
        <v>0.99886169999999996</v>
      </c>
      <c r="AB2066">
        <v>34</v>
      </c>
      <c r="AC2066">
        <v>-31.1492</v>
      </c>
      <c r="AD2066">
        <v>-1.1100041047272999</v>
      </c>
      <c r="AE2066">
        <v>-0.82959999999997003</v>
      </c>
      <c r="AF2066">
        <v>-1.5012330549586801</v>
      </c>
      <c r="AG2066">
        <v>-1.1100041047272999</v>
      </c>
      <c r="AH2066">
        <v>31.084524452728999</v>
      </c>
      <c r="AI2066">
        <v>92.042739721178606</v>
      </c>
      <c r="AJ2066">
        <v>92.764962278271497</v>
      </c>
      <c r="AK2066">
        <v>31.140543833563999</v>
      </c>
      <c r="AL2066">
        <v>90.241802645872099</v>
      </c>
      <c r="AM2066">
        <v>86.872858457167894</v>
      </c>
      <c r="AN2066">
        <v>1.0000000514129299</v>
      </c>
    </row>
    <row r="2067" spans="1:40" x14ac:dyDescent="0.25">
      <c r="A2067" t="str">
        <f>"20190312160957606"</f>
        <v>20190312160957606</v>
      </c>
      <c r="B2067" t="str">
        <f>"1552378197597635"</f>
        <v>1552378197597635</v>
      </c>
      <c r="C2067" t="s">
        <v>40</v>
      </c>
      <c r="D2067">
        <v>5.3687079999999998</v>
      </c>
      <c r="E2067">
        <v>0.46214490000000003</v>
      </c>
      <c r="F2067" t="s">
        <v>61</v>
      </c>
      <c r="G2067">
        <v>-454.63200000000001</v>
      </c>
      <c r="H2067" s="1">
        <v>9.3840509999999996E-7</v>
      </c>
      <c r="I2067">
        <v>284.38130000000001</v>
      </c>
      <c r="J2067">
        <v>-421.88889999999998</v>
      </c>
      <c r="K2067">
        <v>1.110004</v>
      </c>
      <c r="L2067">
        <v>285.23059999999998</v>
      </c>
      <c r="M2067">
        <v>-0.99965959999999998</v>
      </c>
      <c r="N2067">
        <v>0</v>
      </c>
      <c r="O2067">
        <v>2.1626920000000001E-2</v>
      </c>
      <c r="P2067">
        <v>-0.99692309999999995</v>
      </c>
      <c r="Q2067">
        <v>-1.9199589999999999E-2</v>
      </c>
      <c r="R2067">
        <v>7.5999899999999995E-2</v>
      </c>
      <c r="S2067">
        <v>-3.0132140000000001</v>
      </c>
      <c r="T2067">
        <v>-0.1010219</v>
      </c>
      <c r="U2067">
        <v>-7.6568600000000001E-2</v>
      </c>
      <c r="V2067">
        <v>5.441932E-2</v>
      </c>
      <c r="W2067">
        <v>-4.626247E-3</v>
      </c>
      <c r="X2067">
        <v>0.99850740000000004</v>
      </c>
      <c r="Y2067">
        <v>-4.6980510000000003E-2</v>
      </c>
      <c r="Z2067">
        <v>-1.512027E-3</v>
      </c>
      <c r="AA2067">
        <v>0.99889470000000002</v>
      </c>
      <c r="AB2067">
        <v>34</v>
      </c>
      <c r="AC2067">
        <v>-32.743099999999899</v>
      </c>
      <c r="AD2067">
        <v>-1.1100030615948999</v>
      </c>
      <c r="AE2067">
        <v>-0.84929999999997097</v>
      </c>
      <c r="AF2067">
        <v>-1.55552267514193</v>
      </c>
      <c r="AG2067">
        <v>-1.1100030615948999</v>
      </c>
      <c r="AH2067">
        <v>32.679539199725902</v>
      </c>
      <c r="AI2067">
        <v>91.943179395480499</v>
      </c>
      <c r="AJ2067">
        <v>92.725181196432004</v>
      </c>
      <c r="AK2067">
        <v>32.735363750782597</v>
      </c>
      <c r="AL2067">
        <v>90.265065387845993</v>
      </c>
      <c r="AM2067">
        <v>86.880428029508394</v>
      </c>
      <c r="AN2067">
        <v>0.99999994620266197</v>
      </c>
    </row>
    <row r="2068" spans="1:40" x14ac:dyDescent="0.25">
      <c r="A2068" t="str">
        <f>"20190312160957626"</f>
        <v>20190312160957626</v>
      </c>
      <c r="B2068" t="str">
        <f>"1552378197617658"</f>
        <v>1552378197617658</v>
      </c>
      <c r="C2068" t="s">
        <v>40</v>
      </c>
      <c r="D2068">
        <v>5.3764379999999896</v>
      </c>
      <c r="E2068">
        <v>0.46196470000000001</v>
      </c>
      <c r="F2068" t="s">
        <v>61</v>
      </c>
      <c r="G2068">
        <v>-452.28050000000002</v>
      </c>
      <c r="H2068" s="1">
        <v>-3.1737650000000001E-7</v>
      </c>
      <c r="I2068">
        <v>284.48309999999998</v>
      </c>
      <c r="J2068">
        <v>-422.2011</v>
      </c>
      <c r="K2068">
        <v>1.110004</v>
      </c>
      <c r="L2068">
        <v>285.23739999999998</v>
      </c>
      <c r="M2068">
        <v>-0.99965970000000004</v>
      </c>
      <c r="N2068">
        <v>0</v>
      </c>
      <c r="O2068">
        <v>2.1626820000000001E-2</v>
      </c>
      <c r="P2068">
        <v>-0.99691689999999999</v>
      </c>
      <c r="Q2068">
        <v>-1.9258819999999999E-2</v>
      </c>
      <c r="R2068">
        <v>7.6065229999999998E-2</v>
      </c>
      <c r="S2068">
        <v>-3.0127869999999999</v>
      </c>
      <c r="T2068">
        <v>-0.1100368</v>
      </c>
      <c r="U2068">
        <v>-7.4096679999999998E-2</v>
      </c>
      <c r="V2068">
        <v>5.448484E-2</v>
      </c>
      <c r="W2068">
        <v>-4.6889369999999998E-3</v>
      </c>
      <c r="X2068">
        <v>0.99850360000000005</v>
      </c>
      <c r="Y2068">
        <v>-4.6158299999999999E-2</v>
      </c>
      <c r="Z2068">
        <v>-1.632108E-3</v>
      </c>
      <c r="AA2068">
        <v>0.99893279999999995</v>
      </c>
      <c r="AB2068">
        <v>34</v>
      </c>
      <c r="AC2068">
        <v>-30.0794</v>
      </c>
      <c r="AD2068">
        <v>-1.1100043173765</v>
      </c>
      <c r="AE2068">
        <v>-0.75429999999999997</v>
      </c>
      <c r="AF2068">
        <v>-1.4028053965396401</v>
      </c>
      <c r="AG2068">
        <v>-1.1100043173765</v>
      </c>
      <c r="AH2068">
        <v>30.015199683786602</v>
      </c>
      <c r="AI2068">
        <v>92.115606195655303</v>
      </c>
      <c r="AJ2068">
        <v>92.675857072323893</v>
      </c>
      <c r="AK2068">
        <v>30.0684583013952</v>
      </c>
      <c r="AL2068">
        <v>90.268657281857003</v>
      </c>
      <c r="AM2068">
        <v>86.876667683155205</v>
      </c>
      <c r="AN2068">
        <v>1.00000001156648</v>
      </c>
    </row>
    <row r="2069" spans="1:40" x14ac:dyDescent="0.25">
      <c r="A2069" t="str">
        <f>"20190312160957647"</f>
        <v>20190312160957647</v>
      </c>
      <c r="B2069" t="str">
        <f>"1552378197638154"</f>
        <v>1552378197638154</v>
      </c>
      <c r="C2069" t="s">
        <v>40</v>
      </c>
      <c r="D2069">
        <v>5.4355710000000004</v>
      </c>
      <c r="E2069">
        <v>0.46176590000000001</v>
      </c>
      <c r="F2069" t="s">
        <v>61</v>
      </c>
      <c r="G2069">
        <v>-452.52850000000001</v>
      </c>
      <c r="H2069" s="1">
        <v>-1.852144E-7</v>
      </c>
      <c r="I2069">
        <v>284.47859999999997</v>
      </c>
      <c r="J2069">
        <v>-422.53719999999998</v>
      </c>
      <c r="K2069">
        <v>1.110007</v>
      </c>
      <c r="L2069">
        <v>285.24459999999999</v>
      </c>
      <c r="M2069">
        <v>-0.99965970000000004</v>
      </c>
      <c r="N2069">
        <v>0</v>
      </c>
      <c r="O2069">
        <v>2.162685E-2</v>
      </c>
      <c r="P2069">
        <v>-0.99691620000000003</v>
      </c>
      <c r="Q2069">
        <v>-1.9277989999999998E-2</v>
      </c>
      <c r="R2069">
        <v>7.6068339999999998E-2</v>
      </c>
      <c r="S2069">
        <v>-3.0128780000000002</v>
      </c>
      <c r="T2069">
        <v>-0.11027339999999999</v>
      </c>
      <c r="U2069">
        <v>-7.5378420000000002E-2</v>
      </c>
      <c r="V2069">
        <v>5.4487819999999999E-2</v>
      </c>
      <c r="W2069">
        <v>-4.7117890000000001E-3</v>
      </c>
      <c r="X2069">
        <v>0.99850329999999998</v>
      </c>
      <c r="Y2069">
        <v>-4.65818E-2</v>
      </c>
      <c r="Z2069">
        <v>-1.6433039999999999E-3</v>
      </c>
      <c r="AA2069">
        <v>0.9989131</v>
      </c>
      <c r="AB2069">
        <v>34</v>
      </c>
      <c r="AC2069">
        <v>-29.991299999999999</v>
      </c>
      <c r="AD2069">
        <v>-1.11000718521439</v>
      </c>
      <c r="AE2069">
        <v>-0.766000000000019</v>
      </c>
      <c r="AF2069">
        <v>-1.4125734635830201</v>
      </c>
      <c r="AG2069">
        <v>-1.11000718521439</v>
      </c>
      <c r="AH2069">
        <v>29.926748683725801</v>
      </c>
      <c r="AI2069">
        <v>92.121812664874696</v>
      </c>
      <c r="AJ2069">
        <v>92.702414255575903</v>
      </c>
      <c r="AK2069">
        <v>29.9806231843191</v>
      </c>
      <c r="AL2069">
        <v>90.269966627496004</v>
      </c>
      <c r="AM2069">
        <v>86.876496256915701</v>
      </c>
      <c r="AN2069">
        <v>0.99999998179741101</v>
      </c>
    </row>
    <row r="2070" spans="1:40" x14ac:dyDescent="0.25">
      <c r="A2070" t="str">
        <f>"20190312160957672"</f>
        <v>20190312160957672</v>
      </c>
      <c r="B2070" t="str">
        <f>"1552378197667434"</f>
        <v>1552378197667434</v>
      </c>
      <c r="C2070" t="s">
        <v>40</v>
      </c>
      <c r="D2070">
        <v>5.4859220000000004</v>
      </c>
      <c r="E2070">
        <v>0.4216934</v>
      </c>
      <c r="F2070" t="s">
        <v>61</v>
      </c>
      <c r="G2070">
        <v>-452.51249999999999</v>
      </c>
      <c r="H2070" s="1">
        <v>-1.9372099999999999E-7</v>
      </c>
      <c r="I2070">
        <v>284.47829999999999</v>
      </c>
      <c r="J2070">
        <v>-422.88720000000001</v>
      </c>
      <c r="K2070">
        <v>1.1100080000000001</v>
      </c>
      <c r="L2070">
        <v>285.25220000000002</v>
      </c>
      <c r="M2070">
        <v>-0.99965970000000004</v>
      </c>
      <c r="N2070">
        <v>0</v>
      </c>
      <c r="O2070">
        <v>2.1626880000000001E-2</v>
      </c>
      <c r="P2070">
        <v>-0.99696629999999997</v>
      </c>
      <c r="Q2070">
        <v>-1.928713E-2</v>
      </c>
      <c r="R2070">
        <v>7.5409589999999999E-2</v>
      </c>
      <c r="S2070">
        <v>-3.0130309999999998</v>
      </c>
      <c r="T2070">
        <v>-0.1115748</v>
      </c>
      <c r="U2070">
        <v>-7.7026369999999997E-2</v>
      </c>
      <c r="V2070">
        <v>5.382845E-2</v>
      </c>
      <c r="W2070">
        <v>-4.7242120000000002E-3</v>
      </c>
      <c r="X2070">
        <v>0.99853899999999995</v>
      </c>
      <c r="Y2070">
        <v>-4.7125109999999998E-2</v>
      </c>
      <c r="Z2070">
        <v>-1.6726460000000001E-3</v>
      </c>
      <c r="AA2070">
        <v>0.99888759999999999</v>
      </c>
      <c r="AB2070">
        <v>34</v>
      </c>
      <c r="AC2070">
        <v>-29.6252999999999</v>
      </c>
      <c r="AD2070">
        <v>-1.11000819372099</v>
      </c>
      <c r="AE2070">
        <v>-0.77390000000002501</v>
      </c>
      <c r="AF2070">
        <v>-1.41250830734807</v>
      </c>
      <c r="AG2070">
        <v>-1.11000819372099</v>
      </c>
      <c r="AH2070">
        <v>29.560160371358801</v>
      </c>
      <c r="AI2070">
        <v>92.148044327038093</v>
      </c>
      <c r="AJ2070">
        <v>92.735751450320805</v>
      </c>
      <c r="AK2070">
        <v>29.6146986999515</v>
      </c>
      <c r="AL2070">
        <v>90.270678422099905</v>
      </c>
      <c r="AM2070">
        <v>86.914331130149506</v>
      </c>
      <c r="AN2070">
        <v>0.99999997736471102</v>
      </c>
    </row>
    <row r="2071" spans="1:40" x14ac:dyDescent="0.25">
      <c r="A2071" t="str">
        <f>"20190312160957696"</f>
        <v>20190312160957696</v>
      </c>
      <c r="B2071" t="str">
        <f>"1552378197687929"</f>
        <v>1552378197687929</v>
      </c>
      <c r="C2071" t="s">
        <v>40</v>
      </c>
      <c r="D2071">
        <v>5.485506</v>
      </c>
      <c r="E2071">
        <v>0.41739929999999997</v>
      </c>
      <c r="F2071" t="s">
        <v>61</v>
      </c>
      <c r="G2071">
        <v>-461.238</v>
      </c>
      <c r="H2071" s="1">
        <v>-6.864934E-7</v>
      </c>
      <c r="I2071">
        <v>280.23520000000002</v>
      </c>
      <c r="J2071">
        <v>-423.26440000000002</v>
      </c>
      <c r="K2071">
        <v>1.1100080000000001</v>
      </c>
      <c r="L2071">
        <v>285.26029999999997</v>
      </c>
      <c r="M2071">
        <v>-0.99965990000000005</v>
      </c>
      <c r="N2071">
        <v>0</v>
      </c>
      <c r="O2071">
        <v>2.1626550000000001E-2</v>
      </c>
      <c r="P2071">
        <v>-0.99702979999999997</v>
      </c>
      <c r="Q2071">
        <v>-1.9218470000000001E-2</v>
      </c>
      <c r="R2071">
        <v>7.4582380000000004E-2</v>
      </c>
      <c r="S2071">
        <v>-3.0375369999999999</v>
      </c>
      <c r="T2071">
        <v>-8.7917209999999996E-2</v>
      </c>
      <c r="U2071">
        <v>-0.39736939999999998</v>
      </c>
      <c r="V2071">
        <v>5.3000150000000003E-2</v>
      </c>
      <c r="W2071">
        <v>-4.6589960000000003E-3</v>
      </c>
      <c r="X2071">
        <v>0.99858360000000002</v>
      </c>
      <c r="Y2071">
        <v>-0.151059</v>
      </c>
      <c r="Z2071">
        <v>-2.7997859999999999E-3</v>
      </c>
      <c r="AA2071">
        <v>0.98852079999999998</v>
      </c>
      <c r="AB2071">
        <v>34</v>
      </c>
      <c r="AC2071">
        <v>-37.973599999999998</v>
      </c>
      <c r="AD2071">
        <v>-1.11000868649339</v>
      </c>
      <c r="AE2071">
        <v>-5.0250999999999504</v>
      </c>
      <c r="AF2071">
        <v>-5.84034522486896</v>
      </c>
      <c r="AG2071">
        <v>-1.11000868649339</v>
      </c>
      <c r="AH2071">
        <v>37.824266768830299</v>
      </c>
      <c r="AI2071">
        <v>91.661270575997605</v>
      </c>
      <c r="AJ2071">
        <v>98.777570964798997</v>
      </c>
      <c r="AK2071">
        <v>38.288600238574702</v>
      </c>
      <c r="AL2071">
        <v>90.266941782857003</v>
      </c>
      <c r="AM2071">
        <v>86.961858495234097</v>
      </c>
      <c r="AN2071">
        <v>0.99999996416635395</v>
      </c>
    </row>
    <row r="2072" spans="1:40" x14ac:dyDescent="0.25">
      <c r="A2072" t="str">
        <f>"20190312160957718"</f>
        <v>20190312160957718</v>
      </c>
      <c r="B2072" t="str">
        <f>"1552378197707450"</f>
        <v>1552378197707450</v>
      </c>
      <c r="C2072" t="s">
        <v>40</v>
      </c>
      <c r="D2072">
        <v>5.4577099999999996</v>
      </c>
      <c r="E2072">
        <v>0.41550789999999999</v>
      </c>
      <c r="F2072" t="s">
        <v>61</v>
      </c>
      <c r="G2072">
        <v>-460.55790000000002</v>
      </c>
      <c r="H2072" s="1">
        <v>-1.035299E-6</v>
      </c>
      <c r="I2072">
        <v>279.93529999999998</v>
      </c>
      <c r="J2072">
        <v>-423.59879999999998</v>
      </c>
      <c r="K2072">
        <v>1.1100129999999999</v>
      </c>
      <c r="L2072">
        <v>285.26760000000002</v>
      </c>
      <c r="M2072">
        <v>-0.99965990000000005</v>
      </c>
      <c r="N2072">
        <v>0</v>
      </c>
      <c r="O2072">
        <v>2.1626759999999998E-2</v>
      </c>
      <c r="P2072">
        <v>-0.99715509999999996</v>
      </c>
      <c r="Q2072">
        <v>-1.9009999999999999E-2</v>
      </c>
      <c r="R2072">
        <v>7.2941969999999995E-2</v>
      </c>
      <c r="S2072">
        <v>-3.0396420000000002</v>
      </c>
      <c r="T2072">
        <v>-9.0472339999999998E-2</v>
      </c>
      <c r="U2072">
        <v>-0.43402099999999999</v>
      </c>
      <c r="V2072">
        <v>5.1357279999999998E-2</v>
      </c>
      <c r="W2072">
        <v>-4.4528399999999996E-3</v>
      </c>
      <c r="X2072">
        <v>0.99867039999999996</v>
      </c>
      <c r="Y2072">
        <v>-0.16265199999999999</v>
      </c>
      <c r="Z2072">
        <v>-3.0484499999999999E-3</v>
      </c>
      <c r="AA2072">
        <v>0.98667879999999997</v>
      </c>
      <c r="AB2072">
        <v>34</v>
      </c>
      <c r="AC2072">
        <v>-36.959099999999999</v>
      </c>
      <c r="AD2072">
        <v>-1.110014035299</v>
      </c>
      <c r="AE2072">
        <v>-5.3323000000000302</v>
      </c>
      <c r="AF2072">
        <v>-6.1250308415550396</v>
      </c>
      <c r="AG2072">
        <v>-1.110014035299</v>
      </c>
      <c r="AH2072">
        <v>36.802601719804898</v>
      </c>
      <c r="AI2072">
        <v>91.704164762210198</v>
      </c>
      <c r="AJ2072">
        <v>99.449088553949494</v>
      </c>
      <c r="AK2072">
        <v>37.325321529963396</v>
      </c>
      <c r="AL2072">
        <v>90.255129786320495</v>
      </c>
      <c r="AM2072">
        <v>87.056120276769406</v>
      </c>
      <c r="AN2072">
        <v>0.99999998291461101</v>
      </c>
    </row>
    <row r="2073" spans="1:40" x14ac:dyDescent="0.25">
      <c r="A2073" t="str">
        <f>"20190312160957739"</f>
        <v>20190312160957739</v>
      </c>
      <c r="B2073" t="str">
        <f>"1552378197727477"</f>
        <v>1552378197727477</v>
      </c>
      <c r="C2073" t="s">
        <v>40</v>
      </c>
      <c r="D2073">
        <v>5.4780920000000002</v>
      </c>
      <c r="E2073">
        <v>0.41448699999999999</v>
      </c>
      <c r="F2073" t="s">
        <v>61</v>
      </c>
      <c r="G2073">
        <v>-460.39019999999999</v>
      </c>
      <c r="H2073" s="1">
        <v>-1.1173559999999999E-6</v>
      </c>
      <c r="I2073">
        <v>279.77120000000002</v>
      </c>
      <c r="J2073">
        <v>-423.9092</v>
      </c>
      <c r="K2073">
        <v>1.1100139999999901</v>
      </c>
      <c r="L2073">
        <v>285.27429999999998</v>
      </c>
      <c r="M2073">
        <v>-0.99965990000000005</v>
      </c>
      <c r="N2073">
        <v>0</v>
      </c>
      <c r="O2073">
        <v>2.1626780000000002E-2</v>
      </c>
      <c r="P2073">
        <v>-0.99721490000000002</v>
      </c>
      <c r="Q2073">
        <v>-1.903413E-2</v>
      </c>
      <c r="R2073">
        <v>7.2111700000000001E-2</v>
      </c>
      <c r="S2073">
        <v>-3.0400390000000002</v>
      </c>
      <c r="T2073">
        <v>-9.1719510000000004E-2</v>
      </c>
      <c r="U2073">
        <v>-0.45416260000000003</v>
      </c>
      <c r="V2073">
        <v>5.0525859999999999E-2</v>
      </c>
      <c r="W2073">
        <v>-4.4797539999999999E-3</v>
      </c>
      <c r="X2073">
        <v>0.99871270000000001</v>
      </c>
      <c r="Y2073">
        <v>-0.16902619999999999</v>
      </c>
      <c r="Z2073">
        <v>-3.1842009999999998E-3</v>
      </c>
      <c r="AA2073">
        <v>0.98560639999999999</v>
      </c>
      <c r="AB2073">
        <v>34</v>
      </c>
      <c r="AC2073">
        <v>-36.481000000000002</v>
      </c>
      <c r="AD2073">
        <v>-1.11001511735599</v>
      </c>
      <c r="AE2073">
        <v>-5.5030999999999599</v>
      </c>
      <c r="AF2073">
        <v>-6.2851735326157998</v>
      </c>
      <c r="AG2073">
        <v>-1.11001511735599</v>
      </c>
      <c r="AH2073">
        <v>36.320560832170898</v>
      </c>
      <c r="AI2073">
        <v>91.724887040249499</v>
      </c>
      <c r="AJ2073">
        <v>99.817650490717398</v>
      </c>
      <c r="AK2073">
        <v>36.877075250882903</v>
      </c>
      <c r="AL2073">
        <v>90.256671857509104</v>
      </c>
      <c r="AM2073">
        <v>87.103819224012199</v>
      </c>
      <c r="AN2073">
        <v>0.99999999393296501</v>
      </c>
    </row>
    <row r="2074" spans="1:40" x14ac:dyDescent="0.25">
      <c r="A2074" t="str">
        <f>"20190312160957760"</f>
        <v>20190312160957760</v>
      </c>
      <c r="B2074" t="str">
        <f>"1552378197757732"</f>
        <v>1552378197757732</v>
      </c>
      <c r="C2074" t="s">
        <v>40</v>
      </c>
      <c r="D2074">
        <v>5.577731</v>
      </c>
      <c r="E2074">
        <v>0.41380729999999999</v>
      </c>
      <c r="F2074" t="s">
        <v>61</v>
      </c>
      <c r="G2074">
        <v>-460.25760000000002</v>
      </c>
      <c r="H2074" s="1">
        <v>-1.1856379999999999E-6</v>
      </c>
      <c r="I2074">
        <v>279.71879999999999</v>
      </c>
      <c r="J2074">
        <v>-424.23700000000002</v>
      </c>
      <c r="K2074">
        <v>1.110009</v>
      </c>
      <c r="L2074">
        <v>285.28140000000002</v>
      </c>
      <c r="M2074">
        <v>-0.99965990000000005</v>
      </c>
      <c r="N2074">
        <v>0</v>
      </c>
      <c r="O2074">
        <v>2.1626630000000001E-2</v>
      </c>
      <c r="P2074">
        <v>-0.99724699999999999</v>
      </c>
      <c r="Q2074">
        <v>-1.9499349999999999E-2</v>
      </c>
      <c r="R2074">
        <v>7.1541709999999994E-2</v>
      </c>
      <c r="S2074">
        <v>-3.0401609999999999</v>
      </c>
      <c r="T2074">
        <v>-9.2841270000000004E-2</v>
      </c>
      <c r="U2074">
        <v>-0.46466059999999998</v>
      </c>
      <c r="V2074">
        <v>4.995546E-2</v>
      </c>
      <c r="W2074">
        <v>-4.9482390000000001E-3</v>
      </c>
      <c r="X2074">
        <v>0.99873920000000005</v>
      </c>
      <c r="Y2074">
        <v>-0.1723431</v>
      </c>
      <c r="Z2074">
        <v>-3.2725190000000002E-3</v>
      </c>
      <c r="AA2074">
        <v>0.98503149999999995</v>
      </c>
      <c r="AB2074">
        <v>34</v>
      </c>
      <c r="AC2074">
        <v>-36.020600000000002</v>
      </c>
      <c r="AD2074">
        <v>-1.110010185638</v>
      </c>
      <c r="AE2074">
        <v>-5.56260000000003</v>
      </c>
      <c r="AF2074">
        <v>-6.3345103546130499</v>
      </c>
      <c r="AG2074">
        <v>-1.110010185638</v>
      </c>
      <c r="AH2074">
        <v>35.858601487364403</v>
      </c>
      <c r="AI2074">
        <v>91.746019332621003</v>
      </c>
      <c r="AJ2074">
        <v>100.01808555265799</v>
      </c>
      <c r="AK2074">
        <v>36.430721165995799</v>
      </c>
      <c r="AL2074">
        <v>90.283514364494593</v>
      </c>
      <c r="AM2074">
        <v>87.1365361115041</v>
      </c>
      <c r="AN2074">
        <v>1.00000001133482</v>
      </c>
    </row>
    <row r="2075" spans="1:40" x14ac:dyDescent="0.25">
      <c r="A2075" t="str">
        <f>"20190312160957783"</f>
        <v>20190312160957783</v>
      </c>
      <c r="B2075" t="str">
        <f>"1552378197778230"</f>
        <v>1552378197778230</v>
      </c>
      <c r="C2075" t="s">
        <v>40</v>
      </c>
      <c r="D2075">
        <v>5.4524900000000001</v>
      </c>
      <c r="E2075">
        <v>0.4137632</v>
      </c>
      <c r="F2075" t="s">
        <v>61</v>
      </c>
      <c r="G2075">
        <v>-459.9606</v>
      </c>
      <c r="H2075" s="1">
        <v>-1.34446E-6</v>
      </c>
      <c r="I2075">
        <v>279.7362</v>
      </c>
      <c r="J2075">
        <v>-424.57670000000002</v>
      </c>
      <c r="K2075">
        <v>1.1100080000000001</v>
      </c>
      <c r="L2075">
        <v>285.28879999999998</v>
      </c>
      <c r="M2075">
        <v>-0.99965999999999999</v>
      </c>
      <c r="N2075">
        <v>0</v>
      </c>
      <c r="O2075">
        <v>2.1626659999999999E-2</v>
      </c>
      <c r="P2075">
        <v>-0.9972375</v>
      </c>
      <c r="Q2075">
        <v>-1.9854549999999999E-2</v>
      </c>
      <c r="R2075">
        <v>7.157819E-2</v>
      </c>
      <c r="S2075">
        <v>-3.0402830000000001</v>
      </c>
      <c r="T2075">
        <v>-9.4468360000000001E-2</v>
      </c>
      <c r="U2075">
        <v>-0.4719238</v>
      </c>
      <c r="V2075">
        <v>4.9992210000000002E-2</v>
      </c>
      <c r="W2075">
        <v>-5.3073130000000001E-3</v>
      </c>
      <c r="X2075">
        <v>0.9987355</v>
      </c>
      <c r="Y2075">
        <v>-0.17463129999999999</v>
      </c>
      <c r="Z2075">
        <v>-3.3644450000000002E-3</v>
      </c>
      <c r="AA2075">
        <v>0.98462810000000001</v>
      </c>
      <c r="AB2075">
        <v>34</v>
      </c>
      <c r="AC2075">
        <v>-35.383899999999898</v>
      </c>
      <c r="AD2075">
        <v>-1.1100093444600001</v>
      </c>
      <c r="AE2075">
        <v>-5.5525999999999804</v>
      </c>
      <c r="AF2075">
        <v>-6.3105568282046196</v>
      </c>
      <c r="AG2075">
        <v>-1.1100093444600001</v>
      </c>
      <c r="AH2075">
        <v>35.221696759884502</v>
      </c>
      <c r="AI2075">
        <v>91.776800644942199</v>
      </c>
      <c r="AJ2075">
        <v>100.157723418245</v>
      </c>
      <c r="AK2075">
        <v>35.799764955541903</v>
      </c>
      <c r="AL2075">
        <v>90.304088064923207</v>
      </c>
      <c r="AM2075">
        <v>87.134422500462406</v>
      </c>
      <c r="AN2075">
        <v>0.99999999379610705</v>
      </c>
    </row>
    <row r="2076" spans="1:40" x14ac:dyDescent="0.25">
      <c r="A2076" t="str">
        <f>"20190312160957806"</f>
        <v>20190312160957806</v>
      </c>
      <c r="B2076" t="str">
        <f>"1552378197797749"</f>
        <v>1552378197797749</v>
      </c>
      <c r="C2076" t="s">
        <v>40</v>
      </c>
      <c r="D2076">
        <v>5.3872350000000004</v>
      </c>
      <c r="E2076">
        <v>0.4136917</v>
      </c>
      <c r="F2076" t="s">
        <v>61</v>
      </c>
      <c r="G2076">
        <v>-458.90320000000003</v>
      </c>
      <c r="H2076" s="1">
        <v>3.4046800000000001E-6</v>
      </c>
      <c r="I2076">
        <v>279.95729999999998</v>
      </c>
      <c r="J2076">
        <v>-424.91579999999999</v>
      </c>
      <c r="K2076">
        <v>1.110006</v>
      </c>
      <c r="L2076">
        <v>285.29599999999999</v>
      </c>
      <c r="M2076">
        <v>-0.99965999999999999</v>
      </c>
      <c r="N2076">
        <v>0</v>
      </c>
      <c r="O2076">
        <v>2.162669E-2</v>
      </c>
      <c r="P2076">
        <v>-0.99726519999999996</v>
      </c>
      <c r="Q2076">
        <v>-1.987626E-2</v>
      </c>
      <c r="R2076">
        <v>7.1183350000000006E-2</v>
      </c>
      <c r="S2076">
        <v>-3.0402529999999999</v>
      </c>
      <c r="T2076">
        <v>-9.8311659999999995E-2</v>
      </c>
      <c r="U2076">
        <v>-0.47219850000000002</v>
      </c>
      <c r="V2076">
        <v>4.9596639999999997E-2</v>
      </c>
      <c r="W2076">
        <v>-5.3324799999999997E-3</v>
      </c>
      <c r="X2076">
        <v>0.99875510000000001</v>
      </c>
      <c r="Y2076">
        <v>-0.17471199999999901</v>
      </c>
      <c r="Z2076">
        <v>-3.502561E-3</v>
      </c>
      <c r="AA2076">
        <v>0.98461339999999997</v>
      </c>
      <c r="AB2076">
        <v>34</v>
      </c>
      <c r="AC2076">
        <v>-33.987400000000001</v>
      </c>
      <c r="AD2076">
        <v>-1.1100025953199999</v>
      </c>
      <c r="AE2076">
        <v>-5.33870000000001</v>
      </c>
      <c r="AF2076">
        <v>-6.0662494366517103</v>
      </c>
      <c r="AG2076">
        <v>-1.1100025953199999</v>
      </c>
      <c r="AH2076">
        <v>33.828764757486297</v>
      </c>
      <c r="AI2076">
        <v>91.849851139421503</v>
      </c>
      <c r="AJ2076">
        <v>100.166354475248</v>
      </c>
      <c r="AK2076">
        <v>34.3862881539523</v>
      </c>
      <c r="AL2076">
        <v>90.305530044519401</v>
      </c>
      <c r="AM2076">
        <v>87.157115116664698</v>
      </c>
      <c r="AN2076">
        <v>1.0000000059091201</v>
      </c>
    </row>
    <row r="2077" spans="1:40" x14ac:dyDescent="0.25">
      <c r="A2077" t="str">
        <f>"20190312160957828"</f>
        <v>20190312160957828</v>
      </c>
      <c r="B2077" t="str">
        <f>"1552378197817776"</f>
        <v>1552378197817776</v>
      </c>
      <c r="C2077" t="s">
        <v>40</v>
      </c>
      <c r="D2077">
        <v>5.3767579999999997</v>
      </c>
      <c r="E2077">
        <v>0.41363529999999998</v>
      </c>
      <c r="F2077" t="s">
        <v>61</v>
      </c>
      <c r="G2077">
        <v>-459.23020000000002</v>
      </c>
      <c r="H2077" s="1">
        <v>3.5791580000000001E-6</v>
      </c>
      <c r="I2077">
        <v>279.94720000000001</v>
      </c>
      <c r="J2077">
        <v>-425.2457</v>
      </c>
      <c r="K2077">
        <v>1.1100030000000001</v>
      </c>
      <c r="L2077">
        <v>285.3032</v>
      </c>
      <c r="M2077">
        <v>-0.99966010000000005</v>
      </c>
      <c r="N2077">
        <v>0</v>
      </c>
      <c r="O2077">
        <v>2.162671E-2</v>
      </c>
      <c r="P2077">
        <v>-0.99726530000000002</v>
      </c>
      <c r="Q2077">
        <v>-2.027151E-2</v>
      </c>
      <c r="R2077">
        <v>7.1071090000000003E-2</v>
      </c>
      <c r="S2077">
        <v>-3.0400999999999998</v>
      </c>
      <c r="T2077">
        <v>-9.8341109999999995E-2</v>
      </c>
      <c r="U2077">
        <v>-0.47387699999999999</v>
      </c>
      <c r="V2077">
        <v>4.9484550000000002E-2</v>
      </c>
      <c r="W2077">
        <v>-5.7313769999999898E-3</v>
      </c>
      <c r="X2077">
        <v>0.99875840000000005</v>
      </c>
      <c r="Y2077">
        <v>-0.17524989999999999</v>
      </c>
      <c r="Z2077">
        <v>-3.5122830000000002E-3</v>
      </c>
      <c r="AA2077">
        <v>0.98451770000000005</v>
      </c>
      <c r="AB2077">
        <v>34</v>
      </c>
      <c r="AC2077">
        <v>-33.984499999999997</v>
      </c>
      <c r="AD2077">
        <v>-1.1099994208419901</v>
      </c>
      <c r="AE2077">
        <v>-5.3559999999999901</v>
      </c>
      <c r="AF2077">
        <v>-6.0834653201722997</v>
      </c>
      <c r="AG2077">
        <v>-1.1099994208419901</v>
      </c>
      <c r="AH2077">
        <v>33.825494391557399</v>
      </c>
      <c r="AI2077">
        <v>91.849855310225706</v>
      </c>
      <c r="AJ2077">
        <v>100.19556706863099</v>
      </c>
      <c r="AK2077">
        <v>34.3861123107758</v>
      </c>
      <c r="AL2077">
        <v>90.328385525376504</v>
      </c>
      <c r="AM2077">
        <v>87.163538980128607</v>
      </c>
      <c r="AN2077">
        <v>0.99999995547078802</v>
      </c>
    </row>
    <row r="2078" spans="1:40" x14ac:dyDescent="0.25">
      <c r="A2078" t="str">
        <f>"20190312160957849"</f>
        <v>20190312160957849</v>
      </c>
      <c r="B2078" t="str">
        <f>"1552378197838272"</f>
        <v>1552378197838272</v>
      </c>
      <c r="C2078" t="s">
        <v>40</v>
      </c>
      <c r="D2078">
        <v>5.3128339999999996</v>
      </c>
      <c r="E2078">
        <v>0.41353990000000002</v>
      </c>
      <c r="F2078" t="s">
        <v>61</v>
      </c>
      <c r="G2078">
        <v>-459.04640000000001</v>
      </c>
      <c r="H2078" s="1">
        <v>3.4779109999999999E-6</v>
      </c>
      <c r="I2078">
        <v>280.02519999999998</v>
      </c>
      <c r="J2078">
        <v>-425.5804</v>
      </c>
      <c r="K2078">
        <v>1.1100080000000001</v>
      </c>
      <c r="L2078">
        <v>285.31040000000002</v>
      </c>
      <c r="M2078">
        <v>-0.99966029999999995</v>
      </c>
      <c r="N2078">
        <v>0</v>
      </c>
      <c r="O2078">
        <v>2.162656E-2</v>
      </c>
      <c r="P2078">
        <v>-0.99726689999999996</v>
      </c>
      <c r="Q2078">
        <v>-2.0234430000000001E-2</v>
      </c>
      <c r="R2078">
        <v>7.10615E-2</v>
      </c>
      <c r="S2078">
        <v>-3.0400390000000002</v>
      </c>
      <c r="T2078">
        <v>-9.9833729999999996E-2</v>
      </c>
      <c r="U2078">
        <v>-0.47470089999999998</v>
      </c>
      <c r="V2078">
        <v>4.9475030000000003E-2</v>
      </c>
      <c r="W2078">
        <v>-5.6979810000000004E-3</v>
      </c>
      <c r="X2078">
        <v>0.99875910000000001</v>
      </c>
      <c r="Y2078">
        <v>-0.17551</v>
      </c>
      <c r="Z2078">
        <v>-3.5698010000000001E-3</v>
      </c>
      <c r="AA2078">
        <v>0.98447110000000004</v>
      </c>
      <c r="AB2078">
        <v>34</v>
      </c>
      <c r="AC2078">
        <v>-33.466000000000001</v>
      </c>
      <c r="AD2078">
        <v>-1.11000452208899</v>
      </c>
      <c r="AE2078">
        <v>-5.2852000000000299</v>
      </c>
      <c r="AF2078">
        <v>-6.0013530858462802</v>
      </c>
      <c r="AG2078">
        <v>-1.11000452208899</v>
      </c>
      <c r="AH2078">
        <v>33.308107089734797</v>
      </c>
      <c r="AI2078">
        <v>91.878470505731499</v>
      </c>
      <c r="AJ2078">
        <v>100.213793629086</v>
      </c>
      <c r="AK2078">
        <v>33.862639395081104</v>
      </c>
      <c r="AL2078">
        <v>90.326472032036804</v>
      </c>
      <c r="AM2078">
        <v>87.1640857612758</v>
      </c>
      <c r="AN2078">
        <v>0.99999999270689299</v>
      </c>
    </row>
    <row r="2079" spans="1:40" x14ac:dyDescent="0.25">
      <c r="A2079" t="str">
        <f>"20190312160957872"</f>
        <v>20190312160957872</v>
      </c>
      <c r="B2079" t="str">
        <f>"1552378197867554"</f>
        <v>1552378197867554</v>
      </c>
      <c r="C2079" t="s">
        <v>40</v>
      </c>
      <c r="D2079">
        <v>5.2964710000000004</v>
      </c>
      <c r="E2079">
        <v>0.41343730000000001</v>
      </c>
      <c r="F2079" t="s">
        <v>61</v>
      </c>
      <c r="G2079">
        <v>-459.1028</v>
      </c>
      <c r="H2079" s="1">
        <v>3.5060599999999999E-6</v>
      </c>
      <c r="I2079">
        <v>280.06909999999999</v>
      </c>
      <c r="J2079">
        <v>-425.91379999999998</v>
      </c>
      <c r="K2079">
        <v>1.1100099999999999</v>
      </c>
      <c r="L2079">
        <v>285.31760000000003</v>
      </c>
      <c r="M2079">
        <v>-0.99966029999999995</v>
      </c>
      <c r="N2079">
        <v>0</v>
      </c>
      <c r="O2079">
        <v>2.1626590000000001E-2</v>
      </c>
      <c r="P2079">
        <v>-0.99725810000000004</v>
      </c>
      <c r="Q2079">
        <v>-2.039301E-2</v>
      </c>
      <c r="R2079">
        <v>7.1140129999999996E-2</v>
      </c>
      <c r="S2079">
        <v>-3.040009</v>
      </c>
      <c r="T2079">
        <v>-0.1006615</v>
      </c>
      <c r="U2079">
        <v>-0.47531129999999999</v>
      </c>
      <c r="V2079">
        <v>4.9553739999999999E-2</v>
      </c>
      <c r="W2079">
        <v>-5.8603190000000001E-3</v>
      </c>
      <c r="X2079">
        <v>0.99875429999999998</v>
      </c>
      <c r="Y2079">
        <v>-0.17570269999999999</v>
      </c>
      <c r="Z2079">
        <v>-3.6025369999999998E-3</v>
      </c>
      <c r="AA2079">
        <v>0.98443670000000005</v>
      </c>
      <c r="AB2079">
        <v>34</v>
      </c>
      <c r="AC2079">
        <v>-33.189</v>
      </c>
      <c r="AD2079">
        <v>-1.1100064939399901</v>
      </c>
      <c r="AE2079">
        <v>-5.2485000000000301</v>
      </c>
      <c r="AF2079">
        <v>-5.9586105482466598</v>
      </c>
      <c r="AG2079">
        <v>-1.1100064939399901</v>
      </c>
      <c r="AH2079">
        <v>33.031670145902901</v>
      </c>
      <c r="AI2079">
        <v>91.894112404928293</v>
      </c>
      <c r="AJ2079">
        <v>100.225662650762</v>
      </c>
      <c r="AK2079">
        <v>33.583156294636701</v>
      </c>
      <c r="AL2079">
        <v>90.335773455790005</v>
      </c>
      <c r="AM2079">
        <v>87.159567849205004</v>
      </c>
      <c r="AN2079">
        <v>1.0000000341276201</v>
      </c>
    </row>
    <row r="2080" spans="1:40" x14ac:dyDescent="0.25">
      <c r="A2080" t="str">
        <f>"20190312160957895"</f>
        <v>20190312160957895</v>
      </c>
      <c r="B2080" t="str">
        <f>"1552378197888046"</f>
        <v>1552378197888046</v>
      </c>
      <c r="C2080" t="s">
        <v>40</v>
      </c>
      <c r="D2080">
        <v>5.2253819999999997</v>
      </c>
      <c r="E2080">
        <v>0.41329660000000001</v>
      </c>
      <c r="F2080" t="s">
        <v>61</v>
      </c>
      <c r="G2080">
        <v>-459.85250000000002</v>
      </c>
      <c r="H2080" s="1">
        <v>3.9078239999999999E-6</v>
      </c>
      <c r="I2080">
        <v>280.00409999999999</v>
      </c>
      <c r="J2080">
        <v>-426.26089999999999</v>
      </c>
      <c r="K2080">
        <v>1.1100099999999999</v>
      </c>
      <c r="L2080">
        <v>285.3252</v>
      </c>
      <c r="M2080">
        <v>-0.99966029999999995</v>
      </c>
      <c r="N2080">
        <v>0</v>
      </c>
      <c r="O2080">
        <v>2.1626619999999999E-2</v>
      </c>
      <c r="P2080">
        <v>-0.99723680000000003</v>
      </c>
      <c r="Q2080">
        <v>-2.0369930000000001E-2</v>
      </c>
      <c r="R2080">
        <v>7.1443729999999997E-2</v>
      </c>
      <c r="S2080">
        <v>-3.0401919999999998</v>
      </c>
      <c r="T2080">
        <v>-9.9433179999999996E-2</v>
      </c>
      <c r="U2080">
        <v>-0.47598269999999998</v>
      </c>
      <c r="V2080">
        <v>4.9857810000000002E-2</v>
      </c>
      <c r="W2080">
        <v>-5.8412840000000004E-3</v>
      </c>
      <c r="X2080">
        <v>0.99873920000000005</v>
      </c>
      <c r="Y2080">
        <v>-0.17590829999999999</v>
      </c>
      <c r="Z2080">
        <v>-3.5616710000000002E-3</v>
      </c>
      <c r="AA2080">
        <v>0.9844001</v>
      </c>
      <c r="AB2080">
        <v>34</v>
      </c>
      <c r="AC2080">
        <v>-33.5916</v>
      </c>
      <c r="AD2080">
        <v>-1.110006092176</v>
      </c>
      <c r="AE2080">
        <v>-5.3211000000000004</v>
      </c>
      <c r="AF2080">
        <v>-6.0399711492926897</v>
      </c>
      <c r="AG2080">
        <v>-1.110006092176</v>
      </c>
      <c r="AH2080">
        <v>33.433039780286798</v>
      </c>
      <c r="AI2080">
        <v>91.871301246753205</v>
      </c>
      <c r="AJ2080">
        <v>100.240528555512</v>
      </c>
      <c r="AK2080">
        <v>33.992374350127399</v>
      </c>
      <c r="AL2080">
        <v>90.334682838239701</v>
      </c>
      <c r="AM2080">
        <v>87.142124154220795</v>
      </c>
      <c r="AN2080">
        <v>0.99999995571670097</v>
      </c>
    </row>
    <row r="2081" spans="1:40" x14ac:dyDescent="0.25">
      <c r="A2081" t="str">
        <f>"20190312160957918"</f>
        <v>20190312160957918</v>
      </c>
      <c r="B2081" t="str">
        <f>"1552378197907568"</f>
        <v>1552378197907568</v>
      </c>
      <c r="C2081" t="s">
        <v>40</v>
      </c>
      <c r="D2081">
        <v>5.1378079999999997</v>
      </c>
      <c r="E2081">
        <v>0.41322120000000001</v>
      </c>
      <c r="F2081" t="s">
        <v>61</v>
      </c>
      <c r="G2081">
        <v>-460.7165</v>
      </c>
      <c r="H2081" s="1">
        <v>-9.5051699999999999E-7</v>
      </c>
      <c r="I2081">
        <v>279.92700000000002</v>
      </c>
      <c r="J2081">
        <v>-426.60239999999999</v>
      </c>
      <c r="K2081">
        <v>1.1100179999999999</v>
      </c>
      <c r="L2081">
        <v>285.33249999999998</v>
      </c>
      <c r="M2081">
        <v>-0.9996604</v>
      </c>
      <c r="N2081">
        <v>0</v>
      </c>
      <c r="O2081">
        <v>2.1626650000000001E-2</v>
      </c>
      <c r="P2081">
        <v>-0.99723010000000001</v>
      </c>
      <c r="Q2081">
        <v>-2.0435620000000002E-2</v>
      </c>
      <c r="R2081">
        <v>7.1516189999999993E-2</v>
      </c>
      <c r="S2081">
        <v>-3.0404360000000001</v>
      </c>
      <c r="T2081">
        <v>-9.7949739999999993E-2</v>
      </c>
      <c r="U2081">
        <v>-0.47634890000000002</v>
      </c>
      <c r="V2081">
        <v>4.9930160000000001E-2</v>
      </c>
      <c r="W2081">
        <v>-5.9108099999999998E-3</v>
      </c>
      <c r="X2081">
        <v>0.99873520000000005</v>
      </c>
      <c r="Y2081">
        <v>-0.176015</v>
      </c>
      <c r="Z2081">
        <v>-3.5099599999999999E-3</v>
      </c>
      <c r="AA2081">
        <v>0.98438119999999996</v>
      </c>
      <c r="AB2081">
        <v>34</v>
      </c>
      <c r="AC2081">
        <v>-34.114100000000001</v>
      </c>
      <c r="AD2081">
        <v>-1.1100189505169999</v>
      </c>
      <c r="AE2081">
        <v>-5.40549999999996</v>
      </c>
      <c r="AF2081">
        <v>-6.1357500528263298</v>
      </c>
      <c r="AG2081">
        <v>-1.1100189505169999</v>
      </c>
      <c r="AH2081">
        <v>33.954135958536703</v>
      </c>
      <c r="AI2081">
        <v>91.842608009204099</v>
      </c>
      <c r="AJ2081">
        <v>100.24320573211899</v>
      </c>
      <c r="AK2081">
        <v>34.521919405966699</v>
      </c>
      <c r="AL2081">
        <v>90.338666445625606</v>
      </c>
      <c r="AM2081">
        <v>87.137972460832998</v>
      </c>
      <c r="AN2081">
        <v>0.99999997913576</v>
      </c>
    </row>
    <row r="2082" spans="1:40" x14ac:dyDescent="0.25">
      <c r="A2082" t="str">
        <f>"20190312160957939"</f>
        <v>20190312160957939</v>
      </c>
      <c r="B2082" t="str">
        <f>"1552378197927595"</f>
        <v>1552378197927595</v>
      </c>
      <c r="C2082" t="s">
        <v>40</v>
      </c>
      <c r="D2082">
        <v>5.1302370000000002</v>
      </c>
      <c r="E2082">
        <v>0.41311189999999998</v>
      </c>
      <c r="F2082" t="s">
        <v>61</v>
      </c>
      <c r="G2082">
        <v>-461.60969999999998</v>
      </c>
      <c r="H2082" s="1">
        <v>-4.7160499999999999E-7</v>
      </c>
      <c r="I2082">
        <v>279.84480000000002</v>
      </c>
      <c r="J2082">
        <v>-426.91370000000001</v>
      </c>
      <c r="K2082">
        <v>1.1100219999999901</v>
      </c>
      <c r="L2082">
        <v>285.33929999999998</v>
      </c>
      <c r="M2082">
        <v>-0.99966049999999995</v>
      </c>
      <c r="N2082">
        <v>0</v>
      </c>
      <c r="O2082">
        <v>2.1626490000000002E-2</v>
      </c>
      <c r="P2082">
        <v>-0.99726139999999996</v>
      </c>
      <c r="Q2082">
        <v>-2.0516949999999999E-2</v>
      </c>
      <c r="R2082">
        <v>7.1058079999999996E-2</v>
      </c>
      <c r="S2082">
        <v>-3.0404969999999998</v>
      </c>
      <c r="T2082">
        <v>-9.6408489999999999E-2</v>
      </c>
      <c r="U2082">
        <v>-0.47662349999999998</v>
      </c>
      <c r="V2082">
        <v>4.9471800000000003E-2</v>
      </c>
      <c r="W2082">
        <v>-5.9952479999999999E-3</v>
      </c>
      <c r="X2082">
        <v>0.99875749999999996</v>
      </c>
      <c r="Y2082">
        <v>-0.1761017</v>
      </c>
      <c r="Z2082">
        <v>-3.4560250000000002E-3</v>
      </c>
      <c r="AA2082">
        <v>0.98436590000000002</v>
      </c>
      <c r="AB2082">
        <v>33</v>
      </c>
      <c r="AC2082">
        <v>-34.695999999999898</v>
      </c>
      <c r="AD2082">
        <v>-1.11002247160499</v>
      </c>
      <c r="AE2082">
        <v>-5.4944999999999604</v>
      </c>
      <c r="AF2082">
        <v>-6.2374185576226502</v>
      </c>
      <c r="AG2082">
        <v>-1.11002247160499</v>
      </c>
      <c r="AH2082">
        <v>34.534561560938002</v>
      </c>
      <c r="AI2082">
        <v>91.811695199818004</v>
      </c>
      <c r="AJ2082">
        <v>100.23803479509</v>
      </c>
      <c r="AK2082">
        <v>35.110874132619699</v>
      </c>
      <c r="AL2082">
        <v>90.343504474627693</v>
      </c>
      <c r="AM2082">
        <v>87.164266067632894</v>
      </c>
      <c r="AN2082">
        <v>0.99999997290003495</v>
      </c>
    </row>
    <row r="2083" spans="1:40" x14ac:dyDescent="0.25">
      <c r="A2083" t="str">
        <f>"20190312160957961"</f>
        <v>20190312160957961</v>
      </c>
      <c r="B2083" t="str">
        <f>"1552378197957850"</f>
        <v>1552378197957850</v>
      </c>
      <c r="C2083" t="s">
        <v>40</v>
      </c>
      <c r="D2083">
        <v>7.8938899999999999</v>
      </c>
      <c r="E2083">
        <v>0.41280650000000002</v>
      </c>
      <c r="F2083" t="s">
        <v>61</v>
      </c>
      <c r="G2083">
        <v>-462.20979999999997</v>
      </c>
      <c r="H2083" s="1">
        <v>-1.4947549999999999E-7</v>
      </c>
      <c r="I2083">
        <v>279.78129999999999</v>
      </c>
      <c r="J2083">
        <v>-427.24369999999999</v>
      </c>
      <c r="K2083">
        <v>1.11002</v>
      </c>
      <c r="L2083">
        <v>285.34640000000002</v>
      </c>
      <c r="M2083">
        <v>-0.9996604</v>
      </c>
      <c r="N2083">
        <v>0</v>
      </c>
      <c r="O2083">
        <v>2.1626699999999999E-2</v>
      </c>
      <c r="P2083">
        <v>-0.99729570000000001</v>
      </c>
      <c r="Q2083">
        <v>-2.0305050000000002E-2</v>
      </c>
      <c r="R2083">
        <v>7.0632619999999993E-2</v>
      </c>
      <c r="S2083">
        <v>-3.0403440000000002</v>
      </c>
      <c r="T2083">
        <v>-9.5615270000000002E-2</v>
      </c>
      <c r="U2083">
        <v>-0.47875980000000001</v>
      </c>
      <c r="V2083">
        <v>4.9045390000000001E-2</v>
      </c>
      <c r="W2083">
        <v>-5.7866530000000001E-3</v>
      </c>
      <c r="X2083">
        <v>0.9987798</v>
      </c>
      <c r="Y2083">
        <v>-0.17678569999999999</v>
      </c>
      <c r="Z2083">
        <v>-3.4382829999999999E-3</v>
      </c>
      <c r="AA2083">
        <v>0.98424330000000004</v>
      </c>
      <c r="AB2083">
        <v>33</v>
      </c>
      <c r="AC2083">
        <v>-34.966099999999898</v>
      </c>
      <c r="AD2083">
        <v>-1.1100201494755</v>
      </c>
      <c r="AE2083">
        <v>-5.5651000000000197</v>
      </c>
      <c r="AF2083">
        <v>-6.3138736018142696</v>
      </c>
      <c r="AG2083">
        <v>-1.1100201494755</v>
      </c>
      <c r="AH2083">
        <v>34.803345044905299</v>
      </c>
      <c r="AI2083">
        <v>91.797456591908102</v>
      </c>
      <c r="AJ2083">
        <v>100.28252294989601</v>
      </c>
      <c r="AK2083">
        <v>35.388839637753897</v>
      </c>
      <c r="AL2083">
        <v>90.331552640718698</v>
      </c>
      <c r="AM2083">
        <v>87.188731265155397</v>
      </c>
      <c r="AN2083">
        <v>1.0000000122606101</v>
      </c>
    </row>
    <row r="2084" spans="1:40" x14ac:dyDescent="0.25">
      <c r="A2084" t="str">
        <f>"20190312160957985"</f>
        <v>20190312160957985</v>
      </c>
      <c r="B2084" t="str">
        <f>"1552378197977374"</f>
        <v>1552378197977374</v>
      </c>
      <c r="C2084" t="s">
        <v>40</v>
      </c>
      <c r="D2084">
        <v>4.842924</v>
      </c>
      <c r="E2084">
        <v>0.41273399999999999</v>
      </c>
      <c r="F2084" t="s">
        <v>61</v>
      </c>
      <c r="G2084">
        <v>-463.35820000000001</v>
      </c>
      <c r="H2084">
        <v>3.3059619999999998E-2</v>
      </c>
      <c r="I2084">
        <v>279.61630000000002</v>
      </c>
      <c r="J2084">
        <v>-427.58980000000003</v>
      </c>
      <c r="K2084">
        <v>1.110023</v>
      </c>
      <c r="L2084">
        <v>285.35390000000001</v>
      </c>
      <c r="M2084">
        <v>-0.9996604</v>
      </c>
      <c r="N2084">
        <v>0</v>
      </c>
      <c r="O2084">
        <v>2.162673E-2</v>
      </c>
      <c r="P2084">
        <v>-0.99728150000000004</v>
      </c>
      <c r="Q2084">
        <v>-2.0464650000000001E-2</v>
      </c>
      <c r="R2084">
        <v>7.0788359999999995E-2</v>
      </c>
      <c r="S2084">
        <v>-3.040527</v>
      </c>
      <c r="T2084">
        <v>-9.0670589999999995E-2</v>
      </c>
      <c r="U2084">
        <v>-0.48242190000000001</v>
      </c>
      <c r="V2084">
        <v>4.9201479999999999E-2</v>
      </c>
      <c r="W2084">
        <v>-5.9502189999999996E-3</v>
      </c>
      <c r="X2084">
        <v>0.99877110000000002</v>
      </c>
      <c r="Y2084">
        <v>-0.177942299999999</v>
      </c>
      <c r="Z2084">
        <v>-3.277192E-3</v>
      </c>
      <c r="AA2084">
        <v>0.98403549999999995</v>
      </c>
      <c r="AB2084">
        <v>33</v>
      </c>
      <c r="AC2084">
        <v>-35.7683999999999</v>
      </c>
      <c r="AD2084">
        <v>-1.07696338</v>
      </c>
      <c r="AE2084">
        <v>-5.73759999999998</v>
      </c>
      <c r="AF2084">
        <v>-6.5041445075376902</v>
      </c>
      <c r="AG2084">
        <v>-1.07696338</v>
      </c>
      <c r="AH2084">
        <v>35.604465562844901</v>
      </c>
      <c r="AI2084">
        <v>91.704365765991</v>
      </c>
      <c r="AJ2084">
        <v>100.35251420893201</v>
      </c>
      <c r="AK2084">
        <v>36.209690883969202</v>
      </c>
      <c r="AL2084">
        <v>90.340924464530005</v>
      </c>
      <c r="AM2084">
        <v>87.179774122826103</v>
      </c>
      <c r="AN2084">
        <v>0.99999995046777301</v>
      </c>
    </row>
    <row r="2085" spans="1:40" x14ac:dyDescent="0.25">
      <c r="A2085" t="str">
        <f>"20190312160958006"</f>
        <v>20190312160958006</v>
      </c>
      <c r="B2085" t="str">
        <f>"1552378197997867"</f>
        <v>1552378197997867</v>
      </c>
      <c r="C2085" t="s">
        <v>40</v>
      </c>
      <c r="D2085">
        <v>4.8240990000000004</v>
      </c>
      <c r="E2085">
        <v>0.41252240000000001</v>
      </c>
      <c r="F2085" t="s">
        <v>61</v>
      </c>
      <c r="G2085">
        <v>-463.83019999999999</v>
      </c>
      <c r="H2085">
        <v>6.4127370000000003E-2</v>
      </c>
      <c r="I2085">
        <v>279.60219999999998</v>
      </c>
      <c r="J2085">
        <v>-427.9221</v>
      </c>
      <c r="K2085">
        <v>1.110025</v>
      </c>
      <c r="L2085">
        <v>285.36110000000002</v>
      </c>
      <c r="M2085">
        <v>-0.99966060000000001</v>
      </c>
      <c r="N2085">
        <v>0</v>
      </c>
      <c r="O2085">
        <v>2.1626579999999999E-2</v>
      </c>
      <c r="P2085">
        <v>-0.99727960000000004</v>
      </c>
      <c r="Q2085">
        <v>-2.007683E-2</v>
      </c>
      <c r="R2085">
        <v>7.0928539999999998E-2</v>
      </c>
      <c r="S2085">
        <v>-3.040619</v>
      </c>
      <c r="T2085">
        <v>-8.7752220000000006E-2</v>
      </c>
      <c r="U2085">
        <v>-0.48257450000000002</v>
      </c>
      <c r="V2085">
        <v>4.9341820000000002E-2</v>
      </c>
      <c r="W2085">
        <v>-5.5660469999999898E-3</v>
      </c>
      <c r="X2085">
        <v>0.99876640000000005</v>
      </c>
      <c r="Y2085">
        <v>-0.17799110000000001</v>
      </c>
      <c r="Z2085">
        <v>-3.172345E-3</v>
      </c>
      <c r="AA2085">
        <v>0.98402699999999999</v>
      </c>
      <c r="AB2085">
        <v>33</v>
      </c>
      <c r="AC2085">
        <v>-35.908099999999898</v>
      </c>
      <c r="AD2085">
        <v>-1.04589763</v>
      </c>
      <c r="AE2085">
        <v>-5.7589000000000397</v>
      </c>
      <c r="AF2085">
        <v>-6.52880409317748</v>
      </c>
      <c r="AG2085">
        <v>-1.04589763</v>
      </c>
      <c r="AH2085">
        <v>35.745575944085203</v>
      </c>
      <c r="AI2085">
        <v>91.648708403714906</v>
      </c>
      <c r="AJ2085">
        <v>100.350779828391</v>
      </c>
      <c r="AK2085">
        <v>36.351965343209301</v>
      </c>
      <c r="AL2085">
        <v>90.318912661484504</v>
      </c>
      <c r="AM2085">
        <v>87.171729597326703</v>
      </c>
      <c r="AN2085">
        <v>0.99999995892453797</v>
      </c>
    </row>
    <row r="2086" spans="1:40" x14ac:dyDescent="0.25">
      <c r="A2086" t="str">
        <f>"20190312160958028"</f>
        <v>20190312160958028</v>
      </c>
      <c r="B2086" t="str">
        <f>"1552378198017892"</f>
        <v>1552378198017892</v>
      </c>
      <c r="C2086" t="s">
        <v>40</v>
      </c>
      <c r="D2086">
        <v>4.7938269999999896</v>
      </c>
      <c r="E2086">
        <v>0.40983520000000001</v>
      </c>
      <c r="F2086" t="s">
        <v>61</v>
      </c>
      <c r="G2086">
        <v>-465.50819999999999</v>
      </c>
      <c r="H2086">
        <v>8.0001539999999996E-2</v>
      </c>
      <c r="I2086">
        <v>279.38240000000002</v>
      </c>
      <c r="J2086">
        <v>-428.24549999999999</v>
      </c>
      <c r="K2086">
        <v>1.1100209999999999</v>
      </c>
      <c r="L2086">
        <v>285.36810000000003</v>
      </c>
      <c r="M2086">
        <v>-0.99966060000000001</v>
      </c>
      <c r="N2086">
        <v>0</v>
      </c>
      <c r="O2086">
        <v>2.1626780000000002E-2</v>
      </c>
      <c r="P2086">
        <v>-0.9972529</v>
      </c>
      <c r="Q2086">
        <v>-2.0152340000000001E-2</v>
      </c>
      <c r="R2086">
        <v>7.1278830000000001E-2</v>
      </c>
      <c r="S2086">
        <v>-3.040924</v>
      </c>
      <c r="T2086">
        <v>-8.3334569999999997E-2</v>
      </c>
      <c r="U2086">
        <v>-0.48370360000000001</v>
      </c>
      <c r="V2086">
        <v>4.9692380000000001E-2</v>
      </c>
      <c r="W2086">
        <v>-5.645359E-3</v>
      </c>
      <c r="X2086">
        <v>0.99874859999999999</v>
      </c>
      <c r="Y2086">
        <v>-0.17834029999999901</v>
      </c>
      <c r="Z2086">
        <v>-3.017076E-3</v>
      </c>
      <c r="AA2086">
        <v>0.98396430000000001</v>
      </c>
      <c r="AB2086">
        <v>33</v>
      </c>
      <c r="AC2086">
        <v>-37.262700000000002</v>
      </c>
      <c r="AD2086">
        <v>-1.0300194600000001</v>
      </c>
      <c r="AE2086">
        <v>-5.9856999999999996</v>
      </c>
      <c r="AF2086">
        <v>-6.7852029021203002</v>
      </c>
      <c r="AG2086">
        <v>-1.0300194600000001</v>
      </c>
      <c r="AH2086">
        <v>37.096885659073799</v>
      </c>
      <c r="AI2086">
        <v>91.564505287657795</v>
      </c>
      <c r="AJ2086">
        <v>100.365107933076</v>
      </c>
      <c r="AK2086">
        <v>37.7263680217605</v>
      </c>
      <c r="AL2086">
        <v>90.323456967711905</v>
      </c>
      <c r="AM2086">
        <v>87.151617810901897</v>
      </c>
      <c r="AN2086">
        <v>0.99999998435513104</v>
      </c>
    </row>
    <row r="2087" spans="1:40" x14ac:dyDescent="0.25">
      <c r="A2087" t="str">
        <f>"20190312160958051"</f>
        <v>20190312160958051</v>
      </c>
      <c r="B2087" t="str">
        <f>"1552378198037413"</f>
        <v>1552378198037413</v>
      </c>
      <c r="C2087" t="s">
        <v>40</v>
      </c>
      <c r="D2087">
        <v>4.6997159999999996</v>
      </c>
      <c r="E2087">
        <v>0.40896900000000003</v>
      </c>
      <c r="F2087" t="s">
        <v>75</v>
      </c>
      <c r="G2087">
        <v>-512.82529999999997</v>
      </c>
      <c r="H2087">
        <v>0.52032800000000001</v>
      </c>
      <c r="I2087">
        <v>271.39609999999999</v>
      </c>
      <c r="J2087">
        <v>-428.57429999999999</v>
      </c>
      <c r="K2087">
        <v>1.1100219999999901</v>
      </c>
      <c r="L2087">
        <v>285.37520000000001</v>
      </c>
      <c r="M2087">
        <v>-0.99966069999999996</v>
      </c>
      <c r="N2087">
        <v>0</v>
      </c>
      <c r="O2087">
        <v>2.1626630000000001E-2</v>
      </c>
      <c r="P2087">
        <v>-0.99722180000000005</v>
      </c>
      <c r="Q2087">
        <v>-2.0215810000000001E-2</v>
      </c>
      <c r="R2087">
        <v>7.1695389999999998E-2</v>
      </c>
      <c r="S2087">
        <v>-3.0437620000000001</v>
      </c>
      <c r="T2087">
        <v>-2.1218299999999999E-2</v>
      </c>
      <c r="U2087">
        <v>-0.50280760000000002</v>
      </c>
      <c r="V2087">
        <v>5.0109580000000001E-2</v>
      </c>
      <c r="W2087">
        <v>-5.7127150000000002E-3</v>
      </c>
      <c r="X2087">
        <v>0.99872740000000004</v>
      </c>
      <c r="Y2087">
        <v>-0.18428069999999999</v>
      </c>
      <c r="Z2087">
        <v>-7.8780449999999998E-4</v>
      </c>
      <c r="AA2087">
        <v>0.98287329999999995</v>
      </c>
      <c r="AB2087">
        <v>33</v>
      </c>
      <c r="AC2087">
        <v>-84.250999999999905</v>
      </c>
      <c r="AD2087">
        <v>-0.58969399999999905</v>
      </c>
      <c r="AE2087">
        <v>-13.979100000000001</v>
      </c>
      <c r="AF2087">
        <v>-15.7973339251245</v>
      </c>
      <c r="AG2087">
        <v>-0.58969399999999905</v>
      </c>
      <c r="AH2087">
        <v>83.924936999530104</v>
      </c>
      <c r="AI2087">
        <v>90.395631439989899</v>
      </c>
      <c r="AJ2087">
        <v>100.660149651713</v>
      </c>
      <c r="AK2087">
        <v>85.400811170214396</v>
      </c>
      <c r="AL2087">
        <v>90.327316235380096</v>
      </c>
      <c r="AM2087">
        <v>87.127682792291694</v>
      </c>
      <c r="AN2087">
        <v>1.0000000123156001</v>
      </c>
    </row>
    <row r="2088" spans="1:40" x14ac:dyDescent="0.25">
      <c r="A2088" t="str">
        <f>"20190312160958073"</f>
        <v>20190312160958073</v>
      </c>
      <c r="B2088" t="str">
        <f>"1552378198067672"</f>
        <v>1552378198067672</v>
      </c>
      <c r="C2088" t="s">
        <v>40</v>
      </c>
      <c r="D2088">
        <v>4.646566</v>
      </c>
      <c r="E2088">
        <v>0.4078193</v>
      </c>
      <c r="F2088" t="s">
        <v>75</v>
      </c>
      <c r="G2088">
        <v>-512.82529999999997</v>
      </c>
      <c r="H2088">
        <v>0.57331129999999997</v>
      </c>
      <c r="I2088">
        <v>271.30810000000002</v>
      </c>
      <c r="J2088">
        <v>-428.90800000000002</v>
      </c>
      <c r="K2088">
        <v>1.1100239999999999</v>
      </c>
      <c r="L2088">
        <v>285.38240000000002</v>
      </c>
      <c r="M2088">
        <v>-0.99966069999999996</v>
      </c>
      <c r="N2088">
        <v>0</v>
      </c>
      <c r="O2088">
        <v>2.1626659999999999E-2</v>
      </c>
      <c r="P2088">
        <v>-0.99718180000000001</v>
      </c>
      <c r="Q2088">
        <v>-2.010004E-2</v>
      </c>
      <c r="R2088">
        <v>7.2283810000000004E-2</v>
      </c>
      <c r="S2088">
        <v>-3.0445250000000001</v>
      </c>
      <c r="T2088">
        <v>-1.9391889999999998E-2</v>
      </c>
      <c r="U2088">
        <v>-0.50833130000000004</v>
      </c>
      <c r="V2088">
        <v>5.0698790000000001E-2</v>
      </c>
      <c r="W2088">
        <v>-5.6010139999999996E-3</v>
      </c>
      <c r="X2088">
        <v>0.99869830000000004</v>
      </c>
      <c r="Y2088">
        <v>-0.185977</v>
      </c>
      <c r="Z2088">
        <v>-7.2507579999999999E-4</v>
      </c>
      <c r="AA2088">
        <v>0.98255380000000003</v>
      </c>
      <c r="AB2088">
        <v>33</v>
      </c>
      <c r="AC2088">
        <v>-83.917299999999898</v>
      </c>
      <c r="AD2088">
        <v>-0.53671269999999904</v>
      </c>
      <c r="AE2088">
        <v>-14.0742999999999</v>
      </c>
      <c r="AF2088">
        <v>-15.8854177427637</v>
      </c>
      <c r="AG2088">
        <v>-0.53671269999999904</v>
      </c>
      <c r="AH2088">
        <v>83.589931069800102</v>
      </c>
      <c r="AI2088">
        <v>90.361410500573498</v>
      </c>
      <c r="AJ2088">
        <v>100.760170611067</v>
      </c>
      <c r="AK2088">
        <v>85.087667341621199</v>
      </c>
      <c r="AL2088">
        <v>90.320916135828398</v>
      </c>
      <c r="AM2088">
        <v>87.093881877275194</v>
      </c>
      <c r="AN2088">
        <v>1.0000000165440901</v>
      </c>
    </row>
    <row r="2089" spans="1:40" x14ac:dyDescent="0.25">
      <c r="A2089" t="str">
        <f>"20190312160958095"</f>
        <v>20190312160958095</v>
      </c>
      <c r="B2089" t="str">
        <f>"1552378198088165"</f>
        <v>1552378198088165</v>
      </c>
      <c r="C2089" t="s">
        <v>40</v>
      </c>
      <c r="D2089">
        <v>4.6173289999999998</v>
      </c>
      <c r="E2089">
        <v>0.40730149999999998</v>
      </c>
      <c r="F2089" t="s">
        <v>75</v>
      </c>
      <c r="G2089">
        <v>-512.82539999999995</v>
      </c>
      <c r="H2089">
        <v>0.7103505</v>
      </c>
      <c r="I2089">
        <v>271.17380000000003</v>
      </c>
      <c r="J2089">
        <v>-429.24430000000001</v>
      </c>
      <c r="K2089">
        <v>1.11002</v>
      </c>
      <c r="L2089">
        <v>285.3897</v>
      </c>
      <c r="M2089">
        <v>-0.99966080000000002</v>
      </c>
      <c r="N2089">
        <v>0</v>
      </c>
      <c r="O2089">
        <v>2.1626570000000001E-2</v>
      </c>
      <c r="P2089">
        <v>-0.99719170000000001</v>
      </c>
      <c r="Q2089">
        <v>-2.0154689999999999E-2</v>
      </c>
      <c r="R2089">
        <v>7.2131490000000006E-2</v>
      </c>
      <c r="S2089">
        <v>-3.0455320000000001</v>
      </c>
      <c r="T2089">
        <v>-1.4502050000000001E-2</v>
      </c>
      <c r="U2089">
        <v>-0.51565550000000004</v>
      </c>
      <c r="V2089">
        <v>5.0546489999999999E-2</v>
      </c>
      <c r="W2089">
        <v>-5.6592430000000004E-3</v>
      </c>
      <c r="X2089">
        <v>0.99870570000000003</v>
      </c>
      <c r="Y2089">
        <v>-0.18822340000000001</v>
      </c>
      <c r="Z2089">
        <v>-5.4727029999999998E-4</v>
      </c>
      <c r="AA2089">
        <v>0.9821261</v>
      </c>
      <c r="AB2089">
        <v>33</v>
      </c>
      <c r="AC2089">
        <v>-83.581099999999907</v>
      </c>
      <c r="AD2089">
        <v>-0.39966950000000001</v>
      </c>
      <c r="AE2089">
        <v>-14.2158999999999</v>
      </c>
      <c r="AF2089">
        <v>-16.0199813077163</v>
      </c>
      <c r="AG2089">
        <v>-0.39966950000000001</v>
      </c>
      <c r="AH2089">
        <v>83.252224163387893</v>
      </c>
      <c r="AI2089">
        <v>90.270102932473705</v>
      </c>
      <c r="AJ2089">
        <v>100.892122643191</v>
      </c>
      <c r="AK2089">
        <v>84.780495191758604</v>
      </c>
      <c r="AL2089">
        <v>90.324252461872604</v>
      </c>
      <c r="AM2089">
        <v>87.102618437999993</v>
      </c>
      <c r="AN2089">
        <v>1.00000002494757</v>
      </c>
    </row>
    <row r="2090" spans="1:40" x14ac:dyDescent="0.25">
      <c r="A2090" t="str">
        <f>"20190312160958119"</f>
        <v>20190312160958119</v>
      </c>
      <c r="B2090" t="str">
        <f>"1552378198107684"</f>
        <v>1552378198107684</v>
      </c>
      <c r="C2090" t="s">
        <v>40</v>
      </c>
      <c r="D2090">
        <v>4.6224410000000002</v>
      </c>
      <c r="E2090">
        <v>0.4117961</v>
      </c>
      <c r="F2090" t="s">
        <v>75</v>
      </c>
      <c r="G2090">
        <v>-512.82539999999995</v>
      </c>
      <c r="H2090">
        <v>0.69883689999999998</v>
      </c>
      <c r="I2090">
        <v>271.11450000000002</v>
      </c>
      <c r="J2090">
        <v>-429.57760000000002</v>
      </c>
      <c r="K2090">
        <v>1.1100209999999999</v>
      </c>
      <c r="L2090">
        <v>285.39690000000002</v>
      </c>
      <c r="M2090">
        <v>-0.99966080000000002</v>
      </c>
      <c r="N2090">
        <v>0</v>
      </c>
      <c r="O2090">
        <v>2.1626599999999999E-2</v>
      </c>
      <c r="P2090">
        <v>-0.99723499999999998</v>
      </c>
      <c r="Q2090">
        <v>-1.9791260000000001E-2</v>
      </c>
      <c r="R2090">
        <v>7.1631829999999994E-2</v>
      </c>
      <c r="S2090">
        <v>-3.045776</v>
      </c>
      <c r="T2090">
        <v>-1.4981029999999999E-2</v>
      </c>
      <c r="U2090">
        <v>-0.52020259999999996</v>
      </c>
      <c r="V2090">
        <v>5.0045930000000002E-2</v>
      </c>
      <c r="W2090">
        <v>-5.2990590000000001E-3</v>
      </c>
      <c r="X2090">
        <v>0.99873290000000003</v>
      </c>
      <c r="Y2090">
        <v>-0.1896352</v>
      </c>
      <c r="Z2090">
        <v>-5.6867829999999997E-4</v>
      </c>
      <c r="AA2090">
        <v>0.98185440000000002</v>
      </c>
      <c r="AB2090">
        <v>33</v>
      </c>
      <c r="AC2090">
        <v>-83.247799999999899</v>
      </c>
      <c r="AD2090">
        <v>-0.411184099999999</v>
      </c>
      <c r="AE2090">
        <v>-14.2823999999999</v>
      </c>
      <c r="AF2090">
        <v>-16.079234293641498</v>
      </c>
      <c r="AG2090">
        <v>-0.411184099999999</v>
      </c>
      <c r="AH2090">
        <v>82.917448383449994</v>
      </c>
      <c r="AI2090">
        <v>90.278929005895094</v>
      </c>
      <c r="AJ2090">
        <v>100.974506143269</v>
      </c>
      <c r="AK2090">
        <v>84.463093089561895</v>
      </c>
      <c r="AL2090">
        <v>90.303615124774595</v>
      </c>
      <c r="AM2090">
        <v>87.131340929375796</v>
      </c>
      <c r="AN2090">
        <v>1.00000004033912</v>
      </c>
    </row>
    <row r="2091" spans="1:40" x14ac:dyDescent="0.25">
      <c r="A2091" t="str">
        <f>"20190312160958140"</f>
        <v>20190312160958140</v>
      </c>
      <c r="B2091" t="str">
        <f>"1552378198128181"</f>
        <v>1552378198128181</v>
      </c>
      <c r="C2091" t="s">
        <v>40</v>
      </c>
      <c r="D2091">
        <v>4.7087250000000003</v>
      </c>
      <c r="E2091">
        <v>0.49757879999999899</v>
      </c>
      <c r="F2091" t="s">
        <v>75</v>
      </c>
      <c r="G2091">
        <v>-512.8252</v>
      </c>
      <c r="H2091">
        <v>0.1223139</v>
      </c>
      <c r="I2091">
        <v>272.08879999999999</v>
      </c>
      <c r="J2091">
        <v>-429.9083</v>
      </c>
      <c r="K2091">
        <v>1.110023</v>
      </c>
      <c r="L2091">
        <v>285.40410000000003</v>
      </c>
      <c r="M2091">
        <v>-0.99966080000000002</v>
      </c>
      <c r="N2091">
        <v>0</v>
      </c>
      <c r="O2091">
        <v>2.1626739999999998E-2</v>
      </c>
      <c r="P2091">
        <v>-0.9972337</v>
      </c>
      <c r="Q2091">
        <v>-2.0464860000000001E-2</v>
      </c>
      <c r="R2091">
        <v>7.1455710000000006E-2</v>
      </c>
      <c r="S2091">
        <v>-3.0425719999999998</v>
      </c>
      <c r="T2091">
        <v>-3.6096219999999998E-2</v>
      </c>
      <c r="U2091">
        <v>-0.48638920000000002</v>
      </c>
      <c r="V2091">
        <v>4.9869429999999999E-2</v>
      </c>
      <c r="W2091">
        <v>-5.9763259999999997E-3</v>
      </c>
      <c r="X2091">
        <v>0.99873789999999996</v>
      </c>
      <c r="Y2091">
        <v>-0.17916399999999999</v>
      </c>
      <c r="Z2091">
        <v>-1.311102E-3</v>
      </c>
      <c r="AA2091">
        <v>0.98381839999999998</v>
      </c>
      <c r="AB2091">
        <v>33</v>
      </c>
      <c r="AC2091">
        <v>-82.916899999999998</v>
      </c>
      <c r="AD2091">
        <v>-0.98770910000000001</v>
      </c>
      <c r="AE2091">
        <v>-13.315300000000001</v>
      </c>
      <c r="AF2091">
        <v>-15.1035068987321</v>
      </c>
      <c r="AG2091">
        <v>-0.98770910000000001</v>
      </c>
      <c r="AH2091">
        <v>82.598080276133004</v>
      </c>
      <c r="AI2091">
        <v>90.673937913303803</v>
      </c>
      <c r="AJ2091">
        <v>100.362363739975</v>
      </c>
      <c r="AK2091">
        <v>83.973414573951899</v>
      </c>
      <c r="AL2091">
        <v>90.342420283270599</v>
      </c>
      <c r="AM2091">
        <v>87.141455479684097</v>
      </c>
      <c r="AN2091">
        <v>1.0000000347086899</v>
      </c>
    </row>
    <row r="2092" spans="1:40" x14ac:dyDescent="0.25">
      <c r="A2092" t="str">
        <f>"20190312160958163"</f>
        <v>20190312160958163</v>
      </c>
      <c r="B2092" t="str">
        <f>"1552378198157478"</f>
        <v>1552378198157478</v>
      </c>
      <c r="C2092" t="s">
        <v>40</v>
      </c>
      <c r="D2092">
        <v>4.6036820000000001</v>
      </c>
      <c r="E2092">
        <v>0.52725419999999901</v>
      </c>
      <c r="F2092" t="s">
        <v>42</v>
      </c>
      <c r="G2092">
        <v>-430.65519999999998</v>
      </c>
      <c r="H2092">
        <v>0.98867070000000001</v>
      </c>
      <c r="I2092">
        <v>285.45069999999998</v>
      </c>
      <c r="J2092">
        <v>-430.23489999999998</v>
      </c>
      <c r="K2092">
        <v>1.11002</v>
      </c>
      <c r="L2092">
        <v>285.41109999999998</v>
      </c>
      <c r="M2092">
        <v>-0.99966089999999996</v>
      </c>
      <c r="N2092">
        <v>0</v>
      </c>
      <c r="O2092">
        <v>2.1626650000000001E-2</v>
      </c>
      <c r="P2092">
        <v>-0.99723949999999995</v>
      </c>
      <c r="Q2092">
        <v>-2.0287530000000002E-2</v>
      </c>
      <c r="R2092">
        <v>7.1426980000000001E-2</v>
      </c>
      <c r="S2092">
        <v>-2.9850460000000001</v>
      </c>
      <c r="T2092">
        <v>-0.48489310000000002</v>
      </c>
      <c r="U2092">
        <v>0.18588260000000001</v>
      </c>
      <c r="V2092">
        <v>4.98409E-2</v>
      </c>
      <c r="W2092">
        <v>-5.8025619999999998E-3</v>
      </c>
      <c r="X2092">
        <v>0.99874030000000003</v>
      </c>
      <c r="Y2092">
        <v>4.030541E-2</v>
      </c>
      <c r="Z2092">
        <v>-2.37223E-4</v>
      </c>
      <c r="AA2092">
        <v>0.99918739999999995</v>
      </c>
      <c r="AB2092">
        <v>33</v>
      </c>
      <c r="AC2092">
        <v>-0.42029999999999701</v>
      </c>
      <c r="AD2092">
        <v>-0.12134929999999999</v>
      </c>
      <c r="AE2092">
        <v>3.9600000000007102E-2</v>
      </c>
      <c r="AF2092">
        <v>2.8172328085393598E-2</v>
      </c>
      <c r="AG2092">
        <v>-0.12134929999999999</v>
      </c>
      <c r="AH2092">
        <v>0.38892297647684898</v>
      </c>
      <c r="AI2092">
        <v>107.28605472764001</v>
      </c>
      <c r="AJ2092">
        <v>85.856914489592697</v>
      </c>
      <c r="AK2092">
        <v>0.408387578547453</v>
      </c>
      <c r="AL2092">
        <v>90.332464183317796</v>
      </c>
      <c r="AM2092">
        <v>87.143094979568204</v>
      </c>
      <c r="AN2092">
        <v>0.99999998594133099</v>
      </c>
    </row>
    <row r="2093" spans="1:40" x14ac:dyDescent="0.25">
      <c r="A2093" t="str">
        <f>"20190312160958185"</f>
        <v>20190312160958185</v>
      </c>
      <c r="B2093" t="str">
        <f>"1552378198177956"</f>
        <v>1552378198177956</v>
      </c>
      <c r="C2093" t="s">
        <v>40</v>
      </c>
      <c r="D2093">
        <v>4.5723669999999998</v>
      </c>
      <c r="E2093">
        <v>0.53187010000000001</v>
      </c>
      <c r="F2093" t="s">
        <v>42</v>
      </c>
      <c r="G2093">
        <v>-430.93779999999998</v>
      </c>
      <c r="H2093">
        <v>0.96720269999999997</v>
      </c>
      <c r="I2093">
        <v>285.51089999999999</v>
      </c>
      <c r="J2093">
        <v>-430.55829999999997</v>
      </c>
      <c r="K2093">
        <v>1.1100239999999999</v>
      </c>
      <c r="L2093">
        <v>285.41809999999998</v>
      </c>
      <c r="M2093">
        <v>-0.99966100000000002</v>
      </c>
      <c r="N2093">
        <v>0</v>
      </c>
      <c r="O2093">
        <v>2.1626679999999999E-2</v>
      </c>
      <c r="P2093">
        <v>-0.99723099999999998</v>
      </c>
      <c r="Q2093">
        <v>-1.992348E-2</v>
      </c>
      <c r="R2093">
        <v>7.1648229999999993E-2</v>
      </c>
      <c r="S2093">
        <v>-2.9660030000000002</v>
      </c>
      <c r="T2093">
        <v>-0.60273589999999999</v>
      </c>
      <c r="U2093">
        <v>0.4194946</v>
      </c>
      <c r="V2093">
        <v>5.0062210000000003E-2</v>
      </c>
      <c r="W2093">
        <v>-5.4422409999999996E-3</v>
      </c>
      <c r="X2093">
        <v>0.99873129999999999</v>
      </c>
      <c r="Y2093">
        <v>0.11668820000000001</v>
      </c>
      <c r="Z2093">
        <v>7.3519869999999999E-3</v>
      </c>
      <c r="AA2093">
        <v>0.99314139999999995</v>
      </c>
      <c r="AB2093">
        <v>33</v>
      </c>
      <c r="AC2093">
        <v>-0.379500000000007</v>
      </c>
      <c r="AD2093">
        <v>-0.14282129999999901</v>
      </c>
      <c r="AE2093">
        <v>9.2800000000011096E-2</v>
      </c>
      <c r="AF2093">
        <v>7.46004195720395E-2</v>
      </c>
      <c r="AG2093">
        <v>-0.14282129999999901</v>
      </c>
      <c r="AH2093">
        <v>0.33645426392977601</v>
      </c>
      <c r="AI2093">
        <v>112.510325648676</v>
      </c>
      <c r="AJ2093">
        <v>77.498327345292694</v>
      </c>
      <c r="AK2093">
        <v>0.37304774232066001</v>
      </c>
      <c r="AL2093">
        <v>90.311818971469094</v>
      </c>
      <c r="AM2093">
        <v>87.130404721185599</v>
      </c>
      <c r="AN2093">
        <v>1.0000000262284301</v>
      </c>
    </row>
    <row r="2094" spans="1:40" x14ac:dyDescent="0.25">
      <c r="A2094" t="str">
        <f>"20190312160958207"</f>
        <v>20190312160958207</v>
      </c>
      <c r="B2094" t="str">
        <f>"1552378198197476"</f>
        <v>1552378198197476</v>
      </c>
      <c r="C2094" t="s">
        <v>40</v>
      </c>
      <c r="D2094">
        <v>5.0700269999999996</v>
      </c>
      <c r="E2094">
        <v>0.53381259999999997</v>
      </c>
      <c r="F2094" t="s">
        <v>42</v>
      </c>
      <c r="G2094">
        <v>-431.49950000000001</v>
      </c>
      <c r="H2094">
        <v>0.90998349999999995</v>
      </c>
      <c r="I2094">
        <v>285.5634</v>
      </c>
      <c r="J2094">
        <v>-430.87779999999998</v>
      </c>
      <c r="K2094">
        <v>1.1100219999999901</v>
      </c>
      <c r="L2094">
        <v>285.42500000000001</v>
      </c>
      <c r="M2094">
        <v>-0.99966109999999997</v>
      </c>
      <c r="N2094">
        <v>0</v>
      </c>
      <c r="O2094">
        <v>2.1626699999999999E-2</v>
      </c>
      <c r="P2094">
        <v>-0.99719939999999996</v>
      </c>
      <c r="Q2094">
        <v>-2.0115979999999999E-2</v>
      </c>
      <c r="R2094">
        <v>7.2037190000000001E-2</v>
      </c>
      <c r="S2094">
        <v>-2.962952</v>
      </c>
      <c r="T2094">
        <v>-0.62976339999999997</v>
      </c>
      <c r="U2094">
        <v>0.45632929999999999</v>
      </c>
      <c r="V2094">
        <v>5.0451799999999998E-2</v>
      </c>
      <c r="W2094">
        <v>-5.6386609999999997E-3</v>
      </c>
      <c r="X2094">
        <v>0.9987106</v>
      </c>
      <c r="Y2094">
        <v>0.12847439999999999</v>
      </c>
      <c r="Z2094">
        <v>8.9074889999999993E-3</v>
      </c>
      <c r="AA2094">
        <v>0.99167280000000002</v>
      </c>
      <c r="AB2094">
        <v>33</v>
      </c>
      <c r="AC2094">
        <v>-0.621700000000032</v>
      </c>
      <c r="AD2094">
        <v>-0.20003849999999901</v>
      </c>
      <c r="AE2094">
        <v>0.13839999999999</v>
      </c>
      <c r="AF2094">
        <v>0.11370488516527399</v>
      </c>
      <c r="AG2094">
        <v>-0.20003849999999901</v>
      </c>
      <c r="AH2094">
        <v>0.56847304506885898</v>
      </c>
      <c r="AI2094">
        <v>109.03713681898</v>
      </c>
      <c r="AJ2094">
        <v>78.689071642782295</v>
      </c>
      <c r="AK2094">
        <v>0.61327465736206599</v>
      </c>
      <c r="AL2094">
        <v>90.323073182760993</v>
      </c>
      <c r="AM2094">
        <v>87.108051117362393</v>
      </c>
      <c r="AN2094">
        <v>1.0000000205867301</v>
      </c>
    </row>
    <row r="2095" spans="1:40" x14ac:dyDescent="0.25">
      <c r="A2095" t="str">
        <f>"20190312160958229"</f>
        <v>20190312160958229</v>
      </c>
      <c r="B2095" t="str">
        <f>"1552378198217972"</f>
        <v>1552378198217972</v>
      </c>
      <c r="C2095" t="s">
        <v>40</v>
      </c>
      <c r="D2095">
        <v>4.5747679999999997</v>
      </c>
      <c r="E2095">
        <v>0.53541340000000004</v>
      </c>
      <c r="F2095" t="s">
        <v>42</v>
      </c>
      <c r="G2095">
        <v>-431.7944</v>
      </c>
      <c r="H2095">
        <v>0.9124546</v>
      </c>
      <c r="I2095">
        <v>285.57159999999999</v>
      </c>
      <c r="J2095">
        <v>-431.20620000000002</v>
      </c>
      <c r="K2095">
        <v>1.1100289999999999</v>
      </c>
      <c r="L2095">
        <v>285.43209999999999</v>
      </c>
      <c r="M2095">
        <v>-0.99966109999999997</v>
      </c>
      <c r="N2095">
        <v>0</v>
      </c>
      <c r="O2095">
        <v>2.162673E-2</v>
      </c>
      <c r="P2095">
        <v>-0.99718589999999996</v>
      </c>
      <c r="Q2095">
        <v>-2.0105029999999999E-2</v>
      </c>
      <c r="R2095">
        <v>7.2224490000000002E-2</v>
      </c>
      <c r="S2095">
        <v>-2.961395</v>
      </c>
      <c r="T2095">
        <v>-0.63834329999999995</v>
      </c>
      <c r="U2095">
        <v>0.47299190000000002</v>
      </c>
      <c r="V2095">
        <v>5.0639429999999999E-2</v>
      </c>
      <c r="W2095">
        <v>-5.6314989999999999E-3</v>
      </c>
      <c r="X2095">
        <v>0.99870110000000001</v>
      </c>
      <c r="Y2095">
        <v>0.13381390000000001</v>
      </c>
      <c r="Z2095">
        <v>9.5925309999999996E-3</v>
      </c>
      <c r="AA2095">
        <v>0.99096010000000001</v>
      </c>
      <c r="AB2095">
        <v>33</v>
      </c>
      <c r="AC2095">
        <v>-0.58819999999997197</v>
      </c>
      <c r="AD2095">
        <v>-0.19757440000000001</v>
      </c>
      <c r="AE2095">
        <v>0.13949999999999799</v>
      </c>
      <c r="AF2095">
        <v>0.11451308864523201</v>
      </c>
      <c r="AG2095">
        <v>-0.19757440000000001</v>
      </c>
      <c r="AH2095">
        <v>0.53403491660916103</v>
      </c>
      <c r="AI2095">
        <v>109.887200040328</v>
      </c>
      <c r="AJ2095">
        <v>77.897341033996796</v>
      </c>
      <c r="AK2095">
        <v>0.58081165894305598</v>
      </c>
      <c r="AL2095">
        <v>90.322662838139905</v>
      </c>
      <c r="AM2095">
        <v>87.097286768504304</v>
      </c>
      <c r="AN2095">
        <v>0.99999997639645999</v>
      </c>
    </row>
    <row r="2096" spans="1:40" x14ac:dyDescent="0.25">
      <c r="A2096" t="str">
        <f>"20190312160958252"</f>
        <v>20190312160958252</v>
      </c>
      <c r="B2096" t="str">
        <f>"1552378198237493"</f>
        <v>1552378198237493</v>
      </c>
      <c r="C2096" t="s">
        <v>40</v>
      </c>
      <c r="D2096">
        <v>4.6035019999999998</v>
      </c>
      <c r="E2096">
        <v>0.53650120000000001</v>
      </c>
      <c r="F2096" t="s">
        <v>42</v>
      </c>
      <c r="G2096">
        <v>-432.08980000000003</v>
      </c>
      <c r="H2096">
        <v>0.91707130000000003</v>
      </c>
      <c r="I2096">
        <v>285.57760000000002</v>
      </c>
      <c r="J2096">
        <v>-431.53739999999999</v>
      </c>
      <c r="K2096">
        <v>1.110031</v>
      </c>
      <c r="L2096">
        <v>285.4393</v>
      </c>
      <c r="M2096">
        <v>-0.99966129999999997</v>
      </c>
      <c r="N2096">
        <v>0</v>
      </c>
      <c r="O2096">
        <v>2.1626579999999999E-2</v>
      </c>
      <c r="P2096">
        <v>-0.99719760000000002</v>
      </c>
      <c r="Q2096">
        <v>-2.0018060000000001E-2</v>
      </c>
      <c r="R2096">
        <v>7.2087600000000002E-2</v>
      </c>
      <c r="S2096">
        <v>-2.9602050000000002</v>
      </c>
      <c r="T2096">
        <v>-0.64657929999999997</v>
      </c>
      <c r="U2096">
        <v>0.48602289999999998</v>
      </c>
      <c r="V2096">
        <v>5.0502270000000002E-2</v>
      </c>
      <c r="W2096">
        <v>-5.5479980000000002E-3</v>
      </c>
      <c r="X2096">
        <v>0.9987085</v>
      </c>
      <c r="Y2096">
        <v>0.13796610000000001</v>
      </c>
      <c r="Z2096">
        <v>1.0159390000000001E-2</v>
      </c>
      <c r="AA2096">
        <v>0.99038490000000001</v>
      </c>
      <c r="AB2096">
        <v>33</v>
      </c>
      <c r="AC2096">
        <v>-0.55240000000003397</v>
      </c>
      <c r="AD2096">
        <v>-0.19295970000000001</v>
      </c>
      <c r="AE2096">
        <v>0.13830000000001499</v>
      </c>
      <c r="AF2096">
        <v>0.11330951340086801</v>
      </c>
      <c r="AG2096">
        <v>-0.19295970000000001</v>
      </c>
      <c r="AH2096">
        <v>0.49807263889534598</v>
      </c>
      <c r="AI2096">
        <v>110.694593778631</v>
      </c>
      <c r="AJ2096">
        <v>77.183572406356404</v>
      </c>
      <c r="AK2096">
        <v>0.54603007725527797</v>
      </c>
      <c r="AL2096">
        <v>90.317878512411397</v>
      </c>
      <c r="AM2096">
        <v>87.105156966936605</v>
      </c>
      <c r="AN2096">
        <v>0.99999996376460398</v>
      </c>
    </row>
    <row r="2097" spans="1:40" x14ac:dyDescent="0.25">
      <c r="A2097" t="str">
        <f>"20190312160958274"</f>
        <v>20190312160958274</v>
      </c>
      <c r="B2097" t="str">
        <f>"1552378198267753"</f>
        <v>1552378198267753</v>
      </c>
      <c r="C2097" t="s">
        <v>40</v>
      </c>
      <c r="D2097">
        <v>4.6125439999999998</v>
      </c>
      <c r="E2097">
        <v>0.53747230000000001</v>
      </c>
      <c r="F2097" t="s">
        <v>42</v>
      </c>
      <c r="G2097">
        <v>-432.38420000000002</v>
      </c>
      <c r="H2097">
        <v>0.92038229999999999</v>
      </c>
      <c r="I2097">
        <v>285.5806</v>
      </c>
      <c r="J2097">
        <v>-431.8716</v>
      </c>
      <c r="K2097">
        <v>1.110033</v>
      </c>
      <c r="L2097">
        <v>285.44650000000001</v>
      </c>
      <c r="M2097">
        <v>-0.99966129999999997</v>
      </c>
      <c r="N2097">
        <v>0</v>
      </c>
      <c r="O2097">
        <v>2.1626599999999999E-2</v>
      </c>
      <c r="P2097">
        <v>-0.99723039999999996</v>
      </c>
      <c r="Q2097">
        <v>-2.01992E-2</v>
      </c>
      <c r="R2097">
        <v>7.1580939999999996E-2</v>
      </c>
      <c r="S2097">
        <v>-2.959473</v>
      </c>
      <c r="T2097">
        <v>-0.66290309999999997</v>
      </c>
      <c r="U2097">
        <v>0.4936218</v>
      </c>
      <c r="V2097">
        <v>4.999497E-2</v>
      </c>
      <c r="W2097">
        <v>-5.7323269999999997E-3</v>
      </c>
      <c r="X2097">
        <v>0.99873299999999998</v>
      </c>
      <c r="Y2097">
        <v>0.1402892</v>
      </c>
      <c r="Z2097">
        <v>1.0665590000000001E-2</v>
      </c>
      <c r="AA2097">
        <v>0.99005310000000002</v>
      </c>
      <c r="AB2097">
        <v>33</v>
      </c>
      <c r="AC2097">
        <v>-0.51260000000002004</v>
      </c>
      <c r="AD2097">
        <v>-0.18965070000000001</v>
      </c>
      <c r="AE2097">
        <v>0.13409999999998901</v>
      </c>
      <c r="AF2097">
        <v>0.109015128982361</v>
      </c>
      <c r="AG2097">
        <v>-0.18965070000000001</v>
      </c>
      <c r="AH2097">
        <v>0.45685078385522299</v>
      </c>
      <c r="AI2097">
        <v>111.988324779332</v>
      </c>
      <c r="AJ2097">
        <v>76.578886466501402</v>
      </c>
      <c r="AK2097">
        <v>0.50652179130483799</v>
      </c>
      <c r="AL2097">
        <v>90.328439948897298</v>
      </c>
      <c r="AM2097">
        <v>87.134257398175706</v>
      </c>
      <c r="AN2097">
        <v>0.99999998094356701</v>
      </c>
    </row>
    <row r="2098" spans="1:40" x14ac:dyDescent="0.25">
      <c r="A2098" t="str">
        <f>"20190312160958297"</f>
        <v>20190312160958297</v>
      </c>
      <c r="B2098" t="str">
        <f>"1552378198288245"</f>
        <v>1552378198288245</v>
      </c>
      <c r="C2098" t="s">
        <v>40</v>
      </c>
      <c r="D2098">
        <v>4.6280729999999997</v>
      </c>
      <c r="E2098">
        <v>0.53760659999999905</v>
      </c>
      <c r="F2098" t="s">
        <v>42</v>
      </c>
      <c r="G2098">
        <v>-432.68040000000002</v>
      </c>
      <c r="H2098">
        <v>0.92794370000000004</v>
      </c>
      <c r="I2098">
        <v>285.58359999999999</v>
      </c>
      <c r="J2098">
        <v>-432.19690000000003</v>
      </c>
      <c r="K2098">
        <v>1.1100319999999999</v>
      </c>
      <c r="L2098">
        <v>285.45359999999999</v>
      </c>
      <c r="M2098">
        <v>-0.99966120000000003</v>
      </c>
      <c r="N2098">
        <v>0</v>
      </c>
      <c r="O2098">
        <v>2.1626630000000001E-2</v>
      </c>
      <c r="P2098">
        <v>-0.99724080000000004</v>
      </c>
      <c r="Q2098">
        <v>-2.0317760000000001E-2</v>
      </c>
      <c r="R2098">
        <v>7.1401149999999997E-2</v>
      </c>
      <c r="S2098">
        <v>-2.9589840000000001</v>
      </c>
      <c r="T2098">
        <v>-0.66620049999999997</v>
      </c>
      <c r="U2098">
        <v>0.50012209999999901</v>
      </c>
      <c r="V2098">
        <v>4.9815150000000002E-2</v>
      </c>
      <c r="W2098">
        <v>-5.8541829999999998E-3</v>
      </c>
      <c r="X2098">
        <v>0.99874130000000005</v>
      </c>
      <c r="Y2098">
        <v>0.1423527</v>
      </c>
      <c r="Z2098">
        <v>1.0945099999999999E-2</v>
      </c>
      <c r="AA2098">
        <v>0.98975550000000001</v>
      </c>
      <c r="AB2098">
        <v>33</v>
      </c>
      <c r="AC2098">
        <v>-0.48349999999999199</v>
      </c>
      <c r="AD2098">
        <v>-0.18208829999999901</v>
      </c>
      <c r="AE2098">
        <v>0.12999999999999501</v>
      </c>
      <c r="AF2098">
        <v>0.10555091082326599</v>
      </c>
      <c r="AG2098">
        <v>-0.18208829999999901</v>
      </c>
      <c r="AH2098">
        <v>0.42940209701443599</v>
      </c>
      <c r="AI2098">
        <v>112.38149979280701</v>
      </c>
      <c r="AJ2098">
        <v>76.189978603997204</v>
      </c>
      <c r="AK2098">
        <v>0.47820843226872001</v>
      </c>
      <c r="AL2098">
        <v>90.335421893484593</v>
      </c>
      <c r="AM2098">
        <v>87.144571393216907</v>
      </c>
      <c r="AN2098">
        <v>1.0000000024769</v>
      </c>
    </row>
    <row r="2099" spans="1:40" x14ac:dyDescent="0.25">
      <c r="A2099" t="str">
        <f>"20190312160958320"</f>
        <v>20190312160958320</v>
      </c>
      <c r="B2099" t="str">
        <f>"1552378198307764"</f>
        <v>1552378198307764</v>
      </c>
      <c r="C2099" t="s">
        <v>40</v>
      </c>
      <c r="D2099">
        <v>5.0631399999999998</v>
      </c>
      <c r="E2099">
        <v>0.53829950000000004</v>
      </c>
      <c r="F2099" t="s">
        <v>42</v>
      </c>
      <c r="G2099">
        <v>-432.97590000000002</v>
      </c>
      <c r="H2099">
        <v>0.93463949999999996</v>
      </c>
      <c r="I2099">
        <v>285.5856</v>
      </c>
      <c r="J2099">
        <v>-432.53100000000001</v>
      </c>
      <c r="K2099">
        <v>1.110034</v>
      </c>
      <c r="L2099">
        <v>285.46080000000001</v>
      </c>
      <c r="M2099">
        <v>-0.99966140000000003</v>
      </c>
      <c r="N2099">
        <v>0</v>
      </c>
      <c r="O2099">
        <v>2.162648E-2</v>
      </c>
      <c r="P2099">
        <v>-0.99726970000000004</v>
      </c>
      <c r="Q2099">
        <v>-2.0366410000000001E-2</v>
      </c>
      <c r="R2099">
        <v>7.0984530000000004E-2</v>
      </c>
      <c r="S2099">
        <v>-2.958923</v>
      </c>
      <c r="T2099">
        <v>-0.6662439</v>
      </c>
      <c r="U2099">
        <v>0.5004883</v>
      </c>
      <c r="V2099">
        <v>4.9398039999999997E-2</v>
      </c>
      <c r="W2099">
        <v>-5.9059869999999997E-3</v>
      </c>
      <c r="X2099">
        <v>0.99876169999999997</v>
      </c>
      <c r="Y2099">
        <v>0.14247199999999999</v>
      </c>
      <c r="Z2099">
        <v>1.0959109999999999E-2</v>
      </c>
      <c r="AA2099">
        <v>0.98973820000000001</v>
      </c>
      <c r="AB2099">
        <v>33</v>
      </c>
      <c r="AC2099">
        <v>-0.444900000000018</v>
      </c>
      <c r="AD2099">
        <v>-0.17539449999999901</v>
      </c>
      <c r="AE2099">
        <v>0.124799999999993</v>
      </c>
      <c r="AF2099">
        <v>0.100646732754976</v>
      </c>
      <c r="AG2099">
        <v>-0.17539449999999901</v>
      </c>
      <c r="AH2099">
        <v>0.39113887947171</v>
      </c>
      <c r="AI2099">
        <v>113.474021599865</v>
      </c>
      <c r="AJ2099">
        <v>75.569861614173504</v>
      </c>
      <c r="AK2099">
        <v>0.44032104024096602</v>
      </c>
      <c r="AL2099">
        <v>90.3383900995034</v>
      </c>
      <c r="AM2099">
        <v>87.168499008417598</v>
      </c>
      <c r="AN2099">
        <v>0.99999999021258701</v>
      </c>
    </row>
    <row r="2100" spans="1:40" x14ac:dyDescent="0.25">
      <c r="A2100" t="str">
        <f>"20190312160958343"</f>
        <v>20190312160958343</v>
      </c>
      <c r="B2100" t="str">
        <f>"1552378198338021"</f>
        <v>1552378198338021</v>
      </c>
      <c r="C2100" t="s">
        <v>40</v>
      </c>
      <c r="D2100">
        <v>4.6367089999999997</v>
      </c>
      <c r="E2100">
        <v>0.53937749999999995</v>
      </c>
      <c r="F2100" t="s">
        <v>42</v>
      </c>
      <c r="G2100">
        <v>-433.27210000000002</v>
      </c>
      <c r="H2100">
        <v>0.94354570000000004</v>
      </c>
      <c r="I2100">
        <v>285.58780000000002</v>
      </c>
      <c r="J2100">
        <v>-432.87709999999998</v>
      </c>
      <c r="K2100">
        <v>1.1100369999999999</v>
      </c>
      <c r="L2100">
        <v>285.4683</v>
      </c>
      <c r="M2100">
        <v>-0.99966129999999997</v>
      </c>
      <c r="N2100">
        <v>0</v>
      </c>
      <c r="O2100">
        <v>2.1626679999999999E-2</v>
      </c>
      <c r="P2100">
        <v>-0.99728680000000003</v>
      </c>
      <c r="Q2100">
        <v>-1.992209E-2</v>
      </c>
      <c r="R2100">
        <v>7.0866479999999996E-2</v>
      </c>
      <c r="S2100">
        <v>-2.9587400000000001</v>
      </c>
      <c r="T2100">
        <v>-0.66484359999999998</v>
      </c>
      <c r="U2100">
        <v>0.50482179999999999</v>
      </c>
      <c r="V2100">
        <v>4.9279440000000001E-2</v>
      </c>
      <c r="W2100">
        <v>-5.4650879999999999E-3</v>
      </c>
      <c r="X2100">
        <v>0.99877009999999999</v>
      </c>
      <c r="Y2100">
        <v>0.14386959999999999</v>
      </c>
      <c r="Z2100">
        <v>1.1089989999999999E-2</v>
      </c>
      <c r="AA2100">
        <v>0.98953449999999998</v>
      </c>
      <c r="AB2100">
        <v>33</v>
      </c>
      <c r="AC2100">
        <v>-0.39500000000003799</v>
      </c>
      <c r="AD2100">
        <v>-0.16649130000000001</v>
      </c>
      <c r="AE2100">
        <v>0.119500000000016</v>
      </c>
      <c r="AF2100">
        <v>9.5400897493445602E-2</v>
      </c>
      <c r="AG2100">
        <v>-0.16649130000000001</v>
      </c>
      <c r="AH2100">
        <v>0.341851552482897</v>
      </c>
      <c r="AI2100">
        <v>115.131436421877</v>
      </c>
      <c r="AJ2100">
        <v>74.407116873675605</v>
      </c>
      <c r="AK2100">
        <v>0.39202444841261103</v>
      </c>
      <c r="AL2100">
        <v>90.313128029049906</v>
      </c>
      <c r="AM2100">
        <v>87.175309868217099</v>
      </c>
      <c r="AN2100">
        <v>1.0000000215237801</v>
      </c>
    </row>
    <row r="2101" spans="1:40" x14ac:dyDescent="0.25">
      <c r="A2101" t="str">
        <f>"20190312160958363"</f>
        <v>20190312160958363</v>
      </c>
      <c r="B2101" t="str">
        <f>"1552378198357541"</f>
        <v>1552378198357541</v>
      </c>
      <c r="C2101" t="s">
        <v>40</v>
      </c>
      <c r="D2101">
        <v>4.6549880000000003</v>
      </c>
      <c r="E2101">
        <v>0.54002790000000001</v>
      </c>
      <c r="F2101" t="s">
        <v>42</v>
      </c>
      <c r="G2101">
        <v>-433.56959999999998</v>
      </c>
      <c r="H2101">
        <v>0.95558889999999996</v>
      </c>
      <c r="I2101">
        <v>285.58850000000001</v>
      </c>
      <c r="J2101">
        <v>-433.16980000000001</v>
      </c>
      <c r="K2101">
        <v>1.1100369999999999</v>
      </c>
      <c r="L2101">
        <v>285.47460000000001</v>
      </c>
      <c r="M2101">
        <v>-0.99966140000000003</v>
      </c>
      <c r="N2101">
        <v>0</v>
      </c>
      <c r="O2101">
        <v>2.162652E-2</v>
      </c>
      <c r="P2101">
        <v>-0.99734040000000002</v>
      </c>
      <c r="Q2101">
        <v>-1.9421529999999999E-2</v>
      </c>
      <c r="R2101">
        <v>7.0250060000000003E-2</v>
      </c>
      <c r="S2101">
        <v>-2.9585569999999999</v>
      </c>
      <c r="T2101">
        <v>-0.65991259999999996</v>
      </c>
      <c r="U2101">
        <v>0.51309199999999999</v>
      </c>
      <c r="V2101">
        <v>4.8662129999999998E-2</v>
      </c>
      <c r="W2101">
        <v>-4.9670340000000004E-3</v>
      </c>
      <c r="X2101">
        <v>0.998803</v>
      </c>
      <c r="Y2101">
        <v>0.1465467</v>
      </c>
      <c r="Z2101">
        <v>1.130074E-2</v>
      </c>
      <c r="AA2101">
        <v>0.9891392</v>
      </c>
      <c r="AB2101">
        <v>33</v>
      </c>
      <c r="AC2101">
        <v>-0.39979999999997001</v>
      </c>
      <c r="AD2101">
        <v>-0.1544481</v>
      </c>
      <c r="AE2101">
        <v>0.1139</v>
      </c>
      <c r="AF2101">
        <v>9.2463061549508493E-2</v>
      </c>
      <c r="AG2101">
        <v>-0.1544481</v>
      </c>
      <c r="AH2101">
        <v>0.35338993881681302</v>
      </c>
      <c r="AI2101">
        <v>112.91933021853499</v>
      </c>
      <c r="AJ2101">
        <v>75.337482375522498</v>
      </c>
      <c r="AK2101">
        <v>0.39659561545946098</v>
      </c>
      <c r="AL2101">
        <v>90.284591239873606</v>
      </c>
      <c r="AM2101">
        <v>87.210729483962396</v>
      </c>
      <c r="AN2101">
        <v>1.0000000535659399</v>
      </c>
    </row>
    <row r="2102" spans="1:40" x14ac:dyDescent="0.25">
      <c r="A2102" t="str">
        <f>"20190312160958386"</f>
        <v>20190312160958386</v>
      </c>
      <c r="B2102" t="str">
        <f>"1552378198378037"</f>
        <v>1552378198378037</v>
      </c>
      <c r="C2102" t="s">
        <v>40</v>
      </c>
      <c r="D2102">
        <v>5.1242559999999999</v>
      </c>
      <c r="E2102">
        <v>0.54018859999999902</v>
      </c>
      <c r="F2102" t="s">
        <v>42</v>
      </c>
      <c r="G2102">
        <v>-433.86149999999998</v>
      </c>
      <c r="H2102">
        <v>0.95663880000000001</v>
      </c>
      <c r="I2102">
        <v>285.59589999999997</v>
      </c>
      <c r="J2102">
        <v>-433.49759999999998</v>
      </c>
      <c r="K2102">
        <v>1.1100369999999999</v>
      </c>
      <c r="L2102">
        <v>285.48169999999999</v>
      </c>
      <c r="M2102">
        <v>-0.99966140000000003</v>
      </c>
      <c r="N2102">
        <v>0</v>
      </c>
      <c r="O2102">
        <v>2.162673E-2</v>
      </c>
      <c r="P2102">
        <v>-0.99735339999999995</v>
      </c>
      <c r="Q2102">
        <v>-1.9352080000000001E-2</v>
      </c>
      <c r="R2102">
        <v>7.0084460000000001E-2</v>
      </c>
      <c r="S2102">
        <v>-2.958771</v>
      </c>
      <c r="T2102">
        <v>-0.65635749999999904</v>
      </c>
      <c r="U2102">
        <v>0.51696779999999998</v>
      </c>
      <c r="V2102">
        <v>4.8496160000000003E-2</v>
      </c>
      <c r="W2102">
        <v>-4.9008949999999997E-3</v>
      </c>
      <c r="X2102">
        <v>0.99881140000000002</v>
      </c>
      <c r="Y2102">
        <v>0.14779539999999999</v>
      </c>
      <c r="Z2102">
        <v>1.1375100000000001E-2</v>
      </c>
      <c r="AA2102">
        <v>0.98895250000000001</v>
      </c>
      <c r="AB2102">
        <v>33</v>
      </c>
      <c r="AC2102">
        <v>-0.363900000000001</v>
      </c>
      <c r="AD2102">
        <v>-0.15339820000000001</v>
      </c>
      <c r="AE2102">
        <v>0.114199999999982</v>
      </c>
      <c r="AF2102">
        <v>9.1500919036908407E-2</v>
      </c>
      <c r="AG2102">
        <v>-0.15339820000000001</v>
      </c>
      <c r="AH2102">
        <v>0.315283339555752</v>
      </c>
      <c r="AI2102">
        <v>115.044834688843</v>
      </c>
      <c r="AJ2102">
        <v>73.816316985427093</v>
      </c>
      <c r="AK2102">
        <v>0.36236309159359298</v>
      </c>
      <c r="AL2102">
        <v>90.280801708115206</v>
      </c>
      <c r="AM2102">
        <v>87.220251132910903</v>
      </c>
      <c r="AN2102">
        <v>1.0000000545382499</v>
      </c>
    </row>
    <row r="2103" spans="1:40" x14ac:dyDescent="0.25">
      <c r="A2103" t="str">
        <f>"20190312160958408"</f>
        <v>20190312160958408</v>
      </c>
      <c r="B2103" t="str">
        <f>"1552378198397557"</f>
        <v>1552378198397557</v>
      </c>
      <c r="C2103" t="s">
        <v>40</v>
      </c>
      <c r="D2103">
        <v>4.6640730000000001</v>
      </c>
      <c r="E2103">
        <v>0.54100230000000005</v>
      </c>
      <c r="F2103" t="s">
        <v>42</v>
      </c>
      <c r="G2103">
        <v>-434.42009999999999</v>
      </c>
      <c r="H2103">
        <v>0.90526740000000006</v>
      </c>
      <c r="I2103">
        <v>285.64330000000001</v>
      </c>
      <c r="J2103">
        <v>-433.81420000000003</v>
      </c>
      <c r="K2103">
        <v>1.110039</v>
      </c>
      <c r="L2103">
        <v>285.48860000000002</v>
      </c>
      <c r="M2103">
        <v>-0.99966140000000003</v>
      </c>
      <c r="N2103">
        <v>0</v>
      </c>
      <c r="O2103">
        <v>2.162675E-2</v>
      </c>
      <c r="P2103">
        <v>-0.99733970000000005</v>
      </c>
      <c r="Q2103">
        <v>-1.9162729999999999E-2</v>
      </c>
      <c r="R2103">
        <v>7.0331820000000003E-2</v>
      </c>
      <c r="S2103">
        <v>-2.9588320000000001</v>
      </c>
      <c r="T2103">
        <v>-0.65681299999999998</v>
      </c>
      <c r="U2103">
        <v>0.51733399999999996</v>
      </c>
      <c r="V2103">
        <v>4.8743939999999999E-2</v>
      </c>
      <c r="W2103">
        <v>-4.7150159999999998E-3</v>
      </c>
      <c r="X2103">
        <v>0.99880020000000003</v>
      </c>
      <c r="Y2103">
        <v>0.14790420000000001</v>
      </c>
      <c r="Z2103">
        <v>1.139431E-2</v>
      </c>
      <c r="AA2103">
        <v>0.98893609999999998</v>
      </c>
      <c r="AB2103">
        <v>33</v>
      </c>
      <c r="AC2103">
        <v>-0.60589999999996202</v>
      </c>
      <c r="AD2103">
        <v>-0.204771599999999</v>
      </c>
      <c r="AE2103">
        <v>0.15469999999999101</v>
      </c>
      <c r="AF2103">
        <v>0.12784965243301499</v>
      </c>
      <c r="AG2103">
        <v>-0.204771599999999</v>
      </c>
      <c r="AH2103">
        <v>0.55011609388445704</v>
      </c>
      <c r="AI2103">
        <v>109.929156119921</v>
      </c>
      <c r="AJ2103">
        <v>76.916439017267606</v>
      </c>
      <c r="AK2103">
        <v>0.60075340909935304</v>
      </c>
      <c r="AL2103">
        <v>90.270151512364293</v>
      </c>
      <c r="AM2103">
        <v>87.2060398106089</v>
      </c>
      <c r="AN2103">
        <v>1.00000002129132</v>
      </c>
    </row>
    <row r="2104" spans="1:40" x14ac:dyDescent="0.25">
      <c r="A2104" t="str">
        <f>"20190312160958430"</f>
        <v>20190312160958430</v>
      </c>
      <c r="B2104" t="str">
        <f>"1552378198418052"</f>
        <v>1552378198418052</v>
      </c>
      <c r="C2104" t="s">
        <v>40</v>
      </c>
      <c r="D2104">
        <v>4.7087789999999998</v>
      </c>
      <c r="E2104">
        <v>0.54149749999999996</v>
      </c>
      <c r="F2104" t="s">
        <v>42</v>
      </c>
      <c r="G2104">
        <v>-434.71230000000003</v>
      </c>
      <c r="H2104">
        <v>0.90976880000000004</v>
      </c>
      <c r="I2104">
        <v>285.64780000000002</v>
      </c>
      <c r="J2104">
        <v>-434.1404</v>
      </c>
      <c r="K2104">
        <v>1.110047</v>
      </c>
      <c r="L2104">
        <v>285.49560000000002</v>
      </c>
      <c r="M2104">
        <v>-0.99966160000000004</v>
      </c>
      <c r="N2104">
        <v>0</v>
      </c>
      <c r="O2104">
        <v>2.1626599999999999E-2</v>
      </c>
      <c r="P2104">
        <v>-0.99736329999999995</v>
      </c>
      <c r="Q2104">
        <v>-1.8615260000000002E-2</v>
      </c>
      <c r="R2104">
        <v>7.0143769999999994E-2</v>
      </c>
      <c r="S2104">
        <v>-2.958405</v>
      </c>
      <c r="T2104">
        <v>-0.65968009999999999</v>
      </c>
      <c r="U2104">
        <v>0.52386469999999996</v>
      </c>
      <c r="V2104">
        <v>4.855545E-2</v>
      </c>
      <c r="W2104">
        <v>-4.1707649999999999E-3</v>
      </c>
      <c r="X2104">
        <v>0.99881180000000003</v>
      </c>
      <c r="Y2104">
        <v>0.14997149999999901</v>
      </c>
      <c r="Z2104">
        <v>1.166843E-2</v>
      </c>
      <c r="AA2104">
        <v>0.98862150000000004</v>
      </c>
      <c r="AB2104">
        <v>33</v>
      </c>
      <c r="AC2104">
        <v>-0.57190000000002705</v>
      </c>
      <c r="AD2104">
        <v>-0.20027819999999999</v>
      </c>
      <c r="AE2104">
        <v>0.15219999999999301</v>
      </c>
      <c r="AF2104">
        <v>0.12542973867378901</v>
      </c>
      <c r="AG2104">
        <v>-0.20027819999999999</v>
      </c>
      <c r="AH2104">
        <v>0.51596600529174397</v>
      </c>
      <c r="AI2104">
        <v>110.66530883537</v>
      </c>
      <c r="AJ2104">
        <v>76.336609349676095</v>
      </c>
      <c r="AK2104">
        <v>0.56750761700239405</v>
      </c>
      <c r="AL2104">
        <v>90.238967920024294</v>
      </c>
      <c r="AM2104">
        <v>87.2168591453581</v>
      </c>
      <c r="AN2104">
        <v>1.00000001941231</v>
      </c>
    </row>
    <row r="2105" spans="1:40" x14ac:dyDescent="0.25">
      <c r="A2105" t="str">
        <f>"20190312160958453"</f>
        <v>20190312160958453</v>
      </c>
      <c r="B2105" t="str">
        <f>"1552378198447336"</f>
        <v>1552378198447336</v>
      </c>
      <c r="C2105" t="s">
        <v>40</v>
      </c>
      <c r="D2105">
        <v>5.0107379999999999</v>
      </c>
      <c r="E2105">
        <v>0.54138790000000003</v>
      </c>
      <c r="F2105" t="s">
        <v>42</v>
      </c>
      <c r="G2105">
        <v>-435.00510000000003</v>
      </c>
      <c r="H2105">
        <v>0.91639660000000001</v>
      </c>
      <c r="I2105">
        <v>285.65030000000002</v>
      </c>
      <c r="J2105">
        <v>-434.47129999999999</v>
      </c>
      <c r="K2105">
        <v>1.1100479999999999</v>
      </c>
      <c r="L2105">
        <v>285.50279999999998</v>
      </c>
      <c r="M2105">
        <v>-0.99966160000000004</v>
      </c>
      <c r="N2105">
        <v>0</v>
      </c>
      <c r="O2105">
        <v>2.1626630000000001E-2</v>
      </c>
      <c r="P2105">
        <v>-0.99741329999999995</v>
      </c>
      <c r="Q2105">
        <v>-1.8366259999999999E-2</v>
      </c>
      <c r="R2105">
        <v>6.9492369999999998E-2</v>
      </c>
      <c r="S2105">
        <v>-2.9584350000000001</v>
      </c>
      <c r="T2105">
        <v>-0.66256550000000003</v>
      </c>
      <c r="U2105">
        <v>0.52752690000000002</v>
      </c>
      <c r="V2105">
        <v>4.7902989999999999E-2</v>
      </c>
      <c r="W2105">
        <v>-3.9247270000000003E-3</v>
      </c>
      <c r="X2105">
        <v>0.99884430000000002</v>
      </c>
      <c r="Y2105">
        <v>0.15110309999999999</v>
      </c>
      <c r="Z2105">
        <v>1.184116E-2</v>
      </c>
      <c r="AA2105">
        <v>0.98844710000000002</v>
      </c>
      <c r="AB2105">
        <v>32</v>
      </c>
      <c r="AC2105">
        <v>-0.53380000000004202</v>
      </c>
      <c r="AD2105">
        <v>-0.193651399999999</v>
      </c>
      <c r="AE2105">
        <v>0.14750000000003599</v>
      </c>
      <c r="AF2105">
        <v>0.121111382606844</v>
      </c>
      <c r="AG2105">
        <v>-0.193651399999999</v>
      </c>
      <c r="AH2105">
        <v>0.47837340024502101</v>
      </c>
      <c r="AI2105">
        <v>111.426570641268</v>
      </c>
      <c r="AJ2105">
        <v>75.792761964577394</v>
      </c>
      <c r="AK2105">
        <v>0.53010370851455502</v>
      </c>
      <c r="AL2105">
        <v>90.224870866142595</v>
      </c>
      <c r="AM2105">
        <v>87.254288961758206</v>
      </c>
      <c r="AN2105">
        <v>1.00000001778772</v>
      </c>
    </row>
    <row r="2106" spans="1:40" x14ac:dyDescent="0.25">
      <c r="A2106" t="str">
        <f>"20190312160958475"</f>
        <v>20190312160958475</v>
      </c>
      <c r="B2106" t="str">
        <f>"1552378198467828"</f>
        <v>1552378198467828</v>
      </c>
      <c r="C2106" t="s">
        <v>40</v>
      </c>
      <c r="D2106">
        <v>5.094252</v>
      </c>
      <c r="E2106">
        <v>0.54133469999999995</v>
      </c>
      <c r="F2106" t="s">
        <v>42</v>
      </c>
      <c r="G2106">
        <v>-435.29809999999998</v>
      </c>
      <c r="H2106">
        <v>0.9245234</v>
      </c>
      <c r="I2106">
        <v>285.6497</v>
      </c>
      <c r="J2106">
        <v>-434.79680000000002</v>
      </c>
      <c r="K2106">
        <v>1.1100449999999999</v>
      </c>
      <c r="L2106">
        <v>285.50979999999998</v>
      </c>
      <c r="M2106">
        <v>-0.99966169999999999</v>
      </c>
      <c r="N2106">
        <v>0</v>
      </c>
      <c r="O2106">
        <v>2.1626469999999998E-2</v>
      </c>
      <c r="P2106">
        <v>-0.99741789999999997</v>
      </c>
      <c r="Q2106">
        <v>-1.8138930000000001E-2</v>
      </c>
      <c r="R2106">
        <v>6.9489609999999993E-2</v>
      </c>
      <c r="S2106">
        <v>-2.9589840000000001</v>
      </c>
      <c r="T2106">
        <v>-0.66397090000000003</v>
      </c>
      <c r="U2106">
        <v>0.52490230000000004</v>
      </c>
      <c r="V2106">
        <v>4.7900239999999997E-2</v>
      </c>
      <c r="W2106">
        <v>-3.7008179999999998E-3</v>
      </c>
      <c r="X2106">
        <v>0.99884530000000005</v>
      </c>
      <c r="Y2106">
        <v>0.15023020000000001</v>
      </c>
      <c r="Z2106">
        <v>1.176846E-2</v>
      </c>
      <c r="AA2106">
        <v>0.98858100000000004</v>
      </c>
      <c r="AB2106">
        <v>32</v>
      </c>
      <c r="AC2106">
        <v>-0.501299999999957</v>
      </c>
      <c r="AD2106">
        <v>-0.18552160000000001</v>
      </c>
      <c r="AE2106">
        <v>0.13990000000001099</v>
      </c>
      <c r="AF2106">
        <v>0.114478685793945</v>
      </c>
      <c r="AG2106">
        <v>-0.18552160000000001</v>
      </c>
      <c r="AH2106">
        <v>0.44736469554767999</v>
      </c>
      <c r="AI2106">
        <v>111.88796413597601</v>
      </c>
      <c r="AJ2106">
        <v>75.646273932814097</v>
      </c>
      <c r="AK2106">
        <v>0.49765329737693698</v>
      </c>
      <c r="AL2106">
        <v>90.212041729557001</v>
      </c>
      <c r="AM2106">
        <v>87.254449090017005</v>
      </c>
      <c r="AN2106">
        <v>1.000000031189</v>
      </c>
    </row>
    <row r="2107" spans="1:40" x14ac:dyDescent="0.25">
      <c r="A2107" t="str">
        <f>"20190312160958498"</f>
        <v>20190312160958498</v>
      </c>
      <c r="B2107" t="str">
        <f>"1552378198487349"</f>
        <v>1552378198487349</v>
      </c>
      <c r="C2107" t="s">
        <v>40</v>
      </c>
      <c r="D2107">
        <v>4.7159490000000002</v>
      </c>
      <c r="E2107">
        <v>0.54128069999999995</v>
      </c>
      <c r="F2107" t="s">
        <v>42</v>
      </c>
      <c r="G2107">
        <v>-435.59070000000003</v>
      </c>
      <c r="H2107">
        <v>0.93168709999999999</v>
      </c>
      <c r="I2107">
        <v>285.65069999999997</v>
      </c>
      <c r="J2107">
        <v>-435.11720000000003</v>
      </c>
      <c r="K2107">
        <v>1.1100559999999999</v>
      </c>
      <c r="L2107">
        <v>285.51679999999999</v>
      </c>
      <c r="M2107">
        <v>-0.99966180000000004</v>
      </c>
      <c r="N2107">
        <v>0</v>
      </c>
      <c r="O2107">
        <v>2.16265E-2</v>
      </c>
      <c r="P2107">
        <v>-0.99740790000000001</v>
      </c>
      <c r="Q2107">
        <v>-1.823731E-2</v>
      </c>
      <c r="R2107">
        <v>6.960732E-2</v>
      </c>
      <c r="S2107">
        <v>-2.9591370000000001</v>
      </c>
      <c r="T2107">
        <v>-0.6647478</v>
      </c>
      <c r="U2107">
        <v>0.52459719999999999</v>
      </c>
      <c r="V2107">
        <v>4.801822E-2</v>
      </c>
      <c r="W2107">
        <v>-3.8026010000000001E-3</v>
      </c>
      <c r="X2107">
        <v>0.99883920000000004</v>
      </c>
      <c r="Y2107">
        <v>0.15011830000000001</v>
      </c>
      <c r="Z2107">
        <v>1.1769099999999999E-2</v>
      </c>
      <c r="AA2107">
        <v>0.98859799999999998</v>
      </c>
      <c r="AB2107">
        <v>32</v>
      </c>
      <c r="AC2107">
        <v>-0.47350000000000098</v>
      </c>
      <c r="AD2107">
        <v>-0.1783689</v>
      </c>
      <c r="AE2107">
        <v>0.13389999999998201</v>
      </c>
      <c r="AF2107">
        <v>0.109269697763547</v>
      </c>
      <c r="AG2107">
        <v>-0.1783689</v>
      </c>
      <c r="AH2107">
        <v>0.42097081889302701</v>
      </c>
      <c r="AI2107">
        <v>112.29941229346301</v>
      </c>
      <c r="AJ2107">
        <v>75.449079864063904</v>
      </c>
      <c r="AK2107">
        <v>0.47007633603066301</v>
      </c>
      <c r="AL2107">
        <v>90.217873518260106</v>
      </c>
      <c r="AM2107">
        <v>87.247680302860999</v>
      </c>
      <c r="AN2107">
        <v>0.99999997834148602</v>
      </c>
    </row>
    <row r="2108" spans="1:40" x14ac:dyDescent="0.25">
      <c r="A2108" t="str">
        <f>"20190312160958522"</f>
        <v>20190312160958522</v>
      </c>
      <c r="B2108" t="str">
        <f>"1552378198517605"</f>
        <v>1552378198517605</v>
      </c>
      <c r="C2108" t="s">
        <v>40</v>
      </c>
      <c r="D2108">
        <v>4.690639</v>
      </c>
      <c r="E2108">
        <v>0.54543660000000005</v>
      </c>
      <c r="F2108" t="s">
        <v>42</v>
      </c>
      <c r="G2108">
        <v>-435.88249999999999</v>
      </c>
      <c r="H2108">
        <v>0.93775129999999995</v>
      </c>
      <c r="I2108">
        <v>285.65260000000001</v>
      </c>
      <c r="J2108">
        <v>-435.47320000000002</v>
      </c>
      <c r="K2108">
        <v>1.1100589999999999</v>
      </c>
      <c r="L2108">
        <v>285.52449999999999</v>
      </c>
      <c r="M2108">
        <v>-0.99966180000000004</v>
      </c>
      <c r="N2108">
        <v>0</v>
      </c>
      <c r="O2108">
        <v>2.162652E-2</v>
      </c>
      <c r="P2108">
        <v>-0.99743309999999996</v>
      </c>
      <c r="Q2108">
        <v>-1.7878850000000002E-2</v>
      </c>
      <c r="R2108">
        <v>6.9339189999999995E-2</v>
      </c>
      <c r="S2108">
        <v>-2.9590450000000001</v>
      </c>
      <c r="T2108">
        <v>-0.66620100000000004</v>
      </c>
      <c r="U2108">
        <v>0.52447509999999997</v>
      </c>
      <c r="V2108">
        <v>4.7749680000000003E-2</v>
      </c>
      <c r="W2108">
        <v>-3.4476039999999999E-3</v>
      </c>
      <c r="X2108">
        <v>0.9988534</v>
      </c>
      <c r="Y2108">
        <v>0.1500715</v>
      </c>
      <c r="Z2108">
        <v>1.178943E-2</v>
      </c>
      <c r="AA2108">
        <v>0.98860479999999995</v>
      </c>
      <c r="AB2108">
        <v>32</v>
      </c>
      <c r="AC2108">
        <v>-0.40929999999997302</v>
      </c>
      <c r="AD2108">
        <v>-0.17230769999999901</v>
      </c>
      <c r="AE2108">
        <v>0.12810000000001701</v>
      </c>
      <c r="AF2108">
        <v>0.10264843549270999</v>
      </c>
      <c r="AG2108">
        <v>-0.17230769999999901</v>
      </c>
      <c r="AH2108">
        <v>0.35471824955225201</v>
      </c>
      <c r="AI2108">
        <v>115.014448688676</v>
      </c>
      <c r="AJ2108">
        <v>73.860603841925297</v>
      </c>
      <c r="AK2108">
        <v>0.40749439426058898</v>
      </c>
      <c r="AL2108">
        <v>90.197533546726504</v>
      </c>
      <c r="AM2108">
        <v>87.263087922038395</v>
      </c>
      <c r="AN2108">
        <v>1.0000000163025</v>
      </c>
    </row>
    <row r="2109" spans="1:40" x14ac:dyDescent="0.25">
      <c r="A2109" t="str">
        <f>"20190312160958542"</f>
        <v>20190312160958542</v>
      </c>
      <c r="B2109" t="str">
        <f>"1552378198538101"</f>
        <v>1552378198538101</v>
      </c>
      <c r="C2109" t="s">
        <v>40</v>
      </c>
      <c r="D2109">
        <v>4.739147</v>
      </c>
      <c r="E2109">
        <v>0.54620740000000001</v>
      </c>
      <c r="F2109" t="s">
        <v>42</v>
      </c>
      <c r="G2109">
        <v>-436.16129999999998</v>
      </c>
      <c r="H2109">
        <v>0.91700859999999995</v>
      </c>
      <c r="I2109">
        <v>285.65350000000001</v>
      </c>
      <c r="J2109">
        <v>-435.76179999999999</v>
      </c>
      <c r="K2109">
        <v>1.1100620000000001</v>
      </c>
      <c r="L2109">
        <v>285.53070000000002</v>
      </c>
      <c r="M2109">
        <v>-0.99966169999999999</v>
      </c>
      <c r="N2109">
        <v>0</v>
      </c>
      <c r="O2109">
        <v>2.1626550000000001E-2</v>
      </c>
      <c r="P2109">
        <v>-0.99741570000000002</v>
      </c>
      <c r="Q2109">
        <v>-1.796555E-2</v>
      </c>
      <c r="R2109">
        <v>6.9565329999999995E-2</v>
      </c>
      <c r="S2109">
        <v>-2.954437</v>
      </c>
      <c r="T2109">
        <v>-0.82887049999999995</v>
      </c>
      <c r="U2109">
        <v>0.55288700000000002</v>
      </c>
      <c r="V2109">
        <v>4.7975999999999998E-2</v>
      </c>
      <c r="W2109">
        <v>-3.5375530000000001E-3</v>
      </c>
      <c r="X2109">
        <v>0.99884220000000001</v>
      </c>
      <c r="Y2109">
        <v>0.15757270000000001</v>
      </c>
      <c r="Z2109">
        <v>1.560716E-2</v>
      </c>
      <c r="AA2109">
        <v>0.98738400000000004</v>
      </c>
      <c r="AB2109">
        <v>32</v>
      </c>
      <c r="AC2109">
        <v>-0.39949999999998898</v>
      </c>
      <c r="AD2109">
        <v>-0.19305339999999999</v>
      </c>
      <c r="AE2109">
        <v>0.12279999999998301</v>
      </c>
      <c r="AF2109">
        <v>9.4061642015317706E-2</v>
      </c>
      <c r="AG2109">
        <v>-0.19305339999999999</v>
      </c>
      <c r="AH2109">
        <v>0.33136316246119202</v>
      </c>
      <c r="AI2109">
        <v>119.268916701877</v>
      </c>
      <c r="AJ2109">
        <v>74.152733393656405</v>
      </c>
      <c r="AK2109">
        <v>0.39486548745928601</v>
      </c>
      <c r="AL2109">
        <v>90.202687284382506</v>
      </c>
      <c r="AM2109">
        <v>87.250104809200195</v>
      </c>
      <c r="AN2109">
        <v>0.99999997567903298</v>
      </c>
    </row>
    <row r="2110" spans="1:40" x14ac:dyDescent="0.25">
      <c r="A2110" t="str">
        <f>"20190312160958565"</f>
        <v>20190312160958565</v>
      </c>
      <c r="B2110" t="str">
        <f>"1552378198557621"</f>
        <v>1552378198557621</v>
      </c>
      <c r="C2110" t="s">
        <v>40</v>
      </c>
      <c r="D2110">
        <v>5.1208929999999997</v>
      </c>
      <c r="E2110">
        <v>0.54638640000000005</v>
      </c>
      <c r="F2110" t="s">
        <v>42</v>
      </c>
      <c r="G2110">
        <v>-436.4502</v>
      </c>
      <c r="H2110">
        <v>0.91803089999999998</v>
      </c>
      <c r="I2110">
        <v>285.66120000000001</v>
      </c>
      <c r="J2110">
        <v>-436.08620000000002</v>
      </c>
      <c r="K2110">
        <v>1.1100620000000001</v>
      </c>
      <c r="L2110">
        <v>285.53769999999997</v>
      </c>
      <c r="M2110">
        <v>-0.99966189999999999</v>
      </c>
      <c r="N2110">
        <v>0</v>
      </c>
      <c r="O2110">
        <v>2.1626570000000001E-2</v>
      </c>
      <c r="P2110">
        <v>-0.99738760000000004</v>
      </c>
      <c r="Q2110">
        <v>-1.8320630000000001E-2</v>
      </c>
      <c r="R2110">
        <v>6.9875779999999998E-2</v>
      </c>
      <c r="S2110">
        <v>-2.9538880000000001</v>
      </c>
      <c r="T2110">
        <v>-0.82399750000000005</v>
      </c>
      <c r="U2110">
        <v>0.55960080000000001</v>
      </c>
      <c r="V2110">
        <v>4.8286969999999999E-2</v>
      </c>
      <c r="W2110">
        <v>-3.8963800000000001E-3</v>
      </c>
      <c r="X2110">
        <v>0.99882590000000004</v>
      </c>
      <c r="Y2110">
        <v>0.1597517</v>
      </c>
      <c r="Z2110">
        <v>1.5814149999999999E-2</v>
      </c>
      <c r="AA2110">
        <v>0.98703059999999998</v>
      </c>
      <c r="AB2110">
        <v>32</v>
      </c>
      <c r="AC2110">
        <v>-0.36399999999997501</v>
      </c>
      <c r="AD2110">
        <v>-0.19203110000000001</v>
      </c>
      <c r="AE2110">
        <v>0.123500000000035</v>
      </c>
      <c r="AF2110">
        <v>9.2509188927434205E-2</v>
      </c>
      <c r="AG2110">
        <v>-0.19203110000000001</v>
      </c>
      <c r="AH2110">
        <v>0.29336589276476299</v>
      </c>
      <c r="AI2110">
        <v>121.975545015818</v>
      </c>
      <c r="AJ2110">
        <v>72.497996503582002</v>
      </c>
      <c r="AK2110">
        <v>0.36262575810453401</v>
      </c>
      <c r="AL2110">
        <v>90.2232466951817</v>
      </c>
      <c r="AM2110">
        <v>87.232263115806703</v>
      </c>
      <c r="AN2110">
        <v>0.999999995879847</v>
      </c>
    </row>
    <row r="2111" spans="1:40" x14ac:dyDescent="0.25">
      <c r="A2111" t="str">
        <f>"20190312160958586"</f>
        <v>20190312160958586</v>
      </c>
      <c r="B2111" t="str">
        <f>"1552378198578117"</f>
        <v>1552378198578117</v>
      </c>
      <c r="C2111" t="s">
        <v>40</v>
      </c>
      <c r="D2111">
        <v>4.7766390000000003</v>
      </c>
      <c r="E2111">
        <v>0.54166000000000003</v>
      </c>
      <c r="F2111" t="s">
        <v>42</v>
      </c>
      <c r="G2111">
        <v>-436.99959999999999</v>
      </c>
      <c r="H2111">
        <v>0.85478229999999999</v>
      </c>
      <c r="I2111">
        <v>285.71170000000001</v>
      </c>
      <c r="J2111">
        <v>-436.40089999999998</v>
      </c>
      <c r="K2111">
        <v>1.1100589999999999</v>
      </c>
      <c r="L2111">
        <v>285.5446</v>
      </c>
      <c r="M2111">
        <v>-0.99966189999999999</v>
      </c>
      <c r="N2111">
        <v>0</v>
      </c>
      <c r="O2111">
        <v>2.162642E-2</v>
      </c>
      <c r="P2111">
        <v>-0.99737169999999997</v>
      </c>
      <c r="Q2111">
        <v>-1.8147239999999999E-2</v>
      </c>
      <c r="R2111">
        <v>7.0147370000000001E-2</v>
      </c>
      <c r="S2111">
        <v>-2.9532780000000001</v>
      </c>
      <c r="T2111">
        <v>-0.82545299999999999</v>
      </c>
      <c r="U2111">
        <v>0.56213380000000002</v>
      </c>
      <c r="V2111">
        <v>4.8559119999999997E-2</v>
      </c>
      <c r="W2111">
        <v>-3.7264920000000001E-3</v>
      </c>
      <c r="X2111">
        <v>0.99881330000000002</v>
      </c>
      <c r="Y2111">
        <v>0.1605577</v>
      </c>
      <c r="Z2111">
        <v>1.5952640000000001E-2</v>
      </c>
      <c r="AA2111">
        <v>0.98689749999999998</v>
      </c>
      <c r="AB2111">
        <v>32</v>
      </c>
      <c r="AC2111">
        <v>-0.598700000000007</v>
      </c>
      <c r="AD2111">
        <v>-0.25527669999999902</v>
      </c>
      <c r="AE2111">
        <v>0.167100000000004</v>
      </c>
      <c r="AF2111">
        <v>0.13186994754423101</v>
      </c>
      <c r="AG2111">
        <v>-0.25527669999999902</v>
      </c>
      <c r="AH2111">
        <v>0.51526654401011895</v>
      </c>
      <c r="AI2111">
        <v>115.639033819039</v>
      </c>
      <c r="AJ2111">
        <v>75.644659127889696</v>
      </c>
      <c r="AK2111">
        <v>0.58996227676381097</v>
      </c>
      <c r="AL2111">
        <v>90.2135127706335</v>
      </c>
      <c r="AM2111">
        <v>87.216653289502403</v>
      </c>
      <c r="AN2111">
        <v>0.99999994156734295</v>
      </c>
    </row>
    <row r="2112" spans="1:40" x14ac:dyDescent="0.25">
      <c r="A2112" t="str">
        <f>"20190312160958609"</f>
        <v>20190312160958609</v>
      </c>
      <c r="B2112" t="str">
        <f>"1552378198597637"</f>
        <v>1552378198597637</v>
      </c>
      <c r="C2112" t="s">
        <v>40</v>
      </c>
      <c r="D2112">
        <v>4.8395429999999999</v>
      </c>
      <c r="E2112">
        <v>0.54139510000000002</v>
      </c>
      <c r="F2112" t="s">
        <v>42</v>
      </c>
      <c r="G2112">
        <v>-437.30590000000001</v>
      </c>
      <c r="H2112">
        <v>0.89941159999999998</v>
      </c>
      <c r="I2112">
        <v>285.70650000000001</v>
      </c>
      <c r="J2112">
        <v>-436.72109999999998</v>
      </c>
      <c r="K2112">
        <v>1.1100620000000001</v>
      </c>
      <c r="L2112">
        <v>285.55149999999998</v>
      </c>
      <c r="M2112">
        <v>-0.99966200000000005</v>
      </c>
      <c r="N2112">
        <v>0</v>
      </c>
      <c r="O2112">
        <v>2.162644E-2</v>
      </c>
      <c r="P2112">
        <v>-0.99735810000000003</v>
      </c>
      <c r="Q2112">
        <v>-1.845459E-2</v>
      </c>
      <c r="R2112">
        <v>7.0259390000000005E-2</v>
      </c>
      <c r="S2112">
        <v>-2.958221</v>
      </c>
      <c r="T2112">
        <v>-0.68862239999999997</v>
      </c>
      <c r="U2112">
        <v>0.5280762</v>
      </c>
      <c r="V2112">
        <v>4.8671140000000002E-2</v>
      </c>
      <c r="W2112">
        <v>-4.0373809999999996E-3</v>
      </c>
      <c r="X2112">
        <v>0.99880670000000005</v>
      </c>
      <c r="Y2112">
        <v>0.15104860000000001</v>
      </c>
      <c r="Z2112">
        <v>1.2289700000000001E-2</v>
      </c>
      <c r="AA2112">
        <v>0.98844989999999999</v>
      </c>
      <c r="AB2112">
        <v>32</v>
      </c>
      <c r="AC2112">
        <v>-0.58480000000002896</v>
      </c>
      <c r="AD2112">
        <v>-0.21065039999999999</v>
      </c>
      <c r="AE2112">
        <v>0.155000000000029</v>
      </c>
      <c r="AF2112">
        <v>0.126927368968486</v>
      </c>
      <c r="AG2112">
        <v>-0.21065039999999999</v>
      </c>
      <c r="AH2112">
        <v>0.52443615061174897</v>
      </c>
      <c r="AI2112">
        <v>111.325614634129</v>
      </c>
      <c r="AJ2112">
        <v>76.394539057093496</v>
      </c>
      <c r="AK2112">
        <v>0.57923865900153104</v>
      </c>
      <c r="AL2112">
        <v>90.231325519545706</v>
      </c>
      <c r="AM2112">
        <v>87.210224172696897</v>
      </c>
      <c r="AN2112">
        <v>1.0000000021395601</v>
      </c>
    </row>
    <row r="2113" spans="1:40" x14ac:dyDescent="0.25">
      <c r="A2113" t="str">
        <f>"20190312160958631"</f>
        <v>20190312160958631</v>
      </c>
      <c r="B2113" t="str">
        <f>"1552378198627893"</f>
        <v>1552378198627893</v>
      </c>
      <c r="C2113" t="s">
        <v>40</v>
      </c>
      <c r="D2113">
        <v>4.820551</v>
      </c>
      <c r="E2113">
        <v>0.54346729999999999</v>
      </c>
      <c r="F2113" t="s">
        <v>42</v>
      </c>
      <c r="G2113">
        <v>-437.5958</v>
      </c>
      <c r="H2113">
        <v>0.90646159999999998</v>
      </c>
      <c r="I2113">
        <v>285.7072</v>
      </c>
      <c r="J2113">
        <v>-437.04570000000001</v>
      </c>
      <c r="K2113">
        <v>1.1100639999999999</v>
      </c>
      <c r="L2113">
        <v>285.55849999999998</v>
      </c>
      <c r="M2113">
        <v>-0.99966200000000005</v>
      </c>
      <c r="N2113">
        <v>0</v>
      </c>
      <c r="O2113">
        <v>2.1626469999999998E-2</v>
      </c>
      <c r="P2113">
        <v>-0.99737500000000001</v>
      </c>
      <c r="Q2113">
        <v>-1.7989669999999999E-2</v>
      </c>
      <c r="R2113">
        <v>7.0138560000000003E-2</v>
      </c>
      <c r="S2113">
        <v>-2.9581300000000001</v>
      </c>
      <c r="T2113">
        <v>-0.68862950000000001</v>
      </c>
      <c r="U2113">
        <v>0.52639769999999997</v>
      </c>
      <c r="V2113">
        <v>4.8550000000000003E-2</v>
      </c>
      <c r="W2113">
        <v>-3.5757559999999998E-3</v>
      </c>
      <c r="X2113">
        <v>0.99881430000000004</v>
      </c>
      <c r="Y2113">
        <v>0.1505232</v>
      </c>
      <c r="Z2113">
        <v>1.223086E-2</v>
      </c>
      <c r="AA2113">
        <v>0.98853080000000004</v>
      </c>
      <c r="AB2113">
        <v>32</v>
      </c>
      <c r="AC2113">
        <v>-0.55009999999998604</v>
      </c>
      <c r="AD2113">
        <v>-0.20360239999999999</v>
      </c>
      <c r="AE2113">
        <v>0.14870000000001901</v>
      </c>
      <c r="AF2113">
        <v>0.121284135512879</v>
      </c>
      <c r="AG2113">
        <v>-0.20360239999999999</v>
      </c>
      <c r="AH2113">
        <v>0.490562367895998</v>
      </c>
      <c r="AI2113">
        <v>111.944876133752</v>
      </c>
      <c r="AJ2113">
        <v>76.112962773556902</v>
      </c>
      <c r="AK2113">
        <v>0.54480750326018401</v>
      </c>
      <c r="AL2113">
        <v>90.204876174778207</v>
      </c>
      <c r="AM2113">
        <v>87.217177996204995</v>
      </c>
      <c r="AN2113">
        <v>0.999999947207729</v>
      </c>
    </row>
    <row r="2114" spans="1:40" x14ac:dyDescent="0.25">
      <c r="A2114" t="str">
        <f>"20190312160958654"</f>
        <v>20190312160958654</v>
      </c>
      <c r="B2114" t="str">
        <f>"1552378198647413"</f>
        <v>1552378198647413</v>
      </c>
      <c r="C2114" t="s">
        <v>40</v>
      </c>
      <c r="D2114">
        <v>4.7907089999999997</v>
      </c>
      <c r="E2114">
        <v>0.49412410000000001</v>
      </c>
      <c r="F2114" t="s">
        <v>42</v>
      </c>
      <c r="G2114">
        <v>-437.88569999999999</v>
      </c>
      <c r="H2114">
        <v>0.91393820000000003</v>
      </c>
      <c r="I2114">
        <v>285.7131</v>
      </c>
      <c r="J2114">
        <v>-437.37040000000002</v>
      </c>
      <c r="K2114">
        <v>1.1100620000000001</v>
      </c>
      <c r="L2114">
        <v>285.56549999999999</v>
      </c>
      <c r="M2114">
        <v>-0.99966200000000005</v>
      </c>
      <c r="N2114">
        <v>0</v>
      </c>
      <c r="O2114">
        <v>2.1626490000000002E-2</v>
      </c>
      <c r="P2114">
        <v>-0.99738249999999995</v>
      </c>
      <c r="Q2114">
        <v>-1.770422E-2</v>
      </c>
      <c r="R2114">
        <v>7.0106280000000007E-2</v>
      </c>
      <c r="S2114">
        <v>-2.9572750000000001</v>
      </c>
      <c r="T2114">
        <v>-0.69059569999999904</v>
      </c>
      <c r="U2114">
        <v>0.54287719999999995</v>
      </c>
      <c r="V2114">
        <v>4.8517600000000001E-2</v>
      </c>
      <c r="W2114">
        <v>-3.2937119999999999E-3</v>
      </c>
      <c r="X2114">
        <v>0.99881690000000001</v>
      </c>
      <c r="Y2114">
        <v>0.1557519</v>
      </c>
      <c r="Z2114">
        <v>1.2860160000000001E-2</v>
      </c>
      <c r="AA2114">
        <v>0.98771249999999999</v>
      </c>
      <c r="AB2114">
        <v>32</v>
      </c>
      <c r="AC2114">
        <v>-0.51529999999996701</v>
      </c>
      <c r="AD2114">
        <v>-0.19612379999999999</v>
      </c>
      <c r="AE2114">
        <v>0.147600000000011</v>
      </c>
      <c r="AF2114">
        <v>0.120313393592709</v>
      </c>
      <c r="AG2114">
        <v>-0.19612379999999999</v>
      </c>
      <c r="AH2114">
        <v>0.45716899595187199</v>
      </c>
      <c r="AI2114">
        <v>112.53210026697801</v>
      </c>
      <c r="AJ2114">
        <v>75.255761673427301</v>
      </c>
      <c r="AK2114">
        <v>0.51180401372388296</v>
      </c>
      <c r="AL2114">
        <v>90.1887161372035</v>
      </c>
      <c r="AM2114">
        <v>87.219039432884102</v>
      </c>
      <c r="AN2114">
        <v>1.0000000028870499</v>
      </c>
    </row>
    <row r="2115" spans="1:40" x14ac:dyDescent="0.25">
      <c r="A2115" t="str">
        <f>"20190312160958676"</f>
        <v>20190312160958676</v>
      </c>
      <c r="B2115" t="str">
        <f>"1552378198667909"</f>
        <v>1552378198667909</v>
      </c>
      <c r="C2115" t="s">
        <v>40</v>
      </c>
      <c r="D2115">
        <v>4.6791859999999996</v>
      </c>
      <c r="E2115">
        <v>0.44627450000000002</v>
      </c>
      <c r="F2115" t="s">
        <v>42</v>
      </c>
      <c r="G2115">
        <v>-438.2294</v>
      </c>
      <c r="H2115">
        <v>1.0303789999999999</v>
      </c>
      <c r="I2115">
        <v>285.61130000000003</v>
      </c>
      <c r="J2115">
        <v>-437.68150000000003</v>
      </c>
      <c r="K2115">
        <v>1.1100639999999999</v>
      </c>
      <c r="L2115">
        <v>285.57220000000001</v>
      </c>
      <c r="M2115">
        <v>-0.99966219999999995</v>
      </c>
      <c r="N2115">
        <v>0</v>
      </c>
      <c r="O2115">
        <v>2.16264E-2</v>
      </c>
      <c r="P2115">
        <v>-0.9974113</v>
      </c>
      <c r="Q2115">
        <v>-1.753101E-2</v>
      </c>
      <c r="R2115">
        <v>6.9740380000000005E-2</v>
      </c>
      <c r="S2115">
        <v>-2.9918209999999998</v>
      </c>
      <c r="T2115">
        <v>-0.27747889999999997</v>
      </c>
      <c r="U2115">
        <v>0.1588745</v>
      </c>
      <c r="V2115">
        <v>4.815142E-2</v>
      </c>
      <c r="W2115">
        <v>-3.1235759999999999E-3</v>
      </c>
      <c r="X2115">
        <v>0.99883509999999998</v>
      </c>
      <c r="Y2115">
        <v>3.1375889999999997E-2</v>
      </c>
      <c r="Z2115">
        <v>-5.490076E-4</v>
      </c>
      <c r="AA2115">
        <v>0.99950749999999999</v>
      </c>
      <c r="AB2115">
        <v>32</v>
      </c>
      <c r="AC2115">
        <v>-0.54789999999996997</v>
      </c>
      <c r="AD2115">
        <v>-7.9684999999999701E-2</v>
      </c>
      <c r="AE2115">
        <v>3.9100000000019002E-2</v>
      </c>
      <c r="AF2115">
        <v>2.6679062645814801E-2</v>
      </c>
      <c r="AG2115">
        <v>-7.9684999999999701E-2</v>
      </c>
      <c r="AH2115">
        <v>0.53730994145561295</v>
      </c>
      <c r="AI2115">
        <v>98.425453919543699</v>
      </c>
      <c r="AJ2115">
        <v>87.157425882161903</v>
      </c>
      <c r="AK2115">
        <v>0.54384137834086599</v>
      </c>
      <c r="AL2115">
        <v>90.178968024180193</v>
      </c>
      <c r="AM2115">
        <v>87.240045990820207</v>
      </c>
      <c r="AN2115">
        <v>0.99999993648352503</v>
      </c>
    </row>
    <row r="2116" spans="1:40" x14ac:dyDescent="0.25">
      <c r="A2116" t="str">
        <f>"20190312160958699"</f>
        <v>20190312160958699</v>
      </c>
      <c r="B2116" t="str">
        <f>"1552378198687429"</f>
        <v>1552378198687429</v>
      </c>
      <c r="C2116" t="s">
        <v>40</v>
      </c>
      <c r="D2116">
        <v>4.8466709999999997</v>
      </c>
      <c r="E2116">
        <v>0.44616889999999998</v>
      </c>
      <c r="F2116" t="s">
        <v>59</v>
      </c>
      <c r="G2116">
        <v>-504.01670000000001</v>
      </c>
      <c r="H2116">
        <v>7.9980979999999993E-2</v>
      </c>
      <c r="I2116">
        <v>280.78559999999999</v>
      </c>
      <c r="J2116">
        <v>-438.00189999999998</v>
      </c>
      <c r="K2116">
        <v>1.1100749999999999</v>
      </c>
      <c r="L2116">
        <v>285.57920000000001</v>
      </c>
      <c r="M2116">
        <v>-0.99966219999999995</v>
      </c>
      <c r="N2116">
        <v>0</v>
      </c>
      <c r="O2116">
        <v>2.1626429999999999E-2</v>
      </c>
      <c r="P2116">
        <v>-0.99743720000000002</v>
      </c>
      <c r="Q2116">
        <v>-1.7217349999999999E-2</v>
      </c>
      <c r="R2116">
        <v>6.9444629999999993E-2</v>
      </c>
      <c r="S2116">
        <v>-3.0222169999999999</v>
      </c>
      <c r="T2116">
        <v>-4.6930310000000003E-2</v>
      </c>
      <c r="U2116">
        <v>-0.21807860000000001</v>
      </c>
      <c r="V2116">
        <v>4.785499E-2</v>
      </c>
      <c r="W2116">
        <v>-2.8131050000000002E-3</v>
      </c>
      <c r="X2116">
        <v>0.99885029999999997</v>
      </c>
      <c r="Y2116">
        <v>-9.3513299999999994E-2</v>
      </c>
      <c r="Z2116">
        <v>-1.060521E-3</v>
      </c>
      <c r="AA2116">
        <v>0.99561739999999999</v>
      </c>
      <c r="AB2116">
        <v>32</v>
      </c>
      <c r="AC2116">
        <v>-66.014799999999994</v>
      </c>
      <c r="AD2116">
        <v>-1.0300940199999999</v>
      </c>
      <c r="AE2116">
        <v>-4.7936000000000201</v>
      </c>
      <c r="AF2116">
        <v>-6.2187852083608997</v>
      </c>
      <c r="AG2116">
        <v>-1.0300940199999999</v>
      </c>
      <c r="AH2116">
        <v>65.879721568302799</v>
      </c>
      <c r="AI2116">
        <v>90.891838715675902</v>
      </c>
      <c r="AJ2116">
        <v>95.392516028587494</v>
      </c>
      <c r="AK2116">
        <v>66.180602120824403</v>
      </c>
      <c r="AL2116">
        <v>90.161179261614294</v>
      </c>
      <c r="AM2116">
        <v>87.257052480866307</v>
      </c>
      <c r="AN2116">
        <v>0.99999996771886501</v>
      </c>
    </row>
    <row r="2117" spans="1:40" x14ac:dyDescent="0.25">
      <c r="A2117" t="str">
        <f>"20190312160958721"</f>
        <v>20190312160958721</v>
      </c>
      <c r="B2117" t="str">
        <f>"1552378198717685"</f>
        <v>1552378198717685</v>
      </c>
      <c r="C2117" t="s">
        <v>40</v>
      </c>
      <c r="D2117">
        <v>4.8601229999999997</v>
      </c>
      <c r="E2117">
        <v>0.44718390000000002</v>
      </c>
      <c r="F2117" t="s">
        <v>59</v>
      </c>
      <c r="G2117">
        <v>-499.95940000000002</v>
      </c>
      <c r="H2117">
        <v>5.1630120000000002E-2</v>
      </c>
      <c r="I2117">
        <v>281.06819999999999</v>
      </c>
      <c r="J2117">
        <v>-438.3261</v>
      </c>
      <c r="K2117">
        <v>1.1100749999999999</v>
      </c>
      <c r="L2117">
        <v>285.58620000000002</v>
      </c>
      <c r="M2117">
        <v>-0.99966219999999995</v>
      </c>
      <c r="N2117">
        <v>0</v>
      </c>
      <c r="O2117">
        <v>2.1626449999999998E-2</v>
      </c>
      <c r="P2117">
        <v>-0.99743760000000004</v>
      </c>
      <c r="Q2117">
        <v>-1.701693E-2</v>
      </c>
      <c r="R2117">
        <v>6.9489519999999999E-2</v>
      </c>
      <c r="S2117">
        <v>-3.0220950000000002</v>
      </c>
      <c r="T2117">
        <v>-5.1627640000000002E-2</v>
      </c>
      <c r="U2117">
        <v>-0.2200317</v>
      </c>
      <c r="V2117">
        <v>4.7899850000000001E-2</v>
      </c>
      <c r="W2117">
        <v>-2.6161679999999999E-3</v>
      </c>
      <c r="X2117">
        <v>0.99884870000000003</v>
      </c>
      <c r="Y2117">
        <v>-9.4153290000000001E-2</v>
      </c>
      <c r="Z2117">
        <v>-1.1721349999999999E-3</v>
      </c>
      <c r="AA2117">
        <v>0.99555700000000003</v>
      </c>
      <c r="AB2117">
        <v>32</v>
      </c>
      <c r="AC2117">
        <v>-61.633299999999998</v>
      </c>
      <c r="AD2117">
        <v>-1.0584448799999999</v>
      </c>
      <c r="AE2117">
        <v>-4.5180000000000202</v>
      </c>
      <c r="AF2117">
        <v>-5.8482755345753201</v>
      </c>
      <c r="AG2117">
        <v>-1.0584448799999999</v>
      </c>
      <c r="AH2117">
        <v>61.503122201683297</v>
      </c>
      <c r="AI2117">
        <v>90.981514280124898</v>
      </c>
      <c r="AJ2117">
        <v>95.4318709232478</v>
      </c>
      <c r="AK2117">
        <v>61.789616221882298</v>
      </c>
      <c r="AL2117">
        <v>90.149895558475606</v>
      </c>
      <c r="AM2117">
        <v>87.254480741130806</v>
      </c>
      <c r="AN2117">
        <v>0.99999998272835799</v>
      </c>
    </row>
    <row r="2118" spans="1:40" x14ac:dyDescent="0.25">
      <c r="A2118" t="str">
        <f>"20190312160958766"</f>
        <v>20190312160958766</v>
      </c>
      <c r="B2118" t="str">
        <f>"1552378198757701"</f>
        <v>1552378198757701</v>
      </c>
      <c r="C2118" t="s">
        <v>40</v>
      </c>
      <c r="D2118">
        <v>4.9252010000000004</v>
      </c>
      <c r="E2118">
        <v>0.44792660000000001</v>
      </c>
      <c r="F2118" t="s">
        <v>59</v>
      </c>
      <c r="G2118">
        <v>-492.71940000000001</v>
      </c>
      <c r="H2118" s="1">
        <v>3.233452E-6</v>
      </c>
      <c r="I2118">
        <v>281.7706</v>
      </c>
      <c r="J2118">
        <v>-438.9624</v>
      </c>
      <c r="K2118">
        <v>1.110077</v>
      </c>
      <c r="L2118">
        <v>285.59989999999999</v>
      </c>
      <c r="M2118">
        <v>-0.9996623</v>
      </c>
      <c r="N2118">
        <v>0</v>
      </c>
      <c r="O2118">
        <v>2.1626510000000002E-2</v>
      </c>
      <c r="P2118">
        <v>-0.99746089999999998</v>
      </c>
      <c r="Q2118">
        <v>-1.6554240000000001E-2</v>
      </c>
      <c r="R2118">
        <v>6.926823E-2</v>
      </c>
      <c r="S2118">
        <v>-3.021423</v>
      </c>
      <c r="T2118">
        <v>-6.1662080000000001E-2</v>
      </c>
      <c r="U2118">
        <v>-0.21194460000000001</v>
      </c>
      <c r="V2118">
        <v>4.7678249999999998E-2</v>
      </c>
      <c r="W2118">
        <v>-2.1605800000000001E-3</v>
      </c>
      <c r="X2118">
        <v>0.99886039999999998</v>
      </c>
      <c r="Y2118">
        <v>-9.1511229999999999E-2</v>
      </c>
      <c r="Z2118">
        <v>-1.373427E-3</v>
      </c>
      <c r="AA2118">
        <v>0.99580310000000005</v>
      </c>
      <c r="AB2118">
        <v>32</v>
      </c>
      <c r="AC2118">
        <v>-53.756999999999998</v>
      </c>
      <c r="AD2118">
        <v>-1.1100737665480001</v>
      </c>
      <c r="AE2118">
        <v>-3.8292999999999799</v>
      </c>
      <c r="AF2118">
        <v>-4.9889845535819504</v>
      </c>
      <c r="AG2118">
        <v>-1.1100737665480001</v>
      </c>
      <c r="AH2118">
        <v>53.638844698651098</v>
      </c>
      <c r="AI2118">
        <v>91.180492247224905</v>
      </c>
      <c r="AJ2118">
        <v>95.313830392261906</v>
      </c>
      <c r="AK2118">
        <v>53.881795545889702</v>
      </c>
      <c r="AL2118">
        <v>90.1237922127075</v>
      </c>
      <c r="AM2118">
        <v>87.267195051904594</v>
      </c>
      <c r="AN2118">
        <v>0.99999999115857896</v>
      </c>
    </row>
    <row r="2119" spans="1:40" x14ac:dyDescent="0.25">
      <c r="A2119" t="str">
        <f>"20190312160958788"</f>
        <v>20190312160958788</v>
      </c>
      <c r="B2119" t="str">
        <f>"1552378198778198"</f>
        <v>1552378198778198</v>
      </c>
      <c r="C2119" t="s">
        <v>40</v>
      </c>
      <c r="D2119">
        <v>4.9530479999999999</v>
      </c>
      <c r="E2119">
        <v>0.44809670000000001</v>
      </c>
      <c r="F2119" t="s">
        <v>59</v>
      </c>
      <c r="G2119">
        <v>-487.20740000000001</v>
      </c>
      <c r="H2119" s="1">
        <v>3.281152E-6</v>
      </c>
      <c r="I2119">
        <v>282.29349999999999</v>
      </c>
      <c r="J2119">
        <v>-439.27870000000001</v>
      </c>
      <c r="K2119">
        <v>1.110082</v>
      </c>
      <c r="L2119">
        <v>285.60680000000002</v>
      </c>
      <c r="M2119">
        <v>-0.99966219999999995</v>
      </c>
      <c r="N2119">
        <v>0</v>
      </c>
      <c r="O2119">
        <v>2.1626650000000001E-2</v>
      </c>
      <c r="P2119">
        <v>-0.99746349999999995</v>
      </c>
      <c r="Q2119">
        <v>-1.6056790000000001E-2</v>
      </c>
      <c r="R2119">
        <v>6.9344219999999998E-2</v>
      </c>
      <c r="S2119">
        <v>-3.020905</v>
      </c>
      <c r="T2119">
        <v>-6.9508310000000004E-2</v>
      </c>
      <c r="U2119">
        <v>-0.2070313</v>
      </c>
      <c r="V2119">
        <v>4.775385E-2</v>
      </c>
      <c r="W2119">
        <v>-1.666631E-3</v>
      </c>
      <c r="X2119">
        <v>0.99885769999999996</v>
      </c>
      <c r="Y2119">
        <v>-8.9905399999999996E-2</v>
      </c>
      <c r="Z2119">
        <v>-1.53005E-3</v>
      </c>
      <c r="AA2119">
        <v>0.99594910000000003</v>
      </c>
      <c r="AB2119">
        <v>32</v>
      </c>
      <c r="AC2119">
        <v>-47.9286999999999</v>
      </c>
      <c r="AD2119">
        <v>-1.1100787188479999</v>
      </c>
      <c r="AE2119">
        <v>-3.3133000000000199</v>
      </c>
      <c r="AF2119">
        <v>-4.3468491256209596</v>
      </c>
      <c r="AG2119">
        <v>-1.1100787188479999</v>
      </c>
      <c r="AH2119">
        <v>47.820294499313</v>
      </c>
      <c r="AI2119">
        <v>91.324341381247606</v>
      </c>
      <c r="AJ2119">
        <v>95.193893715368105</v>
      </c>
      <c r="AK2119">
        <v>48.030281469964102</v>
      </c>
      <c r="AL2119">
        <v>90.0954909706808</v>
      </c>
      <c r="AM2119">
        <v>87.262861035094801</v>
      </c>
      <c r="AN2119">
        <v>0.99999995634899996</v>
      </c>
    </row>
    <row r="2120" spans="1:40" x14ac:dyDescent="0.25">
      <c r="A2120" t="str">
        <f>"20190312160958810"</f>
        <v>20190312160958810</v>
      </c>
      <c r="B2120" t="str">
        <f>"1552378198797717"</f>
        <v>1552378198797717</v>
      </c>
      <c r="C2120" t="s">
        <v>40</v>
      </c>
      <c r="D2120">
        <v>4.9846120000000003</v>
      </c>
      <c r="E2120">
        <v>0.44803929999999997</v>
      </c>
      <c r="F2120" t="s">
        <v>59</v>
      </c>
      <c r="G2120">
        <v>-486.06790000000001</v>
      </c>
      <c r="H2120" s="1">
        <v>3.0906129999999998E-6</v>
      </c>
      <c r="I2120">
        <v>282.42599999999999</v>
      </c>
      <c r="J2120">
        <v>-439.59050000000002</v>
      </c>
      <c r="K2120">
        <v>1.1100859999999999</v>
      </c>
      <c r="L2120">
        <v>285.61349999999999</v>
      </c>
      <c r="M2120">
        <v>-0.99966239999999995</v>
      </c>
      <c r="N2120">
        <v>0</v>
      </c>
      <c r="O2120">
        <v>2.1626550000000001E-2</v>
      </c>
      <c r="P2120">
        <v>-0.99745589999999995</v>
      </c>
      <c r="Q2120">
        <v>-1.5887310000000002E-2</v>
      </c>
      <c r="R2120">
        <v>6.9496939999999993E-2</v>
      </c>
      <c r="S2120">
        <v>-3.020721</v>
      </c>
      <c r="T2120">
        <v>-7.1666839999999996E-2</v>
      </c>
      <c r="U2120">
        <v>-0.2053528</v>
      </c>
      <c r="V2120">
        <v>4.7907039999999998E-2</v>
      </c>
      <c r="W2120">
        <v>-1.5003499999999999E-3</v>
      </c>
      <c r="X2120">
        <v>0.99885060000000003</v>
      </c>
      <c r="Y2120">
        <v>-8.9356870000000005E-2</v>
      </c>
      <c r="Z2120">
        <v>-1.571175E-3</v>
      </c>
      <c r="AA2120">
        <v>0.99599839999999995</v>
      </c>
      <c r="AB2120">
        <v>32</v>
      </c>
      <c r="AC2120">
        <v>-46.477399999999903</v>
      </c>
      <c r="AD2120">
        <v>-1.1100829093869999</v>
      </c>
      <c r="AE2120">
        <v>-3.1875</v>
      </c>
      <c r="AF2120">
        <v>-4.18962556702607</v>
      </c>
      <c r="AG2120">
        <v>-1.1100829093869999</v>
      </c>
      <c r="AH2120">
        <v>46.371256549094298</v>
      </c>
      <c r="AI2120">
        <v>91.365782444132606</v>
      </c>
      <c r="AJ2120">
        <v>95.162634928594699</v>
      </c>
      <c r="AK2120">
        <v>46.573368789465</v>
      </c>
      <c r="AL2120">
        <v>90.085963761205306</v>
      </c>
      <c r="AM2120">
        <v>87.254074471350705</v>
      </c>
      <c r="AN2120">
        <v>0.99999992832601903</v>
      </c>
    </row>
    <row r="2121" spans="1:40" x14ac:dyDescent="0.25">
      <c r="A2121" t="str">
        <f>"20190312160958832"</f>
        <v>20190312160958832</v>
      </c>
      <c r="B2121" t="str">
        <f>"1552378198827973"</f>
        <v>1552378198827973</v>
      </c>
      <c r="C2121" t="s">
        <v>40</v>
      </c>
      <c r="D2121">
        <v>4.9776119999999997</v>
      </c>
      <c r="E2121">
        <v>0.4478007</v>
      </c>
      <c r="F2121" t="s">
        <v>59</v>
      </c>
      <c r="G2121">
        <v>-485.0625</v>
      </c>
      <c r="H2121" s="1">
        <v>2.920492E-6</v>
      </c>
      <c r="I2121">
        <v>282.52010000000001</v>
      </c>
      <c r="J2121">
        <v>-439.9101</v>
      </c>
      <c r="K2121">
        <v>1.1100840000000001</v>
      </c>
      <c r="L2121">
        <v>285.62040000000002</v>
      </c>
      <c r="M2121">
        <v>-0.99966250000000001</v>
      </c>
      <c r="N2121">
        <v>0</v>
      </c>
      <c r="O2121">
        <v>2.16264E-2</v>
      </c>
      <c r="P2121">
        <v>-0.99747819999999998</v>
      </c>
      <c r="Q2121">
        <v>-1.5435010000000001E-2</v>
      </c>
      <c r="R2121">
        <v>6.9276089999999999E-2</v>
      </c>
      <c r="S2121">
        <v>-3.0207820000000001</v>
      </c>
      <c r="T2121">
        <v>-7.3744770000000001E-2</v>
      </c>
      <c r="U2121">
        <v>-0.2055054</v>
      </c>
      <c r="V2121">
        <v>4.7685739999999997E-2</v>
      </c>
      <c r="W2121">
        <v>-1.050959E-3</v>
      </c>
      <c r="X2121">
        <v>0.99886180000000002</v>
      </c>
      <c r="Y2121">
        <v>-8.9403579999999996E-2</v>
      </c>
      <c r="Z2121">
        <v>-1.617247E-3</v>
      </c>
      <c r="AA2121">
        <v>0.99599420000000005</v>
      </c>
      <c r="AB2121">
        <v>32</v>
      </c>
      <c r="AC2121">
        <v>-45.1524</v>
      </c>
      <c r="AD2121">
        <v>-1.1100810795080001</v>
      </c>
      <c r="AE2121">
        <v>-3.1002999999999998</v>
      </c>
      <c r="AF2121">
        <v>-4.0737090659538602</v>
      </c>
      <c r="AG2121">
        <v>-1.1100810795080001</v>
      </c>
      <c r="AH2121">
        <v>45.047681877225301</v>
      </c>
      <c r="AI2121">
        <v>91.405882917503206</v>
      </c>
      <c r="AJ2121">
        <v>95.167262384205998</v>
      </c>
      <c r="AK2121">
        <v>45.245121594143299</v>
      </c>
      <c r="AL2121">
        <v>90.060215528339199</v>
      </c>
      <c r="AM2121">
        <v>87.2667702187928</v>
      </c>
      <c r="AN2121">
        <v>0.99999996490670295</v>
      </c>
    </row>
    <row r="2122" spans="1:40" x14ac:dyDescent="0.25">
      <c r="A2122" t="str">
        <f>"20190312160958855"</f>
        <v>20190312160958855</v>
      </c>
      <c r="B2122" t="str">
        <f>"1552378198847493"</f>
        <v>1552378198847493</v>
      </c>
      <c r="C2122" t="s">
        <v>40</v>
      </c>
      <c r="D2122">
        <v>5.1329940000000001</v>
      </c>
      <c r="E2122">
        <v>0.41760510000000001</v>
      </c>
      <c r="F2122" t="s">
        <v>59</v>
      </c>
      <c r="G2122">
        <v>-483.63810000000001</v>
      </c>
      <c r="H2122" s="1">
        <v>2.675512E-6</v>
      </c>
      <c r="I2122">
        <v>282.608</v>
      </c>
      <c r="J2122">
        <v>-440.2244</v>
      </c>
      <c r="K2122">
        <v>1.1100840000000001</v>
      </c>
      <c r="L2122">
        <v>285.62720000000002</v>
      </c>
      <c r="M2122">
        <v>-0.99966239999999995</v>
      </c>
      <c r="N2122">
        <v>0</v>
      </c>
      <c r="O2122">
        <v>2.162642E-2</v>
      </c>
      <c r="P2122">
        <v>-0.99748789999999998</v>
      </c>
      <c r="Q2122">
        <v>-1.504641E-2</v>
      </c>
      <c r="R2122">
        <v>6.922159E-2</v>
      </c>
      <c r="S2122">
        <v>-3.0207820000000001</v>
      </c>
      <c r="T2122">
        <v>-7.6685790000000004E-2</v>
      </c>
      <c r="U2122">
        <v>-0.20809939999999999</v>
      </c>
      <c r="V2122">
        <v>4.7631029999999998E-2</v>
      </c>
      <c r="W2122">
        <v>-6.6538600000000002E-4</v>
      </c>
      <c r="X2122">
        <v>0.9988648</v>
      </c>
      <c r="Y2122">
        <v>-9.0251919999999999E-2</v>
      </c>
      <c r="Z2122">
        <v>-1.69243E-3</v>
      </c>
      <c r="AA2122">
        <v>0.99591759999999996</v>
      </c>
      <c r="AB2122">
        <v>32</v>
      </c>
      <c r="AC2122">
        <v>-43.413699999999999</v>
      </c>
      <c r="AD2122">
        <v>-1.1100813244879999</v>
      </c>
      <c r="AE2122">
        <v>-3.0192000000000099</v>
      </c>
      <c r="AF2122">
        <v>-3.9549006735777299</v>
      </c>
      <c r="AG2122">
        <v>-1.1100813244879999</v>
      </c>
      <c r="AH2122">
        <v>43.310062563288099</v>
      </c>
      <c r="AI2122">
        <v>91.462147310018494</v>
      </c>
      <c r="AJ2122">
        <v>95.217549820669504</v>
      </c>
      <c r="AK2122">
        <v>43.504425511903598</v>
      </c>
      <c r="AL2122">
        <v>90.038123811475003</v>
      </c>
      <c r="AM2122">
        <v>87.2699095020713</v>
      </c>
      <c r="AN2122">
        <v>1.00000002321821</v>
      </c>
    </row>
    <row r="2123" spans="1:40" x14ac:dyDescent="0.25">
      <c r="A2123" t="str">
        <f>"20190312160958877"</f>
        <v>20190312160958877</v>
      </c>
      <c r="B2123" t="str">
        <f>"1552378198867989"</f>
        <v>1552378198867989</v>
      </c>
      <c r="C2123" t="s">
        <v>40</v>
      </c>
      <c r="D2123">
        <v>5.0486610000000001</v>
      </c>
      <c r="E2123">
        <v>0.41589579999999998</v>
      </c>
      <c r="F2123" t="s">
        <v>59</v>
      </c>
      <c r="G2123">
        <v>-498.71699999999998</v>
      </c>
      <c r="H2123" s="1">
        <v>1.520004E-6</v>
      </c>
      <c r="I2123">
        <v>276.99740000000003</v>
      </c>
      <c r="J2123">
        <v>-440.54520000000002</v>
      </c>
      <c r="K2123">
        <v>1.1100859999999999</v>
      </c>
      <c r="L2123">
        <v>285.63420000000002</v>
      </c>
      <c r="M2123">
        <v>-0.99966259999999996</v>
      </c>
      <c r="N2123">
        <v>0</v>
      </c>
      <c r="O2123">
        <v>2.162627E-2</v>
      </c>
      <c r="P2123">
        <v>-0.99747169999999996</v>
      </c>
      <c r="Q2123">
        <v>-1.5068120000000001E-2</v>
      </c>
      <c r="R2123">
        <v>6.9450709999999999E-2</v>
      </c>
      <c r="S2123">
        <v>-3.03775</v>
      </c>
      <c r="T2123">
        <v>-5.7650920000000001E-2</v>
      </c>
      <c r="U2123">
        <v>-0.4481812</v>
      </c>
      <c r="V2123">
        <v>4.7860710000000001E-2</v>
      </c>
      <c r="W2123">
        <v>-6.904592E-4</v>
      </c>
      <c r="X2123">
        <v>0.99885380000000001</v>
      </c>
      <c r="Y2123">
        <v>-0.16728660000000001</v>
      </c>
      <c r="Z2123">
        <v>-1.9870729999999998E-3</v>
      </c>
      <c r="AA2123">
        <v>0.98590630000000001</v>
      </c>
      <c r="AB2123">
        <v>32</v>
      </c>
      <c r="AC2123">
        <v>-58.171799999999898</v>
      </c>
      <c r="AD2123">
        <v>-1.1100844799959999</v>
      </c>
      <c r="AE2123">
        <v>-8.6367999999999903</v>
      </c>
      <c r="AF2123">
        <v>-9.8894253063555393</v>
      </c>
      <c r="AG2123">
        <v>-1.1100844799959999</v>
      </c>
      <c r="AH2123">
        <v>57.9507432053882</v>
      </c>
      <c r="AI2123">
        <v>91.081769101027703</v>
      </c>
      <c r="AJ2123">
        <v>99.684363444778597</v>
      </c>
      <c r="AK2123">
        <v>58.798993686113</v>
      </c>
      <c r="AL2123">
        <v>90.039560400476205</v>
      </c>
      <c r="AM2123">
        <v>87.256734721074807</v>
      </c>
      <c r="AN2123">
        <v>1.00000001903502</v>
      </c>
    </row>
    <row r="2124" spans="1:40" x14ac:dyDescent="0.25">
      <c r="A2124" t="str">
        <f>"20190312160958899"</f>
        <v>20190312160958899</v>
      </c>
      <c r="B2124" t="str">
        <f>"1552378198887510"</f>
        <v>1552378198887510</v>
      </c>
      <c r="C2124" t="s">
        <v>40</v>
      </c>
      <c r="D2124">
        <v>4.9250850000000002</v>
      </c>
      <c r="E2124">
        <v>0.41668250000000001</v>
      </c>
      <c r="F2124" t="s">
        <v>59</v>
      </c>
      <c r="G2124">
        <v>-497.59019999999998</v>
      </c>
      <c r="H2124" s="1">
        <v>1.7163720000000001E-6</v>
      </c>
      <c r="I2124">
        <v>276.97750000000002</v>
      </c>
      <c r="J2124">
        <v>-440.84840000000003</v>
      </c>
      <c r="K2124">
        <v>1.110093</v>
      </c>
      <c r="L2124">
        <v>285.64069999999998</v>
      </c>
      <c r="M2124">
        <v>-0.99966259999999996</v>
      </c>
      <c r="N2124">
        <v>0</v>
      </c>
      <c r="O2124">
        <v>2.1626289999999999E-2</v>
      </c>
      <c r="P2124">
        <v>-0.99749060000000001</v>
      </c>
      <c r="Q2124">
        <v>-1.44683E-2</v>
      </c>
      <c r="R2124">
        <v>6.9305459999999999E-2</v>
      </c>
      <c r="S2124">
        <v>-3.0388489999999999</v>
      </c>
      <c r="T2124">
        <v>-5.9135439999999997E-2</v>
      </c>
      <c r="U2124">
        <v>-0.46115109999999898</v>
      </c>
      <c r="V2124">
        <v>4.7715029999999999E-2</v>
      </c>
      <c r="W2124" s="1">
        <v>-9.3498299999999999E-5</v>
      </c>
      <c r="X2124">
        <v>0.998861</v>
      </c>
      <c r="Y2124">
        <v>-0.1713471</v>
      </c>
      <c r="Z2124">
        <v>-2.076147E-3</v>
      </c>
      <c r="AA2124">
        <v>0.98520850000000004</v>
      </c>
      <c r="AB2124">
        <v>32</v>
      </c>
      <c r="AC2124">
        <v>-56.741799999999898</v>
      </c>
      <c r="AD2124">
        <v>-1.1100912836279999</v>
      </c>
      <c r="AE2124">
        <v>-8.6631999999999501</v>
      </c>
      <c r="AF2124">
        <v>-9.8847179531609797</v>
      </c>
      <c r="AG2124">
        <v>-1.1100912836279999</v>
      </c>
      <c r="AH2124">
        <v>56.520014412659101</v>
      </c>
      <c r="AI2124">
        <v>91.108364849071904</v>
      </c>
      <c r="AJ2124">
        <v>99.920063871111793</v>
      </c>
      <c r="AK2124">
        <v>57.388604974147299</v>
      </c>
      <c r="AL2124">
        <v>90.005357057908697</v>
      </c>
      <c r="AM2124">
        <v>87.265091748809098</v>
      </c>
      <c r="AN2124">
        <v>1.00000001507541</v>
      </c>
    </row>
    <row r="2125" spans="1:40" x14ac:dyDescent="0.25">
      <c r="A2125" t="str">
        <f>"20190312160958925"</f>
        <v>20190312160958925</v>
      </c>
      <c r="B2125" t="str">
        <f>"1552378198917766"</f>
        <v>1552378198917766</v>
      </c>
      <c r="C2125" t="s">
        <v>40</v>
      </c>
      <c r="D2125">
        <v>4.9910220000000001</v>
      </c>
      <c r="E2125">
        <v>0.41661520000000002</v>
      </c>
      <c r="F2125" t="s">
        <v>59</v>
      </c>
      <c r="G2125">
        <v>-494.0849</v>
      </c>
      <c r="H2125" s="1">
        <v>2.4583440000000002E-6</v>
      </c>
      <c r="I2125">
        <v>277.65989999999999</v>
      </c>
      <c r="J2125">
        <v>-441.2079</v>
      </c>
      <c r="K2125">
        <v>1.110101</v>
      </c>
      <c r="L2125">
        <v>285.64850000000001</v>
      </c>
      <c r="M2125">
        <v>-0.99966270000000002</v>
      </c>
      <c r="N2125">
        <v>0</v>
      </c>
      <c r="O2125">
        <v>2.1626320000000001E-2</v>
      </c>
      <c r="P2125">
        <v>-0.99749509999999997</v>
      </c>
      <c r="Q2125">
        <v>-1.4060720000000001E-2</v>
      </c>
      <c r="R2125">
        <v>6.9325659999999997E-2</v>
      </c>
      <c r="S2125">
        <v>-3.0382690000000001</v>
      </c>
      <c r="T2125">
        <v>-6.3354129999999995E-2</v>
      </c>
      <c r="U2125">
        <v>-0.45547490000000002</v>
      </c>
      <c r="V2125">
        <v>4.7735050000000001E-2</v>
      </c>
      <c r="W2125">
        <v>3.1072290000000002E-4</v>
      </c>
      <c r="X2125">
        <v>0.99885999999999997</v>
      </c>
      <c r="Y2125">
        <v>-0.1695701</v>
      </c>
      <c r="Z2125">
        <v>-2.2065320000000002E-3</v>
      </c>
      <c r="AA2125">
        <v>0.98551569999999999</v>
      </c>
      <c r="AB2125">
        <v>32</v>
      </c>
      <c r="AC2125">
        <v>-52.877000000000002</v>
      </c>
      <c r="AD2125">
        <v>-1.1100985416560001</v>
      </c>
      <c r="AE2125">
        <v>-7.9886000000000097</v>
      </c>
      <c r="AF2125">
        <v>-9.1264517520681601</v>
      </c>
      <c r="AG2125">
        <v>-1.1100985416560001</v>
      </c>
      <c r="AH2125">
        <v>52.669153135201903</v>
      </c>
      <c r="AI2125">
        <v>91.189710797784102</v>
      </c>
      <c r="AJ2125">
        <v>99.830534873058696</v>
      </c>
      <c r="AK2125">
        <v>53.465541541579498</v>
      </c>
      <c r="AL2125">
        <v>89.982196889222706</v>
      </c>
      <c r="AM2125">
        <v>87.263943259911102</v>
      </c>
      <c r="AN2125">
        <v>1.00000001557361</v>
      </c>
    </row>
    <row r="2126" spans="1:40" x14ac:dyDescent="0.25">
      <c r="A2126" t="str">
        <f>"20190312160958946"</f>
        <v>20190312160958946</v>
      </c>
      <c r="B2126" t="str">
        <f>"1552378198938262"</f>
        <v>1552378198938262</v>
      </c>
      <c r="C2126" t="s">
        <v>40</v>
      </c>
      <c r="D2126">
        <v>5.0263429999999998</v>
      </c>
      <c r="E2126">
        <v>0.4168347</v>
      </c>
      <c r="F2126" t="s">
        <v>59</v>
      </c>
      <c r="G2126">
        <v>-493.96429999999998</v>
      </c>
      <c r="H2126" s="1">
        <v>2.4919400000000001E-6</v>
      </c>
      <c r="I2126">
        <v>277.72919999999999</v>
      </c>
      <c r="J2126">
        <v>-441.51010000000002</v>
      </c>
      <c r="K2126">
        <v>1.1101030000000001</v>
      </c>
      <c r="L2126">
        <v>285.6551</v>
      </c>
      <c r="M2126">
        <v>-0.99966270000000002</v>
      </c>
      <c r="N2126">
        <v>0</v>
      </c>
      <c r="O2126">
        <v>2.1626340000000001E-2</v>
      </c>
      <c r="P2126">
        <v>-0.99748669999999995</v>
      </c>
      <c r="Q2126">
        <v>-1.3791940000000001E-2</v>
      </c>
      <c r="R2126">
        <v>6.9502339999999996E-2</v>
      </c>
      <c r="S2126">
        <v>-3.0383300000000002</v>
      </c>
      <c r="T2126">
        <v>-6.3932420000000004E-2</v>
      </c>
      <c r="U2126">
        <v>-0.45608520000000002</v>
      </c>
      <c r="V2126">
        <v>4.7911919999999997E-2</v>
      </c>
      <c r="W2126">
        <v>5.7584450000000001E-4</v>
      </c>
      <c r="X2126">
        <v>0.99885139999999994</v>
      </c>
      <c r="Y2126">
        <v>-0.1697601</v>
      </c>
      <c r="Z2126">
        <v>-2.2285790000000001E-3</v>
      </c>
      <c r="AA2126">
        <v>0.98548290000000005</v>
      </c>
      <c r="AB2126">
        <v>32</v>
      </c>
      <c r="AC2126">
        <v>-52.454199999999901</v>
      </c>
      <c r="AD2126">
        <v>-1.1101005080599999</v>
      </c>
      <c r="AE2126">
        <v>-7.9259000000000102</v>
      </c>
      <c r="AF2126">
        <v>-9.0545907365379605</v>
      </c>
      <c r="AG2126">
        <v>-1.1101005080599999</v>
      </c>
      <c r="AH2126">
        <v>52.247625273021498</v>
      </c>
      <c r="AI2126">
        <v>91.199304021081005</v>
      </c>
      <c r="AJ2126">
        <v>99.831792073755096</v>
      </c>
      <c r="AK2126">
        <v>53.038026765842901</v>
      </c>
      <c r="AL2126">
        <v>89.967006538719502</v>
      </c>
      <c r="AM2126">
        <v>87.2537973848425</v>
      </c>
      <c r="AN2126">
        <v>1.00000000147846</v>
      </c>
    </row>
    <row r="2127" spans="1:40" x14ac:dyDescent="0.25">
      <c r="A2127" t="str">
        <f>"20190312160958969"</f>
        <v>20190312160958969</v>
      </c>
      <c r="B2127" t="str">
        <f>"1552378198957781"</f>
        <v>1552378198957781</v>
      </c>
      <c r="C2127" t="s">
        <v>40</v>
      </c>
      <c r="D2127">
        <v>4.9725970000000004</v>
      </c>
      <c r="E2127">
        <v>0.41691149999999999</v>
      </c>
      <c r="F2127" t="s">
        <v>59</v>
      </c>
      <c r="G2127">
        <v>-494.6336</v>
      </c>
      <c r="H2127" s="1">
        <v>2.371689E-6</v>
      </c>
      <c r="I2127">
        <v>277.72059999999999</v>
      </c>
      <c r="J2127">
        <v>-441.83159999999998</v>
      </c>
      <c r="K2127">
        <v>1.1101019999999999</v>
      </c>
      <c r="L2127">
        <v>285.66199999999998</v>
      </c>
      <c r="M2127">
        <v>-0.99966279999999996</v>
      </c>
      <c r="N2127">
        <v>0</v>
      </c>
      <c r="O2127">
        <v>2.162619E-2</v>
      </c>
      <c r="P2127">
        <v>-0.99745799999999996</v>
      </c>
      <c r="Q2127">
        <v>-1.3852730000000001E-2</v>
      </c>
      <c r="R2127">
        <v>6.9900939999999995E-2</v>
      </c>
      <c r="S2127">
        <v>-3.0383</v>
      </c>
      <c r="T2127">
        <v>-6.3490030000000003E-2</v>
      </c>
      <c r="U2127">
        <v>-0.45379639999999999</v>
      </c>
      <c r="V2127">
        <v>4.831129E-2</v>
      </c>
      <c r="W2127">
        <v>5.1147149999999995E-4</v>
      </c>
      <c r="X2127">
        <v>0.99883219999999995</v>
      </c>
      <c r="Y2127">
        <v>-0.16903589999999999</v>
      </c>
      <c r="Z2127">
        <v>-2.2057790000000002E-3</v>
      </c>
      <c r="AA2127">
        <v>0.98560740000000002</v>
      </c>
      <c r="AB2127">
        <v>32</v>
      </c>
      <c r="AC2127">
        <v>-52.802</v>
      </c>
      <c r="AD2127">
        <v>-1.1100996283110001</v>
      </c>
      <c r="AE2127">
        <v>-7.9414000000000398</v>
      </c>
      <c r="AF2127">
        <v>-9.0776428172317196</v>
      </c>
      <c r="AG2127">
        <v>-1.1100996283110001</v>
      </c>
      <c r="AH2127">
        <v>52.595155608374903</v>
      </c>
      <c r="AI2127">
        <v>91.191522165210003</v>
      </c>
      <c r="AJ2127">
        <v>99.792470283346105</v>
      </c>
      <c r="AK2127">
        <v>53.384326480449197</v>
      </c>
      <c r="AL2127">
        <v>89.970694840520395</v>
      </c>
      <c r="AM2127">
        <v>87.230888737694301</v>
      </c>
      <c r="AN2127">
        <v>1.0000000030506899</v>
      </c>
    </row>
    <row r="2128" spans="1:40" x14ac:dyDescent="0.25">
      <c r="A2128" t="str">
        <f>"20190312160958990"</f>
        <v>20190312160958990</v>
      </c>
      <c r="B2128" t="str">
        <f>"1552378198977301"</f>
        <v>1552378198977301</v>
      </c>
      <c r="C2128" t="s">
        <v>40</v>
      </c>
      <c r="D2128">
        <v>4.8745479999999999</v>
      </c>
      <c r="E2128">
        <v>0.41685949999999999</v>
      </c>
      <c r="F2128" t="s">
        <v>59</v>
      </c>
      <c r="G2128">
        <v>-495.07929999999999</v>
      </c>
      <c r="H2128" s="1">
        <v>2.2966970000000001E-6</v>
      </c>
      <c r="I2128">
        <v>277.74369999999999</v>
      </c>
      <c r="J2128">
        <v>-442.13150000000002</v>
      </c>
      <c r="K2128">
        <v>1.1101030000000001</v>
      </c>
      <c r="L2128">
        <v>285.66849999999999</v>
      </c>
      <c r="M2128">
        <v>-0.99966279999999996</v>
      </c>
      <c r="N2128">
        <v>0</v>
      </c>
      <c r="O2128">
        <v>2.1626389999999999E-2</v>
      </c>
      <c r="P2128">
        <v>-0.99745189999999995</v>
      </c>
      <c r="Q2128">
        <v>-1.363493E-2</v>
      </c>
      <c r="R2128">
        <v>7.0026350000000001E-2</v>
      </c>
      <c r="S2128">
        <v>-3.0384519999999999</v>
      </c>
      <c r="T2128">
        <v>-6.3345189999999996E-2</v>
      </c>
      <c r="U2128">
        <v>-0.4518433</v>
      </c>
      <c r="V2128">
        <v>4.8436519999999997E-2</v>
      </c>
      <c r="W2128">
        <v>7.2604810000000001E-4</v>
      </c>
      <c r="X2128">
        <v>0.99882599999999999</v>
      </c>
      <c r="Y2128">
        <v>-0.16840939999999999</v>
      </c>
      <c r="Z2128">
        <v>-2.1942509999999999E-3</v>
      </c>
      <c r="AA2128">
        <v>0.98571470000000005</v>
      </c>
      <c r="AB2128">
        <v>31</v>
      </c>
      <c r="AC2128">
        <v>-52.947799999999901</v>
      </c>
      <c r="AD2128">
        <v>-1.1101007033029999</v>
      </c>
      <c r="AE2128">
        <v>-7.9248000000000003</v>
      </c>
      <c r="AF2128">
        <v>-9.0642371773280104</v>
      </c>
      <c r="AG2128">
        <v>-1.1101007033029999</v>
      </c>
      <c r="AH2128">
        <v>52.7413360249178</v>
      </c>
      <c r="AI2128">
        <v>91.188367344921602</v>
      </c>
      <c r="AJ2128">
        <v>99.751707466255993</v>
      </c>
      <c r="AK2128">
        <v>53.526080043952597</v>
      </c>
      <c r="AL2128">
        <v>89.958400504530999</v>
      </c>
      <c r="AM2128">
        <v>87.223704801738506</v>
      </c>
      <c r="AN2128">
        <v>1.0000000009457699</v>
      </c>
    </row>
    <row r="2129" spans="1:40" x14ac:dyDescent="0.25">
      <c r="A2129" t="str">
        <f>"20190312160959011"</f>
        <v>20190312160959011</v>
      </c>
      <c r="B2129" t="str">
        <f>"1552378198997797"</f>
        <v>1552378198997797</v>
      </c>
      <c r="C2129" t="s">
        <v>40</v>
      </c>
      <c r="D2129">
        <v>4.8879729999999997</v>
      </c>
      <c r="E2129">
        <v>0.41677130000000001</v>
      </c>
      <c r="F2129" t="s">
        <v>59</v>
      </c>
      <c r="G2129">
        <v>-497.20260000000002</v>
      </c>
      <c r="H2129" s="1">
        <v>1.8732060000000001E-6</v>
      </c>
      <c r="I2129">
        <v>277.47770000000003</v>
      </c>
      <c r="J2129">
        <v>-442.4237</v>
      </c>
      <c r="K2129">
        <v>1.1101019999999999</v>
      </c>
      <c r="L2129">
        <v>285.6748</v>
      </c>
      <c r="M2129">
        <v>-0.99966279999999996</v>
      </c>
      <c r="N2129">
        <v>0</v>
      </c>
      <c r="O2129">
        <v>2.1626409999999999E-2</v>
      </c>
      <c r="P2129">
        <v>-0.99748179999999997</v>
      </c>
      <c r="Q2129">
        <v>-1.375585E-2</v>
      </c>
      <c r="R2129">
        <v>6.9575629999999999E-2</v>
      </c>
      <c r="S2129">
        <v>-3.0385740000000001</v>
      </c>
      <c r="T2129">
        <v>-6.1250329999999999E-2</v>
      </c>
      <c r="U2129">
        <v>-0.45193480000000003</v>
      </c>
      <c r="V2129">
        <v>4.798521E-2</v>
      </c>
      <c r="W2129">
        <v>6.020706E-4</v>
      </c>
      <c r="X2129">
        <v>0.99884779999999995</v>
      </c>
      <c r="Y2129">
        <v>-0.16843540000000001</v>
      </c>
      <c r="Z2129">
        <v>-2.1218719999999999E-3</v>
      </c>
      <c r="AA2129">
        <v>0.98571039999999999</v>
      </c>
      <c r="AB2129">
        <v>31</v>
      </c>
      <c r="AC2129">
        <v>-54.7789</v>
      </c>
      <c r="AD2129">
        <v>-1.1101001267940001</v>
      </c>
      <c r="AE2129">
        <v>-8.1970999999999705</v>
      </c>
      <c r="AF2129">
        <v>-9.3762095823321392</v>
      </c>
      <c r="AG2129">
        <v>-1.1101001267940001</v>
      </c>
      <c r="AH2129">
        <v>54.566875181816599</v>
      </c>
      <c r="AI2129">
        <v>91.148626872166005</v>
      </c>
      <c r="AJ2129">
        <v>99.749903683144595</v>
      </c>
      <c r="AK2129">
        <v>55.377698539495803</v>
      </c>
      <c r="AL2129">
        <v>89.965503891332204</v>
      </c>
      <c r="AM2129">
        <v>87.249593116100002</v>
      </c>
      <c r="AN2129">
        <v>0.99999993521629305</v>
      </c>
    </row>
    <row r="2130" spans="1:40" x14ac:dyDescent="0.25">
      <c r="A2130" t="str">
        <f>"20190312160959034"</f>
        <v>20190312160959034</v>
      </c>
      <c r="B2130" t="str">
        <f>"1552378199028059"</f>
        <v>1552378199028059</v>
      </c>
      <c r="C2130" t="s">
        <v>40</v>
      </c>
      <c r="D2130">
        <v>4.8363490000000002</v>
      </c>
      <c r="E2130">
        <v>0.41666799999999998</v>
      </c>
      <c r="F2130" t="s">
        <v>59</v>
      </c>
      <c r="G2130">
        <v>-497.77839999999998</v>
      </c>
      <c r="H2130" s="1">
        <v>1.758094E-6</v>
      </c>
      <c r="I2130">
        <v>277.40390000000002</v>
      </c>
      <c r="J2130">
        <v>-442.75740000000002</v>
      </c>
      <c r="K2130">
        <v>1.1101030000000001</v>
      </c>
      <c r="L2130">
        <v>285.68200000000002</v>
      </c>
      <c r="M2130">
        <v>-0.99966290000000002</v>
      </c>
      <c r="N2130">
        <v>0</v>
      </c>
      <c r="O2130">
        <v>2.1626260000000001E-2</v>
      </c>
      <c r="P2130">
        <v>-0.99746480000000004</v>
      </c>
      <c r="Q2130">
        <v>-1.4811980000000001E-2</v>
      </c>
      <c r="R2130">
        <v>6.9603529999999997E-2</v>
      </c>
      <c r="S2130">
        <v>-3.0383300000000002</v>
      </c>
      <c r="T2130">
        <v>-6.0931680000000002E-2</v>
      </c>
      <c r="U2130">
        <v>-0.45397949999999998</v>
      </c>
      <c r="V2130">
        <v>4.8013599999999997E-2</v>
      </c>
      <c r="W2130">
        <v>-4.5779129999999998E-4</v>
      </c>
      <c r="X2130">
        <v>0.99884660000000003</v>
      </c>
      <c r="Y2130">
        <v>-0.16909589999999999</v>
      </c>
      <c r="Z2130">
        <v>-2.1174829999999999E-3</v>
      </c>
      <c r="AA2130">
        <v>0.98559730000000001</v>
      </c>
      <c r="AB2130">
        <v>31</v>
      </c>
      <c r="AC2130">
        <v>-55.020999999999901</v>
      </c>
      <c r="AD2130">
        <v>-1.1101012419059999</v>
      </c>
      <c r="AE2130">
        <v>-8.2780999999999896</v>
      </c>
      <c r="AF2130">
        <v>-9.4624182260038197</v>
      </c>
      <c r="AG2130">
        <v>-1.1101012419059999</v>
      </c>
      <c r="AH2130">
        <v>54.807269985134802</v>
      </c>
      <c r="AI2130">
        <v>91.143434601995594</v>
      </c>
      <c r="AJ2130">
        <v>99.795491676274807</v>
      </c>
      <c r="AK2130">
        <v>55.629187722584497</v>
      </c>
      <c r="AL2130">
        <v>90.026229509704706</v>
      </c>
      <c r="AM2130">
        <v>87.247965063365299</v>
      </c>
      <c r="AN2130">
        <v>1.0000000228446899</v>
      </c>
    </row>
    <row r="2131" spans="1:40" x14ac:dyDescent="0.25">
      <c r="A2131" t="str">
        <f>"20190312160959056"</f>
        <v>20190312160959056</v>
      </c>
      <c r="B2131" t="str">
        <f>"1552378199047578"</f>
        <v>1552378199047578</v>
      </c>
      <c r="C2131" t="s">
        <v>40</v>
      </c>
      <c r="D2131">
        <v>4.854266</v>
      </c>
      <c r="E2131">
        <v>0.4166493</v>
      </c>
      <c r="F2131" t="s">
        <v>59</v>
      </c>
      <c r="G2131">
        <v>-496.60239999999999</v>
      </c>
      <c r="H2131" s="1">
        <v>2.0054630000000001E-6</v>
      </c>
      <c r="I2131">
        <v>277.62400000000002</v>
      </c>
      <c r="J2131">
        <v>-443.05220000000003</v>
      </c>
      <c r="K2131">
        <v>1.110104</v>
      </c>
      <c r="L2131">
        <v>285.6884</v>
      </c>
      <c r="M2131">
        <v>-0.99966290000000002</v>
      </c>
      <c r="N2131">
        <v>0</v>
      </c>
      <c r="O2131">
        <v>2.1626280000000001E-2</v>
      </c>
      <c r="P2131">
        <v>-0.99744650000000001</v>
      </c>
      <c r="Q2131">
        <v>-1.459131E-2</v>
      </c>
      <c r="R2131">
        <v>6.9912810000000006E-2</v>
      </c>
      <c r="S2131">
        <v>-3.0384519999999999</v>
      </c>
      <c r="T2131">
        <v>-6.2642569999999995E-2</v>
      </c>
      <c r="U2131">
        <v>-0.4547119</v>
      </c>
      <c r="V2131">
        <v>4.8323230000000002E-2</v>
      </c>
      <c r="W2131">
        <v>-2.405253E-4</v>
      </c>
      <c r="X2131">
        <v>0.99883169999999999</v>
      </c>
      <c r="Y2131">
        <v>-0.16932030000000001</v>
      </c>
      <c r="Z2131">
        <v>-2.1791029999999999E-3</v>
      </c>
      <c r="AA2131">
        <v>0.98555870000000001</v>
      </c>
      <c r="AB2131">
        <v>31</v>
      </c>
      <c r="AC2131">
        <v>-53.550199999999897</v>
      </c>
      <c r="AD2131">
        <v>-1.1101019945370001</v>
      </c>
      <c r="AE2131">
        <v>-8.0643999999999707</v>
      </c>
      <c r="AF2131">
        <v>-9.2168516990706397</v>
      </c>
      <c r="AG2131">
        <v>-1.1101019945370001</v>
      </c>
      <c r="AH2131">
        <v>53.340838125314399</v>
      </c>
      <c r="AI2131">
        <v>91.174833590658295</v>
      </c>
      <c r="AJ2131">
        <v>99.803430596102999</v>
      </c>
      <c r="AK2131">
        <v>54.142660569941697</v>
      </c>
      <c r="AL2131">
        <v>90.013781084982995</v>
      </c>
      <c r="AM2131">
        <v>87.230204040854005</v>
      </c>
      <c r="AN2131">
        <v>0.99999997866747103</v>
      </c>
    </row>
    <row r="2132" spans="1:40" x14ac:dyDescent="0.25">
      <c r="A2132" t="str">
        <f>"20190312160959077"</f>
        <v>20190312160959077</v>
      </c>
      <c r="B2132" t="str">
        <f>"1552378199068074"</f>
        <v>1552378199068074</v>
      </c>
      <c r="C2132" t="s">
        <v>40</v>
      </c>
      <c r="D2132">
        <v>4.8283930000000002</v>
      </c>
      <c r="E2132">
        <v>0.41663559999999999</v>
      </c>
      <c r="F2132" t="s">
        <v>59</v>
      </c>
      <c r="G2132">
        <v>-497.57990000000001</v>
      </c>
      <c r="H2132" s="1">
        <v>1.8175880000000001E-6</v>
      </c>
      <c r="I2132">
        <v>277.54180000000002</v>
      </c>
      <c r="J2132">
        <v>-443.35860000000002</v>
      </c>
      <c r="K2132">
        <v>1.110101</v>
      </c>
      <c r="L2132">
        <v>285.69499999999999</v>
      </c>
      <c r="M2132">
        <v>-0.99966290000000002</v>
      </c>
      <c r="N2132">
        <v>0</v>
      </c>
      <c r="O2132">
        <v>2.1626309999999999E-2</v>
      </c>
      <c r="P2132">
        <v>-0.99747410000000003</v>
      </c>
      <c r="Q2132">
        <v>-1.427176E-2</v>
      </c>
      <c r="R2132">
        <v>6.9583480000000003E-2</v>
      </c>
      <c r="S2132">
        <v>-3.038605</v>
      </c>
      <c r="T2132">
        <v>-6.1861520000000003E-2</v>
      </c>
      <c r="U2132">
        <v>-0.45397949999999998</v>
      </c>
      <c r="V2132">
        <v>4.7993429999999997E-2</v>
      </c>
      <c r="W2132" s="1">
        <v>7.5943770000000001E-5</v>
      </c>
      <c r="X2132">
        <v>0.99884770000000001</v>
      </c>
      <c r="Y2132">
        <v>-0.1690817</v>
      </c>
      <c r="Z2132">
        <v>-2.1494550000000002E-3</v>
      </c>
      <c r="AA2132">
        <v>0.98559969999999997</v>
      </c>
      <c r="AB2132">
        <v>31</v>
      </c>
      <c r="AC2132">
        <v>-54.2212999999999</v>
      </c>
      <c r="AD2132">
        <v>-1.1100991824119999</v>
      </c>
      <c r="AE2132">
        <v>-8.1531999999999698</v>
      </c>
      <c r="AF2132">
        <v>-9.3202001266651706</v>
      </c>
      <c r="AG2132">
        <v>-1.1100991824119999</v>
      </c>
      <c r="AH2132">
        <v>54.010135971682999</v>
      </c>
      <c r="AI2132">
        <v>91.160320324557404</v>
      </c>
      <c r="AJ2132">
        <v>99.790759468034807</v>
      </c>
      <c r="AK2132">
        <v>54.819642814191802</v>
      </c>
      <c r="AL2132">
        <v>89.995648742718302</v>
      </c>
      <c r="AM2132">
        <v>87.249122412417606</v>
      </c>
      <c r="AN2132">
        <v>1.0000000514429499</v>
      </c>
    </row>
    <row r="2133" spans="1:40" x14ac:dyDescent="0.25">
      <c r="A2133" t="str">
        <f>"20190312160959101"</f>
        <v>20190312160959101</v>
      </c>
      <c r="B2133" t="str">
        <f>"1552378199087596"</f>
        <v>1552378199087596</v>
      </c>
      <c r="C2133" t="s">
        <v>40</v>
      </c>
      <c r="D2133">
        <v>4.8394810000000001</v>
      </c>
      <c r="E2133">
        <v>0.41655049999999999</v>
      </c>
      <c r="F2133" t="s">
        <v>59</v>
      </c>
      <c r="G2133">
        <v>-499.10590000000002</v>
      </c>
      <c r="H2133" s="1">
        <v>1.5121629999999999E-6</v>
      </c>
      <c r="I2133">
        <v>277.34460000000001</v>
      </c>
      <c r="J2133">
        <v>-443.67649999999998</v>
      </c>
      <c r="K2133">
        <v>1.1101000000000001</v>
      </c>
      <c r="L2133">
        <v>285.70190000000002</v>
      </c>
      <c r="M2133">
        <v>-0.99966310000000003</v>
      </c>
      <c r="N2133">
        <v>0</v>
      </c>
      <c r="O2133">
        <v>2.162615E-2</v>
      </c>
      <c r="P2133">
        <v>-0.99746060000000003</v>
      </c>
      <c r="Q2133">
        <v>-1.448961E-2</v>
      </c>
      <c r="R2133">
        <v>6.9733240000000002E-2</v>
      </c>
      <c r="S2133">
        <v>-3.0384829999999998</v>
      </c>
      <c r="T2133">
        <v>-6.0505509999999998E-2</v>
      </c>
      <c r="U2133">
        <v>-0.45513920000000002</v>
      </c>
      <c r="V2133">
        <v>4.814351E-2</v>
      </c>
      <c r="W2133">
        <v>-1.455506E-4</v>
      </c>
      <c r="X2133">
        <v>0.99884039999999996</v>
      </c>
      <c r="Y2133">
        <v>-0.16945689999999999</v>
      </c>
      <c r="Z2133">
        <v>-2.1060850000000002E-3</v>
      </c>
      <c r="AA2133">
        <v>0.9855353</v>
      </c>
      <c r="AB2133">
        <v>31</v>
      </c>
      <c r="AC2133">
        <v>-55.429400000000001</v>
      </c>
      <c r="AD2133">
        <v>-1.1100984878369999</v>
      </c>
      <c r="AE2133">
        <v>-8.3573000000000093</v>
      </c>
      <c r="AF2133">
        <v>-9.5504476065239707</v>
      </c>
      <c r="AG2133">
        <v>-1.1100984878369999</v>
      </c>
      <c r="AH2133">
        <v>55.214025482277698</v>
      </c>
      <c r="AI2133">
        <v>91.134949051804099</v>
      </c>
      <c r="AJ2133">
        <v>99.813430674315399</v>
      </c>
      <c r="AK2133">
        <v>56.044910367447898</v>
      </c>
      <c r="AL2133">
        <v>90.008339435267601</v>
      </c>
      <c r="AM2133">
        <v>87.240513296842906</v>
      </c>
      <c r="AN2133">
        <v>0.99999998170612803</v>
      </c>
    </row>
    <row r="2134" spans="1:40" x14ac:dyDescent="0.25">
      <c r="A2134" t="str">
        <f>"20190312160959123"</f>
        <v>20190312160959123</v>
      </c>
      <c r="B2134" t="str">
        <f>"1552378199117850"</f>
        <v>1552378199117850</v>
      </c>
      <c r="C2134" t="s">
        <v>40</v>
      </c>
      <c r="D2134">
        <v>4.8080600000000002</v>
      </c>
      <c r="E2134">
        <v>0.41639100000000001</v>
      </c>
      <c r="F2134" t="s">
        <v>59</v>
      </c>
      <c r="G2134">
        <v>-499.48590000000002</v>
      </c>
      <c r="H2134" s="1">
        <v>1.4442620000000001E-6</v>
      </c>
      <c r="I2134">
        <v>277.3417</v>
      </c>
      <c r="J2134">
        <v>-443.99340000000001</v>
      </c>
      <c r="K2134">
        <v>1.1101000000000001</v>
      </c>
      <c r="L2134">
        <v>285.7088</v>
      </c>
      <c r="M2134">
        <v>-0.99966310000000003</v>
      </c>
      <c r="N2134">
        <v>0</v>
      </c>
      <c r="O2134">
        <v>2.1626179999999998E-2</v>
      </c>
      <c r="P2134">
        <v>-0.99745490000000003</v>
      </c>
      <c r="Q2134">
        <v>-1.418033E-2</v>
      </c>
      <c r="R2134">
        <v>6.9879380000000005E-2</v>
      </c>
      <c r="S2134">
        <v>-3.0385439999999999</v>
      </c>
      <c r="T2134">
        <v>-6.0439350000000003E-2</v>
      </c>
      <c r="U2134">
        <v>-0.45516970000000001</v>
      </c>
      <c r="V2134">
        <v>4.8289770000000003E-2</v>
      </c>
      <c r="W2134">
        <v>1.6051929999999999E-4</v>
      </c>
      <c r="X2134">
        <v>0.99883339999999998</v>
      </c>
      <c r="Y2134">
        <v>-0.1694638</v>
      </c>
      <c r="Z2134">
        <v>-2.103808E-3</v>
      </c>
      <c r="AA2134">
        <v>0.98553420000000003</v>
      </c>
      <c r="AB2134">
        <v>31</v>
      </c>
      <c r="AC2134">
        <v>-55.4925</v>
      </c>
      <c r="AD2134">
        <v>-1.1100985557379901</v>
      </c>
      <c r="AE2134">
        <v>-8.36709999999999</v>
      </c>
      <c r="AF2134">
        <v>-9.5616158717385797</v>
      </c>
      <c r="AG2134">
        <v>-1.1100985557379901</v>
      </c>
      <c r="AH2134">
        <v>55.276923112440102</v>
      </c>
      <c r="AI2134">
        <v>91.133657046087507</v>
      </c>
      <c r="AJ2134">
        <v>99.813721299282093</v>
      </c>
      <c r="AK2134">
        <v>56.108778686233599</v>
      </c>
      <c r="AL2134">
        <v>89.990802921947505</v>
      </c>
      <c r="AM2134">
        <v>87.232123624724593</v>
      </c>
      <c r="AN2134">
        <v>1.00000004430432</v>
      </c>
    </row>
    <row r="2135" spans="1:40" x14ac:dyDescent="0.25">
      <c r="A2135" t="str">
        <f>"20190312160959147"</f>
        <v>20190312160959147</v>
      </c>
      <c r="B2135" t="str">
        <f>"1552378199137370"</f>
        <v>1552378199137370</v>
      </c>
      <c r="C2135" t="s">
        <v>40</v>
      </c>
      <c r="D2135">
        <v>4.8239789999999996</v>
      </c>
      <c r="E2135">
        <v>0.41624070000000002</v>
      </c>
      <c r="F2135" t="s">
        <v>59</v>
      </c>
      <c r="G2135">
        <v>-499.95780000000002</v>
      </c>
      <c r="H2135">
        <v>3.9362719999999997E-2</v>
      </c>
      <c r="I2135">
        <v>277.30700000000002</v>
      </c>
      <c r="J2135">
        <v>-444.31130000000002</v>
      </c>
      <c r="K2135">
        <v>1.1100989999999999</v>
      </c>
      <c r="L2135">
        <v>285.71570000000003</v>
      </c>
      <c r="M2135">
        <v>-0.99966310000000003</v>
      </c>
      <c r="N2135">
        <v>0</v>
      </c>
      <c r="O2135">
        <v>2.1626380000000001E-2</v>
      </c>
      <c r="P2135">
        <v>-0.99743749999999998</v>
      </c>
      <c r="Q2135">
        <v>-1.415042E-2</v>
      </c>
      <c r="R2135">
        <v>7.012968E-2</v>
      </c>
      <c r="S2135">
        <v>-3.0387879999999998</v>
      </c>
      <c r="T2135">
        <v>-5.813956E-2</v>
      </c>
      <c r="U2135">
        <v>-0.45620729999999998</v>
      </c>
      <c r="V2135">
        <v>4.8540119999999999E-2</v>
      </c>
      <c r="W2135">
        <v>1.8626849999999999E-4</v>
      </c>
      <c r="X2135">
        <v>0.99882119999999996</v>
      </c>
      <c r="Y2135">
        <v>-0.1697842</v>
      </c>
      <c r="Z2135">
        <v>-2.0266099999999999E-3</v>
      </c>
      <c r="AA2135">
        <v>0.9854792</v>
      </c>
      <c r="AB2135">
        <v>31</v>
      </c>
      <c r="AC2135">
        <v>-55.646500000000003</v>
      </c>
      <c r="AD2135">
        <v>-1.07073628</v>
      </c>
      <c r="AE2135">
        <v>-8.4087000000000103</v>
      </c>
      <c r="AF2135">
        <v>-9.6068118375160196</v>
      </c>
      <c r="AG2135">
        <v>-1.07073628</v>
      </c>
      <c r="AH2135">
        <v>55.431549286471501</v>
      </c>
      <c r="AI2135">
        <v>91.090358879084704</v>
      </c>
      <c r="AJ2135">
        <v>99.832235978554095</v>
      </c>
      <c r="AK2135">
        <v>56.268054579497097</v>
      </c>
      <c r="AL2135">
        <v>89.989327600858701</v>
      </c>
      <c r="AM2135">
        <v>87.217762604890297</v>
      </c>
      <c r="AN2135">
        <v>0.99999998375750399</v>
      </c>
    </row>
    <row r="2136" spans="1:40" x14ac:dyDescent="0.25">
      <c r="A2136" t="str">
        <f>"20190312160959168"</f>
        <v>20190312160959168</v>
      </c>
      <c r="B2136" t="str">
        <f>"1552378199157866"</f>
        <v>1552378199157866</v>
      </c>
      <c r="C2136" t="s">
        <v>40</v>
      </c>
      <c r="D2136">
        <v>4.8179800000000004</v>
      </c>
      <c r="E2136">
        <v>0.41609010000000002</v>
      </c>
      <c r="F2136" t="s">
        <v>59</v>
      </c>
      <c r="G2136">
        <v>-499.95780000000002</v>
      </c>
      <c r="H2136">
        <v>4.5020440000000002E-2</v>
      </c>
      <c r="I2136">
        <v>277.35829999999999</v>
      </c>
      <c r="J2136">
        <v>-444.61489999999998</v>
      </c>
      <c r="K2136">
        <v>1.1101049999999999</v>
      </c>
      <c r="L2136">
        <v>285.72219999999999</v>
      </c>
      <c r="M2136">
        <v>-0.99966319999999997</v>
      </c>
      <c r="N2136">
        <v>0</v>
      </c>
      <c r="O2136">
        <v>2.162623E-2</v>
      </c>
      <c r="P2136">
        <v>-0.997444</v>
      </c>
      <c r="Q2136">
        <v>-1.4742659999999999E-2</v>
      </c>
      <c r="R2136">
        <v>6.9913680000000006E-2</v>
      </c>
      <c r="S2136">
        <v>-3.0390009999999998</v>
      </c>
      <c r="T2136">
        <v>-5.8166740000000001E-2</v>
      </c>
      <c r="U2136">
        <v>-0.45642090000000002</v>
      </c>
      <c r="V2136">
        <v>4.8324039999999999E-2</v>
      </c>
      <c r="W2136">
        <v>-4.0917610000000001E-4</v>
      </c>
      <c r="X2136">
        <v>0.99883160000000004</v>
      </c>
      <c r="Y2136">
        <v>-0.16984160000000001</v>
      </c>
      <c r="Z2136">
        <v>-2.0279489999999998E-3</v>
      </c>
      <c r="AA2136">
        <v>0.98546929999999999</v>
      </c>
      <c r="AB2136">
        <v>31</v>
      </c>
      <c r="AC2136">
        <v>-55.3429</v>
      </c>
      <c r="AD2136">
        <v>-1.0650845599999901</v>
      </c>
      <c r="AE2136">
        <v>-8.3638999999999992</v>
      </c>
      <c r="AF2136">
        <v>-9.5554648530904505</v>
      </c>
      <c r="AG2136">
        <v>-1.0650845599999901</v>
      </c>
      <c r="AH2136">
        <v>55.129093195464598</v>
      </c>
      <c r="AI2136">
        <v>91.090550458399306</v>
      </c>
      <c r="AJ2136">
        <v>99.833317131231198</v>
      </c>
      <c r="AK2136">
        <v>55.9612207714665</v>
      </c>
      <c r="AL2136">
        <v>90.023444064901497</v>
      </c>
      <c r="AM2136">
        <v>87.230157408613707</v>
      </c>
      <c r="AN2136">
        <v>0.99999997271278096</v>
      </c>
    </row>
    <row r="2137" spans="1:40" x14ac:dyDescent="0.25">
      <c r="A2137" t="str">
        <f>"20190312160959190"</f>
        <v>20190312160959190</v>
      </c>
      <c r="B2137" t="str">
        <f>"1552378199177386"</f>
        <v>1552378199177386</v>
      </c>
      <c r="C2137" t="s">
        <v>40</v>
      </c>
      <c r="D2137">
        <v>4.8248280000000001</v>
      </c>
      <c r="E2137">
        <v>0.4158733</v>
      </c>
      <c r="F2137" t="s">
        <v>59</v>
      </c>
      <c r="G2137">
        <v>-499.95780000000002</v>
      </c>
      <c r="H2137">
        <v>6.5593240000000001E-3</v>
      </c>
      <c r="I2137">
        <v>277.37520000000001</v>
      </c>
      <c r="J2137">
        <v>-444.91120000000001</v>
      </c>
      <c r="K2137">
        <v>1.1101049999999999</v>
      </c>
      <c r="L2137">
        <v>285.72859999999997</v>
      </c>
      <c r="M2137">
        <v>-0.99966319999999997</v>
      </c>
      <c r="N2137">
        <v>0</v>
      </c>
      <c r="O2137">
        <v>2.162644E-2</v>
      </c>
      <c r="P2137">
        <v>-0.99742869999999995</v>
      </c>
      <c r="Q2137">
        <v>-1.4916789999999999E-2</v>
      </c>
      <c r="R2137">
        <v>7.0097519999999996E-2</v>
      </c>
      <c r="S2137">
        <v>-3.03891</v>
      </c>
      <c r="T2137">
        <v>-6.059635E-2</v>
      </c>
      <c r="U2137">
        <v>-0.45834350000000001</v>
      </c>
      <c r="V2137">
        <v>4.8508210000000003E-2</v>
      </c>
      <c r="W2137">
        <v>-5.8680339999999905E-4</v>
      </c>
      <c r="X2137">
        <v>0.9988226</v>
      </c>
      <c r="Y2137">
        <v>-0.17045270000000001</v>
      </c>
      <c r="Z2137">
        <v>-2.1186669999999999E-3</v>
      </c>
      <c r="AA2137">
        <v>0.98536360000000001</v>
      </c>
      <c r="AB2137">
        <v>31</v>
      </c>
      <c r="AC2137">
        <v>-55.046599999999998</v>
      </c>
      <c r="AD2137">
        <v>-1.103545676</v>
      </c>
      <c r="AE2137">
        <v>-8.3533999999999597</v>
      </c>
      <c r="AF2137">
        <v>-9.5382832555411401</v>
      </c>
      <c r="AG2137">
        <v>-1.103545676</v>
      </c>
      <c r="AH2137">
        <v>54.831509408898803</v>
      </c>
      <c r="AI2137">
        <v>91.135931794550004</v>
      </c>
      <c r="AJ2137">
        <v>99.868209289924295</v>
      </c>
      <c r="AK2137">
        <v>55.665887979804197</v>
      </c>
      <c r="AL2137">
        <v>90.0336213605393</v>
      </c>
      <c r="AM2137">
        <v>87.219592652004195</v>
      </c>
      <c r="AN2137">
        <v>0.99999998852319705</v>
      </c>
    </row>
    <row r="2138" spans="1:40" x14ac:dyDescent="0.25">
      <c r="A2138" t="str">
        <f>"20190312160959212"</f>
        <v>20190312160959212</v>
      </c>
      <c r="B2138" t="str">
        <f>"1552378199207645"</f>
        <v>1552378199207645</v>
      </c>
      <c r="C2138" t="s">
        <v>40</v>
      </c>
      <c r="D2138">
        <v>4.8725559999999897</v>
      </c>
      <c r="E2138">
        <v>0.41561809999999899</v>
      </c>
      <c r="F2138" t="s">
        <v>59</v>
      </c>
      <c r="G2138">
        <v>-499.80779999999999</v>
      </c>
      <c r="H2138" s="1">
        <v>1.4023459999999999E-6</v>
      </c>
      <c r="I2138">
        <v>277.42790000000002</v>
      </c>
      <c r="J2138">
        <v>-445.22550000000001</v>
      </c>
      <c r="K2138">
        <v>1.110101</v>
      </c>
      <c r="L2138">
        <v>285.73540000000003</v>
      </c>
      <c r="M2138">
        <v>-0.99966319999999997</v>
      </c>
      <c r="N2138">
        <v>0</v>
      </c>
      <c r="O2138">
        <v>2.1626280000000001E-2</v>
      </c>
      <c r="P2138">
        <v>-0.99746060000000003</v>
      </c>
      <c r="Q2138">
        <v>-1.4680159999999999E-2</v>
      </c>
      <c r="R2138">
        <v>6.9692870000000004E-2</v>
      </c>
      <c r="S2138">
        <v>-3.0391240000000002</v>
      </c>
      <c r="T2138">
        <v>-6.1456320000000002E-2</v>
      </c>
      <c r="U2138">
        <v>-0.45953369999999999</v>
      </c>
      <c r="V2138">
        <v>4.8103069999999998E-2</v>
      </c>
      <c r="W2138">
        <v>-3.5339099999999999E-4</v>
      </c>
      <c r="X2138">
        <v>0.99884229999999996</v>
      </c>
      <c r="Y2138">
        <v>-0.17081849999999901</v>
      </c>
      <c r="Z2138">
        <v>-2.1521909999999999E-3</v>
      </c>
      <c r="AA2138">
        <v>0.98530019999999996</v>
      </c>
      <c r="AB2138">
        <v>31</v>
      </c>
      <c r="AC2138">
        <v>-54.582299999999897</v>
      </c>
      <c r="AD2138">
        <v>-1.110099597654</v>
      </c>
      <c r="AE2138">
        <v>-8.3074999999999992</v>
      </c>
      <c r="AF2138">
        <v>-9.4822568432414602</v>
      </c>
      <c r="AG2138">
        <v>-1.110099597654</v>
      </c>
      <c r="AH2138">
        <v>54.367873659373601</v>
      </c>
      <c r="AI2138">
        <v>91.152329899343698</v>
      </c>
      <c r="AJ2138">
        <v>99.893397211896399</v>
      </c>
      <c r="AK2138">
        <v>55.199739149741603</v>
      </c>
      <c r="AL2138">
        <v>90.020247813538006</v>
      </c>
      <c r="AM2138">
        <v>87.242832892569794</v>
      </c>
      <c r="AN2138">
        <v>0.99999998524895595</v>
      </c>
    </row>
    <row r="2139" spans="1:40" x14ac:dyDescent="0.25">
      <c r="A2139" t="str">
        <f>"20190312160959234"</f>
        <v>20190312160959234</v>
      </c>
      <c r="B2139" t="str">
        <f>"1552378199228138"</f>
        <v>1552378199228138</v>
      </c>
      <c r="C2139" t="s">
        <v>40</v>
      </c>
      <c r="D2139">
        <v>4.8819309999999998</v>
      </c>
      <c r="E2139">
        <v>0.41552260000000002</v>
      </c>
      <c r="F2139" t="s">
        <v>59</v>
      </c>
      <c r="G2139">
        <v>-499.95780000000002</v>
      </c>
      <c r="H2139">
        <v>3.1319420000000001E-2</v>
      </c>
      <c r="I2139">
        <v>277.40170000000001</v>
      </c>
      <c r="J2139">
        <v>-445.54689999999999</v>
      </c>
      <c r="K2139">
        <v>1.1101049999999999</v>
      </c>
      <c r="L2139">
        <v>285.74239999999998</v>
      </c>
      <c r="M2139">
        <v>-0.99966339999999998</v>
      </c>
      <c r="N2139">
        <v>0</v>
      </c>
      <c r="O2139">
        <v>2.162619E-2</v>
      </c>
      <c r="P2139">
        <v>-0.99749209999999999</v>
      </c>
      <c r="Q2139">
        <v>-1.436638E-2</v>
      </c>
      <c r="R2139">
        <v>6.9307499999999994E-2</v>
      </c>
      <c r="S2139">
        <v>-3.0390630000000001</v>
      </c>
      <c r="T2139">
        <v>-5.9900399999999999E-2</v>
      </c>
      <c r="U2139">
        <v>-0.46273799999999998</v>
      </c>
      <c r="V2139">
        <v>4.771719E-2</v>
      </c>
      <c r="W2139" s="1">
        <v>-4.2884489999999998E-5</v>
      </c>
      <c r="X2139">
        <v>0.99886090000000005</v>
      </c>
      <c r="Y2139">
        <v>-0.17183850000000001</v>
      </c>
      <c r="Z2139">
        <v>-2.1075830000000001E-3</v>
      </c>
      <c r="AA2139">
        <v>0.98512290000000002</v>
      </c>
      <c r="AB2139">
        <v>31</v>
      </c>
      <c r="AC2139">
        <v>-54.410899999999998</v>
      </c>
      <c r="AD2139">
        <v>-1.0787855799999999</v>
      </c>
      <c r="AE2139">
        <v>-8.3406999999999698</v>
      </c>
      <c r="AF2139">
        <v>-9.5119170049789599</v>
      </c>
      <c r="AG2139">
        <v>-1.0787855799999999</v>
      </c>
      <c r="AH2139">
        <v>54.196960558401798</v>
      </c>
      <c r="AI2139">
        <v>91.123154404561603</v>
      </c>
      <c r="AJ2139">
        <v>99.954399156581502</v>
      </c>
      <c r="AK2139">
        <v>55.035905345566697</v>
      </c>
      <c r="AL2139">
        <v>90.002457100247895</v>
      </c>
      <c r="AM2139">
        <v>87.264967857502796</v>
      </c>
      <c r="AN2139">
        <v>1.0000000148046899</v>
      </c>
    </row>
    <row r="2140" spans="1:40" x14ac:dyDescent="0.25">
      <c r="A2140" t="str">
        <f>"20190312160959257"</f>
        <v>20190312160959257</v>
      </c>
      <c r="B2140" t="str">
        <f>"1552378199247658"</f>
        <v>1552378199247658</v>
      </c>
      <c r="C2140" t="s">
        <v>40</v>
      </c>
      <c r="D2140">
        <v>4.920858</v>
      </c>
      <c r="E2140">
        <v>0.39991209999999999</v>
      </c>
      <c r="F2140" t="s">
        <v>59</v>
      </c>
      <c r="G2140">
        <v>-499.95780000000002</v>
      </c>
      <c r="H2140">
        <v>4.6106149999999999E-2</v>
      </c>
      <c r="I2140">
        <v>277.4203</v>
      </c>
      <c r="J2140">
        <v>-445.84559999999999</v>
      </c>
      <c r="K2140">
        <v>1.1101099999999999</v>
      </c>
      <c r="L2140">
        <v>285.74880000000002</v>
      </c>
      <c r="M2140">
        <v>-0.99966339999999998</v>
      </c>
      <c r="N2140">
        <v>0</v>
      </c>
      <c r="O2140">
        <v>2.162621E-2</v>
      </c>
      <c r="P2140">
        <v>-0.99753740000000002</v>
      </c>
      <c r="Q2140">
        <v>-1.4135719999999999E-2</v>
      </c>
      <c r="R2140">
        <v>6.8698350000000005E-2</v>
      </c>
      <c r="S2140">
        <v>-3.0390009999999998</v>
      </c>
      <c r="T2140">
        <v>-5.9427380000000002E-2</v>
      </c>
      <c r="U2140">
        <v>-0.46481319999999998</v>
      </c>
      <c r="V2140">
        <v>4.7107129999999997E-2</v>
      </c>
      <c r="W2140">
        <v>1.8483799999999999E-4</v>
      </c>
      <c r="X2140">
        <v>0.99888980000000005</v>
      </c>
      <c r="Y2140">
        <v>-0.17249929999999999</v>
      </c>
      <c r="Z2140">
        <v>-2.0973010000000002E-3</v>
      </c>
      <c r="AA2140">
        <v>0.98500739999999998</v>
      </c>
      <c r="AB2140">
        <v>31</v>
      </c>
      <c r="AC2140">
        <v>-54.112200000000001</v>
      </c>
      <c r="AD2140">
        <v>-1.06400385</v>
      </c>
      <c r="AE2140">
        <v>-8.3285000000000196</v>
      </c>
      <c r="AF2140">
        <v>-9.4933283072026295</v>
      </c>
      <c r="AG2140">
        <v>-1.06400385</v>
      </c>
      <c r="AH2140">
        <v>53.899052797259301</v>
      </c>
      <c r="AI2140">
        <v>91.113771115044699</v>
      </c>
      <c r="AJ2140">
        <v>99.9891446610374</v>
      </c>
      <c r="AK2140">
        <v>54.739047114312299</v>
      </c>
      <c r="AL2140">
        <v>89.989409562372799</v>
      </c>
      <c r="AM2140">
        <v>87.299960920411905</v>
      </c>
      <c r="AN2140">
        <v>0.99999997420298103</v>
      </c>
    </row>
    <row r="2141" spans="1:40" x14ac:dyDescent="0.25">
      <c r="A2141" t="str">
        <f>"20190312160959278"</f>
        <v>20190312160959278</v>
      </c>
      <c r="B2141" t="str">
        <f>"1552378199268154"</f>
        <v>1552378199268154</v>
      </c>
      <c r="C2141" t="s">
        <v>40</v>
      </c>
      <c r="D2141">
        <v>4.94489</v>
      </c>
      <c r="E2141">
        <v>0.39832319999999999</v>
      </c>
      <c r="F2141" t="s">
        <v>75</v>
      </c>
      <c r="G2141">
        <v>-512.82510000000002</v>
      </c>
      <c r="H2141">
        <v>-7.3550940000000004E-3</v>
      </c>
      <c r="I2141">
        <v>272.7654</v>
      </c>
      <c r="J2141">
        <v>-446.1474</v>
      </c>
      <c r="K2141">
        <v>1.1101099999999999</v>
      </c>
      <c r="L2141">
        <v>285.75540000000001</v>
      </c>
      <c r="M2141">
        <v>-0.99966350000000004</v>
      </c>
      <c r="N2141">
        <v>0</v>
      </c>
      <c r="O2141">
        <v>2.1626220000000002E-2</v>
      </c>
      <c r="P2141">
        <v>-0.9975482</v>
      </c>
      <c r="Q2141">
        <v>-1.430531E-2</v>
      </c>
      <c r="R2141">
        <v>6.8508189999999997E-2</v>
      </c>
      <c r="S2141">
        <v>-3.0473330000000001</v>
      </c>
      <c r="T2141">
        <v>-5.0836920000000001E-2</v>
      </c>
      <c r="U2141">
        <v>-0.59069819999999995</v>
      </c>
      <c r="V2141">
        <v>4.6916810000000003E-2</v>
      </c>
      <c r="W2141" s="1">
        <v>1.431792E-5</v>
      </c>
      <c r="X2141">
        <v>0.99889879999999998</v>
      </c>
      <c r="Y2141">
        <v>-0.21145630000000001</v>
      </c>
      <c r="Z2141">
        <v>-2.105048E-3</v>
      </c>
      <c r="AA2141">
        <v>0.97738519999999895</v>
      </c>
      <c r="AB2141">
        <v>31</v>
      </c>
      <c r="AC2141">
        <v>-66.677700000000002</v>
      </c>
      <c r="AD2141">
        <v>-1.1174650939999999</v>
      </c>
      <c r="AE2141">
        <v>-12.99</v>
      </c>
      <c r="AF2141">
        <v>-14.425192463168001</v>
      </c>
      <c r="AG2141">
        <v>-1.1174650939999999</v>
      </c>
      <c r="AH2141">
        <v>66.363191277784594</v>
      </c>
      <c r="AI2141">
        <v>90.942682092801405</v>
      </c>
      <c r="AJ2141">
        <v>102.263464358655</v>
      </c>
      <c r="AK2141">
        <v>67.922073454861305</v>
      </c>
      <c r="AL2141">
        <v>89.999179643612507</v>
      </c>
      <c r="AM2141">
        <v>87.310877638850002</v>
      </c>
      <c r="AN2141">
        <v>0.99999999995350897</v>
      </c>
    </row>
    <row r="2142" spans="1:40" x14ac:dyDescent="0.25">
      <c r="A2142" t="str">
        <f>"20190312160959301"</f>
        <v>20190312160959301</v>
      </c>
      <c r="B2142" t="str">
        <f>"1552378199287675"</f>
        <v>1552378199287675</v>
      </c>
      <c r="C2142" t="s">
        <v>40</v>
      </c>
      <c r="D2142">
        <v>4.9451269999999896</v>
      </c>
      <c r="E2142">
        <v>0.39730589999999999</v>
      </c>
      <c r="F2142" t="s">
        <v>59</v>
      </c>
      <c r="G2142">
        <v>-503.27</v>
      </c>
      <c r="H2142">
        <v>7.9999570000000006E-2</v>
      </c>
      <c r="I2142">
        <v>274.43650000000002</v>
      </c>
      <c r="J2142">
        <v>-446.4599</v>
      </c>
      <c r="K2142">
        <v>1.110115</v>
      </c>
      <c r="L2142">
        <v>285.76209999999998</v>
      </c>
      <c r="M2142">
        <v>-0.99966330000000003</v>
      </c>
      <c r="N2142">
        <v>0</v>
      </c>
      <c r="O2142">
        <v>2.1626329999999999E-2</v>
      </c>
      <c r="P2142">
        <v>-0.99757510000000005</v>
      </c>
      <c r="Q2142">
        <v>-1.430474E-2</v>
      </c>
      <c r="R2142">
        <v>6.8113069999999998E-2</v>
      </c>
      <c r="S2142">
        <v>-3.048035</v>
      </c>
      <c r="T2142">
        <v>-5.4966210000000001E-2</v>
      </c>
      <c r="U2142">
        <v>-0.60397339999999999</v>
      </c>
      <c r="V2142">
        <v>4.6521050000000001E-2</v>
      </c>
      <c r="W2142" s="1">
        <v>1.7068350000000001E-5</v>
      </c>
      <c r="X2142">
        <v>0.99891730000000001</v>
      </c>
      <c r="Y2142">
        <v>-0.215506</v>
      </c>
      <c r="Z2142">
        <v>-2.3107169999999999E-3</v>
      </c>
      <c r="AA2142">
        <v>0.97649980000000003</v>
      </c>
      <c r="AB2142">
        <v>31</v>
      </c>
      <c r="AC2142">
        <v>-56.810099999999899</v>
      </c>
      <c r="AD2142">
        <v>-1.0301154299999999</v>
      </c>
      <c r="AE2142">
        <v>-11.3255999999999</v>
      </c>
      <c r="AF2142">
        <v>-12.5477030665323</v>
      </c>
      <c r="AG2142">
        <v>-1.0301154299999999</v>
      </c>
      <c r="AH2142">
        <v>56.533977002967099</v>
      </c>
      <c r="AI2142">
        <v>91.019087034101403</v>
      </c>
      <c r="AJ2142">
        <v>102.513930971859</v>
      </c>
      <c r="AK2142">
        <v>57.918879010362403</v>
      </c>
      <c r="AL2142">
        <v>89.999022055572198</v>
      </c>
      <c r="AM2142">
        <v>87.333577777745802</v>
      </c>
      <c r="AN2142">
        <v>0.99999999031186004</v>
      </c>
    </row>
    <row r="2143" spans="1:40" x14ac:dyDescent="0.25">
      <c r="A2143" t="str">
        <f>"20190312160959327"</f>
        <v>20190312160959327</v>
      </c>
      <c r="B2143" t="str">
        <f>"1552378199317930"</f>
        <v>1552378199317930</v>
      </c>
      <c r="C2143" t="s">
        <v>40</v>
      </c>
      <c r="D2143">
        <v>4.9266719999999999</v>
      </c>
      <c r="E2143">
        <v>0.39687159999999999</v>
      </c>
      <c r="F2143" t="s">
        <v>59</v>
      </c>
      <c r="G2143">
        <v>-504.04610000000002</v>
      </c>
      <c r="H2143">
        <v>7.9999559999999997E-2</v>
      </c>
      <c r="I2143">
        <v>274.17790000000002</v>
      </c>
      <c r="J2143">
        <v>-446.80509999999998</v>
      </c>
      <c r="K2143">
        <v>1.110117</v>
      </c>
      <c r="L2143">
        <v>285.76960000000003</v>
      </c>
      <c r="M2143">
        <v>-0.99966319999999997</v>
      </c>
      <c r="N2143">
        <v>0</v>
      </c>
      <c r="O2143">
        <v>2.1626300000000001E-2</v>
      </c>
      <c r="P2143">
        <v>-0.99757750000000001</v>
      </c>
      <c r="Q2143">
        <v>-1.3996059999999999E-2</v>
      </c>
      <c r="R2143">
        <v>6.8143280000000001E-2</v>
      </c>
      <c r="S2143">
        <v>-3.0483699999999998</v>
      </c>
      <c r="T2143">
        <v>-5.4529910000000001E-2</v>
      </c>
      <c r="U2143">
        <v>-0.61322019999999899</v>
      </c>
      <c r="V2143">
        <v>4.6551370000000002E-2</v>
      </c>
      <c r="W2143">
        <v>3.293196E-4</v>
      </c>
      <c r="X2143">
        <v>0.99891589999999997</v>
      </c>
      <c r="Y2143">
        <v>-0.21833330000000001</v>
      </c>
      <c r="Z2143">
        <v>-2.3164930000000002E-3</v>
      </c>
      <c r="AA2143">
        <v>0.9758715</v>
      </c>
      <c r="AB2143">
        <v>31</v>
      </c>
      <c r="AC2143">
        <v>-57.241</v>
      </c>
      <c r="AD2143">
        <v>-1.0301174399999999</v>
      </c>
      <c r="AE2143">
        <v>-11.591699999999999</v>
      </c>
      <c r="AF2143">
        <v>-12.823037568110101</v>
      </c>
      <c r="AG2143">
        <v>-1.0301174399999999</v>
      </c>
      <c r="AH2143">
        <v>56.9591783955835</v>
      </c>
      <c r="AI2143">
        <v>91.010799307089897</v>
      </c>
      <c r="AJ2143">
        <v>102.687298340448</v>
      </c>
      <c r="AK2143">
        <v>58.393830478170102</v>
      </c>
      <c r="AL2143">
        <v>89.981131377541303</v>
      </c>
      <c r="AM2143">
        <v>87.331838718929703</v>
      </c>
      <c r="AN2143">
        <v>1.0000000568865399</v>
      </c>
    </row>
    <row r="2144" spans="1:40" x14ac:dyDescent="0.25">
      <c r="A2144" t="str">
        <f>"20190312160959350"</f>
        <v>20190312160959350</v>
      </c>
      <c r="B2144" t="str">
        <f>"1552378199337450"</f>
        <v>1552378199337450</v>
      </c>
      <c r="C2144" t="s">
        <v>40</v>
      </c>
      <c r="D2144">
        <v>4.9505239999999997</v>
      </c>
      <c r="E2144">
        <v>0.39674809999999999</v>
      </c>
      <c r="F2144" t="s">
        <v>59</v>
      </c>
      <c r="G2144">
        <v>-501.87520000000001</v>
      </c>
      <c r="H2144">
        <v>8.0000970000000005E-2</v>
      </c>
      <c r="I2144">
        <v>274.63069999999999</v>
      </c>
      <c r="J2144">
        <v>-447.12220000000002</v>
      </c>
      <c r="K2144">
        <v>1.110112</v>
      </c>
      <c r="L2144">
        <v>285.7765</v>
      </c>
      <c r="M2144">
        <v>-0.99966319999999997</v>
      </c>
      <c r="N2144">
        <v>0</v>
      </c>
      <c r="O2144">
        <v>2.1626280000000001E-2</v>
      </c>
      <c r="P2144">
        <v>-0.99761100000000003</v>
      </c>
      <c r="Q2144">
        <v>-1.402952E-2</v>
      </c>
      <c r="R2144">
        <v>6.7642380000000002E-2</v>
      </c>
      <c r="S2144">
        <v>-3.0486149999999999</v>
      </c>
      <c r="T2144">
        <v>-5.7026029999999998E-2</v>
      </c>
      <c r="U2144">
        <v>-0.61663819999999903</v>
      </c>
      <c r="V2144">
        <v>4.6049689999999997E-2</v>
      </c>
      <c r="W2144">
        <v>2.9927890000000003E-4</v>
      </c>
      <c r="X2144">
        <v>0.99893909999999997</v>
      </c>
      <c r="Y2144">
        <v>-0.2193658</v>
      </c>
      <c r="Z2144">
        <v>-2.431618E-3</v>
      </c>
      <c r="AA2144">
        <v>0.97563960000000005</v>
      </c>
      <c r="AB2144">
        <v>31</v>
      </c>
      <c r="AC2144">
        <v>-54.752999999999901</v>
      </c>
      <c r="AD2144">
        <v>-1.03011103</v>
      </c>
      <c r="AE2144">
        <v>-11.145799999999999</v>
      </c>
      <c r="AF2144">
        <v>-12.3232299510899</v>
      </c>
      <c r="AG2144">
        <v>-1.03011103</v>
      </c>
      <c r="AH2144">
        <v>54.480608423601502</v>
      </c>
      <c r="AI2144">
        <v>91.056526113992305</v>
      </c>
      <c r="AJ2144">
        <v>102.74552477580301</v>
      </c>
      <c r="AK2144">
        <v>55.866446274730698</v>
      </c>
      <c r="AL2144">
        <v>89.982852581782595</v>
      </c>
      <c r="AM2144">
        <v>87.360613585617102</v>
      </c>
      <c r="AN2144">
        <v>0.99999999451288302</v>
      </c>
    </row>
    <row r="2145" spans="1:40" x14ac:dyDescent="0.25">
      <c r="A2145" t="str">
        <f>"20190312160959371"</f>
        <v>20190312160959371</v>
      </c>
      <c r="B2145" t="str">
        <f>"1552378199367706"</f>
        <v>1552378199367706</v>
      </c>
      <c r="C2145" t="s">
        <v>40</v>
      </c>
      <c r="D2145">
        <v>4.9905200000000001</v>
      </c>
      <c r="E2145">
        <v>0.39651029999999998</v>
      </c>
      <c r="F2145" t="s">
        <v>59</v>
      </c>
      <c r="G2145">
        <v>-501.29</v>
      </c>
      <c r="H2145">
        <v>8.0001119999999995E-2</v>
      </c>
      <c r="I2145">
        <v>274.77199999999999</v>
      </c>
      <c r="J2145">
        <v>-447.41449999999998</v>
      </c>
      <c r="K2145">
        <v>1.1101129999999999</v>
      </c>
      <c r="L2145">
        <v>285.78280000000001</v>
      </c>
      <c r="M2145">
        <v>-0.99966319999999997</v>
      </c>
      <c r="N2145">
        <v>0</v>
      </c>
      <c r="O2145">
        <v>2.1626260000000001E-2</v>
      </c>
      <c r="P2145">
        <v>-0.99757419999999997</v>
      </c>
      <c r="Q2145">
        <v>-1.4660940000000001E-2</v>
      </c>
      <c r="R2145">
        <v>6.8053160000000001E-2</v>
      </c>
      <c r="S2145">
        <v>-3.0483699999999998</v>
      </c>
      <c r="T2145">
        <v>-5.7971000000000002E-2</v>
      </c>
      <c r="U2145">
        <v>-0.61929319999999999</v>
      </c>
      <c r="V2145">
        <v>4.6461229999999999E-2</v>
      </c>
      <c r="W2145">
        <v>-3.294738E-4</v>
      </c>
      <c r="X2145">
        <v>0.99892000000000003</v>
      </c>
      <c r="Y2145">
        <v>-0.22019559999999999</v>
      </c>
      <c r="Z2145">
        <v>-2.4796969999999999E-3</v>
      </c>
      <c r="AA2145">
        <v>0.9754526</v>
      </c>
      <c r="AB2145">
        <v>31</v>
      </c>
      <c r="AC2145">
        <v>-53.875500000000002</v>
      </c>
      <c r="AD2145">
        <v>-1.03011188</v>
      </c>
      <c r="AE2145">
        <v>-11.0108</v>
      </c>
      <c r="AF2145">
        <v>-12.169199315561301</v>
      </c>
      <c r="AG2145">
        <v>-1.03011188</v>
      </c>
      <c r="AH2145">
        <v>53.605938668655597</v>
      </c>
      <c r="AI2145">
        <v>91.073572868034503</v>
      </c>
      <c r="AJ2145">
        <v>102.79006851201</v>
      </c>
      <c r="AK2145">
        <v>54.979516212993701</v>
      </c>
      <c r="AL2145">
        <v>90.018877459288703</v>
      </c>
      <c r="AM2145">
        <v>87.337008697493303</v>
      </c>
      <c r="AN2145">
        <v>0.99999996042304795</v>
      </c>
    </row>
    <row r="2146" spans="1:40" x14ac:dyDescent="0.25">
      <c r="A2146" t="str">
        <f>"20190312160959391"</f>
        <v>20190312160959391</v>
      </c>
      <c r="B2146" t="str">
        <f>"1552378199388203"</f>
        <v>1552378199388203</v>
      </c>
      <c r="C2146" t="s">
        <v>40</v>
      </c>
      <c r="D2146">
        <v>4.9649179999999999</v>
      </c>
      <c r="E2146">
        <v>0.39619569999999998</v>
      </c>
      <c r="F2146" t="s">
        <v>59</v>
      </c>
      <c r="G2146">
        <v>-499.95780000000002</v>
      </c>
      <c r="H2146">
        <v>2.1574469999999998E-2</v>
      </c>
      <c r="I2146">
        <v>275.09769999999997</v>
      </c>
      <c r="J2146">
        <v>-447.68349999999998</v>
      </c>
      <c r="K2146">
        <v>1.1101209999999999</v>
      </c>
      <c r="L2146">
        <v>285.78859999999997</v>
      </c>
      <c r="M2146">
        <v>-0.99966319999999997</v>
      </c>
      <c r="N2146">
        <v>0</v>
      </c>
      <c r="O2146">
        <v>2.1626240000000001E-2</v>
      </c>
      <c r="P2146">
        <v>-0.99756469999999997</v>
      </c>
      <c r="Q2146">
        <v>-1.4715550000000001E-2</v>
      </c>
      <c r="R2146">
        <v>6.8178420000000003E-2</v>
      </c>
      <c r="S2146">
        <v>-3.048645</v>
      </c>
      <c r="T2146">
        <v>-6.315875E-2</v>
      </c>
      <c r="U2146">
        <v>-0.61996459999999998</v>
      </c>
      <c r="V2146">
        <v>4.6586669999999997E-2</v>
      </c>
      <c r="W2146">
        <v>-3.817952E-4</v>
      </c>
      <c r="X2146">
        <v>0.99891419999999997</v>
      </c>
      <c r="Y2146">
        <v>-0.22037680000000001</v>
      </c>
      <c r="Z2146">
        <v>-2.7031189999999999E-3</v>
      </c>
      <c r="AA2146">
        <v>0.97541109999999998</v>
      </c>
      <c r="AB2146">
        <v>31</v>
      </c>
      <c r="AC2146">
        <v>-52.274299999999997</v>
      </c>
      <c r="AD2146">
        <v>-1.0885465299999999</v>
      </c>
      <c r="AE2146">
        <v>-10.690899999999999</v>
      </c>
      <c r="AF2146">
        <v>-11.8140948027653</v>
      </c>
      <c r="AG2146">
        <v>-1.0885465299999999</v>
      </c>
      <c r="AH2146">
        <v>52.009196868928498</v>
      </c>
      <c r="AI2146">
        <v>91.169241237498099</v>
      </c>
      <c r="AJ2146">
        <v>102.79779502982601</v>
      </c>
      <c r="AK2146">
        <v>53.345237167976599</v>
      </c>
      <c r="AL2146">
        <v>90.021875253664405</v>
      </c>
      <c r="AM2146">
        <v>87.329813836215095</v>
      </c>
      <c r="AN2146">
        <v>1.0000000212754501</v>
      </c>
    </row>
    <row r="2147" spans="1:40" x14ac:dyDescent="0.25">
      <c r="A2147" t="str">
        <f>"20190312160959414"</f>
        <v>20190312160959414</v>
      </c>
      <c r="B2147" t="str">
        <f>"1552378199407733"</f>
        <v>1552378199407733</v>
      </c>
      <c r="C2147" t="s">
        <v>40</v>
      </c>
      <c r="D2147">
        <v>4.9729190000000001</v>
      </c>
      <c r="E2147">
        <v>0.39608900000000002</v>
      </c>
      <c r="F2147" t="s">
        <v>59</v>
      </c>
      <c r="G2147">
        <v>-499.95780000000002</v>
      </c>
      <c r="H2147">
        <v>3.4851609999999998E-2</v>
      </c>
      <c r="I2147">
        <v>275.12509999999997</v>
      </c>
      <c r="J2147">
        <v>-448.0027</v>
      </c>
      <c r="K2147">
        <v>1.110125</v>
      </c>
      <c r="L2147">
        <v>285.7955</v>
      </c>
      <c r="M2147">
        <v>-0.99966319999999997</v>
      </c>
      <c r="N2147">
        <v>0</v>
      </c>
      <c r="O2147">
        <v>2.1626220000000002E-2</v>
      </c>
      <c r="P2147">
        <v>-0.99756460000000002</v>
      </c>
      <c r="Q2147">
        <v>-1.4780969999999999E-2</v>
      </c>
      <c r="R2147">
        <v>6.8167320000000003E-2</v>
      </c>
      <c r="S2147">
        <v>-3.048889</v>
      </c>
      <c r="T2147">
        <v>-6.2714930000000002E-2</v>
      </c>
      <c r="U2147">
        <v>-0.62194819999999995</v>
      </c>
      <c r="V2147">
        <v>4.657559E-2</v>
      </c>
      <c r="W2147">
        <v>-4.448756E-4</v>
      </c>
      <c r="X2147">
        <v>0.99891470000000004</v>
      </c>
      <c r="Y2147">
        <v>-0.22097140000000001</v>
      </c>
      <c r="Z2147">
        <v>-2.6897980000000002E-3</v>
      </c>
      <c r="AA2147">
        <v>0.97527660000000005</v>
      </c>
      <c r="AB2147">
        <v>31</v>
      </c>
      <c r="AC2147">
        <v>-51.955100000000002</v>
      </c>
      <c r="AD2147">
        <v>-1.07527339</v>
      </c>
      <c r="AE2147">
        <v>-10.670400000000001</v>
      </c>
      <c r="AF2147">
        <v>-11.786767683760299</v>
      </c>
      <c r="AG2147">
        <v>-1.07527339</v>
      </c>
      <c r="AH2147">
        <v>51.690917566165801</v>
      </c>
      <c r="AI2147">
        <v>91.1618790757433</v>
      </c>
      <c r="AJ2147">
        <v>102.845187771829</v>
      </c>
      <c r="AK2147">
        <v>53.0286249503636</v>
      </c>
      <c r="AL2147">
        <v>90.0254894943469</v>
      </c>
      <c r="AM2147">
        <v>87.330449318831796</v>
      </c>
      <c r="AN2147">
        <v>1.00000003068711</v>
      </c>
    </row>
    <row r="2148" spans="1:40" x14ac:dyDescent="0.25">
      <c r="A2148" t="str">
        <f>"20190312160959436"</f>
        <v>20190312160959436</v>
      </c>
      <c r="B2148" t="str">
        <f>"1552378199428218"</f>
        <v>1552378199428218</v>
      </c>
      <c r="C2148" t="s">
        <v>40</v>
      </c>
      <c r="D2148">
        <v>5.0262949999999904</v>
      </c>
      <c r="E2148">
        <v>0.39590920000000002</v>
      </c>
      <c r="F2148" t="s">
        <v>59</v>
      </c>
      <c r="G2148">
        <v>-499.95780000000002</v>
      </c>
      <c r="H2148">
        <v>1.127588E-2</v>
      </c>
      <c r="I2148">
        <v>275.1807</v>
      </c>
      <c r="J2148">
        <v>-448.3039</v>
      </c>
      <c r="K2148">
        <v>1.1101270000000001</v>
      </c>
      <c r="L2148">
        <v>285.8021</v>
      </c>
      <c r="M2148">
        <v>-0.99966310000000003</v>
      </c>
      <c r="N2148">
        <v>0</v>
      </c>
      <c r="O2148">
        <v>2.1626389999999999E-2</v>
      </c>
      <c r="P2148">
        <v>-0.9975754</v>
      </c>
      <c r="Q2148">
        <v>-1.509484E-2</v>
      </c>
      <c r="R2148">
        <v>6.7937940000000002E-2</v>
      </c>
      <c r="S2148">
        <v>-3.04895</v>
      </c>
      <c r="T2148">
        <v>-6.4485310000000004E-2</v>
      </c>
      <c r="U2148">
        <v>-0.62292479999999995</v>
      </c>
      <c r="V2148">
        <v>4.6345869999999997E-2</v>
      </c>
      <c r="W2148">
        <v>-7.5694070000000002E-4</v>
      </c>
      <c r="X2148">
        <v>0.99892510000000001</v>
      </c>
      <c r="Y2148">
        <v>-0.22126470000000001</v>
      </c>
      <c r="Z2148">
        <v>-2.7686439999999998E-3</v>
      </c>
      <c r="AA2148">
        <v>0.97520980000000002</v>
      </c>
      <c r="AB2148">
        <v>31</v>
      </c>
      <c r="AC2148">
        <v>-51.6539</v>
      </c>
      <c r="AD2148">
        <v>-1.09885112</v>
      </c>
      <c r="AE2148">
        <v>-10.6213999999999</v>
      </c>
      <c r="AF2148">
        <v>-11.7310242676625</v>
      </c>
      <c r="AG2148">
        <v>-1.09885112</v>
      </c>
      <c r="AH2148">
        <v>51.389777360538503</v>
      </c>
      <c r="AI2148">
        <v>91.1942392603532</v>
      </c>
      <c r="AJ2148">
        <v>102.858883894982</v>
      </c>
      <c r="AK2148">
        <v>52.7231791655067</v>
      </c>
      <c r="AL2148">
        <v>90.043369514454795</v>
      </c>
      <c r="AM2148">
        <v>87.343624779538303</v>
      </c>
      <c r="AN2148">
        <v>0.99999993401764198</v>
      </c>
    </row>
    <row r="2149" spans="1:40" x14ac:dyDescent="0.25">
      <c r="A2149" t="str">
        <f>"20190312160959457"</f>
        <v>20190312160959457</v>
      </c>
      <c r="B2149" t="str">
        <f>"1552378199447739"</f>
        <v>1552378199447739</v>
      </c>
      <c r="C2149" t="s">
        <v>40</v>
      </c>
      <c r="D2149">
        <v>5.0486550000000001</v>
      </c>
      <c r="E2149">
        <v>0.39577400000000001</v>
      </c>
      <c r="F2149" t="s">
        <v>59</v>
      </c>
      <c r="G2149">
        <v>-498.62520000000001</v>
      </c>
      <c r="H2149" s="1">
        <v>1.269897E-6</v>
      </c>
      <c r="I2149">
        <v>275.48480000000001</v>
      </c>
      <c r="J2149">
        <v>-448.60390000000001</v>
      </c>
      <c r="K2149">
        <v>1.1101289999999999</v>
      </c>
      <c r="L2149">
        <v>285.80849999999998</v>
      </c>
      <c r="M2149">
        <v>-0.99966319999999997</v>
      </c>
      <c r="N2149">
        <v>0</v>
      </c>
      <c r="O2149">
        <v>2.1626200000000002E-2</v>
      </c>
      <c r="P2149">
        <v>-0.99754969999999998</v>
      </c>
      <c r="Q2149">
        <v>-1.531443E-2</v>
      </c>
      <c r="R2149">
        <v>6.8265199999999998E-2</v>
      </c>
      <c r="S2149">
        <v>-3.0487980000000001</v>
      </c>
      <c r="T2149">
        <v>-6.7258830000000006E-2</v>
      </c>
      <c r="U2149">
        <v>-0.62509159999999997</v>
      </c>
      <c r="V2149">
        <v>4.6673699999999999E-2</v>
      </c>
      <c r="W2149">
        <v>-9.7556629999999997E-4</v>
      </c>
      <c r="X2149">
        <v>0.99890970000000001</v>
      </c>
      <c r="Y2149">
        <v>-0.22193450000000001</v>
      </c>
      <c r="Z2149">
        <v>-2.8949420000000002E-3</v>
      </c>
      <c r="AA2149">
        <v>0.97505719999999996</v>
      </c>
      <c r="AB2149">
        <v>31</v>
      </c>
      <c r="AC2149">
        <v>-50.021299999999997</v>
      </c>
      <c r="AD2149">
        <v>-1.1101277301029999</v>
      </c>
      <c r="AE2149">
        <v>-10.323699999999899</v>
      </c>
      <c r="AF2149">
        <v>-11.397782587515399</v>
      </c>
      <c r="AG2149">
        <v>-1.1101277301029999</v>
      </c>
      <c r="AH2149">
        <v>49.762805043420997</v>
      </c>
      <c r="AI2149">
        <v>91.245717093202501</v>
      </c>
      <c r="AJ2149">
        <v>102.900633173481</v>
      </c>
      <c r="AK2149">
        <v>51.063476157415501</v>
      </c>
      <c r="AL2149">
        <v>90.055895841197</v>
      </c>
      <c r="AM2149">
        <v>87.324820784622204</v>
      </c>
      <c r="AN2149">
        <v>0.99999998737769202</v>
      </c>
    </row>
    <row r="2150" spans="1:40" x14ac:dyDescent="0.25">
      <c r="A2150" t="str">
        <f>"20190312160959479"</f>
        <v>20190312160959479</v>
      </c>
      <c r="B2150" t="str">
        <f>"1552378199477995"</f>
        <v>1552378199477995</v>
      </c>
      <c r="C2150" t="s">
        <v>40</v>
      </c>
      <c r="D2150">
        <v>5.0617869999999998</v>
      </c>
      <c r="E2150">
        <v>0.39554600000000001</v>
      </c>
      <c r="F2150" t="s">
        <v>59</v>
      </c>
      <c r="G2150">
        <v>-496.59309999999999</v>
      </c>
      <c r="H2150" s="1">
        <v>1.6555930000000001E-6</v>
      </c>
      <c r="I2150">
        <v>275.96460000000002</v>
      </c>
      <c r="J2150">
        <v>-448.9042</v>
      </c>
      <c r="K2150">
        <v>1.110128</v>
      </c>
      <c r="L2150">
        <v>285.81509999999997</v>
      </c>
      <c r="M2150">
        <v>-0.99966319999999997</v>
      </c>
      <c r="N2150">
        <v>0</v>
      </c>
      <c r="O2150">
        <v>2.1626200000000002E-2</v>
      </c>
      <c r="P2150">
        <v>-0.99751970000000001</v>
      </c>
      <c r="Q2150">
        <v>-1.6006070000000001E-2</v>
      </c>
      <c r="R2150">
        <v>6.8544060000000004E-2</v>
      </c>
      <c r="S2150">
        <v>-3.0491030000000001</v>
      </c>
      <c r="T2150">
        <v>-7.0534470000000002E-2</v>
      </c>
      <c r="U2150">
        <v>-0.62545779999999995</v>
      </c>
      <c r="V2150">
        <v>4.6953130000000003E-2</v>
      </c>
      <c r="W2150">
        <v>-1.6669969999999999E-3</v>
      </c>
      <c r="X2150">
        <v>0.99889570000000005</v>
      </c>
      <c r="Y2150">
        <v>-0.222022</v>
      </c>
      <c r="Z2150">
        <v>-3.0365639999999998E-3</v>
      </c>
      <c r="AA2150">
        <v>0.97503689999999998</v>
      </c>
      <c r="AB2150">
        <v>31</v>
      </c>
      <c r="AC2150">
        <v>-47.688899999999897</v>
      </c>
      <c r="AD2150">
        <v>-1.110126344407</v>
      </c>
      <c r="AE2150">
        <v>-9.8504999999999505</v>
      </c>
      <c r="AF2150">
        <v>-10.8739802127525</v>
      </c>
      <c r="AG2150">
        <v>-1.110126344407</v>
      </c>
      <c r="AH2150">
        <v>47.4400384371652</v>
      </c>
      <c r="AI2150">
        <v>91.306638598065703</v>
      </c>
      <c r="AJ2150">
        <v>102.91005330308499</v>
      </c>
      <c r="AK2150">
        <v>48.682985457833198</v>
      </c>
      <c r="AL2150">
        <v>90.095511937046496</v>
      </c>
      <c r="AM2150">
        <v>87.308790611591107</v>
      </c>
      <c r="AN2150">
        <v>0.99999999738714196</v>
      </c>
    </row>
    <row r="2151" spans="1:40" x14ac:dyDescent="0.25">
      <c r="A2151" t="str">
        <f>"20190312160959503"</f>
        <v>20190312160959503</v>
      </c>
      <c r="B2151" t="str">
        <f>"1552378199497519"</f>
        <v>1552378199497519</v>
      </c>
      <c r="C2151" t="s">
        <v>40</v>
      </c>
      <c r="D2151">
        <v>5.0572650000000001</v>
      </c>
      <c r="E2151">
        <v>0.39019399999999999</v>
      </c>
      <c r="F2151" t="s">
        <v>59</v>
      </c>
      <c r="G2151">
        <v>-493.80630000000002</v>
      </c>
      <c r="H2151" s="1">
        <v>2.123687E-6</v>
      </c>
      <c r="I2151">
        <v>276.58960000000002</v>
      </c>
      <c r="J2151">
        <v>-449.21699999999998</v>
      </c>
      <c r="K2151">
        <v>1.1101270000000001</v>
      </c>
      <c r="L2151">
        <v>285.8218</v>
      </c>
      <c r="M2151">
        <v>-0.99966299999999997</v>
      </c>
      <c r="N2151">
        <v>0</v>
      </c>
      <c r="O2151">
        <v>2.1626200000000002E-2</v>
      </c>
      <c r="P2151">
        <v>-0.9975212</v>
      </c>
      <c r="Q2151">
        <v>-1.59632E-2</v>
      </c>
      <c r="R2151">
        <v>6.853244E-2</v>
      </c>
      <c r="S2151">
        <v>-3.049255</v>
      </c>
      <c r="T2151">
        <v>-7.5387599999999999E-2</v>
      </c>
      <c r="U2151">
        <v>-0.62649540000000004</v>
      </c>
      <c r="V2151">
        <v>4.6941480000000001E-2</v>
      </c>
      <c r="W2151">
        <v>-1.623967E-3</v>
      </c>
      <c r="X2151">
        <v>0.99889629999999996</v>
      </c>
      <c r="Y2151">
        <v>-0.22232180000000001</v>
      </c>
      <c r="Z2151">
        <v>-3.2488339999999999E-3</v>
      </c>
      <c r="AA2151">
        <v>0.97496799999999995</v>
      </c>
      <c r="AB2151">
        <v>31</v>
      </c>
      <c r="AC2151">
        <v>-44.589300000000001</v>
      </c>
      <c r="AD2151">
        <v>-1.1101248763130001</v>
      </c>
      <c r="AE2151">
        <v>-9.2321999999999704</v>
      </c>
      <c r="AF2151">
        <v>-10.1883813325605</v>
      </c>
      <c r="AG2151">
        <v>-1.1101248763130001</v>
      </c>
      <c r="AH2151">
        <v>44.352829880082098</v>
      </c>
      <c r="AI2151">
        <v>91.3974000185558</v>
      </c>
      <c r="AJ2151">
        <v>102.937096399342</v>
      </c>
      <c r="AK2151">
        <v>45.521522489809001</v>
      </c>
      <c r="AL2151">
        <v>90.093046498022105</v>
      </c>
      <c r="AM2151">
        <v>87.3094589862623</v>
      </c>
      <c r="AN2151">
        <v>0.99999997898354798</v>
      </c>
    </row>
    <row r="2152" spans="1:40" x14ac:dyDescent="0.25">
      <c r="A2152" t="str">
        <f>"20190312160959526"</f>
        <v>20190312160959526</v>
      </c>
      <c r="B2152" t="str">
        <f>"1552378199518010"</f>
        <v>1552378199518010</v>
      </c>
      <c r="C2152" t="s">
        <v>40</v>
      </c>
      <c r="D2152">
        <v>5.0410649999999997</v>
      </c>
      <c r="E2152">
        <v>0.39056289999999999</v>
      </c>
      <c r="F2152" t="s">
        <v>59</v>
      </c>
      <c r="G2152">
        <v>-489.54719999999998</v>
      </c>
      <c r="H2152" s="1">
        <v>2.5289699999999999E-6</v>
      </c>
      <c r="I2152">
        <v>276.97649999999999</v>
      </c>
      <c r="J2152">
        <v>-449.52010000000001</v>
      </c>
      <c r="K2152">
        <v>1.110125</v>
      </c>
      <c r="L2152">
        <v>285.82839999999999</v>
      </c>
      <c r="M2152">
        <v>-0.99966319999999997</v>
      </c>
      <c r="N2152">
        <v>0</v>
      </c>
      <c r="O2152">
        <v>2.1626200000000002E-2</v>
      </c>
      <c r="P2152">
        <v>-0.99754140000000002</v>
      </c>
      <c r="Q2152">
        <v>-1.5928660000000001E-2</v>
      </c>
      <c r="R2152">
        <v>6.8247240000000001E-2</v>
      </c>
      <c r="S2152">
        <v>-3.0521240000000001</v>
      </c>
      <c r="T2152">
        <v>-8.4012509999999999E-2</v>
      </c>
      <c r="U2152">
        <v>-0.66940310000000003</v>
      </c>
      <c r="V2152">
        <v>4.6656019999999999E-2</v>
      </c>
      <c r="W2152">
        <v>-1.589264E-3</v>
      </c>
      <c r="X2152">
        <v>0.99890979999999996</v>
      </c>
      <c r="Y2152">
        <v>-0.2352149</v>
      </c>
      <c r="Z2152">
        <v>-3.7872000000000001E-3</v>
      </c>
      <c r="AA2152">
        <v>0.97193600000000002</v>
      </c>
      <c r="AB2152">
        <v>31</v>
      </c>
      <c r="AC2152">
        <v>-40.027099999999898</v>
      </c>
      <c r="AD2152">
        <v>-1.1101224710299999</v>
      </c>
      <c r="AE2152">
        <v>-8.8519000000000005</v>
      </c>
      <c r="AF2152">
        <v>-9.7084330604735793</v>
      </c>
      <c r="AG2152">
        <v>-1.1101224710299999</v>
      </c>
      <c r="AH2152">
        <v>39.7970998977314</v>
      </c>
      <c r="AI2152">
        <v>91.552326728002299</v>
      </c>
      <c r="AJ2152">
        <v>103.709438628859</v>
      </c>
      <c r="AK2152">
        <v>40.979204539136703</v>
      </c>
      <c r="AL2152">
        <v>90.091058153579397</v>
      </c>
      <c r="AM2152">
        <v>87.325832938685096</v>
      </c>
      <c r="AN2152">
        <v>1.0000000492491601</v>
      </c>
    </row>
    <row r="2153" spans="1:40" x14ac:dyDescent="0.25">
      <c r="A2153" t="str">
        <f>"20190312160959549"</f>
        <v>20190312160959549</v>
      </c>
      <c r="B2153" t="str">
        <f>"1552378199538037"</f>
        <v>1552378199538037</v>
      </c>
      <c r="C2153" t="s">
        <v>40</v>
      </c>
      <c r="D2153">
        <v>5.0469600000000003</v>
      </c>
      <c r="E2153">
        <v>0.39061370000000001</v>
      </c>
      <c r="F2153" t="s">
        <v>59</v>
      </c>
      <c r="G2153">
        <v>-486.52379999999999</v>
      </c>
      <c r="H2153" s="1">
        <v>2.2608890000000001E-6</v>
      </c>
      <c r="I2153">
        <v>277.7353</v>
      </c>
      <c r="J2153">
        <v>-449.83949999999999</v>
      </c>
      <c r="K2153">
        <v>1.110123</v>
      </c>
      <c r="L2153">
        <v>285.83530000000002</v>
      </c>
      <c r="M2153">
        <v>-0.99966310000000003</v>
      </c>
      <c r="N2153">
        <v>0</v>
      </c>
      <c r="O2153">
        <v>2.1626380000000001E-2</v>
      </c>
      <c r="P2153">
        <v>-0.99762470000000003</v>
      </c>
      <c r="Q2153">
        <v>-1.5793890000000001E-2</v>
      </c>
      <c r="R2153">
        <v>6.7047670000000004E-2</v>
      </c>
      <c r="S2153">
        <v>-3.0516049999999999</v>
      </c>
      <c r="T2153">
        <v>-9.1549160000000004E-2</v>
      </c>
      <c r="U2153">
        <v>-0.6674194</v>
      </c>
      <c r="V2153">
        <v>4.5454609999999999E-2</v>
      </c>
      <c r="W2153">
        <v>-1.454044E-3</v>
      </c>
      <c r="X2153">
        <v>0.99896529999999994</v>
      </c>
      <c r="Y2153">
        <v>-0.23462949999999999</v>
      </c>
      <c r="Z2153">
        <v>-4.1190999999999997E-3</v>
      </c>
      <c r="AA2153">
        <v>0.9720761</v>
      </c>
      <c r="AB2153">
        <v>30</v>
      </c>
      <c r="AC2153">
        <v>-36.6843</v>
      </c>
      <c r="AD2153">
        <v>-1.110120739111</v>
      </c>
      <c r="AE2153">
        <v>-8.1000000000000192</v>
      </c>
      <c r="AF2153">
        <v>-8.8837783520551294</v>
      </c>
      <c r="AG2153">
        <v>-1.110120739111</v>
      </c>
      <c r="AH2153">
        <v>36.468682963235203</v>
      </c>
      <c r="AI2153">
        <v>91.694058048215396</v>
      </c>
      <c r="AJ2153">
        <v>103.690615001385</v>
      </c>
      <c r="AK2153">
        <v>37.551547543833799</v>
      </c>
      <c r="AL2153">
        <v>90.083310617680993</v>
      </c>
      <c r="AM2153">
        <v>87.394742154971297</v>
      </c>
      <c r="AN2153">
        <v>0.99999995320914603</v>
      </c>
    </row>
    <row r="2154" spans="1:40" x14ac:dyDescent="0.25">
      <c r="A2154" t="str">
        <f>"20190312160959571"</f>
        <v>20190312160959571</v>
      </c>
      <c r="B2154" t="str">
        <f>"1552378199568293"</f>
        <v>1552378199568293</v>
      </c>
      <c r="C2154" t="s">
        <v>40</v>
      </c>
      <c r="D2154">
        <v>5.0592680000000003</v>
      </c>
      <c r="E2154">
        <v>0.39009860000000002</v>
      </c>
      <c r="F2154" t="s">
        <v>59</v>
      </c>
      <c r="G2154">
        <v>-486.51830000000001</v>
      </c>
      <c r="H2154" s="1">
        <v>2.2732199999999998E-6</v>
      </c>
      <c r="I2154">
        <v>277.77289999999999</v>
      </c>
      <c r="J2154">
        <v>-450.14370000000002</v>
      </c>
      <c r="K2154">
        <v>1.1101209999999999</v>
      </c>
      <c r="L2154">
        <v>285.84179999999998</v>
      </c>
      <c r="M2154">
        <v>-0.99966319999999997</v>
      </c>
      <c r="N2154">
        <v>0</v>
      </c>
      <c r="O2154">
        <v>2.1626380000000001E-2</v>
      </c>
      <c r="P2154">
        <v>-0.99765970000000004</v>
      </c>
      <c r="Q2154">
        <v>-1.6247919999999999E-2</v>
      </c>
      <c r="R2154">
        <v>6.6419339999999993E-2</v>
      </c>
      <c r="S2154">
        <v>-3.0507810000000002</v>
      </c>
      <c r="T2154">
        <v>-9.2334990000000006E-2</v>
      </c>
      <c r="U2154">
        <v>-0.67059329999999995</v>
      </c>
      <c r="V2154">
        <v>4.4825839999999999E-2</v>
      </c>
      <c r="W2154">
        <v>-1.90844E-3</v>
      </c>
      <c r="X2154">
        <v>0.99899300000000002</v>
      </c>
      <c r="Y2154">
        <v>-0.23564669999999999</v>
      </c>
      <c r="Z2154">
        <v>-4.1702889999999998E-3</v>
      </c>
      <c r="AA2154">
        <v>0.97182979999999997</v>
      </c>
      <c r="AB2154">
        <v>30</v>
      </c>
      <c r="AC2154">
        <v>-36.374600000000001</v>
      </c>
      <c r="AD2154">
        <v>-1.1101187267799999</v>
      </c>
      <c r="AE2154">
        <v>-8.0688999999999798</v>
      </c>
      <c r="AF2154">
        <v>-8.8458915879651006</v>
      </c>
      <c r="AG2154">
        <v>-1.1101187267799999</v>
      </c>
      <c r="AH2154">
        <v>36.159472138672498</v>
      </c>
      <c r="AI2154">
        <v>91.708125574074799</v>
      </c>
      <c r="AJ2154">
        <v>103.74659886742501</v>
      </c>
      <c r="AK2154">
        <v>37.242309097597698</v>
      </c>
      <c r="AL2154">
        <v>90.109345623166504</v>
      </c>
      <c r="AM2154">
        <v>87.430802994627996</v>
      </c>
      <c r="AN2154">
        <v>1.00000000606196</v>
      </c>
    </row>
    <row r="2155" spans="1:40" x14ac:dyDescent="0.25">
      <c r="A2155" t="str">
        <f>"20190312160959592"</f>
        <v>20190312160959592</v>
      </c>
      <c r="B2155" t="str">
        <f>"1552378199587812"</f>
        <v>1552378199587812</v>
      </c>
      <c r="C2155" t="s">
        <v>40</v>
      </c>
      <c r="D2155">
        <v>5.0642690000000004</v>
      </c>
      <c r="E2155">
        <v>0.38957960000000003</v>
      </c>
      <c r="F2155" t="s">
        <v>59</v>
      </c>
      <c r="G2155">
        <v>-486.45100000000002</v>
      </c>
      <c r="H2155" s="1">
        <v>2.2671080000000001E-6</v>
      </c>
      <c r="I2155">
        <v>277.7894</v>
      </c>
      <c r="J2155">
        <v>-450.42570000000001</v>
      </c>
      <c r="K2155">
        <v>1.110115</v>
      </c>
      <c r="L2155">
        <v>285.84789999999998</v>
      </c>
      <c r="M2155">
        <v>-0.99966310000000003</v>
      </c>
      <c r="N2155">
        <v>0</v>
      </c>
      <c r="O2155">
        <v>2.1626389999999999E-2</v>
      </c>
      <c r="P2155">
        <v>-0.99765709999999996</v>
      </c>
      <c r="Q2155">
        <v>-1.6709140000000001E-2</v>
      </c>
      <c r="R2155">
        <v>6.6339990000000001E-2</v>
      </c>
      <c r="S2155">
        <v>-3.0505680000000002</v>
      </c>
      <c r="T2155">
        <v>-9.3273159999999994E-2</v>
      </c>
      <c r="U2155">
        <v>-0.67657469999999997</v>
      </c>
      <c r="V2155">
        <v>4.4746300000000003E-2</v>
      </c>
      <c r="W2155">
        <v>-2.3706679999999998E-3</v>
      </c>
      <c r="X2155">
        <v>0.99899550000000004</v>
      </c>
      <c r="Y2155">
        <v>-0.2374744</v>
      </c>
      <c r="Z2155">
        <v>-4.2396559999999996E-3</v>
      </c>
      <c r="AA2155">
        <v>0.97138449999999998</v>
      </c>
      <c r="AB2155">
        <v>30</v>
      </c>
      <c r="AC2155">
        <v>-36.025299999999902</v>
      </c>
      <c r="AD2155">
        <v>-1.110112732892</v>
      </c>
      <c r="AE2155">
        <v>-8.0584999999999791</v>
      </c>
      <c r="AF2155">
        <v>-8.8278093297858096</v>
      </c>
      <c r="AG2155">
        <v>-1.110112732892</v>
      </c>
      <c r="AH2155">
        <v>35.810195244473803</v>
      </c>
      <c r="AI2155">
        <v>91.724015724151997</v>
      </c>
      <c r="AJ2155">
        <v>103.848248822702</v>
      </c>
      <c r="AK2155">
        <v>36.898951899615199</v>
      </c>
      <c r="AL2155">
        <v>90.1358294077327</v>
      </c>
      <c r="AM2155">
        <v>87.435362153960796</v>
      </c>
      <c r="AN2155">
        <v>0.99999993022535005</v>
      </c>
    </row>
    <row r="2156" spans="1:40" x14ac:dyDescent="0.25">
      <c r="A2156" t="str">
        <f>"20190312160959614"</f>
        <v>20190312160959614</v>
      </c>
      <c r="B2156" t="str">
        <f>"1552378199608309"</f>
        <v>1552378199608309</v>
      </c>
      <c r="C2156" t="s">
        <v>40</v>
      </c>
      <c r="D2156">
        <v>5.0957229999999996</v>
      </c>
      <c r="E2156">
        <v>0.38913979999999998</v>
      </c>
      <c r="F2156" t="s">
        <v>59</v>
      </c>
      <c r="G2156">
        <v>-485.91919999999999</v>
      </c>
      <c r="H2156" s="1">
        <v>2.220671E-6</v>
      </c>
      <c r="I2156">
        <v>277.92489999999998</v>
      </c>
      <c r="J2156">
        <v>-450.73140000000001</v>
      </c>
      <c r="K2156">
        <v>1.1101190000000001</v>
      </c>
      <c r="L2156">
        <v>285.8546</v>
      </c>
      <c r="M2156">
        <v>-0.99966290000000002</v>
      </c>
      <c r="N2156">
        <v>0</v>
      </c>
      <c r="O2156">
        <v>2.162619E-2</v>
      </c>
      <c r="P2156">
        <v>-0.99769549999999996</v>
      </c>
      <c r="Q2156">
        <v>-1.6396190000000001E-2</v>
      </c>
      <c r="R2156">
        <v>6.5839159999999994E-2</v>
      </c>
      <c r="S2156">
        <v>-3.0507200000000001</v>
      </c>
      <c r="T2156">
        <v>-9.5416070000000006E-2</v>
      </c>
      <c r="U2156">
        <v>-0.68099980000000004</v>
      </c>
      <c r="V2156">
        <v>4.4245159999999999E-2</v>
      </c>
      <c r="W2156">
        <v>-2.054508E-3</v>
      </c>
      <c r="X2156">
        <v>0.99901859999999998</v>
      </c>
      <c r="Y2156">
        <v>-0.23880029999999999</v>
      </c>
      <c r="Z2156">
        <v>-4.3566020000000002E-3</v>
      </c>
      <c r="AA2156">
        <v>0.97105889999999995</v>
      </c>
      <c r="AB2156">
        <v>30</v>
      </c>
      <c r="AC2156">
        <v>-35.187799999999903</v>
      </c>
      <c r="AD2156">
        <v>-1.1101167793289901</v>
      </c>
      <c r="AE2156">
        <v>-7.92970000000002</v>
      </c>
      <c r="AF2156">
        <v>-8.68067936387712</v>
      </c>
      <c r="AG2156">
        <v>-1.1101167793289901</v>
      </c>
      <c r="AH2156">
        <v>34.974933818685599</v>
      </c>
      <c r="AI2156">
        <v>91.764477986246206</v>
      </c>
      <c r="AJ2156">
        <v>103.938983547841</v>
      </c>
      <c r="AK2156">
        <v>36.0531905537309</v>
      </c>
      <c r="AL2156">
        <v>90.117714719109301</v>
      </c>
      <c r="AM2156">
        <v>87.464105886054597</v>
      </c>
      <c r="AN2156">
        <v>1.00000000916625</v>
      </c>
    </row>
    <row r="2157" spans="1:40" x14ac:dyDescent="0.25">
      <c r="A2157" t="str">
        <f>"20190312160959637"</f>
        <v>20190312160959637</v>
      </c>
      <c r="B2157" t="str">
        <f>"1552378199628335"</f>
        <v>1552378199628335</v>
      </c>
      <c r="C2157" t="s">
        <v>40</v>
      </c>
      <c r="D2157">
        <v>5.1001130000000003</v>
      </c>
      <c r="E2157">
        <v>0.3888549</v>
      </c>
      <c r="F2157" t="s">
        <v>59</v>
      </c>
      <c r="G2157">
        <v>-486.14019999999999</v>
      </c>
      <c r="H2157" s="1">
        <v>2.2488730000000001E-6</v>
      </c>
      <c r="I2157">
        <v>277.89370000000002</v>
      </c>
      <c r="J2157">
        <v>-451.0324</v>
      </c>
      <c r="K2157">
        <v>1.110123</v>
      </c>
      <c r="L2157">
        <v>285.86110000000002</v>
      </c>
      <c r="M2157">
        <v>-0.99966299999999997</v>
      </c>
      <c r="N2157">
        <v>0</v>
      </c>
      <c r="O2157">
        <v>2.162611E-2</v>
      </c>
      <c r="P2157">
        <v>-0.99771790000000005</v>
      </c>
      <c r="Q2157">
        <v>-1.6318369999999999E-2</v>
      </c>
      <c r="R2157">
        <v>6.5522280000000002E-2</v>
      </c>
      <c r="S2157">
        <v>-3.0505979999999999</v>
      </c>
      <c r="T2157">
        <v>-9.5640539999999996E-2</v>
      </c>
      <c r="U2157">
        <v>-0.68585209999999996</v>
      </c>
      <c r="V2157">
        <v>4.3927969999999997E-2</v>
      </c>
      <c r="W2157">
        <v>-1.9650739999999998E-3</v>
      </c>
      <c r="X2157">
        <v>0.99903280000000005</v>
      </c>
      <c r="Y2157">
        <v>-0.24027780000000001</v>
      </c>
      <c r="Z2157">
        <v>-4.3891370000000004E-3</v>
      </c>
      <c r="AA2157">
        <v>0.97069419999999995</v>
      </c>
      <c r="AB2157">
        <v>30</v>
      </c>
      <c r="AC2157">
        <v>-35.107799999999997</v>
      </c>
      <c r="AD2157">
        <v>-1.1101207511269999</v>
      </c>
      <c r="AE2157">
        <v>-7.9673999999999898</v>
      </c>
      <c r="AF2157">
        <v>-8.7165713388215007</v>
      </c>
      <c r="AG2157">
        <v>-1.1101207511269999</v>
      </c>
      <c r="AH2157">
        <v>34.894086068558302</v>
      </c>
      <c r="AI2157">
        <v>91.767905488893007</v>
      </c>
      <c r="AJ2157">
        <v>104.02550213539</v>
      </c>
      <c r="AK2157">
        <v>35.983443783868204</v>
      </c>
      <c r="AL2157">
        <v>90.112590515515606</v>
      </c>
      <c r="AM2157">
        <v>87.482297769684195</v>
      </c>
      <c r="AN2157">
        <v>1.00000003176999</v>
      </c>
    </row>
    <row r="2158" spans="1:40" x14ac:dyDescent="0.25">
      <c r="A2158" t="str">
        <f>"20190312160959658"</f>
        <v>20190312160959658</v>
      </c>
      <c r="B2158" t="str">
        <f>"1552378199647855"</f>
        <v>1552378199647855</v>
      </c>
      <c r="C2158" t="s">
        <v>40</v>
      </c>
      <c r="D2158">
        <v>5.0731159999999997</v>
      </c>
      <c r="E2158">
        <v>0.38847510000000002</v>
      </c>
      <c r="F2158" t="s">
        <v>59</v>
      </c>
      <c r="G2158">
        <v>-486.0625</v>
      </c>
      <c r="H2158" s="1">
        <v>2.2533519999999998E-6</v>
      </c>
      <c r="I2158">
        <v>277.94540000000001</v>
      </c>
      <c r="J2158">
        <v>-451.3263</v>
      </c>
      <c r="K2158">
        <v>1.1101240000000001</v>
      </c>
      <c r="L2158">
        <v>285.86739999999998</v>
      </c>
      <c r="M2158">
        <v>-0.99966270000000002</v>
      </c>
      <c r="N2158">
        <v>0</v>
      </c>
      <c r="O2158">
        <v>2.1626309999999999E-2</v>
      </c>
      <c r="P2158">
        <v>-0.99770859999999995</v>
      </c>
      <c r="Q2158">
        <v>-1.6722540000000001E-2</v>
      </c>
      <c r="R2158">
        <v>6.5558370000000005E-2</v>
      </c>
      <c r="S2158">
        <v>-3.0505680000000002</v>
      </c>
      <c r="T2158">
        <v>-9.6673969999999998E-2</v>
      </c>
      <c r="U2158">
        <v>-0.68933109999999997</v>
      </c>
      <c r="V2158">
        <v>4.3963740000000001E-2</v>
      </c>
      <c r="W2158">
        <v>-2.3483929999999998E-3</v>
      </c>
      <c r="X2158">
        <v>0.99903039999999999</v>
      </c>
      <c r="Y2158">
        <v>-0.2413303</v>
      </c>
      <c r="Z2158">
        <v>-4.4525090000000003E-3</v>
      </c>
      <c r="AA2158">
        <v>0.97043279999999998</v>
      </c>
      <c r="AB2158">
        <v>30</v>
      </c>
      <c r="AC2158">
        <v>-34.736199999999997</v>
      </c>
      <c r="AD2158">
        <v>-1.11012174664799</v>
      </c>
      <c r="AE2158">
        <v>-7.9219999999999597</v>
      </c>
      <c r="AF2158">
        <v>-8.6630297899730309</v>
      </c>
      <c r="AG2158">
        <v>-1.11012174664799</v>
      </c>
      <c r="AH2158">
        <v>34.523215861840796</v>
      </c>
      <c r="AI2158">
        <v>91.786410348623704</v>
      </c>
      <c r="AJ2158">
        <v>104.08656930412501</v>
      </c>
      <c r="AK2158">
        <v>35.610853526384297</v>
      </c>
      <c r="AL2158">
        <v>90.134553126806594</v>
      </c>
      <c r="AM2158">
        <v>87.480244231873598</v>
      </c>
      <c r="AN2158">
        <v>1.0000000327543099</v>
      </c>
    </row>
    <row r="2159" spans="1:40" x14ac:dyDescent="0.25">
      <c r="A2159" t="str">
        <f>"20190312160959681"</f>
        <v>20190312160959681</v>
      </c>
      <c r="B2159" t="str">
        <f>"1552378199678111"</f>
        <v>1552378199678111</v>
      </c>
      <c r="C2159" t="s">
        <v>40</v>
      </c>
      <c r="D2159">
        <v>5.0866989999999896</v>
      </c>
      <c r="E2159">
        <v>0.38795439999999998</v>
      </c>
      <c r="F2159" t="s">
        <v>59</v>
      </c>
      <c r="G2159">
        <v>-486.13080000000002</v>
      </c>
      <c r="H2159" s="1">
        <v>2.2745570000000001E-6</v>
      </c>
      <c r="I2159">
        <v>277.97109999999998</v>
      </c>
      <c r="J2159">
        <v>-451.63189999999997</v>
      </c>
      <c r="K2159">
        <v>1.1101369999999999</v>
      </c>
      <c r="L2159">
        <v>285.87400000000002</v>
      </c>
      <c r="M2159">
        <v>-0.99966219999999995</v>
      </c>
      <c r="N2159">
        <v>0</v>
      </c>
      <c r="O2159">
        <v>2.16264E-2</v>
      </c>
      <c r="P2159">
        <v>-0.99769430000000003</v>
      </c>
      <c r="Q2159">
        <v>-1.6826600000000001E-2</v>
      </c>
      <c r="R2159">
        <v>6.5751699999999996E-2</v>
      </c>
      <c r="S2159">
        <v>-3.050751</v>
      </c>
      <c r="T2159">
        <v>-9.7306370000000003E-2</v>
      </c>
      <c r="U2159">
        <v>-0.6921387</v>
      </c>
      <c r="V2159">
        <v>4.4157589999999997E-2</v>
      </c>
      <c r="W2159">
        <v>-2.4152409999999998E-3</v>
      </c>
      <c r="X2159">
        <v>0.99902159999999995</v>
      </c>
      <c r="Y2159">
        <v>-0.2421653</v>
      </c>
      <c r="Z2159">
        <v>-4.4940609999999997E-3</v>
      </c>
      <c r="AA2159">
        <v>0.97022459999999999</v>
      </c>
      <c r="AB2159">
        <v>30</v>
      </c>
      <c r="AC2159">
        <v>-34.498899999999999</v>
      </c>
      <c r="AD2159">
        <v>-1.1101347254430001</v>
      </c>
      <c r="AE2159">
        <v>-7.9029000000000398</v>
      </c>
      <c r="AF2159">
        <v>-8.6387166421252495</v>
      </c>
      <c r="AG2159">
        <v>-1.1101347254430001</v>
      </c>
      <c r="AH2159">
        <v>34.286168332129201</v>
      </c>
      <c r="AI2159">
        <v>91.798338127471297</v>
      </c>
      <c r="AJ2159">
        <v>104.14184711369499</v>
      </c>
      <c r="AK2159">
        <v>35.375148949943203</v>
      </c>
      <c r="AL2159">
        <v>90.138383258414706</v>
      </c>
      <c r="AM2159">
        <v>87.469125984071496</v>
      </c>
      <c r="AN2159">
        <v>0.99999994170512596</v>
      </c>
    </row>
    <row r="2160" spans="1:40" x14ac:dyDescent="0.25">
      <c r="A2160" t="str">
        <f>"20190312160959704"</f>
        <v>20190312160959704</v>
      </c>
      <c r="B2160" t="str">
        <f>"1552378199697631"</f>
        <v>1552378199697631</v>
      </c>
      <c r="C2160" t="s">
        <v>40</v>
      </c>
      <c r="D2160">
        <v>5.1090210000000003</v>
      </c>
      <c r="E2160">
        <v>0.3876097</v>
      </c>
      <c r="F2160" t="s">
        <v>59</v>
      </c>
      <c r="G2160">
        <v>-485.73379999999997</v>
      </c>
      <c r="H2160" s="1">
        <v>2.2488010000000002E-6</v>
      </c>
      <c r="I2160">
        <v>278.09739999999999</v>
      </c>
      <c r="J2160">
        <v>-451.93759999999997</v>
      </c>
      <c r="K2160">
        <v>1.11015</v>
      </c>
      <c r="L2160">
        <v>285.88060000000002</v>
      </c>
      <c r="M2160">
        <v>-0.99966129999999997</v>
      </c>
      <c r="N2160">
        <v>0</v>
      </c>
      <c r="O2160">
        <v>2.1626280000000001E-2</v>
      </c>
      <c r="P2160">
        <v>-0.99772720000000004</v>
      </c>
      <c r="Q2160">
        <v>-1.6805319999999999E-2</v>
      </c>
      <c r="R2160">
        <v>6.5255549999999996E-2</v>
      </c>
      <c r="S2160">
        <v>-3.0511170000000001</v>
      </c>
      <c r="T2160">
        <v>-9.9324229999999999E-2</v>
      </c>
      <c r="U2160">
        <v>-0.69577029999999995</v>
      </c>
      <c r="V2160">
        <v>4.3660829999999998E-2</v>
      </c>
      <c r="W2160">
        <v>-2.3366149999999998E-3</v>
      </c>
      <c r="X2160">
        <v>0.99904369999999998</v>
      </c>
      <c r="Y2160">
        <v>-0.24323210000000001</v>
      </c>
      <c r="Z2160">
        <v>-4.6032119999999998E-3</v>
      </c>
      <c r="AA2160">
        <v>0.96995719999999996</v>
      </c>
      <c r="AB2160">
        <v>30</v>
      </c>
      <c r="AC2160">
        <v>-33.796199999999999</v>
      </c>
      <c r="AD2160">
        <v>-1.1101477511990001</v>
      </c>
      <c r="AE2160">
        <v>-7.7832000000000203</v>
      </c>
      <c r="AF2160">
        <v>-8.5036286341584404</v>
      </c>
      <c r="AG2160">
        <v>-1.1101477511990001</v>
      </c>
      <c r="AH2160">
        <v>33.585540995842997</v>
      </c>
      <c r="AI2160">
        <v>91.835311946571593</v>
      </c>
      <c r="AJ2160">
        <v>104.208305235198</v>
      </c>
      <c r="AK2160">
        <v>34.663131594831803</v>
      </c>
      <c r="AL2160">
        <v>90.133878296836002</v>
      </c>
      <c r="AM2160">
        <v>87.497616465103206</v>
      </c>
      <c r="AN2160">
        <v>1.00000002117781</v>
      </c>
    </row>
    <row r="2161" spans="1:40" x14ac:dyDescent="0.25">
      <c r="A2161" t="str">
        <f>"20190312160959727"</f>
        <v>20190312160959727</v>
      </c>
      <c r="B2161" t="str">
        <f>"1552378199718127"</f>
        <v>1552378199718127</v>
      </c>
      <c r="C2161" t="s">
        <v>40</v>
      </c>
      <c r="D2161">
        <v>5.1290809999999896</v>
      </c>
      <c r="E2161">
        <v>0.38729449999999999</v>
      </c>
      <c r="F2161" t="s">
        <v>59</v>
      </c>
      <c r="G2161">
        <v>-485.56599999999997</v>
      </c>
      <c r="H2161" s="1">
        <v>2.242144E-6</v>
      </c>
      <c r="I2161">
        <v>278.1628</v>
      </c>
      <c r="J2161">
        <v>-452.25220000000002</v>
      </c>
      <c r="K2161">
        <v>1.1101719999999999</v>
      </c>
      <c r="L2161">
        <v>285.88740000000001</v>
      </c>
      <c r="M2161">
        <v>-0.99966029999999995</v>
      </c>
      <c r="N2161">
        <v>0</v>
      </c>
      <c r="O2161">
        <v>2.1626300000000001E-2</v>
      </c>
      <c r="P2161">
        <v>-0.99773540000000005</v>
      </c>
      <c r="Q2161">
        <v>-1.6736109999999998E-2</v>
      </c>
      <c r="R2161">
        <v>6.5145590000000003E-2</v>
      </c>
      <c r="S2161">
        <v>-3.0509339999999998</v>
      </c>
      <c r="T2161">
        <v>-0.100718</v>
      </c>
      <c r="U2161">
        <v>-0.70019529999999996</v>
      </c>
      <c r="V2161">
        <v>4.3550650000000003E-2</v>
      </c>
      <c r="W2161">
        <v>-2.198078E-3</v>
      </c>
      <c r="X2161">
        <v>0.99904879999999996</v>
      </c>
      <c r="Y2161">
        <v>-0.24457699999999999</v>
      </c>
      <c r="Z2161">
        <v>-4.6892160000000004E-3</v>
      </c>
      <c r="AA2161">
        <v>0.9696186</v>
      </c>
      <c r="AB2161">
        <v>30</v>
      </c>
      <c r="AC2161">
        <v>-33.313799999999901</v>
      </c>
      <c r="AD2161">
        <v>-1.1101697578559999</v>
      </c>
      <c r="AE2161">
        <v>-7.7245999999999997</v>
      </c>
      <c r="AF2161">
        <v>-8.4344346996448998</v>
      </c>
      <c r="AG2161">
        <v>-1.1101697578559999</v>
      </c>
      <c r="AH2161">
        <v>33.104047550908803</v>
      </c>
      <c r="AI2161">
        <v>91.861317657358896</v>
      </c>
      <c r="AJ2161">
        <v>104.294017184312</v>
      </c>
      <c r="AK2161">
        <v>34.179674220897198</v>
      </c>
      <c r="AL2161">
        <v>90.125940694142301</v>
      </c>
      <c r="AM2161">
        <v>87.503936067588896</v>
      </c>
      <c r="AN2161">
        <v>0.99999999772187798</v>
      </c>
    </row>
    <row r="2162" spans="1:40" x14ac:dyDescent="0.25">
      <c r="A2162" t="str">
        <f>"20190312160959750"</f>
        <v>20190312160959750</v>
      </c>
      <c r="B2162" t="str">
        <f>"1552378199738154"</f>
        <v>1552378199738154</v>
      </c>
      <c r="C2162" t="s">
        <v>40</v>
      </c>
      <c r="D2162">
        <v>5.1154320000000002</v>
      </c>
      <c r="E2162">
        <v>0.38199270000000002</v>
      </c>
      <c r="F2162" t="s">
        <v>59</v>
      </c>
      <c r="G2162">
        <v>-485.75450000000001</v>
      </c>
      <c r="H2162" s="1">
        <v>2.277322E-6</v>
      </c>
      <c r="I2162">
        <v>278.1678</v>
      </c>
      <c r="J2162">
        <v>-452.55470000000003</v>
      </c>
      <c r="K2162">
        <v>1.1101810000000001</v>
      </c>
      <c r="L2162">
        <v>285.89400000000001</v>
      </c>
      <c r="M2162">
        <v>-0.99965919999999997</v>
      </c>
      <c r="N2162">
        <v>0</v>
      </c>
      <c r="O2162">
        <v>2.1626280000000001E-2</v>
      </c>
      <c r="P2162">
        <v>-0.99775159999999996</v>
      </c>
      <c r="Q2162">
        <v>-1.68477E-2</v>
      </c>
      <c r="R2162">
        <v>6.4868629999999997E-2</v>
      </c>
      <c r="S2162">
        <v>-3.0510860000000002</v>
      </c>
      <c r="T2162">
        <v>-0.10110429999999999</v>
      </c>
      <c r="U2162">
        <v>-0.70303340000000003</v>
      </c>
      <c r="V2162">
        <v>4.327342E-2</v>
      </c>
      <c r="W2162">
        <v>-2.2434619999999999E-3</v>
      </c>
      <c r="X2162">
        <v>0.99906079999999997</v>
      </c>
      <c r="Y2162">
        <v>-0.24542149999999999</v>
      </c>
      <c r="Z2162">
        <v>-4.7202850000000003E-3</v>
      </c>
      <c r="AA2162">
        <v>0.96940499999999996</v>
      </c>
      <c r="AB2162">
        <v>30</v>
      </c>
      <c r="AC2162">
        <v>-33.199799999999897</v>
      </c>
      <c r="AD2162">
        <v>-1.11017872267799</v>
      </c>
      <c r="AE2162">
        <v>-7.7262000000000004</v>
      </c>
      <c r="AF2162">
        <v>-8.4335118081511808</v>
      </c>
      <c r="AG2162">
        <v>-1.11017872267799</v>
      </c>
      <c r="AH2162">
        <v>32.989933131306501</v>
      </c>
      <c r="AI2162">
        <v>91.867385014290406</v>
      </c>
      <c r="AJ2162">
        <v>104.339920460759</v>
      </c>
      <c r="AK2162">
        <v>34.0689346211852</v>
      </c>
      <c r="AL2162">
        <v>90.128541005234794</v>
      </c>
      <c r="AM2162">
        <v>87.519835088632206</v>
      </c>
      <c r="AN2162">
        <v>1.00000005204843</v>
      </c>
    </row>
    <row r="2163" spans="1:40" x14ac:dyDescent="0.25">
      <c r="A2163" t="str">
        <f>"20190312160959773"</f>
        <v>20190312160959773</v>
      </c>
      <c r="B2163" t="str">
        <f>"1552378199768411"</f>
        <v>1552378199768411</v>
      </c>
      <c r="C2163" t="s">
        <v>40</v>
      </c>
      <c r="D2163">
        <v>5.1205239999999996</v>
      </c>
      <c r="E2163">
        <v>0.38170660000000001</v>
      </c>
      <c r="F2163" t="s">
        <v>59</v>
      </c>
      <c r="G2163">
        <v>-489.1773</v>
      </c>
      <c r="H2163" s="1">
        <v>2.453932E-6</v>
      </c>
      <c r="I2163">
        <v>276.94979999999998</v>
      </c>
      <c r="J2163">
        <v>-452.85829999999999</v>
      </c>
      <c r="K2163">
        <v>1.110193</v>
      </c>
      <c r="L2163">
        <v>285.90050000000002</v>
      </c>
      <c r="M2163">
        <v>-0.9996583</v>
      </c>
      <c r="N2163">
        <v>0</v>
      </c>
      <c r="O2163">
        <v>2.1626119999999999E-2</v>
      </c>
      <c r="P2163">
        <v>-0.99776390000000004</v>
      </c>
      <c r="Q2163">
        <v>-1.6784159999999999E-2</v>
      </c>
      <c r="R2163">
        <v>6.4696550000000005E-2</v>
      </c>
      <c r="S2163">
        <v>-3.0537109999999998</v>
      </c>
      <c r="T2163">
        <v>-9.2570299999999994E-2</v>
      </c>
      <c r="U2163">
        <v>-0.74578859999999902</v>
      </c>
      <c r="V2163">
        <v>4.3101229999999997E-2</v>
      </c>
      <c r="W2163">
        <v>-2.1099970000000002E-3</v>
      </c>
      <c r="X2163">
        <v>0.99906850000000003</v>
      </c>
      <c r="Y2163">
        <v>-0.2580848</v>
      </c>
      <c r="Z2163">
        <v>-4.5006869999999997E-3</v>
      </c>
      <c r="AA2163">
        <v>0.96611179999999997</v>
      </c>
      <c r="AB2163">
        <v>30</v>
      </c>
      <c r="AC2163">
        <v>-36.319000000000003</v>
      </c>
      <c r="AD2163">
        <v>-1.1101905460679999</v>
      </c>
      <c r="AE2163">
        <v>-8.9507000000000296</v>
      </c>
      <c r="AF2163">
        <v>-9.7255628481130199</v>
      </c>
      <c r="AG2163">
        <v>-1.1101905460679999</v>
      </c>
      <c r="AH2163">
        <v>36.085127490391102</v>
      </c>
      <c r="AI2163">
        <v>91.701521016231396</v>
      </c>
      <c r="AJ2163">
        <v>105.08378963882301</v>
      </c>
      <c r="AK2163">
        <v>37.3892433964497</v>
      </c>
      <c r="AL2163">
        <v>90.120894010425999</v>
      </c>
      <c r="AM2163">
        <v>87.529710720438104</v>
      </c>
      <c r="AN2163">
        <v>1.00000001790355</v>
      </c>
    </row>
    <row r="2164" spans="1:40" x14ac:dyDescent="0.25">
      <c r="A2164" t="str">
        <f>"20190312160959794"</f>
        <v>20190312160959794</v>
      </c>
      <c r="B2164" t="str">
        <f>"1552378199787930"</f>
        <v>1552378199787930</v>
      </c>
      <c r="C2164" t="s">
        <v>40</v>
      </c>
      <c r="D2164">
        <v>5.0735669999999997</v>
      </c>
      <c r="E2164">
        <v>0.38149290000000002</v>
      </c>
      <c r="F2164" t="s">
        <v>59</v>
      </c>
      <c r="G2164">
        <v>-487.97309999999999</v>
      </c>
      <c r="H2164" s="1">
        <v>2.3610119999999998E-6</v>
      </c>
      <c r="I2164">
        <v>277.2912</v>
      </c>
      <c r="J2164">
        <v>-453.14589999999998</v>
      </c>
      <c r="K2164">
        <v>1.110209</v>
      </c>
      <c r="L2164">
        <v>285.9067</v>
      </c>
      <c r="M2164">
        <v>-0.99965700000000002</v>
      </c>
      <c r="N2164">
        <v>0</v>
      </c>
      <c r="O2164">
        <v>2.162615E-2</v>
      </c>
      <c r="P2164">
        <v>-0.99780959999999996</v>
      </c>
      <c r="Q2164">
        <v>-1.6254810000000001E-2</v>
      </c>
      <c r="R2164">
        <v>6.4126420000000003E-2</v>
      </c>
      <c r="S2164">
        <v>-3.0536799999999999</v>
      </c>
      <c r="T2164">
        <v>-9.6545099999999995E-2</v>
      </c>
      <c r="U2164">
        <v>-0.74868769999999996</v>
      </c>
      <c r="V2164">
        <v>4.2530430000000001E-2</v>
      </c>
      <c r="W2164">
        <v>-1.496804E-3</v>
      </c>
      <c r="X2164">
        <v>0.99909409999999998</v>
      </c>
      <c r="Y2164">
        <v>-0.25894129999999999</v>
      </c>
      <c r="Z2164">
        <v>-4.7067130000000004E-3</v>
      </c>
      <c r="AA2164">
        <v>0.96588160000000001</v>
      </c>
      <c r="AB2164">
        <v>30</v>
      </c>
      <c r="AC2164">
        <v>-34.827199999999998</v>
      </c>
      <c r="AD2164">
        <v>-1.1102066389880001</v>
      </c>
      <c r="AE2164">
        <v>-8.6154999999999902</v>
      </c>
      <c r="AF2164">
        <v>-9.3577842419377806</v>
      </c>
      <c r="AG2164">
        <v>-1.1102066389880001</v>
      </c>
      <c r="AH2164">
        <v>34.599580819898897</v>
      </c>
      <c r="AI2164">
        <v>91.774135996369793</v>
      </c>
      <c r="AJ2164">
        <v>105.134109156946</v>
      </c>
      <c r="AK2164">
        <v>35.859889537094602</v>
      </c>
      <c r="AL2164">
        <v>90.0857605797556</v>
      </c>
      <c r="AM2164">
        <v>87.562448016011501</v>
      </c>
      <c r="AN2164">
        <v>1.0000000492765</v>
      </c>
    </row>
    <row r="2165" spans="1:40" x14ac:dyDescent="0.25">
      <c r="A2165" t="str">
        <f>"20190312160959816"</f>
        <v>20190312160959816</v>
      </c>
      <c r="B2165" t="str">
        <f>"1552378199808427"</f>
        <v>1552378199808427</v>
      </c>
      <c r="C2165" t="s">
        <v>40</v>
      </c>
      <c r="D2165">
        <v>5.0576999999999996</v>
      </c>
      <c r="E2165">
        <v>0.38077569999999999</v>
      </c>
      <c r="F2165" t="s">
        <v>59</v>
      </c>
      <c r="G2165">
        <v>-487.65050000000002</v>
      </c>
      <c r="H2165" s="1">
        <v>2.3450739999999999E-6</v>
      </c>
      <c r="I2165">
        <v>277.40800000000002</v>
      </c>
      <c r="J2165">
        <v>-453.42959999999999</v>
      </c>
      <c r="K2165">
        <v>1.110225</v>
      </c>
      <c r="L2165">
        <v>285.9128</v>
      </c>
      <c r="M2165">
        <v>-0.99965559999999998</v>
      </c>
      <c r="N2165">
        <v>0</v>
      </c>
      <c r="O2165">
        <v>2.1626050000000001E-2</v>
      </c>
      <c r="P2165">
        <v>-0.99778710000000004</v>
      </c>
      <c r="Q2165">
        <v>-1.6367719999999999E-2</v>
      </c>
      <c r="R2165">
        <v>6.4447409999999997E-2</v>
      </c>
      <c r="S2165">
        <v>-3.0532840000000001</v>
      </c>
      <c r="T2165">
        <v>-9.8241330000000002E-2</v>
      </c>
      <c r="U2165">
        <v>-0.75204469999999901</v>
      </c>
      <c r="V2165">
        <v>4.2851809999999997E-2</v>
      </c>
      <c r="W2165">
        <v>-1.5100210000000001E-3</v>
      </c>
      <c r="X2165">
        <v>0.99908030000000003</v>
      </c>
      <c r="Y2165">
        <v>-0.25996639999999999</v>
      </c>
      <c r="Z2165">
        <v>-4.805597E-3</v>
      </c>
      <c r="AA2165">
        <v>0.96560570000000001</v>
      </c>
      <c r="AB2165">
        <v>30</v>
      </c>
      <c r="AC2165">
        <v>-34.2209</v>
      </c>
      <c r="AD2165">
        <v>-1.1102226549259999</v>
      </c>
      <c r="AE2165">
        <v>-8.5047999999999799</v>
      </c>
      <c r="AF2165">
        <v>-9.2338016785945403</v>
      </c>
      <c r="AG2165">
        <v>-1.1102226549259999</v>
      </c>
      <c r="AH2165">
        <v>33.995249646492098</v>
      </c>
      <c r="AI2165">
        <v>91.805151182909896</v>
      </c>
      <c r="AJ2165">
        <v>105.196070997462</v>
      </c>
      <c r="AK2165">
        <v>35.244470294082198</v>
      </c>
      <c r="AL2165">
        <v>90.086517862998093</v>
      </c>
      <c r="AM2165">
        <v>87.544017310308305</v>
      </c>
      <c r="AN2165">
        <v>1.0000000018158901</v>
      </c>
    </row>
    <row r="2166" spans="1:40" x14ac:dyDescent="0.25">
      <c r="A2166" t="str">
        <f>"20190312160959838"</f>
        <v>20190312160959838</v>
      </c>
      <c r="B2166" t="str">
        <f>"1552378199827477"</f>
        <v>1552378199827477</v>
      </c>
      <c r="C2166" t="s">
        <v>40</v>
      </c>
      <c r="D2166">
        <v>5.0325259999999998</v>
      </c>
      <c r="E2166">
        <v>0.38018819999999998</v>
      </c>
      <c r="F2166" t="s">
        <v>59</v>
      </c>
      <c r="G2166">
        <v>-488.99110000000002</v>
      </c>
      <c r="H2166" s="1">
        <v>2.474469E-6</v>
      </c>
      <c r="I2166">
        <v>277.10129999999998</v>
      </c>
      <c r="J2166">
        <v>-453.72449999999998</v>
      </c>
      <c r="K2166">
        <v>1.1102449999999999</v>
      </c>
      <c r="L2166">
        <v>285.91930000000002</v>
      </c>
      <c r="M2166">
        <v>-0.99965380000000004</v>
      </c>
      <c r="N2166">
        <v>0</v>
      </c>
      <c r="O2166">
        <v>2.162598E-2</v>
      </c>
      <c r="P2166">
        <v>-0.99778940000000005</v>
      </c>
      <c r="Q2166">
        <v>-1.635729E-2</v>
      </c>
      <c r="R2166">
        <v>6.4410889999999998E-2</v>
      </c>
      <c r="S2166">
        <v>-3.0539550000000002</v>
      </c>
      <c r="T2166">
        <v>-9.5343830000000004E-2</v>
      </c>
      <c r="U2166">
        <v>-0.75671390000000005</v>
      </c>
      <c r="V2166">
        <v>4.2815180000000001E-2</v>
      </c>
      <c r="W2166">
        <v>-1.38070799999999E-3</v>
      </c>
      <c r="X2166">
        <v>0.99908200000000003</v>
      </c>
      <c r="Y2166">
        <v>-0.26131569999999998</v>
      </c>
      <c r="Z2166">
        <v>-4.6828379999999999E-3</v>
      </c>
      <c r="AA2166">
        <v>0.96524200000000004</v>
      </c>
      <c r="AB2166">
        <v>30</v>
      </c>
      <c r="AC2166">
        <v>-35.266599999999997</v>
      </c>
      <c r="AD2166">
        <v>-1.110242525531</v>
      </c>
      <c r="AE2166">
        <v>-8.8180000000000298</v>
      </c>
      <c r="AF2166">
        <v>-9.5697713910005895</v>
      </c>
      <c r="AG2166">
        <v>-1.110242525531</v>
      </c>
      <c r="AH2166">
        <v>35.034951736094499</v>
      </c>
      <c r="AI2166">
        <v>91.750967938436105</v>
      </c>
      <c r="AJ2166">
        <v>105.27762089418501</v>
      </c>
      <c r="AK2166">
        <v>36.335396049747096</v>
      </c>
      <c r="AL2166">
        <v>90.079108770676498</v>
      </c>
      <c r="AM2166">
        <v>87.546118302895493</v>
      </c>
      <c r="AN2166">
        <v>0.99999994435850503</v>
      </c>
    </row>
    <row r="2167" spans="1:40" x14ac:dyDescent="0.25">
      <c r="A2167" t="str">
        <f>"20190312160959860"</f>
        <v>20190312160959860</v>
      </c>
      <c r="B2167" t="str">
        <f>"1552378199847974"</f>
        <v>1552378199847974</v>
      </c>
      <c r="C2167" t="s">
        <v>40</v>
      </c>
      <c r="D2167">
        <v>5.1244120000000004</v>
      </c>
      <c r="E2167">
        <v>0.38012420000000002</v>
      </c>
      <c r="F2167" t="s">
        <v>59</v>
      </c>
      <c r="G2167">
        <v>-489.48070000000001</v>
      </c>
      <c r="H2167" s="1">
        <v>2.526511E-6</v>
      </c>
      <c r="I2167">
        <v>277.00290000000001</v>
      </c>
      <c r="J2167">
        <v>-454.01609999999999</v>
      </c>
      <c r="K2167">
        <v>1.110274</v>
      </c>
      <c r="L2167">
        <v>285.9255</v>
      </c>
      <c r="M2167">
        <v>-0.99965179999999998</v>
      </c>
      <c r="N2167">
        <v>0</v>
      </c>
      <c r="O2167">
        <v>2.162621E-2</v>
      </c>
      <c r="P2167">
        <v>-0.99777420000000006</v>
      </c>
      <c r="Q2167">
        <v>-1.6190719999999999E-2</v>
      </c>
      <c r="R2167">
        <v>6.4689869999999997E-2</v>
      </c>
      <c r="S2167">
        <v>-3.0542600000000002</v>
      </c>
      <c r="T2167">
        <v>-9.4835639999999999E-2</v>
      </c>
      <c r="U2167">
        <v>-0.76162719999999995</v>
      </c>
      <c r="V2167">
        <v>4.309437E-2</v>
      </c>
      <c r="W2167">
        <v>-1.0898679999999999E-3</v>
      </c>
      <c r="X2167">
        <v>0.99907040000000003</v>
      </c>
      <c r="Y2167">
        <v>-0.2627564</v>
      </c>
      <c r="Z2167">
        <v>-4.6785840000000004E-3</v>
      </c>
      <c r="AA2167">
        <v>0.96485080000000001</v>
      </c>
      <c r="AB2167">
        <v>30</v>
      </c>
      <c r="AC2167">
        <v>-35.464599999999997</v>
      </c>
      <c r="AD2167">
        <v>-1.110271473489</v>
      </c>
      <c r="AE2167">
        <v>-8.9225999999999797</v>
      </c>
      <c r="AF2167">
        <v>-9.6786440324422305</v>
      </c>
      <c r="AG2167">
        <v>-1.110271473489</v>
      </c>
      <c r="AH2167">
        <v>35.230845755811103</v>
      </c>
      <c r="AI2167">
        <v>91.740586718151505</v>
      </c>
      <c r="AJ2167">
        <v>105.361374748046</v>
      </c>
      <c r="AK2167">
        <v>36.552993662918098</v>
      </c>
      <c r="AL2167">
        <v>90.062444849716101</v>
      </c>
      <c r="AM2167">
        <v>87.530108096563794</v>
      </c>
      <c r="AN2167">
        <v>0.99999998834705695</v>
      </c>
    </row>
    <row r="2168" spans="1:40" x14ac:dyDescent="0.25">
      <c r="A2168" t="str">
        <f>"20190312160959883"</f>
        <v>20190312160959883</v>
      </c>
      <c r="B2168" t="str">
        <f>"1552378199878230"</f>
        <v>1552378199878230</v>
      </c>
      <c r="C2168" t="s">
        <v>40</v>
      </c>
      <c r="D2168">
        <v>4.987196</v>
      </c>
      <c r="E2168">
        <v>0.4056554</v>
      </c>
      <c r="F2168" t="s">
        <v>59</v>
      </c>
      <c r="G2168">
        <v>-489.20100000000002</v>
      </c>
      <c r="H2168" s="1">
        <v>2.5308369999999999E-6</v>
      </c>
      <c r="I2168">
        <v>277.15550000000002</v>
      </c>
      <c r="J2168">
        <v>-454.31709999999998</v>
      </c>
      <c r="K2168">
        <v>1.1102959999999999</v>
      </c>
      <c r="L2168">
        <v>285.93200000000002</v>
      </c>
      <c r="M2168">
        <v>-0.99965009999999999</v>
      </c>
      <c r="N2168">
        <v>0</v>
      </c>
      <c r="O2168">
        <v>2.1626070000000001E-2</v>
      </c>
      <c r="P2168">
        <v>-0.99781260000000005</v>
      </c>
      <c r="Q2168">
        <v>-1.558551E-2</v>
      </c>
      <c r="R2168">
        <v>6.4247620000000005E-2</v>
      </c>
      <c r="S2168">
        <v>-3.0545040000000001</v>
      </c>
      <c r="T2168">
        <v>-9.638584E-2</v>
      </c>
      <c r="U2168">
        <v>-0.76135249999999999</v>
      </c>
      <c r="V2168">
        <v>4.2651580000000001E-2</v>
      </c>
      <c r="W2168">
        <v>-3.5886489999999898E-4</v>
      </c>
      <c r="X2168">
        <v>0.99909000000000003</v>
      </c>
      <c r="Y2168">
        <v>-0.26265229999999901</v>
      </c>
      <c r="Z2168">
        <v>-4.7530869999999996E-3</v>
      </c>
      <c r="AA2168">
        <v>0.96487889999999998</v>
      </c>
      <c r="AB2168">
        <v>30</v>
      </c>
      <c r="AC2168">
        <v>-34.883899999999898</v>
      </c>
      <c r="AD2168">
        <v>-1.110293469163</v>
      </c>
      <c r="AE2168">
        <v>-8.7764999999999898</v>
      </c>
      <c r="AF2168">
        <v>-9.5198662693428204</v>
      </c>
      <c r="AG2168">
        <v>-1.110293469163</v>
      </c>
      <c r="AH2168">
        <v>34.652901660183502</v>
      </c>
      <c r="AI2168">
        <v>91.769633162449907</v>
      </c>
      <c r="AJ2168">
        <v>105.36136777872601</v>
      </c>
      <c r="AK2168">
        <v>35.953917712040599</v>
      </c>
      <c r="AL2168">
        <v>90.020561443453005</v>
      </c>
      <c r="AM2168">
        <v>87.555502922079498</v>
      </c>
      <c r="AN2168">
        <v>1.0000000570802501</v>
      </c>
    </row>
    <row r="2169" spans="1:40" x14ac:dyDescent="0.25">
      <c r="A2169" t="str">
        <f>"20190312160959905"</f>
        <v>20190312160959905</v>
      </c>
      <c r="B2169" t="str">
        <f>"1552378199897749"</f>
        <v>1552378199897749</v>
      </c>
      <c r="C2169" t="s">
        <v>40</v>
      </c>
      <c r="D2169">
        <v>4.9448869999999996</v>
      </c>
      <c r="E2169">
        <v>0.40811510000000001</v>
      </c>
      <c r="F2169" t="s">
        <v>59</v>
      </c>
      <c r="G2169">
        <v>-496.03480000000002</v>
      </c>
      <c r="H2169" s="1">
        <v>2.2187629999999999E-6</v>
      </c>
      <c r="I2169">
        <v>278.26350000000002</v>
      </c>
      <c r="J2169">
        <v>-454.60719999999998</v>
      </c>
      <c r="K2169">
        <v>1.1103130000000001</v>
      </c>
      <c r="L2169">
        <v>285.93830000000003</v>
      </c>
      <c r="M2169">
        <v>-0.99964810000000004</v>
      </c>
      <c r="N2169">
        <v>0</v>
      </c>
      <c r="O2169">
        <v>2.1626079999999999E-2</v>
      </c>
      <c r="P2169">
        <v>-0.99778500000000003</v>
      </c>
      <c r="Q2169">
        <v>-1.6542339999999999E-2</v>
      </c>
      <c r="R2169">
        <v>6.4433459999999998E-2</v>
      </c>
      <c r="S2169">
        <v>-3.04129</v>
      </c>
      <c r="T2169">
        <v>-8.0942390000000003E-2</v>
      </c>
      <c r="U2169">
        <v>-0.55905150000000003</v>
      </c>
      <c r="V2169">
        <v>4.2837630000000002E-2</v>
      </c>
      <c r="W2169">
        <v>-1.194697E-3</v>
      </c>
      <c r="X2169">
        <v>0.99908129999999995</v>
      </c>
      <c r="Y2169">
        <v>-0.2019447</v>
      </c>
      <c r="Z2169">
        <v>-3.2355449999999998E-3</v>
      </c>
      <c r="AA2169">
        <v>0.97939160000000003</v>
      </c>
      <c r="AB2169">
        <v>30</v>
      </c>
      <c r="AC2169">
        <v>-41.427599999999998</v>
      </c>
      <c r="AD2169">
        <v>-1.1103107812370001</v>
      </c>
      <c r="AE2169">
        <v>-7.6748000000000003</v>
      </c>
      <c r="AF2169">
        <v>-8.5630801719180702</v>
      </c>
      <c r="AG2169">
        <v>-1.1103107812370001</v>
      </c>
      <c r="AH2169">
        <v>41.223285176508099</v>
      </c>
      <c r="AI2169">
        <v>91.510604202565304</v>
      </c>
      <c r="AJ2169">
        <v>101.73484418755</v>
      </c>
      <c r="AK2169">
        <v>42.117910356585099</v>
      </c>
      <c r="AL2169">
        <v>90.068451114444201</v>
      </c>
      <c r="AM2169">
        <v>87.544831474010294</v>
      </c>
      <c r="AN2169">
        <v>0.99999996692731297</v>
      </c>
    </row>
    <row r="2170" spans="1:40" x14ac:dyDescent="0.25">
      <c r="A2170" t="str">
        <f>"20190312160959927"</f>
        <v>20190312160959927</v>
      </c>
      <c r="B2170" t="str">
        <f>"1552378199918246"</f>
        <v>1552378199918246</v>
      </c>
      <c r="C2170" t="s">
        <v>40</v>
      </c>
      <c r="D2170">
        <v>4.9632740000000002</v>
      </c>
      <c r="E2170">
        <v>0.40929860000000001</v>
      </c>
      <c r="F2170" t="s">
        <v>59</v>
      </c>
      <c r="G2170">
        <v>-499.09980000000002</v>
      </c>
      <c r="H2170" s="1">
        <v>1.638235E-6</v>
      </c>
      <c r="I2170">
        <v>278.05430000000001</v>
      </c>
      <c r="J2170">
        <v>-454.90559999999999</v>
      </c>
      <c r="K2170">
        <v>1.1103289999999999</v>
      </c>
      <c r="L2170">
        <v>285.94479999999999</v>
      </c>
      <c r="M2170">
        <v>-0.99964620000000004</v>
      </c>
      <c r="N2170">
        <v>0</v>
      </c>
      <c r="O2170">
        <v>2.1626590000000001E-2</v>
      </c>
      <c r="P2170">
        <v>-0.99777950000000004</v>
      </c>
      <c r="Q2170">
        <v>-1.6999E-2</v>
      </c>
      <c r="R2170">
        <v>6.4399570000000003E-2</v>
      </c>
      <c r="S2170">
        <v>-3.0402529999999999</v>
      </c>
      <c r="T2170">
        <v>-7.5869320000000004E-2</v>
      </c>
      <c r="U2170">
        <v>-0.53872679999999995</v>
      </c>
      <c r="V2170">
        <v>4.2803330000000001E-2</v>
      </c>
      <c r="W2170">
        <v>-1.527533E-3</v>
      </c>
      <c r="X2170">
        <v>0.99908229999999998</v>
      </c>
      <c r="Y2170">
        <v>-0.19567090000000001</v>
      </c>
      <c r="Z2170">
        <v>-2.9579649999999999E-3</v>
      </c>
      <c r="AA2170">
        <v>0.98066509999999996</v>
      </c>
      <c r="AB2170">
        <v>29</v>
      </c>
      <c r="AC2170">
        <v>-44.194200000000002</v>
      </c>
      <c r="AD2170">
        <v>-1.110327361765</v>
      </c>
      <c r="AE2170">
        <v>-7.8904999999999701</v>
      </c>
      <c r="AF2170">
        <v>-8.83913159562624</v>
      </c>
      <c r="AG2170">
        <v>-1.110327361765</v>
      </c>
      <c r="AH2170">
        <v>43.9862894930666</v>
      </c>
      <c r="AI2170">
        <v>91.417657620618002</v>
      </c>
      <c r="AJ2170">
        <v>101.36236896850799</v>
      </c>
      <c r="AK2170">
        <v>44.879357588795202</v>
      </c>
      <c r="AL2170">
        <v>90.087521232353595</v>
      </c>
      <c r="AM2170">
        <v>87.546797372051799</v>
      </c>
      <c r="AN2170">
        <v>0.999999950294721</v>
      </c>
    </row>
    <row r="2171" spans="1:40" x14ac:dyDescent="0.25">
      <c r="A2171" t="str">
        <f>"20190312160959960"</f>
        <v>20190312160959960</v>
      </c>
      <c r="B2171" t="str">
        <f>"1552378199948031"</f>
        <v>1552378199948031</v>
      </c>
      <c r="C2171" t="s">
        <v>40</v>
      </c>
      <c r="D2171">
        <v>4.9630919999999996</v>
      </c>
      <c r="E2171">
        <v>0.4098387</v>
      </c>
      <c r="F2171" t="s">
        <v>59</v>
      </c>
      <c r="G2171">
        <v>-499.95780000000002</v>
      </c>
      <c r="H2171">
        <v>9.4512239999999994E-3</v>
      </c>
      <c r="I2171">
        <v>278.09649999999999</v>
      </c>
      <c r="J2171">
        <v>-455.33510000000001</v>
      </c>
      <c r="K2171">
        <v>1.1103559999999999</v>
      </c>
      <c r="L2171">
        <v>285.95409999999998</v>
      </c>
      <c r="M2171">
        <v>-0.99964350000000002</v>
      </c>
      <c r="N2171">
        <v>0</v>
      </c>
      <c r="O2171">
        <v>2.1626719999999999E-2</v>
      </c>
      <c r="P2171">
        <v>-0.997811</v>
      </c>
      <c r="Q2171">
        <v>-1.6613699999999999E-2</v>
      </c>
      <c r="R2171">
        <v>6.4012890000000003E-2</v>
      </c>
      <c r="S2171">
        <v>-3.0395810000000001</v>
      </c>
      <c r="T2171">
        <v>-7.4274179999999995E-2</v>
      </c>
      <c r="U2171">
        <v>-0.5295105</v>
      </c>
      <c r="V2171">
        <v>4.241603E-2</v>
      </c>
      <c r="W2171">
        <v>-9.6263320000000002E-4</v>
      </c>
      <c r="X2171">
        <v>0.99909959999999998</v>
      </c>
      <c r="Y2171">
        <v>-0.19282659999999999</v>
      </c>
      <c r="Z2171">
        <v>-2.8626889999999999E-3</v>
      </c>
      <c r="AA2171">
        <v>0.98122869999999995</v>
      </c>
      <c r="AB2171">
        <v>29</v>
      </c>
      <c r="AC2171">
        <v>-44.622700000000002</v>
      </c>
      <c r="AD2171">
        <v>-1.1009047759999999</v>
      </c>
      <c r="AE2171">
        <v>-7.8575999999999899</v>
      </c>
      <c r="AF2171">
        <v>-8.8157181742081292</v>
      </c>
      <c r="AG2171">
        <v>-1.1009047759999999</v>
      </c>
      <c r="AH2171">
        <v>44.416083892674202</v>
      </c>
      <c r="AI2171">
        <v>91.392696184784299</v>
      </c>
      <c r="AJ2171">
        <v>101.22618524385101</v>
      </c>
      <c r="AK2171">
        <v>45.295887082757901</v>
      </c>
      <c r="AL2171">
        <v>90.055154826526007</v>
      </c>
      <c r="AM2171">
        <v>87.569010127715202</v>
      </c>
      <c r="AN2171">
        <v>1.00000002849189</v>
      </c>
    </row>
    <row r="2172" spans="1:40" x14ac:dyDescent="0.25">
      <c r="A2172" t="str">
        <f>"20190312160959984"</f>
        <v>20190312160959984</v>
      </c>
      <c r="B2172" t="str">
        <f>"1552378199978287"</f>
        <v>1552378199978287</v>
      </c>
      <c r="C2172" t="s">
        <v>40</v>
      </c>
      <c r="D2172">
        <v>4.9667450000000004</v>
      </c>
      <c r="E2172">
        <v>0.40967360000000003</v>
      </c>
      <c r="F2172" t="s">
        <v>59</v>
      </c>
      <c r="G2172">
        <v>-499.95769999999999</v>
      </c>
      <c r="H2172">
        <v>1.8831609999999999E-2</v>
      </c>
      <c r="I2172">
        <v>278.2242</v>
      </c>
      <c r="J2172">
        <v>-455.63119999999998</v>
      </c>
      <c r="K2172">
        <v>1.1103639999999999</v>
      </c>
      <c r="L2172">
        <v>285.96050000000002</v>
      </c>
      <c r="M2172">
        <v>-0.99964149999999996</v>
      </c>
      <c r="N2172">
        <v>0</v>
      </c>
      <c r="O2172">
        <v>2.1626679999999999E-2</v>
      </c>
      <c r="P2172">
        <v>-0.99778230000000001</v>
      </c>
      <c r="Q2172">
        <v>-1.7099699999999999E-2</v>
      </c>
      <c r="R2172">
        <v>6.4329810000000001E-2</v>
      </c>
      <c r="S2172">
        <v>-3.0390929999999998</v>
      </c>
      <c r="T2172">
        <v>-7.4339870000000002E-2</v>
      </c>
      <c r="U2172">
        <v>-0.52645869999999995</v>
      </c>
      <c r="V2172">
        <v>4.2733350000000003E-2</v>
      </c>
      <c r="W2172">
        <v>-1.3252299999999999E-3</v>
      </c>
      <c r="X2172">
        <v>0.99908560000000002</v>
      </c>
      <c r="Y2172">
        <v>-0.19189680000000001</v>
      </c>
      <c r="Z2172">
        <v>-2.8546309999999998E-3</v>
      </c>
      <c r="AA2172">
        <v>0.98141100000000003</v>
      </c>
      <c r="AB2172">
        <v>29</v>
      </c>
      <c r="AC2172">
        <v>-44.326500000000003</v>
      </c>
      <c r="AD2172">
        <v>-1.09153238999999</v>
      </c>
      <c r="AE2172">
        <v>-7.7363000000000204</v>
      </c>
      <c r="AF2172">
        <v>-8.6881320368881898</v>
      </c>
      <c r="AG2172">
        <v>-1.09153238999999</v>
      </c>
      <c r="AH2172">
        <v>44.122834421912799</v>
      </c>
      <c r="AI2172">
        <v>91.390433832877306</v>
      </c>
      <c r="AJ2172">
        <v>101.139478062169</v>
      </c>
      <c r="AK2172">
        <v>44.983325784921199</v>
      </c>
      <c r="AL2172">
        <v>90.075930110707404</v>
      </c>
      <c r="AM2172">
        <v>87.550811352763603</v>
      </c>
      <c r="AN2172">
        <v>0.99999996578206696</v>
      </c>
    </row>
    <row r="2173" spans="1:40" x14ac:dyDescent="0.25">
      <c r="A2173" t="str">
        <f>"20190312161000028"</f>
        <v>20190312161000028</v>
      </c>
      <c r="B2173" t="str">
        <f>"1552378200018304"</f>
        <v>1552378200018304</v>
      </c>
      <c r="C2173" t="s">
        <v>40</v>
      </c>
      <c r="D2173">
        <v>5.0224099999999998</v>
      </c>
      <c r="E2173">
        <v>0.40925519999999999</v>
      </c>
      <c r="F2173" t="s">
        <v>59</v>
      </c>
      <c r="G2173">
        <v>-499.9581</v>
      </c>
      <c r="H2173">
        <v>5.0325349999999998E-2</v>
      </c>
      <c r="I2173">
        <v>278.28120000000001</v>
      </c>
      <c r="J2173">
        <v>-456.20159999999998</v>
      </c>
      <c r="K2173">
        <v>1.11042</v>
      </c>
      <c r="L2173">
        <v>285.97280000000001</v>
      </c>
      <c r="M2173">
        <v>-0.99963550000000001</v>
      </c>
      <c r="N2173">
        <v>0</v>
      </c>
      <c r="O2173">
        <v>2.1626719999999999E-2</v>
      </c>
      <c r="P2173">
        <v>-0.997784</v>
      </c>
      <c r="Q2173">
        <v>-1.785258E-2</v>
      </c>
      <c r="R2173">
        <v>6.4096230000000004E-2</v>
      </c>
      <c r="S2173">
        <v>-3.0393680000000001</v>
      </c>
      <c r="T2173">
        <v>-7.2683810000000001E-2</v>
      </c>
      <c r="U2173">
        <v>-0.52655030000000003</v>
      </c>
      <c r="V2173">
        <v>4.2499639999999998E-2</v>
      </c>
      <c r="W2173">
        <v>-1.70955E-3</v>
      </c>
      <c r="X2173">
        <v>0.99909499999999996</v>
      </c>
      <c r="Y2173">
        <v>-0.19191349999999999</v>
      </c>
      <c r="Z2173">
        <v>-2.7910029999999998E-3</v>
      </c>
      <c r="AA2173">
        <v>0.9814079</v>
      </c>
      <c r="AB2173">
        <v>29</v>
      </c>
      <c r="AC2173">
        <v>-43.756500000000003</v>
      </c>
      <c r="AD2173">
        <v>-1.0600946499999999</v>
      </c>
      <c r="AE2173">
        <v>-7.6915999999999896</v>
      </c>
      <c r="AF2173">
        <v>-8.6313194057568801</v>
      </c>
      <c r="AG2173">
        <v>-1.0600946499999999</v>
      </c>
      <c r="AH2173">
        <v>43.555098953869098</v>
      </c>
      <c r="AI2173">
        <v>91.367669889831703</v>
      </c>
      <c r="AJ2173">
        <v>101.20908544368601</v>
      </c>
      <c r="AK2173">
        <v>44.414751155809597</v>
      </c>
      <c r="AL2173">
        <v>90.097950049488105</v>
      </c>
      <c r="AM2173">
        <v>87.564212752567101</v>
      </c>
      <c r="AN2173">
        <v>0.99999998049316496</v>
      </c>
    </row>
    <row r="2174" spans="1:40" x14ac:dyDescent="0.25">
      <c r="A2174" t="str">
        <f>"20190312161000051"</f>
        <v>20190312161000051</v>
      </c>
      <c r="B2174" t="str">
        <f>"1552378200038329"</f>
        <v>1552378200038329</v>
      </c>
      <c r="C2174" t="s">
        <v>40</v>
      </c>
      <c r="D2174">
        <v>5.0107989999999996</v>
      </c>
      <c r="E2174">
        <v>0.40905649999999999</v>
      </c>
      <c r="F2174" t="s">
        <v>59</v>
      </c>
      <c r="G2174">
        <v>-499.31599999999997</v>
      </c>
      <c r="H2174" s="1">
        <v>1.6686480000000001E-6</v>
      </c>
      <c r="I2174">
        <v>278.44479999999999</v>
      </c>
      <c r="J2174">
        <v>-456.49889999999999</v>
      </c>
      <c r="K2174">
        <v>1.110468</v>
      </c>
      <c r="L2174">
        <v>285.97930000000002</v>
      </c>
      <c r="M2174">
        <v>-0.99963120000000005</v>
      </c>
      <c r="N2174">
        <v>0</v>
      </c>
      <c r="O2174">
        <v>2.1626889999999999E-2</v>
      </c>
      <c r="P2174">
        <v>-0.99778420000000001</v>
      </c>
      <c r="Q2174">
        <v>-1.8280250000000001E-2</v>
      </c>
      <c r="R2174">
        <v>6.3972680000000004E-2</v>
      </c>
      <c r="S2174">
        <v>-3.0393979999999998</v>
      </c>
      <c r="T2174">
        <v>-7.8280210000000003E-2</v>
      </c>
      <c r="U2174">
        <v>-0.53070069999999903</v>
      </c>
      <c r="V2174">
        <v>4.2375709999999997E-2</v>
      </c>
      <c r="W2174">
        <v>-1.8781780000000001E-3</v>
      </c>
      <c r="X2174">
        <v>0.99909999999999999</v>
      </c>
      <c r="Y2174">
        <v>-0.19320280000000001</v>
      </c>
      <c r="Z2174">
        <v>-3.0219399999999999E-3</v>
      </c>
      <c r="AA2174">
        <v>0.98115419999999998</v>
      </c>
      <c r="AB2174">
        <v>29</v>
      </c>
      <c r="AC2174">
        <v>-42.817099999999897</v>
      </c>
      <c r="AD2174">
        <v>-1.110466331352</v>
      </c>
      <c r="AE2174">
        <v>-7.5345000000000297</v>
      </c>
      <c r="AF2174">
        <v>-8.4533477221434801</v>
      </c>
      <c r="AG2174">
        <v>-1.110466331352</v>
      </c>
      <c r="AH2174">
        <v>42.616309031860901</v>
      </c>
      <c r="AI2174">
        <v>91.464122708669905</v>
      </c>
      <c r="AJ2174">
        <v>101.21952281940401</v>
      </c>
      <c r="AK2174">
        <v>43.460810147575501</v>
      </c>
      <c r="AL2174">
        <v>90.107611733778498</v>
      </c>
      <c r="AM2174">
        <v>87.571319190608705</v>
      </c>
      <c r="AN2174">
        <v>1.0000000191753</v>
      </c>
    </row>
    <row r="2175" spans="1:40" x14ac:dyDescent="0.25">
      <c r="A2175" t="str">
        <f>"20190312161000073"</f>
        <v>20190312161000073</v>
      </c>
      <c r="B2175" t="str">
        <f>"1552378200067609"</f>
        <v>1552378200067609</v>
      </c>
      <c r="C2175" t="s">
        <v>40</v>
      </c>
      <c r="D2175">
        <v>5.0175869999999998</v>
      </c>
      <c r="E2175">
        <v>0.40870420000000002</v>
      </c>
      <c r="F2175" t="s">
        <v>59</v>
      </c>
      <c r="G2175">
        <v>-498.03719999999998</v>
      </c>
      <c r="H2175" s="1">
        <v>1.9404480000000001E-6</v>
      </c>
      <c r="I2175">
        <v>278.70010000000002</v>
      </c>
      <c r="J2175">
        <v>-456.79219999999998</v>
      </c>
      <c r="K2175">
        <v>1.110511</v>
      </c>
      <c r="L2175">
        <v>285.98570000000001</v>
      </c>
      <c r="M2175">
        <v>-0.99962709999999999</v>
      </c>
      <c r="N2175">
        <v>0</v>
      </c>
      <c r="O2175">
        <v>2.1626889999999999E-2</v>
      </c>
      <c r="P2175">
        <v>-0.99781089999999995</v>
      </c>
      <c r="Q2175">
        <v>-1.8091940000000001E-2</v>
      </c>
      <c r="R2175">
        <v>6.3610940000000005E-2</v>
      </c>
      <c r="S2175">
        <v>-3.0393680000000001</v>
      </c>
      <c r="T2175">
        <v>-8.1252930000000001E-2</v>
      </c>
      <c r="U2175">
        <v>-0.53262330000000002</v>
      </c>
      <c r="V2175">
        <v>4.2013519999999999E-2</v>
      </c>
      <c r="W2175">
        <v>-1.4343750000000001E-3</v>
      </c>
      <c r="X2175">
        <v>0.999116</v>
      </c>
      <c r="Y2175">
        <v>-0.19380120000000001</v>
      </c>
      <c r="Z2175">
        <v>-3.1444609999999999E-3</v>
      </c>
      <c r="AA2175">
        <v>0.98103580000000001</v>
      </c>
      <c r="AB2175">
        <v>29</v>
      </c>
      <c r="AC2175">
        <v>-41.244999999999997</v>
      </c>
      <c r="AD2175">
        <v>-1.110509059552</v>
      </c>
      <c r="AE2175">
        <v>-7.2855999999999801</v>
      </c>
      <c r="AF2175">
        <v>-8.1702768367626302</v>
      </c>
      <c r="AG2175">
        <v>-1.110509059552</v>
      </c>
      <c r="AH2175">
        <v>41.048906276405702</v>
      </c>
      <c r="AI2175">
        <v>91.519864228039296</v>
      </c>
      <c r="AJ2175">
        <v>101.256903449796</v>
      </c>
      <c r="AK2175">
        <v>41.868835193373002</v>
      </c>
      <c r="AL2175">
        <v>90.082183662957803</v>
      </c>
      <c r="AM2175">
        <v>87.592091377742506</v>
      </c>
      <c r="AN2175">
        <v>0.999999987375215</v>
      </c>
    </row>
    <row r="2176" spans="1:40" x14ac:dyDescent="0.25">
      <c r="A2176" t="str">
        <f>"20190312161000094"</f>
        <v>20190312161000094</v>
      </c>
      <c r="B2176" t="str">
        <f>"1552378200088105"</f>
        <v>1552378200088105</v>
      </c>
      <c r="C2176" t="s">
        <v>40</v>
      </c>
      <c r="D2176">
        <v>5.0381960000000001</v>
      </c>
      <c r="E2176">
        <v>0.40853889999999998</v>
      </c>
      <c r="F2176" t="s">
        <v>59</v>
      </c>
      <c r="G2176">
        <v>-497.5985</v>
      </c>
      <c r="H2176" s="1">
        <v>2.0327149999999998E-6</v>
      </c>
      <c r="I2176">
        <v>278.78199999999998</v>
      </c>
      <c r="J2176">
        <v>-457.06700000000001</v>
      </c>
      <c r="K2176">
        <v>1.110547</v>
      </c>
      <c r="L2176">
        <v>285.99160000000001</v>
      </c>
      <c r="M2176">
        <v>-0.99962329999999999</v>
      </c>
      <c r="N2176">
        <v>0</v>
      </c>
      <c r="O2176">
        <v>2.1626800000000002E-2</v>
      </c>
      <c r="P2176">
        <v>-0.99780800000000003</v>
      </c>
      <c r="Q2176">
        <v>-1.776057E-2</v>
      </c>
      <c r="R2176">
        <v>6.374879E-2</v>
      </c>
      <c r="S2176">
        <v>-3.0392760000000001</v>
      </c>
      <c r="T2176">
        <v>-8.2711460000000001E-2</v>
      </c>
      <c r="U2176">
        <v>-0.53652949999999999</v>
      </c>
      <c r="V2176">
        <v>4.2151500000000001E-2</v>
      </c>
      <c r="W2176">
        <v>-8.7732529999999997E-4</v>
      </c>
      <c r="X2176">
        <v>0.99911079999999997</v>
      </c>
      <c r="Y2176">
        <v>-0.195026</v>
      </c>
      <c r="Z2176">
        <v>-3.2171639999999998E-3</v>
      </c>
      <c r="AA2176">
        <v>0.98079280000000002</v>
      </c>
      <c r="AB2176">
        <v>29</v>
      </c>
      <c r="AC2176">
        <v>-40.531500000000001</v>
      </c>
      <c r="AD2176">
        <v>-1.1105449672850001</v>
      </c>
      <c r="AE2176">
        <v>-7.2096000000000204</v>
      </c>
      <c r="AF2176">
        <v>-8.0787261324434905</v>
      </c>
      <c r="AG2176">
        <v>-1.1105449672850001</v>
      </c>
      <c r="AH2176">
        <v>40.3367212116584</v>
      </c>
      <c r="AI2176">
        <v>91.546366628501502</v>
      </c>
      <c r="AJ2176">
        <v>101.325477072601</v>
      </c>
      <c r="AK2176">
        <v>41.152766664641597</v>
      </c>
      <c r="AL2176">
        <v>90.050267045677302</v>
      </c>
      <c r="AM2176">
        <v>87.584180165606</v>
      </c>
      <c r="AN2176">
        <v>0.99999995466428404</v>
      </c>
    </row>
    <row r="2177" spans="1:40" x14ac:dyDescent="0.25">
      <c r="A2177" t="str">
        <f>"20190312161000116"</f>
        <v>20190312161000116</v>
      </c>
      <c r="B2177" t="str">
        <f>"1552378200107625"</f>
        <v>1552378200107625</v>
      </c>
      <c r="C2177" t="s">
        <v>40</v>
      </c>
      <c r="D2177">
        <v>5.0534189999999999</v>
      </c>
      <c r="E2177">
        <v>0.40833059999999899</v>
      </c>
      <c r="F2177" t="s">
        <v>59</v>
      </c>
      <c r="G2177">
        <v>-497.59559999999999</v>
      </c>
      <c r="H2177" s="1">
        <v>2.0406899999999999E-6</v>
      </c>
      <c r="I2177">
        <v>278.82440000000003</v>
      </c>
      <c r="J2177">
        <v>-457.34410000000003</v>
      </c>
      <c r="K2177">
        <v>1.1105769999999999</v>
      </c>
      <c r="L2177">
        <v>285.99759999999998</v>
      </c>
      <c r="M2177">
        <v>-0.99961979999999995</v>
      </c>
      <c r="N2177">
        <v>0</v>
      </c>
      <c r="O2177">
        <v>2.162304E-2</v>
      </c>
      <c r="P2177">
        <v>-0.99782029999999999</v>
      </c>
      <c r="Q2177">
        <v>-1.7187629999999999E-2</v>
      </c>
      <c r="R2177">
        <v>6.3715930000000004E-2</v>
      </c>
      <c r="S2177">
        <v>-3.0394589999999999</v>
      </c>
      <c r="T2177">
        <v>-8.3285810000000002E-2</v>
      </c>
      <c r="U2177">
        <v>-0.53750609999999999</v>
      </c>
      <c r="V2177">
        <v>4.2121980000000003E-2</v>
      </c>
      <c r="W2177" s="1">
        <v>-8.6934649999999996E-5</v>
      </c>
      <c r="X2177">
        <v>0.99911249999999996</v>
      </c>
      <c r="Y2177">
        <v>-0.19531670000000001</v>
      </c>
      <c r="Z2177">
        <v>-3.2430649999999998E-3</v>
      </c>
      <c r="AA2177">
        <v>0.98073489999999997</v>
      </c>
      <c r="AB2177">
        <v>29</v>
      </c>
      <c r="AC2177">
        <v>-40.251499999999901</v>
      </c>
      <c r="AD2177">
        <v>-1.1105749593100001</v>
      </c>
      <c r="AE2177">
        <v>-7.1731999999999498</v>
      </c>
      <c r="AF2177">
        <v>-8.0360803536159597</v>
      </c>
      <c r="AG2177">
        <v>-1.1105749593100001</v>
      </c>
      <c r="AH2177">
        <v>40.057401774527598</v>
      </c>
      <c r="AI2177">
        <v>91.557086595517902</v>
      </c>
      <c r="AJ2177">
        <v>101.343761559974</v>
      </c>
      <c r="AK2177">
        <v>40.870617821559101</v>
      </c>
      <c r="AL2177">
        <v>90.004980988404199</v>
      </c>
      <c r="AM2177">
        <v>87.585874139412596</v>
      </c>
      <c r="AN2177">
        <v>1.0000000282065</v>
      </c>
    </row>
    <row r="2178" spans="1:40" x14ac:dyDescent="0.25">
      <c r="A2178" t="str">
        <f>"20190312161000141"</f>
        <v>20190312161000141</v>
      </c>
      <c r="B2178" t="str">
        <f>"1552378200127650"</f>
        <v>1552378200127650</v>
      </c>
      <c r="C2178" t="s">
        <v>40</v>
      </c>
      <c r="D2178">
        <v>5.0582669999999998</v>
      </c>
      <c r="E2178">
        <v>0.40815699999999999</v>
      </c>
      <c r="F2178" t="s">
        <v>59</v>
      </c>
      <c r="G2178">
        <v>-498.43630000000002</v>
      </c>
      <c r="H2178" s="1">
        <v>1.8710190000000001E-6</v>
      </c>
      <c r="I2178">
        <v>278.70780000000002</v>
      </c>
      <c r="J2178">
        <v>-457.65109999999999</v>
      </c>
      <c r="K2178">
        <v>1.1106180000000001</v>
      </c>
      <c r="L2178">
        <v>286.00420000000003</v>
      </c>
      <c r="M2178">
        <v>-0.99961599999999995</v>
      </c>
      <c r="N2178">
        <v>0</v>
      </c>
      <c r="O2178">
        <v>2.160596E-2</v>
      </c>
      <c r="P2178">
        <v>-0.99781489999999995</v>
      </c>
      <c r="Q2178">
        <v>-1.6338180000000001E-2</v>
      </c>
      <c r="R2178">
        <v>6.4020949999999993E-2</v>
      </c>
      <c r="S2178">
        <v>-3.0395509999999999</v>
      </c>
      <c r="T2178">
        <v>-8.2148189999999996E-2</v>
      </c>
      <c r="U2178">
        <v>-0.53921509999999995</v>
      </c>
      <c r="V2178">
        <v>4.2443979999999999E-2</v>
      </c>
      <c r="W2178">
        <v>1.0007060000000001E-3</v>
      </c>
      <c r="X2178">
        <v>0.99909840000000005</v>
      </c>
      <c r="Y2178">
        <v>-0.19583159999999999</v>
      </c>
      <c r="Z2178">
        <v>-3.204981E-3</v>
      </c>
      <c r="AA2178">
        <v>0.98063230000000001</v>
      </c>
      <c r="AB2178">
        <v>28</v>
      </c>
      <c r="AC2178">
        <v>-40.785200000000003</v>
      </c>
      <c r="AD2178">
        <v>-1.1106161289809999</v>
      </c>
      <c r="AE2178">
        <v>-7.2964000000000002</v>
      </c>
      <c r="AF2178">
        <v>-8.1701618554573407</v>
      </c>
      <c r="AG2178">
        <v>-1.1106161289809999</v>
      </c>
      <c r="AH2178">
        <v>40.588842890225202</v>
      </c>
      <c r="AI2178">
        <v>91.536565244515202</v>
      </c>
      <c r="AJ2178">
        <v>101.38102929324999</v>
      </c>
      <c r="AK2178">
        <v>41.417860641246399</v>
      </c>
      <c r="AL2178">
        <v>89.942663763128195</v>
      </c>
      <c r="AM2178">
        <v>87.567407234867204</v>
      </c>
      <c r="AN2178">
        <v>1.00000005286664</v>
      </c>
    </row>
    <row r="2179" spans="1:40" x14ac:dyDescent="0.25">
      <c r="A2179" t="str">
        <f>"20190312161000163"</f>
        <v>20190312161000163</v>
      </c>
      <c r="B2179" t="str">
        <f>"1552378200157906"</f>
        <v>1552378200157906</v>
      </c>
      <c r="C2179" t="s">
        <v>40</v>
      </c>
      <c r="D2179">
        <v>5.0605140000000004</v>
      </c>
      <c r="E2179">
        <v>0.40787289999999998</v>
      </c>
      <c r="F2179" t="s">
        <v>59</v>
      </c>
      <c r="G2179">
        <v>-499.08030000000002</v>
      </c>
      <c r="H2179" s="1">
        <v>1.7460319999999999E-6</v>
      </c>
      <c r="I2179">
        <v>278.64679999999998</v>
      </c>
      <c r="J2179">
        <v>-457.928</v>
      </c>
      <c r="K2179">
        <v>1.1106590000000001</v>
      </c>
      <c r="L2179">
        <v>286.01010000000002</v>
      </c>
      <c r="M2179">
        <v>-0.99961310000000003</v>
      </c>
      <c r="N2179">
        <v>0</v>
      </c>
      <c r="O2179">
        <v>2.1567070000000001E-2</v>
      </c>
      <c r="P2179">
        <v>-0.99782479999999996</v>
      </c>
      <c r="Q2179">
        <v>-1.584899E-2</v>
      </c>
      <c r="R2179">
        <v>6.3989859999999996E-2</v>
      </c>
      <c r="S2179">
        <v>-3.0398860000000001</v>
      </c>
      <c r="T2179">
        <v>-8.1491830000000001E-2</v>
      </c>
      <c r="U2179">
        <v>-0.539856</v>
      </c>
      <c r="V2179">
        <v>4.245165E-2</v>
      </c>
      <c r="W2179">
        <v>1.706901E-3</v>
      </c>
      <c r="X2179">
        <v>0.99909700000000001</v>
      </c>
      <c r="Y2179">
        <v>-0.1959764</v>
      </c>
      <c r="Z2179">
        <v>-3.1798709999999999E-3</v>
      </c>
      <c r="AA2179">
        <v>0.98060349999999996</v>
      </c>
      <c r="AB2179">
        <v>28</v>
      </c>
      <c r="AC2179">
        <v>-41.152299999999897</v>
      </c>
      <c r="AD2179">
        <v>-1.110657253968</v>
      </c>
      <c r="AE2179">
        <v>-7.3633000000000299</v>
      </c>
      <c r="AF2179">
        <v>-8.2434399937096607</v>
      </c>
      <c r="AG2179">
        <v>-1.110657253968</v>
      </c>
      <c r="AH2179">
        <v>40.954989557884097</v>
      </c>
      <c r="AI2179">
        <v>91.522893918713606</v>
      </c>
      <c r="AJ2179">
        <v>101.380459447977</v>
      </c>
      <c r="AK2179">
        <v>41.791135808351498</v>
      </c>
      <c r="AL2179">
        <v>89.902201722880704</v>
      </c>
      <c r="AM2179">
        <v>87.566964766977804</v>
      </c>
      <c r="AN2179">
        <v>0.99999993575387103</v>
      </c>
    </row>
    <row r="2180" spans="1:40" x14ac:dyDescent="0.25">
      <c r="A2180" t="str">
        <f>"20190312161000189"</f>
        <v>20190312161000189</v>
      </c>
      <c r="B2180" t="str">
        <f>"1552378200178402"</f>
        <v>1552378200178402</v>
      </c>
      <c r="C2180" t="s">
        <v>40</v>
      </c>
      <c r="D2180">
        <v>5.1027259999999997</v>
      </c>
      <c r="E2180">
        <v>0.40775040000000001</v>
      </c>
      <c r="F2180" t="s">
        <v>59</v>
      </c>
      <c r="G2180">
        <v>-499.76260000000002</v>
      </c>
      <c r="H2180" s="1">
        <v>1.607605E-6</v>
      </c>
      <c r="I2180">
        <v>278.54790000000003</v>
      </c>
      <c r="J2180">
        <v>-458.24709999999999</v>
      </c>
      <c r="K2180">
        <v>1.110725</v>
      </c>
      <c r="L2180">
        <v>286.017</v>
      </c>
      <c r="M2180">
        <v>-0.99961100000000003</v>
      </c>
      <c r="N2180">
        <v>0</v>
      </c>
      <c r="O2180">
        <v>2.146897E-2</v>
      </c>
      <c r="P2180">
        <v>-0.99782040000000005</v>
      </c>
      <c r="Q2180">
        <v>-1.5923639999999999E-2</v>
      </c>
      <c r="R2180">
        <v>6.4040840000000002E-2</v>
      </c>
      <c r="S2180">
        <v>-3.0400390000000002</v>
      </c>
      <c r="T2180">
        <v>-8.0709459999999997E-2</v>
      </c>
      <c r="U2180">
        <v>-0.54226680000000005</v>
      </c>
      <c r="V2180">
        <v>4.2600409999999998E-2</v>
      </c>
      <c r="W2180">
        <v>1.873794E-3</v>
      </c>
      <c r="X2180">
        <v>0.99909040000000005</v>
      </c>
      <c r="Y2180">
        <v>-0.19662689999999999</v>
      </c>
      <c r="Z2180">
        <v>-3.1549640000000001E-3</v>
      </c>
      <c r="AA2180">
        <v>0.98047329999999999</v>
      </c>
      <c r="AB2180">
        <v>28</v>
      </c>
      <c r="AC2180">
        <v>-41.515500000000003</v>
      </c>
      <c r="AD2180">
        <v>-1.110723392395</v>
      </c>
      <c r="AE2180">
        <v>-7.4690999999999601</v>
      </c>
      <c r="AF2180">
        <v>-8.3530226123114808</v>
      </c>
      <c r="AG2180">
        <v>-1.110723392395</v>
      </c>
      <c r="AH2180">
        <v>41.3169016168344</v>
      </c>
      <c r="AI2180">
        <v>91.509390258235399</v>
      </c>
      <c r="AJ2180">
        <v>101.429411779494</v>
      </c>
      <c r="AK2180">
        <v>42.167440667313201</v>
      </c>
      <c r="AL2180">
        <v>89.892639445722594</v>
      </c>
      <c r="AM2180">
        <v>87.558433061922898</v>
      </c>
      <c r="AN2180">
        <v>0.99999996670414004</v>
      </c>
    </row>
    <row r="2181" spans="1:40" x14ac:dyDescent="0.25">
      <c r="A2181" t="str">
        <f>"20190312161000209"</f>
        <v>20190312161000209</v>
      </c>
      <c r="B2181" t="str">
        <f>"1552378200197923"</f>
        <v>1552378200197923</v>
      </c>
      <c r="C2181" t="s">
        <v>40</v>
      </c>
      <c r="D2181">
        <v>5.0957809999999997</v>
      </c>
      <c r="E2181">
        <v>0.4075453</v>
      </c>
      <c r="F2181" t="s">
        <v>59</v>
      </c>
      <c r="G2181">
        <v>-498.72129999999999</v>
      </c>
      <c r="H2181" s="1">
        <v>1.833979E-6</v>
      </c>
      <c r="I2181">
        <v>278.78449999999998</v>
      </c>
      <c r="J2181">
        <v>-458.51100000000002</v>
      </c>
      <c r="K2181">
        <v>1.110784</v>
      </c>
      <c r="L2181">
        <v>286.02249999999998</v>
      </c>
      <c r="M2181">
        <v>-0.99961040000000001</v>
      </c>
      <c r="N2181">
        <v>0</v>
      </c>
      <c r="O2181">
        <v>2.1336190000000001E-2</v>
      </c>
      <c r="P2181">
        <v>-0.99782820000000005</v>
      </c>
      <c r="Q2181">
        <v>-1.6056040000000001E-2</v>
      </c>
      <c r="R2181">
        <v>6.388829E-2</v>
      </c>
      <c r="S2181">
        <v>-3.0400700000000001</v>
      </c>
      <c r="T2181">
        <v>-8.3427909999999994E-2</v>
      </c>
      <c r="U2181">
        <v>-0.54324340000000004</v>
      </c>
      <c r="V2181">
        <v>4.2580270000000003E-2</v>
      </c>
      <c r="W2181">
        <v>1.933876E-3</v>
      </c>
      <c r="X2181">
        <v>0.99909110000000001</v>
      </c>
      <c r="Y2181">
        <v>-0.1967951</v>
      </c>
      <c r="Z2181">
        <v>-3.259741E-3</v>
      </c>
      <c r="AA2181">
        <v>0.98043919999999996</v>
      </c>
      <c r="AB2181">
        <v>28</v>
      </c>
      <c r="AC2181">
        <v>-40.210299999999997</v>
      </c>
      <c r="AD2181">
        <v>-1.110782166021</v>
      </c>
      <c r="AE2181">
        <v>-7.2379999999999898</v>
      </c>
      <c r="AF2181">
        <v>-8.0884467275535492</v>
      </c>
      <c r="AG2181">
        <v>-1.110782166021</v>
      </c>
      <c r="AH2181">
        <v>40.017108327260097</v>
      </c>
      <c r="AI2181">
        <v>91.558488884119797</v>
      </c>
      <c r="AJ2181">
        <v>101.426939658187</v>
      </c>
      <c r="AK2181">
        <v>40.841471158131597</v>
      </c>
      <c r="AL2181">
        <v>89.889196989466498</v>
      </c>
      <c r="AM2181">
        <v>87.559587662191504</v>
      </c>
      <c r="AN2181">
        <v>0.99999992268443005</v>
      </c>
    </row>
    <row r="2182" spans="1:40" x14ac:dyDescent="0.25">
      <c r="A2182" t="str">
        <f>"20190312161000228"</f>
        <v>20190312161000228</v>
      </c>
      <c r="B2182" t="str">
        <f>"1552378200218418"</f>
        <v>1552378200218418</v>
      </c>
      <c r="C2182" t="s">
        <v>40</v>
      </c>
      <c r="D2182">
        <v>5.1140610000000004</v>
      </c>
      <c r="E2182">
        <v>0.40738980000000002</v>
      </c>
      <c r="F2182" t="s">
        <v>59</v>
      </c>
      <c r="G2182">
        <v>-498.11790000000002</v>
      </c>
      <c r="H2182" s="1">
        <v>1.9646319999999998E-6</v>
      </c>
      <c r="I2182">
        <v>278.91860000000003</v>
      </c>
      <c r="J2182">
        <v>-458.74220000000003</v>
      </c>
      <c r="K2182">
        <v>1.1108370000000001</v>
      </c>
      <c r="L2182">
        <v>286.02730000000003</v>
      </c>
      <c r="M2182">
        <v>-0.99961080000000002</v>
      </c>
      <c r="N2182">
        <v>0</v>
      </c>
      <c r="O2182">
        <v>2.1181370000000001E-2</v>
      </c>
      <c r="P2182">
        <v>-0.99787300000000001</v>
      </c>
      <c r="Q2182">
        <v>-1.5934529999999999E-2</v>
      </c>
      <c r="R2182">
        <v>6.3210909999999995E-2</v>
      </c>
      <c r="S2182">
        <v>-3.0400390000000002</v>
      </c>
      <c r="T2182">
        <v>-8.5258360000000005E-2</v>
      </c>
      <c r="U2182">
        <v>-0.54525760000000001</v>
      </c>
      <c r="V2182">
        <v>4.2056490000000002E-2</v>
      </c>
      <c r="W2182">
        <v>2.2161630000000002E-3</v>
      </c>
      <c r="X2182">
        <v>0.99911280000000002</v>
      </c>
      <c r="Y2182">
        <v>-0.1972708</v>
      </c>
      <c r="Z2182">
        <v>-3.333384E-3</v>
      </c>
      <c r="AA2182">
        <v>0.98034330000000003</v>
      </c>
      <c r="AB2182">
        <v>28</v>
      </c>
      <c r="AC2182">
        <v>-39.375700000000002</v>
      </c>
      <c r="AD2182">
        <v>-1.1108350353679901</v>
      </c>
      <c r="AE2182">
        <v>-7.10869999999999</v>
      </c>
      <c r="AF2182">
        <v>-7.9351573660849599</v>
      </c>
      <c r="AG2182">
        <v>-1.1108350353679901</v>
      </c>
      <c r="AH2182">
        <v>39.186063658970802</v>
      </c>
      <c r="AI2182">
        <v>91.591483810783302</v>
      </c>
      <c r="AJ2182">
        <v>101.447567435465</v>
      </c>
      <c r="AK2182">
        <v>39.996853151032397</v>
      </c>
      <c r="AL2182">
        <v>89.8730231124228</v>
      </c>
      <c r="AM2182">
        <v>87.589623842901005</v>
      </c>
      <c r="AN2182">
        <v>1.0000000234266999</v>
      </c>
    </row>
    <row r="2183" spans="1:40" x14ac:dyDescent="0.25">
      <c r="A2183" t="str">
        <f>"20190312161000251"</f>
        <v>20190312161000251</v>
      </c>
      <c r="B2183" t="str">
        <f>"1552378200238369"</f>
        <v>1552378200238369</v>
      </c>
      <c r="C2183" t="s">
        <v>40</v>
      </c>
      <c r="D2183">
        <v>5.1029739999999997</v>
      </c>
      <c r="E2183">
        <v>0.40720669999999998</v>
      </c>
      <c r="F2183" t="s">
        <v>59</v>
      </c>
      <c r="G2183">
        <v>-497.7878</v>
      </c>
      <c r="H2183" s="1">
        <v>2.0338689999999999E-6</v>
      </c>
      <c r="I2183">
        <v>278.97919999999999</v>
      </c>
      <c r="J2183">
        <v>-459.01659999999998</v>
      </c>
      <c r="K2183">
        <v>1.1109059999999999</v>
      </c>
      <c r="L2183">
        <v>286.03280000000001</v>
      </c>
      <c r="M2183">
        <v>-0.99961290000000003</v>
      </c>
      <c r="N2183">
        <v>0</v>
      </c>
      <c r="O2183">
        <v>2.093509E-2</v>
      </c>
      <c r="P2183">
        <v>-0.99794780000000005</v>
      </c>
      <c r="Q2183">
        <v>-1.5686909999999998E-2</v>
      </c>
      <c r="R2183">
        <v>6.2082119999999998E-2</v>
      </c>
      <c r="S2183">
        <v>-3.0397949999999998</v>
      </c>
      <c r="T2183">
        <v>-8.6481329999999995E-2</v>
      </c>
      <c r="U2183">
        <v>-0.54870609999999997</v>
      </c>
      <c r="V2183">
        <v>4.1171899999999997E-2</v>
      </c>
      <c r="W2183">
        <v>2.639593E-3</v>
      </c>
      <c r="X2183">
        <v>0.99914860000000005</v>
      </c>
      <c r="Y2183">
        <v>-0.1981176</v>
      </c>
      <c r="Z2183">
        <v>-3.386104E-3</v>
      </c>
      <c r="AA2183">
        <v>0.98017240000000005</v>
      </c>
      <c r="AB2183">
        <v>28</v>
      </c>
      <c r="AC2183">
        <v>-38.7712</v>
      </c>
      <c r="AD2183">
        <v>-1.1109039661309901</v>
      </c>
      <c r="AE2183">
        <v>-7.0536000000000101</v>
      </c>
      <c r="AF2183">
        <v>-7.85762415092662</v>
      </c>
      <c r="AG2183">
        <v>-1.1109039661309901</v>
      </c>
      <c r="AH2183">
        <v>38.584345127410998</v>
      </c>
      <c r="AI2183">
        <v>91.616028170685198</v>
      </c>
      <c r="AJ2183">
        <v>101.510765916615</v>
      </c>
      <c r="AK2183">
        <v>39.391979562219902</v>
      </c>
      <c r="AL2183">
        <v>89.848762287180904</v>
      </c>
      <c r="AM2183">
        <v>87.6403487223714</v>
      </c>
      <c r="AN2183">
        <v>1.0000000088413801</v>
      </c>
    </row>
    <row r="2184" spans="1:40" x14ac:dyDescent="0.25">
      <c r="A2184" t="str">
        <f>"20190312161000273"</f>
        <v>20190312161000273</v>
      </c>
      <c r="B2184" t="str">
        <f>"1552378200267651"</f>
        <v>1552378200267651</v>
      </c>
      <c r="C2184" t="s">
        <v>40</v>
      </c>
      <c r="D2184">
        <v>5.124873</v>
      </c>
      <c r="E2184">
        <v>0.40691290000000002</v>
      </c>
      <c r="F2184" t="s">
        <v>59</v>
      </c>
      <c r="G2184">
        <v>-497.51760000000002</v>
      </c>
      <c r="H2184" s="1">
        <v>2.0886140000000002E-6</v>
      </c>
      <c r="I2184">
        <v>279.01799999999997</v>
      </c>
      <c r="J2184">
        <v>-459.29629999999997</v>
      </c>
      <c r="K2184">
        <v>1.110973</v>
      </c>
      <c r="L2184">
        <v>286.03829999999999</v>
      </c>
      <c r="M2184">
        <v>-0.99961690000000003</v>
      </c>
      <c r="N2184">
        <v>0</v>
      </c>
      <c r="O2184">
        <v>2.0604250000000001E-2</v>
      </c>
      <c r="P2184">
        <v>-0.9980618</v>
      </c>
      <c r="Q2184">
        <v>-1.5296580000000001E-2</v>
      </c>
      <c r="R2184">
        <v>6.0321890000000003E-2</v>
      </c>
      <c r="S2184">
        <v>-3.039215</v>
      </c>
      <c r="T2184">
        <v>-8.7693209999999994E-2</v>
      </c>
      <c r="U2184">
        <v>-0.5537415</v>
      </c>
      <c r="V2184">
        <v>3.9739599999999903E-2</v>
      </c>
      <c r="W2184">
        <v>3.1917680000000002E-3</v>
      </c>
      <c r="X2184">
        <v>0.99920500000000001</v>
      </c>
      <c r="Y2184">
        <v>-0.19939519999999999</v>
      </c>
      <c r="Z2184">
        <v>-3.4424830000000001E-3</v>
      </c>
      <c r="AA2184">
        <v>0.97991309999999998</v>
      </c>
      <c r="AB2184">
        <v>28</v>
      </c>
      <c r="AC2184">
        <v>-38.221299999999999</v>
      </c>
      <c r="AD2184">
        <v>-1.110970911386</v>
      </c>
      <c r="AE2184">
        <v>-7.0203000000000104</v>
      </c>
      <c r="AF2184">
        <v>-7.8000898230443303</v>
      </c>
      <c r="AG2184">
        <v>-1.110970911386</v>
      </c>
      <c r="AH2184">
        <v>38.037422294377997</v>
      </c>
      <c r="AI2184">
        <v>91.638895533455894</v>
      </c>
      <c r="AJ2184">
        <v>101.58862188870999</v>
      </c>
      <c r="AK2184">
        <v>38.844834307979198</v>
      </c>
      <c r="AL2184">
        <v>89.817124858959801</v>
      </c>
      <c r="AM2184">
        <v>87.722477373279006</v>
      </c>
      <c r="AN2184">
        <v>1.0000000276080601</v>
      </c>
    </row>
    <row r="2185" spans="1:40" x14ac:dyDescent="0.25">
      <c r="A2185" t="str">
        <f>"20190312161000295"</f>
        <v>20190312161000295</v>
      </c>
      <c r="B2185" t="str">
        <f>"1552378200288146"</f>
        <v>1552378200288146</v>
      </c>
      <c r="C2185" t="s">
        <v>40</v>
      </c>
      <c r="D2185">
        <v>5.1004180000000003</v>
      </c>
      <c r="E2185">
        <v>0.4067173</v>
      </c>
      <c r="F2185" t="s">
        <v>59</v>
      </c>
      <c r="G2185">
        <v>-497.29340000000002</v>
      </c>
      <c r="H2185" s="1">
        <v>2.1281169999999998E-6</v>
      </c>
      <c r="I2185">
        <v>279.01650000000001</v>
      </c>
      <c r="J2185">
        <v>-459.56790000000001</v>
      </c>
      <c r="K2185">
        <v>1.1110370000000001</v>
      </c>
      <c r="L2185">
        <v>286.04349999999999</v>
      </c>
      <c r="M2185">
        <v>-0.99962280000000003</v>
      </c>
      <c r="N2185">
        <v>0</v>
      </c>
      <c r="O2185">
        <v>2.0198239999999999E-2</v>
      </c>
      <c r="P2185">
        <v>-0.99812789999999996</v>
      </c>
      <c r="Q2185">
        <v>-1.5800069999999999E-2</v>
      </c>
      <c r="R2185">
        <v>5.9089040000000002E-2</v>
      </c>
      <c r="S2185">
        <v>-3.0383909999999998</v>
      </c>
      <c r="T2185">
        <v>-8.8837390000000002E-2</v>
      </c>
      <c r="U2185">
        <v>-0.56149289999999996</v>
      </c>
      <c r="V2185">
        <v>3.8911269999999998E-2</v>
      </c>
      <c r="W2185">
        <v>2.8284199999999999E-3</v>
      </c>
      <c r="X2185">
        <v>0.99923870000000004</v>
      </c>
      <c r="Y2185">
        <v>-0.2014591</v>
      </c>
      <c r="Z2185">
        <v>-3.5056530000000001E-3</v>
      </c>
      <c r="AA2185">
        <v>0.97949059999999999</v>
      </c>
      <c r="AB2185">
        <v>27</v>
      </c>
      <c r="AC2185">
        <v>-37.725499999999997</v>
      </c>
      <c r="AD2185">
        <v>-1.1110348718830001</v>
      </c>
      <c r="AE2185">
        <v>-7.0269999999999797</v>
      </c>
      <c r="AF2185">
        <v>-7.7811640787330401</v>
      </c>
      <c r="AG2185">
        <v>-1.1110348718830001</v>
      </c>
      <c r="AH2185">
        <v>37.544371996211801</v>
      </c>
      <c r="AI2185">
        <v>91.659783636598803</v>
      </c>
      <c r="AJ2185">
        <v>101.708923674593</v>
      </c>
      <c r="AK2185">
        <v>38.358320889953497</v>
      </c>
      <c r="AL2185">
        <v>89.837943260620506</v>
      </c>
      <c r="AM2185">
        <v>87.769976622177893</v>
      </c>
      <c r="AN2185">
        <v>1.0000000332351899</v>
      </c>
    </row>
    <row r="2186" spans="1:40" x14ac:dyDescent="0.25">
      <c r="A2186" t="str">
        <f>"20190312161000317"</f>
        <v>20190312161000317</v>
      </c>
      <c r="B2186" t="str">
        <f>"1552378200307666"</f>
        <v>1552378200307666</v>
      </c>
      <c r="C2186" t="s">
        <v>40</v>
      </c>
      <c r="D2186">
        <v>5.1631260000000001</v>
      </c>
      <c r="E2186">
        <v>0.42673729999999999</v>
      </c>
      <c r="F2186" t="s">
        <v>59</v>
      </c>
      <c r="G2186">
        <v>-496.29410000000001</v>
      </c>
      <c r="H2186" s="1">
        <v>2.3364810000000001E-6</v>
      </c>
      <c r="I2186">
        <v>279.19310000000002</v>
      </c>
      <c r="J2186">
        <v>-459.83440000000002</v>
      </c>
      <c r="K2186">
        <v>1.111102</v>
      </c>
      <c r="L2186">
        <v>286.04840000000002</v>
      </c>
      <c r="M2186">
        <v>-0.99963029999999997</v>
      </c>
      <c r="N2186">
        <v>0</v>
      </c>
      <c r="O2186">
        <v>1.9710430000000001E-2</v>
      </c>
      <c r="P2186">
        <v>-0.99814389999999997</v>
      </c>
      <c r="Q2186">
        <v>-1.679023E-2</v>
      </c>
      <c r="R2186">
        <v>5.8541009999999997E-2</v>
      </c>
      <c r="S2186">
        <v>-3.0377200000000002</v>
      </c>
      <c r="T2186">
        <v>-9.1896770000000003E-2</v>
      </c>
      <c r="U2186">
        <v>-0.56661989999999995</v>
      </c>
      <c r="V2186">
        <v>3.8850679999999999E-2</v>
      </c>
      <c r="W2186">
        <v>1.9610550000000002E-3</v>
      </c>
      <c r="X2186">
        <v>0.99924310000000005</v>
      </c>
      <c r="Y2186">
        <v>-0.20261100000000001</v>
      </c>
      <c r="Z2186">
        <v>-3.629195E-3</v>
      </c>
      <c r="AA2186">
        <v>0.97925260000000003</v>
      </c>
      <c r="AB2186">
        <v>27</v>
      </c>
      <c r="AC2186">
        <v>-36.459699999999998</v>
      </c>
      <c r="AD2186">
        <v>-1.111099663519</v>
      </c>
      <c r="AE2186">
        <v>-6.8552999999999997</v>
      </c>
      <c r="AF2186">
        <v>-7.5659435558819697</v>
      </c>
      <c r="AG2186">
        <v>-1.111099663519</v>
      </c>
      <c r="AH2186">
        <v>36.2849223995523</v>
      </c>
      <c r="AI2186">
        <v>91.7170291839725</v>
      </c>
      <c r="AJ2186">
        <v>101.778253677064</v>
      </c>
      <c r="AK2186">
        <v>37.0819853553527</v>
      </c>
      <c r="AL2186">
        <v>89.887639752750104</v>
      </c>
      <c r="AM2186">
        <v>87.773455360654495</v>
      </c>
      <c r="AN2186">
        <v>0.99999999698539199</v>
      </c>
    </row>
    <row r="2187" spans="1:40" x14ac:dyDescent="0.25">
      <c r="A2187" t="str">
        <f>"20190312161000341"</f>
        <v>20190312161000341</v>
      </c>
      <c r="B2187" t="str">
        <f>"1552378200327692"</f>
        <v>1552378200327692</v>
      </c>
      <c r="C2187" t="s">
        <v>40</v>
      </c>
      <c r="D2187">
        <v>5.0987970000000002</v>
      </c>
      <c r="E2187">
        <v>0.43612879999999998</v>
      </c>
      <c r="F2187" t="s">
        <v>59</v>
      </c>
      <c r="G2187">
        <v>-481.52670000000001</v>
      </c>
      <c r="H2187" s="1">
        <v>2.3445670000000001E-6</v>
      </c>
      <c r="I2187">
        <v>283.10649999999998</v>
      </c>
      <c r="J2187">
        <v>-460.11869999999999</v>
      </c>
      <c r="K2187">
        <v>1.1111899999999999</v>
      </c>
      <c r="L2187">
        <v>286.05340000000001</v>
      </c>
      <c r="M2187">
        <v>-0.99964039999999998</v>
      </c>
      <c r="N2187">
        <v>0</v>
      </c>
      <c r="O2187">
        <v>1.9082390000000001E-2</v>
      </c>
      <c r="P2187">
        <v>-0.99821389999999999</v>
      </c>
      <c r="Q2187">
        <v>-1.6902179999999999E-2</v>
      </c>
      <c r="R2187">
        <v>5.7301909999999998E-2</v>
      </c>
      <c r="S2187">
        <v>-3.0269780000000002</v>
      </c>
      <c r="T2187">
        <v>-0.1550443</v>
      </c>
      <c r="U2187">
        <v>-0.41052250000000001</v>
      </c>
      <c r="V2187">
        <v>3.8237859999999999E-2</v>
      </c>
      <c r="W2187">
        <v>1.9653470000000001E-3</v>
      </c>
      <c r="X2187">
        <v>0.99926669999999995</v>
      </c>
      <c r="Y2187">
        <v>-0.15305739999999901</v>
      </c>
      <c r="Z2187">
        <v>-4.8722549999999998E-3</v>
      </c>
      <c r="AA2187">
        <v>0.98820529999999995</v>
      </c>
      <c r="AB2187">
        <v>27</v>
      </c>
      <c r="AC2187">
        <v>-21.408000000000001</v>
      </c>
      <c r="AD2187">
        <v>-1.11118765543299</v>
      </c>
      <c r="AE2187">
        <v>-2.9469000000000198</v>
      </c>
      <c r="AF2187">
        <v>-3.3461042640213701</v>
      </c>
      <c r="AG2187">
        <v>-1.11118765543299</v>
      </c>
      <c r="AH2187">
        <v>21.291560618715199</v>
      </c>
      <c r="AI2187">
        <v>92.951346663516901</v>
      </c>
      <c r="AJ2187">
        <v>98.931345369976896</v>
      </c>
      <c r="AK2187">
        <v>21.581513045468199</v>
      </c>
      <c r="AL2187">
        <v>89.887393835427702</v>
      </c>
      <c r="AM2187">
        <v>87.808593456002598</v>
      </c>
      <c r="AN2187">
        <v>0.99999996712754902</v>
      </c>
    </row>
    <row r="2188" spans="1:40" x14ac:dyDescent="0.25">
      <c r="A2188" t="str">
        <f>"20190312161000363"</f>
        <v>20190312161000363</v>
      </c>
      <c r="B2188" t="str">
        <f>"1552378200357948"</f>
        <v>1552378200357948</v>
      </c>
      <c r="C2188" t="s">
        <v>40</v>
      </c>
      <c r="D2188">
        <v>4.9903769999999996</v>
      </c>
      <c r="E2188">
        <v>0.44200440000000002</v>
      </c>
      <c r="F2188" t="s">
        <v>59</v>
      </c>
      <c r="G2188">
        <v>-482.76620000000003</v>
      </c>
      <c r="H2188" s="1">
        <v>2.5999100000000002E-6</v>
      </c>
      <c r="I2188">
        <v>283.51229999999998</v>
      </c>
      <c r="J2188">
        <v>-460.38959999999997</v>
      </c>
      <c r="K2188">
        <v>1.1112839999999999</v>
      </c>
      <c r="L2188">
        <v>286.05770000000001</v>
      </c>
      <c r="M2188">
        <v>-0.99965199999999999</v>
      </c>
      <c r="N2188">
        <v>0</v>
      </c>
      <c r="O2188">
        <v>1.836747E-2</v>
      </c>
      <c r="P2188">
        <v>-0.99828119999999998</v>
      </c>
      <c r="Q2188">
        <v>-1.6788339999999999E-2</v>
      </c>
      <c r="R2188">
        <v>5.6150390000000001E-2</v>
      </c>
      <c r="S2188">
        <v>-3.0223080000000002</v>
      </c>
      <c r="T2188">
        <v>-0.148288</v>
      </c>
      <c r="U2188">
        <v>-0.3391113</v>
      </c>
      <c r="V2188">
        <v>3.7799239999999998E-2</v>
      </c>
      <c r="W2188">
        <v>2.177062E-3</v>
      </c>
      <c r="X2188">
        <v>0.99928300000000003</v>
      </c>
      <c r="Y2188">
        <v>-0.1295646</v>
      </c>
      <c r="Z2188">
        <v>-4.0648739999999996E-3</v>
      </c>
      <c r="AA2188">
        <v>0.99156270000000002</v>
      </c>
      <c r="AB2188">
        <v>27</v>
      </c>
      <c r="AC2188">
        <v>-22.3766</v>
      </c>
      <c r="AD2188">
        <v>-1.11128140009</v>
      </c>
      <c r="AE2188">
        <v>-2.5454000000000199</v>
      </c>
      <c r="AF2188">
        <v>-2.9488655577904699</v>
      </c>
      <c r="AG2188">
        <v>-1.11128140009</v>
      </c>
      <c r="AH2188">
        <v>22.271833771760502</v>
      </c>
      <c r="AI2188">
        <v>92.831803564239394</v>
      </c>
      <c r="AJ2188">
        <v>97.542284004862594</v>
      </c>
      <c r="AK2188">
        <v>22.493673199036198</v>
      </c>
      <c r="AL2188">
        <v>89.875263439387695</v>
      </c>
      <c r="AM2188">
        <v>87.833741922688304</v>
      </c>
      <c r="AN2188">
        <v>1.00000001811626</v>
      </c>
    </row>
    <row r="2189" spans="1:40" x14ac:dyDescent="0.25">
      <c r="A2189" t="str">
        <f>"20190312161000389"</f>
        <v>20190312161000389</v>
      </c>
      <c r="B2189" t="str">
        <f>"1552378200377468"</f>
        <v>1552378200377468</v>
      </c>
      <c r="C2189" t="s">
        <v>40</v>
      </c>
      <c r="D2189">
        <v>5.0798969999999999</v>
      </c>
      <c r="E2189">
        <v>0.44424740000000001</v>
      </c>
      <c r="F2189" t="s">
        <v>59</v>
      </c>
      <c r="G2189">
        <v>-483.56209999999999</v>
      </c>
      <c r="H2189" s="1">
        <v>2.765192E-6</v>
      </c>
      <c r="I2189">
        <v>283.78800000000001</v>
      </c>
      <c r="J2189">
        <v>-460.68439999999998</v>
      </c>
      <c r="K2189">
        <v>1.1113869999999999</v>
      </c>
      <c r="L2189">
        <v>286.06220000000002</v>
      </c>
      <c r="M2189">
        <v>-0.99966730000000004</v>
      </c>
      <c r="N2189">
        <v>0</v>
      </c>
      <c r="O2189">
        <v>1.7429799999999999E-2</v>
      </c>
      <c r="P2189">
        <v>-0.99836369999999997</v>
      </c>
      <c r="Q2189">
        <v>-1.6606820000000001E-2</v>
      </c>
      <c r="R2189">
        <v>5.4721489999999998E-2</v>
      </c>
      <c r="S2189">
        <v>-3.0193479999999999</v>
      </c>
      <c r="T2189">
        <v>-0.14479890000000001</v>
      </c>
      <c r="U2189">
        <v>-0.2957458</v>
      </c>
      <c r="V2189">
        <v>3.7305400000000002E-2</v>
      </c>
      <c r="W2189">
        <v>2.450289E-3</v>
      </c>
      <c r="X2189">
        <v>0.99930090000000005</v>
      </c>
      <c r="Y2189">
        <v>-0.1146684</v>
      </c>
      <c r="Z2189">
        <v>-3.5751540000000001E-3</v>
      </c>
      <c r="AA2189">
        <v>0.99339739999999999</v>
      </c>
      <c r="AB2189">
        <v>27</v>
      </c>
      <c r="AC2189">
        <v>-22.877700000000001</v>
      </c>
      <c r="AD2189">
        <v>-1.1113842348080001</v>
      </c>
      <c r="AE2189">
        <v>-2.2742</v>
      </c>
      <c r="AF2189">
        <v>-2.66644910227844</v>
      </c>
      <c r="AG2189">
        <v>-1.1113842348080001</v>
      </c>
      <c r="AH2189">
        <v>22.7813404935102</v>
      </c>
      <c r="AI2189">
        <v>92.774044460500505</v>
      </c>
      <c r="AJ2189">
        <v>96.675827558137101</v>
      </c>
      <c r="AK2189">
        <v>22.963767121569301</v>
      </c>
      <c r="AL2189">
        <v>89.859608640213395</v>
      </c>
      <c r="AM2189">
        <v>87.862055502594401</v>
      </c>
      <c r="AN2189">
        <v>0.99999999276307605</v>
      </c>
    </row>
    <row r="2190" spans="1:40" x14ac:dyDescent="0.25">
      <c r="A2190" t="str">
        <f>"20190312161000409"</f>
        <v>20190312161000409</v>
      </c>
      <c r="B2190" t="str">
        <f>"1552378200397964"</f>
        <v>1552378200397964</v>
      </c>
      <c r="C2190" t="s">
        <v>40</v>
      </c>
      <c r="D2190">
        <v>5.0905269999999998</v>
      </c>
      <c r="E2190">
        <v>0.44507659999999999</v>
      </c>
      <c r="F2190" t="s">
        <v>59</v>
      </c>
      <c r="G2190">
        <v>-483.5016</v>
      </c>
      <c r="H2190" s="1">
        <v>2.7668770000000001E-6</v>
      </c>
      <c r="I2190">
        <v>283.93</v>
      </c>
      <c r="J2190">
        <v>-460.93380000000002</v>
      </c>
      <c r="K2190">
        <v>1.111475</v>
      </c>
      <c r="L2190">
        <v>286.06549999999999</v>
      </c>
      <c r="M2190">
        <v>-0.99968170000000001</v>
      </c>
      <c r="N2190">
        <v>0</v>
      </c>
      <c r="O2190">
        <v>1.6520110000000001E-2</v>
      </c>
      <c r="P2190">
        <v>-0.99844500000000003</v>
      </c>
      <c r="Q2190">
        <v>-1.6418479999999999E-2</v>
      </c>
      <c r="R2190">
        <v>5.327544E-2</v>
      </c>
      <c r="S2190">
        <v>-3.017944</v>
      </c>
      <c r="T2190">
        <v>-0.14699889999999999</v>
      </c>
      <c r="U2190">
        <v>-0.28201290000000001</v>
      </c>
      <c r="V2190">
        <v>3.6766460000000001E-2</v>
      </c>
      <c r="W2190">
        <v>2.7063500000000002E-3</v>
      </c>
      <c r="X2190">
        <v>0.99932019999999999</v>
      </c>
      <c r="Y2190">
        <v>-0.10933080000000001</v>
      </c>
      <c r="Z2190">
        <v>-3.458025E-3</v>
      </c>
      <c r="AA2190">
        <v>0.99399939999999998</v>
      </c>
      <c r="AB2190">
        <v>27</v>
      </c>
      <c r="AC2190">
        <v>-22.567799999999899</v>
      </c>
      <c r="AD2190">
        <v>-1.111472233123</v>
      </c>
      <c r="AE2190">
        <v>-2.1354999999999702</v>
      </c>
      <c r="AF2190">
        <v>-2.5020836153525399</v>
      </c>
      <c r="AG2190">
        <v>-1.111472233123</v>
      </c>
      <c r="AH2190">
        <v>22.475401551588298</v>
      </c>
      <c r="AI2190">
        <v>92.813777895234793</v>
      </c>
      <c r="AJ2190">
        <v>96.352320958092804</v>
      </c>
      <c r="AK2190">
        <v>22.641542965274201</v>
      </c>
      <c r="AL2190">
        <v>89.8449373746503</v>
      </c>
      <c r="AM2190">
        <v>87.892954363403106</v>
      </c>
      <c r="AN2190">
        <v>0.99999997951964603</v>
      </c>
    </row>
    <row r="2191" spans="1:40" x14ac:dyDescent="0.25">
      <c r="A2191" t="str">
        <f>"20190312161000429"</f>
        <v>20190312161000429</v>
      </c>
      <c r="B2191" t="str">
        <f>"1552378200417484"</f>
        <v>1552378200417484</v>
      </c>
      <c r="C2191" t="s">
        <v>40</v>
      </c>
      <c r="D2191">
        <v>4.8986390000000002</v>
      </c>
      <c r="E2191">
        <v>0.44565270000000001</v>
      </c>
      <c r="F2191" t="s">
        <v>59</v>
      </c>
      <c r="G2191">
        <v>-484.18329999999997</v>
      </c>
      <c r="H2191" s="1">
        <v>2.8859479999999998E-6</v>
      </c>
      <c r="I2191">
        <v>283.90890000000002</v>
      </c>
      <c r="J2191">
        <v>-461.17360000000002</v>
      </c>
      <c r="K2191">
        <v>1.1115539999999999</v>
      </c>
      <c r="L2191">
        <v>286.0684</v>
      </c>
      <c r="M2191">
        <v>-0.99969609999999998</v>
      </c>
      <c r="N2191">
        <v>0</v>
      </c>
      <c r="O2191">
        <v>1.5553290000000001E-2</v>
      </c>
      <c r="P2191">
        <v>-0.99856719999999999</v>
      </c>
      <c r="Q2191">
        <v>-1.6728159999999999E-2</v>
      </c>
      <c r="R2191">
        <v>5.0830140000000003E-2</v>
      </c>
      <c r="S2191">
        <v>-3.0172119999999998</v>
      </c>
      <c r="T2191">
        <v>-0.14424189999999901</v>
      </c>
      <c r="U2191">
        <v>-0.27987669999999998</v>
      </c>
      <c r="V2191">
        <v>3.5285759999999999E-2</v>
      </c>
      <c r="W2191">
        <v>2.4517190000000002E-3</v>
      </c>
      <c r="X2191">
        <v>0.99937430000000005</v>
      </c>
      <c r="Y2191">
        <v>-0.1077024</v>
      </c>
      <c r="Z2191">
        <v>-3.3092379999999999E-3</v>
      </c>
      <c r="AA2191">
        <v>0.99417770000000005</v>
      </c>
      <c r="AB2191">
        <v>27</v>
      </c>
      <c r="AC2191">
        <v>-23.009699999999899</v>
      </c>
      <c r="AD2191">
        <v>-1.111551114052</v>
      </c>
      <c r="AE2191">
        <v>-2.15949999999998</v>
      </c>
      <c r="AF2191">
        <v>-2.51137119569644</v>
      </c>
      <c r="AG2191">
        <v>-1.111551114052</v>
      </c>
      <c r="AH2191">
        <v>22.9203011634382</v>
      </c>
      <c r="AI2191">
        <v>92.759969066026201</v>
      </c>
      <c r="AJ2191">
        <v>96.252939392449505</v>
      </c>
      <c r="AK2191">
        <v>23.084253000355599</v>
      </c>
      <c r="AL2191">
        <v>89.859526714149197</v>
      </c>
      <c r="AM2191">
        <v>87.977849111551194</v>
      </c>
      <c r="AN2191">
        <v>1.0000000436426599</v>
      </c>
    </row>
    <row r="2192" spans="1:40" x14ac:dyDescent="0.25">
      <c r="A2192" t="str">
        <f>"20190312161000452"</f>
        <v>20190312161000452</v>
      </c>
      <c r="B2192" t="str">
        <f>"1552378200448247"</f>
        <v>1552378200448247</v>
      </c>
      <c r="C2192" t="s">
        <v>40</v>
      </c>
      <c r="D2192">
        <v>5.0910190000000002</v>
      </c>
      <c r="E2192">
        <v>0.44628780000000001</v>
      </c>
      <c r="F2192" t="s">
        <v>59</v>
      </c>
      <c r="G2192">
        <v>-484.18079999999998</v>
      </c>
      <c r="H2192" s="1">
        <v>2.885885E-6</v>
      </c>
      <c r="I2192">
        <v>283.91329999999999</v>
      </c>
      <c r="J2192">
        <v>-461.43400000000003</v>
      </c>
      <c r="K2192">
        <v>1.111637</v>
      </c>
      <c r="L2192">
        <v>286.0711</v>
      </c>
      <c r="M2192">
        <v>-0.99971259999999995</v>
      </c>
      <c r="N2192">
        <v>0</v>
      </c>
      <c r="O2192">
        <v>1.4394850000000001E-2</v>
      </c>
      <c r="P2192">
        <v>-0.99869889999999995</v>
      </c>
      <c r="Q2192">
        <v>-1.7592070000000001E-2</v>
      </c>
      <c r="R2192">
        <v>4.7868969999999997E-2</v>
      </c>
      <c r="S2192">
        <v>-3.0162049999999998</v>
      </c>
      <c r="T2192">
        <v>-0.14572270000000001</v>
      </c>
      <c r="U2192">
        <v>-0.2825317</v>
      </c>
      <c r="V2192">
        <v>3.3482089999999999E-2</v>
      </c>
      <c r="W2192">
        <v>1.6382370000000001E-3</v>
      </c>
      <c r="X2192">
        <v>0.99943800000000005</v>
      </c>
      <c r="Y2192">
        <v>-0.10744720000000001</v>
      </c>
      <c r="Z2192">
        <v>-3.282161E-3</v>
      </c>
      <c r="AA2192">
        <v>0.99420540000000002</v>
      </c>
      <c r="AB2192">
        <v>26</v>
      </c>
      <c r="AC2192">
        <v>-22.746799999999901</v>
      </c>
      <c r="AD2192">
        <v>-1.1116341141149999</v>
      </c>
      <c r="AE2192">
        <v>-2.1577999999999999</v>
      </c>
      <c r="AF2192">
        <v>-2.4792051029829998</v>
      </c>
      <c r="AG2192">
        <v>-1.1116341141149999</v>
      </c>
      <c r="AH2192">
        <v>22.659740499922801</v>
      </c>
      <c r="AI2192">
        <v>92.791911839001202</v>
      </c>
      <c r="AJ2192">
        <v>96.243903219200405</v>
      </c>
      <c r="AK2192">
        <v>22.822051351054402</v>
      </c>
      <c r="AL2192">
        <v>89.906135894419293</v>
      </c>
      <c r="AM2192">
        <v>88.081256411151102</v>
      </c>
      <c r="AN2192">
        <v>1.00000002500761</v>
      </c>
    </row>
    <row r="2193" spans="1:40" x14ac:dyDescent="0.25">
      <c r="A2193" t="str">
        <f>"20190312161000475"</f>
        <v>20190312161000475</v>
      </c>
      <c r="B2193" t="str">
        <f>"1552378200467768"</f>
        <v>1552378200467768</v>
      </c>
      <c r="C2193" t="s">
        <v>40</v>
      </c>
      <c r="D2193">
        <v>5.0942730000000003</v>
      </c>
      <c r="E2193">
        <v>0.44655430000000002</v>
      </c>
      <c r="F2193" t="s">
        <v>59</v>
      </c>
      <c r="G2193">
        <v>-483.92700000000002</v>
      </c>
      <c r="H2193" s="1">
        <v>2.842743E-6</v>
      </c>
      <c r="I2193">
        <v>283.93470000000002</v>
      </c>
      <c r="J2193">
        <v>-461.70839999999998</v>
      </c>
      <c r="K2193">
        <v>1.111718</v>
      </c>
      <c r="L2193">
        <v>286.0736</v>
      </c>
      <c r="M2193">
        <v>-0.99973009999999995</v>
      </c>
      <c r="N2193">
        <v>0</v>
      </c>
      <c r="O2193">
        <v>1.305051E-2</v>
      </c>
      <c r="P2193">
        <v>-0.99884119999999998</v>
      </c>
      <c r="Q2193">
        <v>-1.799659E-2</v>
      </c>
      <c r="R2193">
        <v>4.4633939999999997E-2</v>
      </c>
      <c r="S2193">
        <v>-3.0150450000000002</v>
      </c>
      <c r="T2193">
        <v>-0.14900759999999999</v>
      </c>
      <c r="U2193">
        <v>-0.28637699999999999</v>
      </c>
      <c r="V2193">
        <v>3.1589550000000001E-2</v>
      </c>
      <c r="W2193">
        <v>1.2829930000000001E-3</v>
      </c>
      <c r="X2193">
        <v>0.9995001</v>
      </c>
      <c r="Y2193">
        <v>-0.107397699999999</v>
      </c>
      <c r="Z2193">
        <v>-3.2896459999999998E-3</v>
      </c>
      <c r="AA2193">
        <v>0.9942107</v>
      </c>
      <c r="AB2193">
        <v>26</v>
      </c>
      <c r="AC2193">
        <v>-22.218599999999899</v>
      </c>
      <c r="AD2193">
        <v>-1.1117151572570001</v>
      </c>
      <c r="AE2193">
        <v>-2.1388999999999698</v>
      </c>
      <c r="AF2193">
        <v>-2.4227257291203901</v>
      </c>
      <c r="AG2193">
        <v>-1.1117151572570001</v>
      </c>
      <c r="AH2193">
        <v>22.1338840899916</v>
      </c>
      <c r="AI2193">
        <v>92.858326641071102</v>
      </c>
      <c r="AJ2193">
        <v>96.246600961152893</v>
      </c>
      <c r="AK2193">
        <v>22.293818323889699</v>
      </c>
      <c r="AL2193">
        <v>89.926489895627697</v>
      </c>
      <c r="AM2193">
        <v>88.1897494542808</v>
      </c>
      <c r="AN2193">
        <v>0.99999999782012505</v>
      </c>
    </row>
    <row r="2194" spans="1:40" x14ac:dyDescent="0.25">
      <c r="A2194" t="str">
        <f>"20190312161000497"</f>
        <v>20190312161000497</v>
      </c>
      <c r="B2194" t="str">
        <f>"1552378200488263"</f>
        <v>1552378200488263</v>
      </c>
      <c r="C2194" t="s">
        <v>40</v>
      </c>
      <c r="D2194">
        <v>5.0768339999999998</v>
      </c>
      <c r="E2194">
        <v>0.4469262</v>
      </c>
      <c r="F2194" t="s">
        <v>59</v>
      </c>
      <c r="G2194">
        <v>-483.94799999999998</v>
      </c>
      <c r="H2194" s="1">
        <v>2.8439360000000001E-6</v>
      </c>
      <c r="I2194">
        <v>283.90570000000002</v>
      </c>
      <c r="J2194">
        <v>-461.96289999999999</v>
      </c>
      <c r="K2194">
        <v>1.111799</v>
      </c>
      <c r="L2194">
        <v>286.0754</v>
      </c>
      <c r="M2194">
        <v>-0.99974609999999997</v>
      </c>
      <c r="N2194">
        <v>0</v>
      </c>
      <c r="O2194">
        <v>1.1691790000000001E-2</v>
      </c>
      <c r="P2194">
        <v>-0.99894510000000003</v>
      </c>
      <c r="Q2194">
        <v>-1.8604780000000001E-2</v>
      </c>
      <c r="R2194">
        <v>4.1985580000000002E-2</v>
      </c>
      <c r="S2194">
        <v>-3.013916</v>
      </c>
      <c r="T2194">
        <v>-0.15065970000000001</v>
      </c>
      <c r="U2194">
        <v>-0.29379270000000002</v>
      </c>
      <c r="V2194">
        <v>3.0299489999999998E-2</v>
      </c>
      <c r="W2194">
        <v>7.2461759999999998E-4</v>
      </c>
      <c r="X2194">
        <v>0.9995406</v>
      </c>
      <c r="Y2194">
        <v>-0.1085023</v>
      </c>
      <c r="Z2194">
        <v>-3.2867080000000002E-3</v>
      </c>
      <c r="AA2194">
        <v>0.99409069999999999</v>
      </c>
      <c r="AB2194">
        <v>26</v>
      </c>
      <c r="AC2194">
        <v>-21.985099999999999</v>
      </c>
      <c r="AD2194">
        <v>-1.111796156064</v>
      </c>
      <c r="AE2194">
        <v>-2.16969999999997</v>
      </c>
      <c r="AF2194">
        <v>-2.4205140752832</v>
      </c>
      <c r="AG2194">
        <v>-1.111796156064</v>
      </c>
      <c r="AH2194">
        <v>21.9027512120559</v>
      </c>
      <c r="AI2194">
        <v>92.8883186347757</v>
      </c>
      <c r="AJ2194">
        <v>96.306274448222993</v>
      </c>
      <c r="AK2194">
        <v>22.064122229050898</v>
      </c>
      <c r="AL2194">
        <v>89.958482466026396</v>
      </c>
      <c r="AM2194">
        <v>88.263700901534193</v>
      </c>
      <c r="AN2194">
        <v>0.99999999760664304</v>
      </c>
    </row>
    <row r="2195" spans="1:40" x14ac:dyDescent="0.25">
      <c r="A2195" t="str">
        <f>"20190312161000521"</f>
        <v>20190312161000521</v>
      </c>
      <c r="B2195" t="str">
        <f>"1552378200517544"</f>
        <v>1552378200517544</v>
      </c>
      <c r="C2195" t="s">
        <v>40</v>
      </c>
      <c r="D2195">
        <v>5.0465339999999896</v>
      </c>
      <c r="E2195">
        <v>0.44735829999999999</v>
      </c>
      <c r="F2195" t="s">
        <v>59</v>
      </c>
      <c r="G2195">
        <v>-483.81220000000002</v>
      </c>
      <c r="H2195" s="1">
        <v>2.8200769999999999E-6</v>
      </c>
      <c r="I2195">
        <v>283.9083</v>
      </c>
      <c r="J2195">
        <v>-462.23430000000002</v>
      </c>
      <c r="K2195">
        <v>1.111882</v>
      </c>
      <c r="L2195">
        <v>286.07679999999999</v>
      </c>
      <c r="M2195">
        <v>-0.99976220000000005</v>
      </c>
      <c r="N2195">
        <v>0</v>
      </c>
      <c r="O2195">
        <v>1.0128059999999999E-2</v>
      </c>
      <c r="P2195">
        <v>-0.99904230000000005</v>
      </c>
      <c r="Q2195">
        <v>-1.9282500000000001E-2</v>
      </c>
      <c r="R2195">
        <v>3.9284380000000001E-2</v>
      </c>
      <c r="S2195">
        <v>-3.0128780000000002</v>
      </c>
      <c r="T2195">
        <v>-0.15330929999999901</v>
      </c>
      <c r="U2195">
        <v>-0.29882809999999999</v>
      </c>
      <c r="V2195">
        <v>2.9162E-2</v>
      </c>
      <c r="W2195">
        <v>1.052062E-4</v>
      </c>
      <c r="X2195">
        <v>0.99957470000000004</v>
      </c>
      <c r="Y2195">
        <v>-0.1086226</v>
      </c>
      <c r="Z2195">
        <v>-3.2690039999999998E-3</v>
      </c>
      <c r="AA2195">
        <v>0.99407769999999995</v>
      </c>
      <c r="AB2195">
        <v>26</v>
      </c>
      <c r="AC2195">
        <v>-21.5779</v>
      </c>
      <c r="AD2195">
        <v>-1.1118791799229999</v>
      </c>
      <c r="AE2195">
        <v>-2.1684999999999901</v>
      </c>
      <c r="AF2195">
        <v>-2.3807137056765701</v>
      </c>
      <c r="AG2195">
        <v>-1.1118791799229999</v>
      </c>
      <c r="AH2195">
        <v>21.4983145254647</v>
      </c>
      <c r="AI2195">
        <v>92.9427067231629</v>
      </c>
      <c r="AJ2195">
        <v>96.319161703577194</v>
      </c>
      <c r="AK2195">
        <v>21.658291726148398</v>
      </c>
      <c r="AL2195">
        <v>89.993972128793004</v>
      </c>
      <c r="AM2195">
        <v>88.328903567090904</v>
      </c>
      <c r="AN2195">
        <v>1.0000000070962101</v>
      </c>
    </row>
    <row r="2196" spans="1:40" x14ac:dyDescent="0.25">
      <c r="A2196" t="str">
        <f>"20190312161000566"</f>
        <v>20190312161000566</v>
      </c>
      <c r="B2196" t="str">
        <f>"1552378200558066"</f>
        <v>1552378200558066</v>
      </c>
      <c r="C2196" t="s">
        <v>40</v>
      </c>
      <c r="D2196">
        <v>5.0641160000000003</v>
      </c>
      <c r="E2196">
        <v>0.4478897</v>
      </c>
      <c r="F2196" t="s">
        <v>59</v>
      </c>
      <c r="G2196">
        <v>-483.66379999999998</v>
      </c>
      <c r="H2196" s="1">
        <v>2.7944680000000001E-6</v>
      </c>
      <c r="I2196">
        <v>283.91660000000002</v>
      </c>
      <c r="J2196">
        <v>-462.7423</v>
      </c>
      <c r="K2196">
        <v>1.1120509999999999</v>
      </c>
      <c r="L2196">
        <v>286.0779</v>
      </c>
      <c r="M2196">
        <v>-0.99978719999999999</v>
      </c>
      <c r="N2196">
        <v>0</v>
      </c>
      <c r="O2196">
        <v>6.8689390000000001E-3</v>
      </c>
      <c r="P2196">
        <v>-0.9992008</v>
      </c>
      <c r="Q2196">
        <v>-1.9750380000000001E-2</v>
      </c>
      <c r="R2196">
        <v>3.4758219999999999E-2</v>
      </c>
      <c r="S2196">
        <v>-3.0118710000000002</v>
      </c>
      <c r="T2196">
        <v>-0.15627289999999999</v>
      </c>
      <c r="U2196">
        <v>-0.30361939999999998</v>
      </c>
      <c r="V2196">
        <v>2.789355E-2</v>
      </c>
      <c r="W2196">
        <v>-2.211945E-4</v>
      </c>
      <c r="X2196">
        <v>0.99961089999999997</v>
      </c>
      <c r="Y2196">
        <v>-0.1069808</v>
      </c>
      <c r="Z2196">
        <v>-3.1218790000000001E-3</v>
      </c>
      <c r="AA2196">
        <v>0.99425620000000003</v>
      </c>
      <c r="AB2196">
        <v>26</v>
      </c>
      <c r="AC2196">
        <v>-20.921499999999899</v>
      </c>
      <c r="AD2196">
        <v>-1.112048205532</v>
      </c>
      <c r="AE2196">
        <v>-2.1612999999999798</v>
      </c>
      <c r="AF2196">
        <v>-2.2985591932051599</v>
      </c>
      <c r="AG2196">
        <v>-1.112048205532</v>
      </c>
      <c r="AH2196">
        <v>20.847878443933698</v>
      </c>
      <c r="AI2196">
        <v>93.034968709254102</v>
      </c>
      <c r="AJ2196">
        <v>96.291669638810802</v>
      </c>
      <c r="AK2196">
        <v>21.003667803246401</v>
      </c>
      <c r="AL2196">
        <v>90.012673511085097</v>
      </c>
      <c r="AM2196">
        <v>88.401609993616205</v>
      </c>
      <c r="AN2196">
        <v>1.0000000252287</v>
      </c>
    </row>
    <row r="2197" spans="1:40" x14ac:dyDescent="0.25">
      <c r="A2197" t="str">
        <f>"20190312161000591"</f>
        <v>20190312161000591</v>
      </c>
      <c r="B2197" t="str">
        <f>"1552378200577587"</f>
        <v>1552378200577587</v>
      </c>
      <c r="C2197" t="s">
        <v>40</v>
      </c>
      <c r="D2197">
        <v>5.0743900000000002</v>
      </c>
      <c r="E2197">
        <v>0.44820939999999998</v>
      </c>
      <c r="F2197" t="s">
        <v>59</v>
      </c>
      <c r="G2197">
        <v>-483.94549999999998</v>
      </c>
      <c r="H2197" s="1">
        <v>2.840738E-6</v>
      </c>
      <c r="I2197">
        <v>283.87430000000001</v>
      </c>
      <c r="J2197">
        <v>-463.02730000000003</v>
      </c>
      <c r="K2197">
        <v>1.112131</v>
      </c>
      <c r="L2197">
        <v>286.07749999999999</v>
      </c>
      <c r="M2197">
        <v>-0.99979750000000001</v>
      </c>
      <c r="N2197">
        <v>0</v>
      </c>
      <c r="O2197">
        <v>4.8693010000000004E-3</v>
      </c>
      <c r="P2197">
        <v>-0.99926870000000001</v>
      </c>
      <c r="Q2197">
        <v>-1.9847429999999999E-2</v>
      </c>
      <c r="R2197">
        <v>3.2688509999999997E-2</v>
      </c>
      <c r="S2197">
        <v>-3.0101930000000001</v>
      </c>
      <c r="T2197">
        <v>-0.15787660000000001</v>
      </c>
      <c r="U2197">
        <v>-0.31283569999999999</v>
      </c>
      <c r="V2197">
        <v>2.782227E-2</v>
      </c>
      <c r="W2197">
        <v>-2.3822719999999999E-4</v>
      </c>
      <c r="X2197">
        <v>0.99961290000000003</v>
      </c>
      <c r="Y2197">
        <v>-0.1080581</v>
      </c>
      <c r="Z2197">
        <v>-3.0787309999999999E-3</v>
      </c>
      <c r="AA2197">
        <v>0.99413980000000002</v>
      </c>
      <c r="AB2197">
        <v>26</v>
      </c>
      <c r="AC2197">
        <v>-20.918199999999899</v>
      </c>
      <c r="AD2197">
        <v>-1.112128159262</v>
      </c>
      <c r="AE2197">
        <v>-2.2031999999999798</v>
      </c>
      <c r="AF2197">
        <v>-2.2986243476544401</v>
      </c>
      <c r="AG2197">
        <v>-1.112128159262</v>
      </c>
      <c r="AH2197">
        <v>20.848937236398601</v>
      </c>
      <c r="AI2197">
        <v>93.035033474264196</v>
      </c>
      <c r="AJ2197">
        <v>96.291529588044995</v>
      </c>
      <c r="AK2197">
        <v>21.004730105896101</v>
      </c>
      <c r="AL2197">
        <v>90.013649412672095</v>
      </c>
      <c r="AM2197">
        <v>88.405695643986107</v>
      </c>
      <c r="AN2197">
        <v>1.00000004265328</v>
      </c>
    </row>
    <row r="2198" spans="1:40" x14ac:dyDescent="0.25">
      <c r="A2198" t="str">
        <f>"20190312161000610"</f>
        <v>20190312161000610</v>
      </c>
      <c r="B2198" t="str">
        <f>"1552378200607842"</f>
        <v>1552378200607842</v>
      </c>
      <c r="C2198" t="s">
        <v>40</v>
      </c>
      <c r="D2198">
        <v>5.0237879999999997</v>
      </c>
      <c r="E2198">
        <v>0.44869989999999998</v>
      </c>
      <c r="F2198" t="s">
        <v>59</v>
      </c>
      <c r="G2198">
        <v>-484.13099999999997</v>
      </c>
      <c r="H2198" s="1">
        <v>2.8724039999999999E-6</v>
      </c>
      <c r="I2198">
        <v>283.86009999999999</v>
      </c>
      <c r="J2198">
        <v>-463.25959999999998</v>
      </c>
      <c r="K2198">
        <v>1.112177</v>
      </c>
      <c r="L2198">
        <v>286.07659999999998</v>
      </c>
      <c r="M2198">
        <v>-0.99980309999999994</v>
      </c>
      <c r="N2198">
        <v>0</v>
      </c>
      <c r="O2198">
        <v>3.174821E-3</v>
      </c>
      <c r="P2198">
        <v>-0.99929049999999997</v>
      </c>
      <c r="Q2198">
        <v>-2.0631170000000001E-2</v>
      </c>
      <c r="R2198">
        <v>3.1514710000000001E-2</v>
      </c>
      <c r="S2198">
        <v>-3.009369</v>
      </c>
      <c r="T2198">
        <v>-0.15858889999999901</v>
      </c>
      <c r="U2198">
        <v>-0.31619259999999999</v>
      </c>
      <c r="V2198">
        <v>2.834455E-2</v>
      </c>
      <c r="W2198">
        <v>-9.6215829999999995E-4</v>
      </c>
      <c r="X2198">
        <v>0.99959770000000003</v>
      </c>
      <c r="Y2198">
        <v>-0.10749980000000001</v>
      </c>
      <c r="Z2198">
        <v>-2.9895899999999999E-3</v>
      </c>
      <c r="AA2198">
        <v>0.99420059999999999</v>
      </c>
      <c r="AB2198">
        <v>25</v>
      </c>
      <c r="AC2198">
        <v>-20.871399999999898</v>
      </c>
      <c r="AD2198">
        <v>-1.112174127596</v>
      </c>
      <c r="AE2198">
        <v>-2.2164999999999901</v>
      </c>
      <c r="AF2198">
        <v>-2.2763728165037498</v>
      </c>
      <c r="AG2198">
        <v>-1.112174127596</v>
      </c>
      <c r="AH2198">
        <v>20.805837038251401</v>
      </c>
      <c r="AI2198">
        <v>93.041711464329396</v>
      </c>
      <c r="AJ2198">
        <v>96.243912820085797</v>
      </c>
      <c r="AK2198">
        <v>20.959524311207101</v>
      </c>
      <c r="AL2198">
        <v>90.055127621045003</v>
      </c>
      <c r="AM2198">
        <v>88.375758541441002</v>
      </c>
      <c r="AN2198">
        <v>0.99999995055429203</v>
      </c>
    </row>
    <row r="2199" spans="1:40" x14ac:dyDescent="0.25">
      <c r="A2199" t="str">
        <f>"20190312161000630"</f>
        <v>20190312161000630</v>
      </c>
      <c r="B2199" t="str">
        <f>"1552378200617602"</f>
        <v>1552378200617602</v>
      </c>
      <c r="C2199" t="s">
        <v>40</v>
      </c>
      <c r="D2199">
        <v>5.0395510000000003</v>
      </c>
      <c r="E2199">
        <v>0.44884350000000001</v>
      </c>
      <c r="F2199" t="s">
        <v>59</v>
      </c>
      <c r="G2199">
        <v>-483.98169999999999</v>
      </c>
      <c r="H2199" s="1">
        <v>2.8495419999999999E-6</v>
      </c>
      <c r="I2199">
        <v>283.90140000000002</v>
      </c>
      <c r="J2199">
        <v>-463.476</v>
      </c>
      <c r="K2199">
        <v>1.1122179999999999</v>
      </c>
      <c r="L2199">
        <v>286.0754</v>
      </c>
      <c r="M2199">
        <v>-0.99980599999999997</v>
      </c>
      <c r="N2199">
        <v>0</v>
      </c>
      <c r="O2199">
        <v>1.53137E-3</v>
      </c>
      <c r="P2199">
        <v>-0.99930600000000003</v>
      </c>
      <c r="Q2199">
        <v>-2.1316160000000001E-2</v>
      </c>
      <c r="R2199">
        <v>3.054948E-2</v>
      </c>
      <c r="S2199">
        <v>-3.0087280000000001</v>
      </c>
      <c r="T2199">
        <v>-0.16148100000000001</v>
      </c>
      <c r="U2199">
        <v>-0.31582640000000001</v>
      </c>
      <c r="V2199">
        <v>2.9024029999999999E-2</v>
      </c>
      <c r="W2199">
        <v>-1.593257E-3</v>
      </c>
      <c r="X2199">
        <v>0.99957750000000001</v>
      </c>
      <c r="Y2199">
        <v>-0.105766899999999</v>
      </c>
      <c r="Z2199">
        <v>-2.9104299999999999E-3</v>
      </c>
      <c r="AA2199">
        <v>0.99438669999999996</v>
      </c>
      <c r="AB2199">
        <v>25</v>
      </c>
      <c r="AC2199">
        <v>-20.505699999999901</v>
      </c>
      <c r="AD2199">
        <v>-1.112215150458</v>
      </c>
      <c r="AE2199">
        <v>-2.1739999999999702</v>
      </c>
      <c r="AF2199">
        <v>-2.1990079578554602</v>
      </c>
      <c r="AG2199">
        <v>-1.112215150458</v>
      </c>
      <c r="AH2199">
        <v>20.4428736222428</v>
      </c>
      <c r="AI2199">
        <v>93.096337186590503</v>
      </c>
      <c r="AJ2199">
        <v>96.139609651945193</v>
      </c>
      <c r="AK2199">
        <v>20.590865462010299</v>
      </c>
      <c r="AL2199">
        <v>90.091286935321406</v>
      </c>
      <c r="AM2199">
        <v>88.336809991766401</v>
      </c>
      <c r="AN2199">
        <v>1.00000005564577</v>
      </c>
    </row>
    <row r="2200" spans="1:40" x14ac:dyDescent="0.25">
      <c r="A2200" t="str">
        <f>"20190312161000653"</f>
        <v>20190312161000653</v>
      </c>
      <c r="B2200" t="str">
        <f>"1552378200648364"</f>
        <v>1552378200648364</v>
      </c>
      <c r="C2200" t="s">
        <v>40</v>
      </c>
      <c r="D2200">
        <v>5.0195449999999999</v>
      </c>
      <c r="E2200">
        <v>0.44925349999999997</v>
      </c>
      <c r="F2200" t="s">
        <v>59</v>
      </c>
      <c r="G2200">
        <v>-483.95339999999999</v>
      </c>
      <c r="H2200" s="1">
        <v>2.8455699999999999E-6</v>
      </c>
      <c r="I2200">
        <v>283.91340000000002</v>
      </c>
      <c r="J2200">
        <v>-463.7328</v>
      </c>
      <c r="K2200">
        <v>1.112274</v>
      </c>
      <c r="L2200">
        <v>286.07350000000002</v>
      </c>
      <c r="M2200">
        <v>-0.99980579999999997</v>
      </c>
      <c r="N2200">
        <v>0</v>
      </c>
      <c r="O2200">
        <v>-5.1109289999999997E-4</v>
      </c>
      <c r="P2200">
        <v>-0.9993725</v>
      </c>
      <c r="Q2200">
        <v>-2.081614E-2</v>
      </c>
      <c r="R2200">
        <v>2.8661820000000001E-2</v>
      </c>
      <c r="S2200">
        <v>-3.0083310000000001</v>
      </c>
      <c r="T2200">
        <v>-0.1633947</v>
      </c>
      <c r="U2200">
        <v>-0.31762699999999999</v>
      </c>
      <c r="V2200">
        <v>2.9176319999999999E-2</v>
      </c>
      <c r="W2200">
        <v>-1.0256919999999999E-3</v>
      </c>
      <c r="X2200">
        <v>0.99957379999999996</v>
      </c>
      <c r="Y2200">
        <v>-0.1043391</v>
      </c>
      <c r="Z2200">
        <v>-2.795956E-3</v>
      </c>
      <c r="AA2200">
        <v>0.99453780000000003</v>
      </c>
      <c r="AB2200">
        <v>25</v>
      </c>
      <c r="AC2200">
        <v>-20.220599999999902</v>
      </c>
      <c r="AD2200">
        <v>-1.1122711544299999</v>
      </c>
      <c r="AE2200">
        <v>-2.1600999999999999</v>
      </c>
      <c r="AF2200">
        <v>-2.1433510330455099</v>
      </c>
      <c r="AG2200">
        <v>-1.1122711544299999</v>
      </c>
      <c r="AH2200">
        <v>20.161386548159498</v>
      </c>
      <c r="AI2200">
        <v>93.140056209620099</v>
      </c>
      <c r="AJ2200">
        <v>96.068305016289401</v>
      </c>
      <c r="AK2200">
        <v>20.305482223186502</v>
      </c>
      <c r="AL2200">
        <v>90.058767830300795</v>
      </c>
      <c r="AM2200">
        <v>88.328081936309502</v>
      </c>
      <c r="AN2200">
        <v>1.0000000456696201</v>
      </c>
    </row>
    <row r="2201" spans="1:40" x14ac:dyDescent="0.25">
      <c r="A2201" t="str">
        <f>"20190312161000676"</f>
        <v>20190312161000676</v>
      </c>
      <c r="B2201" t="str">
        <f>"1552378200667884"</f>
        <v>1552378200667884</v>
      </c>
      <c r="C2201" t="s">
        <v>40</v>
      </c>
      <c r="D2201">
        <v>5.0241030000000002</v>
      </c>
      <c r="E2201">
        <v>0.44952419999999998</v>
      </c>
      <c r="F2201" t="s">
        <v>59</v>
      </c>
      <c r="G2201">
        <v>-484.3648</v>
      </c>
      <c r="H2201" s="1">
        <v>2.9154410000000001E-6</v>
      </c>
      <c r="I2201">
        <v>283.87790000000001</v>
      </c>
      <c r="J2201">
        <v>-463.98599999999999</v>
      </c>
      <c r="K2201">
        <v>1.1123419999999999</v>
      </c>
      <c r="L2201">
        <v>286.07100000000003</v>
      </c>
      <c r="M2201">
        <v>-0.99980119999999895</v>
      </c>
      <c r="N2201">
        <v>0</v>
      </c>
      <c r="O2201">
        <v>-2.6123560000000001E-3</v>
      </c>
      <c r="P2201">
        <v>-0.99943349999999997</v>
      </c>
      <c r="Q2201">
        <v>-2.080657E-2</v>
      </c>
      <c r="R2201">
        <v>2.6458349999999999E-2</v>
      </c>
      <c r="S2201">
        <v>-3.00766</v>
      </c>
      <c r="T2201">
        <v>-0.16214310000000001</v>
      </c>
      <c r="U2201">
        <v>-0.32006839999999998</v>
      </c>
      <c r="V2201">
        <v>2.9073069999999999E-2</v>
      </c>
      <c r="W2201">
        <v>-9.4399550000000005E-4</v>
      </c>
      <c r="X2201">
        <v>0.99957689999999999</v>
      </c>
      <c r="Y2201">
        <v>-0.1030774</v>
      </c>
      <c r="Z2201">
        <v>-2.6282829999999999E-3</v>
      </c>
      <c r="AA2201">
        <v>0.9946699</v>
      </c>
      <c r="AB2201">
        <v>25</v>
      </c>
      <c r="AC2201">
        <v>-20.378799999999998</v>
      </c>
      <c r="AD2201">
        <v>-1.112339084559</v>
      </c>
      <c r="AE2201">
        <v>-2.1930999999999501</v>
      </c>
      <c r="AF2201">
        <v>-2.1335616410596199</v>
      </c>
      <c r="AG2201">
        <v>-1.112339084559</v>
      </c>
      <c r="AH2201">
        <v>20.324600484005298</v>
      </c>
      <c r="AI2201">
        <v>93.115513901548297</v>
      </c>
      <c r="AJ2201">
        <v>95.992639101005096</v>
      </c>
      <c r="AK2201">
        <v>20.4665279993864</v>
      </c>
      <c r="AL2201">
        <v>90.054086962991803</v>
      </c>
      <c r="AM2201">
        <v>88.334000391597399</v>
      </c>
      <c r="AN2201">
        <v>1.0000000567701599</v>
      </c>
    </row>
    <row r="2202" spans="1:40" x14ac:dyDescent="0.25">
      <c r="A2202" t="str">
        <f>"20190312161000697"</f>
        <v>20190312161000697</v>
      </c>
      <c r="B2202" t="str">
        <f>"1552378200688380"</f>
        <v>1552378200688380</v>
      </c>
      <c r="C2202" t="s">
        <v>40</v>
      </c>
      <c r="D2202">
        <v>5.0283329999999999</v>
      </c>
      <c r="E2202">
        <v>0.449762</v>
      </c>
      <c r="F2202" t="s">
        <v>59</v>
      </c>
      <c r="G2202">
        <v>-484.60289999999998</v>
      </c>
      <c r="H2202" s="1">
        <v>2.9548340000000002E-6</v>
      </c>
      <c r="I2202">
        <v>283.84539999999998</v>
      </c>
      <c r="J2202">
        <v>-464.21890000000002</v>
      </c>
      <c r="K2202">
        <v>1.1124019999999999</v>
      </c>
      <c r="L2202">
        <v>286.06799999999998</v>
      </c>
      <c r="M2202">
        <v>-0.99979249999999997</v>
      </c>
      <c r="N2202">
        <v>0</v>
      </c>
      <c r="O2202">
        <v>-4.6279299999999997E-3</v>
      </c>
      <c r="P2202">
        <v>-0.99949619999999995</v>
      </c>
      <c r="Q2202">
        <v>-2.0811659999999999E-2</v>
      </c>
      <c r="R2202">
        <v>2.3964920000000001E-2</v>
      </c>
      <c r="S2202">
        <v>-3.0068969999999999</v>
      </c>
      <c r="T2202">
        <v>-0.16223009999999999</v>
      </c>
      <c r="U2202">
        <v>-0.32458500000000001</v>
      </c>
      <c r="V2202">
        <v>2.8594519999999998E-2</v>
      </c>
      <c r="W2202">
        <v>-8.7932899999999998E-4</v>
      </c>
      <c r="X2202">
        <v>0.99959070000000005</v>
      </c>
      <c r="Y2202">
        <v>-0.1025793</v>
      </c>
      <c r="Z2202">
        <v>-2.5083919999999999E-3</v>
      </c>
      <c r="AA2202">
        <v>0.99472169999999904</v>
      </c>
      <c r="AB2202">
        <v>25</v>
      </c>
      <c r="AC2202">
        <v>-20.383999999999901</v>
      </c>
      <c r="AD2202">
        <v>-1.112399045166</v>
      </c>
      <c r="AE2202">
        <v>-2.2225999999999999</v>
      </c>
      <c r="AF2202">
        <v>-2.12197664154563</v>
      </c>
      <c r="AG2202">
        <v>-1.112399045166</v>
      </c>
      <c r="AH2202">
        <v>20.334223409629299</v>
      </c>
      <c r="AI2202">
        <v>93.114409276440796</v>
      </c>
      <c r="AJ2202">
        <v>95.957534259106097</v>
      </c>
      <c r="AK2202">
        <v>20.474883593702501</v>
      </c>
      <c r="AL2202">
        <v>90.050381847315506</v>
      </c>
      <c r="AM2202">
        <v>88.361430695986201</v>
      </c>
      <c r="AN2202">
        <v>0.99999999366000503</v>
      </c>
    </row>
    <row r="2203" spans="1:40" x14ac:dyDescent="0.25">
      <c r="A2203" t="str">
        <f>"20190312161000719"</f>
        <v>20190312161000719</v>
      </c>
      <c r="B2203" t="str">
        <f>"1552378200707899"</f>
        <v>1552378200707899</v>
      </c>
      <c r="C2203" t="s">
        <v>40</v>
      </c>
      <c r="D2203">
        <v>4.9840770000000001</v>
      </c>
      <c r="E2203">
        <v>0.44999889999999998</v>
      </c>
      <c r="F2203" t="s">
        <v>59</v>
      </c>
      <c r="G2203">
        <v>-484.74520000000001</v>
      </c>
      <c r="H2203" s="1">
        <v>2.9774500000000002E-6</v>
      </c>
      <c r="I2203">
        <v>283.81540000000001</v>
      </c>
      <c r="J2203">
        <v>-464.4615</v>
      </c>
      <c r="K2203">
        <v>1.11246</v>
      </c>
      <c r="L2203">
        <v>286.0643</v>
      </c>
      <c r="M2203">
        <v>-0.99977859999999996</v>
      </c>
      <c r="N2203">
        <v>0</v>
      </c>
      <c r="O2203">
        <v>-6.8182429999999999E-3</v>
      </c>
      <c r="P2203">
        <v>-0.99955070000000001</v>
      </c>
      <c r="Q2203">
        <v>-2.1587080000000002E-2</v>
      </c>
      <c r="R2203">
        <v>2.0798870000000001E-2</v>
      </c>
      <c r="S2203">
        <v>-3.0060730000000002</v>
      </c>
      <c r="T2203">
        <v>-0.16291079999999999</v>
      </c>
      <c r="U2203">
        <v>-0.32989499999999999</v>
      </c>
      <c r="V2203">
        <v>2.7620889999999999E-2</v>
      </c>
      <c r="W2203">
        <v>-1.58527E-3</v>
      </c>
      <c r="X2203">
        <v>0.99961719999999998</v>
      </c>
      <c r="Y2203">
        <v>-0.1021683</v>
      </c>
      <c r="Z2203">
        <v>-2.3899870000000001E-3</v>
      </c>
      <c r="AA2203">
        <v>0.99476430000000005</v>
      </c>
      <c r="AB2203">
        <v>25</v>
      </c>
      <c r="AC2203">
        <v>-20.2837</v>
      </c>
      <c r="AD2203">
        <v>-1.1124570225499999</v>
      </c>
      <c r="AE2203">
        <v>-2.2488999999999901</v>
      </c>
      <c r="AF2203">
        <v>-2.1042684057043601</v>
      </c>
      <c r="AG2203">
        <v>-1.1124570225499999</v>
      </c>
      <c r="AH2203">
        <v>20.2384277690884</v>
      </c>
      <c r="AI2203">
        <v>93.129407040982798</v>
      </c>
      <c r="AJ2203">
        <v>95.935937071075898</v>
      </c>
      <c r="AK2203">
        <v>20.377916103342798</v>
      </c>
      <c r="AL2203">
        <v>90.090829319650197</v>
      </c>
      <c r="AM2203">
        <v>88.417236270811401</v>
      </c>
      <c r="AN2203">
        <v>0.99999998659060196</v>
      </c>
    </row>
    <row r="2204" spans="1:40" x14ac:dyDescent="0.25">
      <c r="A2204" t="str">
        <f>"20190312161000770"</f>
        <v>20190312161000770</v>
      </c>
      <c r="B2204" t="str">
        <f>"1552378200758183"</f>
        <v>1552378200758183</v>
      </c>
      <c r="C2204" t="s">
        <v>40</v>
      </c>
      <c r="D2204">
        <v>5.0570750000000002</v>
      </c>
      <c r="E2204">
        <v>0.45053409999999999</v>
      </c>
      <c r="F2204" t="s">
        <v>59</v>
      </c>
      <c r="G2204">
        <v>-484.67090000000002</v>
      </c>
      <c r="H2204" s="1">
        <v>2.9624889999999999E-6</v>
      </c>
      <c r="I2204">
        <v>283.79509999999999</v>
      </c>
      <c r="J2204">
        <v>-464.99799999999999</v>
      </c>
      <c r="K2204">
        <v>1.1125890000000001</v>
      </c>
      <c r="L2204">
        <v>286.05380000000002</v>
      </c>
      <c r="M2204">
        <v>-0.99972689999999997</v>
      </c>
      <c r="N2204">
        <v>0</v>
      </c>
      <c r="O2204">
        <v>-1.2033250000000001E-2</v>
      </c>
      <c r="P2204">
        <v>-0.99963369999999996</v>
      </c>
      <c r="Q2204">
        <v>-2.2871300000000001E-2</v>
      </c>
      <c r="R2204">
        <v>1.447595E-2</v>
      </c>
      <c r="S2204">
        <v>-3.0048520000000001</v>
      </c>
      <c r="T2204">
        <v>-0.16540679999999999</v>
      </c>
      <c r="U2204">
        <v>-0.33740229999999999</v>
      </c>
      <c r="V2204">
        <v>2.6517059999999999E-2</v>
      </c>
      <c r="W2204">
        <v>-2.7353270000000001E-3</v>
      </c>
      <c r="X2204">
        <v>0.99964459999999999</v>
      </c>
      <c r="Y2204">
        <v>-9.9485320000000002E-2</v>
      </c>
      <c r="Z2204">
        <v>-2.0677120000000002E-3</v>
      </c>
      <c r="AA2204">
        <v>0.9950369</v>
      </c>
      <c r="AB2204">
        <v>25</v>
      </c>
      <c r="AC2204">
        <v>-19.672899999999899</v>
      </c>
      <c r="AD2204">
        <v>-1.1125860375109999</v>
      </c>
      <c r="AE2204">
        <v>-2.2587000000000299</v>
      </c>
      <c r="AF2204">
        <v>-2.0153978104932602</v>
      </c>
      <c r="AG2204">
        <v>-1.1125860375109999</v>
      </c>
      <c r="AH2204">
        <v>19.636671562125098</v>
      </c>
      <c r="AI2204">
        <v>93.225920707397606</v>
      </c>
      <c r="AJ2204">
        <v>95.859998816897203</v>
      </c>
      <c r="AK2204">
        <v>19.771154393817699</v>
      </c>
      <c r="AL2204">
        <v>90.156722891037901</v>
      </c>
      <c r="AM2204">
        <v>88.480500554204198</v>
      </c>
      <c r="AN2204">
        <v>0.99999998139699997</v>
      </c>
    </row>
    <row r="2205" spans="1:40" x14ac:dyDescent="0.25">
      <c r="A2205" t="str">
        <f>"20190312161000788"</f>
        <v>20190312161000788</v>
      </c>
      <c r="B2205" t="str">
        <f>"1552378200777704"</f>
        <v>1552378200777704</v>
      </c>
      <c r="C2205" t="s">
        <v>40</v>
      </c>
      <c r="D2205">
        <v>5.0549049999999998</v>
      </c>
      <c r="E2205">
        <v>0.45074049999999999</v>
      </c>
      <c r="F2205" t="s">
        <v>59</v>
      </c>
      <c r="G2205">
        <v>-484.9427</v>
      </c>
      <c r="H2205" s="1">
        <v>3.0034119999999998E-6</v>
      </c>
      <c r="I2205">
        <v>283.71170000000001</v>
      </c>
      <c r="J2205">
        <v>-465.20420000000001</v>
      </c>
      <c r="K2205">
        <v>1.1126290000000001</v>
      </c>
      <c r="L2205">
        <v>286.0489</v>
      </c>
      <c r="M2205">
        <v>-0.99969819999999998</v>
      </c>
      <c r="N2205">
        <v>0</v>
      </c>
      <c r="O2205">
        <v>-1.415276E-2</v>
      </c>
      <c r="P2205">
        <v>-0.99967459999999997</v>
      </c>
      <c r="Q2205">
        <v>-2.2550750000000001E-2</v>
      </c>
      <c r="R2205">
        <v>1.193847E-2</v>
      </c>
      <c r="S2205">
        <v>-3.00238</v>
      </c>
      <c r="T2205">
        <v>-0.16748370000000001</v>
      </c>
      <c r="U2205">
        <v>-0.35256959999999998</v>
      </c>
      <c r="V2205">
        <v>2.6098070000000001E-2</v>
      </c>
      <c r="W2205">
        <v>-2.3716560000000002E-3</v>
      </c>
      <c r="X2205">
        <v>0.99965660000000001</v>
      </c>
      <c r="Y2205">
        <v>-0.1024226</v>
      </c>
      <c r="Z2205">
        <v>-2.058622E-3</v>
      </c>
      <c r="AA2205">
        <v>0.99473880000000003</v>
      </c>
      <c r="AB2205">
        <v>24</v>
      </c>
      <c r="AC2205">
        <v>-19.738499999999899</v>
      </c>
      <c r="AD2205">
        <v>-1.1126259965880001</v>
      </c>
      <c r="AE2205">
        <v>-2.33719999999999</v>
      </c>
      <c r="AF2205">
        <v>-2.0511281168445299</v>
      </c>
      <c r="AG2205">
        <v>-1.1126259965880001</v>
      </c>
      <c r="AH2205">
        <v>19.707853128798401</v>
      </c>
      <c r="AI2205">
        <v>93.213935804353298</v>
      </c>
      <c r="AJ2205">
        <v>95.941763050444393</v>
      </c>
      <c r="AK2205">
        <v>19.8455168263838</v>
      </c>
      <c r="AL2205">
        <v>90.135886003116099</v>
      </c>
      <c r="AM2205">
        <v>88.504516770703901</v>
      </c>
      <c r="AN2205">
        <v>1.0000000259667301</v>
      </c>
    </row>
    <row r="2206" spans="1:40" x14ac:dyDescent="0.25">
      <c r="A2206" t="str">
        <f>"20190312161000811"</f>
        <v>20190312161000811</v>
      </c>
      <c r="B2206" t="str">
        <f>"1552378200807959"</f>
        <v>1552378200807959</v>
      </c>
      <c r="C2206" t="s">
        <v>40</v>
      </c>
      <c r="D2206">
        <v>5.0299110000000002</v>
      </c>
      <c r="E2206">
        <v>0.45107320000000001</v>
      </c>
      <c r="F2206" t="s">
        <v>59</v>
      </c>
      <c r="G2206">
        <v>-485.34570000000002</v>
      </c>
      <c r="H2206" s="1">
        <v>3.0689010000000002E-6</v>
      </c>
      <c r="I2206">
        <v>283.6431</v>
      </c>
      <c r="J2206">
        <v>-465.44420000000002</v>
      </c>
      <c r="K2206">
        <v>1.1126560000000001</v>
      </c>
      <c r="L2206">
        <v>286.04250000000002</v>
      </c>
      <c r="M2206">
        <v>-0.99965839999999995</v>
      </c>
      <c r="N2206">
        <v>0</v>
      </c>
      <c r="O2206">
        <v>-1.6679619999999999E-2</v>
      </c>
      <c r="P2206">
        <v>-0.99971600000000005</v>
      </c>
      <c r="Q2206">
        <v>-2.2224589999999999E-2</v>
      </c>
      <c r="R2206">
        <v>8.6105309999999994E-3</v>
      </c>
      <c r="S2206">
        <v>-3.0015260000000001</v>
      </c>
      <c r="T2206">
        <v>-0.16580590000000001</v>
      </c>
      <c r="U2206">
        <v>-0.35852050000000002</v>
      </c>
      <c r="V2206">
        <v>2.5295979999999999E-2</v>
      </c>
      <c r="W2206">
        <v>-2.0033770000000002E-3</v>
      </c>
      <c r="X2206">
        <v>0.99967799999999996</v>
      </c>
      <c r="Y2206">
        <v>-0.1018932</v>
      </c>
      <c r="Z2206">
        <v>-1.884876E-3</v>
      </c>
      <c r="AA2206">
        <v>0.9947935</v>
      </c>
      <c r="AB2206">
        <v>24</v>
      </c>
      <c r="AC2206">
        <v>-19.901499999999999</v>
      </c>
      <c r="AD2206">
        <v>-1.1126529310990001</v>
      </c>
      <c r="AE2206">
        <v>-2.3994000000000102</v>
      </c>
      <c r="AF2206">
        <v>-2.06070054194435</v>
      </c>
      <c r="AG2206">
        <v>-1.1126529310990001</v>
      </c>
      <c r="AH2206">
        <v>19.877518418536901</v>
      </c>
      <c r="AI2206">
        <v>93.186769832437406</v>
      </c>
      <c r="AJ2206">
        <v>95.918705062362207</v>
      </c>
      <c r="AK2206">
        <v>20.014999918759099</v>
      </c>
      <c r="AL2206">
        <v>90.114785123437201</v>
      </c>
      <c r="AM2206">
        <v>88.550489585894596</v>
      </c>
      <c r="AN2206">
        <v>1.00000000190378</v>
      </c>
    </row>
    <row r="2207" spans="1:40" x14ac:dyDescent="0.25">
      <c r="A2207" t="str">
        <f>"20190312161000836"</f>
        <v>20190312161000836</v>
      </c>
      <c r="B2207" t="str">
        <f>"1552378200828455"</f>
        <v>1552378200828455</v>
      </c>
      <c r="C2207" t="s">
        <v>40</v>
      </c>
      <c r="D2207">
        <v>5.1326429999999998</v>
      </c>
      <c r="E2207">
        <v>0.45123249999999998</v>
      </c>
      <c r="F2207" t="s">
        <v>59</v>
      </c>
      <c r="G2207">
        <v>-485.76459999999997</v>
      </c>
      <c r="H2207" s="1">
        <v>3.1364749999999999E-6</v>
      </c>
      <c r="I2207">
        <v>283.5659</v>
      </c>
      <c r="J2207">
        <v>-465.709</v>
      </c>
      <c r="K2207">
        <v>1.11269</v>
      </c>
      <c r="L2207">
        <v>286.03460000000001</v>
      </c>
      <c r="M2207">
        <v>-0.99960539999999998</v>
      </c>
      <c r="N2207">
        <v>0</v>
      </c>
      <c r="O2207">
        <v>-1.9558470000000001E-2</v>
      </c>
      <c r="P2207">
        <v>-0.9997414</v>
      </c>
      <c r="Q2207">
        <v>-2.2094030000000001E-2</v>
      </c>
      <c r="R2207">
        <v>5.4502179999999997E-3</v>
      </c>
      <c r="S2207">
        <v>-3.0003359999999999</v>
      </c>
      <c r="T2207">
        <v>-0.16428409999999999</v>
      </c>
      <c r="U2207">
        <v>-0.36566159999999998</v>
      </c>
      <c r="V2207">
        <v>2.5014419999999999E-2</v>
      </c>
      <c r="W2207">
        <v>-1.831385E-3</v>
      </c>
      <c r="X2207">
        <v>0.99968539999999995</v>
      </c>
      <c r="Y2207">
        <v>-0.1014158</v>
      </c>
      <c r="Z2207">
        <v>-1.6981989999999901E-3</v>
      </c>
      <c r="AA2207">
        <v>0.99484269999999997</v>
      </c>
      <c r="AB2207">
        <v>24</v>
      </c>
      <c r="AC2207">
        <v>-20.055599999999899</v>
      </c>
      <c r="AD2207">
        <v>-1.112686863525</v>
      </c>
      <c r="AE2207">
        <v>-2.4687000000000099</v>
      </c>
      <c r="AF2207">
        <v>-2.0696156958506799</v>
      </c>
      <c r="AG2207">
        <v>-1.112686863525</v>
      </c>
      <c r="AH2207">
        <v>20.039294756259</v>
      </c>
      <c r="AI2207">
        <v>93.161318397949003</v>
      </c>
      <c r="AJ2207">
        <v>95.896480835732405</v>
      </c>
      <c r="AK2207">
        <v>20.176588302113998</v>
      </c>
      <c r="AL2207">
        <v>90.104930691175497</v>
      </c>
      <c r="AM2207">
        <v>88.566627376056104</v>
      </c>
      <c r="AN2207">
        <v>0.99999998707605697</v>
      </c>
    </row>
    <row r="2208" spans="1:40" x14ac:dyDescent="0.25">
      <c r="A2208" t="str">
        <f>"20190312161000860"</f>
        <v>20190312161000860</v>
      </c>
      <c r="B2208" t="str">
        <f>"1552378200847975"</f>
        <v>1552378200847975</v>
      </c>
      <c r="C2208" t="s">
        <v>40</v>
      </c>
      <c r="D2208">
        <v>5.2050280000000004</v>
      </c>
      <c r="E2208">
        <v>0.4129177</v>
      </c>
      <c r="F2208" t="s">
        <v>59</v>
      </c>
      <c r="G2208">
        <v>-485.90069999999997</v>
      </c>
      <c r="H2208" s="1">
        <v>3.156469E-6</v>
      </c>
      <c r="I2208">
        <v>283.51859999999999</v>
      </c>
      <c r="J2208">
        <v>-465.9545</v>
      </c>
      <c r="K2208">
        <v>1.1127149999999999</v>
      </c>
      <c r="L2208">
        <v>286.02659999999997</v>
      </c>
      <c r="M2208">
        <v>-0.99954710000000002</v>
      </c>
      <c r="N2208">
        <v>0</v>
      </c>
      <c r="O2208">
        <v>-2.230677E-2</v>
      </c>
      <c r="P2208">
        <v>-0.99975570000000002</v>
      </c>
      <c r="Q2208">
        <v>-2.1956710000000001E-2</v>
      </c>
      <c r="R2208">
        <v>2.5657710000000001E-3</v>
      </c>
      <c r="S2208">
        <v>-2.9992070000000002</v>
      </c>
      <c r="T2208">
        <v>-0.1652749</v>
      </c>
      <c r="U2208">
        <v>-0.3737183</v>
      </c>
      <c r="V2208">
        <v>2.4878049999999999E-2</v>
      </c>
      <c r="W2208">
        <v>-1.660646E-3</v>
      </c>
      <c r="X2208">
        <v>0.9996891</v>
      </c>
      <c r="Y2208">
        <v>-0.1013606</v>
      </c>
      <c r="Z2208">
        <v>-1.5566169999999999E-3</v>
      </c>
      <c r="AA2208">
        <v>0.99484850000000002</v>
      </c>
      <c r="AB2208">
        <v>24</v>
      </c>
      <c r="AC2208">
        <v>-19.946199999999902</v>
      </c>
      <c r="AD2208">
        <v>-1.1127118435309999</v>
      </c>
      <c r="AE2208">
        <v>-2.50799999999998</v>
      </c>
      <c r="AF2208">
        <v>-2.0560506722555001</v>
      </c>
      <c r="AG2208">
        <v>-1.1127118435309999</v>
      </c>
      <c r="AH2208">
        <v>19.936115265289001</v>
      </c>
      <c r="AI2208">
        <v>93.177764821142105</v>
      </c>
      <c r="AJ2208">
        <v>95.888208952220893</v>
      </c>
      <c r="AK2208">
        <v>20.0727218852976</v>
      </c>
      <c r="AL2208">
        <v>90.095148052140402</v>
      </c>
      <c r="AM2208">
        <v>88.574443670442307</v>
      </c>
      <c r="AN2208">
        <v>0.99999998588787398</v>
      </c>
    </row>
    <row r="2209" spans="1:40" x14ac:dyDescent="0.25">
      <c r="A2209" t="str">
        <f>"20190312161000881"</f>
        <v>20190312161000881</v>
      </c>
      <c r="B2209" t="str">
        <f>"1552378200878232"</f>
        <v>1552378200878232</v>
      </c>
      <c r="C2209" t="s">
        <v>40</v>
      </c>
      <c r="D2209">
        <v>5.1790419999999999</v>
      </c>
      <c r="E2209">
        <v>0.39740059999999999</v>
      </c>
      <c r="F2209" t="s">
        <v>59</v>
      </c>
      <c r="G2209">
        <v>-483.45249999999999</v>
      </c>
      <c r="H2209" s="1">
        <v>2.5903329999999999E-6</v>
      </c>
      <c r="I2209">
        <v>282.0102</v>
      </c>
      <c r="J2209">
        <v>-466.1737</v>
      </c>
      <c r="K2209">
        <v>1.1127419999999999</v>
      </c>
      <c r="L2209">
        <v>286.0188</v>
      </c>
      <c r="M2209">
        <v>-0.99948729999999997</v>
      </c>
      <c r="N2209">
        <v>0</v>
      </c>
      <c r="O2209">
        <v>-2.4823850000000001E-2</v>
      </c>
      <c r="P2209">
        <v>-0.99975820000000004</v>
      </c>
      <c r="Q2209">
        <v>-2.1999089999999999E-2</v>
      </c>
      <c r="R2209">
        <v>1.3541639999999999E-4</v>
      </c>
      <c r="S2209">
        <v>-2.9983520000000001</v>
      </c>
      <c r="T2209">
        <v>-0.190667</v>
      </c>
      <c r="U2209">
        <v>-0.68823239999999997</v>
      </c>
      <c r="V2209">
        <v>2.4965680000000001E-2</v>
      </c>
      <c r="W2209">
        <v>-1.6765839999999901E-3</v>
      </c>
      <c r="X2209">
        <v>0.99968690000000004</v>
      </c>
      <c r="Y2209">
        <v>-0.1991164</v>
      </c>
      <c r="Z2209">
        <v>-4.6877430000000003E-3</v>
      </c>
      <c r="AA2209">
        <v>0.97996459999999996</v>
      </c>
      <c r="AB2209">
        <v>24</v>
      </c>
      <c r="AC2209">
        <v>-17.278799999999901</v>
      </c>
      <c r="AD2209">
        <v>-1.11273940966699</v>
      </c>
      <c r="AE2209">
        <v>-4.0086000000000004</v>
      </c>
      <c r="AF2209">
        <v>-3.5643229873946298</v>
      </c>
      <c r="AG2209">
        <v>-1.11273940966699</v>
      </c>
      <c r="AH2209">
        <v>17.304900148659598</v>
      </c>
      <c r="AI2209">
        <v>93.603723778184502</v>
      </c>
      <c r="AJ2209">
        <v>101.638555389884</v>
      </c>
      <c r="AK2209">
        <v>17.703167979414701</v>
      </c>
      <c r="AL2209">
        <v>90.096061232484104</v>
      </c>
      <c r="AM2209">
        <v>88.569421252287199</v>
      </c>
      <c r="AN2209">
        <v>0.99999999707168996</v>
      </c>
    </row>
    <row r="2210" spans="1:40" x14ac:dyDescent="0.25">
      <c r="A2210" t="str">
        <f>"20190312161000900"</f>
        <v>20190312161000900</v>
      </c>
      <c r="B2210" t="str">
        <f>"1552378200887992"</f>
        <v>1552378200887992</v>
      </c>
      <c r="C2210" t="s">
        <v>40</v>
      </c>
      <c r="D2210">
        <v>5.1844000000000001</v>
      </c>
      <c r="E2210">
        <v>0.39598929999999999</v>
      </c>
      <c r="F2210" t="s">
        <v>59</v>
      </c>
      <c r="G2210">
        <v>-484.55689999999998</v>
      </c>
      <c r="H2210" s="1">
        <v>2.6972429999999999E-6</v>
      </c>
      <c r="I2210">
        <v>280.9923</v>
      </c>
      <c r="J2210">
        <v>-466.37810000000002</v>
      </c>
      <c r="K2210">
        <v>1.1127739999999999</v>
      </c>
      <c r="L2210">
        <v>286.01089999999999</v>
      </c>
      <c r="M2210">
        <v>-0.99942439999999999</v>
      </c>
      <c r="N2210">
        <v>0</v>
      </c>
      <c r="O2210">
        <v>-2.7222420000000001E-2</v>
      </c>
      <c r="P2210">
        <v>-0.99975449999999999</v>
      </c>
      <c r="Q2210">
        <v>-2.2081610000000002E-2</v>
      </c>
      <c r="R2210">
        <v>-1.8672929999999999E-3</v>
      </c>
      <c r="S2210">
        <v>-2.9968569999999999</v>
      </c>
      <c r="T2210">
        <v>-0.18140049999999999</v>
      </c>
      <c r="U2210">
        <v>-0.81942749999999998</v>
      </c>
      <c r="V2210">
        <v>2.53625E-2</v>
      </c>
      <c r="W2210">
        <v>-1.73681799999999E-3</v>
      </c>
      <c r="X2210">
        <v>0.99967680000000003</v>
      </c>
      <c r="Y2210">
        <v>-0.23702899999999999</v>
      </c>
      <c r="Z2210">
        <v>-5.4229319999999897E-3</v>
      </c>
      <c r="AA2210">
        <v>0.9714874</v>
      </c>
      <c r="AB2210">
        <v>23</v>
      </c>
      <c r="AC2210">
        <v>-18.178799999999899</v>
      </c>
      <c r="AD2210">
        <v>-1.1127713027570001</v>
      </c>
      <c r="AE2210">
        <v>-5.0185999999999904</v>
      </c>
      <c r="AF2210">
        <v>-4.5060784856637897</v>
      </c>
      <c r="AG2210">
        <v>-1.1127713027570001</v>
      </c>
      <c r="AH2210">
        <v>18.245183634349999</v>
      </c>
      <c r="AI2210">
        <v>93.388571726216298</v>
      </c>
      <c r="AJ2210">
        <v>103.872927073952</v>
      </c>
      <c r="AK2210">
        <v>18.826304181712199</v>
      </c>
      <c r="AL2210">
        <v>90.099512392337203</v>
      </c>
      <c r="AM2210">
        <v>88.546677745224102</v>
      </c>
      <c r="AN2210">
        <v>0.99999998870062701</v>
      </c>
    </row>
    <row r="2211" spans="1:40" x14ac:dyDescent="0.25">
      <c r="A2211" t="str">
        <f>"20190312161000926"</f>
        <v>20190312161000926</v>
      </c>
      <c r="B2211" t="str">
        <f>"1552378200918248"</f>
        <v>1552378200918248</v>
      </c>
      <c r="C2211" t="s">
        <v>40</v>
      </c>
      <c r="D2211">
        <v>5.2022320000000004</v>
      </c>
      <c r="E2211">
        <v>0.39343329999999999</v>
      </c>
      <c r="F2211" t="s">
        <v>59</v>
      </c>
      <c r="G2211">
        <v>-484.66969999999998</v>
      </c>
      <c r="H2211" s="1">
        <v>2.709466E-6</v>
      </c>
      <c r="I2211">
        <v>280.90320000000003</v>
      </c>
      <c r="J2211">
        <v>-466.63069999999999</v>
      </c>
      <c r="K2211">
        <v>1.1128049999999901</v>
      </c>
      <c r="L2211">
        <v>286.00040000000001</v>
      </c>
      <c r="M2211">
        <v>-0.99933689999999997</v>
      </c>
      <c r="N2211">
        <v>0</v>
      </c>
      <c r="O2211">
        <v>-3.0253059999999998E-2</v>
      </c>
      <c r="P2211">
        <v>-0.99974890000000005</v>
      </c>
      <c r="Q2211">
        <v>-2.175463E-2</v>
      </c>
      <c r="R2211">
        <v>-5.3955299999999999E-3</v>
      </c>
      <c r="S2211">
        <v>-2.9951780000000001</v>
      </c>
      <c r="T2211">
        <v>-0.1822125</v>
      </c>
      <c r="U2211">
        <v>-0.83636469999999896</v>
      </c>
      <c r="V2211">
        <v>2.4864959999999998E-2</v>
      </c>
      <c r="W2211">
        <v>-1.3903920000000001E-3</v>
      </c>
      <c r="X2211">
        <v>0.99968990000000002</v>
      </c>
      <c r="Y2211">
        <v>-0.23932310000000001</v>
      </c>
      <c r="Z2211">
        <v>-5.3341480000000004E-3</v>
      </c>
      <c r="AA2211">
        <v>0.97092529999999999</v>
      </c>
      <c r="AB2211">
        <v>23</v>
      </c>
      <c r="AC2211">
        <v>-18.038999999999898</v>
      </c>
      <c r="AD2211">
        <v>-1.11280229053399</v>
      </c>
      <c r="AE2211">
        <v>-5.0971999999999804</v>
      </c>
      <c r="AF2211">
        <v>-4.53304392903613</v>
      </c>
      <c r="AG2211">
        <v>-1.11280229053399</v>
      </c>
      <c r="AH2211">
        <v>18.121116259881902</v>
      </c>
      <c r="AI2211">
        <v>93.409279835033402</v>
      </c>
      <c r="AJ2211">
        <v>104.044470949854</v>
      </c>
      <c r="AK2211">
        <v>18.712607266347099</v>
      </c>
      <c r="AL2211">
        <v>90.079663615328798</v>
      </c>
      <c r="AM2211">
        <v>88.5751945810824</v>
      </c>
      <c r="AN2211">
        <v>1.00000004779386</v>
      </c>
    </row>
    <row r="2212" spans="1:40" x14ac:dyDescent="0.25">
      <c r="A2212" t="str">
        <f>"20190312161000948"</f>
        <v>20190312161000948</v>
      </c>
      <c r="B2212" t="str">
        <f>"1552378200937767"</f>
        <v>1552378200937767</v>
      </c>
      <c r="C2212" t="s">
        <v>40</v>
      </c>
      <c r="D2212">
        <v>5.2747419999999998</v>
      </c>
      <c r="E2212">
        <v>0.392843</v>
      </c>
      <c r="F2212" t="s">
        <v>59</v>
      </c>
      <c r="G2212">
        <v>-484.76459999999997</v>
      </c>
      <c r="H2212" s="1">
        <v>2.7122289999999998E-6</v>
      </c>
      <c r="I2212">
        <v>280.7423</v>
      </c>
      <c r="J2212">
        <v>-466.86410000000001</v>
      </c>
      <c r="K2212">
        <v>1.1128260000000001</v>
      </c>
      <c r="L2212">
        <v>285.98989999999998</v>
      </c>
      <c r="M2212">
        <v>-0.99924550000000001</v>
      </c>
      <c r="N2212">
        <v>0</v>
      </c>
      <c r="O2212">
        <v>-3.3121919999999999E-2</v>
      </c>
      <c r="P2212">
        <v>-0.99974240000000003</v>
      </c>
      <c r="Q2212">
        <v>-2.0906350000000001E-2</v>
      </c>
      <c r="R2212">
        <v>-8.8517390000000008E-3</v>
      </c>
      <c r="S2212">
        <v>-2.9920960000000001</v>
      </c>
      <c r="T2212">
        <v>-0.18361330000000001</v>
      </c>
      <c r="U2212">
        <v>-0.86758419999999903</v>
      </c>
      <c r="V2212">
        <v>2.4275999999999999E-2</v>
      </c>
      <c r="W2212">
        <v>-5.1925690000000004E-4</v>
      </c>
      <c r="X2212">
        <v>0.99970510000000001</v>
      </c>
      <c r="Y2212">
        <v>-0.24614800000000001</v>
      </c>
      <c r="Z2212">
        <v>-5.4060339999999997E-3</v>
      </c>
      <c r="AA2212">
        <v>0.9692172</v>
      </c>
      <c r="AB2212">
        <v>23</v>
      </c>
      <c r="AC2212">
        <v>-17.900499999999901</v>
      </c>
      <c r="AD2212">
        <v>-1.112823287771</v>
      </c>
      <c r="AE2212">
        <v>-5.2475999999999701</v>
      </c>
      <c r="AF2212">
        <v>-4.6352023855212501</v>
      </c>
      <c r="AG2212">
        <v>-1.112823287771</v>
      </c>
      <c r="AH2212">
        <v>18.0004586842519</v>
      </c>
      <c r="AI2212">
        <v>93.426144878016004</v>
      </c>
      <c r="AJ2212">
        <v>104.440216686979</v>
      </c>
      <c r="AK2212">
        <v>18.620955659364199</v>
      </c>
      <c r="AL2212">
        <v>90.029751231963601</v>
      </c>
      <c r="AM2212">
        <v>88.608950733405607</v>
      </c>
      <c r="AN2212">
        <v>0.99999994038486695</v>
      </c>
    </row>
    <row r="2213" spans="1:40" x14ac:dyDescent="0.25">
      <c r="A2213" t="str">
        <f>"20190312161000970"</f>
        <v>20190312161000970</v>
      </c>
      <c r="B2213" t="str">
        <f>"1552378200968023"</f>
        <v>1552378200968023</v>
      </c>
      <c r="C2213" t="s">
        <v>40</v>
      </c>
      <c r="D2213">
        <v>5.2420629999999999</v>
      </c>
      <c r="E2213">
        <v>0.39218059999999899</v>
      </c>
      <c r="F2213" t="s">
        <v>59</v>
      </c>
      <c r="G2213">
        <v>-485.15320000000003</v>
      </c>
      <c r="H2213" s="1">
        <v>2.7678340000000001E-6</v>
      </c>
      <c r="I2213">
        <v>280.58969999999999</v>
      </c>
      <c r="J2213">
        <v>-467.0949</v>
      </c>
      <c r="K2213">
        <v>1.112841</v>
      </c>
      <c r="L2213">
        <v>285.97879999999998</v>
      </c>
      <c r="M2213">
        <v>-0.9991449</v>
      </c>
      <c r="N2213">
        <v>0</v>
      </c>
      <c r="O2213">
        <v>-3.6010609999999998E-2</v>
      </c>
      <c r="P2213">
        <v>-0.99971069999999995</v>
      </c>
      <c r="Q2213">
        <v>-2.030728E-2</v>
      </c>
      <c r="R2213">
        <v>-1.2892310000000001E-2</v>
      </c>
      <c r="S2213">
        <v>-2.989166</v>
      </c>
      <c r="T2213">
        <v>-0.18187890000000001</v>
      </c>
      <c r="U2213">
        <v>-0.88259889999999996</v>
      </c>
      <c r="V2213">
        <v>2.3123500000000002E-2</v>
      </c>
      <c r="W2213">
        <v>1.042525E-4</v>
      </c>
      <c r="X2213">
        <v>0.99973259999999997</v>
      </c>
      <c r="Y2213">
        <v>-0.24809249999999999</v>
      </c>
      <c r="Z2213">
        <v>-5.2428329999999997E-3</v>
      </c>
      <c r="AA2213">
        <v>0.96872219999999998</v>
      </c>
      <c r="AB2213">
        <v>23</v>
      </c>
      <c r="AC2213">
        <v>-18.058299999999999</v>
      </c>
      <c r="AD2213">
        <v>-1.112838232166</v>
      </c>
      <c r="AE2213">
        <v>-5.3890999999999796</v>
      </c>
      <c r="AF2213">
        <v>-4.7187241451701301</v>
      </c>
      <c r="AG2213">
        <v>-1.112838232166</v>
      </c>
      <c r="AH2213">
        <v>18.177302261595301</v>
      </c>
      <c r="AI2213">
        <v>93.3912224648208</v>
      </c>
      <c r="AJ2213">
        <v>104.55244126929</v>
      </c>
      <c r="AK2213">
        <v>18.812737280857899</v>
      </c>
      <c r="AL2213">
        <v>89.994026771671599</v>
      </c>
      <c r="AM2213">
        <v>88.675002924676505</v>
      </c>
      <c r="AN2213">
        <v>0.99999998931179601</v>
      </c>
    </row>
    <row r="2214" spans="1:40" x14ac:dyDescent="0.25">
      <c r="A2214" t="str">
        <f>"20190312161001010"</f>
        <v>20190312161001010</v>
      </c>
      <c r="B2214" t="str">
        <f>"1552378201008040"</f>
        <v>1552378201008040</v>
      </c>
      <c r="C2214" t="s">
        <v>40</v>
      </c>
      <c r="D2214">
        <v>5.2803089999999999</v>
      </c>
      <c r="E2214">
        <v>0.3917601</v>
      </c>
      <c r="F2214" t="s">
        <v>59</v>
      </c>
      <c r="G2214">
        <v>-485.27870000000001</v>
      </c>
      <c r="H2214" s="1">
        <v>2.7820429999999999E-6</v>
      </c>
      <c r="I2214">
        <v>280.49759999999998</v>
      </c>
      <c r="J2214">
        <v>-467.49200000000002</v>
      </c>
      <c r="K2214">
        <v>1.1128549999999999</v>
      </c>
      <c r="L2214">
        <v>285.95800000000003</v>
      </c>
      <c r="M2214">
        <v>-0.99894780000000005</v>
      </c>
      <c r="N2214">
        <v>0</v>
      </c>
      <c r="O2214">
        <v>-4.1095859999999998E-2</v>
      </c>
      <c r="P2214">
        <v>-0.9996024</v>
      </c>
      <c r="Q2214">
        <v>-2.0333819999999999E-2</v>
      </c>
      <c r="R2214">
        <v>-1.9532509999999999E-2</v>
      </c>
      <c r="S2214">
        <v>-2.9856259999999999</v>
      </c>
      <c r="T2214">
        <v>-0.1827184</v>
      </c>
      <c r="U2214">
        <v>-0.89996339999999997</v>
      </c>
      <c r="V2214">
        <v>2.157164E-2</v>
      </c>
      <c r="W2214">
        <v>1.171271E-4</v>
      </c>
      <c r="X2214">
        <v>0.99976730000000003</v>
      </c>
      <c r="Y2214">
        <v>-0.24865139999999999</v>
      </c>
      <c r="Z2214">
        <v>-4.9822440000000003E-3</v>
      </c>
      <c r="AA2214">
        <v>0.9685802</v>
      </c>
      <c r="AB2214">
        <v>23</v>
      </c>
      <c r="AC2214">
        <v>-17.7867</v>
      </c>
      <c r="AD2214">
        <v>-1.112852217957</v>
      </c>
      <c r="AE2214">
        <v>-5.4603999999999902</v>
      </c>
      <c r="AF2214">
        <v>-4.7078320600439598</v>
      </c>
      <c r="AG2214">
        <v>-1.112852217957</v>
      </c>
      <c r="AH2214">
        <v>17.931963929356201</v>
      </c>
      <c r="AI2214">
        <v>93.435085619761793</v>
      </c>
      <c r="AJ2214">
        <v>104.710370998244</v>
      </c>
      <c r="AK2214">
        <v>18.573030262408</v>
      </c>
      <c r="AL2214">
        <v>89.993289111499806</v>
      </c>
      <c r="AM2214">
        <v>88.763940188095603</v>
      </c>
      <c r="AN2214">
        <v>1.00000000176016</v>
      </c>
    </row>
    <row r="2215" spans="1:40" x14ac:dyDescent="0.25">
      <c r="A2215" t="str">
        <f>"20190312161001035"</f>
        <v>20190312161001035</v>
      </c>
      <c r="B2215" t="str">
        <f>"1552378201027559"</f>
        <v>1552378201027559</v>
      </c>
      <c r="C2215" t="s">
        <v>40</v>
      </c>
      <c r="D2215">
        <v>5.2745899999999999</v>
      </c>
      <c r="E2215">
        <v>0.39165559999999999</v>
      </c>
      <c r="F2215" t="s">
        <v>59</v>
      </c>
      <c r="G2215">
        <v>-485.60930000000002</v>
      </c>
      <c r="H2215" s="1">
        <v>2.8270869999999999E-6</v>
      </c>
      <c r="I2215">
        <v>280.34219999999999</v>
      </c>
      <c r="J2215">
        <v>-467.7398</v>
      </c>
      <c r="K2215">
        <v>1.1128629999999999</v>
      </c>
      <c r="L2215">
        <v>285.94389999999999</v>
      </c>
      <c r="M2215">
        <v>-0.99880809999999998</v>
      </c>
      <c r="N2215">
        <v>0</v>
      </c>
      <c r="O2215">
        <v>-4.4350010000000002E-2</v>
      </c>
      <c r="P2215">
        <v>-0.9995522</v>
      </c>
      <c r="Q2215">
        <v>-1.9270499999999999E-2</v>
      </c>
      <c r="R2215">
        <v>-2.28877E-2</v>
      </c>
      <c r="S2215">
        <v>-2.9794010000000002</v>
      </c>
      <c r="T2215">
        <v>-0.18300939999999999</v>
      </c>
      <c r="U2215">
        <v>-0.92352290000000004</v>
      </c>
      <c r="V2215">
        <v>2.1468950000000001E-2</v>
      </c>
      <c r="W2215">
        <v>1.2033619999999999E-3</v>
      </c>
      <c r="X2215">
        <v>0.99976880000000001</v>
      </c>
      <c r="Y2215">
        <v>-0.25305260000000002</v>
      </c>
      <c r="Z2215">
        <v>-4.9321360000000002E-3</v>
      </c>
      <c r="AA2215">
        <v>0.96743990000000002</v>
      </c>
      <c r="AB2215">
        <v>23</v>
      </c>
      <c r="AC2215">
        <v>-17.869499999999999</v>
      </c>
      <c r="AD2215">
        <v>-1.1128601729130001</v>
      </c>
      <c r="AE2215">
        <v>-5.6016999999999904</v>
      </c>
      <c r="AF2215">
        <v>-4.7866053036655396</v>
      </c>
      <c r="AG2215">
        <v>-1.1128601729130001</v>
      </c>
      <c r="AH2215">
        <v>18.036702200452599</v>
      </c>
      <c r="AI2215">
        <v>93.412820625959995</v>
      </c>
      <c r="AJ2215">
        <v>104.862643901795</v>
      </c>
      <c r="AK2215">
        <v>18.6941882510407</v>
      </c>
      <c r="AL2215">
        <v>89.931052420131294</v>
      </c>
      <c r="AM2215">
        <v>88.769824380751601</v>
      </c>
      <c r="AN2215">
        <v>1.0000000086738201</v>
      </c>
    </row>
    <row r="2216" spans="1:40" x14ac:dyDescent="0.25">
      <c r="A2216" t="str">
        <f>"20190312161001057"</f>
        <v>20190312161001057</v>
      </c>
      <c r="B2216" t="str">
        <f>"1552378201048055"</f>
        <v>1552378201048055</v>
      </c>
      <c r="C2216" t="s">
        <v>40</v>
      </c>
      <c r="D2216">
        <v>5.2919769999999904</v>
      </c>
      <c r="E2216">
        <v>0.39162249999999998</v>
      </c>
      <c r="F2216" t="s">
        <v>59</v>
      </c>
      <c r="G2216">
        <v>-486.08170000000001</v>
      </c>
      <c r="H2216" s="1">
        <v>2.8971749999999999E-6</v>
      </c>
      <c r="I2216">
        <v>280.18529999999998</v>
      </c>
      <c r="J2216">
        <v>-467.9495</v>
      </c>
      <c r="K2216">
        <v>1.112889</v>
      </c>
      <c r="L2216">
        <v>285.93119999999999</v>
      </c>
      <c r="M2216">
        <v>-0.99867919999999999</v>
      </c>
      <c r="N2216">
        <v>0</v>
      </c>
      <c r="O2216">
        <v>-4.7156700000000003E-2</v>
      </c>
      <c r="P2216">
        <v>-0.99949250000000001</v>
      </c>
      <c r="Q2216">
        <v>-1.8672319999999999E-2</v>
      </c>
      <c r="R2216">
        <v>-2.580824E-2</v>
      </c>
      <c r="S2216">
        <v>-2.9764710000000001</v>
      </c>
      <c r="T2216">
        <v>-0.18059130000000001</v>
      </c>
      <c r="U2216">
        <v>-0.93447880000000005</v>
      </c>
      <c r="V2216">
        <v>2.1355289999999999E-2</v>
      </c>
      <c r="W2216">
        <v>1.818481E-3</v>
      </c>
      <c r="X2216">
        <v>0.9997703</v>
      </c>
      <c r="Y2216">
        <v>-0.25386069999999999</v>
      </c>
      <c r="Z2216">
        <v>-4.727551E-3</v>
      </c>
      <c r="AA2216">
        <v>0.96722920000000001</v>
      </c>
      <c r="AB2216">
        <v>22</v>
      </c>
      <c r="AC2216">
        <v>-18.132200000000001</v>
      </c>
      <c r="AD2216">
        <v>-1.1128861028249999</v>
      </c>
      <c r="AE2216">
        <v>-5.7458999999999998</v>
      </c>
      <c r="AF2216">
        <v>-4.8676091915675199</v>
      </c>
      <c r="AG2216">
        <v>-1.1128861028249999</v>
      </c>
      <c r="AH2216">
        <v>18.3203180922131</v>
      </c>
      <c r="AI2216">
        <v>93.359926621255497</v>
      </c>
      <c r="AJ2216">
        <v>104.87940574626199</v>
      </c>
      <c r="AK2216">
        <v>18.988580508283501</v>
      </c>
      <c r="AL2216">
        <v>89.895808656569798</v>
      </c>
      <c r="AM2216">
        <v>88.776336973956802</v>
      </c>
      <c r="AN2216">
        <v>1.0000000040231101</v>
      </c>
    </row>
    <row r="2217" spans="1:40" x14ac:dyDescent="0.25">
      <c r="A2217" t="str">
        <f>"20190312161001084"</f>
        <v>20190312161001084</v>
      </c>
      <c r="B2217" t="str">
        <f>"1552378201078311"</f>
        <v>1552378201078311</v>
      </c>
      <c r="C2217" t="s">
        <v>40</v>
      </c>
      <c r="D2217">
        <v>5.3362040000000004</v>
      </c>
      <c r="E2217">
        <v>0.39154949999999999</v>
      </c>
      <c r="F2217" t="s">
        <v>59</v>
      </c>
      <c r="G2217">
        <v>-486.35789999999997</v>
      </c>
      <c r="H2217" s="1">
        <v>2.9377420000000002E-6</v>
      </c>
      <c r="I2217">
        <v>280.089</v>
      </c>
      <c r="J2217">
        <v>-468.20479999999998</v>
      </c>
      <c r="K2217">
        <v>1.112922</v>
      </c>
      <c r="L2217">
        <v>285.91500000000002</v>
      </c>
      <c r="M2217">
        <v>-0.99850709999999998</v>
      </c>
      <c r="N2217">
        <v>0</v>
      </c>
      <c r="O2217">
        <v>-5.0662609999999997E-2</v>
      </c>
      <c r="P2217">
        <v>-0.9994113</v>
      </c>
      <c r="Q2217">
        <v>-1.7912730000000002E-2</v>
      </c>
      <c r="R2217">
        <v>-2.9259050000000002E-2</v>
      </c>
      <c r="S2217">
        <v>-2.9737849999999999</v>
      </c>
      <c r="T2217">
        <v>-0.17978139999999901</v>
      </c>
      <c r="U2217">
        <v>-0.94378660000000003</v>
      </c>
      <c r="V2217">
        <v>2.1410430000000001E-2</v>
      </c>
      <c r="W2217">
        <v>2.597631E-3</v>
      </c>
      <c r="X2217">
        <v>0.99976739999999997</v>
      </c>
      <c r="Y2217">
        <v>-0.25347700000000001</v>
      </c>
      <c r="Z2217">
        <v>-4.491241E-3</v>
      </c>
      <c r="AA2217">
        <v>0.96733100000000005</v>
      </c>
      <c r="AB2217">
        <v>22</v>
      </c>
      <c r="AC2217">
        <v>-18.153099999999899</v>
      </c>
      <c r="AD2217">
        <v>-1.1129190622580001</v>
      </c>
      <c r="AE2217">
        <v>-5.8260000000000201</v>
      </c>
      <c r="AF2217">
        <v>-4.88200413161925</v>
      </c>
      <c r="AG2217">
        <v>-1.1129190622580001</v>
      </c>
      <c r="AH2217">
        <v>18.362428439282699</v>
      </c>
      <c r="AI2217">
        <v>93.352193001342798</v>
      </c>
      <c r="AJ2217">
        <v>104.888750619212</v>
      </c>
      <c r="AK2217">
        <v>19.032901286143002</v>
      </c>
      <c r="AL2217">
        <v>89.8511665402049</v>
      </c>
      <c r="AM2217">
        <v>88.773174846143306</v>
      </c>
      <c r="AN2217">
        <v>1.0000000041511701</v>
      </c>
    </row>
    <row r="2218" spans="1:40" x14ac:dyDescent="0.25">
      <c r="A2218" t="str">
        <f>"20190312161001102"</f>
        <v>20190312161001102</v>
      </c>
      <c r="B2218" t="str">
        <f>"1552378201097831"</f>
        <v>1552378201097831</v>
      </c>
      <c r="C2218" t="s">
        <v>40</v>
      </c>
      <c r="D2218">
        <v>5.3267699999999998</v>
      </c>
      <c r="E2218">
        <v>0.39150279999999998</v>
      </c>
      <c r="F2218" t="s">
        <v>59</v>
      </c>
      <c r="G2218">
        <v>-486.59399999999999</v>
      </c>
      <c r="H2218" s="1">
        <v>2.9723490000000002E-6</v>
      </c>
      <c r="I2218">
        <v>280.00580000000002</v>
      </c>
      <c r="J2218">
        <v>-468.3897</v>
      </c>
      <c r="K2218">
        <v>1.1129519999999999</v>
      </c>
      <c r="L2218">
        <v>285.90249999999997</v>
      </c>
      <c r="M2218">
        <v>-0.99837010000000004</v>
      </c>
      <c r="N2218">
        <v>0</v>
      </c>
      <c r="O2218">
        <v>-5.3290289999999997E-2</v>
      </c>
      <c r="P2218">
        <v>-0.99929959999999995</v>
      </c>
      <c r="Q2218">
        <v>-1.743658E-2</v>
      </c>
      <c r="R2218">
        <v>-3.3111370000000001E-2</v>
      </c>
      <c r="S2218">
        <v>-2.9705509999999999</v>
      </c>
      <c r="T2218">
        <v>-0.1797781</v>
      </c>
      <c r="U2218">
        <v>-0.9545593</v>
      </c>
      <c r="V2218">
        <v>2.0185979999999999E-2</v>
      </c>
      <c r="W2218">
        <v>3.0811419999999998E-3</v>
      </c>
      <c r="X2218">
        <v>0.99979150000000006</v>
      </c>
      <c r="Y2218">
        <v>-0.2544206</v>
      </c>
      <c r="Z2218">
        <v>-4.3670559999999898E-3</v>
      </c>
      <c r="AA2218">
        <v>0.96708380000000005</v>
      </c>
      <c r="AB2218">
        <v>22</v>
      </c>
      <c r="AC2218">
        <v>-18.2042999999999</v>
      </c>
      <c r="AD2218">
        <v>-1.1129490276509999</v>
      </c>
      <c r="AE2218">
        <v>-5.8966999999999503</v>
      </c>
      <c r="AF2218">
        <v>-4.9014224479597699</v>
      </c>
      <c r="AG2218">
        <v>-1.1129490276509999</v>
      </c>
      <c r="AH2218">
        <v>18.430378998819599</v>
      </c>
      <c r="AI2218">
        <v>93.339890901459398</v>
      </c>
      <c r="AJ2218">
        <v>104.89267715027999</v>
      </c>
      <c r="AK2218">
        <v>19.103441249985401</v>
      </c>
      <c r="AL2218">
        <v>89.823463288939607</v>
      </c>
      <c r="AM2218">
        <v>88.843344495943597</v>
      </c>
      <c r="AN2218">
        <v>1.0000000053484099</v>
      </c>
    </row>
    <row r="2219" spans="1:40" x14ac:dyDescent="0.25">
      <c r="A2219" t="str">
        <f>"20190312161001126"</f>
        <v>20190312161001126</v>
      </c>
      <c r="B2219" t="str">
        <f>"1552378201118327"</f>
        <v>1552378201118327</v>
      </c>
      <c r="C2219" t="s">
        <v>40</v>
      </c>
      <c r="D2219">
        <v>5.315563</v>
      </c>
      <c r="E2219">
        <v>0.39145429999999998</v>
      </c>
      <c r="F2219" t="s">
        <v>59</v>
      </c>
      <c r="G2219">
        <v>-486.74189999999999</v>
      </c>
      <c r="H2219" s="1">
        <v>2.9913360000000002E-6</v>
      </c>
      <c r="I2219">
        <v>279.92290000000003</v>
      </c>
      <c r="J2219">
        <v>-468.61720000000003</v>
      </c>
      <c r="K2219">
        <v>1.1129929999999999</v>
      </c>
      <c r="L2219">
        <v>285.88630000000001</v>
      </c>
      <c r="M2219">
        <v>-0.99818629999999997</v>
      </c>
      <c r="N2219">
        <v>0</v>
      </c>
      <c r="O2219">
        <v>-5.662644E-2</v>
      </c>
      <c r="P2219">
        <v>-0.99912889999999999</v>
      </c>
      <c r="Q2219">
        <v>-1.72064E-2</v>
      </c>
      <c r="R2219">
        <v>-3.8023399999999999E-2</v>
      </c>
      <c r="S2219">
        <v>-2.9669490000000001</v>
      </c>
      <c r="T2219">
        <v>-0.17992710000000001</v>
      </c>
      <c r="U2219">
        <v>-0.96670529999999999</v>
      </c>
      <c r="V2219">
        <v>1.8611340000000001E-2</v>
      </c>
      <c r="W2219">
        <v>3.318129E-3</v>
      </c>
      <c r="X2219">
        <v>0.99982130000000002</v>
      </c>
      <c r="Y2219">
        <v>-0.25511780000000001</v>
      </c>
      <c r="Z2219">
        <v>-4.1976950000000004E-3</v>
      </c>
      <c r="AA2219">
        <v>0.96690089999999995</v>
      </c>
      <c r="AB2219">
        <v>22</v>
      </c>
      <c r="AC2219">
        <v>-18.124699999999901</v>
      </c>
      <c r="AD2219">
        <v>-1.1129900086640001</v>
      </c>
      <c r="AE2219">
        <v>-5.9633999999999698</v>
      </c>
      <c r="AF2219">
        <v>-4.91056743113921</v>
      </c>
      <c r="AG2219">
        <v>-1.1129900086640001</v>
      </c>
      <c r="AH2219">
        <v>18.3708549369594</v>
      </c>
      <c r="AI2219">
        <v>93.349679898388402</v>
      </c>
      <c r="AJ2219">
        <v>104.96540038363</v>
      </c>
      <c r="AK2219">
        <v>19.048378680873501</v>
      </c>
      <c r="AL2219">
        <v>89.809884865829204</v>
      </c>
      <c r="AM2219">
        <v>88.933581337933205</v>
      </c>
      <c r="AN2219">
        <v>1.00000001194517</v>
      </c>
    </row>
    <row r="2220" spans="1:40" x14ac:dyDescent="0.25">
      <c r="A2220" t="str">
        <f>"20190312161001168"</f>
        <v>20190312161001168</v>
      </c>
      <c r="B2220" t="str">
        <f>"1552378201158343"</f>
        <v>1552378201158343</v>
      </c>
      <c r="C2220" t="s">
        <v>40</v>
      </c>
      <c r="D2220">
        <v>5.3280450000000004</v>
      </c>
      <c r="E2220">
        <v>0.39133279999999998</v>
      </c>
      <c r="F2220" t="s">
        <v>59</v>
      </c>
      <c r="G2220">
        <v>-486.82979999999998</v>
      </c>
      <c r="H2220" s="1">
        <v>3.00061E-6</v>
      </c>
      <c r="I2220">
        <v>279.85070000000002</v>
      </c>
      <c r="J2220">
        <v>-469.01069999999999</v>
      </c>
      <c r="K2220">
        <v>1.113078</v>
      </c>
      <c r="L2220">
        <v>285.8562</v>
      </c>
      <c r="M2220">
        <v>-0.99782559999999998</v>
      </c>
      <c r="N2220">
        <v>0</v>
      </c>
      <c r="O2220">
        <v>-6.2656680000000006E-2</v>
      </c>
      <c r="P2220">
        <v>-0.99877700000000003</v>
      </c>
      <c r="Q2220">
        <v>-1.699844E-2</v>
      </c>
      <c r="R2220">
        <v>-4.6427099999999999E-2</v>
      </c>
      <c r="S2220">
        <v>-2.9621580000000001</v>
      </c>
      <c r="T2220">
        <v>-0.18102099999999999</v>
      </c>
      <c r="U2220">
        <v>-0.9816589</v>
      </c>
      <c r="V2220">
        <v>1.624051E-2</v>
      </c>
      <c r="W2220">
        <v>3.5341349999999999E-3</v>
      </c>
      <c r="X2220">
        <v>0.99986189999999997</v>
      </c>
      <c r="Y2220">
        <v>-0.2541486</v>
      </c>
      <c r="Z2220">
        <v>-3.8412279999999999E-3</v>
      </c>
      <c r="AA2220">
        <v>0.9671575</v>
      </c>
      <c r="AB2220">
        <v>22</v>
      </c>
      <c r="AC2220">
        <v>-17.819099999999899</v>
      </c>
      <c r="AD2220">
        <v>-1.11307499939</v>
      </c>
      <c r="AE2220">
        <v>-6.0054999999999801</v>
      </c>
      <c r="AF2220">
        <v>-4.8599470733543502</v>
      </c>
      <c r="AG2220">
        <v>-1.11307499939</v>
      </c>
      <c r="AH2220">
        <v>18.097026285831401</v>
      </c>
      <c r="AI2220">
        <v>93.399447649302402</v>
      </c>
      <c r="AJ2220">
        <v>105.03208538909701</v>
      </c>
      <c r="AK2220">
        <v>18.771264792233499</v>
      </c>
      <c r="AL2220">
        <v>89.797508565159205</v>
      </c>
      <c r="AM2220">
        <v>89.069440628124795</v>
      </c>
      <c r="AN2220">
        <v>1.0000000316734301</v>
      </c>
    </row>
    <row r="2221" spans="1:40" x14ac:dyDescent="0.25">
      <c r="A2221" t="str">
        <f>"20190312161001189"</f>
        <v>20190312161001189</v>
      </c>
      <c r="B2221" t="str">
        <f>"1552378201177863"</f>
        <v>1552378201177863</v>
      </c>
      <c r="C2221" t="s">
        <v>40</v>
      </c>
      <c r="D2221">
        <v>5.3492430000000004</v>
      </c>
      <c r="E2221">
        <v>0.39138479999999998</v>
      </c>
      <c r="F2221" t="s">
        <v>59</v>
      </c>
      <c r="G2221">
        <v>-487.09699999999998</v>
      </c>
      <c r="H2221" s="1">
        <v>3.0334180000000001E-6</v>
      </c>
      <c r="I2221">
        <v>279.68380000000002</v>
      </c>
      <c r="J2221">
        <v>-469.2176</v>
      </c>
      <c r="K2221">
        <v>1.1131040000000001</v>
      </c>
      <c r="L2221">
        <v>285.83920000000001</v>
      </c>
      <c r="M2221">
        <v>-0.99761330000000004</v>
      </c>
      <c r="N2221">
        <v>0</v>
      </c>
      <c r="O2221">
        <v>-6.5947539999999999E-2</v>
      </c>
      <c r="P2221">
        <v>-0.99861409999999995</v>
      </c>
      <c r="Q2221">
        <v>-1.6639330000000001E-2</v>
      </c>
      <c r="R2221">
        <v>-4.9934439999999997E-2</v>
      </c>
      <c r="S2221">
        <v>-2.9537659999999999</v>
      </c>
      <c r="T2221">
        <v>-0.1817822</v>
      </c>
      <c r="U2221">
        <v>-1.008057</v>
      </c>
      <c r="V2221">
        <v>1.6025649999999999E-2</v>
      </c>
      <c r="W2221">
        <v>3.8974830000000002E-3</v>
      </c>
      <c r="X2221">
        <v>0.99986399999999998</v>
      </c>
      <c r="Y2221">
        <v>-0.25953130000000002</v>
      </c>
      <c r="Z2221">
        <v>-3.8281069999999999E-3</v>
      </c>
      <c r="AA2221">
        <v>0.96572709999999995</v>
      </c>
      <c r="AB2221">
        <v>21</v>
      </c>
      <c r="AC2221">
        <v>-17.879399999999901</v>
      </c>
      <c r="AD2221">
        <v>-1.113100966582</v>
      </c>
      <c r="AE2221">
        <v>-6.1553999999999798</v>
      </c>
      <c r="AF2221">
        <v>-4.9455085488649697</v>
      </c>
      <c r="AG2221">
        <v>-1.113100966582</v>
      </c>
      <c r="AH2221">
        <v>18.183472487791999</v>
      </c>
      <c r="AI2221">
        <v>93.380488871058006</v>
      </c>
      <c r="AJ2221">
        <v>105.215164968449</v>
      </c>
      <c r="AK2221">
        <v>18.876856737364701</v>
      </c>
      <c r="AL2221">
        <v>89.776690111399702</v>
      </c>
      <c r="AM2221">
        <v>89.081751623203004</v>
      </c>
      <c r="AN2221">
        <v>1.00000001516382</v>
      </c>
    </row>
    <row r="2222" spans="1:40" x14ac:dyDescent="0.25">
      <c r="A2222" t="str">
        <f>"20190312161001235"</f>
        <v>20190312161001235</v>
      </c>
      <c r="B2222" t="str">
        <f>"1552378201227639"</f>
        <v>1552378201227639</v>
      </c>
      <c r="C2222" t="s">
        <v>40</v>
      </c>
      <c r="D2222">
        <v>5.3322580000000004</v>
      </c>
      <c r="E2222">
        <v>0.39144230000000002</v>
      </c>
      <c r="F2222" t="s">
        <v>59</v>
      </c>
      <c r="G2222">
        <v>-487.33190000000002</v>
      </c>
      <c r="H2222" s="1">
        <v>3.0588580000000002E-6</v>
      </c>
      <c r="I2222">
        <v>279.58710000000002</v>
      </c>
      <c r="J2222">
        <v>-469.63600000000002</v>
      </c>
      <c r="K2222">
        <v>1.1131219999999999</v>
      </c>
      <c r="L2222">
        <v>285.80259999999998</v>
      </c>
      <c r="M2222">
        <v>-0.99713490000000005</v>
      </c>
      <c r="N2222">
        <v>0</v>
      </c>
      <c r="O2222">
        <v>-7.2824E-2</v>
      </c>
      <c r="P2222">
        <v>-0.99824500000000005</v>
      </c>
      <c r="Q2222">
        <v>-1.6763509999999999E-2</v>
      </c>
      <c r="R2222">
        <v>-5.6799870000000002E-2</v>
      </c>
      <c r="S2222">
        <v>-2.950256</v>
      </c>
      <c r="T2222">
        <v>-0.1812898</v>
      </c>
      <c r="U2222">
        <v>-1.0182800000000001</v>
      </c>
      <c r="V2222">
        <v>1.604413E-2</v>
      </c>
      <c r="W2222">
        <v>3.7773199999999998E-3</v>
      </c>
      <c r="X2222">
        <v>0.99986419999999998</v>
      </c>
      <c r="Y2222">
        <v>-0.2562354</v>
      </c>
      <c r="Z2222">
        <v>-3.3144590000000001E-3</v>
      </c>
      <c r="AA2222">
        <v>0.96660880000000005</v>
      </c>
      <c r="AB2222">
        <v>21</v>
      </c>
      <c r="AC2222">
        <v>-17.695900000000002</v>
      </c>
      <c r="AD2222">
        <v>-1.1131189411419999</v>
      </c>
      <c r="AE2222">
        <v>-6.2154999999999596</v>
      </c>
      <c r="AF2222">
        <v>-4.8928001925753204</v>
      </c>
      <c r="AG2222">
        <v>-1.1131189411419999</v>
      </c>
      <c r="AH2222">
        <v>18.038092664655998</v>
      </c>
      <c r="AI2222">
        <v>93.408353057832201</v>
      </c>
      <c r="AJ2222">
        <v>105.176211513843</v>
      </c>
      <c r="AK2222">
        <v>18.7230156353166</v>
      </c>
      <c r="AL2222">
        <v>89.783575002360095</v>
      </c>
      <c r="AM2222">
        <v>89.080693109316599</v>
      </c>
      <c r="AN2222">
        <v>1.00000005034773</v>
      </c>
    </row>
    <row r="2223" spans="1:40" x14ac:dyDescent="0.25">
      <c r="A2223" t="str">
        <f>"20190312161001256"</f>
        <v>20190312161001256</v>
      </c>
      <c r="B2223" t="str">
        <f>"1552378201248136"</f>
        <v>1552378201248136</v>
      </c>
      <c r="C2223" t="s">
        <v>40</v>
      </c>
      <c r="D2223">
        <v>5.3081440000000004</v>
      </c>
      <c r="E2223">
        <v>0.39147710000000002</v>
      </c>
      <c r="F2223" t="s">
        <v>59</v>
      </c>
      <c r="G2223">
        <v>-487.30860000000001</v>
      </c>
      <c r="H2223" s="1">
        <v>3.0476339999999999E-6</v>
      </c>
      <c r="I2223">
        <v>279.56700000000001</v>
      </c>
      <c r="J2223">
        <v>-469.83440000000002</v>
      </c>
      <c r="K2223">
        <v>1.1131329999999999</v>
      </c>
      <c r="L2223">
        <v>285.78410000000002</v>
      </c>
      <c r="M2223">
        <v>-0.99688319999999997</v>
      </c>
      <c r="N2223">
        <v>0</v>
      </c>
      <c r="O2223">
        <v>-7.6190750000000002E-2</v>
      </c>
      <c r="P2223">
        <v>-0.99801430000000002</v>
      </c>
      <c r="Q2223">
        <v>-1.680835E-2</v>
      </c>
      <c r="R2223">
        <v>-6.0705139999999998E-2</v>
      </c>
      <c r="S2223">
        <v>-2.9430540000000001</v>
      </c>
      <c r="T2223">
        <v>-0.18536910000000001</v>
      </c>
      <c r="U2223">
        <v>-1.038422</v>
      </c>
      <c r="V2223">
        <v>1.550877E-2</v>
      </c>
      <c r="W2223">
        <v>3.7305910000000001E-3</v>
      </c>
      <c r="X2223">
        <v>0.99987269999999995</v>
      </c>
      <c r="Y2223">
        <v>-0.25958029999999999</v>
      </c>
      <c r="Z2223">
        <v>-3.2914960000000001E-3</v>
      </c>
      <c r="AA2223">
        <v>0.96571589999999996</v>
      </c>
      <c r="AB2223">
        <v>21</v>
      </c>
      <c r="AC2223">
        <v>-17.4741999999999</v>
      </c>
      <c r="AD2223">
        <v>-1.1131299523660001</v>
      </c>
      <c r="AE2223">
        <v>-6.2171000000000101</v>
      </c>
      <c r="AF2223">
        <v>-4.8499006837948597</v>
      </c>
      <c r="AG2223">
        <v>-1.1131299523660001</v>
      </c>
      <c r="AH2223">
        <v>17.8329377769264</v>
      </c>
      <c r="AI2223">
        <v>93.446881812466302</v>
      </c>
      <c r="AJ2223">
        <v>105.214357056754</v>
      </c>
      <c r="AK2223">
        <v>18.514163893874802</v>
      </c>
      <c r="AL2223">
        <v>89.786252369362401</v>
      </c>
      <c r="AM2223">
        <v>89.111371060517598</v>
      </c>
      <c r="AN2223">
        <v>0.99999992773070301</v>
      </c>
    </row>
    <row r="2224" spans="1:40" x14ac:dyDescent="0.25">
      <c r="A2224" t="str">
        <f>"20190312161001279"</f>
        <v>20190312161001279</v>
      </c>
      <c r="B2224" t="str">
        <f>"1552378201267655"</f>
        <v>1552378201267655</v>
      </c>
      <c r="C2224" t="s">
        <v>40</v>
      </c>
      <c r="D2224">
        <v>5.300808</v>
      </c>
      <c r="E2224">
        <v>0.39149659999999997</v>
      </c>
      <c r="F2224" t="s">
        <v>59</v>
      </c>
      <c r="G2224">
        <v>-487.19729999999998</v>
      </c>
      <c r="H2224" s="1">
        <v>3.0332980000000002E-6</v>
      </c>
      <c r="I2224">
        <v>279.58229999999998</v>
      </c>
      <c r="J2224">
        <v>-470.03719999999998</v>
      </c>
      <c r="K2224">
        <v>1.113162</v>
      </c>
      <c r="L2224">
        <v>285.76440000000002</v>
      </c>
      <c r="M2224">
        <v>-0.99660899999999997</v>
      </c>
      <c r="N2224">
        <v>0</v>
      </c>
      <c r="O2224">
        <v>-7.9697560000000001E-2</v>
      </c>
      <c r="P2224">
        <v>-0.99778120000000003</v>
      </c>
      <c r="Q2224">
        <v>-1.6948439999999999E-2</v>
      </c>
      <c r="R2224">
        <v>-6.4385529999999996E-2</v>
      </c>
      <c r="S2224">
        <v>-2.9389340000000002</v>
      </c>
      <c r="T2224">
        <v>-0.1884139</v>
      </c>
      <c r="U2224">
        <v>-1.049744</v>
      </c>
      <c r="V2224">
        <v>1.533904E-2</v>
      </c>
      <c r="W2224">
        <v>3.5899249999999999E-3</v>
      </c>
      <c r="X2224">
        <v>0.99987590000000004</v>
      </c>
      <c r="Y2224">
        <v>-0.25990600000000003</v>
      </c>
      <c r="Z2224">
        <v>-3.1421180000000002E-3</v>
      </c>
      <c r="AA2224">
        <v>0.96562879999999995</v>
      </c>
      <c r="AB2224">
        <v>21</v>
      </c>
      <c r="AC2224">
        <v>-17.1601</v>
      </c>
      <c r="AD2224">
        <v>-1.1131589667020001</v>
      </c>
      <c r="AE2224">
        <v>-6.1821000000000401</v>
      </c>
      <c r="AF2224">
        <v>-4.7767311307486402</v>
      </c>
      <c r="AG2224">
        <v>-1.1131589667020001</v>
      </c>
      <c r="AH2224">
        <v>17.532990719610599</v>
      </c>
      <c r="AI2224">
        <v>93.5053701197549</v>
      </c>
      <c r="AJ2224">
        <v>105.23992880909699</v>
      </c>
      <c r="AK2224">
        <v>18.206099163592501</v>
      </c>
      <c r="AL2224">
        <v>89.7943120058071</v>
      </c>
      <c r="AM2224">
        <v>89.121097609846402</v>
      </c>
      <c r="AN2224">
        <v>0.99999999455521804</v>
      </c>
    </row>
    <row r="2225" spans="1:40" x14ac:dyDescent="0.25">
      <c r="A2225" t="str">
        <f>"20190312161001324"</f>
        <v>20190312161001324</v>
      </c>
      <c r="B2225" t="str">
        <f>"1552378201318408"</f>
        <v>1552378201318408</v>
      </c>
      <c r="C2225" t="s">
        <v>40</v>
      </c>
      <c r="D2225">
        <v>5.2946090000000003</v>
      </c>
      <c r="E2225">
        <v>0.3915846</v>
      </c>
      <c r="F2225" t="s">
        <v>59</v>
      </c>
      <c r="G2225">
        <v>-487.14490000000001</v>
      </c>
      <c r="H2225" s="1">
        <v>3.0251710000000001E-6</v>
      </c>
      <c r="I2225">
        <v>279.5856</v>
      </c>
      <c r="J2225">
        <v>-470.44369999999998</v>
      </c>
      <c r="K2225">
        <v>1.113205</v>
      </c>
      <c r="L2225">
        <v>285.72239999999999</v>
      </c>
      <c r="M2225">
        <v>-0.99600370000000005</v>
      </c>
      <c r="N2225">
        <v>0</v>
      </c>
      <c r="O2225">
        <v>-8.6938189999999999E-2</v>
      </c>
      <c r="P2225">
        <v>-0.99730450000000004</v>
      </c>
      <c r="Q2225">
        <v>-1.627961E-2</v>
      </c>
      <c r="R2225">
        <v>-7.1547600000000003E-2</v>
      </c>
      <c r="S2225">
        <v>-2.9349980000000002</v>
      </c>
      <c r="T2225">
        <v>-0.19097330000000001</v>
      </c>
      <c r="U2225">
        <v>-1.060028</v>
      </c>
      <c r="V2225">
        <v>1.5424119999999999E-2</v>
      </c>
      <c r="W2225">
        <v>4.2565379999999998E-3</v>
      </c>
      <c r="X2225">
        <v>0.99987199999999998</v>
      </c>
      <c r="Y2225">
        <v>-0.25630500000000001</v>
      </c>
      <c r="Z2225">
        <v>-2.6217689999999999E-3</v>
      </c>
      <c r="AA2225">
        <v>0.96659240000000002</v>
      </c>
      <c r="AB2225">
        <v>21</v>
      </c>
      <c r="AC2225">
        <v>-16.7012</v>
      </c>
      <c r="AD2225">
        <v>-1.1132019748289901</v>
      </c>
      <c r="AE2225">
        <v>-6.1367999999999903</v>
      </c>
      <c r="AF2225">
        <v>-4.6431042643493097</v>
      </c>
      <c r="AG2225">
        <v>-1.1132019748289901</v>
      </c>
      <c r="AH2225">
        <v>17.104619770977699</v>
      </c>
      <c r="AI2225">
        <v>93.593968276116897</v>
      </c>
      <c r="AJ2225">
        <v>105.187153076511</v>
      </c>
      <c r="AK2225">
        <v>17.758537477959798</v>
      </c>
      <c r="AL2225">
        <v>89.756117605441901</v>
      </c>
      <c r="AM2225">
        <v>89.116219986759106</v>
      </c>
      <c r="AN2225">
        <v>1.0000000189887499</v>
      </c>
    </row>
    <row r="2226" spans="1:40" x14ac:dyDescent="0.25">
      <c r="A2226" t="str">
        <f>"20190312161001346"</f>
        <v>20190312161001346</v>
      </c>
      <c r="B2226" t="str">
        <f>"1552378201337927"</f>
        <v>1552378201337927</v>
      </c>
      <c r="C2226" t="s">
        <v>40</v>
      </c>
      <c r="D2226">
        <v>5.3087429999999998</v>
      </c>
      <c r="E2226">
        <v>0.391627</v>
      </c>
      <c r="F2226" t="s">
        <v>59</v>
      </c>
      <c r="G2226">
        <v>-487.45479999999998</v>
      </c>
      <c r="H2226" s="1">
        <v>3.0286690000000001E-6</v>
      </c>
      <c r="I2226">
        <v>279.44</v>
      </c>
      <c r="J2226">
        <v>-470.64060000000001</v>
      </c>
      <c r="K2226">
        <v>1.1132120000000001</v>
      </c>
      <c r="L2226">
        <v>285.70080000000002</v>
      </c>
      <c r="M2226">
        <v>-0.99568129999999999</v>
      </c>
      <c r="N2226">
        <v>0</v>
      </c>
      <c r="O2226">
        <v>-9.0555910000000003E-2</v>
      </c>
      <c r="P2226">
        <v>-0.99705849999999996</v>
      </c>
      <c r="Q2226">
        <v>-1.528857E-2</v>
      </c>
      <c r="R2226">
        <v>-7.5105169999999999E-2</v>
      </c>
      <c r="S2226">
        <v>-2.92746</v>
      </c>
      <c r="T2226">
        <v>-0.19157179999999999</v>
      </c>
      <c r="U2226">
        <v>-1.0811459999999999</v>
      </c>
      <c r="V2226">
        <v>1.5485850000000001E-2</v>
      </c>
      <c r="W2226">
        <v>5.2445340000000003E-3</v>
      </c>
      <c r="X2226">
        <v>0.99986629999999999</v>
      </c>
      <c r="Y2226">
        <v>-0.25973540000000001</v>
      </c>
      <c r="Z2226">
        <v>-2.5156319999999999E-3</v>
      </c>
      <c r="AA2226">
        <v>0.96567650000000005</v>
      </c>
      <c r="AB2226">
        <v>20</v>
      </c>
      <c r="AC2226">
        <v>-16.8141999999999</v>
      </c>
      <c r="AD2226">
        <v>-1.1132089713310001</v>
      </c>
      <c r="AE2226">
        <v>-6.2608000000000104</v>
      </c>
      <c r="AF2226">
        <v>-4.6940520398970396</v>
      </c>
      <c r="AG2226">
        <v>-1.1132089713310001</v>
      </c>
      <c r="AH2226">
        <v>17.245770024881001</v>
      </c>
      <c r="AI2226">
        <v>93.563992347753995</v>
      </c>
      <c r="AJ2226">
        <v>105.22623328786599</v>
      </c>
      <c r="AK2226">
        <v>17.907817916155999</v>
      </c>
      <c r="AL2226">
        <v>89.699508948936696</v>
      </c>
      <c r="AM2226">
        <v>89.112678452869105</v>
      </c>
      <c r="AN2226">
        <v>0.99999996728139395</v>
      </c>
    </row>
    <row r="2227" spans="1:40" x14ac:dyDescent="0.25">
      <c r="A2227" t="str">
        <f>"20190312161001369"</f>
        <v>20190312161001369</v>
      </c>
      <c r="B2227" t="str">
        <f>"1552378201357447"</f>
        <v>1552378201357447</v>
      </c>
      <c r="C2227" t="s">
        <v>40</v>
      </c>
      <c r="D2227">
        <v>5.2832499999999998</v>
      </c>
      <c r="E2227">
        <v>0.39168700000000001</v>
      </c>
      <c r="F2227" t="s">
        <v>59</v>
      </c>
      <c r="G2227">
        <v>-487.78</v>
      </c>
      <c r="H2227" s="1">
        <v>3.0381869999999998E-6</v>
      </c>
      <c r="I2227">
        <v>279.30380000000002</v>
      </c>
      <c r="J2227">
        <v>-470.83539999999999</v>
      </c>
      <c r="K2227">
        <v>1.1132200000000001</v>
      </c>
      <c r="L2227">
        <v>285.67860000000002</v>
      </c>
      <c r="M2227">
        <v>-0.99534210000000001</v>
      </c>
      <c r="N2227">
        <v>0</v>
      </c>
      <c r="O2227">
        <v>-9.4211349999999999E-2</v>
      </c>
      <c r="P2227">
        <v>-0.99683390000000005</v>
      </c>
      <c r="Q2227">
        <v>-1.497709E-2</v>
      </c>
      <c r="R2227">
        <v>-7.8089060000000002E-2</v>
      </c>
      <c r="S2227">
        <v>-2.9237669999999998</v>
      </c>
      <c r="T2227">
        <v>-0.18989909999999999</v>
      </c>
      <c r="U2227">
        <v>-1.091248</v>
      </c>
      <c r="V2227">
        <v>1.6163230000000001E-2</v>
      </c>
      <c r="W2227">
        <v>5.5549500000000003E-3</v>
      </c>
      <c r="X2227">
        <v>0.99985389999999996</v>
      </c>
      <c r="Y2227">
        <v>-0.25953009999999999</v>
      </c>
      <c r="Z2227">
        <v>-2.2621070000000002E-3</v>
      </c>
      <c r="AA2227">
        <v>0.96573240000000005</v>
      </c>
      <c r="AB2227">
        <v>20</v>
      </c>
      <c r="AC2227">
        <v>-16.944599999999902</v>
      </c>
      <c r="AD2227">
        <v>-1.1132169618129999</v>
      </c>
      <c r="AE2227">
        <v>-6.3747999999999898</v>
      </c>
      <c r="AF2227">
        <v>-4.7318356665090198</v>
      </c>
      <c r="AG2227">
        <v>-1.1132169618129999</v>
      </c>
      <c r="AH2227">
        <v>17.404101750130899</v>
      </c>
      <c r="AI2227">
        <v>93.531949423999905</v>
      </c>
      <c r="AJ2227">
        <v>105.20995066259501</v>
      </c>
      <c r="AK2227">
        <v>18.070204163423899</v>
      </c>
      <c r="AL2227">
        <v>89.681723161382095</v>
      </c>
      <c r="AM2227">
        <v>89.073860486199493</v>
      </c>
      <c r="AN2227">
        <v>0.999999964409372</v>
      </c>
    </row>
    <row r="2228" spans="1:40" x14ac:dyDescent="0.25">
      <c r="A2228" t="str">
        <f>"20190312161001390"</f>
        <v>20190312161001390</v>
      </c>
      <c r="B2228" t="str">
        <f>"1552378201378920"</f>
        <v>1552378201378920</v>
      </c>
      <c r="C2228" t="s">
        <v>40</v>
      </c>
      <c r="D2228">
        <v>5.2876839999999996</v>
      </c>
      <c r="E2228">
        <v>0.3917446</v>
      </c>
      <c r="F2228" t="s">
        <v>59</v>
      </c>
      <c r="G2228">
        <v>-487.92599999999999</v>
      </c>
      <c r="H2228" s="1">
        <v>3.0429710000000002E-6</v>
      </c>
      <c r="I2228">
        <v>279.24400000000003</v>
      </c>
      <c r="J2228">
        <v>-471.0283</v>
      </c>
      <c r="K2228">
        <v>1.113227</v>
      </c>
      <c r="L2228">
        <v>285.65589999999997</v>
      </c>
      <c r="M2228">
        <v>-0.99498710000000001</v>
      </c>
      <c r="N2228">
        <v>0</v>
      </c>
      <c r="O2228">
        <v>-9.7891259999999994E-2</v>
      </c>
      <c r="P2228">
        <v>-0.99658749999999996</v>
      </c>
      <c r="Q2228">
        <v>-1.5612630000000001E-2</v>
      </c>
      <c r="R2228">
        <v>-8.1056039999999996E-2</v>
      </c>
      <c r="S2228">
        <v>-2.9205320000000001</v>
      </c>
      <c r="T2228">
        <v>-0.19023290000000001</v>
      </c>
      <c r="U2228">
        <v>-1.0995790000000001</v>
      </c>
      <c r="V2228">
        <v>1.688663E-2</v>
      </c>
      <c r="W2228">
        <v>4.9183819999999998E-3</v>
      </c>
      <c r="X2228">
        <v>0.99984530000000005</v>
      </c>
      <c r="Y2228">
        <v>-0.25873180000000001</v>
      </c>
      <c r="Z2228">
        <v>-2.0136400000000001E-3</v>
      </c>
      <c r="AA2228">
        <v>0.96594709999999995</v>
      </c>
      <c r="AB2228">
        <v>20</v>
      </c>
      <c r="AC2228">
        <v>-16.897699999999901</v>
      </c>
      <c r="AD2228">
        <v>-1.1132239570289999</v>
      </c>
      <c r="AE2228">
        <v>-6.4118999999999398</v>
      </c>
      <c r="AF2228">
        <v>-4.7087438910034098</v>
      </c>
      <c r="AG2228">
        <v>-1.1132239570289999</v>
      </c>
      <c r="AH2228">
        <v>17.3783761262222</v>
      </c>
      <c r="AI2228">
        <v>93.538013026458103</v>
      </c>
      <c r="AJ2228">
        <v>105.160519415602</v>
      </c>
      <c r="AK2228">
        <v>18.0393872787857</v>
      </c>
      <c r="AL2228">
        <v>89.718196329349396</v>
      </c>
      <c r="AM2228">
        <v>89.032409663940001</v>
      </c>
      <c r="AN2228">
        <v>0.999999986343172</v>
      </c>
    </row>
    <row r="2229" spans="1:40" x14ac:dyDescent="0.25">
      <c r="A2229" t="str">
        <f>"20190312161001413"</f>
        <v>20190312161001413</v>
      </c>
      <c r="B2229" t="str">
        <f>"1552378201408200"</f>
        <v>1552378201408200</v>
      </c>
      <c r="C2229" t="s">
        <v>40</v>
      </c>
      <c r="D2229">
        <v>5.2616829999999997</v>
      </c>
      <c r="E2229">
        <v>0.39179930000000002</v>
      </c>
      <c r="F2229" t="s">
        <v>59</v>
      </c>
      <c r="G2229">
        <v>-487.90539999999999</v>
      </c>
      <c r="H2229" s="1">
        <v>3.0389319999999999E-6</v>
      </c>
      <c r="I2229">
        <v>279.24299999999999</v>
      </c>
      <c r="J2229">
        <v>-471.22179999999997</v>
      </c>
      <c r="K2229">
        <v>1.113229</v>
      </c>
      <c r="L2229">
        <v>285.63229999999999</v>
      </c>
      <c r="M2229">
        <v>-0.99461109999999997</v>
      </c>
      <c r="N2229">
        <v>0</v>
      </c>
      <c r="O2229">
        <v>-0.1016417</v>
      </c>
      <c r="P2229">
        <v>-0.99627770000000004</v>
      </c>
      <c r="Q2229">
        <v>-1.657287E-2</v>
      </c>
      <c r="R2229">
        <v>-8.4595310000000007E-2</v>
      </c>
      <c r="S2229">
        <v>-2.9171450000000001</v>
      </c>
      <c r="T2229">
        <v>-0.1924167</v>
      </c>
      <c r="U2229">
        <v>-1.1084590000000001</v>
      </c>
      <c r="V2229">
        <v>1.710795E-2</v>
      </c>
      <c r="W2229">
        <v>3.9532719999999999E-3</v>
      </c>
      <c r="X2229">
        <v>0.99984589999999995</v>
      </c>
      <c r="Y2229">
        <v>-0.25803379999999998</v>
      </c>
      <c r="Z2229">
        <v>-1.780071E-3</v>
      </c>
      <c r="AA2229">
        <v>0.9661343</v>
      </c>
      <c r="AB2229">
        <v>20</v>
      </c>
      <c r="AC2229">
        <v>-16.683599999999998</v>
      </c>
      <c r="AD2229">
        <v>-1.113225961068</v>
      </c>
      <c r="AE2229">
        <v>-6.3892999999999898</v>
      </c>
      <c r="AF2229">
        <v>-4.6420682050412596</v>
      </c>
      <c r="AG2229">
        <v>-1.113225961068</v>
      </c>
      <c r="AH2229">
        <v>17.180008250654801</v>
      </c>
      <c r="AI2229">
        <v>93.579442546542097</v>
      </c>
      <c r="AJ2229">
        <v>105.120348296667</v>
      </c>
      <c r="AK2229">
        <v>17.8308932124338</v>
      </c>
      <c r="AL2229">
        <v>89.773493624325596</v>
      </c>
      <c r="AM2229">
        <v>89.019731252395502</v>
      </c>
      <c r="AN2229">
        <v>1.00000006702975</v>
      </c>
    </row>
    <row r="2230" spans="1:40" x14ac:dyDescent="0.25">
      <c r="A2230" t="str">
        <f>"20190312161001435"</f>
        <v>20190312161001435</v>
      </c>
      <c r="B2230" t="str">
        <f>"1552378201427721"</f>
        <v>1552378201427721</v>
      </c>
      <c r="C2230" t="s">
        <v>40</v>
      </c>
      <c r="D2230">
        <v>5.2906329999999997</v>
      </c>
      <c r="E2230">
        <v>0.3944416</v>
      </c>
      <c r="F2230" t="s">
        <v>59</v>
      </c>
      <c r="G2230">
        <v>-487.84840000000003</v>
      </c>
      <c r="H2230" s="1">
        <v>3.030454E-6</v>
      </c>
      <c r="I2230">
        <v>279.24759999999998</v>
      </c>
      <c r="J2230">
        <v>-471.41149999999999</v>
      </c>
      <c r="K2230">
        <v>1.1132310000000001</v>
      </c>
      <c r="L2230">
        <v>285.60840000000002</v>
      </c>
      <c r="M2230">
        <v>-0.99422219999999994</v>
      </c>
      <c r="N2230">
        <v>0</v>
      </c>
      <c r="O2230">
        <v>-0.1053785</v>
      </c>
      <c r="P2230">
        <v>-0.99595420000000001</v>
      </c>
      <c r="Q2230">
        <v>-1.650998E-2</v>
      </c>
      <c r="R2230">
        <v>-8.8333510000000004E-2</v>
      </c>
      <c r="S2230">
        <v>-2.9130250000000002</v>
      </c>
      <c r="T2230">
        <v>-0.19503989999999999</v>
      </c>
      <c r="U2230">
        <v>-1.118622</v>
      </c>
      <c r="V2230">
        <v>1.7112559999999999E-2</v>
      </c>
      <c r="W2230">
        <v>4.0109689999999996E-3</v>
      </c>
      <c r="X2230">
        <v>0.99984550000000005</v>
      </c>
      <c r="Y2230">
        <v>-0.2577972</v>
      </c>
      <c r="Z2230">
        <v>-1.560107E-3</v>
      </c>
      <c r="AA2230">
        <v>0.9661978</v>
      </c>
      <c r="AB2230">
        <v>20</v>
      </c>
      <c r="AC2230">
        <v>-16.436900000000001</v>
      </c>
      <c r="AD2230">
        <v>-1.1132279695459999</v>
      </c>
      <c r="AE2230">
        <v>-6.3608000000000402</v>
      </c>
      <c r="AF2230">
        <v>-4.5746609861376504</v>
      </c>
      <c r="AG2230">
        <v>-1.1132279695459999</v>
      </c>
      <c r="AH2230">
        <v>16.948160254375399</v>
      </c>
      <c r="AI2230">
        <v>93.628541224303206</v>
      </c>
      <c r="AJ2230">
        <v>105.105345579553</v>
      </c>
      <c r="AK2230">
        <v>17.589966903273599</v>
      </c>
      <c r="AL2230">
        <v>89.770187782762605</v>
      </c>
      <c r="AM2230">
        <v>89.019466763286701</v>
      </c>
      <c r="AN2230">
        <v>0.99999997572616095</v>
      </c>
    </row>
    <row r="2231" spans="1:40" x14ac:dyDescent="0.25">
      <c r="A2231" t="str">
        <f>"20190312161001457"</f>
        <v>20190312161001457</v>
      </c>
      <c r="B2231" t="str">
        <f>"1552378201448216"</f>
        <v>1552378201448216</v>
      </c>
      <c r="C2231" t="s">
        <v>40</v>
      </c>
      <c r="D2231">
        <v>5.3059560000000001</v>
      </c>
      <c r="E2231">
        <v>0.39481529999999998</v>
      </c>
      <c r="F2231" t="s">
        <v>59</v>
      </c>
      <c r="G2231">
        <v>-484.44979999999998</v>
      </c>
      <c r="H2231" s="1">
        <v>2.6468440000000002E-6</v>
      </c>
      <c r="I2231">
        <v>280.63319999999999</v>
      </c>
      <c r="J2231">
        <v>-471.60230000000001</v>
      </c>
      <c r="K2231">
        <v>1.1132390000000001</v>
      </c>
      <c r="L2231">
        <v>285.58350000000002</v>
      </c>
      <c r="M2231">
        <v>-0.99380919999999895</v>
      </c>
      <c r="N2231">
        <v>0</v>
      </c>
      <c r="O2231">
        <v>-0.109207</v>
      </c>
      <c r="P2231">
        <v>-0.99561659999999996</v>
      </c>
      <c r="Q2231">
        <v>-1.6443840000000001E-2</v>
      </c>
      <c r="R2231">
        <v>-9.2074100000000006E-2</v>
      </c>
      <c r="S2231">
        <v>-2.9096069999999998</v>
      </c>
      <c r="T2231">
        <v>-0.2484267</v>
      </c>
      <c r="U2231">
        <v>-1.11026</v>
      </c>
      <c r="V2231">
        <v>1.7207400000000001E-2</v>
      </c>
      <c r="W2231">
        <v>4.0720030000000003E-3</v>
      </c>
      <c r="X2231">
        <v>0.9998437</v>
      </c>
      <c r="Y2231">
        <v>-0.25187569999999998</v>
      </c>
      <c r="Z2231">
        <v>-1.4340990000000001E-3</v>
      </c>
      <c r="AA2231">
        <v>0.96775849999999997</v>
      </c>
      <c r="AB2231">
        <v>20</v>
      </c>
      <c r="AC2231">
        <v>-12.847499999999901</v>
      </c>
      <c r="AD2231">
        <v>-1.1132363531559999</v>
      </c>
      <c r="AE2231">
        <v>-4.9503000000000199</v>
      </c>
      <c r="AF2231">
        <v>-3.4945046437295399</v>
      </c>
      <c r="AG2231">
        <v>-1.1132363531559999</v>
      </c>
      <c r="AH2231">
        <v>13.224888250536701</v>
      </c>
      <c r="AI2231">
        <v>94.652713523365094</v>
      </c>
      <c r="AJ2231">
        <v>104.801370606229</v>
      </c>
      <c r="AK2231">
        <v>13.7240127922638</v>
      </c>
      <c r="AL2231">
        <v>89.766690780869197</v>
      </c>
      <c r="AM2231">
        <v>89.014031817595693</v>
      </c>
      <c r="AN2231">
        <v>1.0000000501264299</v>
      </c>
    </row>
    <row r="2232" spans="1:40" x14ac:dyDescent="0.25">
      <c r="A2232" t="str">
        <f>"20190312161001480"</f>
        <v>20190312161001480</v>
      </c>
      <c r="B2232" t="str">
        <f>"1552378201467736"</f>
        <v>1552378201467736</v>
      </c>
      <c r="C2232" t="s">
        <v>40</v>
      </c>
      <c r="D2232">
        <v>5.3298259999999997</v>
      </c>
      <c r="E2232">
        <v>0.3950844</v>
      </c>
      <c r="F2232" t="s">
        <v>59</v>
      </c>
      <c r="G2232">
        <v>-484.84719999999999</v>
      </c>
      <c r="H2232" s="1">
        <v>2.7044100000000002E-6</v>
      </c>
      <c r="I2232">
        <v>280.48520000000002</v>
      </c>
      <c r="J2232">
        <v>-471.79520000000002</v>
      </c>
      <c r="K2232">
        <v>1.113251</v>
      </c>
      <c r="L2232">
        <v>285.5575</v>
      </c>
      <c r="M2232">
        <v>-0.99336670000000005</v>
      </c>
      <c r="N2232">
        <v>0</v>
      </c>
      <c r="O2232">
        <v>-0.1131621</v>
      </c>
      <c r="P2232">
        <v>-0.99531040000000004</v>
      </c>
      <c r="Q2232">
        <v>-1.5614060000000001E-2</v>
      </c>
      <c r="R2232">
        <v>-9.5466889999999999E-2</v>
      </c>
      <c r="S2232">
        <v>-2.9057620000000002</v>
      </c>
      <c r="T2232">
        <v>-0.24422920000000001</v>
      </c>
      <c r="U2232">
        <v>-1.1185</v>
      </c>
      <c r="V2232">
        <v>1.7776920000000002E-2</v>
      </c>
      <c r="W2232">
        <v>4.8993079999999998E-3</v>
      </c>
      <c r="X2232">
        <v>0.99982990000000005</v>
      </c>
      <c r="Y2232">
        <v>-0.25087219999999999</v>
      </c>
      <c r="Z2232">
        <v>-1.0549559999999999E-3</v>
      </c>
      <c r="AA2232">
        <v>0.96801970000000004</v>
      </c>
      <c r="AB2232">
        <v>19</v>
      </c>
      <c r="AC2232">
        <v>-13.0519999999999</v>
      </c>
      <c r="AD2232">
        <v>-1.11324829559</v>
      </c>
      <c r="AE2232">
        <v>-5.0722999999999798</v>
      </c>
      <c r="AF2232">
        <v>-3.5400305178365898</v>
      </c>
      <c r="AG2232">
        <v>-1.11324829559</v>
      </c>
      <c r="AH2232">
        <v>13.4571829972851</v>
      </c>
      <c r="AI2232">
        <v>94.574114558628906</v>
      </c>
      <c r="AJ2232">
        <v>104.738253150971</v>
      </c>
      <c r="AK2232">
        <v>13.9594739176398</v>
      </c>
      <c r="AL2232">
        <v>89.719289185156001</v>
      </c>
      <c r="AM2232">
        <v>88.981391555005999</v>
      </c>
      <c r="AN2232">
        <v>0.99999992551878403</v>
      </c>
    </row>
    <row r="2233" spans="1:40" x14ac:dyDescent="0.25">
      <c r="A2233" t="str">
        <f>"20190312161001502"</f>
        <v>20190312161001502</v>
      </c>
      <c r="B2233" t="str">
        <f>"1552378201488232"</f>
        <v>1552378201488232</v>
      </c>
      <c r="C2233" t="s">
        <v>40</v>
      </c>
      <c r="D2233">
        <v>5.2996290000000004</v>
      </c>
      <c r="E2233">
        <v>0.39501500000000001</v>
      </c>
      <c r="F2233" t="s">
        <v>59</v>
      </c>
      <c r="G2233">
        <v>-485.16059999999999</v>
      </c>
      <c r="H2233" s="1">
        <v>2.7499550000000002E-6</v>
      </c>
      <c r="I2233">
        <v>280.37040000000002</v>
      </c>
      <c r="J2233">
        <v>-471.97770000000003</v>
      </c>
      <c r="K2233">
        <v>1.1132740000000001</v>
      </c>
      <c r="L2233">
        <v>285.53199999999998</v>
      </c>
      <c r="M2233">
        <v>-0.99292239999999998</v>
      </c>
      <c r="N2233">
        <v>0</v>
      </c>
      <c r="O2233">
        <v>-0.1169965</v>
      </c>
      <c r="P2233">
        <v>-0.99499570000000004</v>
      </c>
      <c r="Q2233">
        <v>-1.5703180000000001E-2</v>
      </c>
      <c r="R2233">
        <v>-9.8678080000000001E-2</v>
      </c>
      <c r="S2233">
        <v>-2.9022830000000002</v>
      </c>
      <c r="T2233">
        <v>-0.24174200000000001</v>
      </c>
      <c r="U2233">
        <v>-1.1263729999999901</v>
      </c>
      <c r="V2233">
        <v>1.8410619999999999E-2</v>
      </c>
      <c r="W2233">
        <v>4.8087090000000004E-3</v>
      </c>
      <c r="X2233">
        <v>0.99981889999999995</v>
      </c>
      <c r="Y2233">
        <v>-0.24983130000000001</v>
      </c>
      <c r="Z2233">
        <v>-7.0055669999999999E-4</v>
      </c>
      <c r="AA2233">
        <v>0.96828910000000001</v>
      </c>
      <c r="AB2233">
        <v>19</v>
      </c>
      <c r="AC2233">
        <v>-13.182899999999901</v>
      </c>
      <c r="AD2233">
        <v>-1.1132712500449999</v>
      </c>
      <c r="AE2233">
        <v>-5.16159999999996</v>
      </c>
      <c r="AF2233">
        <v>-3.5614398925802302</v>
      </c>
      <c r="AG2233">
        <v>-1.1132712500449999</v>
      </c>
      <c r="AH2233">
        <v>13.612169927784199</v>
      </c>
      <c r="AI2233">
        <v>94.5239167977618</v>
      </c>
      <c r="AJ2233">
        <v>104.662006167738</v>
      </c>
      <c r="AK2233">
        <v>14.1143330387061</v>
      </c>
      <c r="AL2233">
        <v>89.724480194792207</v>
      </c>
      <c r="AM2233">
        <v>88.945077329103398</v>
      </c>
      <c r="AN2233">
        <v>0.99999995370411898</v>
      </c>
    </row>
    <row r="2234" spans="1:40" x14ac:dyDescent="0.25">
      <c r="A2234" t="str">
        <f>"20190312161001525"</f>
        <v>20190312161001525</v>
      </c>
      <c r="B2234" t="str">
        <f>"1552378201517513"</f>
        <v>1552378201517513</v>
      </c>
      <c r="C2234" t="s">
        <v>40</v>
      </c>
      <c r="D2234">
        <v>5.3188300000000002</v>
      </c>
      <c r="E2234">
        <v>0.39519349999999998</v>
      </c>
      <c r="F2234" t="s">
        <v>59</v>
      </c>
      <c r="G2234">
        <v>-485.3229</v>
      </c>
      <c r="H2234" s="1">
        <v>2.7723839999999999E-6</v>
      </c>
      <c r="I2234">
        <v>280.29750000000001</v>
      </c>
      <c r="J2234">
        <v>-472.16160000000002</v>
      </c>
      <c r="K2234">
        <v>1.113302</v>
      </c>
      <c r="L2234">
        <v>285.50560000000002</v>
      </c>
      <c r="M2234">
        <v>-0.99244710000000003</v>
      </c>
      <c r="N2234">
        <v>0</v>
      </c>
      <c r="O2234">
        <v>-0.120962899999999</v>
      </c>
      <c r="P2234">
        <v>-0.99466730000000003</v>
      </c>
      <c r="Q2234">
        <v>-1.6026160000000001E-2</v>
      </c>
      <c r="R2234">
        <v>-0.10188369999999999</v>
      </c>
      <c r="S2234">
        <v>-2.8985599999999998</v>
      </c>
      <c r="T2234">
        <v>-0.24180080000000001</v>
      </c>
      <c r="U2234">
        <v>-1.1369320000000001</v>
      </c>
      <c r="V2234">
        <v>1.9184670000000001E-2</v>
      </c>
      <c r="W2234">
        <v>4.4854179999999997E-3</v>
      </c>
      <c r="X2234">
        <v>0.99980590000000003</v>
      </c>
      <c r="Y2234">
        <v>-0.24945529999999999</v>
      </c>
      <c r="Z2234">
        <v>-3.7312789999999999E-4</v>
      </c>
      <c r="AA2234">
        <v>0.96838619999999997</v>
      </c>
      <c r="AB2234">
        <v>19</v>
      </c>
      <c r="AC2234">
        <v>-13.161299999999899</v>
      </c>
      <c r="AD2234">
        <v>-1.1132992276160001</v>
      </c>
      <c r="AE2234">
        <v>-5.2081</v>
      </c>
      <c r="AF2234">
        <v>-3.5554841126171302</v>
      </c>
      <c r="AG2234">
        <v>-1.1132992276160001</v>
      </c>
      <c r="AH2234">
        <v>13.610532715719399</v>
      </c>
      <c r="AI2234">
        <v>94.525019756785198</v>
      </c>
      <c r="AJ2234">
        <v>104.640226166312</v>
      </c>
      <c r="AK2234">
        <v>14.1112544889159</v>
      </c>
      <c r="AL2234">
        <v>89.743003618547704</v>
      </c>
      <c r="AM2234">
        <v>88.900720884311795</v>
      </c>
      <c r="AN2234">
        <v>1.00000000410622</v>
      </c>
    </row>
    <row r="2235" spans="1:40" x14ac:dyDescent="0.25">
      <c r="A2235" t="str">
        <f>"20190312161001546"</f>
        <v>20190312161001546</v>
      </c>
      <c r="B2235" t="str">
        <f>"1552378201538008"</f>
        <v>1552378201538008</v>
      </c>
      <c r="C2235" t="s">
        <v>40</v>
      </c>
      <c r="D2235">
        <v>5.337961</v>
      </c>
      <c r="E2235">
        <v>0.39516299999999999</v>
      </c>
      <c r="F2235" t="s">
        <v>59</v>
      </c>
      <c r="G2235">
        <v>-485.37450000000001</v>
      </c>
      <c r="H2235" s="1">
        <v>2.7799689999999998E-6</v>
      </c>
      <c r="I2235">
        <v>280.27969999999999</v>
      </c>
      <c r="J2235">
        <v>-472.3442</v>
      </c>
      <c r="K2235">
        <v>1.1133390000000001</v>
      </c>
      <c r="L2235">
        <v>285.47829999999999</v>
      </c>
      <c r="M2235">
        <v>-0.99194320000000002</v>
      </c>
      <c r="N2235">
        <v>0</v>
      </c>
      <c r="O2235">
        <v>-0.12502820000000001</v>
      </c>
      <c r="P2235">
        <v>-0.99426720000000002</v>
      </c>
      <c r="Q2235">
        <v>-1.5869769999999998E-2</v>
      </c>
      <c r="R2235">
        <v>-0.1057395</v>
      </c>
      <c r="S2235">
        <v>-2.8948670000000001</v>
      </c>
      <c r="T2235">
        <v>-0.24391699999999999</v>
      </c>
      <c r="U2235">
        <v>-1.1449579999999999</v>
      </c>
      <c r="V2235">
        <v>1.9403690000000001E-2</v>
      </c>
      <c r="W2235">
        <v>4.639911E-3</v>
      </c>
      <c r="X2235">
        <v>0.99980100000000005</v>
      </c>
      <c r="Y2235">
        <v>-0.2482405</v>
      </c>
      <c r="Z2235" s="1">
        <v>-3.8817520000000002E-6</v>
      </c>
      <c r="AA2235">
        <v>0.96869839999999996</v>
      </c>
      <c r="AB2235">
        <v>19</v>
      </c>
      <c r="AC2235">
        <v>-13.0303</v>
      </c>
      <c r="AD2235">
        <v>-1.11333622003099</v>
      </c>
      <c r="AE2235">
        <v>-5.1985999999999901</v>
      </c>
      <c r="AF2235">
        <v>-3.5062142354357002</v>
      </c>
      <c r="AG2235">
        <v>-1.11333622003099</v>
      </c>
      <c r="AH2235">
        <v>13.493139393501</v>
      </c>
      <c r="AI2235">
        <v>94.565902947398598</v>
      </c>
      <c r="AJ2235">
        <v>104.56625309537</v>
      </c>
      <c r="AK2235">
        <v>13.9856307149894</v>
      </c>
      <c r="AL2235">
        <v>89.734151737992093</v>
      </c>
      <c r="AM2235">
        <v>88.888168751361704</v>
      </c>
      <c r="AN2235">
        <v>1.00000003578035</v>
      </c>
    </row>
    <row r="2236" spans="1:40" x14ac:dyDescent="0.25">
      <c r="A2236" t="str">
        <f>"20190312161001593"</f>
        <v>20190312161001593</v>
      </c>
      <c r="B2236" t="str">
        <f>"1552378201587783"</f>
        <v>1552378201587783</v>
      </c>
      <c r="C2236" t="s">
        <v>40</v>
      </c>
      <c r="D2236">
        <v>5.331664</v>
      </c>
      <c r="E2236">
        <v>0.39533190000000001</v>
      </c>
      <c r="F2236" t="s">
        <v>59</v>
      </c>
      <c r="G2236">
        <v>-485.46769999999998</v>
      </c>
      <c r="H2236" s="1">
        <v>2.7919680000000001E-6</v>
      </c>
      <c r="I2236">
        <v>280.2278</v>
      </c>
      <c r="J2236">
        <v>-472.71420000000001</v>
      </c>
      <c r="K2236">
        <v>1.1133930000000001</v>
      </c>
      <c r="L2236">
        <v>285.4203</v>
      </c>
      <c r="M2236">
        <v>-0.99082700000000001</v>
      </c>
      <c r="N2236">
        <v>0</v>
      </c>
      <c r="O2236">
        <v>-0.13358789999999901</v>
      </c>
      <c r="P2236">
        <v>-0.99333419999999895</v>
      </c>
      <c r="Q2236">
        <v>-1.594276E-2</v>
      </c>
      <c r="R2236">
        <v>-0.11416220000000001</v>
      </c>
      <c r="S2236">
        <v>-2.8904109999999998</v>
      </c>
      <c r="T2236">
        <v>-0.24521080000000001</v>
      </c>
      <c r="U2236">
        <v>-1.1564030000000001</v>
      </c>
      <c r="V2236">
        <v>1.9562050000000001E-2</v>
      </c>
      <c r="W2236">
        <v>4.5607570000000004E-3</v>
      </c>
      <c r="X2236">
        <v>0.99979819999999997</v>
      </c>
      <c r="Y2236">
        <v>-0.2437318</v>
      </c>
      <c r="Z2236">
        <v>8.6459239999999999E-4</v>
      </c>
      <c r="AA2236">
        <v>0.96984230000000005</v>
      </c>
      <c r="AB2236">
        <v>19</v>
      </c>
      <c r="AC2236">
        <v>-12.753499999999899</v>
      </c>
      <c r="AD2236">
        <v>-1.113390208032</v>
      </c>
      <c r="AE2236">
        <v>-5.1924999999999901</v>
      </c>
      <c r="AF2236">
        <v>-3.4195163578748602</v>
      </c>
      <c r="AG2236">
        <v>-1.113390208032</v>
      </c>
      <c r="AH2236">
        <v>13.246341146879701</v>
      </c>
      <c r="AI2236">
        <v>94.652742091579199</v>
      </c>
      <c r="AJ2236">
        <v>104.474778147542</v>
      </c>
      <c r="AK2236">
        <v>13.7258254271513</v>
      </c>
      <c r="AL2236">
        <v>89.738686955500498</v>
      </c>
      <c r="AM2236">
        <v>88.879093892252897</v>
      </c>
      <c r="AN2236">
        <v>0.99999995751392601</v>
      </c>
    </row>
    <row r="2237" spans="1:40" x14ac:dyDescent="0.25">
      <c r="A2237" t="str">
        <f>"20190312161001615"</f>
        <v>20190312161001615</v>
      </c>
      <c r="B2237" t="str">
        <f>"1552378201608280"</f>
        <v>1552378201608280</v>
      </c>
      <c r="C2237" t="s">
        <v>40</v>
      </c>
      <c r="D2237">
        <v>5.3427030000000002</v>
      </c>
      <c r="E2237">
        <v>0.39537440000000001</v>
      </c>
      <c r="F2237" t="s">
        <v>59</v>
      </c>
      <c r="G2237">
        <v>-485.66969999999998</v>
      </c>
      <c r="H2237" s="1">
        <v>2.817466E-6</v>
      </c>
      <c r="I2237">
        <v>280.10950000000003</v>
      </c>
      <c r="J2237">
        <v>-472.88959999999997</v>
      </c>
      <c r="K2237">
        <v>1.113415</v>
      </c>
      <c r="L2237">
        <v>285.39150000000001</v>
      </c>
      <c r="M2237">
        <v>-0.9902495</v>
      </c>
      <c r="N2237">
        <v>0</v>
      </c>
      <c r="O2237">
        <v>-0.1378055</v>
      </c>
      <c r="P2237">
        <v>-0.9928766</v>
      </c>
      <c r="Q2237">
        <v>-1.600037E-2</v>
      </c>
      <c r="R2237">
        <v>-0.1180684</v>
      </c>
      <c r="S2237">
        <v>-2.880493</v>
      </c>
      <c r="T2237">
        <v>-0.2475473</v>
      </c>
      <c r="U2237">
        <v>-1.1807859999999999</v>
      </c>
      <c r="V2237">
        <v>1.988666E-2</v>
      </c>
      <c r="W2237">
        <v>4.5001989999999999E-3</v>
      </c>
      <c r="X2237">
        <v>0.99979209999999996</v>
      </c>
      <c r="Y2237">
        <v>-0.2477946</v>
      </c>
      <c r="Z2237">
        <v>1.0460490000000001E-3</v>
      </c>
      <c r="AA2237">
        <v>0.96881200000000001</v>
      </c>
      <c r="AB2237">
        <v>18</v>
      </c>
      <c r="AC2237">
        <v>-12.780099999999999</v>
      </c>
      <c r="AD2237">
        <v>-1.113412182534</v>
      </c>
      <c r="AE2237">
        <v>-5.2819999999999796</v>
      </c>
      <c r="AF2237">
        <v>-3.4477005396349201</v>
      </c>
      <c r="AG2237">
        <v>-1.113412182534</v>
      </c>
      <c r="AH2237">
        <v>13.299938736531001</v>
      </c>
      <c r="AI2237">
        <v>94.632958115390096</v>
      </c>
      <c r="AJ2237">
        <v>104.53271234318601</v>
      </c>
      <c r="AK2237">
        <v>13.7845818251658</v>
      </c>
      <c r="AL2237">
        <v>89.742156716709403</v>
      </c>
      <c r="AM2237">
        <v>88.860491642290796</v>
      </c>
      <c r="AN2237">
        <v>0.99999998712970195</v>
      </c>
    </row>
    <row r="2238" spans="1:40" x14ac:dyDescent="0.25">
      <c r="A2238" t="str">
        <f>"20190312161001636"</f>
        <v>20190312161001636</v>
      </c>
      <c r="B2238" t="str">
        <f>"1552378201627800"</f>
        <v>1552378201627800</v>
      </c>
      <c r="C2238" t="s">
        <v>40</v>
      </c>
      <c r="D2238">
        <v>5.3827199999999999</v>
      </c>
      <c r="E2238">
        <v>0.39546209999999998</v>
      </c>
      <c r="F2238" t="s">
        <v>59</v>
      </c>
      <c r="G2238">
        <v>-485.80669999999998</v>
      </c>
      <c r="H2238" s="1">
        <v>2.835501E-6</v>
      </c>
      <c r="I2238">
        <v>280.03789999999998</v>
      </c>
      <c r="J2238">
        <v>-473.06049999999999</v>
      </c>
      <c r="K2238">
        <v>1.1134269999999999</v>
      </c>
      <c r="L2238">
        <v>285.36250000000001</v>
      </c>
      <c r="M2238">
        <v>-0.98965479999999995</v>
      </c>
      <c r="N2238">
        <v>0</v>
      </c>
      <c r="O2238">
        <v>-0.142013</v>
      </c>
      <c r="P2238">
        <v>-0.99239339999999998</v>
      </c>
      <c r="Q2238">
        <v>-1.6341419999999999E-2</v>
      </c>
      <c r="R2238">
        <v>-0.1220174</v>
      </c>
      <c r="S2238">
        <v>-2.8757929999999998</v>
      </c>
      <c r="T2238">
        <v>-0.24788460000000001</v>
      </c>
      <c r="U2238">
        <v>-1.1918949999999999</v>
      </c>
      <c r="V2238">
        <v>2.0159400000000001E-2</v>
      </c>
      <c r="W2238">
        <v>4.1564030000000004E-3</v>
      </c>
      <c r="X2238">
        <v>0.99978820000000002</v>
      </c>
      <c r="Y2238">
        <v>-0.24744360000000001</v>
      </c>
      <c r="Z2238">
        <v>1.402522E-3</v>
      </c>
      <c r="AA2238">
        <v>0.96890129999999997</v>
      </c>
      <c r="AB2238">
        <v>18</v>
      </c>
      <c r="AC2238">
        <v>-12.7461999999999</v>
      </c>
      <c r="AD2238">
        <v>-1.1134241644989999</v>
      </c>
      <c r="AE2238">
        <v>-5.3246000000000304</v>
      </c>
      <c r="AF2238">
        <v>-3.4377743019676399</v>
      </c>
      <c r="AG2238">
        <v>-1.1134241644989999</v>
      </c>
      <c r="AH2238">
        <v>13.286956606393099</v>
      </c>
      <c r="AI2238">
        <v>94.638068120770001</v>
      </c>
      <c r="AJ2238">
        <v>104.506198736523</v>
      </c>
      <c r="AK2238">
        <v>13.769575933249801</v>
      </c>
      <c r="AL2238">
        <v>89.761854978976004</v>
      </c>
      <c r="AM2238">
        <v>88.844863303775995</v>
      </c>
      <c r="AN2238">
        <v>1.0000000609767401</v>
      </c>
    </row>
    <row r="2239" spans="1:40" x14ac:dyDescent="0.25">
      <c r="A2239" t="str">
        <f>"20190312161001658"</f>
        <v>20190312161001658</v>
      </c>
      <c r="B2239" t="str">
        <f>"1552378201648296"</f>
        <v>1552378201648296</v>
      </c>
      <c r="C2239" t="s">
        <v>40</v>
      </c>
      <c r="D2239">
        <v>5.4026579999999997</v>
      </c>
      <c r="E2239">
        <v>0.39861839999999998</v>
      </c>
      <c r="F2239" t="s">
        <v>59</v>
      </c>
      <c r="G2239">
        <v>-485.86559999999997</v>
      </c>
      <c r="H2239" s="1">
        <v>2.842557E-6</v>
      </c>
      <c r="I2239">
        <v>279.9991</v>
      </c>
      <c r="J2239">
        <v>-473.23360000000002</v>
      </c>
      <c r="K2239">
        <v>1.113448</v>
      </c>
      <c r="L2239">
        <v>285.33229999999998</v>
      </c>
      <c r="M2239">
        <v>-0.98901640000000002</v>
      </c>
      <c r="N2239">
        <v>0</v>
      </c>
      <c r="O2239">
        <v>-0.1463941</v>
      </c>
      <c r="P2239">
        <v>-0.99190809999999996</v>
      </c>
      <c r="Q2239">
        <v>-1.656409E-2</v>
      </c>
      <c r="R2239">
        <v>-0.12587380000000001</v>
      </c>
      <c r="S2239">
        <v>-2.8710629999999999</v>
      </c>
      <c r="T2239">
        <v>-0.24964339999999999</v>
      </c>
      <c r="U2239">
        <v>-1.202545</v>
      </c>
      <c r="V2239">
        <v>2.07011E-2</v>
      </c>
      <c r="W2239">
        <v>3.9322920000000004E-3</v>
      </c>
      <c r="X2239">
        <v>0.99977800000000006</v>
      </c>
      <c r="Y2239">
        <v>-0.2467906</v>
      </c>
      <c r="Z2239">
        <v>1.7969769999999999E-3</v>
      </c>
      <c r="AA2239">
        <v>0.96906720000000002</v>
      </c>
      <c r="AB2239">
        <v>18</v>
      </c>
      <c r="AC2239">
        <v>-12.6319999999999</v>
      </c>
      <c r="AD2239">
        <v>-1.113445157443</v>
      </c>
      <c r="AE2239">
        <v>-5.3331999999999704</v>
      </c>
      <c r="AF2239">
        <v>-3.40363959368824</v>
      </c>
      <c r="AG2239">
        <v>-1.113445157443</v>
      </c>
      <c r="AH2239">
        <v>13.189786767332301</v>
      </c>
      <c r="AI2239">
        <v>94.672942300629998</v>
      </c>
      <c r="AJ2239">
        <v>104.469575889054</v>
      </c>
      <c r="AK2239">
        <v>13.6672966445471</v>
      </c>
      <c r="AL2239">
        <v>89.774695689319302</v>
      </c>
      <c r="AM2239">
        <v>88.813820465147103</v>
      </c>
      <c r="AN2239">
        <v>1.00000002387279</v>
      </c>
    </row>
    <row r="2240" spans="1:40" x14ac:dyDescent="0.25">
      <c r="A2240" t="str">
        <f>"20190312161001681"</f>
        <v>20190312161001681</v>
      </c>
      <c r="B2240" t="str">
        <f>"1552378201667816"</f>
        <v>1552378201667816</v>
      </c>
      <c r="C2240" t="s">
        <v>40</v>
      </c>
      <c r="D2240">
        <v>5.3783450000000004</v>
      </c>
      <c r="E2240">
        <v>0.39870729999999999</v>
      </c>
      <c r="F2240" t="s">
        <v>59</v>
      </c>
      <c r="G2240">
        <v>-484.33010000000002</v>
      </c>
      <c r="H2240" s="1">
        <v>2.633858E-6</v>
      </c>
      <c r="I2240">
        <v>280.72739999999999</v>
      </c>
      <c r="J2240">
        <v>-473.40649999999999</v>
      </c>
      <c r="K2240">
        <v>1.1134919999999999</v>
      </c>
      <c r="L2240">
        <v>285.30119999999999</v>
      </c>
      <c r="M2240">
        <v>-0.98833910000000003</v>
      </c>
      <c r="N2240">
        <v>0</v>
      </c>
      <c r="O2240">
        <v>-0.15089910000000001</v>
      </c>
      <c r="P2240">
        <v>-0.99140269999999997</v>
      </c>
      <c r="Q2240">
        <v>-1.6113599999999999E-2</v>
      </c>
      <c r="R2240">
        <v>-0.12985060000000001</v>
      </c>
      <c r="S2240">
        <v>-2.8685909999999999</v>
      </c>
      <c r="T2240">
        <v>-0.28783930000000002</v>
      </c>
      <c r="U2240">
        <v>-1.1904300000000001</v>
      </c>
      <c r="V2240">
        <v>2.1245400000000001E-2</v>
      </c>
      <c r="W2240">
        <v>4.382899E-3</v>
      </c>
      <c r="X2240">
        <v>0.99976469999999995</v>
      </c>
      <c r="Y2240">
        <v>-0.23912330000000001</v>
      </c>
      <c r="Z2240">
        <v>2.8667900000000001E-3</v>
      </c>
      <c r="AA2240">
        <v>0.97098499999999999</v>
      </c>
      <c r="AB2240">
        <v>18</v>
      </c>
      <c r="AC2240">
        <v>-10.9236</v>
      </c>
      <c r="AD2240">
        <v>-1.113489366142</v>
      </c>
      <c r="AE2240">
        <v>-4.5738000000000003</v>
      </c>
      <c r="AF2240">
        <v>-2.8475264493153798</v>
      </c>
      <c r="AG2240">
        <v>-1.113489366142</v>
      </c>
      <c r="AH2240">
        <v>11.3881104485384</v>
      </c>
      <c r="AI2240">
        <v>95.418643660664998</v>
      </c>
      <c r="AJ2240">
        <v>104.038605557501</v>
      </c>
      <c r="AK2240">
        <v>11.791408950425399</v>
      </c>
      <c r="AL2240">
        <v>89.748877585303404</v>
      </c>
      <c r="AM2240">
        <v>88.782624979620806</v>
      </c>
      <c r="AN2240">
        <v>1.0000000160954401</v>
      </c>
    </row>
    <row r="2241" spans="1:40" x14ac:dyDescent="0.25">
      <c r="A2241" t="str">
        <f>"20190312161001703"</f>
        <v>20190312161001703</v>
      </c>
      <c r="B2241" t="str">
        <f>"1552378201697603"</f>
        <v>1552378201697603</v>
      </c>
      <c r="C2241" t="s">
        <v>40</v>
      </c>
      <c r="D2241">
        <v>5.4030800000000001</v>
      </c>
      <c r="E2241">
        <v>0.39918680000000001</v>
      </c>
      <c r="F2241" t="s">
        <v>59</v>
      </c>
      <c r="G2241">
        <v>-484.61130000000003</v>
      </c>
      <c r="H2241" s="1">
        <v>2.6725459999999998E-6</v>
      </c>
      <c r="I2241">
        <v>280.59930000000003</v>
      </c>
      <c r="J2241">
        <v>-473.5772</v>
      </c>
      <c r="K2241">
        <v>1.1135360000000001</v>
      </c>
      <c r="L2241">
        <v>285.26949999999999</v>
      </c>
      <c r="M2241">
        <v>-0.98762830000000001</v>
      </c>
      <c r="N2241">
        <v>0</v>
      </c>
      <c r="O2241">
        <v>-0.15548409999999999</v>
      </c>
      <c r="P2241">
        <v>-0.99076120000000001</v>
      </c>
      <c r="Q2241">
        <v>-1.581372E-2</v>
      </c>
      <c r="R2241">
        <v>-0.13469610000000001</v>
      </c>
      <c r="S2241">
        <v>-2.8639830000000002</v>
      </c>
      <c r="T2241">
        <v>-0.28460960000000002</v>
      </c>
      <c r="U2241">
        <v>-1.201813</v>
      </c>
      <c r="V2241">
        <v>2.099585E-2</v>
      </c>
      <c r="W2241">
        <v>4.6809190000000004E-3</v>
      </c>
      <c r="X2241">
        <v>0.99976860000000001</v>
      </c>
      <c r="Y2241">
        <v>-0.23848620000000001</v>
      </c>
      <c r="Z2241">
        <v>3.291923E-3</v>
      </c>
      <c r="AA2241">
        <v>0.97114029999999996</v>
      </c>
      <c r="AB2241">
        <v>18</v>
      </c>
      <c r="AC2241">
        <v>-11.0341</v>
      </c>
      <c r="AD2241">
        <v>-1.113533327454</v>
      </c>
      <c r="AE2241">
        <v>-4.6701999999999604</v>
      </c>
      <c r="AF2241">
        <v>-2.8725851773798201</v>
      </c>
      <c r="AG2241">
        <v>-1.113533327454</v>
      </c>
      <c r="AH2241">
        <v>11.5265881787174</v>
      </c>
      <c r="AI2241">
        <v>95.355174316369101</v>
      </c>
      <c r="AJ2241">
        <v>103.99384102489</v>
      </c>
      <c r="AK2241">
        <v>11.9312169167441</v>
      </c>
      <c r="AL2241">
        <v>89.731802116331906</v>
      </c>
      <c r="AM2241">
        <v>88.796924818399006</v>
      </c>
      <c r="AN2241">
        <v>0.99999999513293303</v>
      </c>
    </row>
    <row r="2242" spans="1:40" x14ac:dyDescent="0.25">
      <c r="A2242" t="str">
        <f>"20190312161001726"</f>
        <v>20190312161001726</v>
      </c>
      <c r="B2242" t="str">
        <f>"1552378201718098"</f>
        <v>1552378201718098</v>
      </c>
      <c r="C2242" t="s">
        <v>40</v>
      </c>
      <c r="D2242">
        <v>5.3905399999999997</v>
      </c>
      <c r="E2242">
        <v>0.39939140000000001</v>
      </c>
      <c r="F2242" t="s">
        <v>59</v>
      </c>
      <c r="G2242">
        <v>-484.72379999999998</v>
      </c>
      <c r="H2242" s="1">
        <v>2.6875710000000002E-6</v>
      </c>
      <c r="I2242">
        <v>280.54300000000001</v>
      </c>
      <c r="J2242">
        <v>-473.7527</v>
      </c>
      <c r="K2242">
        <v>1.1135820000000001</v>
      </c>
      <c r="L2242">
        <v>285.23579999999998</v>
      </c>
      <c r="M2242">
        <v>-0.98684810000000001</v>
      </c>
      <c r="N2242">
        <v>0</v>
      </c>
      <c r="O2242">
        <v>-0.16036210000000001</v>
      </c>
      <c r="P2242">
        <v>-0.99002860000000004</v>
      </c>
      <c r="Q2242">
        <v>-1.6276829999999999E-2</v>
      </c>
      <c r="R2242">
        <v>-0.13992479999999999</v>
      </c>
      <c r="S2242">
        <v>-2.858673</v>
      </c>
      <c r="T2242">
        <v>-0.28557939999999998</v>
      </c>
      <c r="U2242">
        <v>-1.2121580000000001</v>
      </c>
      <c r="V2242">
        <v>2.065846E-2</v>
      </c>
      <c r="W2242">
        <v>4.2160069999999999E-3</v>
      </c>
      <c r="X2242">
        <v>0.99977769999999999</v>
      </c>
      <c r="Y2242">
        <v>-0.2373362</v>
      </c>
      <c r="Z2242">
        <v>3.8148639999999998E-3</v>
      </c>
      <c r="AA2242">
        <v>0.97142010000000001</v>
      </c>
      <c r="AB2242">
        <v>18</v>
      </c>
      <c r="AC2242">
        <v>-10.9710999999999</v>
      </c>
      <c r="AD2242">
        <v>-1.1135793124290001</v>
      </c>
      <c r="AE2242">
        <v>-4.6927999999999699</v>
      </c>
      <c r="AF2242">
        <v>-2.84752867963739</v>
      </c>
      <c r="AG2242">
        <v>-1.1135793124290001</v>
      </c>
      <c r="AH2242">
        <v>11.4817636594048</v>
      </c>
      <c r="AI2242">
        <v>95.377692834969196</v>
      </c>
      <c r="AJ2242">
        <v>103.92858306427701</v>
      </c>
      <c r="AK2242">
        <v>11.881892744712699</v>
      </c>
      <c r="AL2242">
        <v>89.758439876417498</v>
      </c>
      <c r="AM2242">
        <v>88.816262699527698</v>
      </c>
      <c r="AN2242">
        <v>0.99999999805094197</v>
      </c>
    </row>
    <row r="2243" spans="1:40" x14ac:dyDescent="0.25">
      <c r="A2243" t="str">
        <f>"20190312161001770"</f>
        <v>20190312161001770</v>
      </c>
      <c r="B2243" t="str">
        <f>"1552378201759091"</f>
        <v>1552378201759091</v>
      </c>
      <c r="C2243" t="s">
        <v>40</v>
      </c>
      <c r="D2243">
        <v>5.4116179999999998</v>
      </c>
      <c r="E2243">
        <v>0.40006439999999999</v>
      </c>
      <c r="F2243" t="s">
        <v>59</v>
      </c>
      <c r="G2243">
        <v>-484.81569999999999</v>
      </c>
      <c r="H2243" s="1">
        <v>2.6985769999999999E-6</v>
      </c>
      <c r="I2243">
        <v>280.48239999999998</v>
      </c>
      <c r="J2243">
        <v>-474.0813</v>
      </c>
      <c r="K2243">
        <v>1.113656</v>
      </c>
      <c r="L2243">
        <v>285.1696</v>
      </c>
      <c r="M2243">
        <v>-0.9852417</v>
      </c>
      <c r="N2243">
        <v>0</v>
      </c>
      <c r="O2243">
        <v>-0.1699532</v>
      </c>
      <c r="P2243">
        <v>-0.98840879999999998</v>
      </c>
      <c r="Q2243">
        <v>-1.6069190000000001E-2</v>
      </c>
      <c r="R2243">
        <v>-0.1509644</v>
      </c>
      <c r="S2243">
        <v>-2.8522949999999998</v>
      </c>
      <c r="T2243">
        <v>-0.28710599999999997</v>
      </c>
      <c r="U2243">
        <v>-1.225525</v>
      </c>
      <c r="V2243">
        <v>1.9224629999999999E-2</v>
      </c>
      <c r="W2243">
        <v>4.4134159999999999E-3</v>
      </c>
      <c r="X2243">
        <v>0.99980550000000001</v>
      </c>
      <c r="Y2243">
        <v>-0.2325709</v>
      </c>
      <c r="Z2243">
        <v>4.9651089999999997E-3</v>
      </c>
      <c r="AA2243">
        <v>0.97256679999999995</v>
      </c>
      <c r="AB2243">
        <v>17</v>
      </c>
      <c r="AC2243">
        <v>-10.7343999999999</v>
      </c>
      <c r="AD2243">
        <v>-1.1136533014229999</v>
      </c>
      <c r="AE2243">
        <v>-4.6872000000000096</v>
      </c>
      <c r="AF2243">
        <v>-2.7692257038622201</v>
      </c>
      <c r="AG2243">
        <v>-1.1136533014229999</v>
      </c>
      <c r="AH2243">
        <v>11.2730369379997</v>
      </c>
      <c r="AI2243">
        <v>95.480007882626396</v>
      </c>
      <c r="AJ2243">
        <v>103.801448815702</v>
      </c>
      <c r="AK2243">
        <v>11.6614834596721</v>
      </c>
      <c r="AL2243">
        <v>89.747129082002303</v>
      </c>
      <c r="AM2243">
        <v>88.898431304477398</v>
      </c>
      <c r="AN2243">
        <v>1.0000000512348299</v>
      </c>
    </row>
    <row r="2244" spans="1:40" x14ac:dyDescent="0.25">
      <c r="A2244" t="str">
        <f>"20190312161001793"</f>
        <v>20190312161001793</v>
      </c>
      <c r="B2244" t="str">
        <f>"1552378201788370"</f>
        <v>1552378201788370</v>
      </c>
      <c r="C2244" t="s">
        <v>40</v>
      </c>
      <c r="D2244">
        <v>5.5377400000000003</v>
      </c>
      <c r="E2244">
        <v>0.40289979999999997</v>
      </c>
      <c r="F2244" t="s">
        <v>59</v>
      </c>
      <c r="G2244">
        <v>-485.01389999999998</v>
      </c>
      <c r="H2244" s="1">
        <v>2.721802E-6</v>
      </c>
      <c r="I2244">
        <v>280.3458</v>
      </c>
      <c r="J2244">
        <v>-474.24529999999999</v>
      </c>
      <c r="K2244">
        <v>1.113677</v>
      </c>
      <c r="L2244">
        <v>285.13510000000002</v>
      </c>
      <c r="M2244">
        <v>-0.9843693</v>
      </c>
      <c r="N2244">
        <v>0</v>
      </c>
      <c r="O2244">
        <v>-0.1749348</v>
      </c>
      <c r="P2244">
        <v>-0.9875041</v>
      </c>
      <c r="Q2244">
        <v>-1.5691340000000002E-2</v>
      </c>
      <c r="R2244">
        <v>-0.15681099999999901</v>
      </c>
      <c r="S2244">
        <v>-2.8391109999999999</v>
      </c>
      <c r="T2244">
        <v>-0.28920590000000002</v>
      </c>
      <c r="U2244">
        <v>-1.252686</v>
      </c>
      <c r="V2244">
        <v>1.83643E-2</v>
      </c>
      <c r="W2244">
        <v>4.782484E-3</v>
      </c>
      <c r="X2244">
        <v>0.99981989999999998</v>
      </c>
      <c r="Y2244">
        <v>-0.23709820000000001</v>
      </c>
      <c r="Z2244">
        <v>5.2599319999999897E-3</v>
      </c>
      <c r="AA2244">
        <v>0.97147139999999998</v>
      </c>
      <c r="AB2244">
        <v>17</v>
      </c>
      <c r="AC2244">
        <v>-10.7685999999999</v>
      </c>
      <c r="AD2244">
        <v>-1.113674278198</v>
      </c>
      <c r="AE2244">
        <v>-4.7893000000000203</v>
      </c>
      <c r="AF2244">
        <v>-2.8061674985834402</v>
      </c>
      <c r="AG2244">
        <v>-1.113674278198</v>
      </c>
      <c r="AH2244">
        <v>11.339217627102199</v>
      </c>
      <c r="AI2244">
        <v>95.446023481829499</v>
      </c>
      <c r="AJ2244">
        <v>103.899975412424</v>
      </c>
      <c r="AK2244">
        <v>11.7342533986109</v>
      </c>
      <c r="AL2244">
        <v>89.725982800081596</v>
      </c>
      <c r="AM2244">
        <v>88.947731905069801</v>
      </c>
      <c r="AN2244">
        <v>0.99999997605185398</v>
      </c>
    </row>
    <row r="2245" spans="1:40" x14ac:dyDescent="0.25">
      <c r="A2245" t="str">
        <f>"20190312161001860"</f>
        <v>20190312161001860</v>
      </c>
      <c r="B2245" t="str">
        <f>"1552378201847906"</f>
        <v>1552378201847906</v>
      </c>
      <c r="C2245" t="s">
        <v>40</v>
      </c>
      <c r="D2245">
        <v>5.3990099999999996</v>
      </c>
      <c r="E2245">
        <v>0.4044857</v>
      </c>
      <c r="F2245" t="s">
        <v>59</v>
      </c>
      <c r="G2245">
        <v>-484.58069999999998</v>
      </c>
      <c r="H2245" s="1">
        <v>2.6659109999999998E-6</v>
      </c>
      <c r="I2245">
        <v>280.5856</v>
      </c>
      <c r="J2245">
        <v>-474.7251</v>
      </c>
      <c r="K2245">
        <v>1.1137170000000001</v>
      </c>
      <c r="L2245">
        <v>285.02820000000003</v>
      </c>
      <c r="M2245">
        <v>-0.98153259999999998</v>
      </c>
      <c r="N2245">
        <v>0</v>
      </c>
      <c r="O2245">
        <v>-0.19020880000000001</v>
      </c>
      <c r="P2245">
        <v>-0.98410280000000006</v>
      </c>
      <c r="Q2245">
        <v>-1.465843E-2</v>
      </c>
      <c r="R2245">
        <v>-0.17699479999999901</v>
      </c>
      <c r="S2245">
        <v>-2.8349299999999999</v>
      </c>
      <c r="T2245">
        <v>-0.30547360000000001</v>
      </c>
      <c r="U2245">
        <v>-1.2478940000000001</v>
      </c>
      <c r="V2245">
        <v>1.3426810000000001E-2</v>
      </c>
      <c r="W2245">
        <v>5.7747689999999999E-3</v>
      </c>
      <c r="X2245">
        <v>0.99989320000000004</v>
      </c>
      <c r="Y2245">
        <v>-0.2212414</v>
      </c>
      <c r="Z2245">
        <v>7.8983159999999903E-3</v>
      </c>
      <c r="AA2245">
        <v>0.97518709999999997</v>
      </c>
      <c r="AB2245">
        <v>17</v>
      </c>
      <c r="AC2245">
        <v>-9.8555999999999795</v>
      </c>
      <c r="AD2245">
        <v>-1.1137143340889999</v>
      </c>
      <c r="AE2245">
        <v>-4.4426000000000201</v>
      </c>
      <c r="AF2245">
        <v>-2.4603380306128102</v>
      </c>
      <c r="AG2245">
        <v>-1.1137143340889999</v>
      </c>
      <c r="AH2245">
        <v>10.410307616487399</v>
      </c>
      <c r="AI2245">
        <v>95.943863773425505</v>
      </c>
      <c r="AJ2245">
        <v>103.29711011529101</v>
      </c>
      <c r="AK2245">
        <v>10.7549117854462</v>
      </c>
      <c r="AL2245">
        <v>89.669128276021098</v>
      </c>
      <c r="AM2245">
        <v>89.230664524096994</v>
      </c>
      <c r="AN2245">
        <v>1.000000019295</v>
      </c>
    </row>
    <row r="2246" spans="1:40" x14ac:dyDescent="0.25">
      <c r="A2246" t="str">
        <f>"20190312161001882"</f>
        <v>20190312161001882</v>
      </c>
      <c r="B2246" t="str">
        <f>"1552378201878163"</f>
        <v>1552378201878163</v>
      </c>
      <c r="C2246" t="s">
        <v>40</v>
      </c>
      <c r="D2246">
        <v>5.3902239999999999</v>
      </c>
      <c r="E2246">
        <v>0.4048678</v>
      </c>
      <c r="F2246" t="s">
        <v>59</v>
      </c>
      <c r="G2246">
        <v>-484.84649999999999</v>
      </c>
      <c r="H2246" s="1">
        <v>2.6942660000000001E-6</v>
      </c>
      <c r="I2246">
        <v>280.37060000000002</v>
      </c>
      <c r="J2246">
        <v>-474.88229999999999</v>
      </c>
      <c r="K2246">
        <v>1.1137159999999999</v>
      </c>
      <c r="L2246">
        <v>284.99119999999999</v>
      </c>
      <c r="M2246">
        <v>-0.98050990000000005</v>
      </c>
      <c r="N2246">
        <v>0</v>
      </c>
      <c r="O2246">
        <v>-0.195413</v>
      </c>
      <c r="P2246">
        <v>-0.98275069999999998</v>
      </c>
      <c r="Q2246">
        <v>-1.4209340000000001E-2</v>
      </c>
      <c r="R2246">
        <v>-0.18438789999999999</v>
      </c>
      <c r="S2246">
        <v>-2.811188</v>
      </c>
      <c r="T2246">
        <v>-0.30933060000000001</v>
      </c>
      <c r="U2246">
        <v>-1.2936399999999999</v>
      </c>
      <c r="V2246">
        <v>1.12126E-2</v>
      </c>
      <c r="W2246">
        <v>6.2067750000000003E-3</v>
      </c>
      <c r="X2246">
        <v>0.99991790000000003</v>
      </c>
      <c r="Y2246">
        <v>-0.23222989999999999</v>
      </c>
      <c r="Z2246">
        <v>7.9764580000000005E-3</v>
      </c>
      <c r="AA2246">
        <v>0.97262820000000005</v>
      </c>
      <c r="AB2246">
        <v>17</v>
      </c>
      <c r="AC2246">
        <v>-9.9641999999999999</v>
      </c>
      <c r="AD2246">
        <v>-1.1137133057339901</v>
      </c>
      <c r="AE2246">
        <v>-4.6205999999999596</v>
      </c>
      <c r="AF2246">
        <v>-2.5576474517536298</v>
      </c>
      <c r="AG2246">
        <v>-1.1137133057339901</v>
      </c>
      <c r="AH2246">
        <v>10.5664891348527</v>
      </c>
      <c r="AI2246">
        <v>95.849101782971701</v>
      </c>
      <c r="AJ2246">
        <v>103.606888131327</v>
      </c>
      <c r="AK2246">
        <v>10.928522793671201</v>
      </c>
      <c r="AL2246">
        <v>89.644375714198205</v>
      </c>
      <c r="AM2246">
        <v>89.357539521824904</v>
      </c>
      <c r="AN2246">
        <v>1.00000002659753</v>
      </c>
    </row>
    <row r="2247" spans="1:40" x14ac:dyDescent="0.25">
      <c r="A2247" t="str">
        <f>"20190312161001904"</f>
        <v>20190312161001904</v>
      </c>
      <c r="B2247" t="str">
        <f>"1552378201897682"</f>
        <v>1552378201897682</v>
      </c>
      <c r="C2247" t="s">
        <v>40</v>
      </c>
      <c r="D2247">
        <v>5.3687129999999996</v>
      </c>
      <c r="E2247">
        <v>0.40808759999999999</v>
      </c>
      <c r="F2247" t="s">
        <v>59</v>
      </c>
      <c r="G2247">
        <v>-484.92910000000001</v>
      </c>
      <c r="H2247" s="1">
        <v>2.701557E-6</v>
      </c>
      <c r="I2247">
        <v>280.28640000000001</v>
      </c>
      <c r="J2247">
        <v>-475.03680000000003</v>
      </c>
      <c r="K2247">
        <v>1.1137159999999999</v>
      </c>
      <c r="L2247">
        <v>284.95389999999998</v>
      </c>
      <c r="M2247">
        <v>-0.97945680000000002</v>
      </c>
      <c r="N2247">
        <v>0</v>
      </c>
      <c r="O2247">
        <v>-0.2006259</v>
      </c>
      <c r="P2247">
        <v>-0.98136400000000001</v>
      </c>
      <c r="Q2247">
        <v>-1.447037E-2</v>
      </c>
      <c r="R2247">
        <v>-0.19161339999999999</v>
      </c>
      <c r="S2247">
        <v>-2.801971</v>
      </c>
      <c r="T2247">
        <v>-0.31060389999999999</v>
      </c>
      <c r="U2247">
        <v>-1.3121339999999999</v>
      </c>
      <c r="V2247">
        <v>9.1758440000000007E-3</v>
      </c>
      <c r="W2247">
        <v>5.9292609999999999E-3</v>
      </c>
      <c r="X2247">
        <v>0.9999403</v>
      </c>
      <c r="Y2247">
        <v>-0.23356540000000001</v>
      </c>
      <c r="Z2247">
        <v>8.4767490000000004E-3</v>
      </c>
      <c r="AA2247">
        <v>0.97230419999999995</v>
      </c>
      <c r="AB2247">
        <v>16</v>
      </c>
      <c r="AC2247">
        <v>-9.8922999999999703</v>
      </c>
      <c r="AD2247">
        <v>-1.1137132984429901</v>
      </c>
      <c r="AE2247">
        <v>-4.6674999999999596</v>
      </c>
      <c r="AF2247">
        <v>-2.5609484950983101</v>
      </c>
      <c r="AG2247">
        <v>-1.1137132984429901</v>
      </c>
      <c r="AH2247">
        <v>10.518651728179799</v>
      </c>
      <c r="AI2247">
        <v>95.873625141335694</v>
      </c>
      <c r="AJ2247">
        <v>103.683430789228</v>
      </c>
      <c r="AK2247">
        <v>10.883053279499</v>
      </c>
      <c r="AL2247">
        <v>89.660276370981194</v>
      </c>
      <c r="AM2247">
        <v>89.474246233853805</v>
      </c>
      <c r="AN2247">
        <v>0.999999977906604</v>
      </c>
    </row>
    <row r="2248" spans="1:40" x14ac:dyDescent="0.25">
      <c r="A2248" t="str">
        <f>"20190312161001926"</f>
        <v>20190312161001926</v>
      </c>
      <c r="B2248" t="str">
        <f>"1552378201918179"</f>
        <v>1552378201918179</v>
      </c>
      <c r="C2248" t="s">
        <v>40</v>
      </c>
      <c r="D2248">
        <v>5.3687399999999998</v>
      </c>
      <c r="E2248">
        <v>0.40902919999999998</v>
      </c>
      <c r="F2248" t="s">
        <v>59</v>
      </c>
      <c r="G2248">
        <v>-484.67039999999997</v>
      </c>
      <c r="H2248" s="1">
        <v>2.6697259999999999E-6</v>
      </c>
      <c r="I2248">
        <v>280.44729999999998</v>
      </c>
      <c r="J2248">
        <v>-475.18979999999999</v>
      </c>
      <c r="K2248">
        <v>1.1137170000000001</v>
      </c>
      <c r="L2248">
        <v>284.91570000000002</v>
      </c>
      <c r="M2248">
        <v>-0.97835890000000003</v>
      </c>
      <c r="N2248">
        <v>0</v>
      </c>
      <c r="O2248">
        <v>-0.20591409999999999</v>
      </c>
      <c r="P2248">
        <v>-0.98005070000000005</v>
      </c>
      <c r="Q2248">
        <v>-1.5675999999999999E-2</v>
      </c>
      <c r="R2248">
        <v>-0.19812840000000001</v>
      </c>
      <c r="S2248">
        <v>-2.7967529999999998</v>
      </c>
      <c r="T2248">
        <v>-0.32332470000000002</v>
      </c>
      <c r="U2248">
        <v>-1.308319</v>
      </c>
      <c r="V2248">
        <v>7.9384769999999993E-3</v>
      </c>
      <c r="W2248">
        <v>4.7109589999999998E-3</v>
      </c>
      <c r="X2248">
        <v>0.9999574</v>
      </c>
      <c r="Y2248">
        <v>-0.22796040000000001</v>
      </c>
      <c r="Z2248">
        <v>9.704196E-3</v>
      </c>
      <c r="AA2248">
        <v>0.97362199999999999</v>
      </c>
      <c r="AB2248">
        <v>16</v>
      </c>
      <c r="AC2248">
        <v>-9.4805999999999795</v>
      </c>
      <c r="AD2248">
        <v>-1.113714330274</v>
      </c>
      <c r="AE2248">
        <v>-4.4684000000000301</v>
      </c>
      <c r="AF2248">
        <v>-2.3929891908486298</v>
      </c>
      <c r="AG2248">
        <v>-1.113714330274</v>
      </c>
      <c r="AH2248">
        <v>10.083781604662599</v>
      </c>
      <c r="AI2248">
        <v>96.133559292238203</v>
      </c>
      <c r="AJ2248">
        <v>103.34995060563401</v>
      </c>
      <c r="AK2248">
        <v>10.4235026899555</v>
      </c>
      <c r="AL2248">
        <v>89.730080935381693</v>
      </c>
      <c r="AM2248">
        <v>89.545148950545993</v>
      </c>
      <c r="AN2248">
        <v>1.00000000718326</v>
      </c>
    </row>
    <row r="2249" spans="1:40" x14ac:dyDescent="0.25">
      <c r="A2249" t="str">
        <f>"20190312161001948"</f>
        <v>20190312161001948</v>
      </c>
      <c r="B2249" t="str">
        <f>"1552378201937698"</f>
        <v>1552378201937698</v>
      </c>
      <c r="C2249" t="s">
        <v>40</v>
      </c>
      <c r="D2249">
        <v>5.3735999999999997</v>
      </c>
      <c r="E2249">
        <v>0.40709079999999997</v>
      </c>
      <c r="F2249" t="s">
        <v>59</v>
      </c>
      <c r="G2249">
        <v>-484.54199999999997</v>
      </c>
      <c r="H2249" s="1">
        <v>2.6507310000000001E-6</v>
      </c>
      <c r="I2249">
        <v>280.4905</v>
      </c>
      <c r="J2249">
        <v>-475.34050000000002</v>
      </c>
      <c r="K2249">
        <v>1.113704</v>
      </c>
      <c r="L2249">
        <v>284.87729999999999</v>
      </c>
      <c r="M2249">
        <v>-0.9772246</v>
      </c>
      <c r="N2249">
        <v>0</v>
      </c>
      <c r="O2249">
        <v>-0.21123130000000001</v>
      </c>
      <c r="P2249">
        <v>-0.97870650000000003</v>
      </c>
      <c r="Q2249">
        <v>-1.6119919999999999E-2</v>
      </c>
      <c r="R2249">
        <v>-0.2046318</v>
      </c>
      <c r="S2249">
        <v>-2.7889710000000001</v>
      </c>
      <c r="T2249">
        <v>-0.33212609999999998</v>
      </c>
      <c r="U2249">
        <v>-1.319672</v>
      </c>
      <c r="V2249">
        <v>6.7378689999999996E-3</v>
      </c>
      <c r="W2249">
        <v>4.2555839999999998E-3</v>
      </c>
      <c r="X2249">
        <v>0.99996819999999997</v>
      </c>
      <c r="Y2249">
        <v>-0.22697829999999999</v>
      </c>
      <c r="Z2249">
        <v>1.061227E-2</v>
      </c>
      <c r="AA2249">
        <v>0.97384199999999999</v>
      </c>
      <c r="AB2249">
        <v>16</v>
      </c>
      <c r="AC2249">
        <v>-9.2014999999999496</v>
      </c>
      <c r="AD2249">
        <v>-1.113701349269</v>
      </c>
      <c r="AE2249">
        <v>-4.3867999999999903</v>
      </c>
      <c r="AF2249">
        <v>-2.31608289586356</v>
      </c>
      <c r="AG2249">
        <v>-1.113701349269</v>
      </c>
      <c r="AH2249">
        <v>9.80359290728296</v>
      </c>
      <c r="AI2249">
        <v>96.308881644740595</v>
      </c>
      <c r="AJ2249">
        <v>103.292315620883</v>
      </c>
      <c r="AK2249">
        <v>10.1348411219714</v>
      </c>
      <c r="AL2249">
        <v>89.756172250493293</v>
      </c>
      <c r="AM2249">
        <v>89.613942109060503</v>
      </c>
      <c r="AN2249">
        <v>0.99999995494254001</v>
      </c>
    </row>
    <row r="2250" spans="1:40" x14ac:dyDescent="0.25">
      <c r="A2250" t="str">
        <f>"20190312161001971"</f>
        <v>20190312161001971</v>
      </c>
      <c r="B2250" t="str">
        <f>"1552378201958194"</f>
        <v>1552378201958194</v>
      </c>
      <c r="C2250" t="s">
        <v>40</v>
      </c>
      <c r="D2250">
        <v>5.3491059999999999</v>
      </c>
      <c r="E2250">
        <v>0.40734979999999998</v>
      </c>
      <c r="F2250" t="s">
        <v>59</v>
      </c>
      <c r="G2250">
        <v>-485.83960000000002</v>
      </c>
      <c r="H2250" s="1">
        <v>2.8176719999999998E-6</v>
      </c>
      <c r="I2250">
        <v>279.7672</v>
      </c>
      <c r="J2250">
        <v>-475.49340000000001</v>
      </c>
      <c r="K2250">
        <v>1.113694</v>
      </c>
      <c r="L2250">
        <v>284.8372</v>
      </c>
      <c r="M2250">
        <v>-0.97602230000000001</v>
      </c>
      <c r="N2250">
        <v>0</v>
      </c>
      <c r="O2250">
        <v>-0.21671940000000001</v>
      </c>
      <c r="P2250">
        <v>-0.97747260000000002</v>
      </c>
      <c r="Q2250">
        <v>-1.6164069999999999E-2</v>
      </c>
      <c r="R2250">
        <v>-0.21044360000000001</v>
      </c>
      <c r="S2250">
        <v>-2.7777400000000001</v>
      </c>
      <c r="T2250">
        <v>-0.2946513</v>
      </c>
      <c r="U2250">
        <v>-1.35199</v>
      </c>
      <c r="V2250">
        <v>6.4157349999999997E-3</v>
      </c>
      <c r="W2250">
        <v>4.2045629999999997E-3</v>
      </c>
      <c r="X2250">
        <v>0.99997060000000004</v>
      </c>
      <c r="Y2250">
        <v>-0.23224810000000001</v>
      </c>
      <c r="Z2250">
        <v>9.689642E-3</v>
      </c>
      <c r="AA2250">
        <v>0.97260829999999998</v>
      </c>
      <c r="AB2250">
        <v>16</v>
      </c>
      <c r="AC2250">
        <v>-10.3462</v>
      </c>
      <c r="AD2250">
        <v>-1.113691182328</v>
      </c>
      <c r="AE2250">
        <v>-5.0699999999999896</v>
      </c>
      <c r="AF2250">
        <v>-2.6817140522338399</v>
      </c>
      <c r="AG2250">
        <v>-1.113691182328</v>
      </c>
      <c r="AH2250">
        <v>11.095534489199901</v>
      </c>
      <c r="AI2250">
        <v>95.572354788889797</v>
      </c>
      <c r="AJ2250">
        <v>103.587421782352</v>
      </c>
      <c r="AK2250">
        <v>11.4692102565333</v>
      </c>
      <c r="AL2250">
        <v>89.759095580523706</v>
      </c>
      <c r="AM2250">
        <v>89.632399698348607</v>
      </c>
      <c r="AN2250">
        <v>1.0000000204349799</v>
      </c>
    </row>
    <row r="2251" spans="1:40" x14ac:dyDescent="0.25">
      <c r="A2251" t="str">
        <f>"20190312161002016"</f>
        <v>20190312161002016</v>
      </c>
      <c r="B2251" t="str">
        <f>"1552378202007970"</f>
        <v>1552378202007970</v>
      </c>
      <c r="C2251" t="s">
        <v>40</v>
      </c>
      <c r="D2251">
        <v>5.3248769999999999</v>
      </c>
      <c r="E2251">
        <v>0.40887079999999998</v>
      </c>
      <c r="F2251" t="s">
        <v>59</v>
      </c>
      <c r="G2251">
        <v>-485.81849999999997</v>
      </c>
      <c r="H2251" s="1">
        <v>2.8117039999999998E-6</v>
      </c>
      <c r="I2251">
        <v>279.74169999999998</v>
      </c>
      <c r="J2251">
        <v>-475.78899999999999</v>
      </c>
      <c r="K2251">
        <v>1.1136649999999999</v>
      </c>
      <c r="L2251">
        <v>284.7568</v>
      </c>
      <c r="M2251">
        <v>-0.97355000000000003</v>
      </c>
      <c r="N2251">
        <v>0</v>
      </c>
      <c r="O2251">
        <v>-0.2275683</v>
      </c>
      <c r="P2251">
        <v>-0.97484219999999999</v>
      </c>
      <c r="Q2251">
        <v>-1.6561070000000001E-2</v>
      </c>
      <c r="R2251">
        <v>-0.2222798</v>
      </c>
      <c r="S2251">
        <v>-2.7698969999999998</v>
      </c>
      <c r="T2251">
        <v>-0.29876839999999999</v>
      </c>
      <c r="U2251">
        <v>-1.366943</v>
      </c>
      <c r="V2251">
        <v>5.4212490000000004E-3</v>
      </c>
      <c r="W2251">
        <v>3.7935320000000001E-3</v>
      </c>
      <c r="X2251">
        <v>0.99997809999999998</v>
      </c>
      <c r="Y2251">
        <v>-0.22680410000000001</v>
      </c>
      <c r="Z2251">
        <v>1.1167150000000001E-2</v>
      </c>
      <c r="AA2251">
        <v>0.97387639999999998</v>
      </c>
      <c r="AB2251">
        <v>16</v>
      </c>
      <c r="AC2251">
        <v>-10.029499999999899</v>
      </c>
      <c r="AD2251">
        <v>-1.1136621882959901</v>
      </c>
      <c r="AE2251">
        <v>-5.0151000000000101</v>
      </c>
      <c r="AF2251">
        <v>-2.5751913847186398</v>
      </c>
      <c r="AG2251">
        <v>-1.1136621882959901</v>
      </c>
      <c r="AH2251">
        <v>10.801213955686499</v>
      </c>
      <c r="AI2251">
        <v>95.727281296453995</v>
      </c>
      <c r="AJ2251">
        <v>103.409934806873</v>
      </c>
      <c r="AK2251">
        <v>11.159662945361999</v>
      </c>
      <c r="AL2251">
        <v>89.782646103599205</v>
      </c>
      <c r="AM2251">
        <v>89.689381553128499</v>
      </c>
      <c r="AN2251">
        <v>0.99999999065268197</v>
      </c>
    </row>
    <row r="2252" spans="1:40" x14ac:dyDescent="0.25">
      <c r="A2252" t="str">
        <f>"20190312161002037"</f>
        <v>20190312161002037</v>
      </c>
      <c r="B2252" t="str">
        <f>"1552378202028467"</f>
        <v>1552378202028467</v>
      </c>
      <c r="C2252" t="s">
        <v>40</v>
      </c>
      <c r="D2252">
        <v>5.3125749999999998</v>
      </c>
      <c r="E2252">
        <v>0.40945619999999999</v>
      </c>
      <c r="F2252" t="s">
        <v>59</v>
      </c>
      <c r="G2252">
        <v>-485.99119999999999</v>
      </c>
      <c r="H2252" s="1">
        <v>2.8307010000000001E-6</v>
      </c>
      <c r="I2252">
        <v>279.61439999999999</v>
      </c>
      <c r="J2252">
        <v>-475.92880000000002</v>
      </c>
      <c r="K2252">
        <v>1.11365</v>
      </c>
      <c r="L2252">
        <v>284.7174</v>
      </c>
      <c r="M2252">
        <v>-0.97231610000000002</v>
      </c>
      <c r="N2252">
        <v>0</v>
      </c>
      <c r="O2252">
        <v>-0.2327766</v>
      </c>
      <c r="P2252">
        <v>-0.97356450000000005</v>
      </c>
      <c r="Q2252">
        <v>-1.7167370000000001E-2</v>
      </c>
      <c r="R2252">
        <v>-0.2277663</v>
      </c>
      <c r="S2252">
        <v>-2.755585</v>
      </c>
      <c r="T2252">
        <v>-0.30079640000000002</v>
      </c>
      <c r="U2252">
        <v>-1.3889469999999999</v>
      </c>
      <c r="V2252">
        <v>5.1440019999999999E-3</v>
      </c>
      <c r="W2252">
        <v>3.271876E-3</v>
      </c>
      <c r="X2252">
        <v>0.99998140000000002</v>
      </c>
      <c r="Y2252">
        <v>-0.22982459999999999</v>
      </c>
      <c r="Z2252">
        <v>1.162503E-2</v>
      </c>
      <c r="AA2252">
        <v>0.97316270000000005</v>
      </c>
      <c r="AB2252">
        <v>16</v>
      </c>
      <c r="AC2252">
        <v>-10.062399999999901</v>
      </c>
      <c r="AD2252">
        <v>-1.113647169299</v>
      </c>
      <c r="AE2252">
        <v>-5.1029999999999998</v>
      </c>
      <c r="AF2252">
        <v>-2.5947032328613999</v>
      </c>
      <c r="AG2252">
        <v>-1.113647169299</v>
      </c>
      <c r="AH2252">
        <v>10.868090112280999</v>
      </c>
      <c r="AI2252">
        <v>95.691775708841803</v>
      </c>
      <c r="AJ2252">
        <v>103.42772924547501</v>
      </c>
      <c r="AK2252">
        <v>11.2288947618619</v>
      </c>
      <c r="AL2252">
        <v>89.812534976473401</v>
      </c>
      <c r="AM2252">
        <v>89.705267513213698</v>
      </c>
      <c r="AN2252">
        <v>0.99999998313754701</v>
      </c>
    </row>
    <row r="2253" spans="1:40" x14ac:dyDescent="0.25">
      <c r="A2253" t="str">
        <f>"20190312161002060"</f>
        <v>20190312161002060</v>
      </c>
      <c r="B2253" t="str">
        <f>"1552378202047986"</f>
        <v>1552378202047986</v>
      </c>
      <c r="C2253" t="s">
        <v>40</v>
      </c>
      <c r="D2253">
        <v>5.3127009999999997</v>
      </c>
      <c r="E2253">
        <v>0.4096341</v>
      </c>
      <c r="F2253" t="s">
        <v>59</v>
      </c>
      <c r="G2253">
        <v>-485.98910000000001</v>
      </c>
      <c r="H2253" s="1">
        <v>2.8223040000000002E-6</v>
      </c>
      <c r="I2253">
        <v>279.5917</v>
      </c>
      <c r="J2253">
        <v>-476.07249999999999</v>
      </c>
      <c r="K2253">
        <v>1.113639</v>
      </c>
      <c r="L2253">
        <v>284.67610000000002</v>
      </c>
      <c r="M2253">
        <v>-0.97099950000000002</v>
      </c>
      <c r="N2253">
        <v>0</v>
      </c>
      <c r="O2253">
        <v>-0.2381984</v>
      </c>
      <c r="P2253">
        <v>-0.97221299999999999</v>
      </c>
      <c r="Q2253">
        <v>-1.784587E-2</v>
      </c>
      <c r="R2253">
        <v>-0.23341729999999999</v>
      </c>
      <c r="S2253">
        <v>-2.7484440000000001</v>
      </c>
      <c r="T2253">
        <v>-0.30424380000000001</v>
      </c>
      <c r="U2253">
        <v>-1.4003300000000001</v>
      </c>
      <c r="V2253">
        <v>4.9168800000000002E-3</v>
      </c>
      <c r="W2253">
        <v>2.7125489999999999E-3</v>
      </c>
      <c r="X2253">
        <v>0.99998419999999999</v>
      </c>
      <c r="Y2253">
        <v>-0.2286444</v>
      </c>
      <c r="Z2253">
        <v>1.23695E-2</v>
      </c>
      <c r="AA2253">
        <v>0.97343139999999995</v>
      </c>
      <c r="AB2253">
        <v>15</v>
      </c>
      <c r="AC2253">
        <v>-9.9166000000000096</v>
      </c>
      <c r="AD2253">
        <v>-1.113636177696</v>
      </c>
      <c r="AE2253">
        <v>-5.0844000000000102</v>
      </c>
      <c r="AF2253">
        <v>-2.54991052587711</v>
      </c>
      <c r="AG2253">
        <v>-1.113636177696</v>
      </c>
      <c r="AH2253">
        <v>10.7351911829419</v>
      </c>
      <c r="AI2253">
        <v>95.763280401064307</v>
      </c>
      <c r="AJ2253">
        <v>103.36174733623901</v>
      </c>
      <c r="AK2253">
        <v>11.089930520998101</v>
      </c>
      <c r="AL2253">
        <v>89.844582194847007</v>
      </c>
      <c r="AM2253">
        <v>89.718281346743595</v>
      </c>
      <c r="AN2253">
        <v>0.999999966940325</v>
      </c>
    </row>
    <row r="2254" spans="1:40" x14ac:dyDescent="0.25">
      <c r="A2254" t="str">
        <f>"20190312161002083"</f>
        <v>20190312161002083</v>
      </c>
      <c r="B2254" t="str">
        <f>"1552378202078245"</f>
        <v>1552378202078245</v>
      </c>
      <c r="C2254" t="s">
        <v>40</v>
      </c>
      <c r="D2254">
        <v>5.2985239999999996</v>
      </c>
      <c r="E2254">
        <v>0.41390969999999999</v>
      </c>
      <c r="F2254" t="s">
        <v>59</v>
      </c>
      <c r="G2254">
        <v>-486.02260000000001</v>
      </c>
      <c r="H2254" s="1">
        <v>2.8094569999999998E-6</v>
      </c>
      <c r="I2254">
        <v>279.53859999999997</v>
      </c>
      <c r="J2254">
        <v>-476.21449999999999</v>
      </c>
      <c r="K2254">
        <v>1.1136200000000001</v>
      </c>
      <c r="L2254">
        <v>284.63420000000002</v>
      </c>
      <c r="M2254">
        <v>-0.96963860000000002</v>
      </c>
      <c r="N2254">
        <v>0</v>
      </c>
      <c r="O2254">
        <v>-0.2436815</v>
      </c>
      <c r="P2254">
        <v>-0.97068690000000002</v>
      </c>
      <c r="Q2254">
        <v>-1.8608510000000002E-2</v>
      </c>
      <c r="R2254">
        <v>-0.23962700000000001</v>
      </c>
      <c r="S2254">
        <v>-2.7404169999999999</v>
      </c>
      <c r="T2254">
        <v>-0.30671320000000002</v>
      </c>
      <c r="U2254">
        <v>-1.4149480000000001</v>
      </c>
      <c r="V2254">
        <v>4.1768220000000002E-3</v>
      </c>
      <c r="W2254">
        <v>1.914802E-3</v>
      </c>
      <c r="X2254">
        <v>0.99998940000000003</v>
      </c>
      <c r="Y2254">
        <v>-0.2284313</v>
      </c>
      <c r="Z2254">
        <v>1.3041469999999999E-2</v>
      </c>
      <c r="AA2254">
        <v>0.97347269999999997</v>
      </c>
      <c r="AB2254">
        <v>15</v>
      </c>
      <c r="AC2254">
        <v>-9.8081000000000191</v>
      </c>
      <c r="AD2254">
        <v>-1.1136171905429999</v>
      </c>
      <c r="AE2254">
        <v>-5.0956000000000401</v>
      </c>
      <c r="AF2254">
        <v>-2.52573426918417</v>
      </c>
      <c r="AG2254">
        <v>-1.1136171905429999</v>
      </c>
      <c r="AH2254">
        <v>10.646201571503701</v>
      </c>
      <c r="AI2254">
        <v>95.811398038873193</v>
      </c>
      <c r="AJ2254">
        <v>103.346265966979</v>
      </c>
      <c r="AK2254">
        <v>10.9982309826032</v>
      </c>
      <c r="AL2254">
        <v>89.890289854951106</v>
      </c>
      <c r="AM2254">
        <v>89.760684582573802</v>
      </c>
      <c r="AN2254">
        <v>0.99999995621053805</v>
      </c>
    </row>
    <row r="2255" spans="1:40" x14ac:dyDescent="0.25">
      <c r="A2255" t="str">
        <f>"20190312161002105"</f>
        <v>20190312161002105</v>
      </c>
      <c r="B2255" t="str">
        <f>"1552378202097766"</f>
        <v>1552378202097766</v>
      </c>
      <c r="C2255" t="s">
        <v>40</v>
      </c>
      <c r="D2255">
        <v>5.3022919999999996</v>
      </c>
      <c r="E2255">
        <v>0.41611860000000001</v>
      </c>
      <c r="F2255" t="s">
        <v>59</v>
      </c>
      <c r="G2255">
        <v>-485.74579999999997</v>
      </c>
      <c r="H2255" s="1">
        <v>2.800666E-6</v>
      </c>
      <c r="I2255">
        <v>279.76299999999998</v>
      </c>
      <c r="J2255">
        <v>-476.3587</v>
      </c>
      <c r="K2255">
        <v>1.1135999999999999</v>
      </c>
      <c r="L2255">
        <v>284.59070000000003</v>
      </c>
      <c r="M2255">
        <v>-0.96819949999999999</v>
      </c>
      <c r="N2255">
        <v>0</v>
      </c>
      <c r="O2255">
        <v>-0.2493525</v>
      </c>
      <c r="P2255">
        <v>-0.96914400000000001</v>
      </c>
      <c r="Q2255">
        <v>-2.012019E-2</v>
      </c>
      <c r="R2255">
        <v>-0.24567439999999999</v>
      </c>
      <c r="S2255">
        <v>-2.7389220000000001</v>
      </c>
      <c r="T2255">
        <v>-0.32001190000000002</v>
      </c>
      <c r="U2255">
        <v>-1.3998109999999999</v>
      </c>
      <c r="V2255">
        <v>3.7962769999999998E-3</v>
      </c>
      <c r="W2255">
        <v>2.349059E-4</v>
      </c>
      <c r="X2255">
        <v>0.99999280000000002</v>
      </c>
      <c r="Y2255">
        <v>-0.21876670000000001</v>
      </c>
      <c r="Z2255">
        <v>1.4750040000000001E-2</v>
      </c>
      <c r="AA2255">
        <v>0.97566569999999997</v>
      </c>
      <c r="AB2255">
        <v>15</v>
      </c>
      <c r="AC2255">
        <v>-9.38709999999997</v>
      </c>
      <c r="AD2255">
        <v>-1.1135971993339999</v>
      </c>
      <c r="AE2255">
        <v>-4.8277000000000498</v>
      </c>
      <c r="AF2255">
        <v>-2.3082720086417199</v>
      </c>
      <c r="AG2255">
        <v>-1.1135971993339999</v>
      </c>
      <c r="AH2255">
        <v>10.181199128266501</v>
      </c>
      <c r="AI2255">
        <v>96.088753161937007</v>
      </c>
      <c r="AJ2255">
        <v>102.774098357299</v>
      </c>
      <c r="AK2255">
        <v>10.498811079244099</v>
      </c>
      <c r="AL2255">
        <v>89.986540883673996</v>
      </c>
      <c r="AM2255">
        <v>89.782488828863706</v>
      </c>
      <c r="AN2255">
        <v>1.0000000334758401</v>
      </c>
    </row>
    <row r="2256" spans="1:40" x14ac:dyDescent="0.25">
      <c r="A2256" t="str">
        <f>"20190312161002127"</f>
        <v>20190312161002127</v>
      </c>
      <c r="B2256" t="str">
        <f>"1552378202118261"</f>
        <v>1552378202118261</v>
      </c>
      <c r="C2256" t="s">
        <v>40</v>
      </c>
      <c r="D2256">
        <v>5.301952</v>
      </c>
      <c r="E2256">
        <v>0.41778660000000001</v>
      </c>
      <c r="F2256" t="s">
        <v>59</v>
      </c>
      <c r="G2256">
        <v>-485.2</v>
      </c>
      <c r="H2256" s="1">
        <v>2.7297190000000002E-6</v>
      </c>
      <c r="I2256">
        <v>280.05889999999999</v>
      </c>
      <c r="J2256">
        <v>-476.49079999999998</v>
      </c>
      <c r="K2256">
        <v>1.113577</v>
      </c>
      <c r="L2256">
        <v>284.5498</v>
      </c>
      <c r="M2256">
        <v>-0.96683070000000004</v>
      </c>
      <c r="N2256">
        <v>0</v>
      </c>
      <c r="O2256">
        <v>-0.2546175</v>
      </c>
      <c r="P2256">
        <v>-0.96761330000000001</v>
      </c>
      <c r="Q2256">
        <v>-2.1417169999999999E-2</v>
      </c>
      <c r="R2256">
        <v>-0.25152659999999999</v>
      </c>
      <c r="S2256">
        <v>-2.733215</v>
      </c>
      <c r="T2256">
        <v>-0.34425909999999998</v>
      </c>
      <c r="U2256">
        <v>-1.40097</v>
      </c>
      <c r="V2256">
        <v>3.1954209999999999E-3</v>
      </c>
      <c r="W2256">
        <v>-1.1912719999999999E-3</v>
      </c>
      <c r="X2256">
        <v>0.99999420000000006</v>
      </c>
      <c r="Y2256">
        <v>-0.2146856</v>
      </c>
      <c r="Z2256">
        <v>1.6717470000000002E-2</v>
      </c>
      <c r="AA2256">
        <v>0.97654010000000002</v>
      </c>
      <c r="AB2256">
        <v>15</v>
      </c>
      <c r="AC2256">
        <v>-8.7092000000000098</v>
      </c>
      <c r="AD2256">
        <v>-1.1135742702810001</v>
      </c>
      <c r="AE2256">
        <v>-4.4909000000000097</v>
      </c>
      <c r="AF2256">
        <v>-2.0977670998625402</v>
      </c>
      <c r="AG2256">
        <v>-1.1135742702810001</v>
      </c>
      <c r="AH2256">
        <v>9.4437733819532106</v>
      </c>
      <c r="AI2256">
        <v>96.566444951975996</v>
      </c>
      <c r="AJ2256">
        <v>102.52389789419099</v>
      </c>
      <c r="AK2256">
        <v>9.7378401173147999</v>
      </c>
      <c r="AL2256">
        <v>90.068254872976198</v>
      </c>
      <c r="AM2256">
        <v>89.816915424185396</v>
      </c>
      <c r="AN2256">
        <v>1.00000001493899</v>
      </c>
    </row>
    <row r="2257" spans="1:40" x14ac:dyDescent="0.25">
      <c r="A2257" t="str">
        <f>"20190312161002149"</f>
        <v>20190312161002149</v>
      </c>
      <c r="B2257" t="str">
        <f>"1552378202137779"</f>
        <v>1552378202137779</v>
      </c>
      <c r="C2257" t="s">
        <v>40</v>
      </c>
      <c r="D2257">
        <v>5.2819739999999999</v>
      </c>
      <c r="E2257">
        <v>0.41891109999999998</v>
      </c>
      <c r="F2257" t="s">
        <v>59</v>
      </c>
      <c r="G2257">
        <v>-484.9366</v>
      </c>
      <c r="H2257" s="1">
        <v>2.6950360000000002E-6</v>
      </c>
      <c r="I2257">
        <v>280.19650000000001</v>
      </c>
      <c r="J2257">
        <v>-476.62869999999998</v>
      </c>
      <c r="K2257">
        <v>1.113542</v>
      </c>
      <c r="L2257">
        <v>284.50619999999998</v>
      </c>
      <c r="M2257">
        <v>-0.96534430000000004</v>
      </c>
      <c r="N2257">
        <v>0</v>
      </c>
      <c r="O2257">
        <v>-0.26020149999999997</v>
      </c>
      <c r="P2257">
        <v>-0.96599489999999999</v>
      </c>
      <c r="Q2257">
        <v>-2.137149E-2</v>
      </c>
      <c r="R2257">
        <v>-0.25767709999999999</v>
      </c>
      <c r="S2257">
        <v>-2.7270509999999999</v>
      </c>
      <c r="T2257">
        <v>-0.35955749999999997</v>
      </c>
      <c r="U2257">
        <v>-1.4056090000000001</v>
      </c>
      <c r="V2257">
        <v>2.6139679999999999E-3</v>
      </c>
      <c r="W2257">
        <v>-1.2144860000000001E-3</v>
      </c>
      <c r="X2257">
        <v>0.99999579999999999</v>
      </c>
      <c r="Y2257">
        <v>-0.2113256</v>
      </c>
      <c r="Z2257">
        <v>1.8341039999999999E-2</v>
      </c>
      <c r="AA2257">
        <v>0.97724359999999999</v>
      </c>
      <c r="AB2257">
        <v>15</v>
      </c>
      <c r="AC2257">
        <v>-8.3079000000000107</v>
      </c>
      <c r="AD2257">
        <v>-1.1135393049639899</v>
      </c>
      <c r="AE2257">
        <v>-4.3096999999999603</v>
      </c>
      <c r="AF2257">
        <v>-1.9711190048845499</v>
      </c>
      <c r="AG2257">
        <v>-1.1135393049639899</v>
      </c>
      <c r="AH2257">
        <v>9.0156058226702598</v>
      </c>
      <c r="AI2257">
        <v>96.880173420273096</v>
      </c>
      <c r="AJ2257">
        <v>102.332750643767</v>
      </c>
      <c r="AK2257">
        <v>9.2955058100612593</v>
      </c>
      <c r="AL2257">
        <v>90.069584942390804</v>
      </c>
      <c r="AM2257">
        <v>89.850230377902804</v>
      </c>
      <c r="AN2257">
        <v>0.99999995391129304</v>
      </c>
    </row>
    <row r="2258" spans="1:40" x14ac:dyDescent="0.25">
      <c r="A2258" t="str">
        <f>"20190312161002173"</f>
        <v>20190312161002173</v>
      </c>
      <c r="B2258" t="str">
        <f>"1552378202168035"</f>
        <v>1552378202168035</v>
      </c>
      <c r="C2258" t="s">
        <v>40</v>
      </c>
      <c r="D2258">
        <v>5.2415960000000004</v>
      </c>
      <c r="E2258">
        <v>0.42003299999999999</v>
      </c>
      <c r="F2258" t="s">
        <v>59</v>
      </c>
      <c r="G2258">
        <v>-484.93470000000002</v>
      </c>
      <c r="H2258" s="1">
        <v>2.6937409999999998E-6</v>
      </c>
      <c r="I2258">
        <v>280.1857</v>
      </c>
      <c r="J2258">
        <v>-476.76580000000001</v>
      </c>
      <c r="K2258">
        <v>1.113491</v>
      </c>
      <c r="L2258">
        <v>284.46190000000001</v>
      </c>
      <c r="M2258">
        <v>-0.96380390000000005</v>
      </c>
      <c r="N2258">
        <v>0</v>
      </c>
      <c r="O2258">
        <v>-0.2658546</v>
      </c>
      <c r="P2258">
        <v>-0.96443719999999999</v>
      </c>
      <c r="Q2258">
        <v>-2.154035E-2</v>
      </c>
      <c r="R2258">
        <v>-0.26343309999999998</v>
      </c>
      <c r="S2258">
        <v>-2.7200929999999999</v>
      </c>
      <c r="T2258">
        <v>-0.36467100000000002</v>
      </c>
      <c r="U2258">
        <v>-1.4148860000000001</v>
      </c>
      <c r="V2258">
        <v>2.5110419999999998E-3</v>
      </c>
      <c r="W2258">
        <v>-1.44195E-3</v>
      </c>
      <c r="X2258">
        <v>0.99999579999999999</v>
      </c>
      <c r="Y2258">
        <v>-0.20930070000000001</v>
      </c>
      <c r="Z2258">
        <v>1.9420320000000001E-2</v>
      </c>
      <c r="AA2258">
        <v>0.97765849999999999</v>
      </c>
      <c r="AB2258">
        <v>15</v>
      </c>
      <c r="AC2258">
        <v>-8.1689000000000007</v>
      </c>
      <c r="AD2258">
        <v>-1.113488306259</v>
      </c>
      <c r="AE2258">
        <v>-4.27620000000001</v>
      </c>
      <c r="AF2258">
        <v>-1.9220415409132601</v>
      </c>
      <c r="AG2258">
        <v>-1.113488306259</v>
      </c>
      <c r="AH2258">
        <v>8.8823457813885707</v>
      </c>
      <c r="AI2258">
        <v>96.985291349533597</v>
      </c>
      <c r="AJ2258">
        <v>102.209923687887</v>
      </c>
      <c r="AK2258">
        <v>9.1558815235521198</v>
      </c>
      <c r="AL2258">
        <v>90.082617678536295</v>
      </c>
      <c r="AM2258">
        <v>89.856127589344297</v>
      </c>
      <c r="AN2258">
        <v>0.99999999228468395</v>
      </c>
    </row>
    <row r="2259" spans="1:40" x14ac:dyDescent="0.25">
      <c r="A2259" t="str">
        <f>"20190312161002196"</f>
        <v>20190312161002196</v>
      </c>
      <c r="B2259" t="str">
        <f>"1552378202188530"</f>
        <v>1552378202188530</v>
      </c>
      <c r="C2259" t="s">
        <v>40</v>
      </c>
      <c r="D2259">
        <v>5.2016650000000002</v>
      </c>
      <c r="E2259">
        <v>0.42011270000000001</v>
      </c>
      <c r="F2259" t="s">
        <v>59</v>
      </c>
      <c r="G2259">
        <v>-484.97910000000002</v>
      </c>
      <c r="H2259" s="1">
        <v>2.6991180000000002E-6</v>
      </c>
      <c r="I2259">
        <v>280.15699999999998</v>
      </c>
      <c r="J2259">
        <v>-476.90899999999999</v>
      </c>
      <c r="K2259">
        <v>1.113434</v>
      </c>
      <c r="L2259">
        <v>284.41460000000001</v>
      </c>
      <c r="M2259">
        <v>-0.9621362</v>
      </c>
      <c r="N2259">
        <v>0</v>
      </c>
      <c r="O2259">
        <v>-0.2718353</v>
      </c>
      <c r="P2259">
        <v>-0.96260619999999997</v>
      </c>
      <c r="Q2259">
        <v>-2.1604970000000001E-2</v>
      </c>
      <c r="R2259">
        <v>-0.27004240000000002</v>
      </c>
      <c r="S2259">
        <v>-2.713867</v>
      </c>
      <c r="T2259">
        <v>-0.36792049999999998</v>
      </c>
      <c r="U2259">
        <v>-1.4224239999999999</v>
      </c>
      <c r="V2259">
        <v>1.8623789999999999E-3</v>
      </c>
      <c r="W2259">
        <v>-1.60265E-3</v>
      </c>
      <c r="X2259">
        <v>0.99999700000000002</v>
      </c>
      <c r="Y2259">
        <v>-0.20634379999999999</v>
      </c>
      <c r="Z2259">
        <v>2.051714E-2</v>
      </c>
      <c r="AA2259">
        <v>0.97826449999999998</v>
      </c>
      <c r="AB2259">
        <v>14</v>
      </c>
      <c r="AC2259">
        <v>-8.0701000000000196</v>
      </c>
      <c r="AD2259">
        <v>-1.113431300882</v>
      </c>
      <c r="AE2259">
        <v>-4.2576000000000196</v>
      </c>
      <c r="AF2259">
        <v>-1.87511095071817</v>
      </c>
      <c r="AG2259">
        <v>-1.113431300882</v>
      </c>
      <c r="AH2259">
        <v>8.7927512789122009</v>
      </c>
      <c r="AI2259">
        <v>97.059891162349999</v>
      </c>
      <c r="AJ2259">
        <v>102.03836190972901</v>
      </c>
      <c r="AK2259">
        <v>9.0591525758262392</v>
      </c>
      <c r="AL2259">
        <v>90.0918251186487</v>
      </c>
      <c r="AM2259">
        <v>89.8932933466956</v>
      </c>
      <c r="AN2259">
        <v>1.00000001847578</v>
      </c>
    </row>
    <row r="2260" spans="1:40" x14ac:dyDescent="0.25">
      <c r="A2260" t="str">
        <f>"20190312161002216"</f>
        <v>20190312161002216</v>
      </c>
      <c r="B2260" t="str">
        <f>"1552378202208050"</f>
        <v>1552378202208050</v>
      </c>
      <c r="C2260" t="s">
        <v>40</v>
      </c>
      <c r="D2260">
        <v>5.2028650000000001</v>
      </c>
      <c r="E2260">
        <v>0.41776970000000002</v>
      </c>
      <c r="F2260" t="s">
        <v>59</v>
      </c>
      <c r="G2260">
        <v>-485.17540000000002</v>
      </c>
      <c r="H2260" s="1">
        <v>2.7212450000000001E-6</v>
      </c>
      <c r="I2260">
        <v>280.01170000000002</v>
      </c>
      <c r="J2260">
        <v>-477.03230000000002</v>
      </c>
      <c r="K2260">
        <v>1.1134059999999999</v>
      </c>
      <c r="L2260">
        <v>284.37310000000002</v>
      </c>
      <c r="M2260">
        <v>-0.96066289999999999</v>
      </c>
      <c r="N2260">
        <v>0</v>
      </c>
      <c r="O2260">
        <v>-0.27700340000000001</v>
      </c>
      <c r="P2260">
        <v>-0.96094299999999999</v>
      </c>
      <c r="Q2260">
        <v>-2.1743869999999998E-2</v>
      </c>
      <c r="R2260">
        <v>-0.27589160000000001</v>
      </c>
      <c r="S2260">
        <v>-2.704285</v>
      </c>
      <c r="T2260">
        <v>-0.36424849999999998</v>
      </c>
      <c r="U2260">
        <v>-1.440369</v>
      </c>
      <c r="V2260">
        <v>1.1562949999999999E-3</v>
      </c>
      <c r="W2260">
        <v>-1.8350630000000001E-3</v>
      </c>
      <c r="X2260">
        <v>0.99999769999999999</v>
      </c>
      <c r="Y2260">
        <v>-0.20759630000000001</v>
      </c>
      <c r="Z2260">
        <v>2.0871000000000001E-2</v>
      </c>
      <c r="AA2260">
        <v>0.97799190000000003</v>
      </c>
      <c r="AB2260">
        <v>14</v>
      </c>
      <c r="AC2260">
        <v>-8.1431000000000004</v>
      </c>
      <c r="AD2260">
        <v>-1.1134032787549999</v>
      </c>
      <c r="AE2260">
        <v>-4.3613999999999997</v>
      </c>
      <c r="AF2260">
        <v>-1.90684983982477</v>
      </c>
      <c r="AG2260">
        <v>-1.1134032787549999</v>
      </c>
      <c r="AH2260">
        <v>8.9033408228093691</v>
      </c>
      <c r="AI2260">
        <v>96.971601906370495</v>
      </c>
      <c r="AJ2260">
        <v>102.088549337904</v>
      </c>
      <c r="AK2260">
        <v>9.1730704227039404</v>
      </c>
      <c r="AL2260">
        <v>90.105141418557906</v>
      </c>
      <c r="AM2260">
        <v>89.933749053777007</v>
      </c>
      <c r="AN2260">
        <v>1.00000005223981</v>
      </c>
    </row>
    <row r="2261" spans="1:40" x14ac:dyDescent="0.25">
      <c r="A2261" t="str">
        <f>"20190312161002239"</f>
        <v>20190312161002239</v>
      </c>
      <c r="B2261" t="str">
        <f>"1552378202228546"</f>
        <v>1552378202228546</v>
      </c>
      <c r="C2261" t="s">
        <v>40</v>
      </c>
      <c r="D2261">
        <v>5.2055009999999999</v>
      </c>
      <c r="E2261">
        <v>0.42064099999999999</v>
      </c>
      <c r="F2261" t="s">
        <v>59</v>
      </c>
      <c r="G2261">
        <v>-486.71510000000001</v>
      </c>
      <c r="H2261" s="1">
        <v>2.769764E-6</v>
      </c>
      <c r="I2261">
        <v>279.0788</v>
      </c>
      <c r="J2261">
        <v>-477.16019999999997</v>
      </c>
      <c r="K2261">
        <v>1.1133770000000001</v>
      </c>
      <c r="L2261">
        <v>284.32909999999998</v>
      </c>
      <c r="M2261">
        <v>-0.95909690000000003</v>
      </c>
      <c r="N2261">
        <v>0</v>
      </c>
      <c r="O2261">
        <v>-0.28238279999999999</v>
      </c>
      <c r="P2261">
        <v>-0.95910660000000003</v>
      </c>
      <c r="Q2261">
        <v>-2.2366939999999998E-2</v>
      </c>
      <c r="R2261">
        <v>-0.2821594</v>
      </c>
      <c r="S2261">
        <v>-2.692291</v>
      </c>
      <c r="T2261">
        <v>-0.3095794</v>
      </c>
      <c r="U2261">
        <v>-1.4720759999999999</v>
      </c>
      <c r="V2261">
        <v>2.312324E-4</v>
      </c>
      <c r="W2261">
        <v>-2.543011E-3</v>
      </c>
      <c r="X2261">
        <v>0.99999669999999896</v>
      </c>
      <c r="Y2261">
        <v>-0.2127097</v>
      </c>
      <c r="Z2261">
        <v>1.8033629999999998E-2</v>
      </c>
      <c r="AA2261">
        <v>0.97694899999999996</v>
      </c>
      <c r="AB2261">
        <v>14</v>
      </c>
      <c r="AC2261">
        <v>-9.5549000000000301</v>
      </c>
      <c r="AD2261">
        <v>-1.1133742302359999</v>
      </c>
      <c r="AE2261">
        <v>-5.2502999999999798</v>
      </c>
      <c r="AF2261">
        <v>-2.31373675902964</v>
      </c>
      <c r="AG2261">
        <v>-1.1133742302359999</v>
      </c>
      <c r="AH2261">
        <v>10.538853486934601</v>
      </c>
      <c r="AI2261">
        <v>95.891340930898807</v>
      </c>
      <c r="AJ2261">
        <v>102.38246798918701</v>
      </c>
      <c r="AK2261">
        <v>10.847138460705301</v>
      </c>
      <c r="AL2261">
        <v>90.145703960398095</v>
      </c>
      <c r="AM2261">
        <v>89.986751315908805</v>
      </c>
      <c r="AN2261">
        <v>0.999999960192128</v>
      </c>
    </row>
    <row r="2262" spans="1:40" x14ac:dyDescent="0.25">
      <c r="A2262" t="str">
        <f>"20190312161002261"</f>
        <v>20190312161002261</v>
      </c>
      <c r="B2262" t="str">
        <f>"1552378202248066"</f>
        <v>1552378202248066</v>
      </c>
      <c r="C2262" t="s">
        <v>40</v>
      </c>
      <c r="D2262">
        <v>5.2078419999999896</v>
      </c>
      <c r="E2262">
        <v>0.42004269999999999</v>
      </c>
      <c r="F2262" t="s">
        <v>59</v>
      </c>
      <c r="G2262">
        <v>-486.2081</v>
      </c>
      <c r="H2262" s="1">
        <v>2.788466E-6</v>
      </c>
      <c r="I2262">
        <v>279.3861</v>
      </c>
      <c r="J2262">
        <v>-477.29109999999997</v>
      </c>
      <c r="K2262">
        <v>1.1133459999999999</v>
      </c>
      <c r="L2262">
        <v>284.2833</v>
      </c>
      <c r="M2262">
        <v>-0.95744960000000001</v>
      </c>
      <c r="N2262">
        <v>0</v>
      </c>
      <c r="O2262">
        <v>-0.28792329999999999</v>
      </c>
      <c r="P2262">
        <v>-0.95711889999999999</v>
      </c>
      <c r="Q2262">
        <v>-2.3624599999999999E-2</v>
      </c>
      <c r="R2262">
        <v>-0.28873090000000001</v>
      </c>
      <c r="S2262">
        <v>-2.6881710000000001</v>
      </c>
      <c r="T2262">
        <v>-0.33078999999999997</v>
      </c>
      <c r="U2262">
        <v>-1.4685969999999999</v>
      </c>
      <c r="V2262">
        <v>-8.4763519999999997E-4</v>
      </c>
      <c r="W2262">
        <v>-3.8711750000000001E-3</v>
      </c>
      <c r="X2262">
        <v>0.99999210000000005</v>
      </c>
      <c r="Y2262">
        <v>-0.2068199</v>
      </c>
      <c r="Z2262">
        <v>2.0224120000000002E-2</v>
      </c>
      <c r="AA2262">
        <v>0.97816999999999998</v>
      </c>
      <c r="AB2262">
        <v>14</v>
      </c>
      <c r="AC2262">
        <v>-8.91700000000003</v>
      </c>
      <c r="AD2262">
        <v>-1.1133432115339901</v>
      </c>
      <c r="AE2262">
        <v>-4.89719999999999</v>
      </c>
      <c r="AF2262">
        <v>-2.0967126945324202</v>
      </c>
      <c r="AG2262">
        <v>-1.1133432115339901</v>
      </c>
      <c r="AH2262">
        <v>9.8317863236812695</v>
      </c>
      <c r="AI2262">
        <v>96.319683786928195</v>
      </c>
      <c r="AJ2262">
        <v>102.03847793759</v>
      </c>
      <c r="AK2262">
        <v>10.114334359937301</v>
      </c>
      <c r="AL2262">
        <v>90.221802553833797</v>
      </c>
      <c r="AM2262">
        <v>90.048566291568903</v>
      </c>
      <c r="AN2262">
        <v>0.99999995227186</v>
      </c>
    </row>
    <row r="2263" spans="1:40" x14ac:dyDescent="0.25">
      <c r="A2263" t="str">
        <f>"20190312161002285"</f>
        <v>20190312161002285</v>
      </c>
      <c r="B2263" t="str">
        <f>"1552378202278322"</f>
        <v>1552378202278322</v>
      </c>
      <c r="C2263" t="s">
        <v>40</v>
      </c>
      <c r="D2263">
        <v>5.1470580000000004</v>
      </c>
      <c r="E2263">
        <v>0.42027399999999998</v>
      </c>
      <c r="F2263" t="s">
        <v>59</v>
      </c>
      <c r="G2263">
        <v>-486.75689999999997</v>
      </c>
      <c r="H2263" s="1">
        <v>2.7534289999999999E-6</v>
      </c>
      <c r="I2263">
        <v>279.01159999999999</v>
      </c>
      <c r="J2263">
        <v>-477.4212</v>
      </c>
      <c r="K2263">
        <v>1.1133169999999999</v>
      </c>
      <c r="L2263">
        <v>284.23680000000002</v>
      </c>
      <c r="M2263">
        <v>-0.95576070000000002</v>
      </c>
      <c r="N2263">
        <v>0</v>
      </c>
      <c r="O2263">
        <v>-0.2934853</v>
      </c>
      <c r="P2263">
        <v>-0.95502640000000005</v>
      </c>
      <c r="Q2263">
        <v>-2.4201759999999999E-2</v>
      </c>
      <c r="R2263">
        <v>-0.29553220000000002</v>
      </c>
      <c r="S2263">
        <v>-2.6769409999999998</v>
      </c>
      <c r="T2263">
        <v>-0.31485459999999998</v>
      </c>
      <c r="U2263">
        <v>-1.490845</v>
      </c>
      <c r="V2263">
        <v>-2.1479530000000002E-3</v>
      </c>
      <c r="W2263">
        <v>-4.5127559999999997E-3</v>
      </c>
      <c r="X2263">
        <v>0.99998750000000003</v>
      </c>
      <c r="Y2263">
        <v>-0.20905960000000001</v>
      </c>
      <c r="Z2263">
        <v>1.9724330000000002E-2</v>
      </c>
      <c r="AA2263">
        <v>0.97770389999999996</v>
      </c>
      <c r="AB2263">
        <v>14</v>
      </c>
      <c r="AC2263">
        <v>-9.3356999999999708</v>
      </c>
      <c r="AD2263">
        <v>-1.113314246571</v>
      </c>
      <c r="AE2263">
        <v>-5.2252000000000196</v>
      </c>
      <c r="AF2263">
        <v>-2.2304339480662398</v>
      </c>
      <c r="AG2263">
        <v>-1.113314246571</v>
      </c>
      <c r="AH2263">
        <v>10.3462036413731</v>
      </c>
      <c r="AI2263">
        <v>96.004831681559097</v>
      </c>
      <c r="AJ2263">
        <v>102.16563632634001</v>
      </c>
      <c r="AK2263">
        <v>10.642285186794499</v>
      </c>
      <c r="AL2263">
        <v>90.258562753118596</v>
      </c>
      <c r="AM2263">
        <v>90.123069990595795</v>
      </c>
      <c r="AN2263">
        <v>0.99999998941252699</v>
      </c>
    </row>
    <row r="2264" spans="1:40" x14ac:dyDescent="0.25">
      <c r="A2264" t="str">
        <f>"20190312161002305"</f>
        <v>20190312161002305</v>
      </c>
      <c r="B2264" t="str">
        <f>"1552378202297846"</f>
        <v>1552378202297846</v>
      </c>
      <c r="C2264" t="s">
        <v>40</v>
      </c>
      <c r="D2264">
        <v>5.1804899999999998</v>
      </c>
      <c r="E2264">
        <v>0.42075050000000003</v>
      </c>
      <c r="F2264" t="s">
        <v>59</v>
      </c>
      <c r="G2264">
        <v>-487.07</v>
      </c>
      <c r="H2264" s="1">
        <v>2.7277819999999999E-6</v>
      </c>
      <c r="I2264">
        <v>278.78199999999998</v>
      </c>
      <c r="J2264">
        <v>-477.54349999999999</v>
      </c>
      <c r="K2264">
        <v>1.1132799999999901</v>
      </c>
      <c r="L2264">
        <v>284.19220000000001</v>
      </c>
      <c r="M2264">
        <v>-0.95412830000000004</v>
      </c>
      <c r="N2264">
        <v>0</v>
      </c>
      <c r="O2264">
        <v>-0.29875279999999999</v>
      </c>
      <c r="P2264">
        <v>-0.95300850000000004</v>
      </c>
      <c r="Q2264">
        <v>-2.3842820000000001E-2</v>
      </c>
      <c r="R2264">
        <v>-0.30200369999999999</v>
      </c>
      <c r="S2264">
        <v>-2.6669309999999999</v>
      </c>
      <c r="T2264">
        <v>-0.30772100000000002</v>
      </c>
      <c r="U2264">
        <v>-1.5077210000000001</v>
      </c>
      <c r="V2264">
        <v>-3.4148960000000002E-3</v>
      </c>
      <c r="W2264">
        <v>-4.2138979999999998E-3</v>
      </c>
      <c r="X2264">
        <v>0.99998529999999997</v>
      </c>
      <c r="Y2264">
        <v>-0.209928</v>
      </c>
      <c r="Z2264">
        <v>1.9784759999999998E-2</v>
      </c>
      <c r="AA2264">
        <v>0.97751670000000002</v>
      </c>
      <c r="AB2264">
        <v>14</v>
      </c>
      <c r="AC2264">
        <v>-9.5265000000000004</v>
      </c>
      <c r="AD2264">
        <v>-1.11327727221799</v>
      </c>
      <c r="AE2264">
        <v>-5.4102000000000299</v>
      </c>
      <c r="AF2264">
        <v>-2.2927284577198099</v>
      </c>
      <c r="AG2264">
        <v>-1.11327727221799</v>
      </c>
      <c r="AH2264">
        <v>10.5984414983514</v>
      </c>
      <c r="AI2264">
        <v>95.861836450350197</v>
      </c>
      <c r="AJ2264">
        <v>102.206529465709</v>
      </c>
      <c r="AK2264">
        <v>10.900594124159101</v>
      </c>
      <c r="AL2264">
        <v>90.241439282985695</v>
      </c>
      <c r="AM2264">
        <v>90.195661243918707</v>
      </c>
      <c r="AN2264">
        <v>1.0000000093335599</v>
      </c>
    </row>
    <row r="2265" spans="1:40" x14ac:dyDescent="0.25">
      <c r="A2265" t="str">
        <f>"20190312161002328"</f>
        <v>20190312161002328</v>
      </c>
      <c r="B2265" t="str">
        <f>"1552378202318338"</f>
        <v>1552378202318338</v>
      </c>
      <c r="C2265" t="s">
        <v>40</v>
      </c>
      <c r="D2265">
        <v>5.2602969999999996</v>
      </c>
      <c r="E2265">
        <v>0.42061310000000002</v>
      </c>
      <c r="F2265" t="s">
        <v>59</v>
      </c>
      <c r="G2265">
        <v>-487.05970000000002</v>
      </c>
      <c r="H2265" s="1">
        <v>2.7118399999999999E-6</v>
      </c>
      <c r="I2265">
        <v>278.74200000000002</v>
      </c>
      <c r="J2265">
        <v>-477.6662</v>
      </c>
      <c r="K2265">
        <v>1.1132329999999999</v>
      </c>
      <c r="L2265">
        <v>284.14670000000001</v>
      </c>
      <c r="M2265">
        <v>-0.95245279999999999</v>
      </c>
      <c r="N2265">
        <v>0</v>
      </c>
      <c r="O2265">
        <v>-0.30405589999999999</v>
      </c>
      <c r="P2265">
        <v>-0.95109900000000003</v>
      </c>
      <c r="Q2265">
        <v>-2.2866020000000001E-2</v>
      </c>
      <c r="R2265">
        <v>-0.30803950000000002</v>
      </c>
      <c r="S2265">
        <v>-2.6577760000000001</v>
      </c>
      <c r="T2265">
        <v>-0.31092639999999999</v>
      </c>
      <c r="U2265">
        <v>-1.522186</v>
      </c>
      <c r="V2265">
        <v>-4.1897590000000004E-3</v>
      </c>
      <c r="W2265">
        <v>-3.291913E-3</v>
      </c>
      <c r="X2265">
        <v>0.99998580000000004</v>
      </c>
      <c r="Y2265">
        <v>-0.20997940000000001</v>
      </c>
      <c r="Z2265">
        <v>2.0547099999999999E-2</v>
      </c>
      <c r="AA2265">
        <v>0.97748990000000002</v>
      </c>
      <c r="AB2265">
        <v>14</v>
      </c>
      <c r="AC2265">
        <v>-9.3935000000000102</v>
      </c>
      <c r="AD2265">
        <v>-1.11323028816</v>
      </c>
      <c r="AE2265">
        <v>-5.4046999999999903</v>
      </c>
      <c r="AF2265">
        <v>-2.2680802027724898</v>
      </c>
      <c r="AG2265">
        <v>-1.11323028816</v>
      </c>
      <c r="AH2265">
        <v>10.4816295493727</v>
      </c>
      <c r="AI2265">
        <v>95.926380464771398</v>
      </c>
      <c r="AJ2265">
        <v>102.20977390092</v>
      </c>
      <c r="AK2265">
        <v>10.7818378531198</v>
      </c>
      <c r="AL2265">
        <v>90.188613062933499</v>
      </c>
      <c r="AM2265">
        <v>90.240057512017302</v>
      </c>
      <c r="AN2265">
        <v>0.99999999548665797</v>
      </c>
    </row>
    <row r="2266" spans="1:40" x14ac:dyDescent="0.25">
      <c r="A2266" t="str">
        <f>"20190312161002350"</f>
        <v>20190312161002350</v>
      </c>
      <c r="B2266" t="str">
        <f>"1552378202337859"</f>
        <v>1552378202337859</v>
      </c>
      <c r="C2266" t="s">
        <v>40</v>
      </c>
      <c r="D2266">
        <v>5.0960749999999999</v>
      </c>
      <c r="E2266">
        <v>0.37744689999999997</v>
      </c>
      <c r="F2266" t="s">
        <v>59</v>
      </c>
      <c r="G2266">
        <v>-487.19589999999999</v>
      </c>
      <c r="H2266" s="1">
        <v>2.68728E-6</v>
      </c>
      <c r="I2266">
        <v>278.60419999999999</v>
      </c>
      <c r="J2266">
        <v>-477.78969999999998</v>
      </c>
      <c r="K2266">
        <v>1.113178</v>
      </c>
      <c r="L2266">
        <v>284.1001</v>
      </c>
      <c r="M2266">
        <v>-0.95076269999999996</v>
      </c>
      <c r="N2266">
        <v>0</v>
      </c>
      <c r="O2266">
        <v>-0.30928660000000002</v>
      </c>
      <c r="P2266">
        <v>-0.94941719999999996</v>
      </c>
      <c r="Q2266">
        <v>-2.3717680000000001E-2</v>
      </c>
      <c r="R2266">
        <v>-0.31312079999999998</v>
      </c>
      <c r="S2266">
        <v>-2.6480100000000002</v>
      </c>
      <c r="T2266">
        <v>-0.30933270000000002</v>
      </c>
      <c r="U2266">
        <v>-1.5401</v>
      </c>
      <c r="V2266">
        <v>-4.0433630000000003E-3</v>
      </c>
      <c r="W2266">
        <v>-3.9311880000000004E-3</v>
      </c>
      <c r="X2266">
        <v>0.99998410000000004</v>
      </c>
      <c r="Y2266">
        <v>-0.21112710000000001</v>
      </c>
      <c r="Z2266">
        <v>2.0927020000000001E-2</v>
      </c>
      <c r="AA2266">
        <v>0.97723450000000001</v>
      </c>
      <c r="AB2266">
        <v>14</v>
      </c>
      <c r="AC2266">
        <v>-9.4062000000000108</v>
      </c>
      <c r="AD2266">
        <v>-1.1131753127199999</v>
      </c>
      <c r="AE2266">
        <v>-5.4958999999999998</v>
      </c>
      <c r="AF2266">
        <v>-2.2926021268877301</v>
      </c>
      <c r="AG2266">
        <v>-1.1131753127199999</v>
      </c>
      <c r="AH2266">
        <v>10.534963367742501</v>
      </c>
      <c r="AI2266">
        <v>95.894805714392902</v>
      </c>
      <c r="AJ2266">
        <v>102.277198920163</v>
      </c>
      <c r="AK2266">
        <v>10.838848506586601</v>
      </c>
      <c r="AL2266">
        <v>90.225241060660906</v>
      </c>
      <c r="AM2266">
        <v>90.231670055970696</v>
      </c>
      <c r="AN2266">
        <v>1.0000000016381201</v>
      </c>
    </row>
    <row r="2267" spans="1:40" x14ac:dyDescent="0.25">
      <c r="A2267" t="str">
        <f>"20190312161002372"</f>
        <v>20190312161002372</v>
      </c>
      <c r="B2267" t="str">
        <f>"1552378202368114"</f>
        <v>1552378202368114</v>
      </c>
      <c r="C2267" t="s">
        <v>40</v>
      </c>
      <c r="D2267">
        <v>5.0591900000000001</v>
      </c>
      <c r="E2267">
        <v>0.3594984</v>
      </c>
      <c r="F2267" t="s">
        <v>59</v>
      </c>
      <c r="G2267">
        <v>-490.08159999999998</v>
      </c>
      <c r="H2267" s="1">
        <v>1.89018E-6</v>
      </c>
      <c r="I2267">
        <v>274.99450000000002</v>
      </c>
      <c r="J2267">
        <v>-477.90929999999997</v>
      </c>
      <c r="K2267">
        <v>1.113129</v>
      </c>
      <c r="L2267">
        <v>284.05439999999999</v>
      </c>
      <c r="M2267">
        <v>-0.94920450000000001</v>
      </c>
      <c r="N2267">
        <v>0</v>
      </c>
      <c r="O2267">
        <v>-0.31396560000000001</v>
      </c>
      <c r="P2267">
        <v>-0.94762740000000001</v>
      </c>
      <c r="Q2267">
        <v>-2.5602679999999999E-2</v>
      </c>
      <c r="R2267">
        <v>-0.31835029999999997</v>
      </c>
      <c r="S2267">
        <v>-2.5347900000000001</v>
      </c>
      <c r="T2267">
        <v>-0.22955390000000001</v>
      </c>
      <c r="U2267">
        <v>-1.8777159999999999</v>
      </c>
      <c r="V2267">
        <v>-4.6393820000000001E-3</v>
      </c>
      <c r="W2267">
        <v>-4.7267380000000003E-3</v>
      </c>
      <c r="X2267">
        <v>0.99997809999999998</v>
      </c>
      <c r="Y2267">
        <v>-0.3127761</v>
      </c>
      <c r="Z2267">
        <v>1.1752830000000001E-2</v>
      </c>
      <c r="AA2267">
        <v>0.94975419999999999</v>
      </c>
      <c r="AB2267">
        <v>13</v>
      </c>
      <c r="AC2267">
        <v>-12.1723</v>
      </c>
      <c r="AD2267">
        <v>-1.11312710982</v>
      </c>
      <c r="AE2267">
        <v>-9.0598999999999705</v>
      </c>
      <c r="AF2267">
        <v>-4.7534769142869999</v>
      </c>
      <c r="AG2267">
        <v>-1.11312710982</v>
      </c>
      <c r="AH2267">
        <v>14.324555475574501</v>
      </c>
      <c r="AI2267">
        <v>94.218091178043295</v>
      </c>
      <c r="AJ2267">
        <v>108.357968009093</v>
      </c>
      <c r="AK2267">
        <v>15.133654030342001</v>
      </c>
      <c r="AL2267">
        <v>90.270823137736897</v>
      </c>
      <c r="AM2267">
        <v>90.265820922431701</v>
      </c>
      <c r="AN2267">
        <v>1.0000000331985299</v>
      </c>
    </row>
    <row r="2268" spans="1:40" x14ac:dyDescent="0.25">
      <c r="A2268" t="str">
        <f>"20190312161002395"</f>
        <v>20190312161002395</v>
      </c>
      <c r="B2268" t="str">
        <f>"1552378202387634"</f>
        <v>1552378202387634</v>
      </c>
      <c r="C2268" t="s">
        <v>40</v>
      </c>
      <c r="D2268">
        <v>5.0647449999999896</v>
      </c>
      <c r="E2268">
        <v>0.357247599999999</v>
      </c>
      <c r="F2268" t="s">
        <v>59</v>
      </c>
      <c r="G2268">
        <v>-493.32940000000002</v>
      </c>
      <c r="H2268" s="1">
        <v>6.5655859999999995E-7</v>
      </c>
      <c r="I2268">
        <v>271.47370000000001</v>
      </c>
      <c r="J2268">
        <v>-478.02280000000002</v>
      </c>
      <c r="K2268">
        <v>1.113102</v>
      </c>
      <c r="L2268">
        <v>284.01080000000002</v>
      </c>
      <c r="M2268">
        <v>-0.94779619999999998</v>
      </c>
      <c r="N2268">
        <v>0</v>
      </c>
      <c r="O2268">
        <v>-0.3180925</v>
      </c>
      <c r="P2268">
        <v>-0.94579990000000003</v>
      </c>
      <c r="Q2268">
        <v>-2.714304E-2</v>
      </c>
      <c r="R2268">
        <v>-0.32361489999999998</v>
      </c>
      <c r="S2268">
        <v>-2.4809570000000001</v>
      </c>
      <c r="T2268">
        <v>-0.17909259999999999</v>
      </c>
      <c r="U2268">
        <v>-2.0241389999999999</v>
      </c>
      <c r="V2268">
        <v>-5.8552839999999997E-3</v>
      </c>
      <c r="W2268">
        <v>-4.8123180000000003E-3</v>
      </c>
      <c r="X2268">
        <v>0.99997130000000001</v>
      </c>
      <c r="Y2268">
        <v>-0.35271799999999998</v>
      </c>
      <c r="Z2268">
        <v>8.127347E-3</v>
      </c>
      <c r="AA2268">
        <v>0.93569440000000004</v>
      </c>
      <c r="AB2268">
        <v>13</v>
      </c>
      <c r="AC2268">
        <v>-15.3066</v>
      </c>
      <c r="AD2268">
        <v>-1.1131013434413899</v>
      </c>
      <c r="AE2268">
        <v>-12.537100000000001</v>
      </c>
      <c r="AF2268">
        <v>-6.9933198280791</v>
      </c>
      <c r="AG2268">
        <v>-1.1131013434413899</v>
      </c>
      <c r="AH2268">
        <v>18.441748378443801</v>
      </c>
      <c r="AI2268">
        <v>93.230126430655901</v>
      </c>
      <c r="AJ2268">
        <v>110.76729467471399</v>
      </c>
      <c r="AK2268">
        <v>19.754584279918699</v>
      </c>
      <c r="AL2268">
        <v>90.275726569305107</v>
      </c>
      <c r="AM2268">
        <v>90.335488855499705</v>
      </c>
      <c r="AN2268">
        <v>1.00000002178947</v>
      </c>
    </row>
    <row r="2269" spans="1:40" x14ac:dyDescent="0.25">
      <c r="A2269" t="str">
        <f>"20190312161002417"</f>
        <v>20190312161002417</v>
      </c>
      <c r="B2269" t="str">
        <f>"1552378202408130"</f>
        <v>1552378202408130</v>
      </c>
      <c r="C2269" t="s">
        <v>40</v>
      </c>
      <c r="D2269">
        <v>4.989268</v>
      </c>
      <c r="E2269">
        <v>0.35647289999999998</v>
      </c>
      <c r="F2269" t="s">
        <v>59</v>
      </c>
      <c r="G2269">
        <v>-493.19650000000001</v>
      </c>
      <c r="H2269" s="1">
        <v>6.1629849999999999E-7</v>
      </c>
      <c r="I2269">
        <v>271.35980000000001</v>
      </c>
      <c r="J2269">
        <v>-478.13260000000002</v>
      </c>
      <c r="K2269">
        <v>1.113124</v>
      </c>
      <c r="L2269">
        <v>283.96839999999997</v>
      </c>
      <c r="M2269">
        <v>-0.9464861</v>
      </c>
      <c r="N2269">
        <v>0</v>
      </c>
      <c r="O2269">
        <v>-0.32186019999999999</v>
      </c>
      <c r="P2269">
        <v>-0.94439260000000003</v>
      </c>
      <c r="Q2269">
        <v>-2.9277129999999998E-2</v>
      </c>
      <c r="R2269">
        <v>-0.32751459999999999</v>
      </c>
      <c r="S2269">
        <v>-2.4638059999999999</v>
      </c>
      <c r="T2269">
        <v>-0.1807387</v>
      </c>
      <c r="U2269">
        <v>-2.0541990000000001</v>
      </c>
      <c r="V2269">
        <v>-6.0140480000000001E-3</v>
      </c>
      <c r="W2269">
        <v>-5.4145259999999898E-3</v>
      </c>
      <c r="X2269">
        <v>0.9999673</v>
      </c>
      <c r="Y2269">
        <v>-0.35892859999999999</v>
      </c>
      <c r="Z2269">
        <v>8.2296739999999993E-3</v>
      </c>
      <c r="AA2269">
        <v>0.93332870000000001</v>
      </c>
      <c r="AB2269">
        <v>12</v>
      </c>
      <c r="AC2269">
        <v>-15.063899999999901</v>
      </c>
      <c r="AD2269">
        <v>-1.1131233837015</v>
      </c>
      <c r="AE2269">
        <v>-12.6085999999999</v>
      </c>
      <c r="AF2269">
        <v>-7.0647317465477704</v>
      </c>
      <c r="AG2269">
        <v>-1.1131233837015</v>
      </c>
      <c r="AH2269">
        <v>18.2625638749094</v>
      </c>
      <c r="AI2269">
        <v>93.2535298681764</v>
      </c>
      <c r="AJ2269">
        <v>111.148577216536</v>
      </c>
      <c r="AK2269">
        <v>19.613024183005798</v>
      </c>
      <c r="AL2269">
        <v>90.310230990236505</v>
      </c>
      <c r="AM2269">
        <v>90.344586681651904</v>
      </c>
      <c r="AN2269">
        <v>1.0000000434672101</v>
      </c>
    </row>
    <row r="2270" spans="1:40" x14ac:dyDescent="0.25">
      <c r="A2270" t="str">
        <f>"20190312161002439"</f>
        <v>20190312161002439</v>
      </c>
      <c r="B2270" t="str">
        <f>"1552378202427650"</f>
        <v>1552378202427650</v>
      </c>
      <c r="C2270" t="s">
        <v>40</v>
      </c>
      <c r="D2270">
        <v>5.0111359999999996</v>
      </c>
      <c r="E2270">
        <v>0.35630970000000001</v>
      </c>
      <c r="F2270" t="s">
        <v>59</v>
      </c>
      <c r="G2270">
        <v>-492.79640000000001</v>
      </c>
      <c r="H2270" s="1">
        <v>6.9870819999999997E-7</v>
      </c>
      <c r="I2270">
        <v>271.59289999999999</v>
      </c>
      <c r="J2270">
        <v>-478.2346</v>
      </c>
      <c r="K2270">
        <v>1.1131759999999999</v>
      </c>
      <c r="L2270">
        <v>283.92860000000002</v>
      </c>
      <c r="M2270">
        <v>-0.94520530000000003</v>
      </c>
      <c r="N2270">
        <v>0</v>
      </c>
      <c r="O2270">
        <v>-0.32550750000000001</v>
      </c>
      <c r="P2270">
        <v>-0.94312169999999895</v>
      </c>
      <c r="Q2270">
        <v>-3.1031599999999999E-2</v>
      </c>
      <c r="R2270">
        <v>-0.33099699999999999</v>
      </c>
      <c r="S2270">
        <v>-2.4529109999999998</v>
      </c>
      <c r="T2270">
        <v>-0.1861988</v>
      </c>
      <c r="U2270">
        <v>-2.0701290000000001</v>
      </c>
      <c r="V2270">
        <v>-5.8557269999999998E-3</v>
      </c>
      <c r="W2270">
        <v>-5.9064529999999999E-3</v>
      </c>
      <c r="X2270">
        <v>0.9999654</v>
      </c>
      <c r="Y2270">
        <v>-0.36090349999999999</v>
      </c>
      <c r="Z2270">
        <v>8.6383439999999992E-3</v>
      </c>
      <c r="AA2270">
        <v>0.93256309999999998</v>
      </c>
      <c r="AB2270">
        <v>12</v>
      </c>
      <c r="AC2270">
        <v>-14.5618</v>
      </c>
      <c r="AD2270">
        <v>-1.1131753012918</v>
      </c>
      <c r="AE2270">
        <v>-12.335699999999999</v>
      </c>
      <c r="AF2270">
        <v>-6.89851034392023</v>
      </c>
      <c r="AG2270">
        <v>-1.1131753012918</v>
      </c>
      <c r="AH2270">
        <v>17.724568852023801</v>
      </c>
      <c r="AI2270">
        <v>93.349553364485899</v>
      </c>
      <c r="AJ2270">
        <v>111.266291166608</v>
      </c>
      <c r="AK2270">
        <v>19.052268767963401</v>
      </c>
      <c r="AL2270">
        <v>90.338416800395294</v>
      </c>
      <c r="AM2270">
        <v>90.335516216945507</v>
      </c>
      <c r="AN2270">
        <v>0.999999988461449</v>
      </c>
    </row>
    <row r="2271" spans="1:40" x14ac:dyDescent="0.25">
      <c r="A2271" t="str">
        <f>"20190312161002461"</f>
        <v>20190312161002461</v>
      </c>
      <c r="B2271" t="str">
        <f>"1552378202457907"</f>
        <v>1552378202457907</v>
      </c>
      <c r="C2271" t="s">
        <v>40</v>
      </c>
      <c r="D2271">
        <v>5.0211079999999999</v>
      </c>
      <c r="E2271">
        <v>0.35686119999999999</v>
      </c>
      <c r="F2271" t="s">
        <v>59</v>
      </c>
      <c r="G2271">
        <v>-492.68419999999998</v>
      </c>
      <c r="H2271" s="1">
        <v>7.1240869999999995E-7</v>
      </c>
      <c r="I2271">
        <v>271.63170000000002</v>
      </c>
      <c r="J2271">
        <v>-478.3383</v>
      </c>
      <c r="K2271">
        <v>1.1132709999999999</v>
      </c>
      <c r="L2271">
        <v>283.88749999999999</v>
      </c>
      <c r="M2271">
        <v>-0.94369740000000002</v>
      </c>
      <c r="N2271">
        <v>0</v>
      </c>
      <c r="O2271">
        <v>-0.32981369999999999</v>
      </c>
      <c r="P2271">
        <v>-0.94150080000000003</v>
      </c>
      <c r="Q2271">
        <v>-3.1403359999999998E-2</v>
      </c>
      <c r="R2271">
        <v>-0.33554460000000003</v>
      </c>
      <c r="S2271">
        <v>-2.4446110000000001</v>
      </c>
      <c r="T2271">
        <v>-0.188328</v>
      </c>
      <c r="U2271">
        <v>-2.0804140000000002</v>
      </c>
      <c r="V2271">
        <v>-6.1203669999999998E-3</v>
      </c>
      <c r="W2271">
        <v>-5.7696020000000004E-3</v>
      </c>
      <c r="X2271">
        <v>0.99996470000000004</v>
      </c>
      <c r="Y2271">
        <v>-0.36049130000000001</v>
      </c>
      <c r="Z2271">
        <v>9.0178270000000008E-3</v>
      </c>
      <c r="AA2271">
        <v>0.93271899999999996</v>
      </c>
      <c r="AB2271">
        <v>12</v>
      </c>
      <c r="AC2271">
        <v>-14.345899999999901</v>
      </c>
      <c r="AD2271">
        <v>-1.1132702875913001</v>
      </c>
      <c r="AE2271">
        <v>-12.255799999999899</v>
      </c>
      <c r="AF2271">
        <v>-6.8128249187942904</v>
      </c>
      <c r="AG2271">
        <v>-1.1132702875913001</v>
      </c>
      <c r="AH2271">
        <v>17.525097420537001</v>
      </c>
      <c r="AI2271">
        <v>93.388402808806902</v>
      </c>
      <c r="AJ2271">
        <v>111.243431777738</v>
      </c>
      <c r="AK2271">
        <v>18.835684051998001</v>
      </c>
      <c r="AL2271">
        <v>90.330575653601798</v>
      </c>
      <c r="AM2271">
        <v>90.350679198351202</v>
      </c>
      <c r="AN2271">
        <v>1.0000000742227599</v>
      </c>
    </row>
    <row r="2272" spans="1:40" x14ac:dyDescent="0.25">
      <c r="A2272" t="str">
        <f>"20190312161002485"</f>
        <v>20190312161002485</v>
      </c>
      <c r="B2272" t="str">
        <f>"1552378202478402"</f>
        <v>1552378202478402</v>
      </c>
      <c r="C2272" t="s">
        <v>40</v>
      </c>
      <c r="D2272">
        <v>5.0340480000000003</v>
      </c>
      <c r="E2272">
        <v>0.35724660000000003</v>
      </c>
      <c r="F2272" t="s">
        <v>59</v>
      </c>
      <c r="G2272">
        <v>-492.5582</v>
      </c>
      <c r="H2272" s="1">
        <v>7.3513140000000004E-7</v>
      </c>
      <c r="I2272">
        <v>271.69589999999999</v>
      </c>
      <c r="J2272">
        <v>-478.44400000000002</v>
      </c>
      <c r="K2272">
        <v>1.1133599999999999</v>
      </c>
      <c r="L2272">
        <v>283.84460000000001</v>
      </c>
      <c r="M2272">
        <v>-0.94202929999999996</v>
      </c>
      <c r="N2272">
        <v>0</v>
      </c>
      <c r="O2272">
        <v>-0.33459480000000003</v>
      </c>
      <c r="P2272">
        <v>-0.93951700000000005</v>
      </c>
      <c r="Q2272">
        <v>-3.0396179999999998E-2</v>
      </c>
      <c r="R2272">
        <v>-0.34115109999999998</v>
      </c>
      <c r="S2272">
        <v>-2.435791</v>
      </c>
      <c r="T2272">
        <v>-0.19069620000000001</v>
      </c>
      <c r="U2272">
        <v>-2.0883479999999999</v>
      </c>
      <c r="V2272">
        <v>-7.000114E-3</v>
      </c>
      <c r="W2272">
        <v>-5.3779099999999996E-3</v>
      </c>
      <c r="X2272">
        <v>0.99996099999999999</v>
      </c>
      <c r="Y2272">
        <v>-0.35919230000000002</v>
      </c>
      <c r="Z2272">
        <v>9.4780039999999999E-3</v>
      </c>
      <c r="AA2272">
        <v>0.93321540000000003</v>
      </c>
      <c r="AB2272">
        <v>11</v>
      </c>
      <c r="AC2272">
        <v>-14.114199999999901</v>
      </c>
      <c r="AD2272">
        <v>-1.1133592648685999</v>
      </c>
      <c r="AE2272">
        <v>-12.1487</v>
      </c>
      <c r="AF2272">
        <v>-6.7000542043268201</v>
      </c>
      <c r="AG2272">
        <v>-1.1133592648685999</v>
      </c>
      <c r="AH2272">
        <v>17.304476818196999</v>
      </c>
      <c r="AI2272">
        <v>93.433575832642006</v>
      </c>
      <c r="AJ2272">
        <v>111.165714494006</v>
      </c>
      <c r="AK2272">
        <v>18.5896533895902</v>
      </c>
      <c r="AL2272">
        <v>90.308133042462998</v>
      </c>
      <c r="AM2272">
        <v>90.401086079211595</v>
      </c>
      <c r="AN2272">
        <v>0.99999996251648904</v>
      </c>
    </row>
    <row r="2273" spans="1:40" x14ac:dyDescent="0.25">
      <c r="A2273" t="str">
        <f>"20190312161002506"</f>
        <v>20190312161002506</v>
      </c>
      <c r="B2273" t="str">
        <f>"1552378202497923"</f>
        <v>1552378202497923</v>
      </c>
      <c r="C2273" t="s">
        <v>40</v>
      </c>
      <c r="D2273">
        <v>5.0067940000000002</v>
      </c>
      <c r="E2273">
        <v>0.35762240000000001</v>
      </c>
      <c r="F2273" t="s">
        <v>59</v>
      </c>
      <c r="G2273">
        <v>-492.93560000000002</v>
      </c>
      <c r="H2273" s="1">
        <v>5.9382329999999996E-7</v>
      </c>
      <c r="I2273">
        <v>271.2962</v>
      </c>
      <c r="J2273">
        <v>-478.54340000000002</v>
      </c>
      <c r="K2273">
        <v>1.113378</v>
      </c>
      <c r="L2273">
        <v>283.803</v>
      </c>
      <c r="M2273">
        <v>-0.9404515</v>
      </c>
      <c r="N2273">
        <v>0</v>
      </c>
      <c r="O2273">
        <v>-0.33907340000000002</v>
      </c>
      <c r="P2273">
        <v>-0.93777999999999995</v>
      </c>
      <c r="Q2273">
        <v>-2.8755030000000001E-2</v>
      </c>
      <c r="R2273">
        <v>-0.3460377</v>
      </c>
      <c r="S2273">
        <v>-2.424744</v>
      </c>
      <c r="T2273">
        <v>-0.1862885</v>
      </c>
      <c r="U2273">
        <v>-2.0996090000000001</v>
      </c>
      <c r="V2273">
        <v>-7.4369040000000003E-3</v>
      </c>
      <c r="W2273">
        <v>-4.702108E-3</v>
      </c>
      <c r="X2273">
        <v>0.99996130000000005</v>
      </c>
      <c r="Y2273">
        <v>-0.359348</v>
      </c>
      <c r="Z2273">
        <v>9.5342810000000004E-3</v>
      </c>
      <c r="AA2273">
        <v>0.93315490000000001</v>
      </c>
      <c r="AB2273">
        <v>11</v>
      </c>
      <c r="AC2273">
        <v>-14.392200000000001</v>
      </c>
      <c r="AD2273">
        <v>-1.1133774061766999</v>
      </c>
      <c r="AE2273">
        <v>-12.506799999999901</v>
      </c>
      <c r="AF2273">
        <v>-6.8606314120273799</v>
      </c>
      <c r="AG2273">
        <v>-1.1133774061766999</v>
      </c>
      <c r="AH2273">
        <v>17.720626620880701</v>
      </c>
      <c r="AI2273">
        <v>93.3532176862726</v>
      </c>
      <c r="AJ2273">
        <v>111.16416732564799</v>
      </c>
      <c r="AK2273">
        <v>19.034927907847401</v>
      </c>
      <c r="AL2273">
        <v>90.269411933455402</v>
      </c>
      <c r="AM2273">
        <v>90.426111846451406</v>
      </c>
      <c r="AN2273">
        <v>1.0000000094292101</v>
      </c>
    </row>
    <row r="2274" spans="1:40" x14ac:dyDescent="0.25">
      <c r="A2274" t="str">
        <f>"20190312161002529"</f>
        <v>20190312161002529</v>
      </c>
      <c r="B2274" t="str">
        <f>"1552378202518419"</f>
        <v>1552378202518419</v>
      </c>
      <c r="C2274" t="s">
        <v>40</v>
      </c>
      <c r="D2274">
        <v>5.0238930000000002</v>
      </c>
      <c r="E2274">
        <v>0.35819499999999999</v>
      </c>
      <c r="F2274" t="s">
        <v>59</v>
      </c>
      <c r="G2274">
        <v>-493.61709999999999</v>
      </c>
      <c r="H2274" s="1">
        <v>3.594934E-7</v>
      </c>
      <c r="I2274">
        <v>270.63330000000002</v>
      </c>
      <c r="J2274">
        <v>-478.64640000000003</v>
      </c>
      <c r="K2274">
        <v>1.113229</v>
      </c>
      <c r="L2274">
        <v>283.75889999999998</v>
      </c>
      <c r="M2274">
        <v>-0.93879780000000002</v>
      </c>
      <c r="N2274">
        <v>0</v>
      </c>
      <c r="O2274">
        <v>-0.34368459999999901</v>
      </c>
      <c r="P2274">
        <v>-0.93616520000000003</v>
      </c>
      <c r="Q2274">
        <v>-2.750522E-2</v>
      </c>
      <c r="R2274">
        <v>-0.35048289999999999</v>
      </c>
      <c r="S2274">
        <v>-2.415009</v>
      </c>
      <c r="T2274">
        <v>-0.17837749999999999</v>
      </c>
      <c r="U2274">
        <v>-2.1099549999999998</v>
      </c>
      <c r="V2274">
        <v>-7.2690760000000002E-3</v>
      </c>
      <c r="W2274">
        <v>-4.3118509999999898E-3</v>
      </c>
      <c r="X2274">
        <v>0.99996430000000003</v>
      </c>
      <c r="Y2274">
        <v>-0.35891630000000002</v>
      </c>
      <c r="Z2274">
        <v>9.4173659999999999E-3</v>
      </c>
      <c r="AA2274">
        <v>0.93332230000000005</v>
      </c>
      <c r="AB2274">
        <v>11</v>
      </c>
      <c r="AC2274">
        <v>-14.9706999999999</v>
      </c>
      <c r="AD2274">
        <v>-1.1132286405066001</v>
      </c>
      <c r="AE2274">
        <v>-13.125599999999899</v>
      </c>
      <c r="AF2274">
        <v>-7.1566485983669699</v>
      </c>
      <c r="AG2274">
        <v>-1.1132286405066001</v>
      </c>
      <c r="AH2274">
        <v>18.5126614376458</v>
      </c>
      <c r="AI2274">
        <v>93.210252811571394</v>
      </c>
      <c r="AJ2274">
        <v>111.13556936290099</v>
      </c>
      <c r="AK2274">
        <v>19.879022377155501</v>
      </c>
      <c r="AL2274">
        <v>90.2470516256747</v>
      </c>
      <c r="AM2274">
        <v>90.416494908679994</v>
      </c>
      <c r="AN2274">
        <v>1.00000001639971</v>
      </c>
    </row>
    <row r="2275" spans="1:40" x14ac:dyDescent="0.25">
      <c r="A2275" t="str">
        <f>"20190312161002552"</f>
        <v>20190312161002552</v>
      </c>
      <c r="B2275" t="str">
        <f>"1552378202547702"</f>
        <v>1552378202547702</v>
      </c>
      <c r="C2275" t="s">
        <v>40</v>
      </c>
      <c r="D2275">
        <v>5.0355059999999998</v>
      </c>
      <c r="E2275">
        <v>0.3590507</v>
      </c>
      <c r="F2275" t="s">
        <v>59</v>
      </c>
      <c r="G2275">
        <v>-494.08909999999997</v>
      </c>
      <c r="H2275" s="1">
        <v>1.970673E-7</v>
      </c>
      <c r="I2275">
        <v>270.17380000000003</v>
      </c>
      <c r="J2275">
        <v>-478.74770000000001</v>
      </c>
      <c r="K2275">
        <v>1.1129169999999999</v>
      </c>
      <c r="L2275">
        <v>283.71510000000001</v>
      </c>
      <c r="M2275">
        <v>-0.9371119</v>
      </c>
      <c r="N2275">
        <v>0</v>
      </c>
      <c r="O2275">
        <v>-0.34830270000000002</v>
      </c>
      <c r="P2275">
        <v>-0.93454689999999996</v>
      </c>
      <c r="Q2275">
        <v>-2.6353020000000001E-2</v>
      </c>
      <c r="R2275">
        <v>-0.35486269999999998</v>
      </c>
      <c r="S2275">
        <v>-2.4067989999999999</v>
      </c>
      <c r="T2275">
        <v>-0.17349970000000001</v>
      </c>
      <c r="U2275">
        <v>-2.1172789999999999</v>
      </c>
      <c r="V2275">
        <v>-7.0263869999999898E-3</v>
      </c>
      <c r="W2275">
        <v>-3.8761260000000001E-3</v>
      </c>
      <c r="X2275">
        <v>0.99996779999999996</v>
      </c>
      <c r="Y2275">
        <v>-0.35751440000000001</v>
      </c>
      <c r="Z2275">
        <v>9.4700229999999993E-3</v>
      </c>
      <c r="AA2275">
        <v>0.93385960000000001</v>
      </c>
      <c r="AB2275">
        <v>11</v>
      </c>
      <c r="AC2275">
        <v>-15.341399999999901</v>
      </c>
      <c r="AD2275">
        <v>-1.1129168029326999</v>
      </c>
      <c r="AE2275">
        <v>-13.5412999999999</v>
      </c>
      <c r="AF2275">
        <v>-7.3264519932108101</v>
      </c>
      <c r="AG2275">
        <v>-1.1129168029326999</v>
      </c>
      <c r="AH2275">
        <v>19.041592401182299</v>
      </c>
      <c r="AI2275">
        <v>93.122290053783999</v>
      </c>
      <c r="AJ2275">
        <v>111.044752091603</v>
      </c>
      <c r="AK2275">
        <v>20.432761041813102</v>
      </c>
      <c r="AL2275">
        <v>90.222086217279497</v>
      </c>
      <c r="AM2275">
        <v>90.402588658271497</v>
      </c>
      <c r="AN2275">
        <v>0.99999999775194004</v>
      </c>
    </row>
    <row r="2276" spans="1:40" x14ac:dyDescent="0.25">
      <c r="A2276" t="str">
        <f>"20190312161002574"</f>
        <v>20190312161002574</v>
      </c>
      <c r="B2276" t="str">
        <f>"1552378202568195"</f>
        <v>1552378202568195</v>
      </c>
      <c r="C2276" t="s">
        <v>40</v>
      </c>
      <c r="D2276">
        <v>5.0086659999999998</v>
      </c>
      <c r="E2276">
        <v>0.35955300000000001</v>
      </c>
      <c r="F2276" t="s">
        <v>59</v>
      </c>
      <c r="G2276">
        <v>-494.34519999999998</v>
      </c>
      <c r="H2276" s="1">
        <v>1.0660570000000001E-7</v>
      </c>
      <c r="I2276">
        <v>269.91789999999997</v>
      </c>
      <c r="J2276">
        <v>-478.84739999999999</v>
      </c>
      <c r="K2276">
        <v>1.1125160000000001</v>
      </c>
      <c r="L2276">
        <v>283.67160000000001</v>
      </c>
      <c r="M2276">
        <v>-0.93537530000000002</v>
      </c>
      <c r="N2276">
        <v>0</v>
      </c>
      <c r="O2276">
        <v>-0.35298669999999999</v>
      </c>
      <c r="P2276">
        <v>-0.93310610000000005</v>
      </c>
      <c r="Q2276">
        <v>-2.629389E-2</v>
      </c>
      <c r="R2276">
        <v>-0.35863859999999997</v>
      </c>
      <c r="S2276">
        <v>-2.3993229999999999</v>
      </c>
      <c r="T2276">
        <v>-0.17119670000000001</v>
      </c>
      <c r="U2276">
        <v>-2.1223749999999999</v>
      </c>
      <c r="V2276">
        <v>-6.0732E-3</v>
      </c>
      <c r="W2276">
        <v>-4.556788E-3</v>
      </c>
      <c r="X2276">
        <v>0.99997119999999995</v>
      </c>
      <c r="Y2276">
        <v>-0.35541139999999999</v>
      </c>
      <c r="Z2276">
        <v>9.6763230000000006E-3</v>
      </c>
      <c r="AA2276">
        <v>0.93465989999999999</v>
      </c>
      <c r="AB2276">
        <v>11</v>
      </c>
      <c r="AC2276">
        <v>-15.4977999999999</v>
      </c>
      <c r="AD2276">
        <v>-1.1125158933943</v>
      </c>
      <c r="AE2276">
        <v>-13.7537</v>
      </c>
      <c r="AF2276">
        <v>-7.3748452532484903</v>
      </c>
      <c r="AG2276">
        <v>-1.1125158933943</v>
      </c>
      <c r="AH2276">
        <v>19.300077865573002</v>
      </c>
      <c r="AI2276">
        <v>93.082166279697105</v>
      </c>
      <c r="AJ2276">
        <v>110.912596266826</v>
      </c>
      <c r="AK2276">
        <v>20.691037667057699</v>
      </c>
      <c r="AL2276">
        <v>90.261085617701099</v>
      </c>
      <c r="AM2276">
        <v>90.347974471520402</v>
      </c>
      <c r="AN2276">
        <v>1.00000002445227</v>
      </c>
    </row>
    <row r="2277" spans="1:40" x14ac:dyDescent="0.25">
      <c r="A2277" t="str">
        <f>"20190312161002597"</f>
        <v>20190312161002597</v>
      </c>
      <c r="B2277" t="str">
        <f>"1552378202587714"</f>
        <v>1552378202587714</v>
      </c>
      <c r="C2277" t="s">
        <v>40</v>
      </c>
      <c r="D2277">
        <v>5.0239909999999997</v>
      </c>
      <c r="E2277">
        <v>0.36010300000000001</v>
      </c>
      <c r="F2277" t="s">
        <v>59</v>
      </c>
      <c r="G2277">
        <v>-494.36270000000002</v>
      </c>
      <c r="H2277" s="1">
        <v>8.9078229999999907E-8</v>
      </c>
      <c r="I2277">
        <v>269.86829999999998</v>
      </c>
      <c r="J2277">
        <v>-478.94749999999999</v>
      </c>
      <c r="K2277">
        <v>1.112147</v>
      </c>
      <c r="L2277">
        <v>283.62779999999998</v>
      </c>
      <c r="M2277">
        <v>-0.93360259999999995</v>
      </c>
      <c r="N2277">
        <v>0</v>
      </c>
      <c r="O2277">
        <v>-0.35769970000000001</v>
      </c>
      <c r="P2277">
        <v>-0.93167199999999994</v>
      </c>
      <c r="Q2277">
        <v>-2.6679169999999999E-2</v>
      </c>
      <c r="R2277">
        <v>-0.36231970000000002</v>
      </c>
      <c r="S2277">
        <v>-2.3922729999999999</v>
      </c>
      <c r="T2277">
        <v>-0.17153669999999999</v>
      </c>
      <c r="U2277">
        <v>-2.1282960000000002</v>
      </c>
      <c r="V2277">
        <v>-4.9879149999999999E-3</v>
      </c>
      <c r="W2277">
        <v>-5.7871850000000002E-3</v>
      </c>
      <c r="X2277">
        <v>0.99997080000000005</v>
      </c>
      <c r="Y2277">
        <v>-0.35336909999999999</v>
      </c>
      <c r="Z2277">
        <v>1.0025559999999999E-2</v>
      </c>
      <c r="AA2277">
        <v>0.93543030000000005</v>
      </c>
      <c r="AB2277">
        <v>11</v>
      </c>
      <c r="AC2277">
        <v>-15.4152</v>
      </c>
      <c r="AD2277">
        <v>-1.1121469109217701</v>
      </c>
      <c r="AE2277">
        <v>-13.759499999999999</v>
      </c>
      <c r="AF2277">
        <v>-7.31231190748173</v>
      </c>
      <c r="AG2277">
        <v>-1.1121469109217701</v>
      </c>
      <c r="AH2277">
        <v>19.261861087157399</v>
      </c>
      <c r="AI2277">
        <v>93.089798717800093</v>
      </c>
      <c r="AJ2277">
        <v>110.788086360375</v>
      </c>
      <c r="AK2277">
        <v>20.633130366590599</v>
      </c>
      <c r="AL2277">
        <v>90.331583131347699</v>
      </c>
      <c r="AM2277">
        <v>90.285792453051101</v>
      </c>
      <c r="AN2277">
        <v>0.99999998582945504</v>
      </c>
    </row>
    <row r="2278" spans="1:40" x14ac:dyDescent="0.25">
      <c r="A2278" t="str">
        <f>"20190312161002618"</f>
        <v>20190312161002618</v>
      </c>
      <c r="B2278" t="str">
        <f>"1552378202608211"</f>
        <v>1552378202608211</v>
      </c>
      <c r="C2278" t="s">
        <v>40</v>
      </c>
      <c r="D2278">
        <v>5.0534359999999996</v>
      </c>
      <c r="E2278">
        <v>0.36057810000000001</v>
      </c>
      <c r="F2278" t="s">
        <v>59</v>
      </c>
      <c r="G2278">
        <v>-494.11759999999998</v>
      </c>
      <c r="H2278" s="1">
        <v>1.5737639999999999E-7</v>
      </c>
      <c r="I2278">
        <v>270.06150000000002</v>
      </c>
      <c r="J2278">
        <v>-479.04629999999997</v>
      </c>
      <c r="K2278">
        <v>1.1119220000000001</v>
      </c>
      <c r="L2278">
        <v>283.58420000000001</v>
      </c>
      <c r="M2278">
        <v>-0.93188599999999999</v>
      </c>
      <c r="N2278">
        <v>0</v>
      </c>
      <c r="O2278">
        <v>-0.36219750000000001</v>
      </c>
      <c r="P2278">
        <v>-0.93033730000000003</v>
      </c>
      <c r="Q2278">
        <v>-2.6165190000000001E-2</v>
      </c>
      <c r="R2278">
        <v>-0.36576979999999998</v>
      </c>
      <c r="S2278">
        <v>-2.3854060000000001</v>
      </c>
      <c r="T2278">
        <v>-0.17487820000000001</v>
      </c>
      <c r="U2278">
        <v>-2.1332089999999999</v>
      </c>
      <c r="V2278">
        <v>-3.874522E-3</v>
      </c>
      <c r="W2278">
        <v>-6.1405419999999997E-3</v>
      </c>
      <c r="X2278">
        <v>0.99997369999999997</v>
      </c>
      <c r="Y2278">
        <v>-0.3512788</v>
      </c>
      <c r="Z2278">
        <v>1.05477E-2</v>
      </c>
      <c r="AA2278">
        <v>0.93621149999999997</v>
      </c>
      <c r="AB2278">
        <v>11</v>
      </c>
      <c r="AC2278">
        <v>-15.071300000000001</v>
      </c>
      <c r="AD2278">
        <v>-1.1119218426235999</v>
      </c>
      <c r="AE2278">
        <v>-13.522699999999899</v>
      </c>
      <c r="AF2278">
        <v>-7.1227831969689701</v>
      </c>
      <c r="AG2278">
        <v>-1.1119218426235999</v>
      </c>
      <c r="AH2278">
        <v>18.889464208797001</v>
      </c>
      <c r="AI2278">
        <v>93.152608443921693</v>
      </c>
      <c r="AJ2278">
        <v>110.66030746336099</v>
      </c>
      <c r="AK2278">
        <v>20.2183646408544</v>
      </c>
      <c r="AL2278">
        <v>90.351829330663406</v>
      </c>
      <c r="AM2278">
        <v>90.221998485891405</v>
      </c>
      <c r="AN2278">
        <v>1.00000005943423</v>
      </c>
    </row>
    <row r="2279" spans="1:40" x14ac:dyDescent="0.25">
      <c r="A2279" t="str">
        <f>"20190312161002641"</f>
        <v>20190312161002641</v>
      </c>
      <c r="B2279" t="str">
        <f>"1552378202627731"</f>
        <v>1552378202627731</v>
      </c>
      <c r="C2279" t="s">
        <v>40</v>
      </c>
      <c r="D2279">
        <v>5.0418370000000001</v>
      </c>
      <c r="E2279">
        <v>0.3610836</v>
      </c>
      <c r="F2279" t="s">
        <v>59</v>
      </c>
      <c r="G2279">
        <v>-494.15359999999998</v>
      </c>
      <c r="H2279" s="1">
        <v>1.35933299999999E-7</v>
      </c>
      <c r="I2279">
        <v>270.0009</v>
      </c>
      <c r="J2279">
        <v>-479.14339999999999</v>
      </c>
      <c r="K2279">
        <v>1.11185</v>
      </c>
      <c r="L2279">
        <v>283.541</v>
      </c>
      <c r="M2279">
        <v>-0.93025679999999999</v>
      </c>
      <c r="N2279">
        <v>0</v>
      </c>
      <c r="O2279">
        <v>-0.36640430000000002</v>
      </c>
      <c r="P2279">
        <v>-0.92878680000000002</v>
      </c>
      <c r="Q2279">
        <v>-2.4586190000000001E-2</v>
      </c>
      <c r="R2279">
        <v>-0.36979879999999998</v>
      </c>
      <c r="S2279">
        <v>-2.3788149999999999</v>
      </c>
      <c r="T2279">
        <v>-0.17508479999999901</v>
      </c>
      <c r="U2279">
        <v>-2.138855</v>
      </c>
      <c r="V2279">
        <v>-3.682378E-3</v>
      </c>
      <c r="W2279">
        <v>-5.3473399999999999E-3</v>
      </c>
      <c r="X2279">
        <v>0.9999789</v>
      </c>
      <c r="Y2279">
        <v>-0.34957899999999997</v>
      </c>
      <c r="Z2279">
        <v>1.085764E-2</v>
      </c>
      <c r="AA2279">
        <v>0.93684400000000001</v>
      </c>
      <c r="AB2279">
        <v>11</v>
      </c>
      <c r="AC2279">
        <v>-15.0101999999999</v>
      </c>
      <c r="AD2279">
        <v>-1.1118498640666901</v>
      </c>
      <c r="AE2279">
        <v>-13.540099999999899</v>
      </c>
      <c r="AF2279">
        <v>-7.0758762261363897</v>
      </c>
      <c r="AG2279">
        <v>-1.1118498640666901</v>
      </c>
      <c r="AH2279">
        <v>18.870907281499399</v>
      </c>
      <c r="AI2279">
        <v>93.1576932942545</v>
      </c>
      <c r="AJ2279">
        <v>110.55414460843799</v>
      </c>
      <c r="AK2279">
        <v>20.1845330913245</v>
      </c>
      <c r="AL2279">
        <v>90.306381480733407</v>
      </c>
      <c r="AM2279">
        <v>90.210988216146205</v>
      </c>
      <c r="AN2279">
        <v>0.99999997719901002</v>
      </c>
    </row>
    <row r="2280" spans="1:40" x14ac:dyDescent="0.25">
      <c r="A2280" t="str">
        <f>"20190312161002663"</f>
        <v>20190312161002663</v>
      </c>
      <c r="B2280" t="str">
        <f>"1552378202657987"</f>
        <v>1552378202657987</v>
      </c>
      <c r="C2280" t="s">
        <v>40</v>
      </c>
      <c r="D2280">
        <v>5.0390819999999996</v>
      </c>
      <c r="E2280">
        <v>0.36177300000000001</v>
      </c>
      <c r="F2280" t="s">
        <v>59</v>
      </c>
      <c r="G2280">
        <v>-494.49669999999998</v>
      </c>
      <c r="H2280" s="1">
        <v>1.1257590000000001E-8</v>
      </c>
      <c r="I2280">
        <v>269.64819999999997</v>
      </c>
      <c r="J2280">
        <v>-479.2441</v>
      </c>
      <c r="K2280">
        <v>1.111866</v>
      </c>
      <c r="L2280">
        <v>283.49560000000002</v>
      </c>
      <c r="M2280">
        <v>-0.92859729999999996</v>
      </c>
      <c r="N2280">
        <v>0</v>
      </c>
      <c r="O2280">
        <v>-0.3706255</v>
      </c>
      <c r="P2280">
        <v>-0.92726739999999996</v>
      </c>
      <c r="Q2280">
        <v>-2.2018119999999999E-2</v>
      </c>
      <c r="R2280">
        <v>-0.37375219999999998</v>
      </c>
      <c r="S2280">
        <v>-2.3711850000000001</v>
      </c>
      <c r="T2280">
        <v>-0.1717157</v>
      </c>
      <c r="U2280">
        <v>-2.1456300000000001</v>
      </c>
      <c r="V2280">
        <v>-3.3872490000000002E-3</v>
      </c>
      <c r="W2280">
        <v>-3.48825E-3</v>
      </c>
      <c r="X2280">
        <v>0.99998819999999999</v>
      </c>
      <c r="Y2280">
        <v>-0.34830549999999999</v>
      </c>
      <c r="Z2280">
        <v>1.0930169999999999E-2</v>
      </c>
      <c r="AA2280">
        <v>0.93731739999999997</v>
      </c>
      <c r="AB2280">
        <v>11</v>
      </c>
      <c r="AC2280">
        <v>-15.2525999999999</v>
      </c>
      <c r="AD2280">
        <v>-1.11186598874241</v>
      </c>
      <c r="AE2280">
        <v>-13.8474</v>
      </c>
      <c r="AF2280">
        <v>-7.1859621387027</v>
      </c>
      <c r="AG2280">
        <v>-1.11186598874241</v>
      </c>
      <c r="AH2280">
        <v>19.242986030656699</v>
      </c>
      <c r="AI2280">
        <v>93.098353496313194</v>
      </c>
      <c r="AJ2280">
        <v>110.477281187887</v>
      </c>
      <c r="AK2280">
        <v>20.5710186721961</v>
      </c>
      <c r="AL2280">
        <v>90.199862404059601</v>
      </c>
      <c r="AM2280">
        <v>90.194076619714295</v>
      </c>
      <c r="AN2280">
        <v>1.00000002074154</v>
      </c>
    </row>
    <row r="2281" spans="1:40" x14ac:dyDescent="0.25">
      <c r="A2281" t="str">
        <f>"20190312161002686"</f>
        <v>20190312161002686</v>
      </c>
      <c r="B2281" t="str">
        <f>"1552378202678482"</f>
        <v>1552378202678482</v>
      </c>
      <c r="C2281" t="s">
        <v>40</v>
      </c>
      <c r="D2281">
        <v>5.0499080000000003</v>
      </c>
      <c r="E2281">
        <v>0.3621973</v>
      </c>
      <c r="F2281" t="s">
        <v>41</v>
      </c>
      <c r="G2281">
        <v>-495.14510000000001</v>
      </c>
      <c r="H2281" s="1">
        <v>-5.01150699999999E-6</v>
      </c>
      <c r="I2281">
        <v>269.03140000000002</v>
      </c>
      <c r="J2281">
        <v>-479.34370000000001</v>
      </c>
      <c r="K2281">
        <v>1.11192</v>
      </c>
      <c r="L2281">
        <v>283.45</v>
      </c>
      <c r="M2281">
        <v>-0.92694200000000004</v>
      </c>
      <c r="N2281">
        <v>0</v>
      </c>
      <c r="O2281">
        <v>-0.37477690000000002</v>
      </c>
      <c r="P2281">
        <v>-0.92561850000000001</v>
      </c>
      <c r="Q2281">
        <v>-2.1267399999999999E-2</v>
      </c>
      <c r="R2281">
        <v>-0.37786029999999998</v>
      </c>
      <c r="S2281">
        <v>-2.3644409999999998</v>
      </c>
      <c r="T2281">
        <v>-0.16533229999999999</v>
      </c>
      <c r="U2281">
        <v>-2.1507869999999998</v>
      </c>
      <c r="V2281">
        <v>-3.3443359999999998E-3</v>
      </c>
      <c r="W2281">
        <v>-3.3566609999999999E-3</v>
      </c>
      <c r="X2281">
        <v>0.99998880000000001</v>
      </c>
      <c r="Y2281">
        <v>-0.34656920000000002</v>
      </c>
      <c r="Z2281">
        <v>1.080512E-2</v>
      </c>
      <c r="AA2281">
        <v>0.93796219999999997</v>
      </c>
      <c r="AB2281">
        <v>11</v>
      </c>
      <c r="AC2281">
        <v>-15.801399999999999</v>
      </c>
      <c r="AD2281">
        <v>-1.1119250115070001</v>
      </c>
      <c r="AE2281">
        <v>-14.4185999999999</v>
      </c>
      <c r="AF2281">
        <v>-7.4243399145666302</v>
      </c>
      <c r="AG2281">
        <v>-1.1119250115070001</v>
      </c>
      <c r="AH2281">
        <v>19.999916908384801</v>
      </c>
      <c r="AI2281">
        <v>92.983620323937998</v>
      </c>
      <c r="AJ2281">
        <v>110.365859390983</v>
      </c>
      <c r="AK2281">
        <v>21.362440795483501</v>
      </c>
      <c r="AL2281">
        <v>90.192322864724105</v>
      </c>
      <c r="AM2281">
        <v>90.191617769798498</v>
      </c>
      <c r="AN2281">
        <v>1.0000000259408901</v>
      </c>
    </row>
    <row r="2282" spans="1:40" x14ac:dyDescent="0.25">
      <c r="A2282" t="str">
        <f>"20190312161002707"</f>
        <v>20190312161002707</v>
      </c>
      <c r="B2282" t="str">
        <f>"1552378202698003"</f>
        <v>1552378202698003</v>
      </c>
      <c r="C2282" t="s">
        <v>40</v>
      </c>
      <c r="D2282">
        <v>5.0688659999999999</v>
      </c>
      <c r="E2282">
        <v>0.36262489999999997</v>
      </c>
      <c r="F2282" t="s">
        <v>41</v>
      </c>
      <c r="G2282">
        <v>-495.5027</v>
      </c>
      <c r="H2282" s="1">
        <v>-4.9450199999999998E-6</v>
      </c>
      <c r="I2282">
        <v>268.6497</v>
      </c>
      <c r="J2282">
        <v>-479.4366</v>
      </c>
      <c r="K2282">
        <v>1.111945</v>
      </c>
      <c r="L2282">
        <v>283.40699999999998</v>
      </c>
      <c r="M2282">
        <v>-0.92535789999999996</v>
      </c>
      <c r="N2282">
        <v>0</v>
      </c>
      <c r="O2282">
        <v>-0.37869570000000002</v>
      </c>
      <c r="P2282">
        <v>-0.92418549999999999</v>
      </c>
      <c r="Q2282">
        <v>-2.1967690000000002E-2</v>
      </c>
      <c r="R2282">
        <v>-0.38131169999999998</v>
      </c>
      <c r="S2282">
        <v>-2.3563230000000002</v>
      </c>
      <c r="T2282">
        <v>-0.16214200000000001</v>
      </c>
      <c r="U2282">
        <v>-2.1582029999999999</v>
      </c>
      <c r="V2282">
        <v>-2.850801E-3</v>
      </c>
      <c r="W2282">
        <v>-4.5921490000000002E-3</v>
      </c>
      <c r="X2282">
        <v>0.99998540000000002</v>
      </c>
      <c r="Y2282">
        <v>-0.34582180000000001</v>
      </c>
      <c r="Z2282">
        <v>1.08325E-2</v>
      </c>
      <c r="AA2282">
        <v>0.93823769999999995</v>
      </c>
      <c r="AB2282">
        <v>11</v>
      </c>
      <c r="AC2282">
        <v>-16.066099999999999</v>
      </c>
      <c r="AD2282">
        <v>-1.1119499450200001</v>
      </c>
      <c r="AE2282">
        <v>-14.757299999999899</v>
      </c>
      <c r="AF2282">
        <v>-7.5531420784766503</v>
      </c>
      <c r="AG2282">
        <v>-1.1119499450200001</v>
      </c>
      <c r="AH2282">
        <v>20.405495724428501</v>
      </c>
      <c r="AI2282">
        <v>92.925502052263298</v>
      </c>
      <c r="AJ2282">
        <v>110.312150947319</v>
      </c>
      <c r="AK2282">
        <v>21.786937455676401</v>
      </c>
      <c r="AL2282">
        <v>90.263111679355106</v>
      </c>
      <c r="AM2282">
        <v>90.163340807808098</v>
      </c>
      <c r="AN2282">
        <v>1.0000000075559601</v>
      </c>
    </row>
    <row r="2283" spans="1:40" x14ac:dyDescent="0.25">
      <c r="A2283" t="str">
        <f>"20190312161002731"</f>
        <v>20190312161002731</v>
      </c>
      <c r="B2283" t="str">
        <f>"1552378202728262"</f>
        <v>1552378202728262</v>
      </c>
      <c r="C2283" t="s">
        <v>40</v>
      </c>
      <c r="D2283">
        <v>5.055758</v>
      </c>
      <c r="E2283">
        <v>0.36321890000000001</v>
      </c>
      <c r="F2283" t="s">
        <v>41</v>
      </c>
      <c r="G2283">
        <v>-495.303</v>
      </c>
      <c r="H2283" s="1">
        <v>-4.9577720000000003E-6</v>
      </c>
      <c r="I2283">
        <v>268.79129999999998</v>
      </c>
      <c r="J2283">
        <v>-479.53449999999998</v>
      </c>
      <c r="K2283">
        <v>1.1119490000000001</v>
      </c>
      <c r="L2283">
        <v>283.36110000000002</v>
      </c>
      <c r="M2283">
        <v>-0.92364559999999996</v>
      </c>
      <c r="N2283">
        <v>0</v>
      </c>
      <c r="O2283">
        <v>-0.38287660000000001</v>
      </c>
      <c r="P2283">
        <v>-0.92272359999999998</v>
      </c>
      <c r="Q2283">
        <v>-2.2667719999999999E-2</v>
      </c>
      <c r="R2283">
        <v>-0.38479570000000002</v>
      </c>
      <c r="S2283">
        <v>-2.3492739999999999</v>
      </c>
      <c r="T2283">
        <v>-0.1646416</v>
      </c>
      <c r="U2283">
        <v>-2.1640929999999998</v>
      </c>
      <c r="V2283">
        <v>-2.1069309999999998E-3</v>
      </c>
      <c r="W2283">
        <v>-5.8077179999999999E-3</v>
      </c>
      <c r="X2283">
        <v>0.99998089999999995</v>
      </c>
      <c r="Y2283">
        <v>-0.34426319999999999</v>
      </c>
      <c r="Z2283">
        <v>1.1275139999999999E-2</v>
      </c>
      <c r="AA2283">
        <v>0.93880549999999996</v>
      </c>
      <c r="AB2283">
        <v>11</v>
      </c>
      <c r="AC2283">
        <v>-15.7685</v>
      </c>
      <c r="AD2283">
        <v>-1.1119539577719999</v>
      </c>
      <c r="AE2283">
        <v>-14.569800000000001</v>
      </c>
      <c r="AF2283">
        <v>-7.4011432737693896</v>
      </c>
      <c r="AG2283">
        <v>-1.1119539577719999</v>
      </c>
      <c r="AH2283">
        <v>20.091908177327099</v>
      </c>
      <c r="AI2283">
        <v>92.972815407503205</v>
      </c>
      <c r="AJ2283">
        <v>110.222000281619</v>
      </c>
      <c r="AK2283">
        <v>21.440572230451501</v>
      </c>
      <c r="AL2283">
        <v>90.332759605800007</v>
      </c>
      <c r="AM2283">
        <v>90.120720381148999</v>
      </c>
      <c r="AN2283">
        <v>0.99999998455570804</v>
      </c>
    </row>
    <row r="2284" spans="1:40" x14ac:dyDescent="0.25">
      <c r="A2284" t="str">
        <f>"20190312161002753"</f>
        <v>20190312161002753</v>
      </c>
      <c r="B2284" t="str">
        <f>"1552378202747785"</f>
        <v>1552378202747785</v>
      </c>
      <c r="C2284" t="s">
        <v>40</v>
      </c>
      <c r="D2284">
        <v>5.0655279999999996</v>
      </c>
      <c r="E2284">
        <v>0.36364380000000002</v>
      </c>
      <c r="F2284" t="s">
        <v>41</v>
      </c>
      <c r="G2284">
        <v>-495.07459999999998</v>
      </c>
      <c r="H2284" s="1">
        <v>-4.9799450000000001E-6</v>
      </c>
      <c r="I2284">
        <v>268.97550000000001</v>
      </c>
      <c r="J2284">
        <v>-479.63350000000003</v>
      </c>
      <c r="K2284">
        <v>1.1119319999999999</v>
      </c>
      <c r="L2284">
        <v>283.31400000000002</v>
      </c>
      <c r="M2284">
        <v>-0.92187419999999998</v>
      </c>
      <c r="N2284">
        <v>0</v>
      </c>
      <c r="O2284">
        <v>-0.38714179999999998</v>
      </c>
      <c r="P2284">
        <v>-0.92107649999999996</v>
      </c>
      <c r="Q2284">
        <v>-2.322055E-2</v>
      </c>
      <c r="R2284">
        <v>-0.3886886</v>
      </c>
      <c r="S2284">
        <v>-2.342743</v>
      </c>
      <c r="T2284">
        <v>-0.1676327</v>
      </c>
      <c r="U2284">
        <v>-2.168701</v>
      </c>
      <c r="V2284">
        <v>-1.71306E-3</v>
      </c>
      <c r="W2284">
        <v>-6.8219179999999997E-3</v>
      </c>
      <c r="X2284">
        <v>0.99997530000000001</v>
      </c>
      <c r="Y2284">
        <v>-0.34223189999999998</v>
      </c>
      <c r="Z2284">
        <v>1.177981E-2</v>
      </c>
      <c r="AA2284">
        <v>0.93954170000000004</v>
      </c>
      <c r="AB2284">
        <v>11</v>
      </c>
      <c r="AC2284">
        <v>-15.441099999999899</v>
      </c>
      <c r="AD2284">
        <v>-1.1119369799449901</v>
      </c>
      <c r="AE2284">
        <v>-14.3385</v>
      </c>
      <c r="AF2284">
        <v>-7.22126457781527</v>
      </c>
      <c r="AG2284">
        <v>-1.1119369799449901</v>
      </c>
      <c r="AH2284">
        <v>19.7334987266841</v>
      </c>
      <c r="AI2284">
        <v>93.0290346615039</v>
      </c>
      <c r="AJ2284">
        <v>110.099563497509</v>
      </c>
      <c r="AK2284">
        <v>21.042671834779501</v>
      </c>
      <c r="AL2284">
        <v>90.390870126966703</v>
      </c>
      <c r="AM2284">
        <v>90.098153436427395</v>
      </c>
      <c r="AN2284">
        <v>1.00000003687492</v>
      </c>
    </row>
    <row r="2285" spans="1:40" x14ac:dyDescent="0.25">
      <c r="A2285" t="str">
        <f>"20190312161002775"</f>
        <v>20190312161002775</v>
      </c>
      <c r="B2285" t="str">
        <f>"1552378202768278"</f>
        <v>1552378202768278</v>
      </c>
      <c r="C2285" t="s">
        <v>40</v>
      </c>
      <c r="D2285">
        <v>5.0851309999999996</v>
      </c>
      <c r="E2285">
        <v>0.36381790000000003</v>
      </c>
      <c r="F2285" t="s">
        <v>41</v>
      </c>
      <c r="G2285">
        <v>-494.94749999999999</v>
      </c>
      <c r="H2285" s="1">
        <v>-4.9803679999999997E-6</v>
      </c>
      <c r="I2285">
        <v>269.04289999999997</v>
      </c>
      <c r="J2285">
        <v>-479.7287</v>
      </c>
      <c r="K2285">
        <v>1.1119079999999999</v>
      </c>
      <c r="L2285">
        <v>283.26819999999998</v>
      </c>
      <c r="M2285">
        <v>-0.92014689999999999</v>
      </c>
      <c r="N2285">
        <v>0</v>
      </c>
      <c r="O2285">
        <v>-0.39124550000000002</v>
      </c>
      <c r="P2285">
        <v>-0.919624</v>
      </c>
      <c r="Q2285">
        <v>-2.2974930000000001E-2</v>
      </c>
      <c r="R2285">
        <v>-0.39212740000000001</v>
      </c>
      <c r="S2285">
        <v>-2.3346559999999998</v>
      </c>
      <c r="T2285">
        <v>-0.1695178</v>
      </c>
      <c r="U2285">
        <v>-2.175659</v>
      </c>
      <c r="V2285">
        <v>-9.9448320000000007E-4</v>
      </c>
      <c r="W2285">
        <v>-6.9571479999999998E-3</v>
      </c>
      <c r="X2285">
        <v>0.99997530000000001</v>
      </c>
      <c r="Y2285">
        <v>-0.34117520000000001</v>
      </c>
      <c r="Z2285">
        <v>1.2178720000000001E-2</v>
      </c>
      <c r="AA2285">
        <v>0.9399208</v>
      </c>
      <c r="AB2285">
        <v>11</v>
      </c>
      <c r="AC2285">
        <v>-15.2187999999999</v>
      </c>
      <c r="AD2285">
        <v>-1.1119129803679999</v>
      </c>
      <c r="AE2285">
        <v>-14.225300000000001</v>
      </c>
      <c r="AF2285">
        <v>-7.1157222831243896</v>
      </c>
      <c r="AG2285">
        <v>-1.1119129803679999</v>
      </c>
      <c r="AH2285">
        <v>19.516028176267401</v>
      </c>
      <c r="AI2285">
        <v>93.0639686054012</v>
      </c>
      <c r="AJ2285">
        <v>110.032317890456</v>
      </c>
      <c r="AK2285">
        <v>20.8025289295154</v>
      </c>
      <c r="AL2285">
        <v>90.398618435231896</v>
      </c>
      <c r="AM2285">
        <v>90.0569810788041</v>
      </c>
      <c r="AN2285">
        <v>0.99999999575760901</v>
      </c>
    </row>
    <row r="2286" spans="1:40" x14ac:dyDescent="0.25">
      <c r="A2286" t="str">
        <f>"20190312161002797"</f>
        <v>20190312161002797</v>
      </c>
      <c r="B2286" t="str">
        <f>"1552378202787800"</f>
        <v>1552378202787800</v>
      </c>
      <c r="C2286" t="s">
        <v>40</v>
      </c>
      <c r="D2286">
        <v>5.0797860000000004</v>
      </c>
      <c r="E2286">
        <v>0.37266500000000002</v>
      </c>
      <c r="F2286" t="s">
        <v>41</v>
      </c>
      <c r="G2286">
        <v>-495.06169999999997</v>
      </c>
      <c r="H2286" s="1">
        <v>-4.946231E-6</v>
      </c>
      <c r="I2286">
        <v>268.88310000000001</v>
      </c>
      <c r="J2286">
        <v>-479.8254</v>
      </c>
      <c r="K2286">
        <v>1.1118840000000001</v>
      </c>
      <c r="L2286">
        <v>283.22129999999999</v>
      </c>
      <c r="M2286">
        <v>-0.91836499999999999</v>
      </c>
      <c r="N2286">
        <v>0</v>
      </c>
      <c r="O2286">
        <v>-0.39542329999999998</v>
      </c>
      <c r="P2286">
        <v>-0.91801630000000001</v>
      </c>
      <c r="Q2286">
        <v>-2.3277920000000001E-2</v>
      </c>
      <c r="R2286">
        <v>-0.39585890000000001</v>
      </c>
      <c r="S2286">
        <v>-2.3270870000000001</v>
      </c>
      <c r="T2286">
        <v>-0.16875490000000001</v>
      </c>
      <c r="U2286">
        <v>-2.1832280000000002</v>
      </c>
      <c r="V2286">
        <v>-5.1384070000000002E-4</v>
      </c>
      <c r="W2286">
        <v>-7.5968290000000003E-3</v>
      </c>
      <c r="X2286">
        <v>0.99997100000000005</v>
      </c>
      <c r="Y2286">
        <v>-0.34006180000000003</v>
      </c>
      <c r="Z2286">
        <v>1.239225E-2</v>
      </c>
      <c r="AA2286">
        <v>0.94032139999999997</v>
      </c>
      <c r="AB2286">
        <v>11</v>
      </c>
      <c r="AC2286">
        <v>-15.2362999999999</v>
      </c>
      <c r="AD2286">
        <v>-1.111888946231</v>
      </c>
      <c r="AE2286">
        <v>-14.338199999999899</v>
      </c>
      <c r="AF2286">
        <v>-7.1236725537002803</v>
      </c>
      <c r="AG2286">
        <v>-1.111888946231</v>
      </c>
      <c r="AH2286">
        <v>19.609180199543001</v>
      </c>
      <c r="AI2286">
        <v>93.050673088546006</v>
      </c>
      <c r="AJ2286">
        <v>109.965198879092</v>
      </c>
      <c r="AK2286">
        <v>20.892653153183801</v>
      </c>
      <c r="AL2286">
        <v>90.435270431232894</v>
      </c>
      <c r="AM2286">
        <v>90.029441754671595</v>
      </c>
      <c r="AN2286">
        <v>0.99999998834206005</v>
      </c>
    </row>
    <row r="2287" spans="1:40" x14ac:dyDescent="0.25">
      <c r="A2287" t="str">
        <f>"20190312161002820"</f>
        <v>20190312161002820</v>
      </c>
      <c r="B2287" t="str">
        <f>"1552378202808294"</f>
        <v>1552378202808294</v>
      </c>
      <c r="C2287" t="s">
        <v>40</v>
      </c>
      <c r="D2287">
        <v>5.1059580000000002</v>
      </c>
      <c r="E2287">
        <v>0.37324990000000002</v>
      </c>
      <c r="F2287" t="s">
        <v>59</v>
      </c>
      <c r="G2287">
        <v>-493.05560000000003</v>
      </c>
      <c r="H2287" s="1">
        <v>5.6253950000000005E-7</v>
      </c>
      <c r="I2287">
        <v>271.20769999999999</v>
      </c>
      <c r="J2287">
        <v>-479.92039999999997</v>
      </c>
      <c r="K2287">
        <v>1.1118629999999901</v>
      </c>
      <c r="L2287">
        <v>283.1746</v>
      </c>
      <c r="M2287">
        <v>-0.91658629999999996</v>
      </c>
      <c r="N2287">
        <v>0</v>
      </c>
      <c r="O2287">
        <v>-0.39954089999999998</v>
      </c>
      <c r="P2287">
        <v>-0.91643609999999998</v>
      </c>
      <c r="Q2287">
        <v>-2.3683650000000001E-2</v>
      </c>
      <c r="R2287">
        <v>-0.39948020000000001</v>
      </c>
      <c r="S2287">
        <v>-2.3448180000000001</v>
      </c>
      <c r="T2287">
        <v>-0.1970606</v>
      </c>
      <c r="U2287">
        <v>-2.129181</v>
      </c>
      <c r="V2287" s="1">
        <v>2.1241720000000002E-5</v>
      </c>
      <c r="W2287">
        <v>-8.2933550000000005E-3</v>
      </c>
      <c r="X2287">
        <v>0.99996560000000001</v>
      </c>
      <c r="Y2287">
        <v>-0.32052509999999901</v>
      </c>
      <c r="Z2287">
        <v>1.5456070000000001E-2</v>
      </c>
      <c r="AA2287">
        <v>0.94711389999999995</v>
      </c>
      <c r="AB2287">
        <v>11</v>
      </c>
      <c r="AC2287">
        <v>-13.135199999999999</v>
      </c>
      <c r="AD2287">
        <v>-1.11186243746049</v>
      </c>
      <c r="AE2287">
        <v>-11.966900000000001</v>
      </c>
      <c r="AF2287">
        <v>-5.6990101987805799</v>
      </c>
      <c r="AG2287">
        <v>-1.11186243746049</v>
      </c>
      <c r="AH2287">
        <v>16.757190300816902</v>
      </c>
      <c r="AI2287">
        <v>93.594476013692002</v>
      </c>
      <c r="AJ2287">
        <v>108.782831138671</v>
      </c>
      <c r="AK2287">
        <v>17.734666111980601</v>
      </c>
      <c r="AL2287">
        <v>90.475179691158203</v>
      </c>
      <c r="AM2287">
        <v>89.998782897226207</v>
      </c>
      <c r="AN2287">
        <v>0.99999999068586298</v>
      </c>
    </row>
    <row r="2288" spans="1:40" x14ac:dyDescent="0.25">
      <c r="A2288" t="str">
        <f>"20190312161002842"</f>
        <v>20190312161002842</v>
      </c>
      <c r="B2288" t="str">
        <f>"1552378202838081"</f>
        <v>1552378202838081</v>
      </c>
      <c r="C2288" t="s">
        <v>40</v>
      </c>
      <c r="D2288">
        <v>5.1190249999999997</v>
      </c>
      <c r="E2288">
        <v>0.37408130000000001</v>
      </c>
      <c r="F2288" t="s">
        <v>59</v>
      </c>
      <c r="G2288">
        <v>-492.93029999999999</v>
      </c>
      <c r="H2288" s="1">
        <v>5.9437199999999899E-7</v>
      </c>
      <c r="I2288">
        <v>271.29770000000002</v>
      </c>
      <c r="J2288">
        <v>-480.01549999999997</v>
      </c>
      <c r="K2288">
        <v>1.1118479999999999</v>
      </c>
      <c r="L2288">
        <v>283.12729999999999</v>
      </c>
      <c r="M2288">
        <v>-0.9147805</v>
      </c>
      <c r="N2288">
        <v>0</v>
      </c>
      <c r="O2288">
        <v>-0.40366800000000003</v>
      </c>
      <c r="P2288">
        <v>-0.91483349999999997</v>
      </c>
      <c r="Q2288">
        <v>-2.403077E-2</v>
      </c>
      <c r="R2288">
        <v>-0.40311590000000003</v>
      </c>
      <c r="S2288">
        <v>-2.3379819999999998</v>
      </c>
      <c r="T2288">
        <v>-0.1998113</v>
      </c>
      <c r="U2288">
        <v>-2.134369</v>
      </c>
      <c r="V2288">
        <v>5.5373489999999896E-4</v>
      </c>
      <c r="W2288">
        <v>-8.8977450000000003E-3</v>
      </c>
      <c r="X2288">
        <v>0.99996019999999997</v>
      </c>
      <c r="Y2288">
        <v>-0.31879350000000001</v>
      </c>
      <c r="Z2288">
        <v>1.6011999999999998E-2</v>
      </c>
      <c r="AA2288">
        <v>0.94768889999999995</v>
      </c>
      <c r="AB2288">
        <v>11</v>
      </c>
      <c r="AC2288">
        <v>-12.9148</v>
      </c>
      <c r="AD2288">
        <v>-1.1118474056280001</v>
      </c>
      <c r="AE2288">
        <v>-11.8295999999999</v>
      </c>
      <c r="AF2288">
        <v>-5.5863232751117904</v>
      </c>
      <c r="AG2288">
        <v>-1.1118474056280001</v>
      </c>
      <c r="AH2288">
        <v>16.524737362073299</v>
      </c>
      <c r="AI2288">
        <v>93.647105392114298</v>
      </c>
      <c r="AJ2288">
        <v>108.67824687682401</v>
      </c>
      <c r="AK2288">
        <v>17.478848854342701</v>
      </c>
      <c r="AL2288">
        <v>90.509809993846304</v>
      </c>
      <c r="AM2288">
        <v>89.968272067732102</v>
      </c>
      <c r="AN2288">
        <v>0.99999993903622997</v>
      </c>
    </row>
    <row r="2289" spans="1:40" x14ac:dyDescent="0.25">
      <c r="A2289" t="str">
        <f>"20190312161002865"</f>
        <v>20190312161002865</v>
      </c>
      <c r="B2289" t="str">
        <f>"1552378202857601"</f>
        <v>1552378202857601</v>
      </c>
      <c r="C2289" t="s">
        <v>40</v>
      </c>
      <c r="D2289">
        <v>5.1186509999999998</v>
      </c>
      <c r="E2289">
        <v>0.3745019</v>
      </c>
      <c r="F2289" t="s">
        <v>59</v>
      </c>
      <c r="G2289">
        <v>-492.65140000000002</v>
      </c>
      <c r="H2289" s="1">
        <v>6.8090050000000003E-7</v>
      </c>
      <c r="I2289">
        <v>271.54250000000002</v>
      </c>
      <c r="J2289">
        <v>-480.10989999999998</v>
      </c>
      <c r="K2289">
        <v>1.1118380000000001</v>
      </c>
      <c r="L2289">
        <v>283.07990000000001</v>
      </c>
      <c r="M2289">
        <v>-0.91296520000000003</v>
      </c>
      <c r="N2289">
        <v>0</v>
      </c>
      <c r="O2289">
        <v>-0.4077655</v>
      </c>
      <c r="P2289">
        <v>-0.91307159999999998</v>
      </c>
      <c r="Q2289">
        <v>-2.4426819999999998E-2</v>
      </c>
      <c r="R2289">
        <v>-0.40706759999999997</v>
      </c>
      <c r="S2289">
        <v>-2.3318180000000002</v>
      </c>
      <c r="T2289">
        <v>-0.2051791</v>
      </c>
      <c r="U2289">
        <v>-2.137848</v>
      </c>
      <c r="V2289">
        <v>7.0967649999999997E-4</v>
      </c>
      <c r="W2289">
        <v>-9.5180600000000001E-3</v>
      </c>
      <c r="X2289">
        <v>0.99995449999999997</v>
      </c>
      <c r="Y2289">
        <v>-0.316577</v>
      </c>
      <c r="Z2289">
        <v>1.6808070000000001E-2</v>
      </c>
      <c r="AA2289">
        <v>0.94841790000000004</v>
      </c>
      <c r="AB2289">
        <v>11</v>
      </c>
      <c r="AC2289">
        <v>-12.541499999999999</v>
      </c>
      <c r="AD2289">
        <v>-1.1118373190994999</v>
      </c>
      <c r="AE2289">
        <v>-11.5373999999999</v>
      </c>
      <c r="AF2289">
        <v>-5.3968813663914403</v>
      </c>
      <c r="AG2289">
        <v>-1.1118373190994999</v>
      </c>
      <c r="AH2289">
        <v>16.087816058901499</v>
      </c>
      <c r="AI2289">
        <v>93.748775262050003</v>
      </c>
      <c r="AJ2289">
        <v>108.544743256945</v>
      </c>
      <c r="AK2289">
        <v>17.005303180246301</v>
      </c>
      <c r="AL2289">
        <v>90.545352874554496</v>
      </c>
      <c r="AM2289">
        <v>89.959336688376496</v>
      </c>
      <c r="AN2289">
        <v>1.0000000495885699</v>
      </c>
    </row>
    <row r="2290" spans="1:40" x14ac:dyDescent="0.25">
      <c r="A2290" t="str">
        <f>"20190312161002886"</f>
        <v>20190312161002886</v>
      </c>
      <c r="B2290" t="str">
        <f>"1552378202878097"</f>
        <v>1552378202878097</v>
      </c>
      <c r="C2290" t="s">
        <v>40</v>
      </c>
      <c r="D2290">
        <v>5.1584339999999997</v>
      </c>
      <c r="E2290">
        <v>0.37512309999999999</v>
      </c>
      <c r="F2290" t="s">
        <v>59</v>
      </c>
      <c r="G2290">
        <v>-492.60789999999997</v>
      </c>
      <c r="H2290" s="1">
        <v>6.8052499999999898E-7</v>
      </c>
      <c r="I2290">
        <v>271.54140000000001</v>
      </c>
      <c r="J2290">
        <v>-480.20310000000001</v>
      </c>
      <c r="K2290">
        <v>1.111829</v>
      </c>
      <c r="L2290">
        <v>283.03250000000003</v>
      </c>
      <c r="M2290">
        <v>-0.91115049999999997</v>
      </c>
      <c r="N2290">
        <v>0</v>
      </c>
      <c r="O2290">
        <v>-0.41181099999999998</v>
      </c>
      <c r="P2290">
        <v>-0.91137190000000001</v>
      </c>
      <c r="Q2290">
        <v>-2.5126450000000002E-2</v>
      </c>
      <c r="R2290">
        <v>-0.41081630000000002</v>
      </c>
      <c r="S2290">
        <v>-2.323639</v>
      </c>
      <c r="T2290">
        <v>-0.2067127</v>
      </c>
      <c r="U2290">
        <v>-2.1452330000000002</v>
      </c>
      <c r="V2290">
        <v>1.029423E-3</v>
      </c>
      <c r="W2290">
        <v>-1.0408590000000001E-2</v>
      </c>
      <c r="X2290">
        <v>0.99994530000000004</v>
      </c>
      <c r="Y2290">
        <v>-0.31567149999999999</v>
      </c>
      <c r="Z2290">
        <v>1.7251220000000001E-2</v>
      </c>
      <c r="AA2290">
        <v>0.94871170000000005</v>
      </c>
      <c r="AB2290">
        <v>11</v>
      </c>
      <c r="AC2290">
        <v>-12.4047999999999</v>
      </c>
      <c r="AD2290">
        <v>-1.111828319475</v>
      </c>
      <c r="AE2290">
        <v>-11.491099999999999</v>
      </c>
      <c r="AF2290">
        <v>-5.3391854566466899</v>
      </c>
      <c r="AG2290">
        <v>-1.111828319475</v>
      </c>
      <c r="AH2290">
        <v>15.9675031793986</v>
      </c>
      <c r="AI2290">
        <v>93.778141254170293</v>
      </c>
      <c r="AJ2290">
        <v>108.488813293701</v>
      </c>
      <c r="AK2290">
        <v>16.873180534106801</v>
      </c>
      <c r="AL2290">
        <v>90.596379046073295</v>
      </c>
      <c r="AM2290">
        <v>89.941015201134505</v>
      </c>
      <c r="AN2290">
        <v>1.00000000072479</v>
      </c>
    </row>
    <row r="2291" spans="1:40" x14ac:dyDescent="0.25">
      <c r="A2291" t="str">
        <f>"20190312161002909"</f>
        <v>20190312161002909</v>
      </c>
      <c r="B2291" t="str">
        <f>"1552378202897618"</f>
        <v>1552378202897618</v>
      </c>
      <c r="C2291" t="s">
        <v>40</v>
      </c>
      <c r="D2291">
        <v>5.1462580000000004</v>
      </c>
      <c r="E2291">
        <v>0.37559749999999997</v>
      </c>
      <c r="F2291" t="s">
        <v>59</v>
      </c>
      <c r="G2291">
        <v>-492.41480000000001</v>
      </c>
      <c r="H2291" s="1">
        <v>7.3648479999999998E-7</v>
      </c>
      <c r="I2291">
        <v>271.69979999999998</v>
      </c>
      <c r="J2291">
        <v>-480.2953</v>
      </c>
      <c r="K2291">
        <v>1.1118239999999999</v>
      </c>
      <c r="L2291">
        <v>282.98509999999999</v>
      </c>
      <c r="M2291">
        <v>-0.90933629999999999</v>
      </c>
      <c r="N2291">
        <v>0</v>
      </c>
      <c r="O2291">
        <v>-0.41580780000000001</v>
      </c>
      <c r="P2291">
        <v>-0.90974999999999995</v>
      </c>
      <c r="Q2291">
        <v>-2.5543349999999999E-2</v>
      </c>
      <c r="R2291">
        <v>-0.41437049999999997</v>
      </c>
      <c r="S2291">
        <v>-2.3167420000000001</v>
      </c>
      <c r="T2291">
        <v>-0.2109307</v>
      </c>
      <c r="U2291">
        <v>-2.149994</v>
      </c>
      <c r="V2291">
        <v>1.51277799999999E-3</v>
      </c>
      <c r="W2291">
        <v>-1.098937E-2</v>
      </c>
      <c r="X2291">
        <v>0.99993849999999995</v>
      </c>
      <c r="Y2291">
        <v>-0.3139767</v>
      </c>
      <c r="Z2291">
        <v>1.795389E-2</v>
      </c>
      <c r="AA2291">
        <v>0.94926100000000002</v>
      </c>
      <c r="AB2291">
        <v>11</v>
      </c>
      <c r="AC2291">
        <v>-12.1195</v>
      </c>
      <c r="AD2291">
        <v>-1.1118232635152001</v>
      </c>
      <c r="AE2291">
        <v>-11.285299999999999</v>
      </c>
      <c r="AF2291">
        <v>-5.1998637294307404</v>
      </c>
      <c r="AG2291">
        <v>-1.1118232635152001</v>
      </c>
      <c r="AH2291">
        <v>15.644360252872399</v>
      </c>
      <c r="AI2291">
        <v>93.858236438316496</v>
      </c>
      <c r="AJ2291">
        <v>108.38574619591</v>
      </c>
      <c r="AK2291">
        <v>16.523339296147</v>
      </c>
      <c r="AL2291">
        <v>90.6296571760695</v>
      </c>
      <c r="AM2291">
        <v>89.913318940501696</v>
      </c>
      <c r="AN2291">
        <v>1.0000000292662601</v>
      </c>
    </row>
    <row r="2292" spans="1:40" x14ac:dyDescent="0.25">
      <c r="A2292" t="str">
        <f>"20190312161002931"</f>
        <v>20190312161002931</v>
      </c>
      <c r="B2292" t="str">
        <f>"1552378202928380"</f>
        <v>1552378202928380</v>
      </c>
      <c r="C2292" t="s">
        <v>40</v>
      </c>
      <c r="D2292">
        <v>5.2017160000000002</v>
      </c>
      <c r="E2292">
        <v>0.37574879999999999</v>
      </c>
      <c r="F2292" t="s">
        <v>59</v>
      </c>
      <c r="G2292">
        <v>-492.32159999999999</v>
      </c>
      <c r="H2292" s="1">
        <v>7.5734459999999898E-7</v>
      </c>
      <c r="I2292">
        <v>271.75880000000001</v>
      </c>
      <c r="J2292">
        <v>-480.3888</v>
      </c>
      <c r="K2292">
        <v>1.1118129999999999</v>
      </c>
      <c r="L2292">
        <v>282.93650000000002</v>
      </c>
      <c r="M2292">
        <v>-0.90747670000000002</v>
      </c>
      <c r="N2292">
        <v>0</v>
      </c>
      <c r="O2292">
        <v>-0.41985549999999999</v>
      </c>
      <c r="P2292">
        <v>-0.90814790000000001</v>
      </c>
      <c r="Q2292">
        <v>-2.509376E-2</v>
      </c>
      <c r="R2292">
        <v>-0.41789670000000001</v>
      </c>
      <c r="S2292">
        <v>-2.309631</v>
      </c>
      <c r="T2292">
        <v>-0.21352489999999999</v>
      </c>
      <c r="U2292">
        <v>-2.1560060000000001</v>
      </c>
      <c r="V2292">
        <v>2.0922169999999999E-3</v>
      </c>
      <c r="W2292">
        <v>-1.0684529999999999E-2</v>
      </c>
      <c r="X2292">
        <v>0.99994079999999996</v>
      </c>
      <c r="Y2292">
        <v>-0.31253829999999999</v>
      </c>
      <c r="Z2292">
        <v>1.8521349999999999E-2</v>
      </c>
      <c r="AA2292">
        <v>0.94972460000000003</v>
      </c>
      <c r="AB2292">
        <v>11</v>
      </c>
      <c r="AC2292">
        <v>-11.932799999999901</v>
      </c>
      <c r="AD2292">
        <v>-1.11181224265539</v>
      </c>
      <c r="AE2292">
        <v>-11.1777</v>
      </c>
      <c r="AF2292">
        <v>-5.1103531236586104</v>
      </c>
      <c r="AG2292">
        <v>-1.11181224265539</v>
      </c>
      <c r="AH2292">
        <v>15.4519181112413</v>
      </c>
      <c r="AI2292">
        <v>93.908025063360597</v>
      </c>
      <c r="AJ2292">
        <v>108.30040041140001</v>
      </c>
      <c r="AK2292">
        <v>16.312988960577201</v>
      </c>
      <c r="AL2292">
        <v>90.612190080438893</v>
      </c>
      <c r="AM2292">
        <v>89.880117873985597</v>
      </c>
      <c r="AN2292">
        <v>1.00000007002896</v>
      </c>
    </row>
    <row r="2293" spans="1:40" x14ac:dyDescent="0.25">
      <c r="A2293" t="str">
        <f>"20190312161002953"</f>
        <v>20190312161002953</v>
      </c>
      <c r="B2293" t="str">
        <f>"1552378202947905"</f>
        <v>1552378202947905</v>
      </c>
      <c r="C2293" t="s">
        <v>40</v>
      </c>
      <c r="D2293">
        <v>5.2601690000000003</v>
      </c>
      <c r="E2293">
        <v>0.37597740000000002</v>
      </c>
      <c r="F2293" t="s">
        <v>59</v>
      </c>
      <c r="G2293">
        <v>-492.58760000000001</v>
      </c>
      <c r="H2293" s="1">
        <v>6.5559510000000003E-7</v>
      </c>
      <c r="I2293">
        <v>271.47089999999997</v>
      </c>
      <c r="J2293">
        <v>-480.483</v>
      </c>
      <c r="K2293">
        <v>1.111799</v>
      </c>
      <c r="L2293">
        <v>282.887</v>
      </c>
      <c r="M2293">
        <v>-0.90557940000000003</v>
      </c>
      <c r="N2293">
        <v>0</v>
      </c>
      <c r="O2293">
        <v>-0.4239368</v>
      </c>
      <c r="P2293">
        <v>-0.90636609999999995</v>
      </c>
      <c r="Q2293">
        <v>-2.5299100000000001E-2</v>
      </c>
      <c r="R2293">
        <v>-0.42173539999999998</v>
      </c>
      <c r="S2293">
        <v>-2.3020019999999999</v>
      </c>
      <c r="T2293">
        <v>-0.2098064</v>
      </c>
      <c r="U2293">
        <v>-2.1636350000000002</v>
      </c>
      <c r="V2293">
        <v>2.3605319999999998E-3</v>
      </c>
      <c r="W2293">
        <v>-1.101835E-2</v>
      </c>
      <c r="X2293">
        <v>0.99993650000000001</v>
      </c>
      <c r="Y2293">
        <v>-0.31150709999999998</v>
      </c>
      <c r="Z2293">
        <v>1.852587E-2</v>
      </c>
      <c r="AA2293">
        <v>0.9500632</v>
      </c>
      <c r="AB2293">
        <v>11</v>
      </c>
      <c r="AC2293">
        <v>-12.1046</v>
      </c>
      <c r="AD2293">
        <v>-1.1117983444049</v>
      </c>
      <c r="AE2293">
        <v>-11.4161</v>
      </c>
      <c r="AF2293">
        <v>-5.18398370101096</v>
      </c>
      <c r="AG2293">
        <v>-1.1117983444049</v>
      </c>
      <c r="AH2293">
        <v>15.7327448739227</v>
      </c>
      <c r="AI2293">
        <v>93.839823921888794</v>
      </c>
      <c r="AJ2293">
        <v>108.237197004961</v>
      </c>
      <c r="AK2293">
        <v>16.602079503451101</v>
      </c>
      <c r="AL2293">
        <v>90.631317732980605</v>
      </c>
      <c r="AM2293">
        <v>89.864743141421499</v>
      </c>
      <c r="AN2293">
        <v>0.99999999009014695</v>
      </c>
    </row>
    <row r="2294" spans="1:40" x14ac:dyDescent="0.25">
      <c r="A2294" t="str">
        <f>"20190312161002976"</f>
        <v>20190312161002976</v>
      </c>
      <c r="B2294" t="str">
        <f>"1552378202968395"</f>
        <v>1552378202968395</v>
      </c>
      <c r="C2294" t="s">
        <v>40</v>
      </c>
      <c r="D2294">
        <v>5.259811</v>
      </c>
      <c r="E2294">
        <v>0.42164699999999999</v>
      </c>
      <c r="F2294" t="s">
        <v>59</v>
      </c>
      <c r="G2294">
        <v>-492.65120000000002</v>
      </c>
      <c r="H2294" s="1">
        <v>6.1855789999999995E-7</v>
      </c>
      <c r="I2294">
        <v>271.36610000000002</v>
      </c>
      <c r="J2294">
        <v>-480.57330000000002</v>
      </c>
      <c r="K2294">
        <v>1.1117790000000001</v>
      </c>
      <c r="L2294">
        <v>282.83909999999997</v>
      </c>
      <c r="M2294">
        <v>-0.90374080000000001</v>
      </c>
      <c r="N2294">
        <v>0</v>
      </c>
      <c r="O2294">
        <v>-0.42784549999999999</v>
      </c>
      <c r="P2294">
        <v>-0.90456150000000002</v>
      </c>
      <c r="Q2294">
        <v>-2.5772409999999999E-2</v>
      </c>
      <c r="R2294">
        <v>-0.42556329999999998</v>
      </c>
      <c r="S2294">
        <v>-2.2936100000000001</v>
      </c>
      <c r="T2294">
        <v>-0.2095659</v>
      </c>
      <c r="U2294">
        <v>-2.1716000000000002</v>
      </c>
      <c r="V2294">
        <v>2.4487369999999999E-3</v>
      </c>
      <c r="W2294">
        <v>-1.159962E-2</v>
      </c>
      <c r="X2294">
        <v>0.99992970000000003</v>
      </c>
      <c r="Y2294">
        <v>-0.31088449999999901</v>
      </c>
      <c r="Z2294">
        <v>1.8806920000000001E-2</v>
      </c>
      <c r="AA2294">
        <v>0.95026160000000004</v>
      </c>
      <c r="AB2294">
        <v>11</v>
      </c>
      <c r="AC2294">
        <v>-12.0779</v>
      </c>
      <c r="AD2294">
        <v>-1.1117783814421001</v>
      </c>
      <c r="AE2294">
        <v>-11.4729999999999</v>
      </c>
      <c r="AF2294">
        <v>-5.1785990269231599</v>
      </c>
      <c r="AG2294">
        <v>-1.1117783814421001</v>
      </c>
      <c r="AH2294">
        <v>15.7553745217618</v>
      </c>
      <c r="AI2294">
        <v>93.835181840263104</v>
      </c>
      <c r="AJ2294">
        <v>108.195062204943</v>
      </c>
      <c r="AK2294">
        <v>16.6218460278055</v>
      </c>
      <c r="AL2294">
        <v>90.664624190657804</v>
      </c>
      <c r="AM2294">
        <v>89.859688121307897</v>
      </c>
      <c r="AN2294">
        <v>0.99999997621956405</v>
      </c>
    </row>
    <row r="2295" spans="1:40" x14ac:dyDescent="0.25">
      <c r="A2295" t="str">
        <f>"20190312161002999"</f>
        <v>20190312161002999</v>
      </c>
      <c r="B2295" t="str">
        <f>"1552378202987916"</f>
        <v>1552378202987916</v>
      </c>
      <c r="C2295" t="s">
        <v>40</v>
      </c>
      <c r="D2295">
        <v>5.7474639999999999</v>
      </c>
      <c r="E2295">
        <v>0.49811719999999998</v>
      </c>
      <c r="F2295" t="s">
        <v>59</v>
      </c>
      <c r="G2295">
        <v>-488.08870000000002</v>
      </c>
      <c r="H2295" s="1">
        <v>2.3122090000000001E-6</v>
      </c>
      <c r="I2295">
        <v>277.09519999999998</v>
      </c>
      <c r="J2295">
        <v>-480.6671</v>
      </c>
      <c r="K2295">
        <v>1.1117509999999999</v>
      </c>
      <c r="L2295">
        <v>282.78879999999998</v>
      </c>
      <c r="M2295">
        <v>-0.90180930000000004</v>
      </c>
      <c r="N2295">
        <v>0</v>
      </c>
      <c r="O2295">
        <v>-0.43190519999999999</v>
      </c>
      <c r="P2295">
        <v>-0.90254369999999995</v>
      </c>
      <c r="Q2295">
        <v>-2.6497139999999999E-2</v>
      </c>
      <c r="R2295">
        <v>-0.42978250000000001</v>
      </c>
      <c r="S2295">
        <v>-2.431854</v>
      </c>
      <c r="T2295">
        <v>-0.35974879999999998</v>
      </c>
      <c r="U2295">
        <v>-1.858643</v>
      </c>
      <c r="V2295">
        <v>2.2688880000000002E-3</v>
      </c>
      <c r="W2295">
        <v>-1.242293E-2</v>
      </c>
      <c r="X2295">
        <v>0.99992020000000004</v>
      </c>
      <c r="Y2295">
        <v>-0.20577409999999999</v>
      </c>
      <c r="Z2295">
        <v>3.9580669999999998E-2</v>
      </c>
      <c r="AA2295">
        <v>0.97779879999999997</v>
      </c>
      <c r="AB2295">
        <v>11</v>
      </c>
      <c r="AC2295">
        <v>-7.4216000000000104</v>
      </c>
      <c r="AD2295">
        <v>-1.1117486877909999</v>
      </c>
      <c r="AE2295">
        <v>-5.6936</v>
      </c>
      <c r="AF2295">
        <v>-1.90243097260184</v>
      </c>
      <c r="AG2295">
        <v>-1.1117486877909999</v>
      </c>
      <c r="AH2295">
        <v>9.0253765999692899</v>
      </c>
      <c r="AI2295">
        <v>96.872804976660504</v>
      </c>
      <c r="AJ2295">
        <v>101.902952906238</v>
      </c>
      <c r="AK2295">
        <v>9.2904602427217302</v>
      </c>
      <c r="AL2295">
        <v>90.711799809063606</v>
      </c>
      <c r="AM2295">
        <v>89.869992141889597</v>
      </c>
      <c r="AN2295">
        <v>0.99999994170528805</v>
      </c>
    </row>
    <row r="2296" spans="1:40" x14ac:dyDescent="0.25">
      <c r="A2296" t="str">
        <f>"20190312161003022"</f>
        <v>20190312161003022</v>
      </c>
      <c r="B2296" t="str">
        <f>"1552378203008412"</f>
        <v>1552378203008412</v>
      </c>
      <c r="C2296" t="s">
        <v>40</v>
      </c>
      <c r="D2296">
        <v>5.42014</v>
      </c>
      <c r="E2296">
        <v>0.51739659999999998</v>
      </c>
      <c r="F2296" t="s">
        <v>42</v>
      </c>
      <c r="G2296">
        <v>-481.31470000000002</v>
      </c>
      <c r="H2296">
        <v>0.97787809999999997</v>
      </c>
      <c r="I2296">
        <v>282.46749999999997</v>
      </c>
      <c r="J2296">
        <v>-480.75889999999998</v>
      </c>
      <c r="K2296">
        <v>1.111731</v>
      </c>
      <c r="L2296">
        <v>282.73899999999998</v>
      </c>
      <c r="M2296">
        <v>-0.89989470000000005</v>
      </c>
      <c r="N2296">
        <v>0</v>
      </c>
      <c r="O2296">
        <v>-0.43588280000000001</v>
      </c>
      <c r="P2296">
        <v>-0.90024629999999894</v>
      </c>
      <c r="Q2296">
        <v>-2.6352219999999999E-2</v>
      </c>
      <c r="R2296">
        <v>-0.43458279999999999</v>
      </c>
      <c r="S2296">
        <v>-2.675262</v>
      </c>
      <c r="T2296">
        <v>-0.55403649999999904</v>
      </c>
      <c r="U2296">
        <v>-1.3280639999999999</v>
      </c>
      <c r="V2296">
        <v>1.3600699999999999E-3</v>
      </c>
      <c r="W2296">
        <v>-1.2363880000000001E-2</v>
      </c>
      <c r="X2296">
        <v>0.99992259999999999</v>
      </c>
      <c r="Y2296">
        <v>-1.6133680000000001E-2</v>
      </c>
      <c r="Z2296">
        <v>7.8715869999999993E-2</v>
      </c>
      <c r="AA2296">
        <v>0.9967665</v>
      </c>
      <c r="AB2296">
        <v>11</v>
      </c>
      <c r="AC2296">
        <v>-0.55580000000003305</v>
      </c>
      <c r="AD2296">
        <v>-0.1338529</v>
      </c>
      <c r="AE2296">
        <v>-0.27150000000006003</v>
      </c>
      <c r="AF2296">
        <v>-1.9658982898486102E-3</v>
      </c>
      <c r="AG2296">
        <v>-0.1338529</v>
      </c>
      <c r="AH2296">
        <v>0.59089529725166101</v>
      </c>
      <c r="AI2296">
        <v>102.76348536828</v>
      </c>
      <c r="AJ2296">
        <v>90.190621350175803</v>
      </c>
      <c r="AK2296">
        <v>0.60586938848948702</v>
      </c>
      <c r="AL2296">
        <v>90.708416219797996</v>
      </c>
      <c r="AM2296">
        <v>89.922067745257607</v>
      </c>
      <c r="AN2296">
        <v>0.99999996065490804</v>
      </c>
    </row>
    <row r="2297" spans="1:40" x14ac:dyDescent="0.25">
      <c r="A2297" t="str">
        <f>"20190312161003045"</f>
        <v>20190312161003045</v>
      </c>
      <c r="B2297" t="str">
        <f>"1552378203038198"</f>
        <v>1552378203038198</v>
      </c>
      <c r="C2297" t="s">
        <v>40</v>
      </c>
      <c r="D2297">
        <v>5.2472269999999996</v>
      </c>
      <c r="E2297">
        <v>0.528821599999999</v>
      </c>
      <c r="F2297" t="s">
        <v>42</v>
      </c>
      <c r="G2297">
        <v>-481.4085</v>
      </c>
      <c r="H2297">
        <v>0.97622810000000004</v>
      </c>
      <c r="I2297">
        <v>282.4529</v>
      </c>
      <c r="J2297">
        <v>-480.85489999999999</v>
      </c>
      <c r="K2297">
        <v>1.111713</v>
      </c>
      <c r="L2297">
        <v>282.68650000000002</v>
      </c>
      <c r="M2297">
        <v>-0.89787299999999903</v>
      </c>
      <c r="N2297">
        <v>0</v>
      </c>
      <c r="O2297">
        <v>-0.4400345</v>
      </c>
      <c r="P2297">
        <v>-0.89815400000000001</v>
      </c>
      <c r="Q2297">
        <v>-2.6649849999999999E-2</v>
      </c>
      <c r="R2297">
        <v>-0.4388725</v>
      </c>
      <c r="S2297">
        <v>-2.7342529999999998</v>
      </c>
      <c r="T2297">
        <v>-0.5702393</v>
      </c>
      <c r="U2297">
        <v>-1.20462</v>
      </c>
      <c r="V2297">
        <v>1.2048779999999999E-3</v>
      </c>
      <c r="W2297">
        <v>-1.2737470000000001E-2</v>
      </c>
      <c r="X2297">
        <v>0.99991819999999998</v>
      </c>
      <c r="Y2297">
        <v>3.296143E-2</v>
      </c>
      <c r="Z2297">
        <v>8.5896620000000007E-2</v>
      </c>
      <c r="AA2297">
        <v>0.9957587</v>
      </c>
      <c r="AB2297">
        <v>11</v>
      </c>
      <c r="AC2297">
        <v>-0.55360000000001697</v>
      </c>
      <c r="AD2297">
        <v>-0.13548489999999999</v>
      </c>
      <c r="AE2297">
        <v>-0.23360000000002301</v>
      </c>
      <c r="AF2297">
        <v>3.2224864133995203E-2</v>
      </c>
      <c r="AG2297">
        <v>-0.13548489999999999</v>
      </c>
      <c r="AH2297">
        <v>0.57088749616618994</v>
      </c>
      <c r="AI2297">
        <v>103.330173456002</v>
      </c>
      <c r="AJ2297">
        <v>86.769255797186105</v>
      </c>
      <c r="AK2297">
        <v>0.58762839726766602</v>
      </c>
      <c r="AL2297">
        <v>90.729822971314107</v>
      </c>
      <c r="AM2297">
        <v>89.930959961708595</v>
      </c>
      <c r="AN2297">
        <v>1.0000000507821101</v>
      </c>
    </row>
    <row r="2298" spans="1:40" x14ac:dyDescent="0.25">
      <c r="A2298" t="str">
        <f>"20190312161003066"</f>
        <v>20190312161003066</v>
      </c>
      <c r="B2298" t="str">
        <f>"1552378203057719"</f>
        <v>1552378203057719</v>
      </c>
      <c r="C2298" t="s">
        <v>40</v>
      </c>
      <c r="D2298">
        <v>5.372395</v>
      </c>
      <c r="E2298">
        <v>0.5310279</v>
      </c>
      <c r="F2298" t="s">
        <v>42</v>
      </c>
      <c r="G2298">
        <v>-481.57350000000002</v>
      </c>
      <c r="H2298">
        <v>0.95710189999999995</v>
      </c>
      <c r="I2298">
        <v>282.3913</v>
      </c>
      <c r="J2298">
        <v>-480.94040000000001</v>
      </c>
      <c r="K2298">
        <v>1.1116999999999999</v>
      </c>
      <c r="L2298">
        <v>282.63909999999998</v>
      </c>
      <c r="M2298">
        <v>-0.89605069999999998</v>
      </c>
      <c r="N2298">
        <v>0</v>
      </c>
      <c r="O2298">
        <v>-0.44373620000000003</v>
      </c>
      <c r="P2298">
        <v>-0.89597850000000001</v>
      </c>
      <c r="Q2298">
        <v>-2.6373219999999999E-2</v>
      </c>
      <c r="R2298">
        <v>-0.44331429999999999</v>
      </c>
      <c r="S2298">
        <v>-2.7669069999999998</v>
      </c>
      <c r="T2298">
        <v>-0.59588960000000002</v>
      </c>
      <c r="U2298">
        <v>-1.1369629999999999</v>
      </c>
      <c r="V2298">
        <v>3.8285700000000001E-4</v>
      </c>
      <c r="W2298">
        <v>-1.252147E-2</v>
      </c>
      <c r="X2298">
        <v>0.99992150000000002</v>
      </c>
      <c r="Y2298">
        <v>6.0855149999999997E-2</v>
      </c>
      <c r="Z2298">
        <v>9.2762090000000005E-2</v>
      </c>
      <c r="AA2298">
        <v>0.99382689999999996</v>
      </c>
      <c r="AB2298">
        <v>11</v>
      </c>
      <c r="AC2298">
        <v>-0.63310000000001299</v>
      </c>
      <c r="AD2298">
        <v>-0.15459809999999899</v>
      </c>
      <c r="AE2298">
        <v>-0.24779999999998301</v>
      </c>
      <c r="AF2298">
        <v>5.5998099890134601E-2</v>
      </c>
      <c r="AG2298">
        <v>-0.15459809999999899</v>
      </c>
      <c r="AH2298">
        <v>0.64401166294029599</v>
      </c>
      <c r="AI2298">
        <v>103.449807792961</v>
      </c>
      <c r="AJ2298">
        <v>85.030516600810003</v>
      </c>
      <c r="AK2298">
        <v>0.66467088225530102</v>
      </c>
      <c r="AL2298">
        <v>90.717446154403703</v>
      </c>
      <c r="AM2298">
        <v>89.978062188696697</v>
      </c>
      <c r="AN2298">
        <v>0.99999996997634599</v>
      </c>
    </row>
    <row r="2299" spans="1:40" x14ac:dyDescent="0.25">
      <c r="A2299" t="str">
        <f>"20190312161003087"</f>
        <v>20190312161003087</v>
      </c>
      <c r="B2299" t="str">
        <f>"1552378203078215"</f>
        <v>1552378203078215</v>
      </c>
      <c r="C2299" t="s">
        <v>40</v>
      </c>
      <c r="D2299">
        <v>5.2933839999999996</v>
      </c>
      <c r="E2299">
        <v>0.53390079999999995</v>
      </c>
      <c r="F2299" t="s">
        <v>42</v>
      </c>
      <c r="G2299">
        <v>-481.6558</v>
      </c>
      <c r="H2299">
        <v>0.9599837</v>
      </c>
      <c r="I2299">
        <v>282.34629999999999</v>
      </c>
      <c r="J2299">
        <v>-481.02780000000001</v>
      </c>
      <c r="K2299">
        <v>1.11168</v>
      </c>
      <c r="L2299">
        <v>282.59010000000001</v>
      </c>
      <c r="M2299">
        <v>-0.89416559999999901</v>
      </c>
      <c r="N2299">
        <v>0</v>
      </c>
      <c r="O2299">
        <v>-0.44752360000000002</v>
      </c>
      <c r="P2299">
        <v>-0.8939454</v>
      </c>
      <c r="Q2299">
        <v>-2.6256680000000001E-2</v>
      </c>
      <c r="R2299">
        <v>-0.44740619999999998</v>
      </c>
      <c r="S2299">
        <v>-2.7697750000000001</v>
      </c>
      <c r="T2299">
        <v>-0.58876090000000003</v>
      </c>
      <c r="U2299">
        <v>-1.1342159999999999</v>
      </c>
      <c r="V2299" s="1">
        <v>4.2830909999999997E-5</v>
      </c>
      <c r="W2299">
        <v>-1.2458250000000001E-2</v>
      </c>
      <c r="X2299">
        <v>0.99992239999999999</v>
      </c>
      <c r="Y2299">
        <v>6.6350939999999997E-2</v>
      </c>
      <c r="Z2299">
        <v>9.2832300000000006E-2</v>
      </c>
      <c r="AA2299">
        <v>0.99346849999999998</v>
      </c>
      <c r="AB2299">
        <v>11</v>
      </c>
      <c r="AC2299">
        <v>-0.62799999999998501</v>
      </c>
      <c r="AD2299">
        <v>-0.15169630000000001</v>
      </c>
      <c r="AE2299">
        <v>-0.243800000000021</v>
      </c>
      <c r="AF2299">
        <v>6.0010337070648602E-2</v>
      </c>
      <c r="AG2299">
        <v>-0.15169630000000001</v>
      </c>
      <c r="AH2299">
        <v>0.63833821599226104</v>
      </c>
      <c r="AI2299">
        <v>103.31135734705801</v>
      </c>
      <c r="AJ2299">
        <v>84.629393842018601</v>
      </c>
      <c r="AK2299">
        <v>0.65885407032605103</v>
      </c>
      <c r="AL2299">
        <v>90.713823605462196</v>
      </c>
      <c r="AM2299">
        <v>89.997545779178196</v>
      </c>
      <c r="AN2299">
        <v>1.00000000792465</v>
      </c>
    </row>
    <row r="2300" spans="1:40" x14ac:dyDescent="0.25">
      <c r="A2300" t="str">
        <f>"20190312161003110"</f>
        <v>20190312161003110</v>
      </c>
      <c r="B2300" t="str">
        <f>"1552378203097735"</f>
        <v>1552378203097735</v>
      </c>
      <c r="C2300" t="s">
        <v>40</v>
      </c>
      <c r="D2300">
        <v>5.2606109999999999</v>
      </c>
      <c r="E2300">
        <v>0.53667200000000004</v>
      </c>
      <c r="F2300" t="s">
        <v>42</v>
      </c>
      <c r="G2300">
        <v>-481.73570000000001</v>
      </c>
      <c r="H2300">
        <v>0.95766649999999998</v>
      </c>
      <c r="I2300">
        <v>282.30270000000002</v>
      </c>
      <c r="J2300">
        <v>-481.11869999999999</v>
      </c>
      <c r="K2300">
        <v>1.111658</v>
      </c>
      <c r="L2300">
        <v>282.53879999999998</v>
      </c>
      <c r="M2300">
        <v>-0.89218489999999995</v>
      </c>
      <c r="N2300">
        <v>0</v>
      </c>
      <c r="O2300">
        <v>-0.4514608</v>
      </c>
      <c r="P2300">
        <v>-0.89192070000000001</v>
      </c>
      <c r="Q2300">
        <v>-2.6285530000000001E-2</v>
      </c>
      <c r="R2300">
        <v>-0.45142710000000003</v>
      </c>
      <c r="S2300">
        <v>-2.7741090000000002</v>
      </c>
      <c r="T2300">
        <v>-0.60456989999999999</v>
      </c>
      <c r="U2300">
        <v>-1.1269530000000001</v>
      </c>
      <c r="V2300" s="1">
        <v>-5.2802259999999998E-5</v>
      </c>
      <c r="W2300">
        <v>-1.2534899999999899E-2</v>
      </c>
      <c r="X2300">
        <v>0.99992139999999996</v>
      </c>
      <c r="Y2300">
        <v>7.2868150000000007E-2</v>
      </c>
      <c r="Z2300">
        <v>9.6581410000000006E-2</v>
      </c>
      <c r="AA2300">
        <v>0.99265409999999998</v>
      </c>
      <c r="AB2300">
        <v>10</v>
      </c>
      <c r="AC2300">
        <v>-0.61700000000001798</v>
      </c>
      <c r="AD2300">
        <v>-0.153991499999999</v>
      </c>
      <c r="AE2300">
        <v>-0.23609999999996401</v>
      </c>
      <c r="AF2300">
        <v>6.4413027356945596E-2</v>
      </c>
      <c r="AG2300">
        <v>-0.153991499999999</v>
      </c>
      <c r="AH2300">
        <v>0.62326527487765904</v>
      </c>
      <c r="AI2300">
        <v>103.807544452139</v>
      </c>
      <c r="AJ2300">
        <v>84.099560983150297</v>
      </c>
      <c r="AK2300">
        <v>0.64523020933141495</v>
      </c>
      <c r="AL2300">
        <v>90.718215699750402</v>
      </c>
      <c r="AM2300">
        <v>90.003025584454804</v>
      </c>
      <c r="AN2300">
        <v>0.99999996634202304</v>
      </c>
    </row>
    <row r="2301" spans="1:40" x14ac:dyDescent="0.25">
      <c r="A2301" t="str">
        <f>"20190312161003135"</f>
        <v>20190312161003135</v>
      </c>
      <c r="B2301" t="str">
        <f>"1552378203127521"</f>
        <v>1552378203127521</v>
      </c>
      <c r="C2301" t="s">
        <v>40</v>
      </c>
      <c r="D2301">
        <v>5.2742550000000001</v>
      </c>
      <c r="E2301">
        <v>0.53964569999999901</v>
      </c>
      <c r="F2301" t="s">
        <v>42</v>
      </c>
      <c r="G2301">
        <v>-481.81549999999999</v>
      </c>
      <c r="H2301">
        <v>0.95650460000000004</v>
      </c>
      <c r="I2301">
        <v>282.25810000000001</v>
      </c>
      <c r="J2301">
        <v>-481.21629999999999</v>
      </c>
      <c r="K2301">
        <v>1.111639</v>
      </c>
      <c r="L2301">
        <v>282.483</v>
      </c>
      <c r="M2301">
        <v>-0.89003019999999999</v>
      </c>
      <c r="N2301">
        <v>0</v>
      </c>
      <c r="O2301">
        <v>-0.45569559999999998</v>
      </c>
      <c r="P2301">
        <v>-0.88975590000000004</v>
      </c>
      <c r="Q2301">
        <v>-2.6259149999999998E-2</v>
      </c>
      <c r="R2301">
        <v>-0.45568120000000001</v>
      </c>
      <c r="S2301">
        <v>-2.7781370000000001</v>
      </c>
      <c r="T2301">
        <v>-0.62025609999999998</v>
      </c>
      <c r="U2301">
        <v>-1.1204829999999999</v>
      </c>
      <c r="V2301" s="1">
        <v>-7.5915039999999997E-5</v>
      </c>
      <c r="W2301">
        <v>-1.255325E-2</v>
      </c>
      <c r="X2301">
        <v>0.99992119999999995</v>
      </c>
      <c r="Y2301">
        <v>7.9407989999999998E-2</v>
      </c>
      <c r="Z2301">
        <v>0.1004304</v>
      </c>
      <c r="AA2301">
        <v>0.99177020000000005</v>
      </c>
      <c r="AB2301">
        <v>10</v>
      </c>
      <c r="AC2301">
        <v>-0.59919999999999596</v>
      </c>
      <c r="AD2301">
        <v>-0.15513440000000001</v>
      </c>
      <c r="AE2301">
        <v>-0.224899999999991</v>
      </c>
      <c r="AF2301">
        <v>6.8846855429005704E-2</v>
      </c>
      <c r="AG2301">
        <v>-0.15513440000000001</v>
      </c>
      <c r="AH2301">
        <v>0.60056630958555102</v>
      </c>
      <c r="AI2301">
        <v>104.39335564999</v>
      </c>
      <c r="AJ2301">
        <v>83.460356260463101</v>
      </c>
      <c r="AK2301">
        <v>0.62408850636350499</v>
      </c>
      <c r="AL2301">
        <v>90.719267137276105</v>
      </c>
      <c r="AM2301">
        <v>90.004349954161597</v>
      </c>
      <c r="AN2301">
        <v>0.99999999802904704</v>
      </c>
    </row>
    <row r="2302" spans="1:40" x14ac:dyDescent="0.25">
      <c r="A2302" t="str">
        <f>"20190312161003154"</f>
        <v>20190312161003154</v>
      </c>
      <c r="B2302" t="str">
        <f>"1552378203148017"</f>
        <v>1552378203148017</v>
      </c>
      <c r="C2302" t="s">
        <v>40</v>
      </c>
      <c r="D2302">
        <v>5.2746529999999998</v>
      </c>
      <c r="E2302">
        <v>0.54071990000000003</v>
      </c>
      <c r="F2302" t="s">
        <v>42</v>
      </c>
      <c r="G2302">
        <v>-481.89449999999999</v>
      </c>
      <c r="H2302">
        <v>0.95611699999999999</v>
      </c>
      <c r="I2302">
        <v>282.21170000000001</v>
      </c>
      <c r="J2302">
        <v>-481.29610000000002</v>
      </c>
      <c r="K2302">
        <v>1.1116379999999999</v>
      </c>
      <c r="L2302">
        <v>282.43700000000001</v>
      </c>
      <c r="M2302">
        <v>-0.88825359999999998</v>
      </c>
      <c r="N2302">
        <v>0</v>
      </c>
      <c r="O2302">
        <v>-0.4591498</v>
      </c>
      <c r="P2302">
        <v>-0.88831879999999996</v>
      </c>
      <c r="Q2302">
        <v>-2.604273E-2</v>
      </c>
      <c r="R2302">
        <v>-0.45848840000000002</v>
      </c>
      <c r="S2302">
        <v>-2.7826230000000001</v>
      </c>
      <c r="T2302">
        <v>-0.63874839999999999</v>
      </c>
      <c r="U2302">
        <v>-1.113434</v>
      </c>
      <c r="V2302">
        <v>6.5309660000000002E-4</v>
      </c>
      <c r="W2302">
        <v>-1.236663E-2</v>
      </c>
      <c r="X2302">
        <v>0.99992329999999996</v>
      </c>
      <c r="Y2302">
        <v>8.5215349999999995E-2</v>
      </c>
      <c r="Z2302">
        <v>0.10455200000000001</v>
      </c>
      <c r="AA2302">
        <v>0.99086180000000001</v>
      </c>
      <c r="AB2302">
        <v>10</v>
      </c>
      <c r="AC2302">
        <v>-0.59839999999996896</v>
      </c>
      <c r="AD2302">
        <v>-0.15552099999999899</v>
      </c>
      <c r="AE2302">
        <v>-0.225300000000004</v>
      </c>
      <c r="AF2302">
        <v>7.0469753092762696E-2</v>
      </c>
      <c r="AG2302">
        <v>-0.15552099999999899</v>
      </c>
      <c r="AH2302">
        <v>0.59956691794362305</v>
      </c>
      <c r="AI2302">
        <v>104.446176624876</v>
      </c>
      <c r="AJ2302">
        <v>83.296528603023901</v>
      </c>
      <c r="AK2302">
        <v>0.62340456898740304</v>
      </c>
      <c r="AL2302">
        <v>90.7085737794267</v>
      </c>
      <c r="AM2302">
        <v>89.962577456217602</v>
      </c>
      <c r="AN2302">
        <v>0.99999998297780701</v>
      </c>
    </row>
    <row r="2303" spans="1:40" x14ac:dyDescent="0.25">
      <c r="A2303" t="str">
        <f>"20190312161003177"</f>
        <v>20190312161003177</v>
      </c>
      <c r="B2303" t="str">
        <f>"1552378203168513"</f>
        <v>1552378203168513</v>
      </c>
      <c r="C2303" t="s">
        <v>40</v>
      </c>
      <c r="D2303">
        <v>5.2310699999999999</v>
      </c>
      <c r="E2303">
        <v>0.54153830000000003</v>
      </c>
      <c r="F2303" t="s">
        <v>42</v>
      </c>
      <c r="G2303">
        <v>-481.97340000000003</v>
      </c>
      <c r="H2303">
        <v>0.95546779999999998</v>
      </c>
      <c r="I2303">
        <v>282.16579999999999</v>
      </c>
      <c r="J2303">
        <v>-481.38350000000003</v>
      </c>
      <c r="K2303">
        <v>1.1116239999999999</v>
      </c>
      <c r="L2303">
        <v>282.3861</v>
      </c>
      <c r="M2303">
        <v>-0.88628209999999996</v>
      </c>
      <c r="N2303">
        <v>0</v>
      </c>
      <c r="O2303">
        <v>-0.46294489999999999</v>
      </c>
      <c r="P2303">
        <v>-0.88656800000000002</v>
      </c>
      <c r="Q2303">
        <v>-2.648706E-2</v>
      </c>
      <c r="R2303">
        <v>-0.46183950000000001</v>
      </c>
      <c r="S2303">
        <v>-2.7827760000000001</v>
      </c>
      <c r="T2303">
        <v>-0.64241619999999899</v>
      </c>
      <c r="U2303">
        <v>-1.1151120000000001</v>
      </c>
      <c r="V2303">
        <v>1.1488689999999901E-3</v>
      </c>
      <c r="W2303">
        <v>-1.2840610000000001E-2</v>
      </c>
      <c r="X2303">
        <v>0.9999169</v>
      </c>
      <c r="Y2303">
        <v>8.8715349999999998E-2</v>
      </c>
      <c r="Z2303">
        <v>0.10622230000000001</v>
      </c>
      <c r="AA2303">
        <v>0.9903769</v>
      </c>
      <c r="AB2303">
        <v>10</v>
      </c>
      <c r="AC2303">
        <v>-0.58989999999999998</v>
      </c>
      <c r="AD2303">
        <v>-0.156156199999999</v>
      </c>
      <c r="AE2303">
        <v>-0.22030000000000799</v>
      </c>
      <c r="AF2303">
        <v>7.3340227379842596E-2</v>
      </c>
      <c r="AG2303">
        <v>-0.156156199999999</v>
      </c>
      <c r="AH2303">
        <v>0.58866130933841898</v>
      </c>
      <c r="AI2303">
        <v>104.747869628187</v>
      </c>
      <c r="AJ2303">
        <v>82.898218688341998</v>
      </c>
      <c r="AK2303">
        <v>0.613421294758006</v>
      </c>
      <c r="AL2303">
        <v>90.735732975446297</v>
      </c>
      <c r="AM2303">
        <v>89.934169213513897</v>
      </c>
      <c r="AN2303">
        <v>1.00000000403538</v>
      </c>
    </row>
    <row r="2304" spans="1:40" x14ac:dyDescent="0.25">
      <c r="A2304" t="str">
        <f>"20190312161003201"</f>
        <v>20190312161003201</v>
      </c>
      <c r="B2304" t="str">
        <f>"1552378203188033"</f>
        <v>1552378203188033</v>
      </c>
      <c r="C2304" t="s">
        <v>40</v>
      </c>
      <c r="D2304">
        <v>5.1565949999999896</v>
      </c>
      <c r="E2304">
        <v>0.54243249999999998</v>
      </c>
      <c r="F2304" t="s">
        <v>42</v>
      </c>
      <c r="G2304">
        <v>-482.05149999999998</v>
      </c>
      <c r="H2304">
        <v>0.95631650000000001</v>
      </c>
      <c r="I2304">
        <v>282.1173</v>
      </c>
      <c r="J2304">
        <v>-481.47300000000001</v>
      </c>
      <c r="K2304">
        <v>1.1116079999999999</v>
      </c>
      <c r="L2304">
        <v>282.33350000000002</v>
      </c>
      <c r="M2304">
        <v>-0.88424469999999999</v>
      </c>
      <c r="N2304">
        <v>0</v>
      </c>
      <c r="O2304">
        <v>-0.4668253</v>
      </c>
      <c r="P2304">
        <v>-0.88438059999999996</v>
      </c>
      <c r="Q2304">
        <v>-2.580089E-2</v>
      </c>
      <c r="R2304">
        <v>-0.46605340000000001</v>
      </c>
      <c r="S2304">
        <v>-2.781158</v>
      </c>
      <c r="T2304">
        <v>-0.64742489999999997</v>
      </c>
      <c r="U2304">
        <v>-1.11972</v>
      </c>
      <c r="V2304">
        <v>7.8076670000000003E-4</v>
      </c>
      <c r="W2304">
        <v>-1.2183340000000001E-2</v>
      </c>
      <c r="X2304">
        <v>0.99992550000000002</v>
      </c>
      <c r="Y2304">
        <v>9.1167520000000002E-2</v>
      </c>
      <c r="Z2304">
        <v>0.108057399999999</v>
      </c>
      <c r="AA2304">
        <v>0.98995560000000005</v>
      </c>
      <c r="AB2304">
        <v>10</v>
      </c>
      <c r="AC2304">
        <v>-0.57849999999996204</v>
      </c>
      <c r="AD2304">
        <v>-0.155291499999999</v>
      </c>
      <c r="AE2304">
        <v>-0.21620000000001399</v>
      </c>
      <c r="AF2304">
        <v>7.4200499449222496E-2</v>
      </c>
      <c r="AG2304">
        <v>-0.155291499999999</v>
      </c>
      <c r="AH2304">
        <v>0.57609468148829601</v>
      </c>
      <c r="AI2304">
        <v>104.967992760545</v>
      </c>
      <c r="AJ2304">
        <v>82.660758980277507</v>
      </c>
      <c r="AK2304">
        <v>0.60125389489787495</v>
      </c>
      <c r="AL2304">
        <v>90.698071215581294</v>
      </c>
      <c r="AM2304">
        <v>89.955262039418898</v>
      </c>
      <c r="AN2304">
        <v>1.0000000244602201</v>
      </c>
    </row>
    <row r="2305" spans="1:40" x14ac:dyDescent="0.25">
      <c r="A2305" t="str">
        <f>"20190312161003223"</f>
        <v>20190312161003223</v>
      </c>
      <c r="B2305" t="str">
        <f>"1552378203218290"</f>
        <v>1552378203218290</v>
      </c>
      <c r="C2305" t="s">
        <v>40</v>
      </c>
      <c r="D2305">
        <v>5.0729600000000001</v>
      </c>
      <c r="E2305">
        <v>0.54280719999999905</v>
      </c>
      <c r="F2305" t="s">
        <v>42</v>
      </c>
      <c r="G2305">
        <v>-482.12939999999998</v>
      </c>
      <c r="H2305">
        <v>0.95800949999999996</v>
      </c>
      <c r="I2305">
        <v>282.06779999999998</v>
      </c>
      <c r="J2305">
        <v>-481.55919999999998</v>
      </c>
      <c r="K2305">
        <v>1.1115919999999999</v>
      </c>
      <c r="L2305">
        <v>282.28230000000002</v>
      </c>
      <c r="M2305">
        <v>-0.88225880000000001</v>
      </c>
      <c r="N2305">
        <v>0</v>
      </c>
      <c r="O2305">
        <v>-0.4705686</v>
      </c>
      <c r="P2305">
        <v>-0.88230140000000001</v>
      </c>
      <c r="Q2305">
        <v>-2.6335580000000001E-2</v>
      </c>
      <c r="R2305">
        <v>-0.46994789999999997</v>
      </c>
      <c r="S2305">
        <v>-2.7798159999999998</v>
      </c>
      <c r="T2305">
        <v>-0.65138149999999995</v>
      </c>
      <c r="U2305">
        <v>-1.125977</v>
      </c>
      <c r="V2305">
        <v>6.0391510000000004E-4</v>
      </c>
      <c r="W2305">
        <v>-1.274251E-2</v>
      </c>
      <c r="X2305">
        <v>0.99991859999999999</v>
      </c>
      <c r="Y2305">
        <v>9.3058299999999997E-2</v>
      </c>
      <c r="Z2305">
        <v>0.1096201</v>
      </c>
      <c r="AA2305">
        <v>0.98960780000000004</v>
      </c>
      <c r="AB2305">
        <v>10</v>
      </c>
      <c r="AC2305">
        <v>-0.57019999999999904</v>
      </c>
      <c r="AD2305">
        <v>-0.15358249999999901</v>
      </c>
      <c r="AE2305">
        <v>-0.21450000000004299</v>
      </c>
      <c r="AF2305">
        <v>7.4355369222665793E-2</v>
      </c>
      <c r="AG2305">
        <v>-0.15358249999999901</v>
      </c>
      <c r="AH2305">
        <v>0.56796015074399597</v>
      </c>
      <c r="AI2305">
        <v>105.009278222509</v>
      </c>
      <c r="AJ2305">
        <v>82.541453647088403</v>
      </c>
      <c r="AK2305">
        <v>0.59303881666517499</v>
      </c>
      <c r="AL2305">
        <v>90.730111823390104</v>
      </c>
      <c r="AM2305">
        <v>89.965395400978693</v>
      </c>
      <c r="AN2305">
        <v>0.99999997145025299</v>
      </c>
    </row>
    <row r="2306" spans="1:40" x14ac:dyDescent="0.25">
      <c r="A2306" t="str">
        <f>"20190312161003246"</f>
        <v>20190312161003246</v>
      </c>
      <c r="B2306" t="str">
        <f>"1552378203238316"</f>
        <v>1552378203238316</v>
      </c>
      <c r="C2306" t="s">
        <v>40</v>
      </c>
      <c r="D2306">
        <v>5.1238089999999996</v>
      </c>
      <c r="E2306">
        <v>0.54286279999999998</v>
      </c>
      <c r="F2306" t="s">
        <v>42</v>
      </c>
      <c r="G2306">
        <v>-482.20620000000002</v>
      </c>
      <c r="H2306">
        <v>0.95929249999999999</v>
      </c>
      <c r="I2306">
        <v>282.01760000000002</v>
      </c>
      <c r="J2306">
        <v>-481.64749999999998</v>
      </c>
      <c r="K2306">
        <v>1.111578</v>
      </c>
      <c r="L2306">
        <v>282.22930000000002</v>
      </c>
      <c r="M2306">
        <v>-0.88020379999999998</v>
      </c>
      <c r="N2306">
        <v>0</v>
      </c>
      <c r="O2306">
        <v>-0.47440199999999999</v>
      </c>
      <c r="P2306">
        <v>-0.88014359999999903</v>
      </c>
      <c r="Q2306">
        <v>-2.7218240000000001E-2</v>
      </c>
      <c r="R2306">
        <v>-0.47392679999999998</v>
      </c>
      <c r="S2306">
        <v>-2.7757869999999998</v>
      </c>
      <c r="T2306">
        <v>-0.65387079999999997</v>
      </c>
      <c r="U2306">
        <v>-1.1356809999999999</v>
      </c>
      <c r="V2306">
        <v>4.2821139999999998E-4</v>
      </c>
      <c r="W2306">
        <v>-1.36477E-2</v>
      </c>
      <c r="X2306">
        <v>0.99990679999999998</v>
      </c>
      <c r="Y2306">
        <v>9.3736620000000007E-2</v>
      </c>
      <c r="Z2306">
        <v>0.1108942</v>
      </c>
      <c r="AA2306">
        <v>0.9894018</v>
      </c>
      <c r="AB2306">
        <v>10</v>
      </c>
      <c r="AC2306">
        <v>-0.55870000000004405</v>
      </c>
      <c r="AD2306">
        <v>-0.15228549999999999</v>
      </c>
      <c r="AE2306">
        <v>-0.21170000000000699</v>
      </c>
      <c r="AF2306">
        <v>7.3914476201948298E-2</v>
      </c>
      <c r="AG2306">
        <v>-0.15228549999999999</v>
      </c>
      <c r="AH2306">
        <v>0.55612533246435303</v>
      </c>
      <c r="AI2306">
        <v>105.18676764175601</v>
      </c>
      <c r="AJ2306">
        <v>82.429203842356799</v>
      </c>
      <c r="AK2306">
        <v>0.58131713264882001</v>
      </c>
      <c r="AL2306">
        <v>90.781979866325599</v>
      </c>
      <c r="AM2306">
        <v>89.975463008692898</v>
      </c>
      <c r="AN2306">
        <v>1.00000002588326</v>
      </c>
    </row>
    <row r="2307" spans="1:40" x14ac:dyDescent="0.25">
      <c r="A2307" t="str">
        <f>"20190312161003266"</f>
        <v>20190312161003266</v>
      </c>
      <c r="B2307" t="str">
        <f>"1552378203257836"</f>
        <v>1552378203257836</v>
      </c>
      <c r="C2307" t="s">
        <v>40</v>
      </c>
      <c r="D2307">
        <v>5.0194640000000001</v>
      </c>
      <c r="E2307">
        <v>0.54277909999999996</v>
      </c>
      <c r="F2307" t="s">
        <v>42</v>
      </c>
      <c r="G2307">
        <v>-482.35750000000002</v>
      </c>
      <c r="H2307">
        <v>0.94199489999999997</v>
      </c>
      <c r="I2307">
        <v>281.93470000000002</v>
      </c>
      <c r="J2307">
        <v>-481.73079999999999</v>
      </c>
      <c r="K2307">
        <v>1.1115649999999999</v>
      </c>
      <c r="L2307">
        <v>282.1789</v>
      </c>
      <c r="M2307">
        <v>-0.87824369999999996</v>
      </c>
      <c r="N2307">
        <v>0</v>
      </c>
      <c r="O2307">
        <v>-0.47802139999999999</v>
      </c>
      <c r="P2307">
        <v>-0.87811649999999997</v>
      </c>
      <c r="Q2307">
        <v>-2.7371320000000001E-2</v>
      </c>
      <c r="R2307">
        <v>-0.47766380000000003</v>
      </c>
      <c r="S2307">
        <v>-2.7693180000000002</v>
      </c>
      <c r="T2307">
        <v>-0.66155339999999996</v>
      </c>
      <c r="U2307">
        <v>-1.1491089999999999</v>
      </c>
      <c r="V2307">
        <v>2.920997E-4</v>
      </c>
      <c r="W2307">
        <v>-1.3819379999999999E-2</v>
      </c>
      <c r="X2307">
        <v>0.99990449999999997</v>
      </c>
      <c r="Y2307">
        <v>9.2581300000000005E-2</v>
      </c>
      <c r="Z2307">
        <v>0.1128436</v>
      </c>
      <c r="AA2307">
        <v>0.98929020000000001</v>
      </c>
      <c r="AB2307">
        <v>10</v>
      </c>
      <c r="AC2307">
        <v>-0.62670000000002701</v>
      </c>
      <c r="AD2307">
        <v>-0.169570099999999</v>
      </c>
      <c r="AE2307">
        <v>-0.24419999999997799</v>
      </c>
      <c r="AF2307">
        <v>8.0029949417739304E-2</v>
      </c>
      <c r="AG2307">
        <v>-0.169570099999999</v>
      </c>
      <c r="AH2307">
        <v>0.62731667797000301</v>
      </c>
      <c r="AI2307">
        <v>105.01003901526001</v>
      </c>
      <c r="AJ2307">
        <v>82.729760970777903</v>
      </c>
      <c r="AK2307">
        <v>0.65474042648757902</v>
      </c>
      <c r="AL2307">
        <v>90.7918173261736</v>
      </c>
      <c r="AM2307">
        <v>89.983262322020707</v>
      </c>
      <c r="AN2307">
        <v>1.00000003485303</v>
      </c>
    </row>
    <row r="2308" spans="1:40" x14ac:dyDescent="0.25">
      <c r="A2308" t="str">
        <f>"20190312161003289"</f>
        <v>20190312161003289</v>
      </c>
      <c r="B2308" t="str">
        <f>"1552378203278332"</f>
        <v>1552378203278332</v>
      </c>
      <c r="C2308" t="s">
        <v>40</v>
      </c>
      <c r="D2308">
        <v>5.0792859999999997</v>
      </c>
      <c r="E2308">
        <v>0.54236459999999997</v>
      </c>
      <c r="F2308" t="s">
        <v>42</v>
      </c>
      <c r="G2308">
        <v>-482.43239999999997</v>
      </c>
      <c r="H2308">
        <v>0.94167520000000005</v>
      </c>
      <c r="I2308">
        <v>281.88400000000001</v>
      </c>
      <c r="J2308">
        <v>-481.81580000000002</v>
      </c>
      <c r="K2308">
        <v>1.1115520000000001</v>
      </c>
      <c r="L2308">
        <v>282.12700000000001</v>
      </c>
      <c r="M2308">
        <v>-0.87622649999999902</v>
      </c>
      <c r="N2308">
        <v>0</v>
      </c>
      <c r="O2308">
        <v>-0.48170960000000002</v>
      </c>
      <c r="P2308">
        <v>-0.87602479999999905</v>
      </c>
      <c r="Q2308">
        <v>-2.747701E-2</v>
      </c>
      <c r="R2308">
        <v>-0.48148279999999899</v>
      </c>
      <c r="S2308">
        <v>-2.7634889999999999</v>
      </c>
      <c r="T2308">
        <v>-0.66967989999999999</v>
      </c>
      <c r="U2308">
        <v>-1.1619569999999999</v>
      </c>
      <c r="V2308">
        <v>1.4033979999999999E-4</v>
      </c>
      <c r="W2308">
        <v>-1.3942029999999999E-2</v>
      </c>
      <c r="X2308">
        <v>0.99990279999999998</v>
      </c>
      <c r="Y2308">
        <v>9.1744149999999997E-2</v>
      </c>
      <c r="Z2308">
        <v>0.11491079999999999</v>
      </c>
      <c r="AA2308">
        <v>0.98913019999999996</v>
      </c>
      <c r="AB2308">
        <v>10</v>
      </c>
      <c r="AC2308">
        <v>-0.61659999999994797</v>
      </c>
      <c r="AD2308">
        <v>-0.16987679999999999</v>
      </c>
      <c r="AE2308">
        <v>-0.242999999999995</v>
      </c>
      <c r="AF2308">
        <v>7.8921683796517705E-2</v>
      </c>
      <c r="AG2308">
        <v>-0.16987679999999999</v>
      </c>
      <c r="AH2308">
        <v>0.61686889271690903</v>
      </c>
      <c r="AI2308">
        <v>105.27814332560099</v>
      </c>
      <c r="AJ2308">
        <v>82.709233781906704</v>
      </c>
      <c r="AK2308">
        <v>0.64468130898398401</v>
      </c>
      <c r="AL2308">
        <v>90.798845354491405</v>
      </c>
      <c r="AM2308">
        <v>89.991958340165695</v>
      </c>
      <c r="AN2308">
        <v>1.00000000467181</v>
      </c>
    </row>
    <row r="2309" spans="1:40" x14ac:dyDescent="0.25">
      <c r="A2309" t="str">
        <f>"20190312161003312"</f>
        <v>20190312161003312</v>
      </c>
      <c r="B2309" t="str">
        <f>"1552378203297853"</f>
        <v>1552378203297853</v>
      </c>
      <c r="C2309" t="s">
        <v>40</v>
      </c>
      <c r="D2309">
        <v>5.1233170000000001</v>
      </c>
      <c r="E2309">
        <v>0.5418231</v>
      </c>
      <c r="F2309" t="s">
        <v>42</v>
      </c>
      <c r="G2309">
        <v>-482.50740000000002</v>
      </c>
      <c r="H2309">
        <v>0.9433897</v>
      </c>
      <c r="I2309">
        <v>281.83179999999999</v>
      </c>
      <c r="J2309">
        <v>-481.9033</v>
      </c>
      <c r="K2309">
        <v>1.1115429999999999</v>
      </c>
      <c r="L2309">
        <v>282.0729</v>
      </c>
      <c r="M2309">
        <v>-0.87412599999999996</v>
      </c>
      <c r="N2309">
        <v>0</v>
      </c>
      <c r="O2309">
        <v>-0.48551129999999998</v>
      </c>
      <c r="P2309">
        <v>-0.87384229999999996</v>
      </c>
      <c r="Q2309">
        <v>-2.7853969999999999E-2</v>
      </c>
      <c r="R2309">
        <v>-0.4854115</v>
      </c>
      <c r="S2309">
        <v>-2.756958</v>
      </c>
      <c r="T2309">
        <v>-0.67018250000000001</v>
      </c>
      <c r="U2309">
        <v>-1.1763920000000001</v>
      </c>
      <c r="V2309" s="1">
        <v>-1.080681E-5</v>
      </c>
      <c r="W2309">
        <v>-1.4334670000000001E-2</v>
      </c>
      <c r="X2309">
        <v>0.99989720000000004</v>
      </c>
      <c r="Y2309">
        <v>9.0755080000000002E-2</v>
      </c>
      <c r="Z2309">
        <v>0.1157239</v>
      </c>
      <c r="AA2309">
        <v>0.98912659999999997</v>
      </c>
      <c r="AB2309">
        <v>10</v>
      </c>
      <c r="AC2309">
        <v>-0.60410000000001596</v>
      </c>
      <c r="AD2309">
        <v>-0.16815330000000001</v>
      </c>
      <c r="AE2309">
        <v>-0.241100000000017</v>
      </c>
      <c r="AF2309">
        <v>7.7381363740460493E-2</v>
      </c>
      <c r="AG2309">
        <v>-0.16815330000000001</v>
      </c>
      <c r="AH2309">
        <v>0.60475639820768401</v>
      </c>
      <c r="AI2309">
        <v>105.4189996331</v>
      </c>
      <c r="AJ2309">
        <v>82.708362936743995</v>
      </c>
      <c r="AK2309">
        <v>0.63245055848528897</v>
      </c>
      <c r="AL2309">
        <v>90.821344265791396</v>
      </c>
      <c r="AM2309">
        <v>90.0006192482617</v>
      </c>
      <c r="AN2309">
        <v>0.99999994672431602</v>
      </c>
    </row>
    <row r="2310" spans="1:40" x14ac:dyDescent="0.25">
      <c r="A2310" t="str">
        <f>"20190312161003334"</f>
        <v>20190312161003334</v>
      </c>
      <c r="B2310" t="str">
        <f>"1552378203327639"</f>
        <v>1552378203327639</v>
      </c>
      <c r="C2310" t="s">
        <v>40</v>
      </c>
      <c r="D2310">
        <v>4.8637759999999997</v>
      </c>
      <c r="E2310">
        <v>0.54095150000000003</v>
      </c>
      <c r="F2310" t="s">
        <v>42</v>
      </c>
      <c r="G2310">
        <v>-482.5822</v>
      </c>
      <c r="H2310">
        <v>0.94618279999999999</v>
      </c>
      <c r="I2310">
        <v>281.77870000000001</v>
      </c>
      <c r="J2310">
        <v>-481.9914</v>
      </c>
      <c r="K2310">
        <v>1.1115280000000001</v>
      </c>
      <c r="L2310">
        <v>282.01799999999997</v>
      </c>
      <c r="M2310">
        <v>-0.8719886</v>
      </c>
      <c r="N2310">
        <v>0</v>
      </c>
      <c r="O2310">
        <v>-0.4893402</v>
      </c>
      <c r="P2310">
        <v>-0.87183690000000003</v>
      </c>
      <c r="Q2310">
        <v>-2.784321E-2</v>
      </c>
      <c r="R2310">
        <v>-0.48900460000000001</v>
      </c>
      <c r="S2310">
        <v>-2.7495419999999999</v>
      </c>
      <c r="T2310">
        <v>-0.67062330000000003</v>
      </c>
      <c r="U2310">
        <v>-1.1921389999999901</v>
      </c>
      <c r="V2310">
        <v>2.57805E-4</v>
      </c>
      <c r="W2310">
        <v>-1.43371E-2</v>
      </c>
      <c r="X2310">
        <v>0.99989720000000004</v>
      </c>
      <c r="Y2310">
        <v>8.9301920000000007E-2</v>
      </c>
      <c r="Z2310">
        <v>0.1164964</v>
      </c>
      <c r="AA2310">
        <v>0.98916820000000005</v>
      </c>
      <c r="AB2310">
        <v>10</v>
      </c>
      <c r="AC2310">
        <v>-0.59080000000000099</v>
      </c>
      <c r="AD2310">
        <v>-0.165345199999999</v>
      </c>
      <c r="AE2310">
        <v>-0.23929999999995699</v>
      </c>
      <c r="AF2310">
        <v>7.5371192658368794E-2</v>
      </c>
      <c r="AG2310">
        <v>-0.165345199999999</v>
      </c>
      <c r="AH2310">
        <v>0.59246290257176903</v>
      </c>
      <c r="AI2310">
        <v>105.474739308027</v>
      </c>
      <c r="AJ2310">
        <v>82.749962717455304</v>
      </c>
      <c r="AK2310">
        <v>0.619703269936145</v>
      </c>
      <c r="AL2310">
        <v>90.821483452979706</v>
      </c>
      <c r="AM2310">
        <v>89.985227343260803</v>
      </c>
      <c r="AN2310">
        <v>1.0000000147338299</v>
      </c>
    </row>
    <row r="2311" spans="1:40" x14ac:dyDescent="0.25">
      <c r="A2311" t="str">
        <f>"20190312161003355"</f>
        <v>20190312161003355</v>
      </c>
      <c r="B2311" t="str">
        <f>"1552378203348136"</f>
        <v>1552378203348136</v>
      </c>
      <c r="C2311" t="s">
        <v>40</v>
      </c>
      <c r="D2311">
        <v>4.8497539999999999</v>
      </c>
      <c r="E2311">
        <v>0.54048660000000004</v>
      </c>
      <c r="F2311" t="s">
        <v>42</v>
      </c>
      <c r="G2311">
        <v>-482.65640000000002</v>
      </c>
      <c r="H2311">
        <v>0.94962259999999998</v>
      </c>
      <c r="I2311">
        <v>281.72460000000001</v>
      </c>
      <c r="J2311">
        <v>-482.07190000000003</v>
      </c>
      <c r="K2311">
        <v>1.1115189999999999</v>
      </c>
      <c r="L2311">
        <v>281.96730000000002</v>
      </c>
      <c r="M2311">
        <v>-0.87001479999999998</v>
      </c>
      <c r="N2311">
        <v>0</v>
      </c>
      <c r="O2311">
        <v>-0.49284060000000002</v>
      </c>
      <c r="P2311">
        <v>-0.86963509999999999</v>
      </c>
      <c r="Q2311">
        <v>-2.791772E-2</v>
      </c>
      <c r="R2311">
        <v>-0.49290450000000002</v>
      </c>
      <c r="S2311">
        <v>-2.7413020000000001</v>
      </c>
      <c r="T2311">
        <v>-0.66730840000000002</v>
      </c>
      <c r="U2311">
        <v>-1.2095340000000001</v>
      </c>
      <c r="V2311">
        <v>-2.0341359999999999E-4</v>
      </c>
      <c r="W2311">
        <v>-1.4424360000000001E-2</v>
      </c>
      <c r="X2311">
        <v>0.99989589999999995</v>
      </c>
      <c r="Y2311">
        <v>8.7038190000000001E-2</v>
      </c>
      <c r="Z2311">
        <v>0.11648459999999999</v>
      </c>
      <c r="AA2311">
        <v>0.98937140000000001</v>
      </c>
      <c r="AB2311">
        <v>10</v>
      </c>
      <c r="AC2311">
        <v>-0.58449999999999103</v>
      </c>
      <c r="AD2311">
        <v>-0.1618964</v>
      </c>
      <c r="AE2311">
        <v>-0.24270000000001299</v>
      </c>
      <c r="AF2311">
        <v>7.2195484069684901E-2</v>
      </c>
      <c r="AG2311">
        <v>-0.1618964</v>
      </c>
      <c r="AH2311">
        <v>0.58961087540124901</v>
      </c>
      <c r="AI2311">
        <v>105.245463389162</v>
      </c>
      <c r="AJ2311">
        <v>83.019111668241607</v>
      </c>
      <c r="AK2311">
        <v>0.61568142463813502</v>
      </c>
      <c r="AL2311">
        <v>90.826483647247599</v>
      </c>
      <c r="AM2311">
        <v>90.011655953999593</v>
      </c>
      <c r="AN2311">
        <v>0.999999957187655</v>
      </c>
    </row>
    <row r="2312" spans="1:40" x14ac:dyDescent="0.25">
      <c r="A2312" t="str">
        <f>"20190312161003378"</f>
        <v>20190312161003378</v>
      </c>
      <c r="B2312" t="str">
        <f>"1552378203367656"</f>
        <v>1552378203367656</v>
      </c>
      <c r="C2312" t="s">
        <v>40</v>
      </c>
      <c r="D2312">
        <v>4.987069</v>
      </c>
      <c r="E2312">
        <v>0.5400298</v>
      </c>
      <c r="F2312" t="s">
        <v>42</v>
      </c>
      <c r="G2312">
        <v>-482.73050000000001</v>
      </c>
      <c r="H2312">
        <v>0.95135689999999995</v>
      </c>
      <c r="I2312">
        <v>281.67250000000001</v>
      </c>
      <c r="J2312">
        <v>-482.15469999999999</v>
      </c>
      <c r="K2312">
        <v>1.111507</v>
      </c>
      <c r="L2312">
        <v>281.91480000000001</v>
      </c>
      <c r="M2312">
        <v>-0.86796620000000002</v>
      </c>
      <c r="N2312">
        <v>0</v>
      </c>
      <c r="O2312">
        <v>-0.4964403</v>
      </c>
      <c r="P2312">
        <v>-0.86723329999999998</v>
      </c>
      <c r="Q2312">
        <v>-2.820609E-2</v>
      </c>
      <c r="R2312">
        <v>-0.49710270000000001</v>
      </c>
      <c r="S2312">
        <v>-2.7341609999999998</v>
      </c>
      <c r="T2312">
        <v>-0.66588029999999998</v>
      </c>
      <c r="U2312">
        <v>-1.2247920000000001</v>
      </c>
      <c r="V2312">
        <v>-8.9904259999999995E-4</v>
      </c>
      <c r="W2312">
        <v>-1.4725510000000001E-2</v>
      </c>
      <c r="X2312">
        <v>0.99989119999999998</v>
      </c>
      <c r="Y2312">
        <v>8.5600549999999997E-2</v>
      </c>
      <c r="Z2312">
        <v>0.1168807</v>
      </c>
      <c r="AA2312">
        <v>0.9894501</v>
      </c>
      <c r="AB2312">
        <v>10</v>
      </c>
      <c r="AC2312">
        <v>-0.57580000000001497</v>
      </c>
      <c r="AD2312">
        <v>-0.16015009999999999</v>
      </c>
      <c r="AE2312">
        <v>-0.24229999999999999</v>
      </c>
      <c r="AF2312">
        <v>7.0889997047394002E-2</v>
      </c>
      <c r="AG2312">
        <v>-0.16015009999999999</v>
      </c>
      <c r="AH2312">
        <v>0.58187705776348997</v>
      </c>
      <c r="AI2312">
        <v>105.280861081336</v>
      </c>
      <c r="AJ2312">
        <v>83.053894456988402</v>
      </c>
      <c r="AK2312">
        <v>0.60766302879382506</v>
      </c>
      <c r="AL2312">
        <v>90.843740043273499</v>
      </c>
      <c r="AM2312">
        <v>90.051516937743799</v>
      </c>
      <c r="AN2312">
        <v>1.0000000303798899</v>
      </c>
    </row>
    <row r="2313" spans="1:40" x14ac:dyDescent="0.25">
      <c r="A2313" t="str">
        <f>"20190312161003400"</f>
        <v>20190312161003400</v>
      </c>
      <c r="B2313" t="str">
        <f>"1552378203388152"</f>
        <v>1552378203388152</v>
      </c>
      <c r="C2313" t="s">
        <v>40</v>
      </c>
      <c r="D2313">
        <v>5.0405340000000001</v>
      </c>
      <c r="E2313">
        <v>0.5396938</v>
      </c>
      <c r="F2313" t="s">
        <v>42</v>
      </c>
      <c r="G2313">
        <v>-482.80360000000002</v>
      </c>
      <c r="H2313">
        <v>0.95301749999999996</v>
      </c>
      <c r="I2313">
        <v>281.61939999999998</v>
      </c>
      <c r="J2313">
        <v>-482.24</v>
      </c>
      <c r="K2313">
        <v>1.111494</v>
      </c>
      <c r="L2313">
        <v>281.86020000000002</v>
      </c>
      <c r="M2313">
        <v>-0.86583330000000003</v>
      </c>
      <c r="N2313">
        <v>0</v>
      </c>
      <c r="O2313">
        <v>-0.50015100000000001</v>
      </c>
      <c r="P2313">
        <v>-0.86488279999999995</v>
      </c>
      <c r="Q2313">
        <v>-2.8531810000000001E-2</v>
      </c>
      <c r="R2313">
        <v>-0.50116240000000001</v>
      </c>
      <c r="S2313">
        <v>-2.7262270000000002</v>
      </c>
      <c r="T2313">
        <v>-0.66534899999999997</v>
      </c>
      <c r="U2313">
        <v>-1.2410890000000001</v>
      </c>
      <c r="V2313">
        <v>-1.3105020000000001E-3</v>
      </c>
      <c r="W2313">
        <v>-1.5062529999999999E-2</v>
      </c>
      <c r="X2313">
        <v>0.99988569999999999</v>
      </c>
      <c r="Y2313">
        <v>8.3847889999999994E-2</v>
      </c>
      <c r="Z2313">
        <v>0.1174293</v>
      </c>
      <c r="AA2313">
        <v>0.98953519999999995</v>
      </c>
      <c r="AB2313">
        <v>10</v>
      </c>
      <c r="AC2313">
        <v>-0.56360000000000798</v>
      </c>
      <c r="AD2313">
        <v>-0.15847649999999999</v>
      </c>
      <c r="AE2313">
        <v>-0.24080000000003501</v>
      </c>
      <c r="AF2313">
        <v>6.87991628530501E-2</v>
      </c>
      <c r="AG2313">
        <v>-0.15847649999999999</v>
      </c>
      <c r="AH2313">
        <v>0.57034191030235004</v>
      </c>
      <c r="AI2313">
        <v>105.422182750993</v>
      </c>
      <c r="AJ2313">
        <v>83.1217623291694</v>
      </c>
      <c r="AK2313">
        <v>0.59593457737310795</v>
      </c>
      <c r="AL2313">
        <v>90.863052030293503</v>
      </c>
      <c r="AM2313">
        <v>90.075094773981505</v>
      </c>
      <c r="AN2313">
        <v>1.00000000514499</v>
      </c>
    </row>
    <row r="2314" spans="1:40" x14ac:dyDescent="0.25">
      <c r="A2314" t="str">
        <f>"20190312161003423"</f>
        <v>20190312161003423</v>
      </c>
      <c r="B2314" t="str">
        <f>"1552378203418407"</f>
        <v>1552378203418407</v>
      </c>
      <c r="C2314" t="s">
        <v>40</v>
      </c>
      <c r="D2314">
        <v>3.932032</v>
      </c>
      <c r="E2314">
        <v>0.53935500000000003</v>
      </c>
      <c r="F2314" t="s">
        <v>42</v>
      </c>
      <c r="G2314">
        <v>-482.87700000000001</v>
      </c>
      <c r="H2314">
        <v>0.95583960000000001</v>
      </c>
      <c r="I2314">
        <v>281.56599999999997</v>
      </c>
      <c r="J2314">
        <v>-482.32319999999999</v>
      </c>
      <c r="K2314">
        <v>1.1114820000000001</v>
      </c>
      <c r="L2314">
        <v>281.8064</v>
      </c>
      <c r="M2314">
        <v>-0.86373290000000003</v>
      </c>
      <c r="N2314">
        <v>0</v>
      </c>
      <c r="O2314">
        <v>-0.50376989999999999</v>
      </c>
      <c r="P2314">
        <v>-0.8625891</v>
      </c>
      <c r="Q2314">
        <v>-2.915688E-2</v>
      </c>
      <c r="R2314">
        <v>-0.50506450000000003</v>
      </c>
      <c r="S2314">
        <v>-2.7185969999999999</v>
      </c>
      <c r="T2314">
        <v>-0.66541989999999995</v>
      </c>
      <c r="U2314">
        <v>-1.256561</v>
      </c>
      <c r="V2314">
        <v>-1.652815E-3</v>
      </c>
      <c r="W2314">
        <v>-1.569777E-2</v>
      </c>
      <c r="X2314">
        <v>0.99987539999999997</v>
      </c>
      <c r="Y2314">
        <v>8.2264439999999994E-2</v>
      </c>
      <c r="Z2314">
        <v>0.1180766</v>
      </c>
      <c r="AA2314">
        <v>0.98959109999999995</v>
      </c>
      <c r="AB2314">
        <v>10</v>
      </c>
      <c r="AC2314">
        <v>-0.55379999999996699</v>
      </c>
      <c r="AD2314">
        <v>-0.15564239999999999</v>
      </c>
      <c r="AE2314">
        <v>-0.24040000000002201</v>
      </c>
      <c r="AF2314">
        <v>6.6906128262612496E-2</v>
      </c>
      <c r="AG2314">
        <v>-0.15564239999999999</v>
      </c>
      <c r="AH2314">
        <v>0.56213522458866905</v>
      </c>
      <c r="AI2314">
        <v>105.372874623638</v>
      </c>
      <c r="AJ2314">
        <v>83.212505990439496</v>
      </c>
      <c r="AK2314">
        <v>0.58710901662315396</v>
      </c>
      <c r="AL2314">
        <v>90.899452926579798</v>
      </c>
      <c r="AM2314">
        <v>90.094711038556795</v>
      </c>
      <c r="AN2314">
        <v>0.99999998365277798</v>
      </c>
    </row>
    <row r="2315" spans="1:40" x14ac:dyDescent="0.25">
      <c r="A2315" t="str">
        <f>"20190312161003535"</f>
        <v>20190312161003535</v>
      </c>
      <c r="B2315" t="str">
        <f>"1552378203528229"</f>
        <v>1552378203528229</v>
      </c>
      <c r="C2315" t="s">
        <v>40</v>
      </c>
      <c r="D2315">
        <v>4.7656839999999896</v>
      </c>
      <c r="E2315">
        <v>0.34486480000000003</v>
      </c>
      <c r="F2315" t="s">
        <v>42</v>
      </c>
      <c r="G2315">
        <v>-482.94940000000003</v>
      </c>
      <c r="H2315">
        <v>0.95717229999999998</v>
      </c>
      <c r="I2315">
        <v>281.5129</v>
      </c>
      <c r="J2315">
        <v>-482.73</v>
      </c>
      <c r="K2315">
        <v>1.111434</v>
      </c>
      <c r="L2315">
        <v>281.53609999999998</v>
      </c>
      <c r="M2315">
        <v>-0.85315409999999903</v>
      </c>
      <c r="N2315">
        <v>0</v>
      </c>
      <c r="O2315">
        <v>-0.52148620000000001</v>
      </c>
      <c r="P2315">
        <v>-0.85218869999999902</v>
      </c>
      <c r="Q2315">
        <v>-2.9038060000000001E-2</v>
      </c>
      <c r="R2315">
        <v>-0.52242849999999996</v>
      </c>
      <c r="S2315">
        <v>-2.7112729999999998</v>
      </c>
      <c r="T2315">
        <v>-0.66794809999999905</v>
      </c>
      <c r="U2315">
        <v>-1.270691</v>
      </c>
      <c r="V2315">
        <v>-1.267104E-3</v>
      </c>
      <c r="W2315">
        <v>-1.5613490000000001E-2</v>
      </c>
      <c r="X2315">
        <v>0.99987729999999997</v>
      </c>
      <c r="Y2315">
        <v>9.6802609999999997E-2</v>
      </c>
      <c r="Z2315">
        <v>0.12368800000000001</v>
      </c>
      <c r="AA2315">
        <v>0.98758820000000003</v>
      </c>
      <c r="AB2315">
        <v>10</v>
      </c>
      <c r="AC2315">
        <v>-0.21940000000000701</v>
      </c>
      <c r="AD2315">
        <v>-0.1542617</v>
      </c>
      <c r="AE2315">
        <v>-2.31999999999743E-2</v>
      </c>
      <c r="AF2315">
        <v>6.3556900124458304E-2</v>
      </c>
      <c r="AG2315">
        <v>-0.1542617</v>
      </c>
      <c r="AH2315">
        <v>0.13385679633598099</v>
      </c>
      <c r="AI2315">
        <v>136.15211105127</v>
      </c>
      <c r="AJ2315">
        <v>64.601040827282802</v>
      </c>
      <c r="AK2315">
        <v>0.21390136410423499</v>
      </c>
      <c r="AL2315">
        <v>90.894623430939603</v>
      </c>
      <c r="AM2315">
        <v>90.072608581613395</v>
      </c>
      <c r="AN2315">
        <v>1.0000000008389001</v>
      </c>
    </row>
    <row r="2316" spans="1:40" x14ac:dyDescent="0.25">
      <c r="A2316" t="str">
        <f>"20190312161003556"</f>
        <v>20190312161003556</v>
      </c>
      <c r="B2316" t="str">
        <f>"1552378203547746"</f>
        <v>1552378203547746</v>
      </c>
      <c r="C2316" t="s">
        <v>40</v>
      </c>
      <c r="D2316">
        <v>4.6793550000000002</v>
      </c>
      <c r="E2316">
        <v>0.34075699999999998</v>
      </c>
      <c r="F2316" t="s">
        <v>41</v>
      </c>
      <c r="G2316">
        <v>-498.07080000000002</v>
      </c>
      <c r="H2316" s="1">
        <v>-2.4871599999999998E-6</v>
      </c>
      <c r="I2316">
        <v>260.38099999999997</v>
      </c>
      <c r="J2316">
        <v>-482.80840000000001</v>
      </c>
      <c r="K2316">
        <v>1.111426</v>
      </c>
      <c r="L2316">
        <v>281.48250000000002</v>
      </c>
      <c r="M2316">
        <v>-0.85105390000000003</v>
      </c>
      <c r="N2316">
        <v>0</v>
      </c>
      <c r="O2316">
        <v>-0.5249066</v>
      </c>
      <c r="P2316">
        <v>-0.85028859999999995</v>
      </c>
      <c r="Q2316">
        <v>-2.9362969999999999E-2</v>
      </c>
      <c r="R2316">
        <v>-0.52549729999999995</v>
      </c>
      <c r="S2316">
        <v>-1.9051210000000001</v>
      </c>
      <c r="T2316">
        <v>-0.13802500000000001</v>
      </c>
      <c r="U2316">
        <v>-2.627167</v>
      </c>
      <c r="V2316">
        <v>-8.6279070000000002E-4</v>
      </c>
      <c r="W2316">
        <v>-1.5943039999999999E-2</v>
      </c>
      <c r="X2316">
        <v>0.99987250000000005</v>
      </c>
      <c r="Y2316">
        <v>-0.38093070000000001</v>
      </c>
      <c r="Z2316">
        <v>1.5153430000000001E-2</v>
      </c>
      <c r="AA2316">
        <v>0.92447939999999995</v>
      </c>
      <c r="AB2316">
        <v>10</v>
      </c>
      <c r="AC2316">
        <v>-15.2624</v>
      </c>
      <c r="AD2316">
        <v>-1.11142848716</v>
      </c>
      <c r="AE2316">
        <v>-21.101500000000001</v>
      </c>
      <c r="AF2316">
        <v>-9.9299902370411797</v>
      </c>
      <c r="AG2316">
        <v>-1.11142848716</v>
      </c>
      <c r="AH2316">
        <v>24.0238555736228</v>
      </c>
      <c r="AI2316">
        <v>92.448198334025804</v>
      </c>
      <c r="AJ2316">
        <v>112.457203667242</v>
      </c>
      <c r="AK2316">
        <v>26.018947250265398</v>
      </c>
      <c r="AL2316">
        <v>90.913507633567406</v>
      </c>
      <c r="AM2316">
        <v>90.049440557114593</v>
      </c>
      <c r="AN2316">
        <v>0.99999997059424095</v>
      </c>
    </row>
    <row r="2317" spans="1:40" x14ac:dyDescent="0.25">
      <c r="A2317" t="str">
        <f>"20190312161003578"</f>
        <v>20190312161003578</v>
      </c>
      <c r="B2317" t="str">
        <f>"1552378203568243"</f>
        <v>1552378203568243</v>
      </c>
      <c r="C2317" t="s">
        <v>40</v>
      </c>
      <c r="D2317">
        <v>4.6852109999999998</v>
      </c>
      <c r="E2317">
        <v>0.33573309999999901</v>
      </c>
      <c r="F2317" t="s">
        <v>41</v>
      </c>
      <c r="G2317">
        <v>-499.95780000000002</v>
      </c>
      <c r="H2317">
        <v>2.6619360000000002E-2</v>
      </c>
      <c r="I2317">
        <v>257.20960000000002</v>
      </c>
      <c r="J2317">
        <v>-482.88830000000002</v>
      </c>
      <c r="K2317">
        <v>1.1114139999999999</v>
      </c>
      <c r="L2317">
        <v>281.42759999999998</v>
      </c>
      <c r="M2317">
        <v>-0.84889599999999898</v>
      </c>
      <c r="N2317">
        <v>0</v>
      </c>
      <c r="O2317">
        <v>-0.52838969999999996</v>
      </c>
      <c r="P2317">
        <v>-0.8483948</v>
      </c>
      <c r="Q2317">
        <v>-2.9930700000000001E-2</v>
      </c>
      <c r="R2317">
        <v>-0.52851719999999902</v>
      </c>
      <c r="S2317">
        <v>-1.879761</v>
      </c>
      <c r="T2317">
        <v>-0.118907</v>
      </c>
      <c r="U2317">
        <v>-2.6605829999999999</v>
      </c>
      <c r="V2317">
        <v>-3.302283E-4</v>
      </c>
      <c r="W2317">
        <v>-1.651507E-2</v>
      </c>
      <c r="X2317">
        <v>0.99986359999999996</v>
      </c>
      <c r="Y2317">
        <v>-0.38850129999999999</v>
      </c>
      <c r="Z2317">
        <v>1.3017310000000001E-2</v>
      </c>
      <c r="AA2317">
        <v>0.92135630000000002</v>
      </c>
      <c r="AB2317">
        <v>10</v>
      </c>
      <c r="AC2317">
        <v>-17.069500000000001</v>
      </c>
      <c r="AD2317">
        <v>-1.0847946399999999</v>
      </c>
      <c r="AE2317">
        <v>-24.2179999999999</v>
      </c>
      <c r="AF2317">
        <v>-11.5248047054474</v>
      </c>
      <c r="AG2317">
        <v>-1.0847946399999999</v>
      </c>
      <c r="AH2317">
        <v>27.252695203078702</v>
      </c>
      <c r="AI2317">
        <v>92.099616885196795</v>
      </c>
      <c r="AJ2317">
        <v>112.92285972051</v>
      </c>
      <c r="AK2317">
        <v>29.6092434679035</v>
      </c>
      <c r="AL2317">
        <v>90.946286793341201</v>
      </c>
      <c r="AM2317">
        <v>90.018923268311596</v>
      </c>
      <c r="AN2317">
        <v>1.00000003759639</v>
      </c>
    </row>
    <row r="2318" spans="1:40" x14ac:dyDescent="0.25">
      <c r="A2318" t="str">
        <f>"20190312161003590"</f>
        <v>20190312161003590</v>
      </c>
      <c r="B2318" t="str">
        <f>"1552378203587762"</f>
        <v>1552378203587762</v>
      </c>
      <c r="C2318" t="s">
        <v>40</v>
      </c>
      <c r="D2318">
        <v>4.8113830000000002</v>
      </c>
      <c r="E2318">
        <v>0.33297349999999998</v>
      </c>
      <c r="F2318" t="s">
        <v>41</v>
      </c>
      <c r="G2318">
        <v>-504.75240000000002</v>
      </c>
      <c r="H2318">
        <v>7.9985589999999995E-2</v>
      </c>
      <c r="I2318">
        <v>249.5256</v>
      </c>
      <c r="J2318">
        <v>-482.93090000000001</v>
      </c>
      <c r="K2318">
        <v>1.1114090000000001</v>
      </c>
      <c r="L2318">
        <v>281.39800000000002</v>
      </c>
      <c r="M2318">
        <v>-0.84773770000000004</v>
      </c>
      <c r="N2318">
        <v>0</v>
      </c>
      <c r="O2318">
        <v>-0.53024609999999905</v>
      </c>
      <c r="P2318">
        <v>-0.84733760000000002</v>
      </c>
      <c r="Q2318">
        <v>-2.9904050000000001E-2</v>
      </c>
      <c r="R2318">
        <v>-0.53021189999999996</v>
      </c>
      <c r="S2318">
        <v>-1.8507389999999999</v>
      </c>
      <c r="T2318">
        <v>-8.7307570000000001E-2</v>
      </c>
      <c r="U2318">
        <v>-2.7004090000000001</v>
      </c>
      <c r="V2318">
        <v>-1.4047309999999999E-4</v>
      </c>
      <c r="W2318">
        <v>-1.6490749999999998E-2</v>
      </c>
      <c r="X2318">
        <v>0.99986399999999998</v>
      </c>
      <c r="Y2318">
        <v>-0.39956930000000002</v>
      </c>
      <c r="Z2318">
        <v>9.4267259999999999E-3</v>
      </c>
      <c r="AA2318">
        <v>0.91665450000000004</v>
      </c>
      <c r="AB2318">
        <v>10</v>
      </c>
      <c r="AC2318">
        <v>-21.8215</v>
      </c>
      <c r="AD2318">
        <v>-1.0314234099999999</v>
      </c>
      <c r="AE2318">
        <v>-31.872399999999899</v>
      </c>
      <c r="AF2318">
        <v>-15.439051092081399</v>
      </c>
      <c r="AG2318">
        <v>-1.0314234099999999</v>
      </c>
      <c r="AH2318">
        <v>35.377083688515697</v>
      </c>
      <c r="AI2318">
        <v>91.530655230435201</v>
      </c>
      <c r="AJ2318">
        <v>113.577125435833</v>
      </c>
      <c r="AK2318">
        <v>38.613031261205599</v>
      </c>
      <c r="AL2318">
        <v>90.944893213778798</v>
      </c>
      <c r="AM2318">
        <v>90.008049610459096</v>
      </c>
      <c r="AN2318">
        <v>0.99999999153212704</v>
      </c>
    </row>
    <row r="2319" spans="1:40" x14ac:dyDescent="0.25">
      <c r="A2319" t="str">
        <f>"20190312161003602"</f>
        <v>20190312161003602</v>
      </c>
      <c r="B2319" t="str">
        <f>"1552378203598499"</f>
        <v>1552378203598499</v>
      </c>
      <c r="C2319" t="s">
        <v>40</v>
      </c>
      <c r="D2319">
        <v>4.8016069999999997</v>
      </c>
      <c r="E2319">
        <v>0.33229920000000002</v>
      </c>
      <c r="F2319" t="s">
        <v>75</v>
      </c>
      <c r="G2319">
        <v>-512.8252</v>
      </c>
      <c r="H2319">
        <v>0.1434115</v>
      </c>
      <c r="I2319">
        <v>237.08009999999999</v>
      </c>
      <c r="J2319">
        <v>-482.97280000000001</v>
      </c>
      <c r="K2319">
        <v>1.111405</v>
      </c>
      <c r="L2319">
        <v>281.3689</v>
      </c>
      <c r="M2319">
        <v>-0.84659079999999998</v>
      </c>
      <c r="N2319">
        <v>0</v>
      </c>
      <c r="O2319">
        <v>-0.53207550000000003</v>
      </c>
      <c r="P2319">
        <v>-0.84627940000000001</v>
      </c>
      <c r="Q2319">
        <v>-2.9905279999999999E-2</v>
      </c>
      <c r="R2319">
        <v>-0.53189909999999996</v>
      </c>
      <c r="S2319">
        <v>-1.8356319999999999</v>
      </c>
      <c r="T2319">
        <v>-5.943441E-2</v>
      </c>
      <c r="U2319">
        <v>-2.7212830000000001</v>
      </c>
      <c r="V2319" s="1">
        <v>2.6024650000000002E-5</v>
      </c>
      <c r="W2319">
        <v>-1.6494249999999998E-2</v>
      </c>
      <c r="X2319">
        <v>0.99986399999999998</v>
      </c>
      <c r="Y2319">
        <v>-0.40434599999999998</v>
      </c>
      <c r="Z2319">
        <v>6.3965790000000003E-3</v>
      </c>
      <c r="AA2319">
        <v>0.9145837</v>
      </c>
      <c r="AB2319">
        <v>10</v>
      </c>
      <c r="AC2319">
        <v>-29.8523999999999</v>
      </c>
      <c r="AD2319">
        <v>-0.96799349999999995</v>
      </c>
      <c r="AE2319">
        <v>-44.288800000000002</v>
      </c>
      <c r="AF2319">
        <v>-21.6056049650762</v>
      </c>
      <c r="AG2319">
        <v>-0.96799349999999995</v>
      </c>
      <c r="AH2319">
        <v>48.826102910167201</v>
      </c>
      <c r="AI2319">
        <v>91.038639529799696</v>
      </c>
      <c r="AJ2319">
        <v>113.869443475224</v>
      </c>
      <c r="AK2319">
        <v>53.401568354470697</v>
      </c>
      <c r="AL2319">
        <v>90.945093730733504</v>
      </c>
      <c r="AM2319">
        <v>89.998508694574497</v>
      </c>
      <c r="AN2319">
        <v>1.0000000397281701</v>
      </c>
    </row>
    <row r="2320" spans="1:40" x14ac:dyDescent="0.25">
      <c r="A2320" t="str">
        <f>"20190312161003624"</f>
        <v>20190312161003624</v>
      </c>
      <c r="B2320" t="str">
        <f>"1552378203618018"</f>
        <v>1552378203618018</v>
      </c>
      <c r="C2320" t="s">
        <v>40</v>
      </c>
      <c r="D2320">
        <v>4.8835989999999896</v>
      </c>
      <c r="E2320">
        <v>0.33159179999999999</v>
      </c>
      <c r="F2320" t="s">
        <v>75</v>
      </c>
      <c r="G2320">
        <v>-512.82529999999997</v>
      </c>
      <c r="H2320">
        <v>0.27412839999999999</v>
      </c>
      <c r="I2320">
        <v>236.79339999999999</v>
      </c>
      <c r="J2320">
        <v>-483.04939999999999</v>
      </c>
      <c r="K2320">
        <v>1.1113999999999999</v>
      </c>
      <c r="L2320">
        <v>281.3152</v>
      </c>
      <c r="M2320">
        <v>-0.84448310000000004</v>
      </c>
      <c r="N2320">
        <v>0</v>
      </c>
      <c r="O2320">
        <v>-0.53541439999999996</v>
      </c>
      <c r="P2320">
        <v>-0.84417359999999897</v>
      </c>
      <c r="Q2320">
        <v>-3.0564109999999999E-2</v>
      </c>
      <c r="R2320">
        <v>-0.53519819999999996</v>
      </c>
      <c r="S2320">
        <v>-1.8277589999999999</v>
      </c>
      <c r="T2320">
        <v>-5.1259039999999999E-2</v>
      </c>
      <c r="U2320">
        <v>-2.729187</v>
      </c>
      <c r="V2320" s="1">
        <v>6.0587249999999998E-5</v>
      </c>
      <c r="W2320">
        <v>-1.7158070000000001E-2</v>
      </c>
      <c r="X2320">
        <v>0.99985279999999999</v>
      </c>
      <c r="Y2320">
        <v>-0.40377999999999997</v>
      </c>
      <c r="Z2320">
        <v>5.5765290000000002E-3</v>
      </c>
      <c r="AA2320">
        <v>0.91483910000000002</v>
      </c>
      <c r="AB2320">
        <v>10</v>
      </c>
      <c r="AC2320">
        <v>-29.775899999999901</v>
      </c>
      <c r="AD2320">
        <v>-0.8372716</v>
      </c>
      <c r="AE2320">
        <v>-44.521799999999999</v>
      </c>
      <c r="AF2320">
        <v>-21.652117257537402</v>
      </c>
      <c r="AG2320">
        <v>-0.8372716</v>
      </c>
      <c r="AH2320">
        <v>48.975291531488303</v>
      </c>
      <c r="AI2320">
        <v>90.895797748222293</v>
      </c>
      <c r="AJ2320">
        <v>113.85035951457699</v>
      </c>
      <c r="AK2320">
        <v>53.5545925767398</v>
      </c>
      <c r="AL2320">
        <v>90.983133226436195</v>
      </c>
      <c r="AM2320">
        <v>89.996528095222502</v>
      </c>
      <c r="AN2320">
        <v>1.00000001235238</v>
      </c>
    </row>
    <row r="2321" spans="1:40" x14ac:dyDescent="0.25">
      <c r="A2321" t="str">
        <f>"20190312161003647"</f>
        <v>20190312161003647</v>
      </c>
      <c r="B2321" t="str">
        <f>"1552378203637538"</f>
        <v>1552378203637538</v>
      </c>
      <c r="C2321" t="s">
        <v>40</v>
      </c>
      <c r="D2321">
        <v>4.9205170000000003</v>
      </c>
      <c r="E2321">
        <v>0.33124209999999998</v>
      </c>
      <c r="F2321" t="s">
        <v>75</v>
      </c>
      <c r="G2321">
        <v>-512.82529999999997</v>
      </c>
      <c r="H2321">
        <v>0.38644770000000001</v>
      </c>
      <c r="I2321">
        <v>236.3399</v>
      </c>
      <c r="J2321">
        <v>-483.12849999999997</v>
      </c>
      <c r="K2321">
        <v>1.1113919999999999</v>
      </c>
      <c r="L2321">
        <v>281.2593</v>
      </c>
      <c r="M2321">
        <v>-0.84228409999999998</v>
      </c>
      <c r="N2321">
        <v>0</v>
      </c>
      <c r="O2321">
        <v>-0.5388674</v>
      </c>
      <c r="P2321">
        <v>-0.84207690000000002</v>
      </c>
      <c r="Q2321">
        <v>-3.1434839999999999E-2</v>
      </c>
      <c r="R2321">
        <v>-0.53844080000000005</v>
      </c>
      <c r="S2321">
        <v>-1.8145450000000001</v>
      </c>
      <c r="T2321">
        <v>-4.4174190000000002E-2</v>
      </c>
      <c r="U2321">
        <v>-2.7407840000000001</v>
      </c>
      <c r="V2321">
        <v>2.9340950000000002E-4</v>
      </c>
      <c r="W2321">
        <v>-1.803337E-2</v>
      </c>
      <c r="X2321">
        <v>0.99983730000000004</v>
      </c>
      <c r="Y2321">
        <v>-0.40488400000000002</v>
      </c>
      <c r="Z2321">
        <v>4.8479530000000003E-3</v>
      </c>
      <c r="AA2321">
        <v>0.91435520000000003</v>
      </c>
      <c r="AB2321">
        <v>10</v>
      </c>
      <c r="AC2321">
        <v>-29.6968</v>
      </c>
      <c r="AD2321">
        <v>-0.72494429999999999</v>
      </c>
      <c r="AE2321">
        <v>-44.919400000000003</v>
      </c>
      <c r="AF2321">
        <v>-21.8302612328004</v>
      </c>
      <c r="AG2321">
        <v>-0.72494429999999999</v>
      </c>
      <c r="AH2321">
        <v>49.214238979359003</v>
      </c>
      <c r="AI2321">
        <v>90.771448184158501</v>
      </c>
      <c r="AJ2321">
        <v>113.920930723464</v>
      </c>
      <c r="AK2321">
        <v>53.843543420245602</v>
      </c>
      <c r="AL2321">
        <v>91.0332920453273</v>
      </c>
      <c r="AM2321">
        <v>89.983186138848296</v>
      </c>
      <c r="AN2321">
        <v>0.99999995749699</v>
      </c>
    </row>
    <row r="2322" spans="1:40" x14ac:dyDescent="0.25">
      <c r="A2322" t="str">
        <f>"20190312161003668"</f>
        <v>20190312161003668</v>
      </c>
      <c r="B2322" t="str">
        <f>"1552378203658034"</f>
        <v>1552378203658034</v>
      </c>
      <c r="C2322" t="s">
        <v>40</v>
      </c>
      <c r="D2322">
        <v>4.9046529999999997</v>
      </c>
      <c r="E2322">
        <v>0.33109110000000003</v>
      </c>
      <c r="F2322" t="s">
        <v>75</v>
      </c>
      <c r="G2322">
        <v>-512.82529999999997</v>
      </c>
      <c r="H2322">
        <v>0.44259779999999999</v>
      </c>
      <c r="I2322">
        <v>235.96690000000001</v>
      </c>
      <c r="J2322">
        <v>-483.20569999999998</v>
      </c>
      <c r="K2322">
        <v>1.11138</v>
      </c>
      <c r="L2322">
        <v>281.20420000000001</v>
      </c>
      <c r="M2322">
        <v>-0.84011579999999997</v>
      </c>
      <c r="N2322">
        <v>0</v>
      </c>
      <c r="O2322">
        <v>-0.5422418</v>
      </c>
      <c r="P2322">
        <v>-0.8398544</v>
      </c>
      <c r="Q2322">
        <v>-3.1878330000000003E-2</v>
      </c>
      <c r="R2322">
        <v>-0.5418752</v>
      </c>
      <c r="S2322">
        <v>-1.8029170000000001</v>
      </c>
      <c r="T2322">
        <v>-4.0598629999999997E-2</v>
      </c>
      <c r="U2322">
        <v>-2.7497250000000002</v>
      </c>
      <c r="V2322">
        <v>2.1287859999999999E-4</v>
      </c>
      <c r="W2322">
        <v>-1.848178E-2</v>
      </c>
      <c r="X2322">
        <v>0.99982919999999997</v>
      </c>
      <c r="Y2322">
        <v>-0.40528389999999997</v>
      </c>
      <c r="Z2322">
        <v>4.4990969999999996E-3</v>
      </c>
      <c r="AA2322">
        <v>0.91417979999999999</v>
      </c>
      <c r="AB2322">
        <v>10</v>
      </c>
      <c r="AC2322">
        <v>-29.619599999999899</v>
      </c>
      <c r="AD2322">
        <v>-0.66878219999999999</v>
      </c>
      <c r="AE2322">
        <v>-45.237299999999998</v>
      </c>
      <c r="AF2322">
        <v>-21.942195776796598</v>
      </c>
      <c r="AG2322">
        <v>-0.66878219999999999</v>
      </c>
      <c r="AH2322">
        <v>49.410320034454799</v>
      </c>
      <c r="AI2322">
        <v>90.708733056277296</v>
      </c>
      <c r="AJ2322">
        <v>113.94510874146501</v>
      </c>
      <c r="AK2322">
        <v>54.067429669307899</v>
      </c>
      <c r="AL2322">
        <v>91.058988258417003</v>
      </c>
      <c r="AM2322">
        <v>89.987800871244403</v>
      </c>
      <c r="AN2322">
        <v>1.00000002534095</v>
      </c>
    </row>
    <row r="2323" spans="1:40" x14ac:dyDescent="0.25">
      <c r="A2323" t="str">
        <f>"20190312161003680"</f>
        <v>20190312161003680</v>
      </c>
      <c r="B2323" t="str">
        <f>"1552378203677554"</f>
        <v>1552378203677554</v>
      </c>
      <c r="C2323" t="s">
        <v>40</v>
      </c>
      <c r="D2323">
        <v>4.979082</v>
      </c>
      <c r="E2323">
        <v>0.33132339999999999</v>
      </c>
      <c r="F2323" t="s">
        <v>75</v>
      </c>
      <c r="G2323">
        <v>-512.82529999999997</v>
      </c>
      <c r="H2323">
        <v>0.53290269999999995</v>
      </c>
      <c r="I2323">
        <v>235.6037</v>
      </c>
      <c r="J2323">
        <v>-483.24860000000001</v>
      </c>
      <c r="K2323">
        <v>1.1113679999999999</v>
      </c>
      <c r="L2323">
        <v>281.17349999999999</v>
      </c>
      <c r="M2323">
        <v>-0.83890549999999997</v>
      </c>
      <c r="N2323">
        <v>0</v>
      </c>
      <c r="O2323">
        <v>-0.54411239999999905</v>
      </c>
      <c r="P2323">
        <v>-0.83888410000000002</v>
      </c>
      <c r="Q2323">
        <v>-3.2191190000000001E-2</v>
      </c>
      <c r="R2323">
        <v>-0.54335749999999905</v>
      </c>
      <c r="S2323">
        <v>-1.7913509999999999</v>
      </c>
      <c r="T2323">
        <v>-3.4981129999999999E-2</v>
      </c>
      <c r="U2323">
        <v>-2.7578429999999998</v>
      </c>
      <c r="V2323">
        <v>6.6905779999999998E-4</v>
      </c>
      <c r="W2323">
        <v>-1.8796170000000001E-2</v>
      </c>
      <c r="X2323">
        <v>0.99982309999999996</v>
      </c>
      <c r="Y2323">
        <v>-0.4071708</v>
      </c>
      <c r="Z2323">
        <v>3.8890550000000002E-3</v>
      </c>
      <c r="AA2323">
        <v>0.91334369999999998</v>
      </c>
      <c r="AB2323">
        <v>10</v>
      </c>
      <c r="AC2323">
        <v>-29.576699999999899</v>
      </c>
      <c r="AD2323">
        <v>-0.57846529999999996</v>
      </c>
      <c r="AE2323">
        <v>-45.569800000000001</v>
      </c>
      <c r="AF2323">
        <v>-22.135181263493799</v>
      </c>
      <c r="AG2323">
        <v>-0.57846529999999996</v>
      </c>
      <c r="AH2323">
        <v>49.605972170240598</v>
      </c>
      <c r="AI2323">
        <v>90.610126126333796</v>
      </c>
      <c r="AJ2323">
        <v>114.04738850031001</v>
      </c>
      <c r="AK2323">
        <v>54.323598432225801</v>
      </c>
      <c r="AL2323">
        <v>91.077004648762895</v>
      </c>
      <c r="AM2323">
        <v>89.961659035014904</v>
      </c>
      <c r="AN2323">
        <v>0.99999998746930896</v>
      </c>
    </row>
    <row r="2324" spans="1:40" x14ac:dyDescent="0.25">
      <c r="A2324" t="str">
        <f>"20190312161003694"</f>
        <v>20190312161003694</v>
      </c>
      <c r="B2324" t="str">
        <f>"1552378203688290"</f>
        <v>1552378203688290</v>
      </c>
      <c r="C2324" t="s">
        <v>40</v>
      </c>
      <c r="D2324">
        <v>4.9926370000000002</v>
      </c>
      <c r="E2324">
        <v>0.331459</v>
      </c>
      <c r="F2324" t="s">
        <v>75</v>
      </c>
      <c r="G2324">
        <v>-512.82529999999997</v>
      </c>
      <c r="H2324">
        <v>0.56990620000000003</v>
      </c>
      <c r="I2324">
        <v>235.52160000000001</v>
      </c>
      <c r="J2324">
        <v>-483.2903</v>
      </c>
      <c r="K2324">
        <v>1.1113630000000001</v>
      </c>
      <c r="L2324">
        <v>281.14339999999999</v>
      </c>
      <c r="M2324">
        <v>-0.8377194</v>
      </c>
      <c r="N2324">
        <v>0</v>
      </c>
      <c r="O2324">
        <v>-0.5459368</v>
      </c>
      <c r="P2324">
        <v>-0.83775319999999998</v>
      </c>
      <c r="Q2324">
        <v>-3.2406560000000001E-2</v>
      </c>
      <c r="R2324">
        <v>-0.54508730000000005</v>
      </c>
      <c r="S2324">
        <v>-1.7876590000000001</v>
      </c>
      <c r="T2324">
        <v>-3.2722349999999997E-2</v>
      </c>
      <c r="U2324">
        <v>-2.7592469999999998</v>
      </c>
      <c r="V2324">
        <v>7.7793729999999905E-4</v>
      </c>
      <c r="W2324">
        <v>-1.901369E-2</v>
      </c>
      <c r="X2324">
        <v>0.99981889999999995</v>
      </c>
      <c r="Y2324">
        <v>-0.40625519999999998</v>
      </c>
      <c r="Z2324">
        <v>3.6639089999999999E-3</v>
      </c>
      <c r="AA2324">
        <v>0.91375229999999996</v>
      </c>
      <c r="AB2324">
        <v>10</v>
      </c>
      <c r="AC2324">
        <v>-29.534999999999901</v>
      </c>
      <c r="AD2324">
        <v>-0.54145679999999896</v>
      </c>
      <c r="AE2324">
        <v>-45.621799999999901</v>
      </c>
      <c r="AF2324">
        <v>-22.093810624416701</v>
      </c>
      <c r="AG2324">
        <v>-0.54145679999999896</v>
      </c>
      <c r="AH2324">
        <v>49.648183538660597</v>
      </c>
      <c r="AI2324">
        <v>90.570866516044106</v>
      </c>
      <c r="AJ2324">
        <v>113.989419411141</v>
      </c>
      <c r="AK2324">
        <v>54.344933269462999</v>
      </c>
      <c r="AL2324">
        <v>91.089469863627301</v>
      </c>
      <c r="AM2324">
        <v>89.955419411434406</v>
      </c>
      <c r="AN2324">
        <v>0.99999997919553396</v>
      </c>
    </row>
    <row r="2325" spans="1:40" x14ac:dyDescent="0.25">
      <c r="A2325" t="str">
        <f>"20190312161003705"</f>
        <v>20190312161003705</v>
      </c>
      <c r="B2325" t="str">
        <f>"1552378203698051"</f>
        <v>1552378203698051</v>
      </c>
      <c r="C2325" t="s">
        <v>40</v>
      </c>
      <c r="D2325">
        <v>5.0681320000000003</v>
      </c>
      <c r="E2325">
        <v>0.33168540000000002</v>
      </c>
      <c r="F2325" t="s">
        <v>75</v>
      </c>
      <c r="G2325">
        <v>-512.82529999999997</v>
      </c>
      <c r="H2325">
        <v>0.57939240000000003</v>
      </c>
      <c r="I2325">
        <v>235.38290000000001</v>
      </c>
      <c r="J2325">
        <v>-483.33390000000003</v>
      </c>
      <c r="K2325">
        <v>1.1113580000000001</v>
      </c>
      <c r="L2325">
        <v>281.11189999999999</v>
      </c>
      <c r="M2325">
        <v>-0.836478099999999</v>
      </c>
      <c r="N2325">
        <v>0</v>
      </c>
      <c r="O2325">
        <v>-0.54783689999999996</v>
      </c>
      <c r="P2325">
        <v>-0.83658699999999997</v>
      </c>
      <c r="Q2325">
        <v>-3.2809629999999999E-2</v>
      </c>
      <c r="R2325">
        <v>-0.54685099999999998</v>
      </c>
      <c r="S2325">
        <v>-1.782654</v>
      </c>
      <c r="T2325">
        <v>-3.2104019999999997E-2</v>
      </c>
      <c r="U2325">
        <v>-2.7619630000000002</v>
      </c>
      <c r="V2325">
        <v>9.3310089999999995E-4</v>
      </c>
      <c r="W2325">
        <v>-1.9418919999999999E-2</v>
      </c>
      <c r="X2325">
        <v>0.99981100000000001</v>
      </c>
      <c r="Y2325">
        <v>-0.40575909999999998</v>
      </c>
      <c r="Z2325">
        <v>3.6186040000000001E-3</v>
      </c>
      <c r="AA2325">
        <v>0.91397289999999998</v>
      </c>
      <c r="AB2325">
        <v>10</v>
      </c>
      <c r="AC2325">
        <v>-29.491399999999899</v>
      </c>
      <c r="AD2325">
        <v>-0.53196560000000004</v>
      </c>
      <c r="AE2325">
        <v>-45.7289999999999</v>
      </c>
      <c r="AF2325">
        <v>-22.094697245037501</v>
      </c>
      <c r="AG2325">
        <v>-0.53196560000000004</v>
      </c>
      <c r="AH2325">
        <v>49.7206453592513</v>
      </c>
      <c r="AI2325">
        <v>90.560174253934406</v>
      </c>
      <c r="AJ2325">
        <v>113.95924856800001</v>
      </c>
      <c r="AK2325">
        <v>54.411406972158801</v>
      </c>
      <c r="AL2325">
        <v>91.112692097370996</v>
      </c>
      <c r="AM2325">
        <v>89.946527165726593</v>
      </c>
      <c r="AN2325">
        <v>1.00000000042612</v>
      </c>
    </row>
    <row r="2326" spans="1:40" x14ac:dyDescent="0.25">
      <c r="A2326" t="str">
        <f>"20190312161003725"</f>
        <v>20190312161003725</v>
      </c>
      <c r="B2326" t="str">
        <f>"1552378203717574"</f>
        <v>1552378203717574</v>
      </c>
      <c r="C2326" t="s">
        <v>40</v>
      </c>
      <c r="D2326">
        <v>5.1049540000000002</v>
      </c>
      <c r="E2326">
        <v>0.33222580000000002</v>
      </c>
      <c r="F2326" t="s">
        <v>75</v>
      </c>
      <c r="G2326">
        <v>-512.82529999999997</v>
      </c>
      <c r="H2326">
        <v>0.57712319999999995</v>
      </c>
      <c r="I2326">
        <v>235.2534</v>
      </c>
      <c r="J2326">
        <v>-483.39850000000001</v>
      </c>
      <c r="K2326">
        <v>1.1113470000000001</v>
      </c>
      <c r="L2326">
        <v>281.06479999999999</v>
      </c>
      <c r="M2326">
        <v>-0.83462119999999995</v>
      </c>
      <c r="N2326">
        <v>0</v>
      </c>
      <c r="O2326">
        <v>-0.55066159999999997</v>
      </c>
      <c r="P2326">
        <v>-0.83488850000000003</v>
      </c>
      <c r="Q2326">
        <v>-3.3198169999999999E-2</v>
      </c>
      <c r="R2326">
        <v>-0.54941709999999999</v>
      </c>
      <c r="S2326">
        <v>-1.777771</v>
      </c>
      <c r="T2326">
        <v>-3.2199859999999997E-2</v>
      </c>
      <c r="U2326">
        <v>-2.7643740000000001</v>
      </c>
      <c r="V2326">
        <v>1.2353220000000001E-3</v>
      </c>
      <c r="W2326">
        <v>-1.9810399999999999E-2</v>
      </c>
      <c r="X2326">
        <v>0.999803</v>
      </c>
      <c r="Y2326">
        <v>-0.40417320000000001</v>
      </c>
      <c r="Z2326">
        <v>3.6690300000000002E-3</v>
      </c>
      <c r="AA2326">
        <v>0.91467509999999996</v>
      </c>
      <c r="AB2326">
        <v>10</v>
      </c>
      <c r="AC2326">
        <v>-29.426799999999901</v>
      </c>
      <c r="AD2326">
        <v>-0.53422379999999903</v>
      </c>
      <c r="AE2326">
        <v>-45.8113999999999</v>
      </c>
      <c r="AF2326">
        <v>-22.030810874274898</v>
      </c>
      <c r="AG2326">
        <v>-0.53422379999999903</v>
      </c>
      <c r="AH2326">
        <v>49.786480019145003</v>
      </c>
      <c r="AI2326">
        <v>90.5621978075079</v>
      </c>
      <c r="AJ2326">
        <v>113.869672492208</v>
      </c>
      <c r="AK2326">
        <v>54.44571255428</v>
      </c>
      <c r="AL2326">
        <v>91.135126556305195</v>
      </c>
      <c r="AM2326">
        <v>89.929207352926298</v>
      </c>
      <c r="AN2326">
        <v>1.0000000083888001</v>
      </c>
    </row>
    <row r="2327" spans="1:40" x14ac:dyDescent="0.25">
      <c r="A2327" t="str">
        <f>"20190312161003746"</f>
        <v>20190312161003746</v>
      </c>
      <c r="B2327" t="str">
        <f>"1552378203738066"</f>
        <v>1552378203738066</v>
      </c>
      <c r="C2327" t="s">
        <v>40</v>
      </c>
      <c r="D2327">
        <v>5.127313</v>
      </c>
      <c r="E2327">
        <v>0.33274979999999998</v>
      </c>
      <c r="F2327" t="s">
        <v>75</v>
      </c>
      <c r="G2327">
        <v>-512.82529999999997</v>
      </c>
      <c r="H2327">
        <v>0.53079809999999905</v>
      </c>
      <c r="I2327">
        <v>235.10939999999999</v>
      </c>
      <c r="J2327">
        <v>-483.47390000000001</v>
      </c>
      <c r="K2327">
        <v>1.1113409999999999</v>
      </c>
      <c r="L2327">
        <v>281.00940000000003</v>
      </c>
      <c r="M2327">
        <v>-0.83243709999999904</v>
      </c>
      <c r="N2327">
        <v>0</v>
      </c>
      <c r="O2327">
        <v>-0.55395779999999994</v>
      </c>
      <c r="P2327">
        <v>-0.83290839999999999</v>
      </c>
      <c r="Q2327">
        <v>-3.3389929999999998E-2</v>
      </c>
      <c r="R2327">
        <v>-0.55240290000000003</v>
      </c>
      <c r="S2327">
        <v>-1.771423</v>
      </c>
      <c r="T2327">
        <v>-3.4943340000000003E-2</v>
      </c>
      <c r="U2327">
        <v>-2.7663880000000001</v>
      </c>
      <c r="V2327">
        <v>1.605106E-3</v>
      </c>
      <c r="W2327">
        <v>-2.0005390000000001E-2</v>
      </c>
      <c r="X2327">
        <v>0.99979859999999998</v>
      </c>
      <c r="Y2327">
        <v>-0.40234599999999998</v>
      </c>
      <c r="Z2327">
        <v>4.0329179999999999E-3</v>
      </c>
      <c r="AA2327">
        <v>0.91547880000000004</v>
      </c>
      <c r="AB2327">
        <v>10</v>
      </c>
      <c r="AC2327">
        <v>-29.351399999999899</v>
      </c>
      <c r="AD2327">
        <v>-0.58054289999999997</v>
      </c>
      <c r="AE2327">
        <v>-45.9</v>
      </c>
      <c r="AF2327">
        <v>-21.948901050819298</v>
      </c>
      <c r="AG2327">
        <v>-0.58054289999999997</v>
      </c>
      <c r="AH2327">
        <v>49.858665037165302</v>
      </c>
      <c r="AI2327">
        <v>90.610569138019898</v>
      </c>
      <c r="AJ2327">
        <v>113.760169245059</v>
      </c>
      <c r="AK2327">
        <v>54.479149834460998</v>
      </c>
      <c r="AL2327">
        <v>91.146300865778002</v>
      </c>
      <c r="AM2327">
        <v>89.908015753912494</v>
      </c>
      <c r="AN2327">
        <v>1.0000000162781399</v>
      </c>
    </row>
    <row r="2328" spans="1:40" x14ac:dyDescent="0.25">
      <c r="A2328" t="str">
        <f>"20190312161003769"</f>
        <v>20190312161003769</v>
      </c>
      <c r="B2328" t="str">
        <f>"1552378203757587"</f>
        <v>1552378203757587</v>
      </c>
      <c r="C2328" t="s">
        <v>40</v>
      </c>
      <c r="D2328">
        <v>5.1122249999999996</v>
      </c>
      <c r="E2328">
        <v>0.33333109999999999</v>
      </c>
      <c r="F2328" t="s">
        <v>75</v>
      </c>
      <c r="G2328">
        <v>-512.82529999999997</v>
      </c>
      <c r="H2328">
        <v>0.49756359999999999</v>
      </c>
      <c r="I2328">
        <v>234.93090000000001</v>
      </c>
      <c r="J2328">
        <v>-483.54950000000002</v>
      </c>
      <c r="K2328">
        <v>1.1113309999999901</v>
      </c>
      <c r="L2328">
        <v>280.95339999999999</v>
      </c>
      <c r="M2328">
        <v>-0.83022759999999995</v>
      </c>
      <c r="N2328">
        <v>0</v>
      </c>
      <c r="O2328">
        <v>-0.55726390000000003</v>
      </c>
      <c r="P2328">
        <v>-0.83059810000000001</v>
      </c>
      <c r="Q2328">
        <v>-3.3677020000000002E-2</v>
      </c>
      <c r="R2328">
        <v>-0.55585329999999999</v>
      </c>
      <c r="S2328">
        <v>-1.763855</v>
      </c>
      <c r="T2328">
        <v>-3.6880250000000003E-2</v>
      </c>
      <c r="U2328">
        <v>-2.7690429999999999</v>
      </c>
      <c r="V2328">
        <v>1.4277490000000001E-3</v>
      </c>
      <c r="W2328">
        <v>-2.0297200000000001E-2</v>
      </c>
      <c r="X2328">
        <v>0.99979300000000004</v>
      </c>
      <c r="Y2328">
        <v>-0.40088190000000001</v>
      </c>
      <c r="Z2328">
        <v>4.308961E-3</v>
      </c>
      <c r="AA2328">
        <v>0.91611960000000003</v>
      </c>
      <c r="AB2328">
        <v>10</v>
      </c>
      <c r="AC2328">
        <v>-29.275799999999901</v>
      </c>
      <c r="AD2328">
        <v>-0.61376739999999996</v>
      </c>
      <c r="AE2328">
        <v>-46.022499999999901</v>
      </c>
      <c r="AF2328">
        <v>-21.8939917378394</v>
      </c>
      <c r="AG2328">
        <v>-0.61376739999999996</v>
      </c>
      <c r="AH2328">
        <v>49.9504036010024</v>
      </c>
      <c r="AI2328">
        <v>90.644776472977</v>
      </c>
      <c r="AJ2328">
        <v>113.66854138587701</v>
      </c>
      <c r="AK2328">
        <v>54.541419165079702</v>
      </c>
      <c r="AL2328">
        <v>91.163023728107405</v>
      </c>
      <c r="AM2328">
        <v>89.918179126783102</v>
      </c>
      <c r="AN2328">
        <v>1.0000000288220201</v>
      </c>
    </row>
    <row r="2329" spans="1:40" x14ac:dyDescent="0.25">
      <c r="A2329" t="str">
        <f>"20190312161003780"</f>
        <v>20190312161003780</v>
      </c>
      <c r="B2329" t="str">
        <f>"1552378203778082"</f>
        <v>1552378203778082</v>
      </c>
      <c r="C2329" t="s">
        <v>40</v>
      </c>
      <c r="D2329">
        <v>5.1488149999999999</v>
      </c>
      <c r="E2329">
        <v>0.33380379999999998</v>
      </c>
      <c r="F2329" t="s">
        <v>75</v>
      </c>
      <c r="G2329">
        <v>-512.82529999999997</v>
      </c>
      <c r="H2329">
        <v>0.44138840000000001</v>
      </c>
      <c r="I2329">
        <v>234.6977</v>
      </c>
      <c r="J2329">
        <v>-483.58949999999999</v>
      </c>
      <c r="K2329">
        <v>1.1113299999999999</v>
      </c>
      <c r="L2329">
        <v>280.92360000000002</v>
      </c>
      <c r="M2329">
        <v>-0.82905289999999998</v>
      </c>
      <c r="N2329">
        <v>0</v>
      </c>
      <c r="O2329">
        <v>-0.55901040000000002</v>
      </c>
      <c r="P2329">
        <v>-0.82924589999999998</v>
      </c>
      <c r="Q2329">
        <v>-3.3866E-2</v>
      </c>
      <c r="R2329">
        <v>-0.5578573</v>
      </c>
      <c r="S2329">
        <v>-1.754791</v>
      </c>
      <c r="T2329">
        <v>-4.0152069999999998E-2</v>
      </c>
      <c r="U2329">
        <v>-2.7725520000000001</v>
      </c>
      <c r="V2329">
        <v>1.114196E-3</v>
      </c>
      <c r="W2329">
        <v>-2.0489130000000001E-2</v>
      </c>
      <c r="X2329">
        <v>0.9997895</v>
      </c>
      <c r="Y2329">
        <v>-0.40161530000000001</v>
      </c>
      <c r="Z2329">
        <v>4.7140410000000004E-3</v>
      </c>
      <c r="AA2329">
        <v>0.91579630000000001</v>
      </c>
      <c r="AB2329">
        <v>10</v>
      </c>
      <c r="AC2329">
        <v>-29.235799999999902</v>
      </c>
      <c r="AD2329">
        <v>-0.66994159999999903</v>
      </c>
      <c r="AE2329">
        <v>-46.225900000000003</v>
      </c>
      <c r="AF2329">
        <v>-21.9792664783328</v>
      </c>
      <c r="AG2329">
        <v>-0.66994159999999903</v>
      </c>
      <c r="AH2329">
        <v>50.075744986950397</v>
      </c>
      <c r="AI2329">
        <v>90.701865223484404</v>
      </c>
      <c r="AJ2329">
        <v>113.69765081909701</v>
      </c>
      <c r="AK2329">
        <v>54.691107254023201</v>
      </c>
      <c r="AL2329">
        <v>91.1740227750511</v>
      </c>
      <c r="AM2329">
        <v>89.936147857201803</v>
      </c>
      <c r="AN2329">
        <v>1.00000004509556</v>
      </c>
    </row>
    <row r="2330" spans="1:40" x14ac:dyDescent="0.25">
      <c r="A2330" t="str">
        <f>"20190312161003792"</f>
        <v>20190312161003792</v>
      </c>
      <c r="B2330" t="str">
        <f>"1552378203787842"</f>
        <v>1552378203787842</v>
      </c>
      <c r="C2330" t="s">
        <v>40</v>
      </c>
      <c r="D2330">
        <v>5.1909219999999996</v>
      </c>
      <c r="E2330">
        <v>0.33406760000000002</v>
      </c>
      <c r="F2330" t="s">
        <v>75</v>
      </c>
      <c r="G2330">
        <v>-512.82529999999997</v>
      </c>
      <c r="H2330">
        <v>0.41628530000000002</v>
      </c>
      <c r="I2330">
        <v>234.58949999999999</v>
      </c>
      <c r="J2330">
        <v>-483.62950000000001</v>
      </c>
      <c r="K2330">
        <v>1.1113249999999999</v>
      </c>
      <c r="L2330">
        <v>280.89370000000002</v>
      </c>
      <c r="M2330">
        <v>-0.82787109999999997</v>
      </c>
      <c r="N2330">
        <v>0</v>
      </c>
      <c r="O2330">
        <v>-0.56075889999999995</v>
      </c>
      <c r="P2330">
        <v>-0.82791610000000004</v>
      </c>
      <c r="Q2330">
        <v>-3.3930380000000003E-2</v>
      </c>
      <c r="R2330">
        <v>-0.55982500000000002</v>
      </c>
      <c r="S2330">
        <v>-1.750122</v>
      </c>
      <c r="T2330">
        <v>-4.1602609999999998E-2</v>
      </c>
      <c r="U2330">
        <v>-2.7736510000000001</v>
      </c>
      <c r="V2330">
        <v>8.4875979999999998E-4</v>
      </c>
      <c r="W2330">
        <v>-2.055624E-2</v>
      </c>
      <c r="X2330">
        <v>0.99978829999999996</v>
      </c>
      <c r="Y2330">
        <v>-0.40094859999999999</v>
      </c>
      <c r="Z2330">
        <v>4.9159690000000001E-3</v>
      </c>
      <c r="AA2330">
        <v>0.91608730000000005</v>
      </c>
      <c r="AB2330">
        <v>10</v>
      </c>
      <c r="AC2330">
        <v>-29.195799999999899</v>
      </c>
      <c r="AD2330">
        <v>-0.69503969999999904</v>
      </c>
      <c r="AE2330">
        <v>-46.304200000000002</v>
      </c>
      <c r="AF2330">
        <v>-21.960528652698301</v>
      </c>
      <c r="AG2330">
        <v>-0.69503969999999904</v>
      </c>
      <c r="AH2330">
        <v>50.132254385731997</v>
      </c>
      <c r="AI2330">
        <v>90.727568145059607</v>
      </c>
      <c r="AJ2330">
        <v>113.655913103345</v>
      </c>
      <c r="AK2330">
        <v>54.735644955424597</v>
      </c>
      <c r="AL2330">
        <v>91.177868802406195</v>
      </c>
      <c r="AM2330">
        <v>89.951359360098706</v>
      </c>
      <c r="AN2330">
        <v>0.99999996210651199</v>
      </c>
    </row>
    <row r="2331" spans="1:40" x14ac:dyDescent="0.25">
      <c r="A2331" t="str">
        <f>"20190312161003815"</f>
        <v>20190312161003815</v>
      </c>
      <c r="B2331" t="str">
        <f>"1552378203808340"</f>
        <v>1552378203808340</v>
      </c>
      <c r="C2331" t="s">
        <v>40</v>
      </c>
      <c r="D2331">
        <v>5.2177410000000002</v>
      </c>
      <c r="E2331">
        <v>0.3347097</v>
      </c>
      <c r="F2331" t="s">
        <v>75</v>
      </c>
      <c r="G2331">
        <v>-512.82529999999997</v>
      </c>
      <c r="H2331">
        <v>0.40393299999999999</v>
      </c>
      <c r="I2331">
        <v>234.43729999999999</v>
      </c>
      <c r="J2331">
        <v>-483.70440000000002</v>
      </c>
      <c r="K2331">
        <v>1.111316</v>
      </c>
      <c r="L2331">
        <v>280.8372</v>
      </c>
      <c r="M2331">
        <v>-0.82563940000000002</v>
      </c>
      <c r="N2331">
        <v>0</v>
      </c>
      <c r="O2331">
        <v>-0.56403999999999999</v>
      </c>
      <c r="P2331">
        <v>-0.8253355</v>
      </c>
      <c r="Q2331">
        <v>-3.4174370000000003E-2</v>
      </c>
      <c r="R2331">
        <v>-0.563608199999999</v>
      </c>
      <c r="S2331">
        <v>-1.744659</v>
      </c>
      <c r="T2331">
        <v>-4.2267440000000003E-2</v>
      </c>
      <c r="U2331">
        <v>-2.7760929999999999</v>
      </c>
      <c r="V2331">
        <v>2.359498E-4</v>
      </c>
      <c r="W2331">
        <v>-2.080574E-2</v>
      </c>
      <c r="X2331">
        <v>0.99978350000000005</v>
      </c>
      <c r="Y2331">
        <v>-0.39896740000000003</v>
      </c>
      <c r="Z2331">
        <v>5.0561290000000004E-3</v>
      </c>
      <c r="AA2331">
        <v>0.91695119999999997</v>
      </c>
      <c r="AB2331">
        <v>10</v>
      </c>
      <c r="AC2331">
        <v>-29.120899999999899</v>
      </c>
      <c r="AD2331">
        <v>-0.70738299999999998</v>
      </c>
      <c r="AE2331">
        <v>-46.399900000000002</v>
      </c>
      <c r="AF2331">
        <v>-21.882537396318799</v>
      </c>
      <c r="AG2331">
        <v>-0.70738299999999998</v>
      </c>
      <c r="AH2331">
        <v>50.210870961924002</v>
      </c>
      <c r="AI2331">
        <v>90.739935975649601</v>
      </c>
      <c r="AJ2331">
        <v>113.54818579376</v>
      </c>
      <c r="AK2331">
        <v>54.776613589788099</v>
      </c>
      <c r="AL2331">
        <v>91.192167123957901</v>
      </c>
      <c r="AM2331">
        <v>89.986478145052402</v>
      </c>
      <c r="AN2331">
        <v>0.99999999068075196</v>
      </c>
    </row>
    <row r="2332" spans="1:40" x14ac:dyDescent="0.25">
      <c r="A2332" t="str">
        <f>"20190312161003837"</f>
        <v>20190312161003837</v>
      </c>
      <c r="B2332" t="str">
        <f>"1552378203827858"</f>
        <v>1552378203827858</v>
      </c>
      <c r="C2332" t="s">
        <v>40</v>
      </c>
      <c r="D2332">
        <v>8.2871559999999995</v>
      </c>
      <c r="E2332">
        <v>0.33485310000000001</v>
      </c>
      <c r="F2332" t="s">
        <v>75</v>
      </c>
      <c r="G2332">
        <v>-512.82529999999997</v>
      </c>
      <c r="H2332">
        <v>0.34048060000000002</v>
      </c>
      <c r="I2332">
        <v>234.17339999999999</v>
      </c>
      <c r="J2332">
        <v>-483.7801</v>
      </c>
      <c r="K2332">
        <v>1.1113090000000001</v>
      </c>
      <c r="L2332">
        <v>280.77980000000002</v>
      </c>
      <c r="M2332">
        <v>-0.82336790000000004</v>
      </c>
      <c r="N2332">
        <v>0</v>
      </c>
      <c r="O2332">
        <v>-0.56735049999999998</v>
      </c>
      <c r="P2332">
        <v>-0.82282169999999899</v>
      </c>
      <c r="Q2332">
        <v>-3.412018E-2</v>
      </c>
      <c r="R2332">
        <v>-0.56727459999999996</v>
      </c>
      <c r="S2332">
        <v>-1.7347109999999999</v>
      </c>
      <c r="T2332">
        <v>-4.5913929999999999E-2</v>
      </c>
      <c r="U2332">
        <v>-2.7797239999999999</v>
      </c>
      <c r="V2332">
        <v>-1.9719320000000001E-4</v>
      </c>
      <c r="W2332">
        <v>-2.0756610000000002E-2</v>
      </c>
      <c r="X2332">
        <v>0.99978449999999996</v>
      </c>
      <c r="Y2332">
        <v>-0.39818510000000001</v>
      </c>
      <c r="Z2332">
        <v>5.5541159999999996E-3</v>
      </c>
      <c r="AA2332">
        <v>0.91728829999999995</v>
      </c>
      <c r="AB2332">
        <v>10</v>
      </c>
      <c r="AC2332">
        <v>-29.045199999999902</v>
      </c>
      <c r="AD2332">
        <v>-0.77082839999999997</v>
      </c>
      <c r="AE2332">
        <v>-46.606400000000001</v>
      </c>
      <c r="AF2332">
        <v>-21.893048271267201</v>
      </c>
      <c r="AG2332">
        <v>-0.77082839999999997</v>
      </c>
      <c r="AH2332">
        <v>50.351629563039303</v>
      </c>
      <c r="AI2332">
        <v>90.804336035202397</v>
      </c>
      <c r="AJ2332">
        <v>113.499556568307</v>
      </c>
      <c r="AK2332">
        <v>54.910712421929198</v>
      </c>
      <c r="AL2332">
        <v>91.189351609456907</v>
      </c>
      <c r="AM2332">
        <v>90.011300773278805</v>
      </c>
      <c r="AN2332">
        <v>0.99999996109204903</v>
      </c>
    </row>
    <row r="2333" spans="1:40" x14ac:dyDescent="0.25">
      <c r="A2333" t="str">
        <f>"20190312161003859"</f>
        <v>20190312161003859</v>
      </c>
      <c r="B2333" t="str">
        <f>"1552378203848354"</f>
        <v>1552378203848354</v>
      </c>
      <c r="C2333" t="s">
        <v>40</v>
      </c>
      <c r="D2333">
        <v>5.2277040000000001</v>
      </c>
      <c r="E2333">
        <v>0.33524090000000001</v>
      </c>
      <c r="F2333" t="s">
        <v>75</v>
      </c>
      <c r="G2333">
        <v>-512.82529999999997</v>
      </c>
      <c r="H2333">
        <v>0.345331099999999</v>
      </c>
      <c r="I2333">
        <v>233.79300000000001</v>
      </c>
      <c r="J2333">
        <v>-483.8501</v>
      </c>
      <c r="K2333">
        <v>1.111308</v>
      </c>
      <c r="L2333">
        <v>280.72620000000001</v>
      </c>
      <c r="M2333">
        <v>-0.82124759999999997</v>
      </c>
      <c r="N2333">
        <v>0</v>
      </c>
      <c r="O2333">
        <v>-0.57041540000000002</v>
      </c>
      <c r="P2333">
        <v>-0.82073459999999998</v>
      </c>
      <c r="Q2333">
        <v>-3.4382879999999998E-2</v>
      </c>
      <c r="R2333">
        <v>-0.57027469999999902</v>
      </c>
      <c r="S2333">
        <v>-1.7227479999999999</v>
      </c>
      <c r="T2333">
        <v>-4.5427919999999997E-2</v>
      </c>
      <c r="U2333">
        <v>-2.786896</v>
      </c>
      <c r="V2333">
        <v>-1.2615900000000001E-4</v>
      </c>
      <c r="W2333">
        <v>-2.1022869999999999E-2</v>
      </c>
      <c r="X2333">
        <v>0.99977899999999997</v>
      </c>
      <c r="Y2333">
        <v>-0.39867029999999998</v>
      </c>
      <c r="Z2333">
        <v>5.5411569999999997E-3</v>
      </c>
      <c r="AA2333">
        <v>0.91707749999999999</v>
      </c>
      <c r="AB2333">
        <v>10</v>
      </c>
      <c r="AC2333">
        <v>-28.975199999999901</v>
      </c>
      <c r="AD2333">
        <v>-0.76597689999999996</v>
      </c>
      <c r="AE2333">
        <v>-46.933199999999999</v>
      </c>
      <c r="AF2333">
        <v>-22.0135989698462</v>
      </c>
      <c r="AG2333">
        <v>-0.76597689999999996</v>
      </c>
      <c r="AH2333">
        <v>50.561999919119202</v>
      </c>
      <c r="AI2333">
        <v>90.795781797221196</v>
      </c>
      <c r="AJ2333">
        <v>113.52726518608</v>
      </c>
      <c r="AK2333">
        <v>55.151619160615297</v>
      </c>
      <c r="AL2333">
        <v>91.204610451632405</v>
      </c>
      <c r="AM2333">
        <v>90.007229976033898</v>
      </c>
      <c r="AN2333">
        <v>1.0000000129100599</v>
      </c>
    </row>
    <row r="2334" spans="1:40" x14ac:dyDescent="0.25">
      <c r="A2334" t="str">
        <f>"20190312161003881"</f>
        <v>20190312161003881</v>
      </c>
      <c r="B2334" t="str">
        <f>"1552378203878611"</f>
        <v>1552378203878611</v>
      </c>
      <c r="C2334" t="s">
        <v>40</v>
      </c>
      <c r="D2334">
        <v>5.1893560000000001</v>
      </c>
      <c r="E2334">
        <v>0.3357078</v>
      </c>
      <c r="F2334" t="s">
        <v>75</v>
      </c>
      <c r="G2334">
        <v>-512.82529999999997</v>
      </c>
      <c r="H2334">
        <v>0.30714239999999998</v>
      </c>
      <c r="I2334">
        <v>233.5564</v>
      </c>
      <c r="J2334">
        <v>-483.92419999999998</v>
      </c>
      <c r="K2334">
        <v>1.111297</v>
      </c>
      <c r="L2334">
        <v>280.66899999999998</v>
      </c>
      <c r="M2334">
        <v>-0.81898389999999999</v>
      </c>
      <c r="N2334">
        <v>0</v>
      </c>
      <c r="O2334">
        <v>-0.57366099999999998</v>
      </c>
      <c r="P2334">
        <v>-0.81855719999999899</v>
      </c>
      <c r="Q2334">
        <v>-3.4507129999999997E-2</v>
      </c>
      <c r="R2334">
        <v>-0.57338820000000001</v>
      </c>
      <c r="S2334">
        <v>-1.7142329999999999</v>
      </c>
      <c r="T2334">
        <v>-4.75719E-2</v>
      </c>
      <c r="U2334">
        <v>-2.7906490000000002</v>
      </c>
      <c r="V2334" s="1">
        <v>2.9283580000000001E-5</v>
      </c>
      <c r="W2334">
        <v>-2.1150559999999999E-2</v>
      </c>
      <c r="X2334">
        <v>0.99977629999999995</v>
      </c>
      <c r="Y2334">
        <v>-0.39762259999999999</v>
      </c>
      <c r="Z2334">
        <v>5.8659539999999996E-3</v>
      </c>
      <c r="AA2334">
        <v>0.91753030000000002</v>
      </c>
      <c r="AB2334">
        <v>10</v>
      </c>
      <c r="AC2334">
        <v>-28.9010999999999</v>
      </c>
      <c r="AD2334">
        <v>-0.80415459999999905</v>
      </c>
      <c r="AE2334">
        <v>-47.1126</v>
      </c>
      <c r="AF2334">
        <v>-22.002332863127901</v>
      </c>
      <c r="AG2334">
        <v>-0.80415459999999905</v>
      </c>
      <c r="AH2334">
        <v>50.689990036069602</v>
      </c>
      <c r="AI2334">
        <v>90.833733088871995</v>
      </c>
      <c r="AJ2334">
        <v>113.46358012563699</v>
      </c>
      <c r="AK2334">
        <v>55.265037825893302</v>
      </c>
      <c r="AL2334">
        <v>91.211928194134899</v>
      </c>
      <c r="AM2334">
        <v>89.998321799043893</v>
      </c>
      <c r="AN2334">
        <v>0.99999999854376498</v>
      </c>
    </row>
    <row r="2335" spans="1:40" x14ac:dyDescent="0.25">
      <c r="A2335" t="str">
        <f>"20190312161003896"</f>
        <v>20190312161003896</v>
      </c>
      <c r="B2335" t="str">
        <f>"1552378203888370"</f>
        <v>1552378203888370</v>
      </c>
      <c r="C2335" t="s">
        <v>40</v>
      </c>
      <c r="D2335">
        <v>5.1705870000000003</v>
      </c>
      <c r="E2335">
        <v>0.33596740000000003</v>
      </c>
      <c r="F2335" t="s">
        <v>75</v>
      </c>
      <c r="G2335">
        <v>-512.82529999999997</v>
      </c>
      <c r="H2335">
        <v>0.26882979999999901</v>
      </c>
      <c r="I2335">
        <v>233.32169999999999</v>
      </c>
      <c r="J2335">
        <v>-483.97280000000001</v>
      </c>
      <c r="K2335">
        <v>1.1112930000000001</v>
      </c>
      <c r="L2335">
        <v>280.63130000000001</v>
      </c>
      <c r="M2335">
        <v>-0.81748859999999901</v>
      </c>
      <c r="N2335">
        <v>0</v>
      </c>
      <c r="O2335">
        <v>-0.57578999999999902</v>
      </c>
      <c r="P2335">
        <v>-0.81735899999999995</v>
      </c>
      <c r="Q2335">
        <v>-3.4572220000000001E-2</v>
      </c>
      <c r="R2335">
        <v>-0.57509030000000005</v>
      </c>
      <c r="S2335">
        <v>-1.705597</v>
      </c>
      <c r="T2335">
        <v>-4.9713970000000003E-2</v>
      </c>
      <c r="U2335">
        <v>-2.7941889999999998</v>
      </c>
      <c r="V2335">
        <v>5.4768699999999896E-4</v>
      </c>
      <c r="W2335">
        <v>-2.1216990000000002E-2</v>
      </c>
      <c r="X2335">
        <v>0.99977479999999996</v>
      </c>
      <c r="Y2335">
        <v>-0.39781820000000001</v>
      </c>
      <c r="Z2335">
        <v>6.1684979999999997E-3</v>
      </c>
      <c r="AA2335">
        <v>0.91744360000000003</v>
      </c>
      <c r="AB2335">
        <v>10</v>
      </c>
      <c r="AC2335">
        <v>-28.8524999999999</v>
      </c>
      <c r="AD2335">
        <v>-0.84246319999999997</v>
      </c>
      <c r="AE2335">
        <v>-47.309600000000003</v>
      </c>
      <c r="AF2335">
        <v>-22.058945765958899</v>
      </c>
      <c r="AG2335">
        <v>-0.84246319999999997</v>
      </c>
      <c r="AH2335">
        <v>50.819769023585401</v>
      </c>
      <c r="AI2335">
        <v>90.8712128030445</v>
      </c>
      <c r="AJ2335">
        <v>113.463847140174</v>
      </c>
      <c r="AK2335">
        <v>55.407181449334203</v>
      </c>
      <c r="AL2335">
        <v>91.215735137611802</v>
      </c>
      <c r="AM2335">
        <v>89.968612781143094</v>
      </c>
      <c r="AN2335">
        <v>1.0000000556703701</v>
      </c>
    </row>
    <row r="2336" spans="1:40" x14ac:dyDescent="0.25">
      <c r="A2336" t="str">
        <f>"20190312161003908"</f>
        <v>20190312161003908</v>
      </c>
      <c r="B2336" t="str">
        <f>"1552378203898131"</f>
        <v>1552378203898131</v>
      </c>
      <c r="C2336" t="s">
        <v>40</v>
      </c>
      <c r="D2336">
        <v>5.2281040000000001</v>
      </c>
      <c r="E2336">
        <v>0.33622770000000002</v>
      </c>
      <c r="F2336" t="s">
        <v>75</v>
      </c>
      <c r="G2336">
        <v>-512.82529999999997</v>
      </c>
      <c r="H2336">
        <v>0.26293929999999999</v>
      </c>
      <c r="I2336">
        <v>233.22290000000001</v>
      </c>
      <c r="J2336">
        <v>-484.01490000000001</v>
      </c>
      <c r="K2336">
        <v>1.1112899999999999</v>
      </c>
      <c r="L2336">
        <v>280.59829999999999</v>
      </c>
      <c r="M2336">
        <v>-0.81618570000000001</v>
      </c>
      <c r="N2336">
        <v>0</v>
      </c>
      <c r="O2336">
        <v>-0.57763529999999996</v>
      </c>
      <c r="P2336">
        <v>-0.81632859999999996</v>
      </c>
      <c r="Q2336">
        <v>-3.4600260000000001E-2</v>
      </c>
      <c r="R2336">
        <v>-0.57655049999999997</v>
      </c>
      <c r="S2336">
        <v>-1.701355</v>
      </c>
      <c r="T2336">
        <v>-5.0020929999999998E-2</v>
      </c>
      <c r="U2336">
        <v>-2.7955320000000001</v>
      </c>
      <c r="V2336">
        <v>1.018389E-3</v>
      </c>
      <c r="W2336">
        <v>-2.1246069999999999E-2</v>
      </c>
      <c r="X2336">
        <v>0.99977369999999999</v>
      </c>
      <c r="Y2336">
        <v>-0.3969569</v>
      </c>
      <c r="Z2336">
        <v>6.2470349999999997E-3</v>
      </c>
      <c r="AA2336">
        <v>0.91781599999999997</v>
      </c>
      <c r="AB2336">
        <v>9</v>
      </c>
      <c r="AC2336">
        <v>-28.810399999999898</v>
      </c>
      <c r="AD2336">
        <v>-0.84835069999999901</v>
      </c>
      <c r="AE2336">
        <v>-47.3753999999999</v>
      </c>
      <c r="AF2336">
        <v>-22.022029359287998</v>
      </c>
      <c r="AG2336">
        <v>-0.84835069999999901</v>
      </c>
      <c r="AH2336">
        <v>50.872969282923201</v>
      </c>
      <c r="AI2336">
        <v>90.876760227776003</v>
      </c>
      <c r="AJ2336">
        <v>113.406952682219</v>
      </c>
      <c r="AK2336">
        <v>55.441396804849603</v>
      </c>
      <c r="AL2336">
        <v>91.217401812962507</v>
      </c>
      <c r="AM2336">
        <v>89.9416374211266</v>
      </c>
      <c r="AN2336">
        <v>0.99999994190914299</v>
      </c>
    </row>
    <row r="2337" spans="1:40" x14ac:dyDescent="0.25">
      <c r="A2337" t="str">
        <f>"20190312161003925"</f>
        <v>20190312161003925</v>
      </c>
      <c r="B2337" t="str">
        <f>"1552378203918626"</f>
        <v>1552378203918626</v>
      </c>
      <c r="C2337" t="s">
        <v>40</v>
      </c>
      <c r="D2337">
        <v>5.318924</v>
      </c>
      <c r="E2337">
        <v>0.33680680000000002</v>
      </c>
      <c r="F2337" t="s">
        <v>75</v>
      </c>
      <c r="G2337">
        <v>-512.82529999999997</v>
      </c>
      <c r="H2337">
        <v>0.25964179999999998</v>
      </c>
      <c r="I2337">
        <v>233.1096</v>
      </c>
      <c r="J2337">
        <v>-484.07060000000001</v>
      </c>
      <c r="K2337">
        <v>1.1112839999999999</v>
      </c>
      <c r="L2337">
        <v>280.55470000000003</v>
      </c>
      <c r="M2337">
        <v>-0.8144536</v>
      </c>
      <c r="N2337">
        <v>0</v>
      </c>
      <c r="O2337">
        <v>-0.58007509999999995</v>
      </c>
      <c r="P2337">
        <v>-0.81494909999999998</v>
      </c>
      <c r="Q2337">
        <v>-3.4755830000000001E-2</v>
      </c>
      <c r="R2337">
        <v>-0.57849030000000001</v>
      </c>
      <c r="S2337">
        <v>-1.69714399999999</v>
      </c>
      <c r="T2337">
        <v>-5.0164100000000003E-2</v>
      </c>
      <c r="U2337">
        <v>-2.7974239999999999</v>
      </c>
      <c r="V2337">
        <v>1.629094E-3</v>
      </c>
      <c r="W2337">
        <v>-2.140299E-2</v>
      </c>
      <c r="X2337">
        <v>0.99976960000000004</v>
      </c>
      <c r="Y2337">
        <v>-0.39549529999999999</v>
      </c>
      <c r="Z2337">
        <v>6.3192680000000003E-3</v>
      </c>
      <c r="AA2337">
        <v>0.91844630000000005</v>
      </c>
      <c r="AB2337">
        <v>9</v>
      </c>
      <c r="AC2337">
        <v>-28.7546999999999</v>
      </c>
      <c r="AD2337">
        <v>-0.85164219999999902</v>
      </c>
      <c r="AE2337">
        <v>-47.445099999999996</v>
      </c>
      <c r="AF2337">
        <v>-21.9587296861108</v>
      </c>
      <c r="AG2337">
        <v>-0.85164219999999902</v>
      </c>
      <c r="AH2337">
        <v>50.933627402537198</v>
      </c>
      <c r="AI2337">
        <v>90.879676219164196</v>
      </c>
      <c r="AJ2337">
        <v>113.322053047938</v>
      </c>
      <c r="AK2337">
        <v>55.4720245190762</v>
      </c>
      <c r="AL2337">
        <v>91.226394643949305</v>
      </c>
      <c r="AM2337">
        <v>89.906638361459599</v>
      </c>
      <c r="AN2337">
        <v>0.99999999750617996</v>
      </c>
    </row>
    <row r="2338" spans="1:40" x14ac:dyDescent="0.25">
      <c r="A2338" t="str">
        <f>"20190312161003937"</f>
        <v>20190312161003937</v>
      </c>
      <c r="B2338" t="str">
        <f>"1552378203928387"</f>
        <v>1552378203928387</v>
      </c>
      <c r="C2338" t="s">
        <v>40</v>
      </c>
      <c r="D2338">
        <v>5.1768609999999997</v>
      </c>
      <c r="E2338">
        <v>0.33680680000000002</v>
      </c>
      <c r="F2338" t="s">
        <v>75</v>
      </c>
      <c r="G2338">
        <v>-512.8252</v>
      </c>
      <c r="H2338">
        <v>0.2201805</v>
      </c>
      <c r="I2338">
        <v>233.0378</v>
      </c>
      <c r="J2338">
        <v>-484.10910000000001</v>
      </c>
      <c r="K2338">
        <v>1.1112789999999999</v>
      </c>
      <c r="L2338">
        <v>280.52420000000001</v>
      </c>
      <c r="M2338">
        <v>-0.81324739999999995</v>
      </c>
      <c r="N2338">
        <v>0</v>
      </c>
      <c r="O2338">
        <v>-0.58176510000000003</v>
      </c>
      <c r="P2338">
        <v>-0.81389809999999996</v>
      </c>
      <c r="Q2338">
        <v>-3.4968880000000001E-2</v>
      </c>
      <c r="R2338">
        <v>-0.57995469999999905</v>
      </c>
      <c r="S2338">
        <v>-1.6930240000000001</v>
      </c>
      <c r="T2338">
        <v>-5.2462460000000002E-2</v>
      </c>
      <c r="U2338">
        <v>-2.7976990000000002</v>
      </c>
      <c r="V2338">
        <v>1.901825E-3</v>
      </c>
      <c r="W2338">
        <v>-2.1617419999999998E-2</v>
      </c>
      <c r="X2338">
        <v>0.99976449999999994</v>
      </c>
      <c r="Y2338">
        <v>-0.39461849999999998</v>
      </c>
      <c r="Z2338">
        <v>6.650174E-3</v>
      </c>
      <c r="AA2338">
        <v>0.918821</v>
      </c>
      <c r="AB2338">
        <v>9</v>
      </c>
      <c r="AC2338">
        <v>-28.716099999999901</v>
      </c>
      <c r="AD2338">
        <v>-0.89109850000000002</v>
      </c>
      <c r="AE2338">
        <v>-47.486400000000003</v>
      </c>
      <c r="AF2338">
        <v>-21.908468353499401</v>
      </c>
      <c r="AG2338">
        <v>-0.89109850000000002</v>
      </c>
      <c r="AH2338">
        <v>50.970619964082502</v>
      </c>
      <c r="AI2338">
        <v>90.920190504276505</v>
      </c>
      <c r="AJ2338">
        <v>113.25926267671601</v>
      </c>
      <c r="AK2338">
        <v>55.4867474416722</v>
      </c>
      <c r="AL2338">
        <v>91.238683427323593</v>
      </c>
      <c r="AM2338">
        <v>89.891007917928903</v>
      </c>
      <c r="AN2338">
        <v>0.99999999262301797</v>
      </c>
    </row>
    <row r="2339" spans="1:40" x14ac:dyDescent="0.25">
      <c r="A2339" t="str">
        <f>"20190312161003959"</f>
        <v>20190312161003959</v>
      </c>
      <c r="B2339" t="str">
        <f>"1552378203947906"</f>
        <v>1552378203947906</v>
      </c>
      <c r="C2339" t="s">
        <v>40</v>
      </c>
      <c r="D2339">
        <v>5.1766529999999999</v>
      </c>
      <c r="E2339">
        <v>0.35270639999999998</v>
      </c>
      <c r="F2339" t="s">
        <v>75</v>
      </c>
      <c r="G2339">
        <v>-512.8252</v>
      </c>
      <c r="H2339">
        <v>0.2046702</v>
      </c>
      <c r="I2339">
        <v>232.886</v>
      </c>
      <c r="J2339">
        <v>-484.17939999999999</v>
      </c>
      <c r="K2339">
        <v>1.1112660000000001</v>
      </c>
      <c r="L2339">
        <v>280.46839999999997</v>
      </c>
      <c r="M2339">
        <v>-0.8110349</v>
      </c>
      <c r="N2339">
        <v>0</v>
      </c>
      <c r="O2339">
        <v>-0.58484550000000002</v>
      </c>
      <c r="P2339">
        <v>-0.81209330000000002</v>
      </c>
      <c r="Q2339">
        <v>-3.5191729999999997E-2</v>
      </c>
      <c r="R2339">
        <v>-0.58246580000000003</v>
      </c>
      <c r="S2339">
        <v>-1.6881409999999999</v>
      </c>
      <c r="T2339">
        <v>-5.329275E-2</v>
      </c>
      <c r="U2339">
        <v>-2.8005070000000001</v>
      </c>
      <c r="V2339">
        <v>2.6004190000000001E-3</v>
      </c>
      <c r="W2339">
        <v>-2.1842279999999999E-2</v>
      </c>
      <c r="X2339">
        <v>0.99975809999999998</v>
      </c>
      <c r="Y2339">
        <v>-0.3927157</v>
      </c>
      <c r="Z2339">
        <v>6.8275289999999997E-3</v>
      </c>
      <c r="AA2339">
        <v>0.91963459999999997</v>
      </c>
      <c r="AB2339">
        <v>9</v>
      </c>
      <c r="AC2339">
        <v>-28.645800000000001</v>
      </c>
      <c r="AD2339">
        <v>-0.90659579999999995</v>
      </c>
      <c r="AE2339">
        <v>-47.5823999999999</v>
      </c>
      <c r="AF2339">
        <v>-21.833747404293</v>
      </c>
      <c r="AG2339">
        <v>-0.90659579999999995</v>
      </c>
      <c r="AH2339">
        <v>51.0520415514086</v>
      </c>
      <c r="AI2339">
        <v>90.935425771047306</v>
      </c>
      <c r="AJ2339">
        <v>113.155246935626</v>
      </c>
      <c r="AK2339">
        <v>55.532381438452603</v>
      </c>
      <c r="AL2339">
        <v>91.251569923708999</v>
      </c>
      <c r="AM2339">
        <v>89.850971252280601</v>
      </c>
      <c r="AN2339">
        <v>1.0000000529450901</v>
      </c>
    </row>
    <row r="2340" spans="1:40" x14ac:dyDescent="0.25">
      <c r="A2340" t="str">
        <f>"20190312161003982"</f>
        <v>20190312161003982</v>
      </c>
      <c r="B2340" t="str">
        <f>"1552378203978162"</f>
        <v>1552378203978162</v>
      </c>
      <c r="C2340" t="s">
        <v>40</v>
      </c>
      <c r="D2340">
        <v>5.1396329999999999</v>
      </c>
      <c r="E2340">
        <v>0.35268280000000002</v>
      </c>
      <c r="F2340" t="s">
        <v>41</v>
      </c>
      <c r="G2340">
        <v>-502.22230000000002</v>
      </c>
      <c r="H2340">
        <v>7.9986039999999994E-2</v>
      </c>
      <c r="I2340">
        <v>252.5943</v>
      </c>
      <c r="J2340">
        <v>-484.25139999999999</v>
      </c>
      <c r="K2340">
        <v>1.1112649999999999</v>
      </c>
      <c r="L2340">
        <v>280.41079999999999</v>
      </c>
      <c r="M2340">
        <v>-0.8087472</v>
      </c>
      <c r="N2340">
        <v>0</v>
      </c>
      <c r="O2340">
        <v>-0.58800479999999999</v>
      </c>
      <c r="P2340">
        <v>-0.80991429999999998</v>
      </c>
      <c r="Q2340">
        <v>-3.5290490000000001E-2</v>
      </c>
      <c r="R2340">
        <v>-0.5854857</v>
      </c>
      <c r="S2340">
        <v>-1.7503660000000001</v>
      </c>
      <c r="T2340">
        <v>-0.1000458</v>
      </c>
      <c r="U2340">
        <v>-2.7041019999999998</v>
      </c>
      <c r="V2340">
        <v>2.7749559999999999E-3</v>
      </c>
      <c r="W2340">
        <v>-2.1944200000000001E-2</v>
      </c>
      <c r="X2340">
        <v>0.99975530000000001</v>
      </c>
      <c r="Y2340">
        <v>-0.35950260000000001</v>
      </c>
      <c r="Z2340">
        <v>1.358817E-2</v>
      </c>
      <c r="AA2340">
        <v>0.93304509999999996</v>
      </c>
      <c r="AB2340">
        <v>9</v>
      </c>
      <c r="AC2340">
        <v>-17.9709</v>
      </c>
      <c r="AD2340">
        <v>-1.0312789600000001</v>
      </c>
      <c r="AE2340">
        <v>-27.816499999999898</v>
      </c>
      <c r="AF2340">
        <v>-11.919046313866501</v>
      </c>
      <c r="AG2340">
        <v>-1.0312789600000001</v>
      </c>
      <c r="AH2340">
        <v>30.8629757402121</v>
      </c>
      <c r="AI2340">
        <v>91.785389845814095</v>
      </c>
      <c r="AJ2340">
        <v>111.11618129811001</v>
      </c>
      <c r="AK2340">
        <v>33.100611366957502</v>
      </c>
      <c r="AL2340">
        <v>91.2574110335771</v>
      </c>
      <c r="AM2340">
        <v>89.840968226091206</v>
      </c>
      <c r="AN2340">
        <v>0.99999995408626396</v>
      </c>
    </row>
    <row r="2341" spans="1:40" x14ac:dyDescent="0.25">
      <c r="A2341" t="str">
        <f>"20190312161004004"</f>
        <v>20190312161004004</v>
      </c>
      <c r="B2341" t="str">
        <f>"1552378203998659"</f>
        <v>1552378203998659</v>
      </c>
      <c r="C2341" t="s">
        <v>40</v>
      </c>
      <c r="D2341">
        <v>5.1339959999999998</v>
      </c>
      <c r="E2341">
        <v>0.35289779999999998</v>
      </c>
      <c r="F2341" t="s">
        <v>41</v>
      </c>
      <c r="G2341">
        <v>-501.75839999999999</v>
      </c>
      <c r="H2341">
        <v>7.9985860000000006E-2</v>
      </c>
      <c r="I2341">
        <v>253.12549999999999</v>
      </c>
      <c r="J2341">
        <v>-484.32510000000002</v>
      </c>
      <c r="K2341">
        <v>1.111262</v>
      </c>
      <c r="L2341">
        <v>280.35140000000001</v>
      </c>
      <c r="M2341">
        <v>-0.80638750000000003</v>
      </c>
      <c r="N2341">
        <v>0</v>
      </c>
      <c r="O2341">
        <v>-0.59123719999999902</v>
      </c>
      <c r="P2341">
        <v>-0.80757599999999996</v>
      </c>
      <c r="Q2341">
        <v>-3.5111959999999998E-2</v>
      </c>
      <c r="R2341">
        <v>-0.58871770000000001</v>
      </c>
      <c r="S2341">
        <v>-1.7396240000000001</v>
      </c>
      <c r="T2341">
        <v>-0.10247580000000001</v>
      </c>
      <c r="U2341">
        <v>-2.7112729999999998</v>
      </c>
      <c r="V2341">
        <v>2.785095E-3</v>
      </c>
      <c r="W2341">
        <v>-2.176937E-2</v>
      </c>
      <c r="X2341">
        <v>0.99975910000000001</v>
      </c>
      <c r="Y2341">
        <v>-0.35951270000000002</v>
      </c>
      <c r="Z2341">
        <v>1.403368E-2</v>
      </c>
      <c r="AA2341">
        <v>0.93303469999999999</v>
      </c>
      <c r="AB2341">
        <v>9</v>
      </c>
      <c r="AC2341">
        <v>-17.4332999999999</v>
      </c>
      <c r="AD2341">
        <v>-1.0312761399999999</v>
      </c>
      <c r="AE2341">
        <v>-27.225899999999999</v>
      </c>
      <c r="AF2341">
        <v>-11.6366043650163</v>
      </c>
      <c r="AG2341">
        <v>-1.0312761399999999</v>
      </c>
      <c r="AH2341">
        <v>30.1269845792885</v>
      </c>
      <c r="AI2341">
        <v>91.828935451973805</v>
      </c>
      <c r="AJ2341">
        <v>111.119147349521</v>
      </c>
      <c r="AK2341">
        <v>32.312680041518398</v>
      </c>
      <c r="AL2341">
        <v>91.247391610914903</v>
      </c>
      <c r="AM2341">
        <v>89.840387773161098</v>
      </c>
      <c r="AN2341">
        <v>0.99999996012858205</v>
      </c>
    </row>
    <row r="2342" spans="1:40" x14ac:dyDescent="0.25">
      <c r="A2342" t="str">
        <f>"20190312161004026"</f>
        <v>20190312161004026</v>
      </c>
      <c r="B2342" t="str">
        <f>"1552378204018178"</f>
        <v>1552378204018178</v>
      </c>
      <c r="C2342" t="s">
        <v>40</v>
      </c>
      <c r="D2342">
        <v>5.1196910000000004</v>
      </c>
      <c r="E2342">
        <v>0.35347460000000003</v>
      </c>
      <c r="F2342" t="s">
        <v>41</v>
      </c>
      <c r="G2342">
        <v>-502.74250000000001</v>
      </c>
      <c r="H2342">
        <v>7.9986399999999902E-2</v>
      </c>
      <c r="I2342">
        <v>251.4366</v>
      </c>
      <c r="J2342">
        <v>-484.39499999999998</v>
      </c>
      <c r="K2342">
        <v>1.111262</v>
      </c>
      <c r="L2342">
        <v>280.29450000000003</v>
      </c>
      <c r="M2342">
        <v>-0.80412819999999996</v>
      </c>
      <c r="N2342">
        <v>0</v>
      </c>
      <c r="O2342">
        <v>-0.59430649999999996</v>
      </c>
      <c r="P2342">
        <v>-0.80496829999999997</v>
      </c>
      <c r="Q2342">
        <v>-3.4526000000000001E-2</v>
      </c>
      <c r="R2342">
        <v>-0.59231279999999997</v>
      </c>
      <c r="S2342">
        <v>-1.730286</v>
      </c>
      <c r="T2342">
        <v>-9.6886520000000004E-2</v>
      </c>
      <c r="U2342">
        <v>-2.7164920000000001</v>
      </c>
      <c r="V2342">
        <v>2.1514609999999999E-3</v>
      </c>
      <c r="W2342">
        <v>-2.118807E-2</v>
      </c>
      <c r="X2342">
        <v>0.99977320000000003</v>
      </c>
      <c r="Y2342">
        <v>-0.359043099999999</v>
      </c>
      <c r="Z2342">
        <v>1.338257E-2</v>
      </c>
      <c r="AA2342">
        <v>0.93322499999999997</v>
      </c>
      <c r="AB2342">
        <v>9</v>
      </c>
      <c r="AC2342">
        <v>-18.3475</v>
      </c>
      <c r="AD2342">
        <v>-1.0312755999999901</v>
      </c>
      <c r="AE2342">
        <v>-28.857900000000001</v>
      </c>
      <c r="AF2342">
        <v>-12.2913268659269</v>
      </c>
      <c r="AG2342">
        <v>-1.0312755999999901</v>
      </c>
      <c r="AH2342">
        <v>31.8780217705269</v>
      </c>
      <c r="AI2342">
        <v>91.728928683834994</v>
      </c>
      <c r="AJ2342">
        <v>111.085327487691</v>
      </c>
      <c r="AK2342">
        <v>34.181113461828602</v>
      </c>
      <c r="AL2342">
        <v>91.214077829961198</v>
      </c>
      <c r="AM2342">
        <v>89.876702591342607</v>
      </c>
      <c r="AN2342">
        <v>1.0000000072664901</v>
      </c>
    </row>
    <row r="2343" spans="1:40" x14ac:dyDescent="0.25">
      <c r="A2343" t="str">
        <f>"20190312161004049"</f>
        <v>20190312161004049</v>
      </c>
      <c r="B2343" t="str">
        <f>"1552378204038674"</f>
        <v>1552378204038674</v>
      </c>
      <c r="C2343" t="s">
        <v>40</v>
      </c>
      <c r="D2343">
        <v>5.0787319999999996</v>
      </c>
      <c r="E2343">
        <v>0.35397299999999998</v>
      </c>
      <c r="F2343" t="s">
        <v>41</v>
      </c>
      <c r="G2343">
        <v>-503.34539999999998</v>
      </c>
      <c r="H2343">
        <v>7.9986749999999995E-2</v>
      </c>
      <c r="I2343">
        <v>250.35239999999999</v>
      </c>
      <c r="J2343">
        <v>-484.46539999999999</v>
      </c>
      <c r="K2343">
        <v>1.1112580000000001</v>
      </c>
      <c r="L2343">
        <v>280.23680000000002</v>
      </c>
      <c r="M2343">
        <v>-0.80183380000000004</v>
      </c>
      <c r="N2343">
        <v>0</v>
      </c>
      <c r="O2343">
        <v>-0.59739849999999906</v>
      </c>
      <c r="P2343">
        <v>-0.80237349999999996</v>
      </c>
      <c r="Q2343">
        <v>-3.4667789999999997E-2</v>
      </c>
      <c r="R2343">
        <v>-0.59581479999999998</v>
      </c>
      <c r="S2343">
        <v>-1.721436</v>
      </c>
      <c r="T2343">
        <v>-9.3679899999999997E-2</v>
      </c>
      <c r="U2343">
        <v>-2.71991</v>
      </c>
      <c r="V2343">
        <v>1.6412289999999999E-3</v>
      </c>
      <c r="W2343">
        <v>-2.1334769999999999E-2</v>
      </c>
      <c r="X2343">
        <v>0.99977110000000002</v>
      </c>
      <c r="Y2343">
        <v>-0.35814269999999998</v>
      </c>
      <c r="Z2343">
        <v>1.3061379999999999E-2</v>
      </c>
      <c r="AA2343">
        <v>0.9335755</v>
      </c>
      <c r="AB2343">
        <v>9</v>
      </c>
      <c r="AC2343">
        <v>-18.8799999999999</v>
      </c>
      <c r="AD2343">
        <v>-1.0312712500000001</v>
      </c>
      <c r="AE2343">
        <v>-29.884399999999999</v>
      </c>
      <c r="AF2343">
        <v>-12.673777607225899</v>
      </c>
      <c r="AG2343">
        <v>-1.0312712500000001</v>
      </c>
      <c r="AH2343">
        <v>32.9663888871778</v>
      </c>
      <c r="AI2343">
        <v>91.672507215731997</v>
      </c>
      <c r="AJ2343">
        <v>111.02902780090901</v>
      </c>
      <c r="AK2343">
        <v>35.333708487634503</v>
      </c>
      <c r="AL2343">
        <v>91.222484957682695</v>
      </c>
      <c r="AM2343">
        <v>89.905943059922805</v>
      </c>
      <c r="AN2343">
        <v>1.0000000592193901</v>
      </c>
    </row>
    <row r="2344" spans="1:40" x14ac:dyDescent="0.25">
      <c r="A2344" t="str">
        <f>"20190312161004070"</f>
        <v>20190312161004070</v>
      </c>
      <c r="B2344" t="str">
        <f>"1552378204067955"</f>
        <v>1552378204067955</v>
      </c>
      <c r="C2344" t="s">
        <v>40</v>
      </c>
      <c r="D2344">
        <v>5.0819049999999999</v>
      </c>
      <c r="E2344">
        <v>0.35495409999999999</v>
      </c>
      <c r="F2344" t="s">
        <v>41</v>
      </c>
      <c r="G2344">
        <v>-502.93079999999998</v>
      </c>
      <c r="H2344">
        <v>7.9986589999999996E-2</v>
      </c>
      <c r="I2344">
        <v>250.84399999999999</v>
      </c>
      <c r="J2344">
        <v>-484.53489999999999</v>
      </c>
      <c r="K2344">
        <v>1.1112580000000001</v>
      </c>
      <c r="L2344">
        <v>280.17930000000001</v>
      </c>
      <c r="M2344">
        <v>-0.79955140000000002</v>
      </c>
      <c r="N2344">
        <v>0</v>
      </c>
      <c r="O2344">
        <v>-0.60044989999999998</v>
      </c>
      <c r="P2344">
        <v>-0.8</v>
      </c>
      <c r="Q2344">
        <v>-3.4627159999999997E-2</v>
      </c>
      <c r="R2344">
        <v>-0.59900019999999998</v>
      </c>
      <c r="S2344">
        <v>-1.7116389999999999</v>
      </c>
      <c r="T2344">
        <v>-9.5593209999999998E-2</v>
      </c>
      <c r="U2344">
        <v>-2.724548</v>
      </c>
      <c r="V2344">
        <v>1.477024E-3</v>
      </c>
      <c r="W2344">
        <v>-2.1298000000000001E-2</v>
      </c>
      <c r="X2344">
        <v>0.99977210000000005</v>
      </c>
      <c r="Y2344">
        <v>-0.35770950000000001</v>
      </c>
      <c r="Z2344">
        <v>1.3442249999999999E-2</v>
      </c>
      <c r="AA2344">
        <v>0.93373609999999896</v>
      </c>
      <c r="AB2344">
        <v>9</v>
      </c>
      <c r="AC2344">
        <v>-18.395899999999902</v>
      </c>
      <c r="AD2344">
        <v>-1.03127141</v>
      </c>
      <c r="AE2344">
        <v>-29.335299999999901</v>
      </c>
      <c r="AF2344">
        <v>-12.399366588304</v>
      </c>
      <c r="AG2344">
        <v>-1.03127141</v>
      </c>
      <c r="AH2344">
        <v>32.297065755972703</v>
      </c>
      <c r="AI2344">
        <v>91.707450460637602</v>
      </c>
      <c r="AJ2344">
        <v>111.002604678758</v>
      </c>
      <c r="AK2344">
        <v>34.610811446105402</v>
      </c>
      <c r="AL2344">
        <v>91.220377762067997</v>
      </c>
      <c r="AM2344">
        <v>89.915353529198597</v>
      </c>
      <c r="AN2344">
        <v>1.00000001917115</v>
      </c>
    </row>
    <row r="2345" spans="1:40" x14ac:dyDescent="0.25">
      <c r="A2345" t="str">
        <f>"20190312161004093"</f>
        <v>20190312161004093</v>
      </c>
      <c r="B2345" t="str">
        <f>"1552378204088454"</f>
        <v>1552378204088454</v>
      </c>
      <c r="C2345" t="s">
        <v>40</v>
      </c>
      <c r="D2345">
        <v>5.0815519999999896</v>
      </c>
      <c r="E2345">
        <v>0.35566809999999899</v>
      </c>
      <c r="F2345" t="s">
        <v>41</v>
      </c>
      <c r="G2345">
        <v>-503.10789999999997</v>
      </c>
      <c r="H2345">
        <v>7.9986689999999999E-2</v>
      </c>
      <c r="I2345">
        <v>250.50829999999999</v>
      </c>
      <c r="J2345">
        <v>-484.60570000000001</v>
      </c>
      <c r="K2345">
        <v>1.111253</v>
      </c>
      <c r="L2345">
        <v>280.12029999999999</v>
      </c>
      <c r="M2345">
        <v>-0.79720290000000005</v>
      </c>
      <c r="N2345">
        <v>0</v>
      </c>
      <c r="O2345">
        <v>-0.60356430000000005</v>
      </c>
      <c r="P2345">
        <v>-0.797490699999999</v>
      </c>
      <c r="Q2345">
        <v>-3.3968529999999997E-2</v>
      </c>
      <c r="R2345">
        <v>-0.60237439999999998</v>
      </c>
      <c r="S2345">
        <v>-1.7056880000000001</v>
      </c>
      <c r="T2345">
        <v>-9.4708440000000005E-2</v>
      </c>
      <c r="U2345">
        <v>-2.7248839999999999</v>
      </c>
      <c r="V2345">
        <v>1.1689249999999999E-3</v>
      </c>
      <c r="W2345">
        <v>-2.064328E-2</v>
      </c>
      <c r="X2345">
        <v>0.99978619999999996</v>
      </c>
      <c r="Y2345">
        <v>-0.355581799999999</v>
      </c>
      <c r="Z2345">
        <v>1.346198E-2</v>
      </c>
      <c r="AA2345">
        <v>0.9345483</v>
      </c>
      <c r="AB2345">
        <v>9</v>
      </c>
      <c r="AC2345">
        <v>-18.502199999999899</v>
      </c>
      <c r="AD2345">
        <v>-1.0312663099999999</v>
      </c>
      <c r="AE2345">
        <v>-29.611999999999899</v>
      </c>
      <c r="AF2345">
        <v>-12.4297676166749</v>
      </c>
      <c r="AG2345">
        <v>-1.0312663099999999</v>
      </c>
      <c r="AH2345">
        <v>32.597217447176497</v>
      </c>
      <c r="AI2345">
        <v>91.693198432113206</v>
      </c>
      <c r="AJ2345">
        <v>110.872537398891</v>
      </c>
      <c r="AK2345">
        <v>34.901879870648699</v>
      </c>
      <c r="AL2345">
        <v>91.182856866248599</v>
      </c>
      <c r="AM2345">
        <v>89.933011239252906</v>
      </c>
      <c r="AN2345">
        <v>0.99999997855262601</v>
      </c>
    </row>
    <row r="2346" spans="1:40" x14ac:dyDescent="0.25">
      <c r="A2346" t="str">
        <f>"20190312161004115"</f>
        <v>20190312161004115</v>
      </c>
      <c r="B2346" t="str">
        <f>"1552378204107970"</f>
        <v>1552378204107970</v>
      </c>
      <c r="C2346" t="s">
        <v>40</v>
      </c>
      <c r="D2346">
        <v>5.0585680000000002</v>
      </c>
      <c r="E2346">
        <v>0.35637229999999998</v>
      </c>
      <c r="F2346" t="s">
        <v>41</v>
      </c>
      <c r="G2346">
        <v>-503.47089999999997</v>
      </c>
      <c r="H2346">
        <v>7.9986909999999994E-2</v>
      </c>
      <c r="I2346">
        <v>249.8098</v>
      </c>
      <c r="J2346">
        <v>-484.67410000000001</v>
      </c>
      <c r="K2346">
        <v>1.1112420000000001</v>
      </c>
      <c r="L2346">
        <v>280.06290000000001</v>
      </c>
      <c r="M2346">
        <v>-0.79491840000000002</v>
      </c>
      <c r="N2346">
        <v>0</v>
      </c>
      <c r="O2346">
        <v>-0.60657019999999995</v>
      </c>
      <c r="P2346">
        <v>-0.79517499999999997</v>
      </c>
      <c r="Q2346">
        <v>-3.4373439999999998E-2</v>
      </c>
      <c r="R2346">
        <v>-0.60540499999999997</v>
      </c>
      <c r="S2346">
        <v>-1.697632</v>
      </c>
      <c r="T2346">
        <v>-9.2801090000000003E-2</v>
      </c>
      <c r="U2346">
        <v>-2.7275700000000001</v>
      </c>
      <c r="V2346">
        <v>1.1292400000000001E-3</v>
      </c>
      <c r="W2346">
        <v>-2.1051839999999999E-2</v>
      </c>
      <c r="X2346">
        <v>0.99977769999999999</v>
      </c>
      <c r="Y2346">
        <v>-0.35445209999999999</v>
      </c>
      <c r="Z2346">
        <v>1.331245E-2</v>
      </c>
      <c r="AA2346">
        <v>0.93497940000000002</v>
      </c>
      <c r="AB2346">
        <v>9</v>
      </c>
      <c r="AC2346">
        <v>-18.796799999999902</v>
      </c>
      <c r="AD2346">
        <v>-1.0312550899999999</v>
      </c>
      <c r="AE2346">
        <v>-30.2531</v>
      </c>
      <c r="AF2346">
        <v>-12.637693993168201</v>
      </c>
      <c r="AG2346">
        <v>-1.0312550899999999</v>
      </c>
      <c r="AH2346">
        <v>33.267613950418003</v>
      </c>
      <c r="AI2346">
        <v>91.659869607934397</v>
      </c>
      <c r="AJ2346">
        <v>110.800771999231</v>
      </c>
      <c r="AK2346">
        <v>35.602091714949204</v>
      </c>
      <c r="AL2346">
        <v>91.206270750910093</v>
      </c>
      <c r="AM2346">
        <v>89.935284955302095</v>
      </c>
      <c r="AN2346">
        <v>0.99999995228382499</v>
      </c>
    </row>
    <row r="2347" spans="1:40" x14ac:dyDescent="0.25">
      <c r="A2347" t="str">
        <f>"20190312161004137"</f>
        <v>20190312161004137</v>
      </c>
      <c r="B2347" t="str">
        <f>"1552378204128470"</f>
        <v>1552378204128470</v>
      </c>
      <c r="C2347" t="s">
        <v>40</v>
      </c>
      <c r="D2347">
        <v>5.0379740000000002</v>
      </c>
      <c r="E2347">
        <v>0.3570489</v>
      </c>
      <c r="F2347" t="s">
        <v>41</v>
      </c>
      <c r="G2347">
        <v>-502.91070000000002</v>
      </c>
      <c r="H2347">
        <v>7.9986650000000006E-2</v>
      </c>
      <c r="I2347">
        <v>250.61689999999999</v>
      </c>
      <c r="J2347">
        <v>-484.74110000000002</v>
      </c>
      <c r="K2347">
        <v>1.1112340000000001</v>
      </c>
      <c r="L2347">
        <v>280.00630000000001</v>
      </c>
      <c r="M2347">
        <v>-0.79266400000000004</v>
      </c>
      <c r="N2347">
        <v>0</v>
      </c>
      <c r="O2347">
        <v>-0.60951330000000004</v>
      </c>
      <c r="P2347">
        <v>-0.79285620000000001</v>
      </c>
      <c r="Q2347">
        <v>-3.4586169999999999E-2</v>
      </c>
      <c r="R2347">
        <v>-0.60842669999999999</v>
      </c>
      <c r="S2347">
        <v>-1.690491</v>
      </c>
      <c r="T2347">
        <v>-9.5595360000000004E-2</v>
      </c>
      <c r="U2347">
        <v>-2.729584</v>
      </c>
      <c r="V2347">
        <v>1.0260779999999999E-3</v>
      </c>
      <c r="W2347">
        <v>-2.1268240000000001E-2</v>
      </c>
      <c r="X2347">
        <v>0.99977329999999998</v>
      </c>
      <c r="Y2347">
        <v>-0.35306520000000002</v>
      </c>
      <c r="Z2347">
        <v>1.3839779999999999E-2</v>
      </c>
      <c r="AA2347">
        <v>0.93549640000000001</v>
      </c>
      <c r="AB2347">
        <v>9</v>
      </c>
      <c r="AC2347">
        <v>-18.169599999999999</v>
      </c>
      <c r="AD2347">
        <v>-1.0312473499999999</v>
      </c>
      <c r="AE2347">
        <v>-29.389399999999998</v>
      </c>
      <c r="AF2347">
        <v>-12.2115124775091</v>
      </c>
      <c r="AG2347">
        <v>-1.0312473499999999</v>
      </c>
      <c r="AH2347">
        <v>32.289720591976902</v>
      </c>
      <c r="AI2347">
        <v>91.711056279714796</v>
      </c>
      <c r="AJ2347">
        <v>110.715904132483</v>
      </c>
      <c r="AK2347">
        <v>34.537089686208098</v>
      </c>
      <c r="AL2347">
        <v>91.218672250996903</v>
      </c>
      <c r="AM2347">
        <v>89.941196751093599</v>
      </c>
      <c r="AN2347">
        <v>1.00000002113082</v>
      </c>
    </row>
    <row r="2348" spans="1:40" x14ac:dyDescent="0.25">
      <c r="A2348" t="str">
        <f>"20190312161004160"</f>
        <v>20190312161004160</v>
      </c>
      <c r="B2348" t="str">
        <f>"1552378204157748"</f>
        <v>1552378204157748</v>
      </c>
      <c r="C2348" t="s">
        <v>40</v>
      </c>
      <c r="D2348">
        <v>4.9941149999999999</v>
      </c>
      <c r="E2348">
        <v>0.36531710000000001</v>
      </c>
      <c r="F2348" t="s">
        <v>41</v>
      </c>
      <c r="G2348">
        <v>-502.54599999999999</v>
      </c>
      <c r="H2348">
        <v>7.9986489999999993E-2</v>
      </c>
      <c r="I2348">
        <v>251.11259999999999</v>
      </c>
      <c r="J2348">
        <v>-484.81169999999997</v>
      </c>
      <c r="K2348">
        <v>1.111229</v>
      </c>
      <c r="L2348">
        <v>279.9461</v>
      </c>
      <c r="M2348">
        <v>-0.79026509999999905</v>
      </c>
      <c r="N2348">
        <v>0</v>
      </c>
      <c r="O2348">
        <v>-0.61262039999999995</v>
      </c>
      <c r="P2348">
        <v>-0.79025559999999995</v>
      </c>
      <c r="Q2348">
        <v>-3.4299419999999997E-2</v>
      </c>
      <c r="R2348">
        <v>-0.6118169</v>
      </c>
      <c r="S2348">
        <v>-1.68331899999999</v>
      </c>
      <c r="T2348">
        <v>-9.7496869999999999E-2</v>
      </c>
      <c r="U2348">
        <v>-2.7316889999999998</v>
      </c>
      <c r="V2348">
        <v>6.7591220000000004E-4</v>
      </c>
      <c r="W2348">
        <v>-2.0985630000000002E-2</v>
      </c>
      <c r="X2348">
        <v>0.99977950000000004</v>
      </c>
      <c r="Y2348">
        <v>-0.35149659999999999</v>
      </c>
      <c r="Z2348">
        <v>1.4252040000000001E-2</v>
      </c>
      <c r="AA2348">
        <v>0.93608069999999999</v>
      </c>
      <c r="AB2348">
        <v>9</v>
      </c>
      <c r="AC2348">
        <v>-17.734300000000001</v>
      </c>
      <c r="AD2348">
        <v>-1.03124251</v>
      </c>
      <c r="AE2348">
        <v>-28.833500000000001</v>
      </c>
      <c r="AF2348">
        <v>-11.911716915535999</v>
      </c>
      <c r="AG2348">
        <v>-1.03124251</v>
      </c>
      <c r="AH2348">
        <v>31.6522219424882</v>
      </c>
      <c r="AI2348">
        <v>91.746557665000495</v>
      </c>
      <c r="AJ2348">
        <v>110.622881887613</v>
      </c>
      <c r="AK2348">
        <v>33.835123982140701</v>
      </c>
      <c r="AL2348">
        <v>91.202476360374604</v>
      </c>
      <c r="AM2348">
        <v>89.961264548351593</v>
      </c>
      <c r="AN2348">
        <v>0.999999951072023</v>
      </c>
    </row>
    <row r="2349" spans="1:40" x14ac:dyDescent="0.25">
      <c r="A2349" t="str">
        <f>"20190312161004183"</f>
        <v>20190312161004183</v>
      </c>
      <c r="B2349" t="str">
        <f>"1552378204178245"</f>
        <v>1552378204178245</v>
      </c>
      <c r="C2349" t="s">
        <v>40</v>
      </c>
      <c r="D2349">
        <v>5.053426</v>
      </c>
      <c r="E2349">
        <v>0.36551280000000003</v>
      </c>
      <c r="F2349" t="s">
        <v>41</v>
      </c>
      <c r="G2349">
        <v>-499.42759999999998</v>
      </c>
      <c r="H2349" s="1">
        <v>-5.0703140000000004E-6</v>
      </c>
      <c r="I2349">
        <v>256.97199999999998</v>
      </c>
      <c r="J2349">
        <v>-484.88</v>
      </c>
      <c r="K2349">
        <v>1.1112219999999999</v>
      </c>
      <c r="L2349">
        <v>279.88740000000001</v>
      </c>
      <c r="M2349">
        <v>-0.78792850000000003</v>
      </c>
      <c r="N2349">
        <v>0</v>
      </c>
      <c r="O2349">
        <v>-0.61562309999999998</v>
      </c>
      <c r="P2349">
        <v>-0.78755659999999905</v>
      </c>
      <c r="Q2349">
        <v>-3.4152340000000003E-2</v>
      </c>
      <c r="R2349">
        <v>-0.6152955</v>
      </c>
      <c r="S2349">
        <v>-1.7098390000000001</v>
      </c>
      <c r="T2349">
        <v>-0.12999769999999999</v>
      </c>
      <c r="U2349">
        <v>-2.6876220000000002</v>
      </c>
      <c r="V2349" s="1">
        <v>7.5222229999999995E-5</v>
      </c>
      <c r="W2349">
        <v>-2.084331E-2</v>
      </c>
      <c r="X2349">
        <v>0.99978270000000002</v>
      </c>
      <c r="Y2349">
        <v>-0.33451520000000001</v>
      </c>
      <c r="Z2349">
        <v>1.957621E-2</v>
      </c>
      <c r="AA2349">
        <v>0.942187</v>
      </c>
      <c r="AB2349">
        <v>9</v>
      </c>
      <c r="AC2349">
        <v>-14.5475999999999</v>
      </c>
      <c r="AD2349">
        <v>-1.1112270703139999</v>
      </c>
      <c r="AE2349">
        <v>-22.915400000000002</v>
      </c>
      <c r="AF2349">
        <v>-9.0854353983104303</v>
      </c>
      <c r="AG2349">
        <v>-1.1112270703139999</v>
      </c>
      <c r="AH2349">
        <v>25.529191729770599</v>
      </c>
      <c r="AI2349">
        <v>92.348280199000996</v>
      </c>
      <c r="AJ2349">
        <v>109.589839574096</v>
      </c>
      <c r="AK2349">
        <v>27.120464456827801</v>
      </c>
      <c r="AL2349">
        <v>91.194320244029399</v>
      </c>
      <c r="AM2349">
        <v>89.9956891469552</v>
      </c>
      <c r="AN2349">
        <v>0.99999994822471305</v>
      </c>
    </row>
    <row r="2350" spans="1:40" x14ac:dyDescent="0.25">
      <c r="A2350" t="str">
        <f>"20190312161004205"</f>
        <v>20190312161004205</v>
      </c>
      <c r="B2350" t="str">
        <f>"1552378204197766"</f>
        <v>1552378204197766</v>
      </c>
      <c r="C2350" t="s">
        <v>40</v>
      </c>
      <c r="D2350">
        <v>5.0085350000000002</v>
      </c>
      <c r="E2350">
        <v>0.36608089999999999</v>
      </c>
      <c r="F2350" t="s">
        <v>41</v>
      </c>
      <c r="G2350">
        <v>-499.98169999999999</v>
      </c>
      <c r="H2350">
        <v>7.3907829999999994E-2</v>
      </c>
      <c r="I2350">
        <v>255.9529</v>
      </c>
      <c r="J2350">
        <v>-484.9479</v>
      </c>
      <c r="K2350">
        <v>1.111216</v>
      </c>
      <c r="L2350">
        <v>279.82870000000003</v>
      </c>
      <c r="M2350">
        <v>-0.78558499999999998</v>
      </c>
      <c r="N2350">
        <v>0</v>
      </c>
      <c r="O2350">
        <v>-0.61861089999999996</v>
      </c>
      <c r="P2350">
        <v>-0.78466000000000002</v>
      </c>
      <c r="Q2350">
        <v>-3.426125E-2</v>
      </c>
      <c r="R2350">
        <v>-0.61897939999999996</v>
      </c>
      <c r="S2350">
        <v>-1.699646</v>
      </c>
      <c r="T2350">
        <v>-0.1167464</v>
      </c>
      <c r="U2350">
        <v>-2.693756</v>
      </c>
      <c r="V2350">
        <v>-8.1599119999999905E-4</v>
      </c>
      <c r="W2350">
        <v>-2.0957420000000001E-2</v>
      </c>
      <c r="X2350">
        <v>0.99978009999999995</v>
      </c>
      <c r="Y2350">
        <v>-0.33442939999999999</v>
      </c>
      <c r="Z2350">
        <v>1.7709799999999901E-2</v>
      </c>
      <c r="AA2350">
        <v>0.94225440000000005</v>
      </c>
      <c r="AB2350">
        <v>9</v>
      </c>
      <c r="AC2350">
        <v>-15.0337999999999</v>
      </c>
      <c r="AD2350">
        <v>-1.03730817</v>
      </c>
      <c r="AE2350">
        <v>-23.875800000000002</v>
      </c>
      <c r="AF2350">
        <v>-9.4444680376929497</v>
      </c>
      <c r="AG2350">
        <v>-1.03730817</v>
      </c>
      <c r="AH2350">
        <v>26.546625593510502</v>
      </c>
      <c r="AI2350">
        <v>92.108364117407206</v>
      </c>
      <c r="AJ2350">
        <v>109.583985093065</v>
      </c>
      <c r="AK2350">
        <v>28.195696748911502</v>
      </c>
      <c r="AL2350">
        <v>91.200859555385904</v>
      </c>
      <c r="AM2350">
        <v>90.046763124709699</v>
      </c>
      <c r="AN2350">
        <v>1.0000000638253499</v>
      </c>
    </row>
    <row r="2351" spans="1:40" x14ac:dyDescent="0.25">
      <c r="A2351" t="str">
        <f>"20190312161004227"</f>
        <v>20190312161004227</v>
      </c>
      <c r="B2351" t="str">
        <f>"1552378204218262"</f>
        <v>1552378204218262</v>
      </c>
      <c r="C2351" t="s">
        <v>40</v>
      </c>
      <c r="D2351">
        <v>5.0061410000000004</v>
      </c>
      <c r="E2351">
        <v>0.36666480000000001</v>
      </c>
      <c r="F2351" t="s">
        <v>41</v>
      </c>
      <c r="G2351">
        <v>-500.35329999999999</v>
      </c>
      <c r="H2351">
        <v>7.9986650000000006E-2</v>
      </c>
      <c r="I2351">
        <v>255.24019999999999</v>
      </c>
      <c r="J2351">
        <v>-485.0145</v>
      </c>
      <c r="K2351">
        <v>1.111218</v>
      </c>
      <c r="L2351">
        <v>279.7706</v>
      </c>
      <c r="M2351">
        <v>-0.78326530000000005</v>
      </c>
      <c r="N2351">
        <v>0</v>
      </c>
      <c r="O2351">
        <v>-0.62154519999999902</v>
      </c>
      <c r="P2351">
        <v>-0.78203919999999905</v>
      </c>
      <c r="Q2351">
        <v>-3.410212E-2</v>
      </c>
      <c r="R2351">
        <v>-0.62229540000000005</v>
      </c>
      <c r="S2351">
        <v>-1.6902159999999999</v>
      </c>
      <c r="T2351">
        <v>-0.1131424</v>
      </c>
      <c r="U2351">
        <v>-2.6977540000000002</v>
      </c>
      <c r="V2351">
        <v>-1.304646E-3</v>
      </c>
      <c r="W2351">
        <v>-2.0802660000000001E-2</v>
      </c>
      <c r="X2351">
        <v>0.99978270000000002</v>
      </c>
      <c r="Y2351">
        <v>-0.33389029999999997</v>
      </c>
      <c r="Z2351">
        <v>1.729899E-2</v>
      </c>
      <c r="AA2351">
        <v>0.94245319999999999</v>
      </c>
      <c r="AB2351">
        <v>9</v>
      </c>
      <c r="AC2351">
        <v>-15.3387999999999</v>
      </c>
      <c r="AD2351">
        <v>-1.0312313500000001</v>
      </c>
      <c r="AE2351">
        <v>-24.5304</v>
      </c>
      <c r="AF2351">
        <v>-9.6686265167974295</v>
      </c>
      <c r="AG2351">
        <v>-1.0312313500000001</v>
      </c>
      <c r="AH2351">
        <v>27.228921042567698</v>
      </c>
      <c r="AI2351">
        <v>92.043987023129603</v>
      </c>
      <c r="AJ2351">
        <v>109.54927153756699</v>
      </c>
      <c r="AK2351">
        <v>28.912971448139501</v>
      </c>
      <c r="AL2351">
        <v>91.191990663261194</v>
      </c>
      <c r="AM2351">
        <v>90.074766913979502</v>
      </c>
      <c r="AN2351">
        <v>0.999999949991774</v>
      </c>
    </row>
    <row r="2352" spans="1:40" x14ac:dyDescent="0.25">
      <c r="A2352" t="str">
        <f>"20190312161004250"</f>
        <v>20190312161004250</v>
      </c>
      <c r="B2352" t="str">
        <f>"1552378204237778"</f>
        <v>1552378204237778</v>
      </c>
      <c r="C2352" t="s">
        <v>40</v>
      </c>
      <c r="D2352">
        <v>4.991276</v>
      </c>
      <c r="E2352">
        <v>0.36726639999999999</v>
      </c>
      <c r="F2352" t="s">
        <v>41</v>
      </c>
      <c r="G2352">
        <v>-500.66809999999998</v>
      </c>
      <c r="H2352">
        <v>7.9986860000000007E-2</v>
      </c>
      <c r="I2352">
        <v>254.62960000000001</v>
      </c>
      <c r="J2352">
        <v>-485.08190000000002</v>
      </c>
      <c r="K2352">
        <v>1.111216</v>
      </c>
      <c r="L2352">
        <v>279.71129999999999</v>
      </c>
      <c r="M2352">
        <v>-0.7809007</v>
      </c>
      <c r="N2352">
        <v>0</v>
      </c>
      <c r="O2352">
        <v>-0.6245136</v>
      </c>
      <c r="P2352">
        <v>-0.77918809999999905</v>
      </c>
      <c r="Q2352">
        <v>-3.4287599999999897E-2</v>
      </c>
      <c r="R2352">
        <v>-0.62585179999999996</v>
      </c>
      <c r="S2352">
        <v>-1.681854</v>
      </c>
      <c r="T2352">
        <v>-0.1107979</v>
      </c>
      <c r="U2352">
        <v>-2.7012019999999999</v>
      </c>
      <c r="V2352">
        <v>-2.0693180000000001E-3</v>
      </c>
      <c r="W2352">
        <v>-2.0993370000000001E-2</v>
      </c>
      <c r="X2352">
        <v>0.99977749999999999</v>
      </c>
      <c r="Y2352">
        <v>-0.33295089999999999</v>
      </c>
      <c r="Z2352">
        <v>1.708024E-2</v>
      </c>
      <c r="AA2352">
        <v>0.9427894</v>
      </c>
      <c r="AB2352">
        <v>9</v>
      </c>
      <c r="AC2352">
        <v>-15.5861999999999</v>
      </c>
      <c r="AD2352">
        <v>-1.03122914</v>
      </c>
      <c r="AE2352">
        <v>-25.081699999999898</v>
      </c>
      <c r="AF2352">
        <v>-9.8413929709693804</v>
      </c>
      <c r="AG2352">
        <v>-1.03122914</v>
      </c>
      <c r="AH2352">
        <v>27.803692325134001</v>
      </c>
      <c r="AI2352">
        <v>92.002473068294194</v>
      </c>
      <c r="AJ2352">
        <v>109.491922837288</v>
      </c>
      <c r="AK2352">
        <v>29.512061196381101</v>
      </c>
      <c r="AL2352">
        <v>91.202919836601495</v>
      </c>
      <c r="AM2352">
        <v>90.118589404705801</v>
      </c>
      <c r="AN2352">
        <v>1.00000002658359</v>
      </c>
    </row>
    <row r="2353" spans="1:40" x14ac:dyDescent="0.25">
      <c r="A2353" t="str">
        <f>"20190312161004271"</f>
        <v>20190312161004271</v>
      </c>
      <c r="B2353" t="str">
        <f>"1552378204268035"</f>
        <v>1552378204268035</v>
      </c>
      <c r="C2353" t="s">
        <v>40</v>
      </c>
      <c r="D2353">
        <v>5.0013300000000003</v>
      </c>
      <c r="E2353">
        <v>0.3724613</v>
      </c>
      <c r="F2353" t="s">
        <v>41</v>
      </c>
      <c r="G2353">
        <v>-500.5052</v>
      </c>
      <c r="H2353">
        <v>7.9986810000000005E-2</v>
      </c>
      <c r="I2353">
        <v>254.76070000000001</v>
      </c>
      <c r="J2353">
        <v>-485.1481</v>
      </c>
      <c r="K2353">
        <v>1.1112150000000001</v>
      </c>
      <c r="L2353">
        <v>279.65260000000001</v>
      </c>
      <c r="M2353">
        <v>-0.77855629999999998</v>
      </c>
      <c r="N2353">
        <v>0</v>
      </c>
      <c r="O2353">
        <v>-0.62743409999999999</v>
      </c>
      <c r="P2353">
        <v>-0.77638379999999996</v>
      </c>
      <c r="Q2353">
        <v>-3.3931709999999997E-2</v>
      </c>
      <c r="R2353">
        <v>-0.62934679999999998</v>
      </c>
      <c r="S2353">
        <v>-1.672302</v>
      </c>
      <c r="T2353">
        <v>-0.1118131</v>
      </c>
      <c r="U2353">
        <v>-2.7053219999999998</v>
      </c>
      <c r="V2353">
        <v>-2.8077940000000002E-3</v>
      </c>
      <c r="W2353">
        <v>-2.0642770000000001E-2</v>
      </c>
      <c r="X2353">
        <v>0.99978299999999998</v>
      </c>
      <c r="Y2353">
        <v>-0.33247159999999998</v>
      </c>
      <c r="Z2353">
        <v>1.73688E-2</v>
      </c>
      <c r="AA2353">
        <v>0.94295329999999999</v>
      </c>
      <c r="AB2353">
        <v>9</v>
      </c>
      <c r="AC2353">
        <v>-15.357100000000001</v>
      </c>
      <c r="AD2353">
        <v>-1.03122819</v>
      </c>
      <c r="AE2353">
        <v>-24.8919</v>
      </c>
      <c r="AF2353">
        <v>-9.73293826720192</v>
      </c>
      <c r="AG2353">
        <v>-1.03122819</v>
      </c>
      <c r="AH2353">
        <v>27.542589110919899</v>
      </c>
      <c r="AI2353">
        <v>92.021808602245301</v>
      </c>
      <c r="AJ2353">
        <v>109.462275020061</v>
      </c>
      <c r="AK2353">
        <v>29.229911628774701</v>
      </c>
      <c r="AL2353">
        <v>91.182827581416106</v>
      </c>
      <c r="AM2353">
        <v>90.160909240302601</v>
      </c>
      <c r="AN2353">
        <v>1.0000000273747001</v>
      </c>
    </row>
    <row r="2354" spans="1:40" x14ac:dyDescent="0.25">
      <c r="A2354" t="str">
        <f>"20190312161004294"</f>
        <v>20190312161004294</v>
      </c>
      <c r="B2354" t="str">
        <f>"1552378204288532"</f>
        <v>1552378204288532</v>
      </c>
      <c r="C2354" t="s">
        <v>40</v>
      </c>
      <c r="D2354">
        <v>4.9995469999999997</v>
      </c>
      <c r="E2354">
        <v>0.37356</v>
      </c>
      <c r="F2354" t="s">
        <v>41</v>
      </c>
      <c r="G2354">
        <v>-499.95780000000002</v>
      </c>
      <c r="H2354">
        <v>3.1744639999999998E-2</v>
      </c>
      <c r="I2354">
        <v>256.10590000000002</v>
      </c>
      <c r="J2354">
        <v>-485.21519999999998</v>
      </c>
      <c r="K2354">
        <v>1.111216</v>
      </c>
      <c r="L2354">
        <v>279.59280000000001</v>
      </c>
      <c r="M2354">
        <v>-0.77616569999999996</v>
      </c>
      <c r="N2354">
        <v>0</v>
      </c>
      <c r="O2354">
        <v>-0.63038890000000003</v>
      </c>
      <c r="P2354">
        <v>-0.77354540000000005</v>
      </c>
      <c r="Q2354">
        <v>-3.3389179999999997E-2</v>
      </c>
      <c r="R2354">
        <v>-0.63286109999999995</v>
      </c>
      <c r="S2354">
        <v>-1.685883</v>
      </c>
      <c r="T2354">
        <v>-0.1228836</v>
      </c>
      <c r="U2354">
        <v>-2.6804809999999999</v>
      </c>
      <c r="V2354">
        <v>-3.528177E-3</v>
      </c>
      <c r="W2354">
        <v>-2.010706E-2</v>
      </c>
      <c r="X2354">
        <v>0.9997916</v>
      </c>
      <c r="Y2354">
        <v>-0.32156469999999998</v>
      </c>
      <c r="Z2354">
        <v>1.9479469999999999E-2</v>
      </c>
      <c r="AA2354">
        <v>0.94668719999999995</v>
      </c>
      <c r="AB2354">
        <v>9</v>
      </c>
      <c r="AC2354">
        <v>-14.742599999999999</v>
      </c>
      <c r="AD2354">
        <v>-1.0794713600000001</v>
      </c>
      <c r="AE2354">
        <v>-23.486899999999899</v>
      </c>
      <c r="AF2354">
        <v>-8.9234221807867495</v>
      </c>
      <c r="AG2354">
        <v>-1.0794713600000001</v>
      </c>
      <c r="AH2354">
        <v>26.211181444154999</v>
      </c>
      <c r="AI2354">
        <v>92.232617420567294</v>
      </c>
      <c r="AJ2354">
        <v>108.800799564866</v>
      </c>
      <c r="AK2354">
        <v>27.709542661906799</v>
      </c>
      <c r="AL2354">
        <v>91.152127326766106</v>
      </c>
      <c r="AM2354">
        <v>90.202190948936902</v>
      </c>
      <c r="AN2354">
        <v>0.99999999266267303</v>
      </c>
    </row>
    <row r="2355" spans="1:40" x14ac:dyDescent="0.25">
      <c r="A2355" t="str">
        <f>"20190312161004316"</f>
        <v>20190312161004316</v>
      </c>
      <c r="B2355" t="str">
        <f>"1552378204308051"</f>
        <v>1552378204308051</v>
      </c>
      <c r="C2355" t="s">
        <v>40</v>
      </c>
      <c r="D2355">
        <v>5.0493819999999996</v>
      </c>
      <c r="E2355">
        <v>0.37426749999999998</v>
      </c>
      <c r="F2355" t="s">
        <v>41</v>
      </c>
      <c r="G2355">
        <v>-499.82819999999998</v>
      </c>
      <c r="H2355" s="1">
        <v>-4.8965819999999998E-6</v>
      </c>
      <c r="I2355">
        <v>256.2527</v>
      </c>
      <c r="J2355">
        <v>-485.28</v>
      </c>
      <c r="K2355">
        <v>1.111216</v>
      </c>
      <c r="L2355">
        <v>279.53449999999998</v>
      </c>
      <c r="M2355">
        <v>-0.77383570000000002</v>
      </c>
      <c r="N2355">
        <v>0</v>
      </c>
      <c r="O2355">
        <v>-0.63324729999999996</v>
      </c>
      <c r="P2355">
        <v>-0.77095599999999997</v>
      </c>
      <c r="Q2355">
        <v>-3.2595760000000001E-2</v>
      </c>
      <c r="R2355">
        <v>-0.63605389999999995</v>
      </c>
      <c r="S2355">
        <v>-1.6788940000000001</v>
      </c>
      <c r="T2355">
        <v>-0.12766839999999999</v>
      </c>
      <c r="U2355">
        <v>-2.681549</v>
      </c>
      <c r="V2355">
        <v>-3.9544410000000004E-3</v>
      </c>
      <c r="W2355">
        <v>-1.9322789999999999E-2</v>
      </c>
      <c r="X2355">
        <v>0.99980550000000001</v>
      </c>
      <c r="Y2355">
        <v>-0.32002550000000002</v>
      </c>
      <c r="Z2355">
        <v>2.041186E-2</v>
      </c>
      <c r="AA2355">
        <v>0.94718899999999995</v>
      </c>
      <c r="AB2355">
        <v>9</v>
      </c>
      <c r="AC2355">
        <v>-14.5482</v>
      </c>
      <c r="AD2355">
        <v>-1.1112208965819901</v>
      </c>
      <c r="AE2355">
        <v>-23.281799999999901</v>
      </c>
      <c r="AF2355">
        <v>-8.7900540038581791</v>
      </c>
      <c r="AG2355">
        <v>-1.1112208965819901</v>
      </c>
      <c r="AH2355">
        <v>25.9608111826041</v>
      </c>
      <c r="AI2355">
        <v>92.321662802776103</v>
      </c>
      <c r="AJ2355">
        <v>108.70555257635399</v>
      </c>
      <c r="AK2355">
        <v>27.431069584151601</v>
      </c>
      <c r="AL2355">
        <v>91.107183195640403</v>
      </c>
      <c r="AM2355">
        <v>90.226615674915294</v>
      </c>
      <c r="AN2355">
        <v>1.0000000228236201</v>
      </c>
    </row>
    <row r="2356" spans="1:40" x14ac:dyDescent="0.25">
      <c r="A2356" t="str">
        <f>"20190312161004338"</f>
        <v>20190312161004338</v>
      </c>
      <c r="B2356" t="str">
        <f>"1552378204328546"</f>
        <v>1552378204328546</v>
      </c>
      <c r="C2356" t="s">
        <v>40</v>
      </c>
      <c r="D2356">
        <v>5.0140909999999996</v>
      </c>
      <c r="E2356">
        <v>0.37410539999999998</v>
      </c>
      <c r="F2356" t="s">
        <v>41</v>
      </c>
      <c r="G2356">
        <v>-499.9135</v>
      </c>
      <c r="H2356" s="1">
        <v>-4.8380040000000002E-6</v>
      </c>
      <c r="I2356">
        <v>256.03609999999998</v>
      </c>
      <c r="J2356">
        <v>-485.34370000000001</v>
      </c>
      <c r="K2356">
        <v>1.1112200000000001</v>
      </c>
      <c r="L2356">
        <v>279.4769</v>
      </c>
      <c r="M2356">
        <v>-0.77152719999999997</v>
      </c>
      <c r="N2356">
        <v>0</v>
      </c>
      <c r="O2356">
        <v>-0.63605809999999996</v>
      </c>
      <c r="P2356">
        <v>-0.76899079999999997</v>
      </c>
      <c r="Q2356">
        <v>-3.2088829999999999E-2</v>
      </c>
      <c r="R2356">
        <v>-0.63845430000000003</v>
      </c>
      <c r="S2356">
        <v>-1.67147799999999</v>
      </c>
      <c r="T2356">
        <v>-0.12692629999999999</v>
      </c>
      <c r="U2356">
        <v>-2.6840519999999999</v>
      </c>
      <c r="V2356">
        <v>-3.4219490000000001E-3</v>
      </c>
      <c r="W2356">
        <v>-1.88275E-2</v>
      </c>
      <c r="X2356">
        <v>0.99981690000000001</v>
      </c>
      <c r="Y2356">
        <v>-0.31885999999999998</v>
      </c>
      <c r="Z2356">
        <v>2.0452439999999999E-2</v>
      </c>
      <c r="AA2356">
        <v>0.94758120000000001</v>
      </c>
      <c r="AB2356">
        <v>9</v>
      </c>
      <c r="AC2356">
        <v>-14.569799999999899</v>
      </c>
      <c r="AD2356">
        <v>-1.111224838004</v>
      </c>
      <c r="AE2356">
        <v>-23.440799999999999</v>
      </c>
      <c r="AF2356">
        <v>-8.80447867619419</v>
      </c>
      <c r="AG2356">
        <v>-1.111224838004</v>
      </c>
      <c r="AH2356">
        <v>26.110681391604899</v>
      </c>
      <c r="AI2356">
        <v>92.309332468357695</v>
      </c>
      <c r="AJ2356">
        <v>108.63402141105</v>
      </c>
      <c r="AK2356">
        <v>27.577551525363099</v>
      </c>
      <c r="AL2356">
        <v>91.078800020028297</v>
      </c>
      <c r="AM2356">
        <v>90.196098375463706</v>
      </c>
      <c r="AN2356">
        <v>1.0000000090084</v>
      </c>
    </row>
    <row r="2357" spans="1:40" x14ac:dyDescent="0.25">
      <c r="A2357" t="str">
        <f>"20190312161004360"</f>
        <v>20190312161004360</v>
      </c>
      <c r="B2357" t="str">
        <f>"1552378204357826"</f>
        <v>1552378204357826</v>
      </c>
      <c r="C2357" t="s">
        <v>40</v>
      </c>
      <c r="D2357">
        <v>5.1389129999999996</v>
      </c>
      <c r="E2357">
        <v>0.34328259999999899</v>
      </c>
      <c r="F2357" t="s">
        <v>41</v>
      </c>
      <c r="G2357">
        <v>-499.95780000000002</v>
      </c>
      <c r="H2357">
        <v>8.0487500000000003E-3</v>
      </c>
      <c r="I2357">
        <v>255.82210000000001</v>
      </c>
      <c r="J2357">
        <v>-485.4085</v>
      </c>
      <c r="K2357">
        <v>1.1112169999999999</v>
      </c>
      <c r="L2357">
        <v>279.41770000000002</v>
      </c>
      <c r="M2357">
        <v>-0.7691576</v>
      </c>
      <c r="N2357">
        <v>0</v>
      </c>
      <c r="O2357">
        <v>-0.63892169999999904</v>
      </c>
      <c r="P2357">
        <v>-0.76673919999999995</v>
      </c>
      <c r="Q2357">
        <v>-3.101717E-2</v>
      </c>
      <c r="R2357">
        <v>-0.64120919999999904</v>
      </c>
      <c r="S2357">
        <v>-1.66220099999999</v>
      </c>
      <c r="T2357">
        <v>-0.12547429999999901</v>
      </c>
      <c r="U2357">
        <v>-2.6904910000000002</v>
      </c>
      <c r="V2357">
        <v>-3.267069E-3</v>
      </c>
      <c r="W2357">
        <v>-1.777161E-2</v>
      </c>
      <c r="X2357">
        <v>0.99983670000000002</v>
      </c>
      <c r="Y2357">
        <v>-0.31871430000000001</v>
      </c>
      <c r="Z2357">
        <v>2.0346340000000001E-2</v>
      </c>
      <c r="AA2357">
        <v>0.94763240000000004</v>
      </c>
      <c r="AB2357">
        <v>9</v>
      </c>
      <c r="AC2357">
        <v>-14.549300000000001</v>
      </c>
      <c r="AD2357">
        <v>-1.10316825</v>
      </c>
      <c r="AE2357">
        <v>-23.595600000000001</v>
      </c>
      <c r="AF2357">
        <v>-8.8396496979312893</v>
      </c>
      <c r="AG2357">
        <v>-1.10316825</v>
      </c>
      <c r="AH2357">
        <v>26.227216256237401</v>
      </c>
      <c r="AI2357">
        <v>92.282539947150298</v>
      </c>
      <c r="AJ2357">
        <v>108.62593088928701</v>
      </c>
      <c r="AK2357">
        <v>27.698795272022</v>
      </c>
      <c r="AL2357">
        <v>91.018291889531199</v>
      </c>
      <c r="AM2357">
        <v>90.187219171752304</v>
      </c>
      <c r="AN2357">
        <v>0.99999996526436497</v>
      </c>
    </row>
    <row r="2358" spans="1:40" x14ac:dyDescent="0.25">
      <c r="A2358" t="str">
        <f>"20190312161004384"</f>
        <v>20190312161004384</v>
      </c>
      <c r="B2358" t="str">
        <f>"1552378204378323"</f>
        <v>1552378204378323</v>
      </c>
      <c r="C2358" t="s">
        <v>40</v>
      </c>
      <c r="D2358">
        <v>5.0793650000000001</v>
      </c>
      <c r="E2358">
        <v>0.34258460000000002</v>
      </c>
      <c r="F2358" t="s">
        <v>43</v>
      </c>
      <c r="G2358">
        <v>-511.0926</v>
      </c>
      <c r="H2358">
        <v>-0.05</v>
      </c>
      <c r="I2358">
        <v>229.98310000000001</v>
      </c>
      <c r="J2358">
        <v>-485.4742</v>
      </c>
      <c r="K2358">
        <v>1.111218</v>
      </c>
      <c r="L2358">
        <v>279.35719999999998</v>
      </c>
      <c r="M2358">
        <v>-0.76673849999999999</v>
      </c>
      <c r="N2358">
        <v>0</v>
      </c>
      <c r="O2358">
        <v>-0.64182299999999903</v>
      </c>
      <c r="P2358">
        <v>-0.76467649999999998</v>
      </c>
      <c r="Q2358">
        <v>-3.0654029999999999E-2</v>
      </c>
      <c r="R2358">
        <v>-0.64368479999999995</v>
      </c>
      <c r="S2358">
        <v>-1.498291</v>
      </c>
      <c r="T2358">
        <v>-6.7740079999999994E-2</v>
      </c>
      <c r="U2358">
        <v>-2.8837890000000002</v>
      </c>
      <c r="V2358">
        <v>-2.7145210000000001E-3</v>
      </c>
      <c r="W2358">
        <v>-1.7424329999999998E-2</v>
      </c>
      <c r="X2358">
        <v>0.99984450000000002</v>
      </c>
      <c r="Y2358">
        <v>-0.3845402</v>
      </c>
      <c r="Z2358">
        <v>1.018198E-2</v>
      </c>
      <c r="AA2358">
        <v>0.92305210000000004</v>
      </c>
      <c r="AB2358">
        <v>9</v>
      </c>
      <c r="AC2358">
        <v>-25.618400000000001</v>
      </c>
      <c r="AD2358">
        <v>-1.1612180000000001</v>
      </c>
      <c r="AE2358">
        <v>-49.374099999999899</v>
      </c>
      <c r="AF2358">
        <v>-21.4070930345016</v>
      </c>
      <c r="AG2358">
        <v>-1.1612180000000001</v>
      </c>
      <c r="AH2358">
        <v>51.314183659362897</v>
      </c>
      <c r="AI2358">
        <v>91.196451284735005</v>
      </c>
      <c r="AJ2358">
        <v>112.64477098528199</v>
      </c>
      <c r="AK2358">
        <v>55.612566062520102</v>
      </c>
      <c r="AL2358">
        <v>90.998391093949493</v>
      </c>
      <c r="AM2358">
        <v>90.155554403276696</v>
      </c>
      <c r="AN2358">
        <v>1.00000000004022</v>
      </c>
    </row>
    <row r="2359" spans="1:40" x14ac:dyDescent="0.25">
      <c r="A2359" t="str">
        <f>"20190312161004405"</f>
        <v>20190312161004405</v>
      </c>
      <c r="B2359" t="str">
        <f>"1552378204397847"</f>
        <v>1552378204397847</v>
      </c>
      <c r="C2359" t="s">
        <v>40</v>
      </c>
      <c r="D2359">
        <v>5.0476320000000001</v>
      </c>
      <c r="E2359">
        <v>0.34263189999999999</v>
      </c>
      <c r="F2359" t="s">
        <v>43</v>
      </c>
      <c r="G2359">
        <v>-509.03820000000002</v>
      </c>
      <c r="H2359">
        <v>-0.05</v>
      </c>
      <c r="I2359">
        <v>233.46109999999999</v>
      </c>
      <c r="J2359">
        <v>-485.53719999999998</v>
      </c>
      <c r="K2359">
        <v>1.1112109999999999</v>
      </c>
      <c r="L2359">
        <v>279.2989</v>
      </c>
      <c r="M2359">
        <v>-0.76440069999999904</v>
      </c>
      <c r="N2359">
        <v>0</v>
      </c>
      <c r="O2359">
        <v>-0.64460609999999996</v>
      </c>
      <c r="P2359">
        <v>-0.7626714</v>
      </c>
      <c r="Q2359">
        <v>-3.0386980000000001E-2</v>
      </c>
      <c r="R2359">
        <v>-0.64607239999999999</v>
      </c>
      <c r="S2359">
        <v>-1.4851989999999999</v>
      </c>
      <c r="T2359">
        <v>-7.3189740000000003E-2</v>
      </c>
      <c r="U2359">
        <v>-2.8927610000000001</v>
      </c>
      <c r="V2359">
        <v>-2.2001030000000001E-3</v>
      </c>
      <c r="W2359">
        <v>-1.7171369999999998E-2</v>
      </c>
      <c r="X2359">
        <v>0.99985020000000002</v>
      </c>
      <c r="Y2359">
        <v>-0.38566129999999998</v>
      </c>
      <c r="Z2359">
        <v>1.1056460000000001E-2</v>
      </c>
      <c r="AA2359">
        <v>0.92257420000000001</v>
      </c>
      <c r="AB2359">
        <v>9</v>
      </c>
      <c r="AC2359">
        <v>-23.501000000000001</v>
      </c>
      <c r="AD2359">
        <v>-1.161211</v>
      </c>
      <c r="AE2359">
        <v>-45.837800000000001</v>
      </c>
      <c r="AF2359">
        <v>-19.881191229344299</v>
      </c>
      <c r="AG2359">
        <v>-1.161211</v>
      </c>
      <c r="AH2359">
        <v>47.491519005948497</v>
      </c>
      <c r="AI2359">
        <v>91.2920501057026</v>
      </c>
      <c r="AJ2359">
        <v>112.715459930435</v>
      </c>
      <c r="AK2359">
        <v>51.498102423066499</v>
      </c>
      <c r="AL2359">
        <v>90.983895326262598</v>
      </c>
      <c r="AM2359">
        <v>90.1260752990231</v>
      </c>
      <c r="AN2359">
        <v>1.0000000594204601</v>
      </c>
    </row>
    <row r="2360" spans="1:40" x14ac:dyDescent="0.25">
      <c r="A2360" t="str">
        <f>"20190312161004428"</f>
        <v>20190312161004428</v>
      </c>
      <c r="B2360" t="str">
        <f>"1552378204418339"</f>
        <v>1552378204418339</v>
      </c>
      <c r="C2360" t="s">
        <v>40</v>
      </c>
      <c r="D2360">
        <v>5.0073749999999997</v>
      </c>
      <c r="E2360">
        <v>0.34142850000000002</v>
      </c>
      <c r="F2360" t="s">
        <v>41</v>
      </c>
      <c r="G2360">
        <v>-504.42500000000001</v>
      </c>
      <c r="H2360">
        <v>7.998624E-2</v>
      </c>
      <c r="I2360">
        <v>242.22229999999999</v>
      </c>
      <c r="J2360">
        <v>-485.60059999999999</v>
      </c>
      <c r="K2360">
        <v>1.1111930000000001</v>
      </c>
      <c r="L2360">
        <v>279.23970000000003</v>
      </c>
      <c r="M2360">
        <v>-0.76202910000000001</v>
      </c>
      <c r="N2360">
        <v>0</v>
      </c>
      <c r="O2360">
        <v>-0.64740810000000004</v>
      </c>
      <c r="P2360">
        <v>-0.76039619999999997</v>
      </c>
      <c r="Q2360">
        <v>-3.0790479999999999E-2</v>
      </c>
      <c r="R2360">
        <v>-0.64872940000000001</v>
      </c>
      <c r="S2360">
        <v>-1.4759519999999999</v>
      </c>
      <c r="T2360">
        <v>-8.0583100000000005E-2</v>
      </c>
      <c r="U2360">
        <v>-2.897278</v>
      </c>
      <c r="V2360">
        <v>-2.0274989999999999E-3</v>
      </c>
      <c r="W2360">
        <v>-1.758887E-2</v>
      </c>
      <c r="X2360">
        <v>0.99984320000000004</v>
      </c>
      <c r="Y2360">
        <v>-0.3852006</v>
      </c>
      <c r="Z2360">
        <v>1.225969E-2</v>
      </c>
      <c r="AA2360">
        <v>0.9227514</v>
      </c>
      <c r="AB2360">
        <v>9</v>
      </c>
      <c r="AC2360">
        <v>-18.824400000000001</v>
      </c>
      <c r="AD2360">
        <v>-1.0312067599999999</v>
      </c>
      <c r="AE2360">
        <v>-37.017400000000002</v>
      </c>
      <c r="AF2360">
        <v>-16.012791013572699</v>
      </c>
      <c r="AG2360">
        <v>-1.0312067599999999</v>
      </c>
      <c r="AH2360">
        <v>38.289837459772897</v>
      </c>
      <c r="AI2360">
        <v>91.423301015241606</v>
      </c>
      <c r="AJ2360">
        <v>112.694657407078</v>
      </c>
      <c r="AK2360">
        <v>41.5160753940213</v>
      </c>
      <c r="AL2360">
        <v>91.007820035099002</v>
      </c>
      <c r="AM2360">
        <v>90.116185194277804</v>
      </c>
      <c r="AN2360">
        <v>0.99999995184315404</v>
      </c>
    </row>
    <row r="2361" spans="1:40" x14ac:dyDescent="0.25">
      <c r="A2361" t="str">
        <f>"20190312161004451"</f>
        <v>20190312161004451</v>
      </c>
      <c r="B2361" t="str">
        <f>"1552378204448596"</f>
        <v>1552378204448596</v>
      </c>
      <c r="C2361" t="s">
        <v>40</v>
      </c>
      <c r="D2361">
        <v>4.9965549999999999</v>
      </c>
      <c r="E2361">
        <v>0.33884649999999999</v>
      </c>
      <c r="F2361" t="s">
        <v>43</v>
      </c>
      <c r="G2361">
        <v>-507.76170000000002</v>
      </c>
      <c r="H2361">
        <v>-0.05</v>
      </c>
      <c r="I2361">
        <v>235.0635</v>
      </c>
      <c r="J2361">
        <v>-485.6662</v>
      </c>
      <c r="K2361">
        <v>1.1111869999999999</v>
      </c>
      <c r="L2361">
        <v>279.178</v>
      </c>
      <c r="M2361">
        <v>-0.75955499999999998</v>
      </c>
      <c r="N2361">
        <v>0</v>
      </c>
      <c r="O2361">
        <v>-0.65030919999999903</v>
      </c>
      <c r="P2361">
        <v>-0.75789209999999996</v>
      </c>
      <c r="Q2361">
        <v>-3.1398910000000002E-2</v>
      </c>
      <c r="R2361">
        <v>-0.65162439999999999</v>
      </c>
      <c r="S2361">
        <v>-1.4597169999999999</v>
      </c>
      <c r="T2361">
        <v>-7.6485869999999997E-2</v>
      </c>
      <c r="U2361">
        <v>-2.909821</v>
      </c>
      <c r="V2361">
        <v>-2.0427319999999998E-3</v>
      </c>
      <c r="W2361">
        <v>-1.8211359999999999E-2</v>
      </c>
      <c r="X2361">
        <v>0.9998321</v>
      </c>
      <c r="Y2361">
        <v>-0.38739119999999999</v>
      </c>
      <c r="Z2361">
        <v>1.168052E-2</v>
      </c>
      <c r="AA2361">
        <v>0.92184140000000003</v>
      </c>
      <c r="AB2361">
        <v>9</v>
      </c>
      <c r="AC2361">
        <v>-22.095500000000001</v>
      </c>
      <c r="AD2361">
        <v>-1.161187</v>
      </c>
      <c r="AE2361">
        <v>-44.1144999999999</v>
      </c>
      <c r="AF2361">
        <v>-19.129552954474899</v>
      </c>
      <c r="AG2361">
        <v>-1.161187</v>
      </c>
      <c r="AH2361">
        <v>45.449598047356503</v>
      </c>
      <c r="AI2361">
        <v>91.348956550034202</v>
      </c>
      <c r="AJ2361">
        <v>112.82602970995799</v>
      </c>
      <c r="AK2361">
        <v>49.324984684775202</v>
      </c>
      <c r="AL2361">
        <v>91.043491723774096</v>
      </c>
      <c r="AM2361">
        <v>90.117059413704595</v>
      </c>
      <c r="AN2361">
        <v>1.0000000272887399</v>
      </c>
    </row>
    <row r="2362" spans="1:40" x14ac:dyDescent="0.25">
      <c r="A2362" t="str">
        <f>"20190312161004473"</f>
        <v>20190312161004473</v>
      </c>
      <c r="B2362" t="str">
        <f>"1552378204468115"</f>
        <v>1552378204468115</v>
      </c>
      <c r="C2362" t="s">
        <v>40</v>
      </c>
      <c r="D2362">
        <v>5.0457029999999996</v>
      </c>
      <c r="E2362">
        <v>0.33822059999999998</v>
      </c>
      <c r="F2362" t="s">
        <v>43</v>
      </c>
      <c r="G2362">
        <v>-512.28480000000002</v>
      </c>
      <c r="H2362">
        <v>-0.05</v>
      </c>
      <c r="I2362">
        <v>224.86670000000001</v>
      </c>
      <c r="J2362">
        <v>-485.72949999999997</v>
      </c>
      <c r="K2362">
        <v>1.1111799999999901</v>
      </c>
      <c r="L2362">
        <v>279.11810000000003</v>
      </c>
      <c r="M2362">
        <v>-0.75715089999999996</v>
      </c>
      <c r="N2362">
        <v>0</v>
      </c>
      <c r="O2362">
        <v>-0.65310699999999999</v>
      </c>
      <c r="P2362">
        <v>-0.75529969999999902</v>
      </c>
      <c r="Q2362">
        <v>-3.1843110000000001E-2</v>
      </c>
      <c r="R2362">
        <v>-0.65460589999999996</v>
      </c>
      <c r="S2362">
        <v>-1.436218</v>
      </c>
      <c r="T2362">
        <v>-6.2652349999999996E-2</v>
      </c>
      <c r="U2362">
        <v>-2.9303889999999999</v>
      </c>
      <c r="V2362">
        <v>-2.3058829999999999E-3</v>
      </c>
      <c r="W2362">
        <v>-1.8670079999999999E-2</v>
      </c>
      <c r="X2362">
        <v>0.99982300000000002</v>
      </c>
      <c r="Y2362">
        <v>-0.392511</v>
      </c>
      <c r="Z2362">
        <v>9.5660950000000002E-3</v>
      </c>
      <c r="AA2362">
        <v>0.9196976</v>
      </c>
      <c r="AB2362">
        <v>9</v>
      </c>
      <c r="AC2362">
        <v>-26.555299999999999</v>
      </c>
      <c r="AD2362">
        <v>-1.1611800000000001</v>
      </c>
      <c r="AE2362">
        <v>-54.251399999999997</v>
      </c>
      <c r="AF2362">
        <v>-23.726337683494801</v>
      </c>
      <c r="AG2362">
        <v>-1.1611800000000001</v>
      </c>
      <c r="AH2362">
        <v>55.522644717043597</v>
      </c>
      <c r="AI2362">
        <v>91.101737151287693</v>
      </c>
      <c r="AJ2362">
        <v>113.138337643181</v>
      </c>
      <c r="AK2362">
        <v>60.390823104497301</v>
      </c>
      <c r="AL2362">
        <v>91.069778985083701</v>
      </c>
      <c r="AM2362">
        <v>90.1321405185803</v>
      </c>
      <c r="AN2362">
        <v>0.99999996015630699</v>
      </c>
    </row>
    <row r="2363" spans="1:40" x14ac:dyDescent="0.25">
      <c r="A2363" t="str">
        <f>"20190312161004495"</f>
        <v>20190312161004495</v>
      </c>
      <c r="B2363" t="str">
        <f>"1552378204488610"</f>
        <v>1552378204488610</v>
      </c>
      <c r="C2363" t="s">
        <v>40</v>
      </c>
      <c r="D2363">
        <v>5.0254339999999997</v>
      </c>
      <c r="E2363">
        <v>0.3379238</v>
      </c>
      <c r="F2363" t="s">
        <v>43</v>
      </c>
      <c r="G2363">
        <v>-511.77319999999997</v>
      </c>
      <c r="H2363">
        <v>-0.05</v>
      </c>
      <c r="I2363">
        <v>225.24469999999999</v>
      </c>
      <c r="J2363">
        <v>-485.79050000000001</v>
      </c>
      <c r="K2363">
        <v>1.1111610000000001</v>
      </c>
      <c r="L2363">
        <v>279.05990000000003</v>
      </c>
      <c r="M2363">
        <v>-0.75481560000000003</v>
      </c>
      <c r="N2363">
        <v>0</v>
      </c>
      <c r="O2363">
        <v>-0.65580519999999998</v>
      </c>
      <c r="P2363">
        <v>-0.75283100000000003</v>
      </c>
      <c r="Q2363">
        <v>-3.2664099999999897E-2</v>
      </c>
      <c r="R2363">
        <v>-0.65740290000000001</v>
      </c>
      <c r="S2363">
        <v>-1.4212340000000001</v>
      </c>
      <c r="T2363">
        <v>-6.3367010000000001E-2</v>
      </c>
      <c r="U2363">
        <v>-2.9399410000000001</v>
      </c>
      <c r="V2363">
        <v>-2.4679390000000002E-3</v>
      </c>
      <c r="W2363">
        <v>-1.9507859999999998E-2</v>
      </c>
      <c r="X2363">
        <v>0.99980659999999999</v>
      </c>
      <c r="Y2363">
        <v>-0.3942022</v>
      </c>
      <c r="Z2363">
        <v>9.7167450000000006E-3</v>
      </c>
      <c r="AA2363">
        <v>0.91897240000000002</v>
      </c>
      <c r="AB2363">
        <v>9</v>
      </c>
      <c r="AC2363">
        <v>-25.982699999999902</v>
      </c>
      <c r="AD2363">
        <v>-1.1611610000000001</v>
      </c>
      <c r="AE2363">
        <v>-53.815199999999997</v>
      </c>
      <c r="AF2363">
        <v>-23.574101747615298</v>
      </c>
      <c r="AG2363">
        <v>-1.1611610000000001</v>
      </c>
      <c r="AH2363">
        <v>54.888460661252303</v>
      </c>
      <c r="AI2363">
        <v>91.113572935056098</v>
      </c>
      <c r="AJ2363">
        <v>113.24308926057201</v>
      </c>
      <c r="AK2363">
        <v>59.748051699086297</v>
      </c>
      <c r="AL2363">
        <v>91.117789014404906</v>
      </c>
      <c r="AM2363">
        <v>90.141429554080304</v>
      </c>
      <c r="AN2363">
        <v>0.99999994236412204</v>
      </c>
    </row>
    <row r="2364" spans="1:40" x14ac:dyDescent="0.25">
      <c r="A2364" t="str">
        <f>"20190312161004506"</f>
        <v>20190312161004506</v>
      </c>
      <c r="B2364" t="str">
        <f>"1552378204498371"</f>
        <v>1552378204498371</v>
      </c>
      <c r="C2364" t="s">
        <v>40</v>
      </c>
      <c r="D2364">
        <v>5.0481350000000003</v>
      </c>
      <c r="E2364">
        <v>0.33770729999999999</v>
      </c>
      <c r="F2364" t="s">
        <v>43</v>
      </c>
      <c r="G2364">
        <v>-510.13010000000003</v>
      </c>
      <c r="H2364">
        <v>-0.05</v>
      </c>
      <c r="I2364">
        <v>228.14709999999999</v>
      </c>
      <c r="J2364">
        <v>-485.8218</v>
      </c>
      <c r="K2364">
        <v>1.1111549999999999</v>
      </c>
      <c r="L2364">
        <v>279.0299</v>
      </c>
      <c r="M2364">
        <v>-0.75360689999999997</v>
      </c>
      <c r="N2364">
        <v>0</v>
      </c>
      <c r="O2364">
        <v>-0.65719359999999905</v>
      </c>
      <c r="P2364">
        <v>-0.75155399999999895</v>
      </c>
      <c r="Q2364">
        <v>-3.301225E-2</v>
      </c>
      <c r="R2364">
        <v>-0.65884529999999997</v>
      </c>
      <c r="S2364">
        <v>-1.408752</v>
      </c>
      <c r="T2364">
        <v>-6.7206740000000001E-2</v>
      </c>
      <c r="U2364">
        <v>-2.946777</v>
      </c>
      <c r="V2364">
        <v>-2.5537350000000001E-3</v>
      </c>
      <c r="W2364">
        <v>-1.9865620000000001E-2</v>
      </c>
      <c r="X2364">
        <v>0.9997994</v>
      </c>
      <c r="Y2364">
        <v>-0.39651059999999999</v>
      </c>
      <c r="Z2364">
        <v>1.031634E-2</v>
      </c>
      <c r="AA2364">
        <v>0.91797220000000002</v>
      </c>
      <c r="AB2364">
        <v>9</v>
      </c>
      <c r="AC2364">
        <v>-24.308299999999999</v>
      </c>
      <c r="AD2364">
        <v>-1.1611549999999999</v>
      </c>
      <c r="AE2364">
        <v>-50.882800000000003</v>
      </c>
      <c r="AF2364">
        <v>-22.362825944549598</v>
      </c>
      <c r="AG2364">
        <v>-1.1611549999999999</v>
      </c>
      <c r="AH2364">
        <v>51.741298327891201</v>
      </c>
      <c r="AI2364">
        <v>91.180117287048205</v>
      </c>
      <c r="AJ2364">
        <v>113.37422166681399</v>
      </c>
      <c r="AK2364">
        <v>56.379129275079102</v>
      </c>
      <c r="AL2364">
        <v>91.138291058870493</v>
      </c>
      <c r="AM2364">
        <v>90.146347276557606</v>
      </c>
      <c r="AN2364">
        <v>1.0000000023303901</v>
      </c>
    </row>
    <row r="2365" spans="1:40" x14ac:dyDescent="0.25">
      <c r="A2365" t="str">
        <f>"20190312161004517"</f>
        <v>20190312161004517</v>
      </c>
      <c r="B2365" t="str">
        <f>"1552378204508131"</f>
        <v>1552378204508131</v>
      </c>
      <c r="C2365" t="s">
        <v>40</v>
      </c>
      <c r="D2365">
        <v>5.0281409999999997</v>
      </c>
      <c r="E2365">
        <v>0.33758179999999999</v>
      </c>
      <c r="F2365" t="s">
        <v>43</v>
      </c>
      <c r="G2365">
        <v>-510.35829999999999</v>
      </c>
      <c r="H2365">
        <v>-0.05</v>
      </c>
      <c r="I2365">
        <v>227.36869999999999</v>
      </c>
      <c r="J2365">
        <v>-485.85399999999998</v>
      </c>
      <c r="K2365">
        <v>1.1111549999999999</v>
      </c>
      <c r="L2365">
        <v>278.99889999999999</v>
      </c>
      <c r="M2365">
        <v>-0.75236419999999904</v>
      </c>
      <c r="N2365">
        <v>0</v>
      </c>
      <c r="O2365">
        <v>-0.65861619999999998</v>
      </c>
      <c r="P2365">
        <v>-0.75014190000000003</v>
      </c>
      <c r="Q2365">
        <v>-3.363791E-2</v>
      </c>
      <c r="R2365">
        <v>-0.66042060000000002</v>
      </c>
      <c r="S2365">
        <v>-1.401672</v>
      </c>
      <c r="T2365">
        <v>-6.6332219999999997E-2</v>
      </c>
      <c r="U2365">
        <v>-2.9512019999999999</v>
      </c>
      <c r="V2365">
        <v>-2.7796750000000001E-3</v>
      </c>
      <c r="W2365">
        <v>-2.050219E-2</v>
      </c>
      <c r="X2365">
        <v>0.99978599999999995</v>
      </c>
      <c r="Y2365">
        <v>-0.39710649999999997</v>
      </c>
      <c r="Z2365">
        <v>1.0208109999999999E-2</v>
      </c>
      <c r="AA2365">
        <v>0.91771570000000002</v>
      </c>
      <c r="AB2365">
        <v>9</v>
      </c>
      <c r="AC2365">
        <v>-24.504299999999901</v>
      </c>
      <c r="AD2365">
        <v>-1.1611549999999999</v>
      </c>
      <c r="AE2365">
        <v>-51.630200000000002</v>
      </c>
      <c r="AF2365">
        <v>-22.698377313078399</v>
      </c>
      <c r="AG2365">
        <v>-1.1611549999999999</v>
      </c>
      <c r="AH2365">
        <v>52.423535218747098</v>
      </c>
      <c r="AI2365">
        <v>91.164434299990802</v>
      </c>
      <c r="AJ2365">
        <v>113.41167883650699</v>
      </c>
      <c r="AK2365">
        <v>57.138355405210199</v>
      </c>
      <c r="AL2365">
        <v>91.174771202193597</v>
      </c>
      <c r="AM2365">
        <v>90.159297325183402</v>
      </c>
      <c r="AN2365">
        <v>1.00000005609194</v>
      </c>
    </row>
    <row r="2366" spans="1:40" x14ac:dyDescent="0.25">
      <c r="A2366" t="str">
        <f>"20190312161004528"</f>
        <v>20190312161004528</v>
      </c>
      <c r="B2366" t="str">
        <f>"1552378204517891"</f>
        <v>1552378204517891</v>
      </c>
      <c r="C2366" t="s">
        <v>40</v>
      </c>
      <c r="D2366">
        <v>5.0383399999999998</v>
      </c>
      <c r="E2366">
        <v>0.33750809999999998</v>
      </c>
      <c r="F2366" t="s">
        <v>43</v>
      </c>
      <c r="G2366">
        <v>-510.18680000000001</v>
      </c>
      <c r="H2366">
        <v>-0.05</v>
      </c>
      <c r="I2366">
        <v>227.45859999999999</v>
      </c>
      <c r="J2366">
        <v>-485.88400000000001</v>
      </c>
      <c r="K2366">
        <v>1.1111489999999999</v>
      </c>
      <c r="L2366">
        <v>278.9699</v>
      </c>
      <c r="M2366">
        <v>-0.75119919999999996</v>
      </c>
      <c r="N2366">
        <v>0</v>
      </c>
      <c r="O2366">
        <v>-0.659945</v>
      </c>
      <c r="P2366">
        <v>-0.74893480000000001</v>
      </c>
      <c r="Q2366">
        <v>-3.4251280000000002E-2</v>
      </c>
      <c r="R2366">
        <v>-0.66175790000000001</v>
      </c>
      <c r="S2366">
        <v>-1.3949579999999999</v>
      </c>
      <c r="T2366">
        <v>-6.6566940000000005E-2</v>
      </c>
      <c r="U2366">
        <v>-2.9547119999999998</v>
      </c>
      <c r="V2366">
        <v>-2.8139630000000001E-3</v>
      </c>
      <c r="W2366">
        <v>-2.112532E-2</v>
      </c>
      <c r="X2366">
        <v>0.99977280000000002</v>
      </c>
      <c r="Y2366">
        <v>-0.3976111</v>
      </c>
      <c r="Z2366">
        <v>1.027087E-2</v>
      </c>
      <c r="AA2366">
        <v>0.9174966</v>
      </c>
      <c r="AB2366">
        <v>9</v>
      </c>
      <c r="AC2366">
        <v>-24.302799999999898</v>
      </c>
      <c r="AD2366">
        <v>-1.161149</v>
      </c>
      <c r="AE2366">
        <v>-51.511299999999999</v>
      </c>
      <c r="AF2366">
        <v>-22.6492754568058</v>
      </c>
      <c r="AG2366">
        <v>-1.161149</v>
      </c>
      <c r="AH2366">
        <v>52.233663311645202</v>
      </c>
      <c r="AI2366">
        <v>91.168389734683998</v>
      </c>
      <c r="AJ2366">
        <v>113.442255806785</v>
      </c>
      <c r="AK2366">
        <v>56.944653205307802</v>
      </c>
      <c r="AL2366">
        <v>91.210481815021197</v>
      </c>
      <c r="AM2366">
        <v>90.161264417134305</v>
      </c>
      <c r="AN2366">
        <v>0.99999992457635101</v>
      </c>
    </row>
    <row r="2367" spans="1:40" x14ac:dyDescent="0.25">
      <c r="A2367" t="str">
        <f>"20190312161004539"</f>
        <v>20190312161004539</v>
      </c>
      <c r="B2367" t="str">
        <f>"1552378204528627"</f>
        <v>1552378204528627</v>
      </c>
      <c r="C2367" t="s">
        <v>40</v>
      </c>
      <c r="D2367">
        <v>5.050567</v>
      </c>
      <c r="E2367">
        <v>0.33739550000000001</v>
      </c>
      <c r="F2367" t="s">
        <v>43</v>
      </c>
      <c r="G2367">
        <v>-509.85640000000001</v>
      </c>
      <c r="H2367">
        <v>-0.05</v>
      </c>
      <c r="I2367">
        <v>227.9256</v>
      </c>
      <c r="J2367">
        <v>-485.91460000000001</v>
      </c>
      <c r="K2367">
        <v>1.1111439999999999</v>
      </c>
      <c r="L2367">
        <v>278.9402</v>
      </c>
      <c r="M2367">
        <v>-0.75000549999999999</v>
      </c>
      <c r="N2367">
        <v>0</v>
      </c>
      <c r="O2367">
        <v>-0.66130129999999998</v>
      </c>
      <c r="P2367">
        <v>-0.74759790000000004</v>
      </c>
      <c r="Q2367">
        <v>-3.476775E-2</v>
      </c>
      <c r="R2367">
        <v>-0.66324110000000003</v>
      </c>
      <c r="S2367">
        <v>-1.3890990000000001</v>
      </c>
      <c r="T2367">
        <v>-6.7283389999999998E-2</v>
      </c>
      <c r="U2367">
        <v>-2.9577939999999998</v>
      </c>
      <c r="V2367">
        <v>-3.0031910000000001E-3</v>
      </c>
      <c r="W2367">
        <v>-2.165195E-2</v>
      </c>
      <c r="X2367">
        <v>0.99976100000000001</v>
      </c>
      <c r="Y2367">
        <v>-0.39781090000000002</v>
      </c>
      <c r="Z2367">
        <v>1.0411719999999999E-2</v>
      </c>
      <c r="AA2367">
        <v>0.91740829999999995</v>
      </c>
      <c r="AB2367">
        <v>9</v>
      </c>
      <c r="AC2367">
        <v>-23.941800000000001</v>
      </c>
      <c r="AD2367">
        <v>-1.161144</v>
      </c>
      <c r="AE2367">
        <v>-51.014600000000002</v>
      </c>
      <c r="AF2367">
        <v>-22.420901154756201</v>
      </c>
      <c r="AG2367">
        <v>-1.161144</v>
      </c>
      <c r="AH2367">
        <v>51.675019083506399</v>
      </c>
      <c r="AI2367">
        <v>91.180896610004496</v>
      </c>
      <c r="AJ2367">
        <v>113.455191793754</v>
      </c>
      <c r="AK2367">
        <v>56.341393852662499</v>
      </c>
      <c r="AL2367">
        <v>91.240662377079801</v>
      </c>
      <c r="AM2367">
        <v>90.172110786295704</v>
      </c>
      <c r="AN2367">
        <v>0.99999994160798999</v>
      </c>
    </row>
    <row r="2368" spans="1:40" x14ac:dyDescent="0.25">
      <c r="A2368" t="str">
        <f>"20190312161004562"</f>
        <v>20190312161004562</v>
      </c>
      <c r="B2368" t="str">
        <f>"1552378204557906"</f>
        <v>1552378204557906</v>
      </c>
      <c r="C2368" t="s">
        <v>40</v>
      </c>
      <c r="D2368">
        <v>5.0541159999999996</v>
      </c>
      <c r="E2368">
        <v>0.33737780000000001</v>
      </c>
      <c r="F2368" t="s">
        <v>43</v>
      </c>
      <c r="G2368">
        <v>-509.79590000000002</v>
      </c>
      <c r="H2368">
        <v>-0.05</v>
      </c>
      <c r="I2368">
        <v>227.80199999999999</v>
      </c>
      <c r="J2368">
        <v>-485.97539999999998</v>
      </c>
      <c r="K2368">
        <v>1.1111329999999999</v>
      </c>
      <c r="L2368">
        <v>278.88099999999997</v>
      </c>
      <c r="M2368">
        <v>-0.74762640000000002</v>
      </c>
      <c r="N2368">
        <v>0</v>
      </c>
      <c r="O2368">
        <v>-0.66399030000000003</v>
      </c>
      <c r="P2368">
        <v>-0.74506280000000003</v>
      </c>
      <c r="Q2368">
        <v>-3.5502400000000003E-2</v>
      </c>
      <c r="R2368">
        <v>-0.66604909999999995</v>
      </c>
      <c r="S2368">
        <v>-1.3828129999999901</v>
      </c>
      <c r="T2368">
        <v>-6.7234520000000006E-2</v>
      </c>
      <c r="U2368">
        <v>-2.96109</v>
      </c>
      <c r="V2368">
        <v>-3.1962100000000001E-3</v>
      </c>
      <c r="W2368">
        <v>-2.2405049999999999E-2</v>
      </c>
      <c r="X2368">
        <v>0.99974390000000002</v>
      </c>
      <c r="Y2368">
        <v>-0.39650730000000001</v>
      </c>
      <c r="Z2368">
        <v>1.048E-2</v>
      </c>
      <c r="AA2368">
        <v>0.91797169999999895</v>
      </c>
      <c r="AB2368">
        <v>9</v>
      </c>
      <c r="AC2368">
        <v>-23.820499999999999</v>
      </c>
      <c r="AD2368">
        <v>-1.161133</v>
      </c>
      <c r="AE2368">
        <v>-51.078999999999901</v>
      </c>
      <c r="AF2368">
        <v>-22.363856045242599</v>
      </c>
      <c r="AG2368">
        <v>-1.161133</v>
      </c>
      <c r="AH2368">
        <v>51.707288268801904</v>
      </c>
      <c r="AI2368">
        <v>91.180740105135698</v>
      </c>
      <c r="AJ2368">
        <v>113.38890609994699</v>
      </c>
      <c r="AK2368">
        <v>56.348326924310797</v>
      </c>
      <c r="AL2368">
        <v>91.283822186840595</v>
      </c>
      <c r="AM2368">
        <v>90.183175630799099</v>
      </c>
      <c r="AN2368">
        <v>1.0000000338055299</v>
      </c>
    </row>
    <row r="2369" spans="1:40" x14ac:dyDescent="0.25">
      <c r="A2369" t="str">
        <f>"20190312161004573"</f>
        <v>20190312161004573</v>
      </c>
      <c r="B2369" t="str">
        <f>"1552378204568642"</f>
        <v>1552378204568642</v>
      </c>
      <c r="C2369" t="s">
        <v>40</v>
      </c>
      <c r="D2369">
        <v>5.0575619999999999</v>
      </c>
      <c r="E2369">
        <v>0.33742879999999997</v>
      </c>
      <c r="F2369" t="s">
        <v>43</v>
      </c>
      <c r="G2369">
        <v>-508.96039999999999</v>
      </c>
      <c r="H2369">
        <v>-0.05</v>
      </c>
      <c r="I2369">
        <v>229.16</v>
      </c>
      <c r="J2369">
        <v>-486.00729999999999</v>
      </c>
      <c r="K2369">
        <v>1.1111260000000001</v>
      </c>
      <c r="L2369">
        <v>278.84949999999998</v>
      </c>
      <c r="M2369">
        <v>-0.74636380000000002</v>
      </c>
      <c r="N2369">
        <v>0</v>
      </c>
      <c r="O2369">
        <v>-0.66540959999999905</v>
      </c>
      <c r="P2369">
        <v>-0.74377130000000002</v>
      </c>
      <c r="Q2369">
        <v>-3.5654480000000002E-2</v>
      </c>
      <c r="R2369">
        <v>-0.66748319999999906</v>
      </c>
      <c r="S2369">
        <v>-1.3713379999999999</v>
      </c>
      <c r="T2369">
        <v>-6.9275619999999996E-2</v>
      </c>
      <c r="U2369">
        <v>-2.9664609999999998</v>
      </c>
      <c r="V2369">
        <v>-3.2276620000000001E-3</v>
      </c>
      <c r="W2369">
        <v>-2.2565829999999999E-2</v>
      </c>
      <c r="X2369">
        <v>0.99974010000000002</v>
      </c>
      <c r="Y2369">
        <v>-0.39832260000000003</v>
      </c>
      <c r="Z2369">
        <v>1.0817220000000001E-2</v>
      </c>
      <c r="AA2369">
        <v>0.91718160000000004</v>
      </c>
      <c r="AB2369">
        <v>9</v>
      </c>
      <c r="AC2369">
        <v>-22.953099999999999</v>
      </c>
      <c r="AD2369">
        <v>-1.1611260000000001</v>
      </c>
      <c r="AE2369">
        <v>-49.689499999999903</v>
      </c>
      <c r="AF2369">
        <v>-21.805284939534999</v>
      </c>
      <c r="AG2369">
        <v>-1.1611260000000001</v>
      </c>
      <c r="AH2369">
        <v>50.176948397358402</v>
      </c>
      <c r="AI2369">
        <v>91.215819676081793</v>
      </c>
      <c r="AJ2369">
        <v>113.48821283817701</v>
      </c>
      <c r="AK2369">
        <v>54.722434296669903</v>
      </c>
      <c r="AL2369">
        <v>91.293036638694005</v>
      </c>
      <c r="AM2369">
        <v>90.184978843773393</v>
      </c>
      <c r="AN2369">
        <v>0.99999995101679096</v>
      </c>
    </row>
    <row r="2370" spans="1:40" x14ac:dyDescent="0.25">
      <c r="A2370" t="str">
        <f>"20190312161004585"</f>
        <v>20190312161004585</v>
      </c>
      <c r="B2370" t="str">
        <f>"1552378204578403"</f>
        <v>1552378204578403</v>
      </c>
      <c r="C2370" t="s">
        <v>40</v>
      </c>
      <c r="D2370">
        <v>5.0531610000000002</v>
      </c>
      <c r="E2370">
        <v>0.33746159999999997</v>
      </c>
      <c r="F2370" t="s">
        <v>43</v>
      </c>
      <c r="G2370">
        <v>-508.74509999999998</v>
      </c>
      <c r="H2370">
        <v>-0.05</v>
      </c>
      <c r="I2370">
        <v>229.43819999999999</v>
      </c>
      <c r="J2370">
        <v>-486.03910000000002</v>
      </c>
      <c r="K2370">
        <v>1.11113</v>
      </c>
      <c r="L2370">
        <v>278.81830000000002</v>
      </c>
      <c r="M2370">
        <v>-0.74510559999999904</v>
      </c>
      <c r="N2370">
        <v>0</v>
      </c>
      <c r="O2370">
        <v>-0.66681809999999997</v>
      </c>
      <c r="P2370">
        <v>-0.742444199999999</v>
      </c>
      <c r="Q2370">
        <v>-3.6277950000000003E-2</v>
      </c>
      <c r="R2370">
        <v>-0.66892529999999994</v>
      </c>
      <c r="S2370">
        <v>-1.366058</v>
      </c>
      <c r="T2370">
        <v>-6.9758890000000004E-2</v>
      </c>
      <c r="U2370">
        <v>-2.9685670000000002</v>
      </c>
      <c r="V2370">
        <v>-3.2981680000000002E-3</v>
      </c>
      <c r="W2370">
        <v>-2.319798E-2</v>
      </c>
      <c r="X2370">
        <v>0.99972550000000004</v>
      </c>
      <c r="Y2370">
        <v>-0.39818389999999998</v>
      </c>
      <c r="Z2370">
        <v>1.0930550000000001E-2</v>
      </c>
      <c r="AA2370">
        <v>0.91724050000000001</v>
      </c>
      <c r="AB2370">
        <v>9</v>
      </c>
      <c r="AC2370">
        <v>-22.7059999999999</v>
      </c>
      <c r="AD2370">
        <v>-1.16113</v>
      </c>
      <c r="AE2370">
        <v>-49.380099999999999</v>
      </c>
      <c r="AF2370">
        <v>-21.6445928171273</v>
      </c>
      <c r="AG2370">
        <v>-1.16113</v>
      </c>
      <c r="AH2370">
        <v>49.827439357764099</v>
      </c>
      <c r="AI2370">
        <v>91.224428606587196</v>
      </c>
      <c r="AJ2370">
        <v>113.47969417737499</v>
      </c>
      <c r="AK2370">
        <v>54.337927215231602</v>
      </c>
      <c r="AL2370">
        <v>91.329265522465107</v>
      </c>
      <c r="AM2370">
        <v>90.189022307572998</v>
      </c>
      <c r="AN2370">
        <v>1.0000000497692401</v>
      </c>
    </row>
    <row r="2371" spans="1:40" x14ac:dyDescent="0.25">
      <c r="A2371" t="str">
        <f>"20190312161004594"</f>
        <v>20190312161004594</v>
      </c>
      <c r="B2371" t="str">
        <f>"1552378204588165"</f>
        <v>1552378204588165</v>
      </c>
      <c r="C2371" t="s">
        <v>40</v>
      </c>
      <c r="D2371">
        <v>5.0410139999999997</v>
      </c>
      <c r="E2371">
        <v>0.33761330000000001</v>
      </c>
      <c r="F2371" t="s">
        <v>43</v>
      </c>
      <c r="G2371">
        <v>-508.1549</v>
      </c>
      <c r="H2371">
        <v>-0.05</v>
      </c>
      <c r="I2371">
        <v>230.50649999999999</v>
      </c>
      <c r="J2371">
        <v>-486.06830000000002</v>
      </c>
      <c r="K2371">
        <v>1.1111230000000001</v>
      </c>
      <c r="L2371">
        <v>278.7894</v>
      </c>
      <c r="M2371">
        <v>-0.74394629999999995</v>
      </c>
      <c r="N2371">
        <v>0</v>
      </c>
      <c r="O2371">
        <v>-0.66811129999999996</v>
      </c>
      <c r="P2371">
        <v>-0.74097480000000004</v>
      </c>
      <c r="Q2371">
        <v>-3.6176989999999999E-2</v>
      </c>
      <c r="R2371">
        <v>-0.67055799999999999</v>
      </c>
      <c r="S2371">
        <v>-1.360168</v>
      </c>
      <c r="T2371">
        <v>-7.1412089999999998E-2</v>
      </c>
      <c r="U2371">
        <v>-2.9712830000000001</v>
      </c>
      <c r="V2371">
        <v>-3.7596270000000002E-3</v>
      </c>
      <c r="W2371">
        <v>-2.310506E-2</v>
      </c>
      <c r="X2371">
        <v>0.999726</v>
      </c>
      <c r="Y2371">
        <v>-0.3984125</v>
      </c>
      <c r="Z2371">
        <v>1.1220859999999999E-2</v>
      </c>
      <c r="AA2371">
        <v>0.91713769999999994</v>
      </c>
      <c r="AB2371">
        <v>9</v>
      </c>
      <c r="AC2371">
        <v>-22.086599999999901</v>
      </c>
      <c r="AD2371">
        <v>-1.1611229999999999</v>
      </c>
      <c r="AE2371">
        <v>-48.282899999999998</v>
      </c>
      <c r="AF2371">
        <v>-21.1552720802745</v>
      </c>
      <c r="AG2371">
        <v>-1.1611229999999999</v>
      </c>
      <c r="AH2371">
        <v>48.670487104958099</v>
      </c>
      <c r="AI2371">
        <v>91.253393241011594</v>
      </c>
      <c r="AJ2371">
        <v>113.492813893389</v>
      </c>
      <c r="AK2371">
        <v>53.082106763442098</v>
      </c>
      <c r="AL2371">
        <v>91.323940201899305</v>
      </c>
      <c r="AM2371">
        <v>90.215468782613002</v>
      </c>
      <c r="AN2371">
        <v>1.00000002683439</v>
      </c>
    </row>
    <row r="2372" spans="1:40" x14ac:dyDescent="0.25">
      <c r="A2372" t="str">
        <f>"20190312161004606"</f>
        <v>20190312161004606</v>
      </c>
      <c r="B2372" t="str">
        <f>"1552378204597923"</f>
        <v>1552378204597923</v>
      </c>
      <c r="C2372" t="s">
        <v>40</v>
      </c>
      <c r="D2372">
        <v>5.019298</v>
      </c>
      <c r="E2372">
        <v>0.33769460000000001</v>
      </c>
      <c r="F2372" t="s">
        <v>43</v>
      </c>
      <c r="G2372">
        <v>-507.82870000000003</v>
      </c>
      <c r="H2372">
        <v>-0.05</v>
      </c>
      <c r="I2372">
        <v>231.0342</v>
      </c>
      <c r="J2372">
        <v>-486.09809999999999</v>
      </c>
      <c r="K2372">
        <v>1.1111200000000001</v>
      </c>
      <c r="L2372">
        <v>278.75990000000002</v>
      </c>
      <c r="M2372">
        <v>-0.74275679999999999</v>
      </c>
      <c r="N2372">
        <v>0</v>
      </c>
      <c r="O2372">
        <v>-0.66943350000000001</v>
      </c>
      <c r="P2372">
        <v>-0.73968669999999903</v>
      </c>
      <c r="Q2372">
        <v>-3.6396739999999997E-2</v>
      </c>
      <c r="R2372">
        <v>-0.67196659999999997</v>
      </c>
      <c r="S2372">
        <v>-1.354706</v>
      </c>
      <c r="T2372">
        <v>-7.2286249999999996E-2</v>
      </c>
      <c r="U2372">
        <v>-2.9730219999999998</v>
      </c>
      <c r="V2372">
        <v>-3.8902239999999999E-3</v>
      </c>
      <c r="W2372">
        <v>-2.3332760000000001E-2</v>
      </c>
      <c r="X2372">
        <v>0.99972019999999995</v>
      </c>
      <c r="Y2372">
        <v>-0.3983796</v>
      </c>
      <c r="Z2372">
        <v>1.1395580000000001E-2</v>
      </c>
      <c r="AA2372">
        <v>0.91714980000000002</v>
      </c>
      <c r="AB2372">
        <v>9</v>
      </c>
      <c r="AC2372">
        <v>-21.730599999999999</v>
      </c>
      <c r="AD2372">
        <v>-1.1611199999999999</v>
      </c>
      <c r="AE2372">
        <v>-47.725700000000003</v>
      </c>
      <c r="AF2372">
        <v>-20.892942200372701</v>
      </c>
      <c r="AG2372">
        <v>-1.1611199999999999</v>
      </c>
      <c r="AH2372">
        <v>48.070281519542</v>
      </c>
      <c r="AI2372">
        <v>91.269048664442394</v>
      </c>
      <c r="AJ2372">
        <v>113.491367686282</v>
      </c>
      <c r="AK2372">
        <v>52.427237184602198</v>
      </c>
      <c r="AL2372">
        <v>91.336989984672996</v>
      </c>
      <c r="AM2372">
        <v>90.222954674247703</v>
      </c>
      <c r="AN2372">
        <v>1.0000000149100099</v>
      </c>
    </row>
    <row r="2373" spans="1:40" x14ac:dyDescent="0.25">
      <c r="A2373" t="str">
        <f>"20190312161004618"</f>
        <v>20190312161004618</v>
      </c>
      <c r="B2373" t="str">
        <f>"1552378204608659"</f>
        <v>1552378204608659</v>
      </c>
      <c r="C2373" t="s">
        <v>40</v>
      </c>
      <c r="D2373">
        <v>5.0457549999999998</v>
      </c>
      <c r="E2373">
        <v>0.33781630000000001</v>
      </c>
      <c r="F2373" t="s">
        <v>43</v>
      </c>
      <c r="G2373">
        <v>-507.74970000000002</v>
      </c>
      <c r="H2373">
        <v>-0.05</v>
      </c>
      <c r="I2373">
        <v>231.02670000000001</v>
      </c>
      <c r="J2373">
        <v>-486.1302</v>
      </c>
      <c r="K2373">
        <v>1.1111200000000001</v>
      </c>
      <c r="L2373">
        <v>278.72800000000001</v>
      </c>
      <c r="M2373">
        <v>-0.74147350000000001</v>
      </c>
      <c r="N2373">
        <v>0</v>
      </c>
      <c r="O2373">
        <v>-0.67085499999999998</v>
      </c>
      <c r="P2373">
        <v>-0.73817109999999997</v>
      </c>
      <c r="Q2373">
        <v>-3.6547620000000003E-2</v>
      </c>
      <c r="R2373">
        <v>-0.67362299999999997</v>
      </c>
      <c r="S2373">
        <v>-1.3494870000000001</v>
      </c>
      <c r="T2373">
        <v>-7.2369810000000007E-2</v>
      </c>
      <c r="U2373">
        <v>-2.975098</v>
      </c>
      <c r="V2373">
        <v>-4.2215179999999996E-3</v>
      </c>
      <c r="W2373">
        <v>-2.3493420000000001E-2</v>
      </c>
      <c r="X2373">
        <v>0.99971509999999997</v>
      </c>
      <c r="Y2373">
        <v>-0.39819789999999999</v>
      </c>
      <c r="Z2373">
        <v>1.144878E-2</v>
      </c>
      <c r="AA2373">
        <v>0.91722809999999999</v>
      </c>
      <c r="AB2373">
        <v>9</v>
      </c>
      <c r="AC2373">
        <v>-21.619499999999999</v>
      </c>
      <c r="AD2373">
        <v>-1.1611199999999999</v>
      </c>
      <c r="AE2373">
        <v>-47.701300000000003</v>
      </c>
      <c r="AF2373">
        <v>-20.8572283228423</v>
      </c>
      <c r="AG2373">
        <v>-1.1611199999999999</v>
      </c>
      <c r="AH2373">
        <v>48.011440470927198</v>
      </c>
      <c r="AI2373">
        <v>91.270701507764699</v>
      </c>
      <c r="AJ2373">
        <v>113.48118916262599</v>
      </c>
      <c r="AK2373">
        <v>52.359054508833097</v>
      </c>
      <c r="AL2373">
        <v>91.346197639539</v>
      </c>
      <c r="AM2373">
        <v>90.241942656361203</v>
      </c>
      <c r="AN2373">
        <v>1.00000002158276</v>
      </c>
    </row>
    <row r="2374" spans="1:40" x14ac:dyDescent="0.25">
      <c r="A2374" t="str">
        <f>"20190312161004630"</f>
        <v>20190312161004630</v>
      </c>
      <c r="B2374" t="str">
        <f>"1552378204618420"</f>
        <v>1552378204618420</v>
      </c>
      <c r="C2374" t="s">
        <v>40</v>
      </c>
      <c r="D2374">
        <v>5.0379779999999998</v>
      </c>
      <c r="E2374">
        <v>0.33790559999999997</v>
      </c>
      <c r="F2374" t="s">
        <v>41</v>
      </c>
      <c r="G2374">
        <v>-504.8922</v>
      </c>
      <c r="H2374">
        <v>7.9986290000000002E-2</v>
      </c>
      <c r="I2374">
        <v>237.137</v>
      </c>
      <c r="J2374">
        <v>-486.16059999999999</v>
      </c>
      <c r="K2374">
        <v>1.111119</v>
      </c>
      <c r="L2374">
        <v>278.69760000000002</v>
      </c>
      <c r="M2374">
        <v>-0.74024869999999898</v>
      </c>
      <c r="N2374">
        <v>0</v>
      </c>
      <c r="O2374">
        <v>-0.67220630000000003</v>
      </c>
      <c r="P2374">
        <v>-0.73692069999999998</v>
      </c>
      <c r="Q2374">
        <v>-3.6730699999999998E-2</v>
      </c>
      <c r="R2374">
        <v>-0.67498080000000005</v>
      </c>
      <c r="S2374">
        <v>-1.3432309999999901</v>
      </c>
      <c r="T2374">
        <v>-7.3822020000000002E-2</v>
      </c>
      <c r="U2374">
        <v>-2.9776310000000001</v>
      </c>
      <c r="V2374">
        <v>-4.2443799999999999E-3</v>
      </c>
      <c r="W2374">
        <v>-2.3685990000000001E-2</v>
      </c>
      <c r="X2374">
        <v>0.9997104</v>
      </c>
      <c r="Y2374">
        <v>-0.39841979999999999</v>
      </c>
      <c r="Z2374">
        <v>1.171356E-2</v>
      </c>
      <c r="AA2374">
        <v>0.91712839999999995</v>
      </c>
      <c r="AB2374">
        <v>9</v>
      </c>
      <c r="AC2374">
        <v>-18.7316</v>
      </c>
      <c r="AD2374">
        <v>-1.0311327100000001</v>
      </c>
      <c r="AE2374">
        <v>-41.560600000000001</v>
      </c>
      <c r="AF2374">
        <v>-18.165936443472599</v>
      </c>
      <c r="AG2374">
        <v>-1.0311327100000001</v>
      </c>
      <c r="AH2374">
        <v>41.785526507836003</v>
      </c>
      <c r="AI2374">
        <v>91.296421143211205</v>
      </c>
      <c r="AJ2374">
        <v>113.496623928088</v>
      </c>
      <c r="AK2374">
        <v>45.575154493111498</v>
      </c>
      <c r="AL2374">
        <v>91.357234239147402</v>
      </c>
      <c r="AM2374">
        <v>90.2432540458841</v>
      </c>
      <c r="AN2374">
        <v>0.99999996237601096</v>
      </c>
    </row>
    <row r="2375" spans="1:40" x14ac:dyDescent="0.25">
      <c r="A2375" t="str">
        <f>"20190312161004644"</f>
        <v>20190312161004644</v>
      </c>
      <c r="B2375" t="str">
        <f>"1552378204637939"</f>
        <v>1552378204637939</v>
      </c>
      <c r="C2375" t="s">
        <v>40</v>
      </c>
      <c r="D2375">
        <v>5.0095859999999997</v>
      </c>
      <c r="E2375">
        <v>0.33812540000000002</v>
      </c>
      <c r="F2375" t="s">
        <v>41</v>
      </c>
      <c r="G2375">
        <v>-504.6986</v>
      </c>
      <c r="H2375">
        <v>7.9986199999999993E-2</v>
      </c>
      <c r="I2375">
        <v>237.42689999999999</v>
      </c>
      <c r="J2375">
        <v>-486.19819999999999</v>
      </c>
      <c r="K2375">
        <v>1.1111150000000001</v>
      </c>
      <c r="L2375">
        <v>278.65989999999999</v>
      </c>
      <c r="M2375">
        <v>-0.73872789999999999</v>
      </c>
      <c r="N2375">
        <v>0</v>
      </c>
      <c r="O2375">
        <v>-0.67387790000000003</v>
      </c>
      <c r="P2375">
        <v>-0.73531759999999902</v>
      </c>
      <c r="Q2375">
        <v>-3.6607109999999998E-2</v>
      </c>
      <c r="R2375">
        <v>-0.67673369999999999</v>
      </c>
      <c r="S2375">
        <v>-1.338287</v>
      </c>
      <c r="T2375">
        <v>-7.4439290000000005E-2</v>
      </c>
      <c r="U2375">
        <v>-2.9794010000000002</v>
      </c>
      <c r="V2375">
        <v>-4.3616590000000004E-3</v>
      </c>
      <c r="W2375">
        <v>-2.3575019999999999E-2</v>
      </c>
      <c r="X2375">
        <v>0.9997125</v>
      </c>
      <c r="Y2375">
        <v>-0.39781729999999998</v>
      </c>
      <c r="Z2375">
        <v>1.1864019999999999E-2</v>
      </c>
      <c r="AA2375">
        <v>0.91738799999999998</v>
      </c>
      <c r="AB2375">
        <v>9</v>
      </c>
      <c r="AC2375">
        <v>-18.500399999999999</v>
      </c>
      <c r="AD2375">
        <v>-1.0311287999999901</v>
      </c>
      <c r="AE2375">
        <v>-41.232999999999997</v>
      </c>
      <c r="AF2375">
        <v>-17.9851208607224</v>
      </c>
      <c r="AG2375">
        <v>-1.0311287999999901</v>
      </c>
      <c r="AH2375">
        <v>41.434716396794897</v>
      </c>
      <c r="AI2375">
        <v>91.307714928476997</v>
      </c>
      <c r="AJ2375">
        <v>113.463698915514</v>
      </c>
      <c r="AK2375">
        <v>45.181451081830097</v>
      </c>
      <c r="AL2375">
        <v>91.350874374950905</v>
      </c>
      <c r="AM2375">
        <v>90.249974934540901</v>
      </c>
      <c r="AN2375">
        <v>0.99999994414673898</v>
      </c>
    </row>
    <row r="2376" spans="1:40" x14ac:dyDescent="0.25">
      <c r="A2376" t="str">
        <f>"20190312161004666"</f>
        <v>20190312161004666</v>
      </c>
      <c r="B2376" t="str">
        <f>"1552378204658434"</f>
        <v>1552378204658434</v>
      </c>
      <c r="C2376" t="s">
        <v>40</v>
      </c>
      <c r="D2376">
        <v>5.0356800000000002</v>
      </c>
      <c r="E2376">
        <v>0.3384202</v>
      </c>
      <c r="F2376" t="s">
        <v>43</v>
      </c>
      <c r="G2376">
        <v>-507.44400000000002</v>
      </c>
      <c r="H2376">
        <v>-0.05</v>
      </c>
      <c r="I2376">
        <v>231.11770000000001</v>
      </c>
      <c r="J2376">
        <v>-486.25479999999999</v>
      </c>
      <c r="K2376">
        <v>1.1111040000000001</v>
      </c>
      <c r="L2376">
        <v>278.60289999999998</v>
      </c>
      <c r="M2376">
        <v>-0.73643230000000004</v>
      </c>
      <c r="N2376">
        <v>0</v>
      </c>
      <c r="O2376">
        <v>-0.67638609999999999</v>
      </c>
      <c r="P2376">
        <v>-0.73287219999999997</v>
      </c>
      <c r="Q2376">
        <v>-3.6699469999999998E-2</v>
      </c>
      <c r="R2376">
        <v>-0.67937619999999999</v>
      </c>
      <c r="S2376">
        <v>-1.3323670000000001</v>
      </c>
      <c r="T2376">
        <v>-7.2816130000000007E-2</v>
      </c>
      <c r="U2376">
        <v>-2.9814759999999998</v>
      </c>
      <c r="V2376">
        <v>-4.5632909999999997E-3</v>
      </c>
      <c r="W2376">
        <v>-2.368806E-2</v>
      </c>
      <c r="X2376">
        <v>0.99970899999999996</v>
      </c>
      <c r="Y2376">
        <v>-0.39645229999999998</v>
      </c>
      <c r="Z2376">
        <v>1.168656E-2</v>
      </c>
      <c r="AA2376">
        <v>0.91798100000000005</v>
      </c>
      <c r="AB2376">
        <v>9</v>
      </c>
      <c r="AC2376">
        <v>-21.1892</v>
      </c>
      <c r="AD2376">
        <v>-1.1611039999999999</v>
      </c>
      <c r="AE2376">
        <v>-47.485199999999899</v>
      </c>
      <c r="AF2376">
        <v>-20.629016116961999</v>
      </c>
      <c r="AG2376">
        <v>-1.1611039999999999</v>
      </c>
      <c r="AH2376">
        <v>47.7029957132874</v>
      </c>
      <c r="AI2376">
        <v>91.279819146689405</v>
      </c>
      <c r="AJ2376">
        <v>113.385922937213</v>
      </c>
      <c r="AK2376">
        <v>51.985385143082397</v>
      </c>
      <c r="AL2376">
        <v>91.357352801567401</v>
      </c>
      <c r="AM2376">
        <v>90.261531604823304</v>
      </c>
      <c r="AN2376">
        <v>1.00000001624615</v>
      </c>
    </row>
    <row r="2377" spans="1:40" x14ac:dyDescent="0.25">
      <c r="A2377" t="str">
        <f>"20190312161004685"</f>
        <v>20190312161004685</v>
      </c>
      <c r="B2377" t="str">
        <f>"1552378204677955"</f>
        <v>1552378204677955</v>
      </c>
      <c r="C2377" t="s">
        <v>40</v>
      </c>
      <c r="D2377">
        <v>8.3529509999999991</v>
      </c>
      <c r="E2377">
        <v>0.33867910000000001</v>
      </c>
      <c r="F2377" t="s">
        <v>43</v>
      </c>
      <c r="G2377">
        <v>-507.61779999999999</v>
      </c>
      <c r="H2377">
        <v>-0.05</v>
      </c>
      <c r="I2377">
        <v>230.41489999999999</v>
      </c>
      <c r="J2377">
        <v>-486.30959999999999</v>
      </c>
      <c r="K2377">
        <v>1.1111040000000001</v>
      </c>
      <c r="L2377">
        <v>278.54719999999998</v>
      </c>
      <c r="M2377">
        <v>-0.73419009999999996</v>
      </c>
      <c r="N2377">
        <v>0</v>
      </c>
      <c r="O2377">
        <v>-0.67881969999999903</v>
      </c>
      <c r="P2377">
        <v>-0.73061469999999995</v>
      </c>
      <c r="Q2377">
        <v>-3.6577980000000003E-2</v>
      </c>
      <c r="R2377">
        <v>-0.68181000000000003</v>
      </c>
      <c r="S2377">
        <v>-1.323151</v>
      </c>
      <c r="T2377">
        <v>-7.1914549999999994E-2</v>
      </c>
      <c r="U2377">
        <v>-2.9845890000000002</v>
      </c>
      <c r="V2377">
        <v>-4.5761730000000002E-3</v>
      </c>
      <c r="W2377">
        <v>-2.3585640000000001E-2</v>
      </c>
      <c r="X2377">
        <v>0.99971129999999997</v>
      </c>
      <c r="Y2377">
        <v>-0.39613680000000001</v>
      </c>
      <c r="Z2377">
        <v>1.161181E-2</v>
      </c>
      <c r="AA2377">
        <v>0.91811810000000005</v>
      </c>
      <c r="AB2377">
        <v>9</v>
      </c>
      <c r="AC2377">
        <v>-21.308199999999999</v>
      </c>
      <c r="AD2377">
        <v>-1.1611039999999999</v>
      </c>
      <c r="AE2377">
        <v>-48.132300000000001</v>
      </c>
      <c r="AF2377">
        <v>-20.865440814683801</v>
      </c>
      <c r="AG2377">
        <v>-1.1611039999999999</v>
      </c>
      <c r="AH2377">
        <v>48.297999045346003</v>
      </c>
      <c r="AI2377">
        <v>91.264256661870306</v>
      </c>
      <c r="AJ2377">
        <v>113.365049505165</v>
      </c>
      <c r="AK2377">
        <v>52.625198286316497</v>
      </c>
      <c r="AL2377">
        <v>91.351483012676397</v>
      </c>
      <c r="AM2377">
        <v>90.262269285087399</v>
      </c>
      <c r="AN2377">
        <v>0.999999953560611</v>
      </c>
    </row>
    <row r="2378" spans="1:40" x14ac:dyDescent="0.25">
      <c r="A2378" t="str">
        <f>"20190312161004696"</f>
        <v>20190312161004696</v>
      </c>
      <c r="B2378" t="str">
        <f>"1552378204687715"</f>
        <v>1552378204687715</v>
      </c>
      <c r="C2378" t="s">
        <v>40</v>
      </c>
      <c r="D2378">
        <v>5.003158</v>
      </c>
      <c r="E2378">
        <v>0.3387868</v>
      </c>
      <c r="F2378" t="s">
        <v>43</v>
      </c>
      <c r="G2378">
        <v>-507.54599999999999</v>
      </c>
      <c r="H2378">
        <v>-0.05</v>
      </c>
      <c r="I2378">
        <v>230.30449999999999</v>
      </c>
      <c r="J2378">
        <v>-486.33949999999999</v>
      </c>
      <c r="K2378">
        <v>1.1110990000000001</v>
      </c>
      <c r="L2378">
        <v>278.51659999999998</v>
      </c>
      <c r="M2378">
        <v>-0.73295710000000003</v>
      </c>
      <c r="N2378">
        <v>0</v>
      </c>
      <c r="O2378">
        <v>-0.68015099999999995</v>
      </c>
      <c r="P2378">
        <v>-0.72926349999999995</v>
      </c>
      <c r="Q2378">
        <v>-3.6352660000000002E-2</v>
      </c>
      <c r="R2378">
        <v>-0.68326669999999901</v>
      </c>
      <c r="S2378">
        <v>-1.3149409999999999</v>
      </c>
      <c r="T2378">
        <v>-7.1894650000000004E-2</v>
      </c>
      <c r="U2378">
        <v>-2.987152</v>
      </c>
      <c r="V2378">
        <v>-4.7501920000000003E-3</v>
      </c>
      <c r="W2378">
        <v>-2.337156E-2</v>
      </c>
      <c r="X2378">
        <v>0.99971560000000004</v>
      </c>
      <c r="Y2378">
        <v>-0.3968738</v>
      </c>
      <c r="Z2378">
        <v>1.164022E-2</v>
      </c>
      <c r="AA2378">
        <v>0.91779940000000004</v>
      </c>
      <c r="AB2378">
        <v>9</v>
      </c>
      <c r="AC2378">
        <v>-21.206499999999998</v>
      </c>
      <c r="AD2378">
        <v>-1.1610989999999899</v>
      </c>
      <c r="AE2378">
        <v>-48.2120999999999</v>
      </c>
      <c r="AF2378">
        <v>-20.905381629662401</v>
      </c>
      <c r="AG2378">
        <v>-1.1610989999999899</v>
      </c>
      <c r="AH2378">
        <v>48.315555569899402</v>
      </c>
      <c r="AI2378">
        <v>91.263483824435895</v>
      </c>
      <c r="AJ2378">
        <v>113.397376750364</v>
      </c>
      <c r="AK2378">
        <v>52.657155658064802</v>
      </c>
      <c r="AL2378">
        <v>91.339213637006296</v>
      </c>
      <c r="AM2378">
        <v>90.272241330693802</v>
      </c>
      <c r="AN2378">
        <v>1.0000000375121101</v>
      </c>
    </row>
    <row r="2379" spans="1:40" x14ac:dyDescent="0.25">
      <c r="A2379" t="str">
        <f>"20190312161004718"</f>
        <v>20190312161004718</v>
      </c>
      <c r="B2379" t="str">
        <f>"1552378204708211"</f>
        <v>1552378204708211</v>
      </c>
      <c r="C2379" t="s">
        <v>40</v>
      </c>
      <c r="D2379">
        <v>5.0142949999999997</v>
      </c>
      <c r="E2379">
        <v>0.33902179999999998</v>
      </c>
      <c r="F2379" t="s">
        <v>43</v>
      </c>
      <c r="G2379">
        <v>-507.77879999999999</v>
      </c>
      <c r="H2379">
        <v>-0.05</v>
      </c>
      <c r="I2379">
        <v>229.5796</v>
      </c>
      <c r="J2379">
        <v>-486.39710000000002</v>
      </c>
      <c r="K2379">
        <v>1.1110990000000001</v>
      </c>
      <c r="L2379">
        <v>278.45749999999998</v>
      </c>
      <c r="M2379">
        <v>-0.73057090000000002</v>
      </c>
      <c r="N2379">
        <v>0</v>
      </c>
      <c r="O2379">
        <v>-0.68271389999999998</v>
      </c>
      <c r="P2379">
        <v>-0.72652850000000002</v>
      </c>
      <c r="Q2379">
        <v>-3.634714E-2</v>
      </c>
      <c r="R2379">
        <v>-0.68617479999999997</v>
      </c>
      <c r="S2379">
        <v>-1.3095699999999999</v>
      </c>
      <c r="T2379">
        <v>-7.0922849999999996E-2</v>
      </c>
      <c r="U2379">
        <v>-2.9891969999999999</v>
      </c>
      <c r="V2379">
        <v>-5.2430979999999999E-3</v>
      </c>
      <c r="W2379">
        <v>-2.3389770000000001E-2</v>
      </c>
      <c r="X2379">
        <v>0.99971259999999995</v>
      </c>
      <c r="Y2379">
        <v>-0.39527269999999998</v>
      </c>
      <c r="Z2379">
        <v>1.156479E-2</v>
      </c>
      <c r="AA2379">
        <v>0.91849099999999995</v>
      </c>
      <c r="AB2379">
        <v>9</v>
      </c>
      <c r="AC2379">
        <v>-21.381699999999899</v>
      </c>
      <c r="AD2379">
        <v>-1.1610989999999899</v>
      </c>
      <c r="AE2379">
        <v>-48.877899999999897</v>
      </c>
      <c r="AF2379">
        <v>-21.102964323128401</v>
      </c>
      <c r="AG2379">
        <v>-1.1610989999999899</v>
      </c>
      <c r="AH2379">
        <v>48.9713866742402</v>
      </c>
      <c r="AI2379">
        <v>91.247366904161197</v>
      </c>
      <c r="AJ2379">
        <v>113.312388044084</v>
      </c>
      <c r="AK2379">
        <v>53.337416200158998</v>
      </c>
      <c r="AL2379">
        <v>91.340257426538102</v>
      </c>
      <c r="AM2379">
        <v>90.300490993806903</v>
      </c>
      <c r="AN2379">
        <v>0.99999992700802198</v>
      </c>
    </row>
    <row r="2380" spans="1:40" x14ac:dyDescent="0.25">
      <c r="A2380" t="str">
        <f>"20190312161004730"</f>
        <v>20190312161004730</v>
      </c>
      <c r="B2380" t="str">
        <f>"1552378204727731"</f>
        <v>1552378204727731</v>
      </c>
      <c r="C2380" t="s">
        <v>40</v>
      </c>
      <c r="D2380">
        <v>5.1123469999999998</v>
      </c>
      <c r="E2380">
        <v>0.33920319999999998</v>
      </c>
      <c r="F2380" t="s">
        <v>43</v>
      </c>
      <c r="G2380">
        <v>-507.57400000000001</v>
      </c>
      <c r="H2380">
        <v>-0.05</v>
      </c>
      <c r="I2380">
        <v>229.65440000000001</v>
      </c>
      <c r="J2380">
        <v>-486.42829999999998</v>
      </c>
      <c r="K2380">
        <v>1.1110960000000001</v>
      </c>
      <c r="L2380">
        <v>278.42529999999999</v>
      </c>
      <c r="M2380">
        <v>-0.729271</v>
      </c>
      <c r="N2380">
        <v>0</v>
      </c>
      <c r="O2380">
        <v>-0.68410230000000005</v>
      </c>
      <c r="P2380">
        <v>-0.72514409999999996</v>
      </c>
      <c r="Q2380">
        <v>-3.6156710000000002E-2</v>
      </c>
      <c r="R2380">
        <v>-0.68764729999999996</v>
      </c>
      <c r="S2380">
        <v>-1.298767</v>
      </c>
      <c r="T2380">
        <v>-7.1209670000000003E-2</v>
      </c>
      <c r="U2380">
        <v>-2.9930729999999999</v>
      </c>
      <c r="V2380">
        <v>-5.3632489999999996E-3</v>
      </c>
      <c r="W2380">
        <v>-2.3212719999999999E-2</v>
      </c>
      <c r="X2380">
        <v>0.99971620000000005</v>
      </c>
      <c r="Y2380">
        <v>-0.39674870000000001</v>
      </c>
      <c r="Z2380">
        <v>1.1637069999999999E-2</v>
      </c>
      <c r="AA2380">
        <v>0.91785349999999999</v>
      </c>
      <c r="AB2380">
        <v>9</v>
      </c>
      <c r="AC2380">
        <v>-21.145700000000001</v>
      </c>
      <c r="AD2380">
        <v>-1.1610959999999999</v>
      </c>
      <c r="AE2380">
        <v>-48.770899999999898</v>
      </c>
      <c r="AF2380">
        <v>-21.093088799210499</v>
      </c>
      <c r="AG2380">
        <v>-1.1610959999999999</v>
      </c>
      <c r="AH2380">
        <v>48.766059515949699</v>
      </c>
      <c r="AI2380">
        <v>91.251879686257098</v>
      </c>
      <c r="AJ2380">
        <v>113.390232374714</v>
      </c>
      <c r="AK2380">
        <v>53.145038335913803</v>
      </c>
      <c r="AL2380">
        <v>91.330110305780494</v>
      </c>
      <c r="AM2380">
        <v>90.307375817456304</v>
      </c>
      <c r="AN2380">
        <v>1.0000000376760301</v>
      </c>
    </row>
    <row r="2381" spans="1:40" x14ac:dyDescent="0.25">
      <c r="A2381" t="str">
        <f>"20190312161004742"</f>
        <v>20190312161004742</v>
      </c>
      <c r="B2381" t="str">
        <f>"1552378204738467"</f>
        <v>1552378204738467</v>
      </c>
      <c r="C2381" t="s">
        <v>40</v>
      </c>
      <c r="D2381">
        <v>5.1073199999999996</v>
      </c>
      <c r="E2381">
        <v>0.33920319999999998</v>
      </c>
      <c r="F2381" t="s">
        <v>41</v>
      </c>
      <c r="G2381">
        <v>-504.8648</v>
      </c>
      <c r="H2381">
        <v>7.9986689999999999E-2</v>
      </c>
      <c r="I2381">
        <v>235.76009999999999</v>
      </c>
      <c r="J2381">
        <v>-486.45850000000002</v>
      </c>
      <c r="K2381">
        <v>1.111094</v>
      </c>
      <c r="L2381">
        <v>278.39409999999998</v>
      </c>
      <c r="M2381">
        <v>-0.72801319999999903</v>
      </c>
      <c r="N2381">
        <v>0</v>
      </c>
      <c r="O2381">
        <v>-0.68544069999999901</v>
      </c>
      <c r="P2381">
        <v>-0.72378880000000001</v>
      </c>
      <c r="Q2381">
        <v>-3.6398380000000001E-2</v>
      </c>
      <c r="R2381">
        <v>-0.68906080000000003</v>
      </c>
      <c r="S2381">
        <v>-1.2939449999999999</v>
      </c>
      <c r="T2381">
        <v>-7.2367429999999996E-2</v>
      </c>
      <c r="U2381">
        <v>-2.994415</v>
      </c>
      <c r="V2381">
        <v>-5.485729E-3</v>
      </c>
      <c r="W2381">
        <v>-2.3467829999999999E-2</v>
      </c>
      <c r="X2381">
        <v>0.99970950000000003</v>
      </c>
      <c r="Y2381">
        <v>-0.3964588</v>
      </c>
      <c r="Z2381">
        <v>1.18668E-2</v>
      </c>
      <c r="AA2381">
        <v>0.91797580000000001</v>
      </c>
      <c r="AB2381">
        <v>9</v>
      </c>
      <c r="AC2381">
        <v>-18.406299999999899</v>
      </c>
      <c r="AD2381">
        <v>-1.0311073100000001</v>
      </c>
      <c r="AE2381">
        <v>-42.633999999999901</v>
      </c>
      <c r="AF2381">
        <v>-18.414155012186601</v>
      </c>
      <c r="AG2381">
        <v>-1.0311073100000001</v>
      </c>
      <c r="AH2381">
        <v>42.605679642494501</v>
      </c>
      <c r="AI2381">
        <v>91.272622084624004</v>
      </c>
      <c r="AJ2381">
        <v>113.373978356336</v>
      </c>
      <c r="AK2381">
        <v>46.426158842795203</v>
      </c>
      <c r="AL2381">
        <v>91.344731121293805</v>
      </c>
      <c r="AM2381">
        <v>90.314397297033594</v>
      </c>
      <c r="AN2381">
        <v>0.99999995832890898</v>
      </c>
    </row>
    <row r="2382" spans="1:40" x14ac:dyDescent="0.25">
      <c r="A2382" t="str">
        <f>"20190312161004763"</f>
        <v>20190312161004763</v>
      </c>
      <c r="B2382" t="str">
        <f>"1552378204757987"</f>
        <v>1552378204757987</v>
      </c>
      <c r="C2382" t="s">
        <v>40</v>
      </c>
      <c r="D2382">
        <v>5.0445729999999998</v>
      </c>
      <c r="E2382">
        <v>0.31616149999999998</v>
      </c>
      <c r="F2382" t="s">
        <v>41</v>
      </c>
      <c r="G2382">
        <v>-504.6755</v>
      </c>
      <c r="H2382">
        <v>7.9986619999999994E-2</v>
      </c>
      <c r="I2382">
        <v>236.00540000000001</v>
      </c>
      <c r="J2382">
        <v>-486.5154</v>
      </c>
      <c r="K2382">
        <v>1.111089</v>
      </c>
      <c r="L2382">
        <v>278.33479999999997</v>
      </c>
      <c r="M2382">
        <v>-0.72561719999999996</v>
      </c>
      <c r="N2382">
        <v>0</v>
      </c>
      <c r="O2382">
        <v>-0.68797739999999996</v>
      </c>
      <c r="P2382">
        <v>-0.72127059999999998</v>
      </c>
      <c r="Q2382">
        <v>-3.6399439999999998E-2</v>
      </c>
      <c r="R2382">
        <v>-0.69169630000000004</v>
      </c>
      <c r="S2382">
        <v>-1.2879940000000001</v>
      </c>
      <c r="T2382">
        <v>-7.2902320000000007E-2</v>
      </c>
      <c r="U2382">
        <v>-2.9970089999999998</v>
      </c>
      <c r="V2382">
        <v>-5.6435119999999998E-3</v>
      </c>
      <c r="W2382">
        <v>-2.349584E-2</v>
      </c>
      <c r="X2382">
        <v>0.99970800000000004</v>
      </c>
      <c r="Y2382">
        <v>-0.3950824</v>
      </c>
      <c r="Z2382">
        <v>1.203479E-2</v>
      </c>
      <c r="AA2382">
        <v>0.91856689999999996</v>
      </c>
      <c r="AB2382">
        <v>9</v>
      </c>
      <c r="AC2382">
        <v>-18.1601</v>
      </c>
      <c r="AD2382">
        <v>-1.0311023800000001</v>
      </c>
      <c r="AE2382">
        <v>-42.3293999999999</v>
      </c>
      <c r="AF2382">
        <v>-18.213594642942098</v>
      </c>
      <c r="AG2382">
        <v>-1.0311023800000001</v>
      </c>
      <c r="AH2382">
        <v>42.281290893232203</v>
      </c>
      <c r="AI2382">
        <v>91.283042347805093</v>
      </c>
      <c r="AJ2382">
        <v>113.305022544092</v>
      </c>
      <c r="AK2382">
        <v>46.048949624650199</v>
      </c>
      <c r="AL2382">
        <v>91.346336370083705</v>
      </c>
      <c r="AM2382">
        <v>90.323440429087</v>
      </c>
      <c r="AN2382">
        <v>0.99999999449449894</v>
      </c>
    </row>
    <row r="2383" spans="1:40" x14ac:dyDescent="0.25">
      <c r="A2383" t="str">
        <f>"20190312161004774"</f>
        <v>20190312161004774</v>
      </c>
      <c r="B2383" t="str">
        <f>"1552378204767747"</f>
        <v>1552378204767747</v>
      </c>
      <c r="C2383" t="s">
        <v>40</v>
      </c>
      <c r="D2383">
        <v>5.1153959999999996</v>
      </c>
      <c r="E2383">
        <v>0.31586989999999998</v>
      </c>
      <c r="F2383" t="s">
        <v>77</v>
      </c>
      <c r="G2383">
        <v>-511.45319999999998</v>
      </c>
      <c r="H2383">
        <v>3.053546E-2</v>
      </c>
      <c r="I2383">
        <v>210.4254</v>
      </c>
      <c r="J2383">
        <v>-486.54340000000002</v>
      </c>
      <c r="K2383">
        <v>1.1110850000000001</v>
      </c>
      <c r="L2383">
        <v>278.30549999999999</v>
      </c>
      <c r="M2383">
        <v>-0.72443239999999998</v>
      </c>
      <c r="N2383">
        <v>0</v>
      </c>
      <c r="O2383">
        <v>-0.68922519999999998</v>
      </c>
      <c r="P2383">
        <v>-0.72043570000000001</v>
      </c>
      <c r="Q2383">
        <v>-3.6324080000000002E-2</v>
      </c>
      <c r="R2383">
        <v>-0.69257019999999903</v>
      </c>
      <c r="S2383">
        <v>-1.1510009999999999</v>
      </c>
      <c r="T2383">
        <v>-4.9869780000000002E-2</v>
      </c>
      <c r="U2383">
        <v>-3.1343380000000001</v>
      </c>
      <c r="V2383">
        <v>-5.1324980000000001E-3</v>
      </c>
      <c r="W2383">
        <v>-2.3433760000000001E-2</v>
      </c>
      <c r="X2383">
        <v>0.99971220000000005</v>
      </c>
      <c r="Y2383">
        <v>-0.44248999999999999</v>
      </c>
      <c r="Z2383">
        <v>7.7698519999999998E-3</v>
      </c>
      <c r="AA2383">
        <v>0.89673979999999998</v>
      </c>
      <c r="AB2383">
        <v>9</v>
      </c>
      <c r="AC2383">
        <v>-24.909799999999901</v>
      </c>
      <c r="AD2383">
        <v>-1.08054954</v>
      </c>
      <c r="AE2383">
        <v>-67.880099999999999</v>
      </c>
      <c r="AF2383">
        <v>-32.001597104835596</v>
      </c>
      <c r="AG2383">
        <v>-1.08054954</v>
      </c>
      <c r="AH2383">
        <v>64.821057552258495</v>
      </c>
      <c r="AI2383">
        <v>90.856358478609096</v>
      </c>
      <c r="AJ2383">
        <v>116.27515609091699</v>
      </c>
      <c r="AK2383">
        <v>72.298266277704201</v>
      </c>
      <c r="AL2383">
        <v>91.342778483572104</v>
      </c>
      <c r="AM2383">
        <v>90.294152547229004</v>
      </c>
      <c r="AN2383">
        <v>0.99999998323614803</v>
      </c>
    </row>
    <row r="2384" spans="1:40" x14ac:dyDescent="0.25">
      <c r="A2384" t="str">
        <f>"20190312161004787"</f>
        <v>20190312161004787</v>
      </c>
      <c r="B2384" t="str">
        <f>"1552378204778483"</f>
        <v>1552378204778483</v>
      </c>
      <c r="C2384" t="s">
        <v>40</v>
      </c>
      <c r="D2384">
        <v>5.0797540000000003</v>
      </c>
      <c r="E2384">
        <v>0.3151526</v>
      </c>
      <c r="F2384" t="s">
        <v>77</v>
      </c>
      <c r="G2384">
        <v>-511.33330000000001</v>
      </c>
      <c r="H2384">
        <v>-6.8451170000000004E-3</v>
      </c>
      <c r="I2384">
        <v>210.4254</v>
      </c>
      <c r="J2384">
        <v>-486.57490000000001</v>
      </c>
      <c r="K2384">
        <v>1.111078</v>
      </c>
      <c r="L2384">
        <v>278.2724</v>
      </c>
      <c r="M2384">
        <v>-0.72309499999999904</v>
      </c>
      <c r="N2384">
        <v>0</v>
      </c>
      <c r="O2384">
        <v>-0.69062819999999903</v>
      </c>
      <c r="P2384">
        <v>-0.71898619999999902</v>
      </c>
      <c r="Q2384">
        <v>-3.6473319999999997E-2</v>
      </c>
      <c r="R2384">
        <v>-0.69406650000000003</v>
      </c>
      <c r="S2384">
        <v>-1.145721</v>
      </c>
      <c r="T2384">
        <v>-5.1664469999999997E-2</v>
      </c>
      <c r="U2384">
        <v>-3.1372070000000001</v>
      </c>
      <c r="V2384">
        <v>-5.277871E-3</v>
      </c>
      <c r="W2384">
        <v>-2.3599950000000001E-2</v>
      </c>
      <c r="X2384">
        <v>0.99970760000000003</v>
      </c>
      <c r="Y2384">
        <v>-0.44234859999999998</v>
      </c>
      <c r="Z2384">
        <v>8.0747630000000004E-3</v>
      </c>
      <c r="AA2384">
        <v>0.89680680000000002</v>
      </c>
      <c r="AB2384">
        <v>9</v>
      </c>
      <c r="AC2384">
        <v>-24.758399999999899</v>
      </c>
      <c r="AD2384">
        <v>-1.1179231169999999</v>
      </c>
      <c r="AE2384">
        <v>-67.846999999999994</v>
      </c>
      <c r="AF2384">
        <v>-31.955978931269101</v>
      </c>
      <c r="AG2384">
        <v>-1.1179231169999999</v>
      </c>
      <c r="AH2384">
        <v>64.749599102339701</v>
      </c>
      <c r="AI2384">
        <v>90.887007013826604</v>
      </c>
      <c r="AJ2384">
        <v>116.267799159227</v>
      </c>
      <c r="AK2384">
        <v>72.214575574913894</v>
      </c>
      <c r="AL2384">
        <v>91.352303013797894</v>
      </c>
      <c r="AM2384">
        <v>90.302485370366497</v>
      </c>
      <c r="AN2384">
        <v>1.0000000495300201</v>
      </c>
    </row>
    <row r="2385" spans="1:40" x14ac:dyDescent="0.25">
      <c r="A2385" t="str">
        <f>"20190312161004798"</f>
        <v>20190312161004798</v>
      </c>
      <c r="B2385" t="str">
        <f>"1552378204788243"</f>
        <v>1552378204788243</v>
      </c>
      <c r="C2385" t="s">
        <v>40</v>
      </c>
      <c r="D2385">
        <v>5.0619069999999997</v>
      </c>
      <c r="E2385">
        <v>0.31463960000000002</v>
      </c>
      <c r="F2385" t="s">
        <v>77</v>
      </c>
      <c r="G2385">
        <v>-511.07729999999998</v>
      </c>
      <c r="H2385">
        <v>8.431727E-2</v>
      </c>
      <c r="I2385">
        <v>210.4254</v>
      </c>
      <c r="J2385">
        <v>-486.60680000000002</v>
      </c>
      <c r="K2385">
        <v>1.111073</v>
      </c>
      <c r="L2385">
        <v>278.23869999999999</v>
      </c>
      <c r="M2385">
        <v>-0.72173269999999901</v>
      </c>
      <c r="N2385">
        <v>0</v>
      </c>
      <c r="O2385">
        <v>-0.69205229999999995</v>
      </c>
      <c r="P2385">
        <v>-0.71794880000000005</v>
      </c>
      <c r="Q2385">
        <v>-3.6520339999999998E-2</v>
      </c>
      <c r="R2385">
        <v>-0.69513760000000002</v>
      </c>
      <c r="S2385">
        <v>-1.135345</v>
      </c>
      <c r="T2385">
        <v>-4.7573209999999998E-2</v>
      </c>
      <c r="U2385">
        <v>-3.1437379999999999</v>
      </c>
      <c r="V2385">
        <v>-4.7997359999999998E-3</v>
      </c>
      <c r="W2385">
        <v>-2.366422E-2</v>
      </c>
      <c r="X2385">
        <v>0.99970840000000005</v>
      </c>
      <c r="Y2385">
        <v>-0.4437951</v>
      </c>
      <c r="Z2385">
        <v>7.4457050000000004E-3</v>
      </c>
      <c r="AA2385">
        <v>0.89609740000000004</v>
      </c>
      <c r="AB2385">
        <v>9</v>
      </c>
      <c r="AC2385">
        <v>-24.470499999999902</v>
      </c>
      <c r="AD2385">
        <v>-1.0267557300000001</v>
      </c>
      <c r="AE2385">
        <v>-67.813299999999998</v>
      </c>
      <c r="AF2385">
        <v>-32.004368064249</v>
      </c>
      <c r="AG2385">
        <v>-1.0267557300000001</v>
      </c>
      <c r="AH2385">
        <v>64.583756770729295</v>
      </c>
      <c r="AI2385">
        <v>90.816118752144106</v>
      </c>
      <c r="AJ2385">
        <v>116.36063514733</v>
      </c>
      <c r="AK2385">
        <v>72.086028057743206</v>
      </c>
      <c r="AL2385">
        <v>91.355986564974103</v>
      </c>
      <c r="AM2385">
        <v>90.275082716691102</v>
      </c>
      <c r="AN2385">
        <v>0.99999995890221804</v>
      </c>
    </row>
    <row r="2386" spans="1:40" x14ac:dyDescent="0.25">
      <c r="A2386" t="str">
        <f>"20190312161004812"</f>
        <v>20190312161004812</v>
      </c>
      <c r="B2386" t="str">
        <f>"1552378204807765"</f>
        <v>1552378204807765</v>
      </c>
      <c r="C2386" t="s">
        <v>40</v>
      </c>
      <c r="D2386">
        <v>5.0662099999999999</v>
      </c>
      <c r="E2386">
        <v>0.31462079999999998</v>
      </c>
      <c r="F2386" t="s">
        <v>77</v>
      </c>
      <c r="G2386">
        <v>-511.05869999999999</v>
      </c>
      <c r="H2386">
        <v>0.1024019</v>
      </c>
      <c r="I2386">
        <v>209.99119999999999</v>
      </c>
      <c r="J2386">
        <v>-486.63990000000001</v>
      </c>
      <c r="K2386">
        <v>1.1110690000000001</v>
      </c>
      <c r="L2386">
        <v>278.20370000000003</v>
      </c>
      <c r="M2386">
        <v>-0.7203155</v>
      </c>
      <c r="N2386">
        <v>0</v>
      </c>
      <c r="O2386">
        <v>-0.69352780000000003</v>
      </c>
      <c r="P2386">
        <v>-0.71660290000000004</v>
      </c>
      <c r="Q2386">
        <v>-3.6380780000000001E-2</v>
      </c>
      <c r="R2386">
        <v>-0.69653219999999905</v>
      </c>
      <c r="S2386">
        <v>-1.1279600000000001</v>
      </c>
      <c r="T2386">
        <v>-4.6526669999999999E-2</v>
      </c>
      <c r="U2386">
        <v>-3.1482239999999999</v>
      </c>
      <c r="V2386">
        <v>-4.6934439999999997E-3</v>
      </c>
      <c r="W2386">
        <v>-2.3544209999999999E-2</v>
      </c>
      <c r="X2386">
        <v>0.99971180000000004</v>
      </c>
      <c r="Y2386">
        <v>-0.44423069999999998</v>
      </c>
      <c r="Z2386">
        <v>7.3007569999999997E-3</v>
      </c>
      <c r="AA2386">
        <v>0.89588269999999903</v>
      </c>
      <c r="AB2386">
        <v>9</v>
      </c>
      <c r="AC2386">
        <v>-24.418799999999901</v>
      </c>
      <c r="AD2386">
        <v>-1.0086671</v>
      </c>
      <c r="AE2386">
        <v>-68.212500000000006</v>
      </c>
      <c r="AF2386">
        <v>-32.195817270889897</v>
      </c>
      <c r="AG2386">
        <v>-1.0086671</v>
      </c>
      <c r="AH2386">
        <v>64.8892754832805</v>
      </c>
      <c r="AI2386">
        <v>90.797772531338694</v>
      </c>
      <c r="AJ2386">
        <v>116.38901939959101</v>
      </c>
      <c r="AK2386">
        <v>72.444503806736193</v>
      </c>
      <c r="AL2386">
        <v>91.349108498535799</v>
      </c>
      <c r="AM2386">
        <v>90.268990079822302</v>
      </c>
      <c r="AN2386">
        <v>1.00000002065017</v>
      </c>
    </row>
    <row r="2387" spans="1:40" x14ac:dyDescent="0.25">
      <c r="A2387" t="str">
        <f>"20190312161004825"</f>
        <v>20190312161004825</v>
      </c>
      <c r="B2387" t="str">
        <f>"1552378204818500"</f>
        <v>1552378204818500</v>
      </c>
      <c r="C2387" t="s">
        <v>40</v>
      </c>
      <c r="D2387">
        <v>5.0949080000000002</v>
      </c>
      <c r="E2387">
        <v>0.31450020000000001</v>
      </c>
      <c r="F2387" t="s">
        <v>77</v>
      </c>
      <c r="G2387">
        <v>-511.05869999999999</v>
      </c>
      <c r="H2387">
        <v>0.1087999</v>
      </c>
      <c r="I2387">
        <v>209.60509999999999</v>
      </c>
      <c r="J2387">
        <v>-486.67489999999998</v>
      </c>
      <c r="K2387">
        <v>1.111065</v>
      </c>
      <c r="L2387">
        <v>278.16649999999998</v>
      </c>
      <c r="M2387">
        <v>-0.71880889999999997</v>
      </c>
      <c r="N2387">
        <v>0</v>
      </c>
      <c r="O2387">
        <v>-0.69508959999999997</v>
      </c>
      <c r="P2387">
        <v>-0.71533409999999997</v>
      </c>
      <c r="Q2387">
        <v>-3.6264129999999999E-2</v>
      </c>
      <c r="R2387">
        <v>-0.69784119999999905</v>
      </c>
      <c r="S2387">
        <v>-1.1215820000000001</v>
      </c>
      <c r="T2387">
        <v>-4.6032190000000001E-2</v>
      </c>
      <c r="U2387">
        <v>-3.1507869999999998</v>
      </c>
      <c r="V2387">
        <v>-4.3478479999999996E-3</v>
      </c>
      <c r="W2387">
        <v>-2.344891E-2</v>
      </c>
      <c r="X2387">
        <v>0.99971560000000004</v>
      </c>
      <c r="Y2387">
        <v>-0.44412629999999997</v>
      </c>
      <c r="Z2387">
        <v>7.2495550000000004E-3</v>
      </c>
      <c r="AA2387">
        <v>0.89593480000000003</v>
      </c>
      <c r="AB2387">
        <v>9</v>
      </c>
      <c r="AC2387">
        <v>-24.383800000000001</v>
      </c>
      <c r="AD2387">
        <v>-1.0022651</v>
      </c>
      <c r="AE2387">
        <v>-68.561399999999907</v>
      </c>
      <c r="AF2387">
        <v>-32.330140653380603</v>
      </c>
      <c r="AG2387">
        <v>-1.0022651</v>
      </c>
      <c r="AH2387">
        <v>65.176596862864599</v>
      </c>
      <c r="AI2387">
        <v>90.789255322466403</v>
      </c>
      <c r="AJ2387">
        <v>116.38320954560599</v>
      </c>
      <c r="AK2387">
        <v>72.761468571094795</v>
      </c>
      <c r="AL2387">
        <v>91.343646706484805</v>
      </c>
      <c r="AM2387">
        <v>90.249182637302894</v>
      </c>
      <c r="AN2387">
        <v>1.0000000180228801</v>
      </c>
    </row>
    <row r="2388" spans="1:40" x14ac:dyDescent="0.25">
      <c r="A2388" t="str">
        <f>"20190312161004838"</f>
        <v>20190312161004838</v>
      </c>
      <c r="B2388" t="str">
        <f>"1552378204828259"</f>
        <v>1552378204828259</v>
      </c>
      <c r="C2388" t="s">
        <v>40</v>
      </c>
      <c r="D2388">
        <v>3.8388749999999998</v>
      </c>
      <c r="E2388">
        <v>0.31416509999999997</v>
      </c>
      <c r="F2388" t="s">
        <v>77</v>
      </c>
      <c r="G2388">
        <v>-511.05869999999999</v>
      </c>
      <c r="H2388">
        <v>0.1082077</v>
      </c>
      <c r="I2388">
        <v>209.21459999999999</v>
      </c>
      <c r="J2388">
        <v>-486.7072</v>
      </c>
      <c r="K2388">
        <v>1.111059</v>
      </c>
      <c r="L2388">
        <v>278.13200000000001</v>
      </c>
      <c r="M2388">
        <v>-0.71741149999999998</v>
      </c>
      <c r="N2388">
        <v>0</v>
      </c>
      <c r="O2388">
        <v>-0.69653199999999904</v>
      </c>
      <c r="P2388">
        <v>-0.71451249999999999</v>
      </c>
      <c r="Q2388">
        <v>-3.604595E-2</v>
      </c>
      <c r="R2388">
        <v>-0.69869380000000003</v>
      </c>
      <c r="S2388">
        <v>-1.115173</v>
      </c>
      <c r="T2388">
        <v>-4.5861840000000001E-2</v>
      </c>
      <c r="U2388">
        <v>-3.1534420000000001</v>
      </c>
      <c r="V2388">
        <v>-3.5250749999999999E-3</v>
      </c>
      <c r="W2388">
        <v>-2.325259E-2</v>
      </c>
      <c r="X2388">
        <v>0.99972340000000004</v>
      </c>
      <c r="Y2388">
        <v>-0.44418259999999998</v>
      </c>
      <c r="Z2388">
        <v>7.2458940000000001E-3</v>
      </c>
      <c r="AA2388">
        <v>0.89590700000000001</v>
      </c>
      <c r="AB2388">
        <v>9</v>
      </c>
      <c r="AC2388">
        <v>-24.351499999999898</v>
      </c>
      <c r="AD2388">
        <v>-1.0028512999999999</v>
      </c>
      <c r="AE2388">
        <v>-68.917400000000001</v>
      </c>
      <c r="AF2388">
        <v>-32.477085022499303</v>
      </c>
      <c r="AG2388">
        <v>-1.0028512999999999</v>
      </c>
      <c r="AH2388">
        <v>65.466263600458404</v>
      </c>
      <c r="AI2388">
        <v>90.786207505320405</v>
      </c>
      <c r="AJ2388">
        <v>116.385498071261</v>
      </c>
      <c r="AK2388">
        <v>73.086239690472993</v>
      </c>
      <c r="AL2388">
        <v>91.332395364979703</v>
      </c>
      <c r="AM2388">
        <v>90.202026963590399</v>
      </c>
      <c r="AN2388">
        <v>0.99999999280151097</v>
      </c>
    </row>
    <row r="2389" spans="1:40" x14ac:dyDescent="0.25">
      <c r="A2389" t="str">
        <f>"20190312161004854"</f>
        <v>20190312161004854</v>
      </c>
      <c r="B2389" t="str">
        <f>"1552378204848758"</f>
        <v>1552378204848758</v>
      </c>
      <c r="C2389" t="s">
        <v>40</v>
      </c>
      <c r="D2389">
        <v>5.1019620000000003</v>
      </c>
      <c r="E2389">
        <v>0.31452950000000002</v>
      </c>
      <c r="F2389" t="s">
        <v>77</v>
      </c>
      <c r="G2389">
        <v>-511.05869999999999</v>
      </c>
      <c r="H2389">
        <v>0.161124499999999</v>
      </c>
      <c r="I2389">
        <v>208.85220000000001</v>
      </c>
      <c r="J2389">
        <v>-486.74700000000001</v>
      </c>
      <c r="K2389">
        <v>1.111046</v>
      </c>
      <c r="L2389">
        <v>278.08929999999998</v>
      </c>
      <c r="M2389">
        <v>-0.71567969999999903</v>
      </c>
      <c r="N2389">
        <v>0</v>
      </c>
      <c r="O2389">
        <v>-0.69831160000000003</v>
      </c>
      <c r="P2389">
        <v>-0.71325590000000005</v>
      </c>
      <c r="Q2389">
        <v>-3.6171549999999997E-2</v>
      </c>
      <c r="R2389">
        <v>-0.69996959999999997</v>
      </c>
      <c r="S2389">
        <v>-1.1095889999999999</v>
      </c>
      <c r="T2389">
        <v>-4.328108E-2</v>
      </c>
      <c r="U2389">
        <v>-3.1567379999999998</v>
      </c>
      <c r="V2389">
        <v>-2.833842E-3</v>
      </c>
      <c r="W2389">
        <v>-2.3408930000000001E-2</v>
      </c>
      <c r="X2389">
        <v>0.99972190000000005</v>
      </c>
      <c r="Y2389">
        <v>-0.44366070000000002</v>
      </c>
      <c r="Z2389">
        <v>6.8667540000000001E-3</v>
      </c>
      <c r="AA2389">
        <v>0.89616849999999904</v>
      </c>
      <c r="AB2389">
        <v>9</v>
      </c>
      <c r="AC2389">
        <v>-24.311699999999998</v>
      </c>
      <c r="AD2389">
        <v>-0.94992149999999997</v>
      </c>
      <c r="AE2389">
        <v>-69.237099999999899</v>
      </c>
      <c r="AF2389">
        <v>-32.571649616147802</v>
      </c>
      <c r="AG2389">
        <v>-0.94992149999999997</v>
      </c>
      <c r="AH2389">
        <v>65.742818363659396</v>
      </c>
      <c r="AI2389">
        <v>90.741775804945405</v>
      </c>
      <c r="AJ2389">
        <v>116.35567453903199</v>
      </c>
      <c r="AK2389">
        <v>73.375287910647302</v>
      </c>
      <c r="AL2389">
        <v>91.341355492955302</v>
      </c>
      <c r="AM2389">
        <v>90.162411918282999</v>
      </c>
      <c r="AN2389">
        <v>0.99999994300191597</v>
      </c>
    </row>
    <row r="2390" spans="1:40" x14ac:dyDescent="0.25">
      <c r="A2390" t="str">
        <f>"20190312161004878"</f>
        <v>20190312161004878</v>
      </c>
      <c r="B2390" t="str">
        <f>"1552378204868275"</f>
        <v>1552378204868275</v>
      </c>
      <c r="C2390" t="s">
        <v>40</v>
      </c>
      <c r="D2390">
        <v>5.0541410000000004</v>
      </c>
      <c r="E2390">
        <v>0.31475829999999999</v>
      </c>
      <c r="F2390" t="s">
        <v>77</v>
      </c>
      <c r="G2390">
        <v>-511.05869999999999</v>
      </c>
      <c r="H2390">
        <v>0.140783299999999</v>
      </c>
      <c r="I2390">
        <v>208.71260000000001</v>
      </c>
      <c r="J2390">
        <v>-486.80709999999999</v>
      </c>
      <c r="K2390">
        <v>1.111038</v>
      </c>
      <c r="L2390">
        <v>278.02429999999998</v>
      </c>
      <c r="M2390">
        <v>-0.71304650000000003</v>
      </c>
      <c r="N2390">
        <v>0</v>
      </c>
      <c r="O2390">
        <v>-0.70100150000000006</v>
      </c>
      <c r="P2390">
        <v>-0.71085339999999997</v>
      </c>
      <c r="Q2390">
        <v>-3.5861990000000003E-2</v>
      </c>
      <c r="R2390">
        <v>-0.70242539999999998</v>
      </c>
      <c r="S2390">
        <v>-1.1061399999999999</v>
      </c>
      <c r="T2390">
        <v>-4.4142130000000002E-2</v>
      </c>
      <c r="U2390">
        <v>-3.1564939999999999</v>
      </c>
      <c r="V2390">
        <v>-2.5082669999999998E-3</v>
      </c>
      <c r="W2390">
        <v>-2.315474E-2</v>
      </c>
      <c r="X2390">
        <v>0.99972870000000003</v>
      </c>
      <c r="Y2390">
        <v>-0.44113570000000002</v>
      </c>
      <c r="Z2390">
        <v>7.0638130000000004E-3</v>
      </c>
      <c r="AA2390">
        <v>0.89741269999999995</v>
      </c>
      <c r="AB2390">
        <v>9</v>
      </c>
      <c r="AC2390">
        <v>-24.2516</v>
      </c>
      <c r="AD2390">
        <v>-0.97025469999999903</v>
      </c>
      <c r="AE2390">
        <v>-69.311699999999902</v>
      </c>
      <c r="AF2390">
        <v>-32.419017105432602</v>
      </c>
      <c r="AG2390">
        <v>-0.97025469999999903</v>
      </c>
      <c r="AH2390">
        <v>65.873947004416905</v>
      </c>
      <c r="AI2390">
        <v>90.757135895689004</v>
      </c>
      <c r="AJ2390">
        <v>116.203512771685</v>
      </c>
      <c r="AK2390">
        <v>73.425547040563103</v>
      </c>
      <c r="AL2390">
        <v>91.326787515192706</v>
      </c>
      <c r="AM2390">
        <v>90.143751811310096</v>
      </c>
      <c r="AN2390">
        <v>0.99999995349574899</v>
      </c>
    </row>
    <row r="2391" spans="1:40" x14ac:dyDescent="0.25">
      <c r="A2391" t="str">
        <f>"20190312161004897"</f>
        <v>20190312161004897</v>
      </c>
      <c r="B2391" t="str">
        <f>"1552378204887796"</f>
        <v>1552378204887796</v>
      </c>
      <c r="C2391" t="s">
        <v>40</v>
      </c>
      <c r="D2391">
        <v>5.0577019999999999</v>
      </c>
      <c r="E2391">
        <v>0.31511879999999998</v>
      </c>
      <c r="F2391" t="s">
        <v>77</v>
      </c>
      <c r="G2391">
        <v>-511.05869999999999</v>
      </c>
      <c r="H2391">
        <v>0.14830119999999999</v>
      </c>
      <c r="I2391">
        <v>208.15719999999999</v>
      </c>
      <c r="J2391">
        <v>-486.85789999999997</v>
      </c>
      <c r="K2391">
        <v>1.1110310000000001</v>
      </c>
      <c r="L2391">
        <v>277.96910000000003</v>
      </c>
      <c r="M2391">
        <v>-0.71080710000000003</v>
      </c>
      <c r="N2391">
        <v>0</v>
      </c>
      <c r="O2391">
        <v>-0.70327320000000004</v>
      </c>
      <c r="P2391">
        <v>-0.70816140000000005</v>
      </c>
      <c r="Q2391">
        <v>-3.5117530000000001E-2</v>
      </c>
      <c r="R2391">
        <v>-0.7051769</v>
      </c>
      <c r="S2391">
        <v>-1.096527</v>
      </c>
      <c r="T2391">
        <v>-4.3526769999999999E-2</v>
      </c>
      <c r="U2391">
        <v>-3.1589969999999998</v>
      </c>
      <c r="V2391">
        <v>-3.1704630000000001E-3</v>
      </c>
      <c r="W2391">
        <v>-2.2467830000000001E-2</v>
      </c>
      <c r="X2391">
        <v>0.99974260000000004</v>
      </c>
      <c r="Y2391">
        <v>-0.44092949999999997</v>
      </c>
      <c r="Z2391">
        <v>7.0044879999999997E-3</v>
      </c>
      <c r="AA2391">
        <v>0.89751449999999999</v>
      </c>
      <c r="AB2391">
        <v>9</v>
      </c>
      <c r="AC2391">
        <v>-24.200800000000001</v>
      </c>
      <c r="AD2391">
        <v>-0.96272979999999997</v>
      </c>
      <c r="AE2391">
        <v>-69.811899999999994</v>
      </c>
      <c r="AF2391">
        <v>-32.6000952906655</v>
      </c>
      <c r="AG2391">
        <v>-0.96272979999999997</v>
      </c>
      <c r="AH2391">
        <v>66.292991061690003</v>
      </c>
      <c r="AI2391">
        <v>90.746628429011196</v>
      </c>
      <c r="AJ2391">
        <v>116.18601232014301</v>
      </c>
      <c r="AK2391">
        <v>73.881348969368403</v>
      </c>
      <c r="AL2391">
        <v>91.287420086781694</v>
      </c>
      <c r="AM2391">
        <v>90.181700309699707</v>
      </c>
      <c r="AN2391">
        <v>1.00000006073764</v>
      </c>
    </row>
    <row r="2392" spans="1:40" x14ac:dyDescent="0.25">
      <c r="A2392" t="str">
        <f>"20190312161004909"</f>
        <v>20190312161004909</v>
      </c>
      <c r="B2392" t="str">
        <f>"1552378204898533"</f>
        <v>1552378204898533</v>
      </c>
      <c r="C2392" t="s">
        <v>40</v>
      </c>
      <c r="D2392">
        <v>5.0684189999999996</v>
      </c>
      <c r="E2392">
        <v>0.3152991</v>
      </c>
      <c r="F2392" t="s">
        <v>77</v>
      </c>
      <c r="G2392">
        <v>-511.05869999999999</v>
      </c>
      <c r="H2392">
        <v>0.12680139999999901</v>
      </c>
      <c r="I2392">
        <v>207.53059999999999</v>
      </c>
      <c r="J2392">
        <v>-486.88709999999998</v>
      </c>
      <c r="K2392">
        <v>1.111022</v>
      </c>
      <c r="L2392">
        <v>277.93720000000002</v>
      </c>
      <c r="M2392">
        <v>-0.70951189999999997</v>
      </c>
      <c r="N2392">
        <v>0</v>
      </c>
      <c r="O2392">
        <v>-0.70458050000000005</v>
      </c>
      <c r="P2392">
        <v>-0.70658489999999996</v>
      </c>
      <c r="Q2392">
        <v>-3.5219840000000002E-2</v>
      </c>
      <c r="R2392">
        <v>-0.70675149999999998</v>
      </c>
      <c r="S2392">
        <v>-1.0861510000000001</v>
      </c>
      <c r="T2392">
        <v>-4.4170019999999997E-2</v>
      </c>
      <c r="U2392">
        <v>-3.1613159999999998</v>
      </c>
      <c r="V2392">
        <v>-3.5594509999999999E-3</v>
      </c>
      <c r="W2392">
        <v>-2.2606890000000001E-2</v>
      </c>
      <c r="X2392">
        <v>0.99973809999999996</v>
      </c>
      <c r="Y2392">
        <v>-0.44211349999999999</v>
      </c>
      <c r="Z2392">
        <v>7.1252549999999996E-3</v>
      </c>
      <c r="AA2392">
        <v>0.89693080000000003</v>
      </c>
      <c r="AB2392">
        <v>9</v>
      </c>
      <c r="AC2392">
        <v>-24.171600000000002</v>
      </c>
      <c r="AD2392">
        <v>-0.9842206</v>
      </c>
      <c r="AE2392">
        <v>-70.406599999999997</v>
      </c>
      <c r="AF2392">
        <v>-32.920348422636799</v>
      </c>
      <c r="AG2392">
        <v>-0.9842206</v>
      </c>
      <c r="AH2392">
        <v>66.750800424924705</v>
      </c>
      <c r="AI2392">
        <v>90.757630890082694</v>
      </c>
      <c r="AJ2392">
        <v>116.251723671592</v>
      </c>
      <c r="AK2392">
        <v>74.433778540561804</v>
      </c>
      <c r="AL2392">
        <v>91.295389734034302</v>
      </c>
      <c r="AM2392">
        <v>90.203994083997401</v>
      </c>
      <c r="AN2392">
        <v>1.0000000048792499</v>
      </c>
    </row>
    <row r="2393" spans="1:40" x14ac:dyDescent="0.25">
      <c r="A2393" t="str">
        <f>"20190312161004930"</f>
        <v>20190312161004930</v>
      </c>
      <c r="B2393" t="str">
        <f>"1552378204927811"</f>
        <v>1552378204927811</v>
      </c>
      <c r="C2393" t="s">
        <v>40</v>
      </c>
      <c r="D2393">
        <v>5.0431920000000003</v>
      </c>
      <c r="E2393">
        <v>0.31584950000000001</v>
      </c>
      <c r="F2393" t="s">
        <v>77</v>
      </c>
      <c r="G2393">
        <v>-511.05869999999999</v>
      </c>
      <c r="H2393">
        <v>0.121337899999999</v>
      </c>
      <c r="I2393">
        <v>207.16409999999999</v>
      </c>
      <c r="J2393">
        <v>-486.94310000000002</v>
      </c>
      <c r="K2393">
        <v>1.111008</v>
      </c>
      <c r="L2393">
        <v>277.87569999999999</v>
      </c>
      <c r="M2393">
        <v>-0.70701630000000004</v>
      </c>
      <c r="N2393">
        <v>0</v>
      </c>
      <c r="O2393">
        <v>-0.70708590000000004</v>
      </c>
      <c r="P2393">
        <v>-0.70379329999999996</v>
      </c>
      <c r="Q2393">
        <v>-3.6187150000000001E-2</v>
      </c>
      <c r="R2393">
        <v>-0.70948269999999902</v>
      </c>
      <c r="S2393">
        <v>-1.0801700000000001</v>
      </c>
      <c r="T2393">
        <v>-4.422367E-2</v>
      </c>
      <c r="U2393">
        <v>-3.1626590000000001</v>
      </c>
      <c r="V2393">
        <v>-3.9283310000000002E-3</v>
      </c>
      <c r="W2393">
        <v>-2.365066E-2</v>
      </c>
      <c r="X2393">
        <v>0.99971259999999995</v>
      </c>
      <c r="Y2393">
        <v>-0.44057629999999998</v>
      </c>
      <c r="Z2393">
        <v>7.1846219999999999E-3</v>
      </c>
      <c r="AA2393">
        <v>0.8976864</v>
      </c>
      <c r="AB2393">
        <v>9</v>
      </c>
      <c r="AC2393">
        <v>-24.115599999999901</v>
      </c>
      <c r="AD2393">
        <v>-0.989670099999999</v>
      </c>
      <c r="AE2393">
        <v>-70.711600000000004</v>
      </c>
      <c r="AF2393">
        <v>-32.939267275390101</v>
      </c>
      <c r="AG2393">
        <v>-0.989670099999999</v>
      </c>
      <c r="AH2393">
        <v>67.042813417630001</v>
      </c>
      <c r="AI2393">
        <v>90.759068410926105</v>
      </c>
      <c r="AJ2393">
        <v>116.165666491518</v>
      </c>
      <c r="AK2393">
        <v>74.704173956329797</v>
      </c>
      <c r="AL2393">
        <v>91.355209314805407</v>
      </c>
      <c r="AM2393">
        <v>90.225140333728405</v>
      </c>
      <c r="AN2393">
        <v>1.0000000340508199</v>
      </c>
    </row>
    <row r="2394" spans="1:40" x14ac:dyDescent="0.25">
      <c r="A2394" t="str">
        <f>"20190312161004942"</f>
        <v>20190312161004942</v>
      </c>
      <c r="B2394" t="str">
        <f>"1552378204938548"</f>
        <v>1552378204938548</v>
      </c>
      <c r="C2394" t="s">
        <v>40</v>
      </c>
      <c r="D2394">
        <v>5.0343839999999904</v>
      </c>
      <c r="E2394">
        <v>0.31607200000000002</v>
      </c>
      <c r="F2394" t="s">
        <v>77</v>
      </c>
      <c r="G2394">
        <v>-511.92520000000002</v>
      </c>
      <c r="H2394">
        <v>5.0728919999999997E-2</v>
      </c>
      <c r="I2394">
        <v>204.06649999999999</v>
      </c>
      <c r="J2394">
        <v>-486.97160000000002</v>
      </c>
      <c r="K2394">
        <v>1.1110009999999999</v>
      </c>
      <c r="L2394">
        <v>277.8442</v>
      </c>
      <c r="M2394">
        <v>-0.70573529999999995</v>
      </c>
      <c r="N2394">
        <v>0</v>
      </c>
      <c r="O2394">
        <v>-0.70836529999999998</v>
      </c>
      <c r="P2394">
        <v>-0.70266010000000001</v>
      </c>
      <c r="Q2394">
        <v>-3.6244690000000003E-2</v>
      </c>
      <c r="R2394">
        <v>-0.71060199999999996</v>
      </c>
      <c r="S2394">
        <v>-1.070862</v>
      </c>
      <c r="T2394">
        <v>-4.5446159999999999E-2</v>
      </c>
      <c r="U2394">
        <v>-3.163818</v>
      </c>
      <c r="V2394">
        <v>-3.7114240000000001E-3</v>
      </c>
      <c r="W2394">
        <v>-2.3748410000000001E-2</v>
      </c>
      <c r="X2394">
        <v>0.99971109999999996</v>
      </c>
      <c r="Y2394">
        <v>-0.44141910000000001</v>
      </c>
      <c r="Z2394">
        <v>7.404094E-3</v>
      </c>
      <c r="AA2394">
        <v>0.89727049999999997</v>
      </c>
      <c r="AB2394">
        <v>9</v>
      </c>
      <c r="AC2394">
        <v>-24.953599999999899</v>
      </c>
      <c r="AD2394">
        <v>-1.0602720800000001</v>
      </c>
      <c r="AE2394">
        <v>-73.777699999999996</v>
      </c>
      <c r="AF2394">
        <v>-34.387577650861097</v>
      </c>
      <c r="AG2394">
        <v>-1.0602720800000001</v>
      </c>
      <c r="AH2394">
        <v>69.864711726761001</v>
      </c>
      <c r="AI2394">
        <v>90.780096701611299</v>
      </c>
      <c r="AJ2394">
        <v>116.20652116859399</v>
      </c>
      <c r="AK2394">
        <v>77.876232691631003</v>
      </c>
      <c r="AL2394">
        <v>91.360811566230694</v>
      </c>
      <c r="AM2394">
        <v>90.212709405985095</v>
      </c>
      <c r="AN2394">
        <v>1.0000000225544201</v>
      </c>
    </row>
    <row r="2395" spans="1:40" x14ac:dyDescent="0.25">
      <c r="A2395" t="str">
        <f>"20190312161004954"</f>
        <v>20190312161004954</v>
      </c>
      <c r="B2395" t="str">
        <f>"1552378204948307"</f>
        <v>1552378204948307</v>
      </c>
      <c r="C2395" t="s">
        <v>40</v>
      </c>
      <c r="D2395">
        <v>5.0578349999999999</v>
      </c>
      <c r="E2395">
        <v>0.31633430000000001</v>
      </c>
      <c r="F2395" t="s">
        <v>77</v>
      </c>
      <c r="G2395">
        <v>-511.92520000000002</v>
      </c>
      <c r="H2395">
        <v>5.1201339999999998E-2</v>
      </c>
      <c r="I2395">
        <v>203.84780000000001</v>
      </c>
      <c r="J2395">
        <v>-487.00009999999997</v>
      </c>
      <c r="K2395">
        <v>1.110994</v>
      </c>
      <c r="L2395">
        <v>277.81270000000001</v>
      </c>
      <c r="M2395">
        <v>-0.704453</v>
      </c>
      <c r="N2395">
        <v>0</v>
      </c>
      <c r="O2395">
        <v>-0.70964119999999997</v>
      </c>
      <c r="P2395">
        <v>-0.70135780000000003</v>
      </c>
      <c r="Q2395">
        <v>-3.6182440000000003E-2</v>
      </c>
      <c r="R2395">
        <v>-0.71189029999999998</v>
      </c>
      <c r="S2395">
        <v>-1.067078</v>
      </c>
      <c r="T2395">
        <v>-4.5316700000000001E-2</v>
      </c>
      <c r="U2395">
        <v>-3.1642459999999999</v>
      </c>
      <c r="V2395">
        <v>-3.7347840000000001E-3</v>
      </c>
      <c r="W2395">
        <v>-2.3728829999999999E-2</v>
      </c>
      <c r="X2395">
        <v>0.99971149999999998</v>
      </c>
      <c r="Y2395">
        <v>-0.44079580000000002</v>
      </c>
      <c r="Z2395">
        <v>7.4096450000000003E-3</v>
      </c>
      <c r="AA2395">
        <v>0.89757690000000001</v>
      </c>
      <c r="AB2395">
        <v>9</v>
      </c>
      <c r="AC2395">
        <v>-24.9251</v>
      </c>
      <c r="AD2395">
        <v>-1.0597926600000001</v>
      </c>
      <c r="AE2395">
        <v>-73.9649</v>
      </c>
      <c r="AF2395">
        <v>-34.413246686869897</v>
      </c>
      <c r="AG2395">
        <v>-1.0597926600000001</v>
      </c>
      <c r="AH2395">
        <v>70.039630171668605</v>
      </c>
      <c r="AI2395">
        <v>90.778062647471103</v>
      </c>
      <c r="AJ2395">
        <v>116.166716028972</v>
      </c>
      <c r="AK2395">
        <v>78.044503346473206</v>
      </c>
      <c r="AL2395">
        <v>91.359689368673202</v>
      </c>
      <c r="AM2395">
        <v>90.214048117966797</v>
      </c>
      <c r="AN2395">
        <v>1.00000004460847</v>
      </c>
    </row>
    <row r="2396" spans="1:40" x14ac:dyDescent="0.25">
      <c r="A2396" t="str">
        <f>"20190312161004965"</f>
        <v>20190312161004965</v>
      </c>
      <c r="B2396" t="str">
        <f>"1552378204958067"</f>
        <v>1552378204958067</v>
      </c>
      <c r="C2396" t="s">
        <v>40</v>
      </c>
      <c r="D2396">
        <v>5.0533039999999998</v>
      </c>
      <c r="E2396">
        <v>0.31649820000000001</v>
      </c>
      <c r="F2396" t="s">
        <v>77</v>
      </c>
      <c r="G2396">
        <v>-511.92520000000002</v>
      </c>
      <c r="H2396">
        <v>3.3865869999999999E-2</v>
      </c>
      <c r="I2396">
        <v>203.58799999999999</v>
      </c>
      <c r="J2396">
        <v>-487.02910000000003</v>
      </c>
      <c r="K2396">
        <v>1.1109880000000001</v>
      </c>
      <c r="L2396">
        <v>277.78039999999999</v>
      </c>
      <c r="M2396">
        <v>-0.70313840000000005</v>
      </c>
      <c r="N2396">
        <v>0</v>
      </c>
      <c r="O2396">
        <v>-0.71094469999999899</v>
      </c>
      <c r="P2396">
        <v>-0.69987200000000005</v>
      </c>
      <c r="Q2396">
        <v>-3.602988E-2</v>
      </c>
      <c r="R2396">
        <v>-0.71335919999999997</v>
      </c>
      <c r="S2396">
        <v>-1.0627139999999999</v>
      </c>
      <c r="T2396">
        <v>-4.5921799999999999E-2</v>
      </c>
      <c r="U2396">
        <v>-3.1646420000000002</v>
      </c>
      <c r="V2396">
        <v>-3.9745739999999998E-3</v>
      </c>
      <c r="W2396">
        <v>-2.362092E-2</v>
      </c>
      <c r="X2396">
        <v>0.99971310000000002</v>
      </c>
      <c r="Y2396">
        <v>-0.44028</v>
      </c>
      <c r="Z2396">
        <v>7.5359099999999998E-3</v>
      </c>
      <c r="AA2396">
        <v>0.89782890000000004</v>
      </c>
      <c r="AB2396">
        <v>9</v>
      </c>
      <c r="AC2396">
        <v>-24.896099999999901</v>
      </c>
      <c r="AD2396">
        <v>-1.07712212999999</v>
      </c>
      <c r="AE2396">
        <v>-74.192399999999907</v>
      </c>
      <c r="AF2396">
        <v>-34.463900983303901</v>
      </c>
      <c r="AG2396">
        <v>-1.07712212999999</v>
      </c>
      <c r="AH2396">
        <v>70.244201305236899</v>
      </c>
      <c r="AI2396">
        <v>90.788702454173603</v>
      </c>
      <c r="AJ2396">
        <v>116.133946805413</v>
      </c>
      <c r="AK2396">
        <v>78.250677186082896</v>
      </c>
      <c r="AL2396">
        <v>91.353504889759606</v>
      </c>
      <c r="AM2396">
        <v>90.227790468821894</v>
      </c>
      <c r="AN2396">
        <v>1.00000001370586</v>
      </c>
    </row>
    <row r="2397" spans="1:40" x14ac:dyDescent="0.25">
      <c r="A2397" t="str">
        <f>"20190312161004975"</f>
        <v>20190312161004975</v>
      </c>
      <c r="B2397" t="str">
        <f>"1552378204967828"</f>
        <v>1552378204967828</v>
      </c>
      <c r="C2397" t="s">
        <v>40</v>
      </c>
      <c r="D2397">
        <v>5.060276</v>
      </c>
      <c r="E2397">
        <v>0.3167585</v>
      </c>
      <c r="F2397" t="s">
        <v>77</v>
      </c>
      <c r="G2397">
        <v>-511.92520000000002</v>
      </c>
      <c r="H2397">
        <v>3.0432339999999999E-2</v>
      </c>
      <c r="I2397">
        <v>203.249</v>
      </c>
      <c r="J2397">
        <v>-487.0564</v>
      </c>
      <c r="K2397">
        <v>1.1109819999999999</v>
      </c>
      <c r="L2397">
        <v>277.74990000000003</v>
      </c>
      <c r="M2397">
        <v>-0.70189840000000003</v>
      </c>
      <c r="N2397">
        <v>0</v>
      </c>
      <c r="O2397">
        <v>-0.71216950000000001</v>
      </c>
      <c r="P2397">
        <v>-0.69893809999999901</v>
      </c>
      <c r="Q2397">
        <v>-3.61736E-2</v>
      </c>
      <c r="R2397">
        <v>-0.71426679999999998</v>
      </c>
      <c r="S2397">
        <v>-1.0574650000000001</v>
      </c>
      <c r="T2397">
        <v>-4.5893910000000003E-2</v>
      </c>
      <c r="U2397">
        <v>-3.1657099999999998</v>
      </c>
      <c r="V2397">
        <v>-3.534087E-3</v>
      </c>
      <c r="W2397">
        <v>-2.3807140000000001E-2</v>
      </c>
      <c r="X2397">
        <v>0.99971030000000005</v>
      </c>
      <c r="Y2397">
        <v>-0.44014500000000001</v>
      </c>
      <c r="Z2397">
        <v>7.5543679999999997E-3</v>
      </c>
      <c r="AA2397">
        <v>0.897895</v>
      </c>
      <c r="AB2397">
        <v>9</v>
      </c>
      <c r="AC2397">
        <v>-24.8688</v>
      </c>
      <c r="AD2397">
        <v>-1.08054966</v>
      </c>
      <c r="AE2397">
        <v>-74.500900000000001</v>
      </c>
      <c r="AF2397">
        <v>-34.577367036736597</v>
      </c>
      <c r="AG2397">
        <v>-1.08054966</v>
      </c>
      <c r="AH2397">
        <v>70.504698359245495</v>
      </c>
      <c r="AI2397">
        <v>90.788352316275905</v>
      </c>
      <c r="AJ2397">
        <v>116.12455252860801</v>
      </c>
      <c r="AK2397">
        <v>78.534542651556393</v>
      </c>
      <c r="AL2397">
        <v>91.364177561361302</v>
      </c>
      <c r="AM2397">
        <v>90.202546103645204</v>
      </c>
      <c r="AN2397">
        <v>0.99999997680599595</v>
      </c>
    </row>
    <row r="2398" spans="1:40" x14ac:dyDescent="0.25">
      <c r="A2398" t="str">
        <f>"20190312161004990"</f>
        <v>20190312161004990</v>
      </c>
      <c r="B2398" t="str">
        <f>"1552378204988323"</f>
        <v>1552378204988323</v>
      </c>
      <c r="C2398" t="s">
        <v>40</v>
      </c>
      <c r="D2398">
        <v>5.0744009999999999</v>
      </c>
      <c r="E2398">
        <v>0.31728000000000001</v>
      </c>
      <c r="F2398" t="s">
        <v>77</v>
      </c>
      <c r="G2398">
        <v>-511.92520000000002</v>
      </c>
      <c r="H2398">
        <v>-6.1357019999999998E-3</v>
      </c>
      <c r="I2398">
        <v>203.07689999999999</v>
      </c>
      <c r="J2398">
        <v>-487.09129999999999</v>
      </c>
      <c r="K2398">
        <v>1.110976</v>
      </c>
      <c r="L2398">
        <v>277.71080000000001</v>
      </c>
      <c r="M2398">
        <v>-0.70030380000000003</v>
      </c>
      <c r="N2398">
        <v>0</v>
      </c>
      <c r="O2398">
        <v>-0.71373869999999995</v>
      </c>
      <c r="P2398">
        <v>-0.69730509999999901</v>
      </c>
      <c r="Q2398">
        <v>-3.6304959999999997E-2</v>
      </c>
      <c r="R2398">
        <v>-0.71585469999999995</v>
      </c>
      <c r="S2398">
        <v>-1.0543819999999999</v>
      </c>
      <c r="T2398">
        <v>-4.736054E-2</v>
      </c>
      <c r="U2398">
        <v>-3.1659549999999999</v>
      </c>
      <c r="V2398">
        <v>-3.575543E-3</v>
      </c>
      <c r="W2398">
        <v>-2.3995269999999999E-2</v>
      </c>
      <c r="X2398">
        <v>0.99970570000000003</v>
      </c>
      <c r="Y2398">
        <v>-0.43894369999999999</v>
      </c>
      <c r="Z2398">
        <v>7.8319979999999997E-3</v>
      </c>
      <c r="AA2398">
        <v>0.89848050000000002</v>
      </c>
      <c r="AB2398">
        <v>9</v>
      </c>
      <c r="AC2398">
        <v>-24.8339</v>
      </c>
      <c r="AD2398">
        <v>-1.1171117020000001</v>
      </c>
      <c r="AE2398">
        <v>-74.633899999999997</v>
      </c>
      <c r="AF2398">
        <v>-34.537141461374297</v>
      </c>
      <c r="AG2398">
        <v>-1.1171117020000001</v>
      </c>
      <c r="AH2398">
        <v>70.651485164373796</v>
      </c>
      <c r="AI2398">
        <v>90.813841076981703</v>
      </c>
      <c r="AJ2398">
        <v>116.05114904367601</v>
      </c>
      <c r="AK2398">
        <v>78.649185849628793</v>
      </c>
      <c r="AL2398">
        <v>91.374959634587</v>
      </c>
      <c r="AM2398">
        <v>90.204922958660404</v>
      </c>
      <c r="AN2398">
        <v>1.0000000220512999</v>
      </c>
    </row>
    <row r="2399" spans="1:40" x14ac:dyDescent="0.25">
      <c r="A2399" t="str">
        <f>"20190312161005008"</f>
        <v>20190312161005008</v>
      </c>
      <c r="B2399" t="str">
        <f>"1552378204998083"</f>
        <v>1552378204998083</v>
      </c>
      <c r="C2399" t="s">
        <v>40</v>
      </c>
      <c r="D2399">
        <v>5.0903749999999999</v>
      </c>
      <c r="E2399">
        <v>0.31757960000000002</v>
      </c>
      <c r="F2399" t="s">
        <v>77</v>
      </c>
      <c r="G2399">
        <v>-511.92520000000002</v>
      </c>
      <c r="H2399">
        <v>-3.5775130000000002E-2</v>
      </c>
      <c r="I2399">
        <v>202.84129999999999</v>
      </c>
      <c r="J2399">
        <v>-487.13819999999998</v>
      </c>
      <c r="K2399">
        <v>1.110968</v>
      </c>
      <c r="L2399">
        <v>277.65800000000002</v>
      </c>
      <c r="M2399">
        <v>-0.69815439999999995</v>
      </c>
      <c r="N2399">
        <v>0</v>
      </c>
      <c r="O2399">
        <v>-0.71584289999999995</v>
      </c>
      <c r="P2399">
        <v>-0.69505969999999995</v>
      </c>
      <c r="Q2399">
        <v>-3.6689619999999999E-2</v>
      </c>
      <c r="R2399">
        <v>-0.71801599999999999</v>
      </c>
      <c r="S2399">
        <v>-1.0499879999999999</v>
      </c>
      <c r="T2399">
        <v>-4.8482419999999998E-2</v>
      </c>
      <c r="U2399">
        <v>-3.1654969999999998</v>
      </c>
      <c r="V2399">
        <v>-3.6846660000000001E-3</v>
      </c>
      <c r="W2399">
        <v>-2.4458270000000001E-2</v>
      </c>
      <c r="X2399">
        <v>0.99969399999999997</v>
      </c>
      <c r="Y2399">
        <v>-0.43732500000000002</v>
      </c>
      <c r="Z2399">
        <v>8.0692950000000006E-3</v>
      </c>
      <c r="AA2399">
        <v>0.89926729999999999</v>
      </c>
      <c r="AB2399">
        <v>9</v>
      </c>
      <c r="AC2399">
        <v>-24.786999999999999</v>
      </c>
      <c r="AD2399">
        <v>-1.1467431299999999</v>
      </c>
      <c r="AE2399">
        <v>-74.816699999999997</v>
      </c>
      <c r="AF2399">
        <v>-34.485286343196002</v>
      </c>
      <c r="AG2399">
        <v>-1.1467431299999999</v>
      </c>
      <c r="AH2399">
        <v>70.852450832763594</v>
      </c>
      <c r="AI2399">
        <v>90.833751513865806</v>
      </c>
      <c r="AJ2399">
        <v>115.95310123494799</v>
      </c>
      <c r="AK2399">
        <v>78.807485577117703</v>
      </c>
      <c r="AL2399">
        <v>91.401495485550896</v>
      </c>
      <c r="AM2399">
        <v>90.211179475634495</v>
      </c>
      <c r="AN2399">
        <v>0.99999993868546</v>
      </c>
    </row>
    <row r="2400" spans="1:40" x14ac:dyDescent="0.25">
      <c r="A2400" t="str">
        <f>"20190312161005020"</f>
        <v>20190312161005020</v>
      </c>
      <c r="B2400" t="str">
        <f>"1552378205018580"</f>
        <v>1552378205018580</v>
      </c>
      <c r="C2400" t="s">
        <v>40</v>
      </c>
      <c r="D2400">
        <v>5.0738589999999997</v>
      </c>
      <c r="E2400">
        <v>0.3181157</v>
      </c>
      <c r="F2400" t="s">
        <v>43</v>
      </c>
      <c r="G2400">
        <v>-511.31529999999998</v>
      </c>
      <c r="H2400">
        <v>-0.05</v>
      </c>
      <c r="I2400">
        <v>204.1705</v>
      </c>
      <c r="J2400">
        <v>-487.16730000000001</v>
      </c>
      <c r="K2400">
        <v>1.1109629999999999</v>
      </c>
      <c r="L2400">
        <v>277.625</v>
      </c>
      <c r="M2400">
        <v>-0.69681070000000001</v>
      </c>
      <c r="N2400">
        <v>0</v>
      </c>
      <c r="O2400">
        <v>-0.71715169999999995</v>
      </c>
      <c r="P2400">
        <v>-0.69382390000000005</v>
      </c>
      <c r="Q2400">
        <v>-3.637162E-2</v>
      </c>
      <c r="R2400">
        <v>-0.71922600000000003</v>
      </c>
      <c r="S2400">
        <v>-1.0419309999999999</v>
      </c>
      <c r="T2400">
        <v>-5.0032729999999997E-2</v>
      </c>
      <c r="U2400">
        <v>-3.166992</v>
      </c>
      <c r="V2400">
        <v>-3.5397750000000002E-3</v>
      </c>
      <c r="W2400">
        <v>-2.418851E-2</v>
      </c>
      <c r="X2400">
        <v>0.99970110000000001</v>
      </c>
      <c r="Y2400">
        <v>-0.4378281</v>
      </c>
      <c r="Z2400">
        <v>8.3512429999999995E-3</v>
      </c>
      <c r="AA2400">
        <v>0.89901989999999998</v>
      </c>
      <c r="AB2400">
        <v>9</v>
      </c>
      <c r="AC2400">
        <v>-24.1479999999999</v>
      </c>
      <c r="AD2400">
        <v>-1.160963</v>
      </c>
      <c r="AE2400">
        <v>-73.454499999999996</v>
      </c>
      <c r="AF2400">
        <v>-33.860979936021799</v>
      </c>
      <c r="AG2400">
        <v>-1.160963</v>
      </c>
      <c r="AH2400">
        <v>69.494091498062105</v>
      </c>
      <c r="AI2400">
        <v>90.860405666044002</v>
      </c>
      <c r="AJ2400">
        <v>115.97764824243799</v>
      </c>
      <c r="AK2400">
        <v>77.313275383054801</v>
      </c>
      <c r="AL2400">
        <v>91.386034782898605</v>
      </c>
      <c r="AM2400">
        <v>90.202873959364496</v>
      </c>
      <c r="AN2400">
        <v>0.99999995168213895</v>
      </c>
    </row>
    <row r="2401" spans="1:40" x14ac:dyDescent="0.25">
      <c r="A2401" t="str">
        <f>"20190312161005034"</f>
        <v>20190312161005034</v>
      </c>
      <c r="B2401" t="str">
        <f>"1552378205028341"</f>
        <v>1552378205028341</v>
      </c>
      <c r="C2401" t="s">
        <v>40</v>
      </c>
      <c r="D2401">
        <v>5.1000759999999996</v>
      </c>
      <c r="E2401">
        <v>0.31837500000000002</v>
      </c>
      <c r="F2401" t="s">
        <v>43</v>
      </c>
      <c r="G2401">
        <v>-510.76799999999997</v>
      </c>
      <c r="H2401">
        <v>-0.05</v>
      </c>
      <c r="I2401">
        <v>205.75450000000001</v>
      </c>
      <c r="J2401">
        <v>-487.20080000000002</v>
      </c>
      <c r="K2401">
        <v>1.1109579999999999</v>
      </c>
      <c r="L2401">
        <v>277.58690000000001</v>
      </c>
      <c r="M2401">
        <v>-0.69525689999999996</v>
      </c>
      <c r="N2401">
        <v>0</v>
      </c>
      <c r="O2401">
        <v>-0.71865889999999999</v>
      </c>
      <c r="P2401">
        <v>-0.69220329999999997</v>
      </c>
      <c r="Q2401">
        <v>-3.656148E-2</v>
      </c>
      <c r="R2401">
        <v>-0.72077609999999903</v>
      </c>
      <c r="S2401">
        <v>-1.0395509999999999</v>
      </c>
      <c r="T2401">
        <v>-5.1137450000000001E-2</v>
      </c>
      <c r="U2401">
        <v>-3.1657099999999998</v>
      </c>
      <c r="V2401">
        <v>-3.6188850000000001E-3</v>
      </c>
      <c r="W2401">
        <v>-2.4432840000000001E-2</v>
      </c>
      <c r="X2401">
        <v>0.99969490000000005</v>
      </c>
      <c r="Y2401">
        <v>-0.43638389999999999</v>
      </c>
      <c r="Z2401">
        <v>8.5782689999999995E-3</v>
      </c>
      <c r="AA2401">
        <v>0.89971970000000001</v>
      </c>
      <c r="AB2401">
        <v>9</v>
      </c>
      <c r="AC2401">
        <v>-23.5672</v>
      </c>
      <c r="AD2401">
        <v>-1.1609579999999999</v>
      </c>
      <c r="AE2401">
        <v>-71.832400000000007</v>
      </c>
      <c r="AF2401">
        <v>-32.999841382781902</v>
      </c>
      <c r="AG2401">
        <v>-1.1609579999999999</v>
      </c>
      <c r="AH2401">
        <v>67.997223330187296</v>
      </c>
      <c r="AI2401">
        <v>90.880010042626296</v>
      </c>
      <c r="AJ2401">
        <v>115.887837081127</v>
      </c>
      <c r="AK2401">
        <v>75.590738423314093</v>
      </c>
      <c r="AL2401">
        <v>91.400037965230993</v>
      </c>
      <c r="AM2401">
        <v>90.207409211887494</v>
      </c>
      <c r="AN2401">
        <v>0.99999997654255901</v>
      </c>
    </row>
    <row r="2402" spans="1:40" x14ac:dyDescent="0.25">
      <c r="A2402" t="str">
        <f>"20190312161005045"</f>
        <v>20190312161005045</v>
      </c>
      <c r="B2402" t="str">
        <f>"1552378205038099"</f>
        <v>1552378205038099</v>
      </c>
      <c r="C2402" t="s">
        <v>40</v>
      </c>
      <c r="D2402">
        <v>5.0624459999999996</v>
      </c>
      <c r="E2402">
        <v>0.3186059</v>
      </c>
      <c r="F2402" t="s">
        <v>43</v>
      </c>
      <c r="G2402">
        <v>-510.2878</v>
      </c>
      <c r="H2402">
        <v>-0.05</v>
      </c>
      <c r="I2402">
        <v>206.86699999999999</v>
      </c>
      <c r="J2402">
        <v>-487.22770000000003</v>
      </c>
      <c r="K2402">
        <v>1.110954</v>
      </c>
      <c r="L2402">
        <v>277.55619999999999</v>
      </c>
      <c r="M2402">
        <v>-0.69400759999999995</v>
      </c>
      <c r="N2402">
        <v>0</v>
      </c>
      <c r="O2402">
        <v>-0.71986619999999901</v>
      </c>
      <c r="P2402">
        <v>-0.69073609999999996</v>
      </c>
      <c r="Q2402">
        <v>-3.673473E-2</v>
      </c>
      <c r="R2402">
        <v>-0.72217349999999902</v>
      </c>
      <c r="S2402">
        <v>-1.0337829999999999</v>
      </c>
      <c r="T2402">
        <v>-5.1985259999999998E-2</v>
      </c>
      <c r="U2402">
        <v>-3.166687</v>
      </c>
      <c r="V2402">
        <v>-3.9077390000000004E-3</v>
      </c>
      <c r="W2402">
        <v>-2.464941E-2</v>
      </c>
      <c r="X2402">
        <v>0.99968849999999998</v>
      </c>
      <c r="Y2402">
        <v>-0.43638349999999998</v>
      </c>
      <c r="Z2402">
        <v>8.7460479999999993E-3</v>
      </c>
      <c r="AA2402">
        <v>0.89971829999999997</v>
      </c>
      <c r="AB2402">
        <v>9</v>
      </c>
      <c r="AC2402">
        <v>-23.060099999999899</v>
      </c>
      <c r="AD2402">
        <v>-1.160954</v>
      </c>
      <c r="AE2402">
        <v>-70.6891999999999</v>
      </c>
      <c r="AF2402">
        <v>-32.4531153905533</v>
      </c>
      <c r="AG2402">
        <v>-1.160954</v>
      </c>
      <c r="AH2402">
        <v>66.879233451961795</v>
      </c>
      <c r="AI2402">
        <v>90.894737135200899</v>
      </c>
      <c r="AJ2402">
        <v>115.884957676395</v>
      </c>
      <c r="AK2402">
        <v>74.346381081157503</v>
      </c>
      <c r="AL2402">
        <v>91.412450245333702</v>
      </c>
      <c r="AM2402">
        <v>90.223965577048901</v>
      </c>
      <c r="AN2402">
        <v>0.99999998043484395</v>
      </c>
    </row>
    <row r="2403" spans="1:40" x14ac:dyDescent="0.25">
      <c r="A2403" t="str">
        <f>"20190312161005057"</f>
        <v>20190312161005057</v>
      </c>
      <c r="B2403" t="str">
        <f>"1552378205047859"</f>
        <v>1552378205047859</v>
      </c>
      <c r="C2403" t="s">
        <v>40</v>
      </c>
      <c r="D2403">
        <v>5.0595850000000002</v>
      </c>
      <c r="E2403">
        <v>0.31878810000000002</v>
      </c>
      <c r="F2403" t="s">
        <v>43</v>
      </c>
      <c r="G2403">
        <v>-509.65300000000002</v>
      </c>
      <c r="H2403">
        <v>-0.05</v>
      </c>
      <c r="I2403">
        <v>208.48929999999999</v>
      </c>
      <c r="J2403">
        <v>-487.25959999999998</v>
      </c>
      <c r="K2403">
        <v>1.1109439999999999</v>
      </c>
      <c r="L2403">
        <v>277.51960000000003</v>
      </c>
      <c r="M2403">
        <v>-0.69251819999999997</v>
      </c>
      <c r="N2403">
        <v>0</v>
      </c>
      <c r="O2403">
        <v>-0.7213001</v>
      </c>
      <c r="P2403">
        <v>-0.68904330000000003</v>
      </c>
      <c r="Q2403">
        <v>-3.7009599999999997E-2</v>
      </c>
      <c r="R2403">
        <v>-0.7237749</v>
      </c>
      <c r="S2403">
        <v>-1.0285029999999999</v>
      </c>
      <c r="T2403">
        <v>-5.324566E-2</v>
      </c>
      <c r="U2403">
        <v>-3.1676639999999998</v>
      </c>
      <c r="V2403">
        <v>-4.1708370000000002E-3</v>
      </c>
      <c r="W2403">
        <v>-2.4971819999999999E-2</v>
      </c>
      <c r="X2403">
        <v>0.9996794</v>
      </c>
      <c r="Y2403">
        <v>-0.4359613</v>
      </c>
      <c r="Z2403">
        <v>8.9910730000000005E-3</v>
      </c>
      <c r="AA2403">
        <v>0.89992050000000001</v>
      </c>
      <c r="AB2403">
        <v>9</v>
      </c>
      <c r="AC2403">
        <v>-22.3934</v>
      </c>
      <c r="AD2403">
        <v>-1.160944</v>
      </c>
      <c r="AE2403">
        <v>-69.030299999999997</v>
      </c>
      <c r="AF2403">
        <v>-31.646569179230902</v>
      </c>
      <c r="AG2403">
        <v>-1.160944</v>
      </c>
      <c r="AH2403">
        <v>65.287416806618396</v>
      </c>
      <c r="AI2403">
        <v>90.916728801911205</v>
      </c>
      <c r="AJ2403">
        <v>115.860717590257</v>
      </c>
      <c r="AK2403">
        <v>72.5623864344889</v>
      </c>
      <c r="AL2403">
        <v>91.430928716659693</v>
      </c>
      <c r="AM2403">
        <v>90.2390466088995</v>
      </c>
      <c r="AN2403">
        <v>0.99999994522987501</v>
      </c>
    </row>
    <row r="2404" spans="1:40" x14ac:dyDescent="0.25">
      <c r="A2404" t="str">
        <f>"20190312161005077"</f>
        <v>20190312161005077</v>
      </c>
      <c r="B2404" t="str">
        <f>"1552378205068355"</f>
        <v>1552378205068355</v>
      </c>
      <c r="C2404" t="s">
        <v>40</v>
      </c>
      <c r="D2404">
        <v>5.117413</v>
      </c>
      <c r="E2404">
        <v>0.32896239999999999</v>
      </c>
      <c r="F2404" t="s">
        <v>43</v>
      </c>
      <c r="G2404">
        <v>-509.15370000000001</v>
      </c>
      <c r="H2404">
        <v>-0.05</v>
      </c>
      <c r="I2404">
        <v>209.6362</v>
      </c>
      <c r="J2404">
        <v>-487.30579999999998</v>
      </c>
      <c r="K2404">
        <v>1.1109370000000001</v>
      </c>
      <c r="L2404">
        <v>277.46640000000002</v>
      </c>
      <c r="M2404">
        <v>-0.690349199999999</v>
      </c>
      <c r="N2404">
        <v>0</v>
      </c>
      <c r="O2404">
        <v>-0.72337689999999999</v>
      </c>
      <c r="P2404">
        <v>-0.68633509999999998</v>
      </c>
      <c r="Q2404">
        <v>-3.6976139999999998E-2</v>
      </c>
      <c r="R2404">
        <v>-0.72634480000000001</v>
      </c>
      <c r="S2404">
        <v>-1.022125</v>
      </c>
      <c r="T2404">
        <v>-5.4198499999999997E-2</v>
      </c>
      <c r="U2404">
        <v>-3.1691280000000002</v>
      </c>
      <c r="V2404">
        <v>-4.9034959999999898E-3</v>
      </c>
      <c r="W2404">
        <v>-2.5005240000000001E-2</v>
      </c>
      <c r="X2404">
        <v>0.99967530000000004</v>
      </c>
      <c r="Y2404">
        <v>-0.43502069999999998</v>
      </c>
      <c r="Z2404">
        <v>9.2015789999999997E-3</v>
      </c>
      <c r="AA2404">
        <v>0.90037350000000005</v>
      </c>
      <c r="AB2404">
        <v>9</v>
      </c>
      <c r="AC2404">
        <v>-21.847899999999999</v>
      </c>
      <c r="AD2404">
        <v>-1.1609370000000001</v>
      </c>
      <c r="AE2404">
        <v>-67.830200000000005</v>
      </c>
      <c r="AF2404">
        <v>-31.0162578028614</v>
      </c>
      <c r="AG2404">
        <v>-1.1609370000000001</v>
      </c>
      <c r="AH2404">
        <v>64.137072287728301</v>
      </c>
      <c r="AI2404">
        <v>90.933577421251002</v>
      </c>
      <c r="AJ2404">
        <v>115.808099105102</v>
      </c>
      <c r="AK2404">
        <v>71.252509180047895</v>
      </c>
      <c r="AL2404">
        <v>91.432844052930903</v>
      </c>
      <c r="AM2404">
        <v>90.281038625727405</v>
      </c>
      <c r="AN2404">
        <v>1.00000000586528</v>
      </c>
    </row>
    <row r="2405" spans="1:40" x14ac:dyDescent="0.25">
      <c r="A2405" t="str">
        <f>"20190312161005090"</f>
        <v>20190312161005090</v>
      </c>
      <c r="B2405" t="str">
        <f>"1552378205078115"</f>
        <v>1552378205078115</v>
      </c>
      <c r="C2405" t="s">
        <v>40</v>
      </c>
      <c r="D2405">
        <v>5.0929169999999999</v>
      </c>
      <c r="E2405">
        <v>0.32930989999999999</v>
      </c>
      <c r="F2405" t="s">
        <v>41</v>
      </c>
      <c r="G2405">
        <v>-501.0521</v>
      </c>
      <c r="H2405">
        <v>7.9986070000000006E-2</v>
      </c>
      <c r="I2405">
        <v>237.3152</v>
      </c>
      <c r="J2405">
        <v>-487.33870000000002</v>
      </c>
      <c r="K2405">
        <v>1.1109370000000001</v>
      </c>
      <c r="L2405">
        <v>277.42829999999998</v>
      </c>
      <c r="M2405">
        <v>-0.6887972</v>
      </c>
      <c r="N2405">
        <v>0</v>
      </c>
      <c r="O2405">
        <v>-0.72485599999999994</v>
      </c>
      <c r="P2405">
        <v>-0.68455819999999901</v>
      </c>
      <c r="Q2405">
        <v>-3.6543520000000003E-2</v>
      </c>
      <c r="R2405">
        <v>-0.72804190000000002</v>
      </c>
      <c r="S2405">
        <v>-1.0673520000000001</v>
      </c>
      <c r="T2405">
        <v>-8.0049990000000001E-2</v>
      </c>
      <c r="U2405">
        <v>-3.1176149999999998</v>
      </c>
      <c r="V2405">
        <v>-5.2181559999999998E-3</v>
      </c>
      <c r="W2405">
        <v>-2.461795E-2</v>
      </c>
      <c r="X2405">
        <v>0.99968330000000005</v>
      </c>
      <c r="Y2405">
        <v>-0.41694049999999999</v>
      </c>
      <c r="Z2405">
        <v>1.395162E-2</v>
      </c>
      <c r="AA2405">
        <v>0.90882669999999999</v>
      </c>
      <c r="AB2405">
        <v>9</v>
      </c>
      <c r="AC2405">
        <v>-13.713399999999901</v>
      </c>
      <c r="AD2405">
        <v>-1.0309509299999999</v>
      </c>
      <c r="AE2405">
        <v>-40.113099999999903</v>
      </c>
      <c r="AF2405">
        <v>-17.680351928925599</v>
      </c>
      <c r="AG2405">
        <v>-1.0309509299999999</v>
      </c>
      <c r="AH2405">
        <v>38.501940879875796</v>
      </c>
      <c r="AI2405">
        <v>91.393937795980605</v>
      </c>
      <c r="AJ2405">
        <v>114.664907622748</v>
      </c>
      <c r="AK2405">
        <v>42.379914531157098</v>
      </c>
      <c r="AL2405">
        <v>91.410647164427004</v>
      </c>
      <c r="AM2405">
        <v>90.299070315892607</v>
      </c>
      <c r="AN2405">
        <v>0.99999998645656596</v>
      </c>
    </row>
    <row r="2406" spans="1:40" x14ac:dyDescent="0.25">
      <c r="A2406" t="str">
        <f>"20190312161005221"</f>
        <v>20190312161005221</v>
      </c>
      <c r="B2406" t="str">
        <f>"1552378205218192"</f>
        <v>1552378205218192</v>
      </c>
      <c r="C2406" t="s">
        <v>40</v>
      </c>
      <c r="D2406">
        <v>5.0545540000000004</v>
      </c>
      <c r="E2406">
        <v>0.33000030000000002</v>
      </c>
      <c r="F2406" t="s">
        <v>41</v>
      </c>
      <c r="G2406">
        <v>-500.6046</v>
      </c>
      <c r="H2406">
        <v>7.9985719999999996E-2</v>
      </c>
      <c r="I2406">
        <v>238.4597</v>
      </c>
      <c r="J2406">
        <v>-487.6592</v>
      </c>
      <c r="K2406">
        <v>1.1109359999999999</v>
      </c>
      <c r="L2406">
        <v>277.04840000000002</v>
      </c>
      <c r="M2406">
        <v>-0.67328719999999997</v>
      </c>
      <c r="N2406">
        <v>0</v>
      </c>
      <c r="O2406">
        <v>-0.73929100000000003</v>
      </c>
      <c r="P2406">
        <v>-0.66850169999999998</v>
      </c>
      <c r="Q2406">
        <v>-3.3883129999999997E-2</v>
      </c>
      <c r="R2406">
        <v>-0.74293830000000005</v>
      </c>
      <c r="S2406">
        <v>-1.0615540000000001</v>
      </c>
      <c r="T2406">
        <v>-8.2498189999999999E-2</v>
      </c>
      <c r="U2406">
        <v>-3.1183169999999998</v>
      </c>
      <c r="V2406">
        <v>-5.9487539999999997E-3</v>
      </c>
      <c r="W2406">
        <v>-2.2359460000000001E-2</v>
      </c>
      <c r="X2406">
        <v>0.99973230000000002</v>
      </c>
      <c r="Y2406">
        <v>-0.39918500000000001</v>
      </c>
      <c r="Z2406">
        <v>1.5000940000000001E-2</v>
      </c>
      <c r="AA2406">
        <v>0.91674770000000005</v>
      </c>
      <c r="AB2406">
        <v>9</v>
      </c>
      <c r="AC2406">
        <v>-12.945399999999999</v>
      </c>
      <c r="AD2406">
        <v>-1.0309502800000001</v>
      </c>
      <c r="AE2406">
        <v>-38.588700000000003</v>
      </c>
      <c r="AF2406">
        <v>-16.4014302907302</v>
      </c>
      <c r="AG2406">
        <v>-1.0309502800000001</v>
      </c>
      <c r="AH2406">
        <v>37.222849974596798</v>
      </c>
      <c r="AI2406">
        <v>91.451870120600802</v>
      </c>
      <c r="AJ2406">
        <v>113.77963353448899</v>
      </c>
      <c r="AK2406">
        <v>40.689191860896699</v>
      </c>
      <c r="AL2406">
        <v>91.281209458056296</v>
      </c>
      <c r="AM2406">
        <v>90.340925740820495</v>
      </c>
      <c r="AN2406">
        <v>1.00000000239446</v>
      </c>
    </row>
    <row r="2407" spans="1:40" x14ac:dyDescent="0.25">
      <c r="A2407" t="str">
        <f>"20190312161005233"</f>
        <v>20190312161005233</v>
      </c>
      <c r="B2407" t="str">
        <f>"1552378205227951"</f>
        <v>1552378205227951</v>
      </c>
      <c r="C2407" t="s">
        <v>40</v>
      </c>
      <c r="D2407">
        <v>5.1733190000000002</v>
      </c>
      <c r="E2407">
        <v>0.35304920000000001</v>
      </c>
      <c r="F2407" t="s">
        <v>41</v>
      </c>
      <c r="G2407">
        <v>-499.9606</v>
      </c>
      <c r="H2407">
        <v>5.2864500000000002E-2</v>
      </c>
      <c r="I2407">
        <v>238.3271</v>
      </c>
      <c r="J2407">
        <v>-487.68740000000003</v>
      </c>
      <c r="K2407">
        <v>1.1109329999999999</v>
      </c>
      <c r="L2407">
        <v>277.01420000000002</v>
      </c>
      <c r="M2407">
        <v>-0.67188599999999998</v>
      </c>
      <c r="N2407">
        <v>0</v>
      </c>
      <c r="O2407">
        <v>-0.74056509999999998</v>
      </c>
      <c r="P2407">
        <v>-0.6671222</v>
      </c>
      <c r="Q2407">
        <v>-3.3413730000000003E-2</v>
      </c>
      <c r="R2407">
        <v>-0.74419849999999999</v>
      </c>
      <c r="S2407">
        <v>-0.99670409999999998</v>
      </c>
      <c r="T2407">
        <v>-8.5728410000000005E-2</v>
      </c>
      <c r="U2407">
        <v>-3.1373289999999998</v>
      </c>
      <c r="V2407">
        <v>-5.9244989999999997E-3</v>
      </c>
      <c r="W2407">
        <v>-2.191949E-2</v>
      </c>
      <c r="X2407">
        <v>0.99974220000000003</v>
      </c>
      <c r="Y2407">
        <v>-0.41618329999999998</v>
      </c>
      <c r="Z2407">
        <v>1.546896E-2</v>
      </c>
      <c r="AA2407">
        <v>0.90914919999999999</v>
      </c>
      <c r="AB2407">
        <v>9</v>
      </c>
      <c r="AC2407">
        <v>-12.2731999999999</v>
      </c>
      <c r="AD2407">
        <v>-1.0580685000000001</v>
      </c>
      <c r="AE2407">
        <v>-38.687100000000001</v>
      </c>
      <c r="AF2407">
        <v>-16.893856659117201</v>
      </c>
      <c r="AG2407">
        <v>-1.0580685000000001</v>
      </c>
      <c r="AH2407">
        <v>36.8738933975526</v>
      </c>
      <c r="AI2407">
        <v>91.494319881608405</v>
      </c>
      <c r="AJ2407">
        <v>114.614989324741</v>
      </c>
      <c r="AK2407">
        <v>40.573463200268797</v>
      </c>
      <c r="AL2407">
        <v>91.255994837538793</v>
      </c>
      <c r="AM2407">
        <v>90.339532346387998</v>
      </c>
      <c r="AN2407">
        <v>1.0000000150955499</v>
      </c>
    </row>
    <row r="2408" spans="1:40" x14ac:dyDescent="0.25">
      <c r="A2408" t="str">
        <f>"20190312161005244"</f>
        <v>20190312161005244</v>
      </c>
      <c r="B2408" t="str">
        <f>"1552378205238221"</f>
        <v>1552378205238221</v>
      </c>
      <c r="C2408" t="s">
        <v>40</v>
      </c>
      <c r="D2408">
        <v>5.0161249999999997</v>
      </c>
      <c r="E2408">
        <v>0.35047610000000001</v>
      </c>
      <c r="F2408" t="s">
        <v>41</v>
      </c>
      <c r="G2408">
        <v>-494.517</v>
      </c>
      <c r="H2408" s="1">
        <v>-4.7641010000000001E-6</v>
      </c>
      <c r="I2408">
        <v>258.6318</v>
      </c>
      <c r="J2408">
        <v>-487.71469999999999</v>
      </c>
      <c r="K2408">
        <v>1.1109340000000001</v>
      </c>
      <c r="L2408">
        <v>276.98099999999999</v>
      </c>
      <c r="M2408">
        <v>-0.67052959999999995</v>
      </c>
      <c r="N2408">
        <v>0</v>
      </c>
      <c r="O2408">
        <v>-0.74179390000000001</v>
      </c>
      <c r="P2408">
        <v>-0.66569820000000002</v>
      </c>
      <c r="Q2408">
        <v>-3.3502459999999998E-2</v>
      </c>
      <c r="R2408">
        <v>-0.74546859999999904</v>
      </c>
      <c r="S2408">
        <v>-1.121216</v>
      </c>
      <c r="T2408">
        <v>-0.1823844</v>
      </c>
      <c r="U2408">
        <v>-3.0178530000000001</v>
      </c>
      <c r="V2408">
        <v>-6.003141E-3</v>
      </c>
      <c r="W2408">
        <v>-2.2036699999999999E-2</v>
      </c>
      <c r="X2408">
        <v>0.99973909999999999</v>
      </c>
      <c r="Y2408">
        <v>-0.3704654</v>
      </c>
      <c r="Z2408">
        <v>3.4685569999999999E-2</v>
      </c>
      <c r="AA2408">
        <v>0.92819850000000004</v>
      </c>
      <c r="AB2408">
        <v>9</v>
      </c>
      <c r="AC2408">
        <v>-6.8022999999999998</v>
      </c>
      <c r="AD2408">
        <v>-1.110938764101</v>
      </c>
      <c r="AE2408">
        <v>-18.3492</v>
      </c>
      <c r="AF2408">
        <v>-7.2349395195318698</v>
      </c>
      <c r="AG2408">
        <v>-1.110938764101</v>
      </c>
      <c r="AH2408">
        <v>18.115286015221301</v>
      </c>
      <c r="AI2408">
        <v>93.259582700442095</v>
      </c>
      <c r="AJ2408">
        <v>111.770933699946</v>
      </c>
      <c r="AK2408">
        <v>19.538222083959901</v>
      </c>
      <c r="AL2408">
        <v>91.262712166665693</v>
      </c>
      <c r="AM2408">
        <v>90.344040269382504</v>
      </c>
      <c r="AN2408">
        <v>0.99999996095878196</v>
      </c>
    </row>
    <row r="2409" spans="1:40" x14ac:dyDescent="0.25">
      <c r="A2409" t="str">
        <f>"20190312161005267"</f>
        <v>20190312161005267</v>
      </c>
      <c r="B2409" t="str">
        <f>"1552378205257741"</f>
        <v>1552378205257741</v>
      </c>
      <c r="C2409" t="s">
        <v>40</v>
      </c>
      <c r="D2409">
        <v>5.0205869999999999</v>
      </c>
      <c r="E2409">
        <v>0.34769879999999997</v>
      </c>
      <c r="F2409" t="s">
        <v>41</v>
      </c>
      <c r="G2409">
        <v>-494.64690000000002</v>
      </c>
      <c r="H2409" s="1">
        <v>-4.5264730000000001E-6</v>
      </c>
      <c r="I2409">
        <v>257.86579999999998</v>
      </c>
      <c r="J2409">
        <v>-487.77010000000001</v>
      </c>
      <c r="K2409">
        <v>1.110932</v>
      </c>
      <c r="L2409">
        <v>276.91309999999999</v>
      </c>
      <c r="M2409">
        <v>-0.66775419999999996</v>
      </c>
      <c r="N2409">
        <v>0</v>
      </c>
      <c r="O2409">
        <v>-0.74429429999999996</v>
      </c>
      <c r="P2409">
        <v>-0.66278609999999905</v>
      </c>
      <c r="Q2409">
        <v>-3.299767E-2</v>
      </c>
      <c r="R2409">
        <v>-0.74808169999999996</v>
      </c>
      <c r="S2409">
        <v>-1.10025</v>
      </c>
      <c r="T2409">
        <v>-0.17632349999999999</v>
      </c>
      <c r="U2409">
        <v>-3.0338750000000001</v>
      </c>
      <c r="V2409">
        <v>-6.1829220000000004E-3</v>
      </c>
      <c r="W2409">
        <v>-2.1588030000000001E-2</v>
      </c>
      <c r="X2409">
        <v>0.99974779999999996</v>
      </c>
      <c r="Y2409">
        <v>-0.37423309999999999</v>
      </c>
      <c r="Z2409">
        <v>3.3543400000000001E-2</v>
      </c>
      <c r="AA2409">
        <v>0.92672779999999999</v>
      </c>
      <c r="AB2409">
        <v>9</v>
      </c>
      <c r="AC2409">
        <v>-6.8768000000000002</v>
      </c>
      <c r="AD2409">
        <v>-1.110936526473</v>
      </c>
      <c r="AE2409">
        <v>-19.0473</v>
      </c>
      <c r="AF2409">
        <v>-7.5782398717866002</v>
      </c>
      <c r="AG2409">
        <v>-1.110936526473</v>
      </c>
      <c r="AH2409">
        <v>18.7137124702456</v>
      </c>
      <c r="AI2409">
        <v>93.149485513079</v>
      </c>
      <c r="AJ2409">
        <v>112.045807236407</v>
      </c>
      <c r="AK2409">
        <v>20.220458301908302</v>
      </c>
      <c r="AL2409">
        <v>91.236999142266697</v>
      </c>
      <c r="AM2409">
        <v>90.354340183859094</v>
      </c>
      <c r="AN2409">
        <v>0.999999967584288</v>
      </c>
    </row>
    <row r="2410" spans="1:40" x14ac:dyDescent="0.25">
      <c r="A2410" t="str">
        <f>"20190312161005279"</f>
        <v>20190312161005279</v>
      </c>
      <c r="B2410" t="str">
        <f>"1552378205268477"</f>
        <v>1552378205268477</v>
      </c>
      <c r="C2410" t="s">
        <v>40</v>
      </c>
      <c r="D2410">
        <v>4.999644</v>
      </c>
      <c r="E2410">
        <v>0.34450710000000001</v>
      </c>
      <c r="F2410" t="s">
        <v>41</v>
      </c>
      <c r="G2410">
        <v>-495.08210000000003</v>
      </c>
      <c r="H2410" s="1">
        <v>-4.0023020000000003E-6</v>
      </c>
      <c r="I2410">
        <v>256.09870000000001</v>
      </c>
      <c r="J2410">
        <v>-487.79989999999998</v>
      </c>
      <c r="K2410">
        <v>1.1109309999999999</v>
      </c>
      <c r="L2410">
        <v>276.87639999999999</v>
      </c>
      <c r="M2410">
        <v>-0.66625369999999995</v>
      </c>
      <c r="N2410">
        <v>0</v>
      </c>
      <c r="O2410">
        <v>-0.74563819999999903</v>
      </c>
      <c r="P2410">
        <v>-0.66112069999999901</v>
      </c>
      <c r="Q2410">
        <v>-3.2878730000000002E-2</v>
      </c>
      <c r="R2410">
        <v>-0.74955909999999903</v>
      </c>
      <c r="S2410">
        <v>-1.072479</v>
      </c>
      <c r="T2410">
        <v>-0.16294610000000001</v>
      </c>
      <c r="U2410">
        <v>-3.0529480000000002</v>
      </c>
      <c r="V2410">
        <v>-6.3960279999999998E-3</v>
      </c>
      <c r="W2410">
        <v>-2.1498590000000001E-2</v>
      </c>
      <c r="X2410">
        <v>0.99974839999999998</v>
      </c>
      <c r="Y2410">
        <v>-0.38165860000000001</v>
      </c>
      <c r="Z2410">
        <v>3.0864050000000001E-2</v>
      </c>
      <c r="AA2410">
        <v>0.9237879</v>
      </c>
      <c r="AB2410">
        <v>9</v>
      </c>
      <c r="AC2410">
        <v>-7.2822000000000404</v>
      </c>
      <c r="AD2410">
        <v>-1.1109350023019999</v>
      </c>
      <c r="AE2410">
        <v>-20.7776999999999</v>
      </c>
      <c r="AF2410">
        <v>-8.3925109007523293</v>
      </c>
      <c r="AG2410">
        <v>-1.1109350023019999</v>
      </c>
      <c r="AH2410">
        <v>20.294089204683999</v>
      </c>
      <c r="AI2410">
        <v>92.895940776400707</v>
      </c>
      <c r="AJ2410">
        <v>112.467276409232</v>
      </c>
      <c r="AK2410">
        <v>21.989053468629798</v>
      </c>
      <c r="AL2410">
        <v>91.231873401544604</v>
      </c>
      <c r="AM2410">
        <v>90.366552635031894</v>
      </c>
      <c r="AN2410">
        <v>0.99999998092436204</v>
      </c>
    </row>
    <row r="2411" spans="1:40" x14ac:dyDescent="0.25">
      <c r="A2411" t="str">
        <f>"20190312161005299"</f>
        <v>20190312161005299</v>
      </c>
      <c r="B2411" t="str">
        <f>"1552378205287997"</f>
        <v>1552378205287997</v>
      </c>
      <c r="C2411" t="s">
        <v>40</v>
      </c>
      <c r="D2411">
        <v>5.0868799999999998</v>
      </c>
      <c r="E2411">
        <v>0.34139309999999901</v>
      </c>
      <c r="F2411" t="s">
        <v>41</v>
      </c>
      <c r="G2411">
        <v>-496.0401</v>
      </c>
      <c r="H2411" s="1">
        <v>-2.9569520000000002E-6</v>
      </c>
      <c r="I2411">
        <v>252.73560000000001</v>
      </c>
      <c r="J2411">
        <v>-487.84809999999999</v>
      </c>
      <c r="K2411">
        <v>1.110932</v>
      </c>
      <c r="L2411">
        <v>276.81670000000003</v>
      </c>
      <c r="M2411">
        <v>-0.66381190000000001</v>
      </c>
      <c r="N2411">
        <v>0</v>
      </c>
      <c r="O2411">
        <v>-0.74781359999999997</v>
      </c>
      <c r="P2411">
        <v>-0.65853950000000006</v>
      </c>
      <c r="Q2411">
        <v>-3.2434549999999999E-2</v>
      </c>
      <c r="R2411">
        <v>-0.7518475</v>
      </c>
      <c r="S2411">
        <v>-1.0484009999999999</v>
      </c>
      <c r="T2411">
        <v>-0.14134440000000001</v>
      </c>
      <c r="U2411">
        <v>-3.0714419999999998</v>
      </c>
      <c r="V2411">
        <v>-6.5772349999999999E-3</v>
      </c>
      <c r="W2411">
        <v>-2.1098639999999998E-2</v>
      </c>
      <c r="X2411">
        <v>0.99975570000000002</v>
      </c>
      <c r="Y2411">
        <v>-0.38679809999999998</v>
      </c>
      <c r="Z2411">
        <v>2.6732189999999999E-2</v>
      </c>
      <c r="AA2411">
        <v>0.92177690000000001</v>
      </c>
      <c r="AB2411">
        <v>9</v>
      </c>
      <c r="AC2411">
        <v>-8.1920000000000002</v>
      </c>
      <c r="AD2411">
        <v>-1.110934956952</v>
      </c>
      <c r="AE2411">
        <v>-24.081099999999999</v>
      </c>
      <c r="AF2411">
        <v>-9.8410936385944705</v>
      </c>
      <c r="AG2411">
        <v>-1.110934956952</v>
      </c>
      <c r="AH2411">
        <v>23.402987180089301</v>
      </c>
      <c r="AI2411">
        <v>92.505572803580307</v>
      </c>
      <c r="AJ2411">
        <v>112.80703966186999</v>
      </c>
      <c r="AK2411">
        <v>25.412223622374899</v>
      </c>
      <c r="AL2411">
        <v>91.208952808720795</v>
      </c>
      <c r="AM2411">
        <v>90.376934454790202</v>
      </c>
      <c r="AN2411">
        <v>0.99999993615629001</v>
      </c>
    </row>
    <row r="2412" spans="1:40" x14ac:dyDescent="0.25">
      <c r="A2412" t="str">
        <f>"20190312161005312"</f>
        <v>20190312161005312</v>
      </c>
      <c r="B2412" t="str">
        <f>"1552378205308493"</f>
        <v>1552378205308493</v>
      </c>
      <c r="C2412" t="s">
        <v>40</v>
      </c>
      <c r="D2412">
        <v>5.1135419999999998</v>
      </c>
      <c r="E2412">
        <v>0.3408233</v>
      </c>
      <c r="F2412" t="s">
        <v>41</v>
      </c>
      <c r="G2412">
        <v>-497.49059999999997</v>
      </c>
      <c r="H2412" s="1">
        <v>-4.9466490000000001E-6</v>
      </c>
      <c r="I2412">
        <v>247.6183</v>
      </c>
      <c r="J2412">
        <v>-487.87759999999997</v>
      </c>
      <c r="K2412">
        <v>1.1109309999999999</v>
      </c>
      <c r="L2412">
        <v>276.77999999999997</v>
      </c>
      <c r="M2412">
        <v>-0.66230809999999996</v>
      </c>
      <c r="N2412">
        <v>0</v>
      </c>
      <c r="O2412">
        <v>-0.74914590000000003</v>
      </c>
      <c r="P2412">
        <v>-0.65688000000000002</v>
      </c>
      <c r="Q2412">
        <v>-3.2422859999999998E-2</v>
      </c>
      <c r="R2412">
        <v>-0.75329760000000001</v>
      </c>
      <c r="S2412">
        <v>-1.0207820000000001</v>
      </c>
      <c r="T2412">
        <v>-0.117607</v>
      </c>
      <c r="U2412">
        <v>-3.0910340000000001</v>
      </c>
      <c r="V2412">
        <v>-6.7731650000000003E-3</v>
      </c>
      <c r="W2412">
        <v>-2.1113199999999999E-2</v>
      </c>
      <c r="X2412">
        <v>0.99975409999999998</v>
      </c>
      <c r="Y2412">
        <v>-0.3940882</v>
      </c>
      <c r="Z2412">
        <v>2.2141640000000001E-2</v>
      </c>
      <c r="AA2412">
        <v>0.91880589999999995</v>
      </c>
      <c r="AB2412">
        <v>9</v>
      </c>
      <c r="AC2412">
        <v>-9.6129999999999995</v>
      </c>
      <c r="AD2412">
        <v>-1.1109359466490001</v>
      </c>
      <c r="AE2412">
        <v>-29.1616999999999</v>
      </c>
      <c r="AF2412">
        <v>-12.097432305792299</v>
      </c>
      <c r="AG2412">
        <v>-1.1109359466490001</v>
      </c>
      <c r="AH2412">
        <v>28.178061119443498</v>
      </c>
      <c r="AI2412">
        <v>92.074802517745795</v>
      </c>
      <c r="AJ2412">
        <v>113.234861870057</v>
      </c>
      <c r="AK2412">
        <v>30.685259906376501</v>
      </c>
      <c r="AL2412">
        <v>91.209787202358399</v>
      </c>
      <c r="AM2412">
        <v>90.388163280646694</v>
      </c>
      <c r="AN2412">
        <v>0.99999995172258205</v>
      </c>
    </row>
    <row r="2413" spans="1:40" x14ac:dyDescent="0.25">
      <c r="A2413" t="str">
        <f>"20190312161005322"</f>
        <v>20190312161005322</v>
      </c>
      <c r="B2413" t="str">
        <f>"1552378205318254"</f>
        <v>1552378205318254</v>
      </c>
      <c r="C2413" t="s">
        <v>40</v>
      </c>
      <c r="D2413">
        <v>5.1244820000000004</v>
      </c>
      <c r="E2413">
        <v>0.3404295</v>
      </c>
      <c r="F2413" t="s">
        <v>41</v>
      </c>
      <c r="G2413">
        <v>-498.3526</v>
      </c>
      <c r="H2413" s="1">
        <v>-4.1048219999999901E-6</v>
      </c>
      <c r="I2413">
        <v>244.6952</v>
      </c>
      <c r="J2413">
        <v>-487.90370000000001</v>
      </c>
      <c r="K2413">
        <v>1.110927</v>
      </c>
      <c r="L2413">
        <v>276.7473</v>
      </c>
      <c r="M2413">
        <v>-0.66097240000000002</v>
      </c>
      <c r="N2413">
        <v>0</v>
      </c>
      <c r="O2413">
        <v>-0.75032529999999997</v>
      </c>
      <c r="P2413">
        <v>-0.65544269999999905</v>
      </c>
      <c r="Q2413">
        <v>-3.2275850000000002E-2</v>
      </c>
      <c r="R2413">
        <v>-0.75455539999999999</v>
      </c>
      <c r="S2413">
        <v>-1.0108950000000001</v>
      </c>
      <c r="T2413">
        <v>-0.1072109</v>
      </c>
      <c r="U2413">
        <v>-3.0963440000000002</v>
      </c>
      <c r="V2413">
        <v>-6.9018990000000004E-3</v>
      </c>
      <c r="W2413">
        <v>-2.0989009999999999E-2</v>
      </c>
      <c r="X2413">
        <v>0.99975590000000003</v>
      </c>
      <c r="Y2413">
        <v>-0.39555459999999998</v>
      </c>
      <c r="Z2413">
        <v>2.0203749999999999E-2</v>
      </c>
      <c r="AA2413">
        <v>0.91822020000000004</v>
      </c>
      <c r="AB2413">
        <v>9</v>
      </c>
      <c r="AC2413">
        <v>-10.448899999999901</v>
      </c>
      <c r="AD2413">
        <v>-1.1109311048219901</v>
      </c>
      <c r="AE2413">
        <v>-32.052100000000003</v>
      </c>
      <c r="AF2413">
        <v>-13.331852481300301</v>
      </c>
      <c r="AG2413">
        <v>-1.1109311048219901</v>
      </c>
      <c r="AH2413">
        <v>30.924327220049001</v>
      </c>
      <c r="AI2413">
        <v>91.889451487764902</v>
      </c>
      <c r="AJ2413">
        <v>113.321459939959</v>
      </c>
      <c r="AK2413">
        <v>33.694012413416701</v>
      </c>
      <c r="AL2413">
        <v>91.202669983280302</v>
      </c>
      <c r="AM2413">
        <v>90.395539952499604</v>
      </c>
      <c r="AN2413">
        <v>1.0000000171676899</v>
      </c>
    </row>
    <row r="2414" spans="1:40" x14ac:dyDescent="0.25">
      <c r="A2414" t="str">
        <f>"20190312161005333"</f>
        <v>20190312161005333</v>
      </c>
      <c r="B2414" t="str">
        <f>"1552378205328013"</f>
        <v>1552378205328013</v>
      </c>
      <c r="C2414" t="s">
        <v>40</v>
      </c>
      <c r="D2414">
        <v>5.1338030000000003</v>
      </c>
      <c r="E2414">
        <v>0.34049449999999998</v>
      </c>
      <c r="F2414" t="s">
        <v>41</v>
      </c>
      <c r="G2414">
        <v>-498.8254</v>
      </c>
      <c r="H2414" s="1">
        <v>-3.6088609999999999E-6</v>
      </c>
      <c r="I2414">
        <v>242.9913</v>
      </c>
      <c r="J2414">
        <v>-487.92860000000002</v>
      </c>
      <c r="K2414">
        <v>1.1109260000000001</v>
      </c>
      <c r="L2414">
        <v>276.71609999999998</v>
      </c>
      <c r="M2414">
        <v>-0.65969199999999995</v>
      </c>
      <c r="N2414">
        <v>0</v>
      </c>
      <c r="O2414">
        <v>-0.7514516</v>
      </c>
      <c r="P2414">
        <v>-0.65414209999999995</v>
      </c>
      <c r="Q2414">
        <v>-3.2562389999999997E-2</v>
      </c>
      <c r="R2414">
        <v>-0.75567069999999903</v>
      </c>
      <c r="S2414">
        <v>-1.0030520000000001</v>
      </c>
      <c r="T2414">
        <v>-0.1020281</v>
      </c>
      <c r="U2414">
        <v>-3.1001590000000001</v>
      </c>
      <c r="V2414">
        <v>-6.9099579999999999E-3</v>
      </c>
      <c r="W2414">
        <v>-2.129692E-2</v>
      </c>
      <c r="X2414">
        <v>0.99974929999999995</v>
      </c>
      <c r="Y2414">
        <v>-0.39641680000000001</v>
      </c>
      <c r="Z2414">
        <v>1.9254159999999999E-2</v>
      </c>
      <c r="AA2414">
        <v>0.91786869999999998</v>
      </c>
      <c r="AB2414">
        <v>9</v>
      </c>
      <c r="AC2414">
        <v>-10.896799999999899</v>
      </c>
      <c r="AD2414">
        <v>-1.1109296088609999</v>
      </c>
      <c r="AE2414">
        <v>-33.724799999999902</v>
      </c>
      <c r="AF2414">
        <v>-14.0466542088356</v>
      </c>
      <c r="AG2414">
        <v>-1.1109296088609999</v>
      </c>
      <c r="AH2414">
        <v>32.501218357096697</v>
      </c>
      <c r="AI2414">
        <v>91.797134985277395</v>
      </c>
      <c r="AJ2414">
        <v>113.373447594658</v>
      </c>
      <c r="AK2414">
        <v>35.424170473761599</v>
      </c>
      <c r="AL2414">
        <v>91.220315910800394</v>
      </c>
      <c r="AM2414">
        <v>90.396004404073906</v>
      </c>
      <c r="AN2414">
        <v>0.999999984585768</v>
      </c>
    </row>
    <row r="2415" spans="1:40" x14ac:dyDescent="0.25">
      <c r="A2415" t="str">
        <f>"20190312161005345"</f>
        <v>20190312161005345</v>
      </c>
      <c r="B2415" t="str">
        <f>"1552378205338282"</f>
        <v>1552378205338282</v>
      </c>
      <c r="C2415" t="s">
        <v>40</v>
      </c>
      <c r="D2415">
        <v>5.1490080000000003</v>
      </c>
      <c r="E2415">
        <v>0.340532</v>
      </c>
      <c r="F2415" t="s">
        <v>41</v>
      </c>
      <c r="G2415">
        <v>-498.72430000000003</v>
      </c>
      <c r="H2415" s="1">
        <v>-3.6513169999999999E-6</v>
      </c>
      <c r="I2415">
        <v>243.1688</v>
      </c>
      <c r="J2415">
        <v>-487.95580000000001</v>
      </c>
      <c r="K2415">
        <v>1.11093</v>
      </c>
      <c r="L2415">
        <v>276.68180000000001</v>
      </c>
      <c r="M2415">
        <v>-0.65828769999999903</v>
      </c>
      <c r="N2415">
        <v>0</v>
      </c>
      <c r="O2415">
        <v>-0.75268219999999997</v>
      </c>
      <c r="P2415">
        <v>-0.65279730000000002</v>
      </c>
      <c r="Q2415">
        <v>-3.2706480000000003E-2</v>
      </c>
      <c r="R2415">
        <v>-0.75682629999999995</v>
      </c>
      <c r="S2415">
        <v>-0.99810790000000005</v>
      </c>
      <c r="T2415">
        <v>-0.1027093</v>
      </c>
      <c r="U2415">
        <v>-3.1015630000000001</v>
      </c>
      <c r="V2415">
        <v>-6.8160190000000004E-3</v>
      </c>
      <c r="W2415">
        <v>-2.1464049999999998E-2</v>
      </c>
      <c r="X2415">
        <v>0.99974640000000004</v>
      </c>
      <c r="Y2415">
        <v>-0.39615030000000001</v>
      </c>
      <c r="Z2415">
        <v>1.9434750000000001E-2</v>
      </c>
      <c r="AA2415">
        <v>0.91798000000000002</v>
      </c>
      <c r="AB2415">
        <v>9</v>
      </c>
      <c r="AC2415">
        <v>-10.7685</v>
      </c>
      <c r="AD2415">
        <v>-1.1109336513169901</v>
      </c>
      <c r="AE2415">
        <v>-33.512999999999998</v>
      </c>
      <c r="AF2415">
        <v>-13.9429346739302</v>
      </c>
      <c r="AG2415">
        <v>-1.1109336513169901</v>
      </c>
      <c r="AH2415">
        <v>32.283303265561102</v>
      </c>
      <c r="AI2415">
        <v>91.8094588665017</v>
      </c>
      <c r="AJ2415">
        <v>113.35918076893</v>
      </c>
      <c r="AK2415">
        <v>35.183110587827599</v>
      </c>
      <c r="AL2415">
        <v>91.229893907917102</v>
      </c>
      <c r="AM2415">
        <v>90.390622132905094</v>
      </c>
      <c r="AN2415">
        <v>1.0000000139351799</v>
      </c>
    </row>
    <row r="2416" spans="1:40" x14ac:dyDescent="0.25">
      <c r="A2416" t="str">
        <f>"20190312161005355"</f>
        <v>20190312161005355</v>
      </c>
      <c r="B2416" t="str">
        <f>"1552378205348041"</f>
        <v>1552378205348041</v>
      </c>
      <c r="C2416" t="s">
        <v>40</v>
      </c>
      <c r="D2416">
        <v>5.1189600000000004</v>
      </c>
      <c r="E2416">
        <v>0.340858099999999</v>
      </c>
      <c r="F2416" t="s">
        <v>41</v>
      </c>
      <c r="G2416">
        <v>-498.81610000000001</v>
      </c>
      <c r="H2416" s="1">
        <v>-3.530587E-6</v>
      </c>
      <c r="I2416">
        <v>242.7662</v>
      </c>
      <c r="J2416">
        <v>-487.98230000000001</v>
      </c>
      <c r="K2416">
        <v>1.11093</v>
      </c>
      <c r="L2416">
        <v>276.64830000000001</v>
      </c>
      <c r="M2416">
        <v>-0.65691690000000003</v>
      </c>
      <c r="N2416">
        <v>0</v>
      </c>
      <c r="O2416">
        <v>-0.75387919999999997</v>
      </c>
      <c r="P2416">
        <v>-0.65162379999999998</v>
      </c>
      <c r="Q2416">
        <v>-3.2623249999999999E-2</v>
      </c>
      <c r="R2416">
        <v>-0.75784079999999998</v>
      </c>
      <c r="S2416">
        <v>-0.99349980000000004</v>
      </c>
      <c r="T2416">
        <v>-0.1016282</v>
      </c>
      <c r="U2416">
        <v>-3.1025999999999998</v>
      </c>
      <c r="V2416">
        <v>-6.5481130000000004E-3</v>
      </c>
      <c r="W2416">
        <v>-2.1402210000000001E-2</v>
      </c>
      <c r="X2416">
        <v>0.99974949999999996</v>
      </c>
      <c r="Y2416">
        <v>-0.39580379999999998</v>
      </c>
      <c r="Z2416">
        <v>1.9283000000000002E-2</v>
      </c>
      <c r="AA2416">
        <v>0.91813259999999997</v>
      </c>
      <c r="AB2416">
        <v>9</v>
      </c>
      <c r="AC2416">
        <v>-10.833799999999901</v>
      </c>
      <c r="AD2416">
        <v>-1.1109335305870001</v>
      </c>
      <c r="AE2416">
        <v>-33.882100000000001</v>
      </c>
      <c r="AF2416">
        <v>-14.0775073200553</v>
      </c>
      <c r="AG2416">
        <v>-1.1109335305870001</v>
      </c>
      <c r="AH2416">
        <v>32.630154312194499</v>
      </c>
      <c r="AI2416">
        <v>91.790540987017195</v>
      </c>
      <c r="AJ2416">
        <v>113.336638614856</v>
      </c>
      <c r="AK2416">
        <v>35.554709337768699</v>
      </c>
      <c r="AL2416">
        <v>91.226349942931606</v>
      </c>
      <c r="AM2416">
        <v>90.375267878444106</v>
      </c>
      <c r="AN2416">
        <v>0.999999997563497</v>
      </c>
    </row>
    <row r="2417" spans="1:40" x14ac:dyDescent="0.25">
      <c r="A2417" t="str">
        <f>"20190312161005367"</f>
        <v>20190312161005367</v>
      </c>
      <c r="B2417" t="str">
        <f>"1552378205357802"</f>
        <v>1552378205357802</v>
      </c>
      <c r="C2417" t="s">
        <v>40</v>
      </c>
      <c r="D2417">
        <v>5.1579739999999896</v>
      </c>
      <c r="E2417">
        <v>0.34092660000000002</v>
      </c>
      <c r="F2417" t="s">
        <v>41</v>
      </c>
      <c r="G2417">
        <v>-498.6028</v>
      </c>
      <c r="H2417" s="1">
        <v>-3.6940210000000001E-6</v>
      </c>
      <c r="I2417">
        <v>243.35759999999999</v>
      </c>
      <c r="J2417">
        <v>-488.0095</v>
      </c>
      <c r="K2417">
        <v>1.1109290000000001</v>
      </c>
      <c r="L2417">
        <v>276.6139</v>
      </c>
      <c r="M2417">
        <v>-0.65550759999999997</v>
      </c>
      <c r="N2417">
        <v>0</v>
      </c>
      <c r="O2417">
        <v>-0.75510529999999998</v>
      </c>
      <c r="P2417">
        <v>-0.65025749999999904</v>
      </c>
      <c r="Q2417">
        <v>-3.2579950000000003E-2</v>
      </c>
      <c r="R2417">
        <v>-0.759015</v>
      </c>
      <c r="S2417">
        <v>-0.98992919999999995</v>
      </c>
      <c r="T2417">
        <v>-0.10354910000000001</v>
      </c>
      <c r="U2417">
        <v>-3.1029969999999998</v>
      </c>
      <c r="V2417">
        <v>-6.4828059999999998E-3</v>
      </c>
      <c r="W2417">
        <v>-2.138083E-2</v>
      </c>
      <c r="X2417">
        <v>0.99975040000000004</v>
      </c>
      <c r="Y2417">
        <v>-0.39508349999999998</v>
      </c>
      <c r="Z2417">
        <v>1.9708159999999999E-2</v>
      </c>
      <c r="AA2417">
        <v>0.91843379999999997</v>
      </c>
      <c r="AB2417">
        <v>9</v>
      </c>
      <c r="AC2417">
        <v>-10.593299999999999</v>
      </c>
      <c r="AD2417">
        <v>-1.110932694021</v>
      </c>
      <c r="AE2417">
        <v>-33.256300000000003</v>
      </c>
      <c r="AF2417">
        <v>-13.7876000070214</v>
      </c>
      <c r="AG2417">
        <v>-1.110932694021</v>
      </c>
      <c r="AH2417">
        <v>32.025567656529802</v>
      </c>
      <c r="AI2417">
        <v>91.824920892255193</v>
      </c>
      <c r="AJ2417">
        <v>113.292773125906</v>
      </c>
      <c r="AK2417">
        <v>34.885083762651703</v>
      </c>
      <c r="AL2417">
        <v>91.225124658060594</v>
      </c>
      <c r="AM2417">
        <v>90.371524949923497</v>
      </c>
      <c r="AN2417">
        <v>1.00000001448264</v>
      </c>
    </row>
    <row r="2418" spans="1:40" x14ac:dyDescent="0.25">
      <c r="A2418" t="str">
        <f>"20190312161005389"</f>
        <v>20190312161005389</v>
      </c>
      <c r="B2418" t="str">
        <f>"1552378205378298"</f>
        <v>1552378205378298</v>
      </c>
      <c r="C2418" t="s">
        <v>40</v>
      </c>
      <c r="D2418">
        <v>5.1395439999999999</v>
      </c>
      <c r="E2418">
        <v>0.34108129999999998</v>
      </c>
      <c r="F2418" t="s">
        <v>41</v>
      </c>
      <c r="G2418">
        <v>-498.72160000000002</v>
      </c>
      <c r="H2418" s="1">
        <v>-3.5433309999999998E-6</v>
      </c>
      <c r="I2418">
        <v>242.85290000000001</v>
      </c>
      <c r="J2418">
        <v>-488.06119999999999</v>
      </c>
      <c r="K2418">
        <v>1.1109329999999999</v>
      </c>
      <c r="L2418">
        <v>276.5478</v>
      </c>
      <c r="M2418">
        <v>-0.65279900000000002</v>
      </c>
      <c r="N2418">
        <v>0</v>
      </c>
      <c r="O2418">
        <v>-0.75744889999999998</v>
      </c>
      <c r="P2418">
        <v>-0.64785669999999995</v>
      </c>
      <c r="Q2418">
        <v>-3.2466259999999997E-2</v>
      </c>
      <c r="R2418">
        <v>-0.76107009999999997</v>
      </c>
      <c r="S2418">
        <v>-0.98495480000000002</v>
      </c>
      <c r="T2418">
        <v>-0.1021478</v>
      </c>
      <c r="U2418">
        <v>-3.1042480000000001</v>
      </c>
      <c r="V2418">
        <v>-6.0633029999999999E-3</v>
      </c>
      <c r="W2418">
        <v>-2.1305749999999998E-2</v>
      </c>
      <c r="X2418">
        <v>0.99975460000000005</v>
      </c>
      <c r="Y2418">
        <v>-0.393235</v>
      </c>
      <c r="Z2418">
        <v>1.9555949999999999E-2</v>
      </c>
      <c r="AA2418">
        <v>0.91922999999999999</v>
      </c>
      <c r="AB2418">
        <v>9</v>
      </c>
      <c r="AC2418">
        <v>-10.660399999999999</v>
      </c>
      <c r="AD2418">
        <v>-1.1109365433309999</v>
      </c>
      <c r="AE2418">
        <v>-33.694899999999897</v>
      </c>
      <c r="AF2418">
        <v>-13.908412865965699</v>
      </c>
      <c r="AG2418">
        <v>-1.1109365433309999</v>
      </c>
      <c r="AH2418">
        <v>32.4512212333291</v>
      </c>
      <c r="AI2418">
        <v>91.802262289854397</v>
      </c>
      <c r="AJ2418">
        <v>113.19970418611901</v>
      </c>
      <c r="AK2418">
        <v>35.323644885373</v>
      </c>
      <c r="AL2418">
        <v>91.220821953663403</v>
      </c>
      <c r="AM2418">
        <v>90.347482684813201</v>
      </c>
      <c r="AN2418">
        <v>0.99999997942374597</v>
      </c>
    </row>
    <row r="2419" spans="1:40" x14ac:dyDescent="0.25">
      <c r="A2419" t="str">
        <f>"20190312161005399"</f>
        <v>20190312161005399</v>
      </c>
      <c r="B2419" t="str">
        <f>"1552378205388058"</f>
        <v>1552378205388058</v>
      </c>
      <c r="C2419" t="s">
        <v>40</v>
      </c>
      <c r="D2419">
        <v>5.1650299999999998</v>
      </c>
      <c r="E2419">
        <v>0.34144540000000001</v>
      </c>
      <c r="F2419" t="s">
        <v>41</v>
      </c>
      <c r="G2419">
        <v>-498.93540000000002</v>
      </c>
      <c r="H2419" s="1">
        <v>-3.2748279999999999E-6</v>
      </c>
      <c r="I2419">
        <v>241.95249999999999</v>
      </c>
      <c r="J2419">
        <v>-488.08749999999998</v>
      </c>
      <c r="K2419">
        <v>1.1109340000000001</v>
      </c>
      <c r="L2419">
        <v>276.51420000000002</v>
      </c>
      <c r="M2419">
        <v>-0.65142199999999995</v>
      </c>
      <c r="N2419">
        <v>0</v>
      </c>
      <c r="O2419">
        <v>-0.75863369999999997</v>
      </c>
      <c r="P2419">
        <v>-0.64652589999999999</v>
      </c>
      <c r="Q2419">
        <v>-3.2485109999999998E-2</v>
      </c>
      <c r="R2419">
        <v>-0.76220030000000005</v>
      </c>
      <c r="S2419">
        <v>-0.97640990000000005</v>
      </c>
      <c r="T2419">
        <v>-9.9753140000000004E-2</v>
      </c>
      <c r="U2419">
        <v>-3.1063839999999998</v>
      </c>
      <c r="V2419">
        <v>-5.9927440000000004E-3</v>
      </c>
      <c r="W2419">
        <v>-2.1344129999999999E-2</v>
      </c>
      <c r="X2419">
        <v>0.99975429999999998</v>
      </c>
      <c r="Y2419">
        <v>-0.39404339999999999</v>
      </c>
      <c r="Z2419">
        <v>1.9136759999999999E-2</v>
      </c>
      <c r="AA2419">
        <v>0.91889259999999995</v>
      </c>
      <c r="AB2419">
        <v>9</v>
      </c>
      <c r="AC2419">
        <v>-10.847899999999999</v>
      </c>
      <c r="AD2419">
        <v>-1.110937274828</v>
      </c>
      <c r="AE2419">
        <v>-34.561700000000002</v>
      </c>
      <c r="AF2419">
        <v>-14.272133316839501</v>
      </c>
      <c r="AG2419">
        <v>-1.110937274828</v>
      </c>
      <c r="AH2419">
        <v>33.257019810929997</v>
      </c>
      <c r="AI2419">
        <v>91.758271994001902</v>
      </c>
      <c r="AJ2419">
        <v>113.226420592851</v>
      </c>
      <c r="AK2419">
        <v>36.207144843895598</v>
      </c>
      <c r="AL2419">
        <v>91.2230213519058</v>
      </c>
      <c r="AM2419">
        <v>90.3434392096366</v>
      </c>
      <c r="AN2419">
        <v>1.00000007261729</v>
      </c>
    </row>
    <row r="2420" spans="1:40" x14ac:dyDescent="0.25">
      <c r="A2420" t="str">
        <f>"20190312161005411"</f>
        <v>20190312161005411</v>
      </c>
      <c r="B2420" t="str">
        <f>"1552378205408554"</f>
        <v>1552378205408554</v>
      </c>
      <c r="C2420" t="s">
        <v>40</v>
      </c>
      <c r="D2420">
        <v>5.1769410000000002</v>
      </c>
      <c r="E2420">
        <v>0.34193069999999998</v>
      </c>
      <c r="F2420" t="s">
        <v>41</v>
      </c>
      <c r="G2420">
        <v>-498.5872</v>
      </c>
      <c r="H2420" s="1">
        <v>-3.5595049999999999E-6</v>
      </c>
      <c r="I2420">
        <v>242.97049999999999</v>
      </c>
      <c r="J2420">
        <v>-488.11450000000002</v>
      </c>
      <c r="K2420">
        <v>1.1109329999999999</v>
      </c>
      <c r="L2420">
        <v>276.47930000000002</v>
      </c>
      <c r="M2420">
        <v>-0.64999240000000003</v>
      </c>
      <c r="N2420">
        <v>0</v>
      </c>
      <c r="O2420">
        <v>-0.75985899999999995</v>
      </c>
      <c r="P2420">
        <v>-0.64520880000000003</v>
      </c>
      <c r="Q2420">
        <v>-3.2123190000000003E-2</v>
      </c>
      <c r="R2420">
        <v>-0.76333050000000002</v>
      </c>
      <c r="S2420">
        <v>-0.97244260000000005</v>
      </c>
      <c r="T2420">
        <v>-0.102891</v>
      </c>
      <c r="U2420">
        <v>-3.1066889999999998</v>
      </c>
      <c r="V2420">
        <v>-5.8469100000000003E-3</v>
      </c>
      <c r="W2420">
        <v>-2.1003239999999999E-2</v>
      </c>
      <c r="X2420">
        <v>0.99976229999999999</v>
      </c>
      <c r="Y2420">
        <v>-0.39341100000000001</v>
      </c>
      <c r="Z2420">
        <v>1.9799009999999999E-2</v>
      </c>
      <c r="AA2420">
        <v>0.91914949999999995</v>
      </c>
      <c r="AB2420">
        <v>9</v>
      </c>
      <c r="AC2420">
        <v>-10.4726999999999</v>
      </c>
      <c r="AD2420">
        <v>-1.110936559505</v>
      </c>
      <c r="AE2420">
        <v>-33.508800000000001</v>
      </c>
      <c r="AF2420">
        <v>-13.809719962919299</v>
      </c>
      <c r="AG2420">
        <v>-1.110936559505</v>
      </c>
      <c r="AH2420">
        <v>32.238860088238098</v>
      </c>
      <c r="AI2420">
        <v>91.814282393958393</v>
      </c>
      <c r="AJ2420">
        <v>113.18817810311199</v>
      </c>
      <c r="AK2420">
        <v>35.089694288814897</v>
      </c>
      <c r="AL2420">
        <v>91.203485515313403</v>
      </c>
      <c r="AM2420">
        <v>90.335079095242904</v>
      </c>
      <c r="AN2420">
        <v>0.99999998947416702</v>
      </c>
    </row>
    <row r="2421" spans="1:40" x14ac:dyDescent="0.25">
      <c r="A2421" t="str">
        <f>"20190312161005422"</f>
        <v>20190312161005422</v>
      </c>
      <c r="B2421" t="str">
        <f>"1552378205418314"</f>
        <v>1552378205418314</v>
      </c>
      <c r="C2421" t="s">
        <v>40</v>
      </c>
      <c r="D2421">
        <v>5.2007469999999998</v>
      </c>
      <c r="E2421">
        <v>0.34213769999999999</v>
      </c>
      <c r="F2421" t="s">
        <v>41</v>
      </c>
      <c r="G2421">
        <v>-498.70299999999997</v>
      </c>
      <c r="H2421" s="1">
        <v>-3.450106E-6</v>
      </c>
      <c r="I2421">
        <v>242.58860000000001</v>
      </c>
      <c r="J2421">
        <v>-488.14170000000001</v>
      </c>
      <c r="K2421">
        <v>1.1109290000000001</v>
      </c>
      <c r="L2421">
        <v>276.44420000000002</v>
      </c>
      <c r="M2421">
        <v>-0.6485533</v>
      </c>
      <c r="N2421">
        <v>0</v>
      </c>
      <c r="O2421">
        <v>-0.76108809999999905</v>
      </c>
      <c r="P2421">
        <v>-0.64399090000000003</v>
      </c>
      <c r="Q2421">
        <v>-3.2172609999999997E-2</v>
      </c>
      <c r="R2421">
        <v>-0.76435659999999905</v>
      </c>
      <c r="S2421">
        <v>-0.97030640000000001</v>
      </c>
      <c r="T2421">
        <v>-0.1018033</v>
      </c>
      <c r="U2421">
        <v>-3.1056520000000001</v>
      </c>
      <c r="V2421">
        <v>-5.5475180000000004E-3</v>
      </c>
      <c r="W2421">
        <v>-2.107417E-2</v>
      </c>
      <c r="X2421">
        <v>0.9997625</v>
      </c>
      <c r="Y2421">
        <v>-0.39215820000000001</v>
      </c>
      <c r="Z2421">
        <v>1.9661729999999999E-2</v>
      </c>
      <c r="AA2421">
        <v>0.9196877</v>
      </c>
      <c r="AB2421">
        <v>9</v>
      </c>
      <c r="AC2421">
        <v>-10.561299999999999</v>
      </c>
      <c r="AD2421">
        <v>-1.1109324501060001</v>
      </c>
      <c r="AE2421">
        <v>-33.855600000000003</v>
      </c>
      <c r="AF2421">
        <v>-13.906295410083301</v>
      </c>
      <c r="AG2421">
        <v>-1.1109324501060001</v>
      </c>
      <c r="AH2421">
        <v>32.586698875080501</v>
      </c>
      <c r="AI2421">
        <v>91.795965778166803</v>
      </c>
      <c r="AJ2421">
        <v>113.11024953653801</v>
      </c>
      <c r="AK2421">
        <v>35.4473153640212</v>
      </c>
      <c r="AL2421">
        <v>91.207550420983694</v>
      </c>
      <c r="AM2421">
        <v>90.317921612466606</v>
      </c>
      <c r="AN2421">
        <v>0.99999997600169899</v>
      </c>
    </row>
    <row r="2422" spans="1:40" x14ac:dyDescent="0.25">
      <c r="A2422" t="str">
        <f>"20190312161005434"</f>
        <v>20190312161005434</v>
      </c>
      <c r="B2422" t="str">
        <f>"1552378205428074"</f>
        <v>1552378205428074</v>
      </c>
      <c r="C2422" t="s">
        <v>40</v>
      </c>
      <c r="D2422">
        <v>5.2011770000000004</v>
      </c>
      <c r="E2422">
        <v>0.34235199999999999</v>
      </c>
      <c r="F2422" t="s">
        <v>41</v>
      </c>
      <c r="G2422">
        <v>-498.7321</v>
      </c>
      <c r="H2422" s="1">
        <v>-3.396854E-6</v>
      </c>
      <c r="I2422">
        <v>242.417</v>
      </c>
      <c r="J2422">
        <v>-488.16930000000002</v>
      </c>
      <c r="K2422">
        <v>1.1109309999999999</v>
      </c>
      <c r="L2422">
        <v>276.4083</v>
      </c>
      <c r="M2422">
        <v>-0.64707950000000003</v>
      </c>
      <c r="N2422">
        <v>0</v>
      </c>
      <c r="O2422">
        <v>-0.76234179999999996</v>
      </c>
      <c r="P2422">
        <v>-0.64252810000000005</v>
      </c>
      <c r="Q2422">
        <v>-3.2046690000000003E-2</v>
      </c>
      <c r="R2422">
        <v>-0.76559160000000004</v>
      </c>
      <c r="S2422">
        <v>-0.96673580000000003</v>
      </c>
      <c r="T2422">
        <v>-0.1014104</v>
      </c>
      <c r="U2422">
        <v>-3.1061399999999999</v>
      </c>
      <c r="V2422">
        <v>-5.5279839999999997E-3</v>
      </c>
      <c r="W2422">
        <v>-2.097249E-2</v>
      </c>
      <c r="X2422">
        <v>0.99976480000000001</v>
      </c>
      <c r="Y2422">
        <v>-0.39138250000000002</v>
      </c>
      <c r="Z2422">
        <v>1.9646779999999999E-2</v>
      </c>
      <c r="AA2422">
        <v>0.92001829999999996</v>
      </c>
      <c r="AB2422">
        <v>9</v>
      </c>
      <c r="AC2422">
        <v>-10.5627999999999</v>
      </c>
      <c r="AD2422">
        <v>-1.110934396854</v>
      </c>
      <c r="AE2422">
        <v>-33.991299999999903</v>
      </c>
      <c r="AF2422">
        <v>-13.9298984835347</v>
      </c>
      <c r="AG2422">
        <v>-1.110934396854</v>
      </c>
      <c r="AH2422">
        <v>32.718105068564199</v>
      </c>
      <c r="AI2422">
        <v>91.789400560979701</v>
      </c>
      <c r="AJ2422">
        <v>113.062124689895</v>
      </c>
      <c r="AK2422">
        <v>35.577389537082503</v>
      </c>
      <c r="AL2422">
        <v>91.201723233643406</v>
      </c>
      <c r="AM2422">
        <v>90.316801436377204</v>
      </c>
      <c r="AN2422">
        <v>1.0000000296314699</v>
      </c>
    </row>
    <row r="2423" spans="1:40" x14ac:dyDescent="0.25">
      <c r="A2423" t="str">
        <f>"20190312161005445"</f>
        <v>20190312161005445</v>
      </c>
      <c r="B2423" t="str">
        <f>"1552378205438340"</f>
        <v>1552378205438340</v>
      </c>
      <c r="C2423" t="s">
        <v>40</v>
      </c>
      <c r="D2423">
        <v>5.2333590000000001</v>
      </c>
      <c r="E2423">
        <v>0.3426437</v>
      </c>
      <c r="F2423" t="s">
        <v>41</v>
      </c>
      <c r="G2423">
        <v>-498.64940000000001</v>
      </c>
      <c r="H2423" s="1">
        <v>-3.4338769999999999E-6</v>
      </c>
      <c r="I2423">
        <v>242.56890000000001</v>
      </c>
      <c r="J2423">
        <v>-488.19529999999997</v>
      </c>
      <c r="K2423">
        <v>1.1109309999999999</v>
      </c>
      <c r="L2423">
        <v>276.37450000000001</v>
      </c>
      <c r="M2423">
        <v>-0.64569399999999999</v>
      </c>
      <c r="N2423">
        <v>0</v>
      </c>
      <c r="O2423">
        <v>-0.76351630000000004</v>
      </c>
      <c r="P2423">
        <v>-0.64115509999999998</v>
      </c>
      <c r="Q2423">
        <v>-3.1808339999999997E-2</v>
      </c>
      <c r="R2423">
        <v>-0.76675209999999905</v>
      </c>
      <c r="S2423">
        <v>-0.96215819999999996</v>
      </c>
      <c r="T2423">
        <v>-0.1019936</v>
      </c>
      <c r="U2423">
        <v>-3.1067499999999999</v>
      </c>
      <c r="V2423">
        <v>-5.5108479999999996E-3</v>
      </c>
      <c r="W2423">
        <v>-2.0757040000000001E-2</v>
      </c>
      <c r="X2423">
        <v>0.99976940000000003</v>
      </c>
      <c r="Y2423">
        <v>-0.39099970000000001</v>
      </c>
      <c r="Z2423">
        <v>1.9814410000000001E-2</v>
      </c>
      <c r="AA2423">
        <v>0.92017749999999998</v>
      </c>
      <c r="AB2423">
        <v>9</v>
      </c>
      <c r="AC2423">
        <v>-10.4541</v>
      </c>
      <c r="AD2423">
        <v>-1.110934433877</v>
      </c>
      <c r="AE2423">
        <v>-33.805599999999998</v>
      </c>
      <c r="AF2423">
        <v>-13.833407548309101</v>
      </c>
      <c r="AG2423">
        <v>-1.110934433877</v>
      </c>
      <c r="AH2423">
        <v>32.5311992993052</v>
      </c>
      <c r="AI2423">
        <v>91.800011691436893</v>
      </c>
      <c r="AJ2423">
        <v>113.036900099222</v>
      </c>
      <c r="AK2423">
        <v>35.367729183043501</v>
      </c>
      <c r="AL2423">
        <v>91.189376159674595</v>
      </c>
      <c r="AM2423">
        <v>90.315817961776403</v>
      </c>
      <c r="AN2423">
        <v>1.0000000386657899</v>
      </c>
    </row>
    <row r="2424" spans="1:40" x14ac:dyDescent="0.25">
      <c r="A2424" t="str">
        <f>"20190312161005468"</f>
        <v>20190312161005468</v>
      </c>
      <c r="B2424" t="str">
        <f>"1552378205457860"</f>
        <v>1552378205457860</v>
      </c>
      <c r="C2424" t="s">
        <v>40</v>
      </c>
      <c r="D2424">
        <v>5.2164890000000002</v>
      </c>
      <c r="E2424">
        <v>0.34301609999999899</v>
      </c>
      <c r="F2424" t="s">
        <v>41</v>
      </c>
      <c r="G2424">
        <v>-498.49779999999998</v>
      </c>
      <c r="H2424" s="1">
        <v>-3.5388509999999998E-6</v>
      </c>
      <c r="I2424">
        <v>242.9564</v>
      </c>
      <c r="J2424">
        <v>-488.24799999999999</v>
      </c>
      <c r="K2424">
        <v>1.1109279999999999</v>
      </c>
      <c r="L2424">
        <v>276.30540000000002</v>
      </c>
      <c r="M2424">
        <v>-0.64285800000000004</v>
      </c>
      <c r="N2424">
        <v>0</v>
      </c>
      <c r="O2424">
        <v>-0.76590619999999998</v>
      </c>
      <c r="P2424">
        <v>-0.63789739999999995</v>
      </c>
      <c r="Q2424">
        <v>-3.147378E-2</v>
      </c>
      <c r="R2424">
        <v>-0.76947840000000001</v>
      </c>
      <c r="S2424">
        <v>-0.95794679999999999</v>
      </c>
      <c r="T2424">
        <v>-0.1032965</v>
      </c>
      <c r="U2424">
        <v>-3.1072690000000001</v>
      </c>
      <c r="V2424">
        <v>-6.0519689999999999E-3</v>
      </c>
      <c r="W2424">
        <v>-2.0470260000000001E-2</v>
      </c>
      <c r="X2424">
        <v>0.99977210000000005</v>
      </c>
      <c r="Y2424">
        <v>-0.38876929999999998</v>
      </c>
      <c r="Z2424">
        <v>2.0191890000000001E-2</v>
      </c>
      <c r="AA2424">
        <v>0.92111379999999998</v>
      </c>
      <c r="AB2424">
        <v>9</v>
      </c>
      <c r="AC2424">
        <v>-10.249799999999899</v>
      </c>
      <c r="AD2424">
        <v>-1.1109315388509999</v>
      </c>
      <c r="AE2424">
        <v>-33.348999999999997</v>
      </c>
      <c r="AF2424">
        <v>-13.575345735467</v>
      </c>
      <c r="AG2424">
        <v>-1.1109315388509999</v>
      </c>
      <c r="AH2424">
        <v>32.100772583303304</v>
      </c>
      <c r="AI2424">
        <v>91.825658442683206</v>
      </c>
      <c r="AJ2424">
        <v>112.92339444526201</v>
      </c>
      <c r="AK2424">
        <v>34.870958994074698</v>
      </c>
      <c r="AL2424">
        <v>91.172941482739802</v>
      </c>
      <c r="AM2424">
        <v>90.346827088079195</v>
      </c>
      <c r="AN2424">
        <v>0.99999995490582605</v>
      </c>
    </row>
    <row r="2425" spans="1:40" x14ac:dyDescent="0.25">
      <c r="A2425" t="str">
        <f>"20190312161005480"</f>
        <v>20190312161005480</v>
      </c>
      <c r="B2425" t="str">
        <f>"1552378205468596"</f>
        <v>1552378205468596</v>
      </c>
      <c r="C2425" t="s">
        <v>40</v>
      </c>
      <c r="D2425">
        <v>5.2183659999999996</v>
      </c>
      <c r="E2425">
        <v>0.3432307</v>
      </c>
      <c r="F2425" t="s">
        <v>41</v>
      </c>
      <c r="G2425">
        <v>-498.5933</v>
      </c>
      <c r="H2425" s="1">
        <v>-3.3437380000000001E-6</v>
      </c>
      <c r="I2425">
        <v>242.33330000000001</v>
      </c>
      <c r="J2425">
        <v>-488.27870000000001</v>
      </c>
      <c r="K2425">
        <v>1.110927</v>
      </c>
      <c r="L2425">
        <v>276.26490000000001</v>
      </c>
      <c r="M2425">
        <v>-0.64119459999999995</v>
      </c>
      <c r="N2425">
        <v>0</v>
      </c>
      <c r="O2425">
        <v>-0.76729979999999998</v>
      </c>
      <c r="P2425">
        <v>-0.63628050000000003</v>
      </c>
      <c r="Q2425">
        <v>-3.1733200000000003E-2</v>
      </c>
      <c r="R2425">
        <v>-0.77080519999999997</v>
      </c>
      <c r="S2425">
        <v>-0.94692989999999999</v>
      </c>
      <c r="T2425">
        <v>-0.1016864</v>
      </c>
      <c r="U2425">
        <v>-3.1095579999999998</v>
      </c>
      <c r="V2425">
        <v>-5.9737480000000001E-3</v>
      </c>
      <c r="W2425">
        <v>-2.075689E-2</v>
      </c>
      <c r="X2425">
        <v>0.99976670000000001</v>
      </c>
      <c r="Y2425">
        <v>-0.38994220000000002</v>
      </c>
      <c r="Z2425">
        <v>1.9924549999999999E-2</v>
      </c>
      <c r="AA2425">
        <v>0.92062379999999999</v>
      </c>
      <c r="AB2425">
        <v>9</v>
      </c>
      <c r="AC2425">
        <v>-10.314599999999899</v>
      </c>
      <c r="AD2425">
        <v>-1.110930343738</v>
      </c>
      <c r="AE2425">
        <v>-33.931600000000003</v>
      </c>
      <c r="AF2425">
        <v>-13.8296318875458</v>
      </c>
      <c r="AG2425">
        <v>-1.110930343738</v>
      </c>
      <c r="AH2425">
        <v>32.619335208741603</v>
      </c>
      <c r="AI2425">
        <v>91.795961122686407</v>
      </c>
      <c r="AJ2425">
        <v>112.975505909877</v>
      </c>
      <c r="AK2425">
        <v>35.447340010696301</v>
      </c>
      <c r="AL2425">
        <v>91.189367616244695</v>
      </c>
      <c r="AM2425">
        <v>90.342346344479694</v>
      </c>
      <c r="AN2425">
        <v>0.99999999428826403</v>
      </c>
    </row>
    <row r="2426" spans="1:40" x14ac:dyDescent="0.25">
      <c r="A2426" t="str">
        <f>"20190312161005493"</f>
        <v>20190312161005493</v>
      </c>
      <c r="B2426" t="str">
        <f>"1552378205488117"</f>
        <v>1552378205488117</v>
      </c>
      <c r="C2426" t="s">
        <v>40</v>
      </c>
      <c r="D2426">
        <v>5.251144</v>
      </c>
      <c r="E2426">
        <v>0.34362379999999998</v>
      </c>
      <c r="F2426" t="s">
        <v>41</v>
      </c>
      <c r="G2426">
        <v>-498.49220000000003</v>
      </c>
      <c r="H2426" s="1">
        <v>-3.3967769999999998E-6</v>
      </c>
      <c r="I2426">
        <v>242.54179999999999</v>
      </c>
      <c r="J2426">
        <v>-488.30880000000002</v>
      </c>
      <c r="K2426">
        <v>1.1109329999999999</v>
      </c>
      <c r="L2426">
        <v>276.22500000000002</v>
      </c>
      <c r="M2426">
        <v>-0.63955499999999998</v>
      </c>
      <c r="N2426">
        <v>0</v>
      </c>
      <c r="O2426">
        <v>-0.76866719999999999</v>
      </c>
      <c r="P2426">
        <v>-0.63434579999999996</v>
      </c>
      <c r="Q2426">
        <v>-3.1670690000000001E-2</v>
      </c>
      <c r="R2426">
        <v>-0.77240059999999999</v>
      </c>
      <c r="S2426">
        <v>-0.94198610000000005</v>
      </c>
      <c r="T2426">
        <v>-0.1024603</v>
      </c>
      <c r="U2426">
        <v>-3.1102599999999998</v>
      </c>
      <c r="V2426">
        <v>-6.3470289999999997E-3</v>
      </c>
      <c r="W2426">
        <v>-2.0721860000000002E-2</v>
      </c>
      <c r="X2426">
        <v>0.99976520000000002</v>
      </c>
      <c r="Y2426">
        <v>-0.38937500000000003</v>
      </c>
      <c r="Z2426">
        <v>2.014082E-2</v>
      </c>
      <c r="AA2426">
        <v>0.92085910000000004</v>
      </c>
      <c r="AB2426">
        <v>9</v>
      </c>
      <c r="AC2426">
        <v>-10.183400000000001</v>
      </c>
      <c r="AD2426">
        <v>-1.1109363967769901</v>
      </c>
      <c r="AE2426">
        <v>-33.683199999999999</v>
      </c>
      <c r="AF2426">
        <v>-13.7017806713464</v>
      </c>
      <c r="AG2426">
        <v>-1.1109363967769901</v>
      </c>
      <c r="AH2426">
        <v>32.373695036563397</v>
      </c>
      <c r="AI2426">
        <v>91.810064752012295</v>
      </c>
      <c r="AJ2426">
        <v>112.939931968021</v>
      </c>
      <c r="AK2426">
        <v>35.171424531340499</v>
      </c>
      <c r="AL2426">
        <v>91.187360026122406</v>
      </c>
      <c r="AM2426">
        <v>90.363738494476294</v>
      </c>
      <c r="AN2426">
        <v>1.00000006769501</v>
      </c>
    </row>
    <row r="2427" spans="1:40" x14ac:dyDescent="0.25">
      <c r="A2427" t="str">
        <f>"20190312161005508"</f>
        <v>20190312161005508</v>
      </c>
      <c r="B2427" t="str">
        <f>"1552378205497876"</f>
        <v>1552378205497876</v>
      </c>
      <c r="C2427" t="s">
        <v>40</v>
      </c>
      <c r="D2427">
        <v>5.2697430000000001</v>
      </c>
      <c r="E2427">
        <v>0.3438464</v>
      </c>
      <c r="F2427" t="s">
        <v>41</v>
      </c>
      <c r="G2427">
        <v>-498.54579999999999</v>
      </c>
      <c r="H2427" s="1">
        <v>-3.2961760000000001E-6</v>
      </c>
      <c r="I2427">
        <v>242.2182</v>
      </c>
      <c r="J2427">
        <v>-488.34359999999998</v>
      </c>
      <c r="K2427">
        <v>1.1109329999999999</v>
      </c>
      <c r="L2427">
        <v>276.17880000000002</v>
      </c>
      <c r="M2427">
        <v>-0.63765780000000005</v>
      </c>
      <c r="N2427">
        <v>0</v>
      </c>
      <c r="O2427">
        <v>-0.77024219999999999</v>
      </c>
      <c r="P2427">
        <v>-0.63257659999999905</v>
      </c>
      <c r="Q2427">
        <v>-3.163734E-2</v>
      </c>
      <c r="R2427">
        <v>-0.77385139999999997</v>
      </c>
      <c r="S2427">
        <v>-0.93643189999999998</v>
      </c>
      <c r="T2427">
        <v>-0.1016232</v>
      </c>
      <c r="U2427">
        <v>-3.110779</v>
      </c>
      <c r="V2427">
        <v>-6.170165E-3</v>
      </c>
      <c r="W2427">
        <v>-2.0719230000000002E-2</v>
      </c>
      <c r="X2427">
        <v>0.9997663</v>
      </c>
      <c r="Y2427">
        <v>-0.38865250000000001</v>
      </c>
      <c r="Z2427">
        <v>2.0052609999999998E-2</v>
      </c>
      <c r="AA2427">
        <v>0.92116620000000005</v>
      </c>
      <c r="AB2427">
        <v>9</v>
      </c>
      <c r="AC2427">
        <v>-10.202199999999999</v>
      </c>
      <c r="AD2427">
        <v>-1.1109362961760001</v>
      </c>
      <c r="AE2427">
        <v>-33.960599999999999</v>
      </c>
      <c r="AF2427">
        <v>-13.784371109061899</v>
      </c>
      <c r="AG2427">
        <v>-1.1109362961760001</v>
      </c>
      <c r="AH2427">
        <v>32.633320713825803</v>
      </c>
      <c r="AI2427">
        <v>91.796211880044694</v>
      </c>
      <c r="AJ2427">
        <v>112.899279990295</v>
      </c>
      <c r="AK2427">
        <v>35.442582963688103</v>
      </c>
      <c r="AL2427">
        <v>91.187209379103294</v>
      </c>
      <c r="AM2427">
        <v>90.353602561987799</v>
      </c>
      <c r="AN2427">
        <v>1.0000000060217999</v>
      </c>
    </row>
    <row r="2428" spans="1:40" x14ac:dyDescent="0.25">
      <c r="A2428" t="str">
        <f>"20190312161005522"</f>
        <v>20190312161005522</v>
      </c>
      <c r="B2428" t="str">
        <f>"1552378205518373"</f>
        <v>1552378205518373</v>
      </c>
      <c r="C2428" t="s">
        <v>40</v>
      </c>
      <c r="D2428">
        <v>5.2436610000000003</v>
      </c>
      <c r="E2428">
        <v>0.34428189999999997</v>
      </c>
      <c r="F2428" t="s">
        <v>41</v>
      </c>
      <c r="G2428">
        <v>-498.495</v>
      </c>
      <c r="H2428" s="1">
        <v>-3.291441E-6</v>
      </c>
      <c r="I2428">
        <v>242.23079999999999</v>
      </c>
      <c r="J2428">
        <v>-488.37540000000001</v>
      </c>
      <c r="K2428">
        <v>1.1109340000000001</v>
      </c>
      <c r="L2428">
        <v>276.13630000000001</v>
      </c>
      <c r="M2428">
        <v>-0.63590999999999998</v>
      </c>
      <c r="N2428">
        <v>0</v>
      </c>
      <c r="O2428">
        <v>-0.77168639999999999</v>
      </c>
      <c r="P2428">
        <v>-0.63064119999999901</v>
      </c>
      <c r="Q2428">
        <v>-3.1506600000000003E-2</v>
      </c>
      <c r="R2428">
        <v>-0.77543469999999903</v>
      </c>
      <c r="S2428">
        <v>-0.93054199999999998</v>
      </c>
      <c r="T2428">
        <v>-0.10183499999999999</v>
      </c>
      <c r="U2428">
        <v>-3.1118769999999998</v>
      </c>
      <c r="V2428">
        <v>-6.4047269999999998E-3</v>
      </c>
      <c r="W2428">
        <v>-2.061841E-2</v>
      </c>
      <c r="X2428">
        <v>0.99976690000000001</v>
      </c>
      <c r="Y2428">
        <v>-0.38825330000000002</v>
      </c>
      <c r="Z2428">
        <v>2.0159150000000001E-2</v>
      </c>
      <c r="AA2428">
        <v>0.92133220000000005</v>
      </c>
      <c r="AB2428">
        <v>9</v>
      </c>
      <c r="AC2428">
        <v>-10.119599999999901</v>
      </c>
      <c r="AD2428">
        <v>-1.1109372914410001</v>
      </c>
      <c r="AE2428">
        <v>-33.905500000000004</v>
      </c>
      <c r="AF2428">
        <v>-13.7389606207716</v>
      </c>
      <c r="AG2428">
        <v>-1.1109372914410001</v>
      </c>
      <c r="AH2428">
        <v>32.5693947937418</v>
      </c>
      <c r="AI2428">
        <v>91.8001009484625</v>
      </c>
      <c r="AJ2428">
        <v>112.871794224095</v>
      </c>
      <c r="AK2428">
        <v>35.3660670393987</v>
      </c>
      <c r="AL2428">
        <v>91.181431595216594</v>
      </c>
      <c r="AM2428">
        <v>90.367044364175001</v>
      </c>
      <c r="AN2428">
        <v>0.99999999684724095</v>
      </c>
    </row>
    <row r="2429" spans="1:40" x14ac:dyDescent="0.25">
      <c r="A2429" t="str">
        <f>"20190312161005535"</f>
        <v>20190312161005535</v>
      </c>
      <c r="B2429" t="str">
        <f>"1552378205528132"</f>
        <v>1552378205528132</v>
      </c>
      <c r="C2429" t="s">
        <v>40</v>
      </c>
      <c r="D2429">
        <v>5.2267769999999896</v>
      </c>
      <c r="E2429">
        <v>0.34448600000000001</v>
      </c>
      <c r="F2429" t="s">
        <v>41</v>
      </c>
      <c r="G2429">
        <v>-498.34840000000003</v>
      </c>
      <c r="H2429" s="1">
        <v>-3.3900900000000001E-6</v>
      </c>
      <c r="I2429">
        <v>242.59710000000001</v>
      </c>
      <c r="J2429">
        <v>-488.40629999999999</v>
      </c>
      <c r="K2429">
        <v>1.110932</v>
      </c>
      <c r="L2429">
        <v>276.09469999999999</v>
      </c>
      <c r="M2429">
        <v>-0.63420019999999999</v>
      </c>
      <c r="N2429">
        <v>0</v>
      </c>
      <c r="O2429">
        <v>-0.77309240000000001</v>
      </c>
      <c r="P2429">
        <v>-0.62883369999999905</v>
      </c>
      <c r="Q2429">
        <v>-3.1344120000000003E-2</v>
      </c>
      <c r="R2429">
        <v>-0.77690789999999998</v>
      </c>
      <c r="S2429">
        <v>-0.92535400000000001</v>
      </c>
      <c r="T2429">
        <v>-0.1030785</v>
      </c>
      <c r="U2429">
        <v>-3.1119379999999999</v>
      </c>
      <c r="V2429">
        <v>-6.5239269999999997E-3</v>
      </c>
      <c r="W2429">
        <v>-2.0486999999999998E-2</v>
      </c>
      <c r="X2429">
        <v>0.99976889999999996</v>
      </c>
      <c r="Y2429">
        <v>-0.38763049999999999</v>
      </c>
      <c r="Z2429">
        <v>2.04767E-2</v>
      </c>
      <c r="AA2429">
        <v>0.92158739999999995</v>
      </c>
      <c r="AB2429">
        <v>9</v>
      </c>
      <c r="AC2429">
        <v>-9.9421000000000301</v>
      </c>
      <c r="AD2429">
        <v>-1.1109353900900001</v>
      </c>
      <c r="AE2429">
        <v>-33.497599999999899</v>
      </c>
      <c r="AF2429">
        <v>-13.5451322911743</v>
      </c>
      <c r="AG2429">
        <v>-1.1109353900900001</v>
      </c>
      <c r="AH2429">
        <v>32.171405504835299</v>
      </c>
      <c r="AI2429">
        <v>91.822877387974302</v>
      </c>
      <c r="AJ2429">
        <v>112.832560958564</v>
      </c>
      <c r="AK2429">
        <v>34.924262603280702</v>
      </c>
      <c r="AL2429">
        <v>91.173900684763893</v>
      </c>
      <c r="AM2429">
        <v>90.373874579964607</v>
      </c>
      <c r="AN2429">
        <v>1.00000006609985</v>
      </c>
    </row>
    <row r="2430" spans="1:40" x14ac:dyDescent="0.25">
      <c r="A2430" t="str">
        <f>"20190312161005547"</f>
        <v>20190312161005547</v>
      </c>
      <c r="B2430" t="str">
        <f>"1552378205538400"</f>
        <v>1552378205538400</v>
      </c>
      <c r="C2430" t="s">
        <v>40</v>
      </c>
      <c r="D2430">
        <v>5.280856</v>
      </c>
      <c r="E2430">
        <v>0.3447152</v>
      </c>
      <c r="F2430" t="s">
        <v>41</v>
      </c>
      <c r="G2430">
        <v>-498.3073</v>
      </c>
      <c r="H2430" s="1">
        <v>-3.377791E-6</v>
      </c>
      <c r="I2430">
        <v>242.58240000000001</v>
      </c>
      <c r="J2430">
        <v>-488.43360000000001</v>
      </c>
      <c r="K2430">
        <v>1.1109340000000001</v>
      </c>
      <c r="L2430">
        <v>276.05790000000002</v>
      </c>
      <c r="M2430">
        <v>-0.63268749999999996</v>
      </c>
      <c r="N2430">
        <v>0</v>
      </c>
      <c r="O2430">
        <v>-0.77433099999999999</v>
      </c>
      <c r="P2430">
        <v>-0.6274459</v>
      </c>
      <c r="Q2430">
        <v>-3.1653239999999999E-2</v>
      </c>
      <c r="R2430">
        <v>-0.77801659999999995</v>
      </c>
      <c r="S2430">
        <v>-0.91967770000000004</v>
      </c>
      <c r="T2430">
        <v>-0.1031924</v>
      </c>
      <c r="U2430">
        <v>-3.1128849999999999</v>
      </c>
      <c r="V2430">
        <v>-6.3451089999999998E-3</v>
      </c>
      <c r="W2430">
        <v>-2.0824180000000001E-2</v>
      </c>
      <c r="X2430">
        <v>0.99976299999999996</v>
      </c>
      <c r="Y2430">
        <v>-0.38744990000000001</v>
      </c>
      <c r="Z2430">
        <v>2.0554869999999999E-2</v>
      </c>
      <c r="AA2430">
        <v>0.92166159999999997</v>
      </c>
      <c r="AB2430">
        <v>9</v>
      </c>
      <c r="AC2430">
        <v>-9.8736999999999799</v>
      </c>
      <c r="AD2430">
        <v>-1.1109373777910001</v>
      </c>
      <c r="AE2430">
        <v>-33.475499999999997</v>
      </c>
      <c r="AF2430">
        <v>-13.521117551315999</v>
      </c>
      <c r="AG2430">
        <v>-1.1109373777910001</v>
      </c>
      <c r="AH2430">
        <v>32.137420785716898</v>
      </c>
      <c r="AI2430">
        <v>91.825003936836595</v>
      </c>
      <c r="AJ2430">
        <v>112.817860507292</v>
      </c>
      <c r="AK2430">
        <v>34.883643967511603</v>
      </c>
      <c r="AL2430">
        <v>91.193223898021202</v>
      </c>
      <c r="AM2430">
        <v>90.363629265327702</v>
      </c>
      <c r="AN2430">
        <v>0.99999998152494696</v>
      </c>
    </row>
    <row r="2431" spans="1:40" x14ac:dyDescent="0.25">
      <c r="A2431" t="str">
        <f>"20190312161005557"</f>
        <v>20190312161005557</v>
      </c>
      <c r="B2431" t="str">
        <f>"1552378205548160"</f>
        <v>1552378205548160</v>
      </c>
      <c r="C2431" t="s">
        <v>40</v>
      </c>
      <c r="D2431">
        <v>5.2497049999999996</v>
      </c>
      <c r="E2431">
        <v>0.3449178</v>
      </c>
      <c r="F2431" t="s">
        <v>41</v>
      </c>
      <c r="G2431">
        <v>-498.18920000000003</v>
      </c>
      <c r="H2431" s="1">
        <v>-3.4592630000000001E-6</v>
      </c>
      <c r="I2431">
        <v>242.88339999999999</v>
      </c>
      <c r="J2431">
        <v>-488.46120000000002</v>
      </c>
      <c r="K2431">
        <v>1.1109309999999999</v>
      </c>
      <c r="L2431">
        <v>276.0204</v>
      </c>
      <c r="M2431">
        <v>-0.63114650000000005</v>
      </c>
      <c r="N2431">
        <v>0</v>
      </c>
      <c r="O2431">
        <v>-0.77558830000000001</v>
      </c>
      <c r="P2431">
        <v>-0.62585239999999998</v>
      </c>
      <c r="Q2431">
        <v>-3.1410849999999997E-2</v>
      </c>
      <c r="R2431">
        <v>-0.77930900000000003</v>
      </c>
      <c r="S2431">
        <v>-0.91552730000000004</v>
      </c>
      <c r="T2431">
        <v>-0.1042575</v>
      </c>
      <c r="U2431">
        <v>-3.1133120000000001</v>
      </c>
      <c r="V2431">
        <v>-6.4090179999999998E-3</v>
      </c>
      <c r="W2431">
        <v>-2.061323E-2</v>
      </c>
      <c r="X2431">
        <v>0.99976699999999996</v>
      </c>
      <c r="Y2431">
        <v>-0.38678269999999998</v>
      </c>
      <c r="Z2431">
        <v>2.082968E-2</v>
      </c>
      <c r="AA2431">
        <v>0.92193559999999997</v>
      </c>
      <c r="AB2431">
        <v>9</v>
      </c>
      <c r="AC2431">
        <v>-9.7279999999999998</v>
      </c>
      <c r="AD2431">
        <v>-1.1109344592629999</v>
      </c>
      <c r="AE2431">
        <v>-33.137</v>
      </c>
      <c r="AF2431">
        <v>-13.3563391347615</v>
      </c>
      <c r="AG2431">
        <v>-1.1109344592629999</v>
      </c>
      <c r="AH2431">
        <v>31.809407935206501</v>
      </c>
      <c r="AI2431">
        <v>91.844359343367699</v>
      </c>
      <c r="AJ2431">
        <v>112.77687476194301</v>
      </c>
      <c r="AK2431">
        <v>34.517595565796903</v>
      </c>
      <c r="AL2431">
        <v>91.181134715559907</v>
      </c>
      <c r="AM2431">
        <v>90.367290230852205</v>
      </c>
      <c r="AN2431">
        <v>1.0000000175258701</v>
      </c>
    </row>
    <row r="2432" spans="1:40" x14ac:dyDescent="0.25">
      <c r="A2432" t="str">
        <f>"20190312161005569"</f>
        <v>20190312161005569</v>
      </c>
      <c r="B2432" t="str">
        <f>"1552378205557920"</f>
        <v>1552378205557920</v>
      </c>
      <c r="C2432" t="s">
        <v>40</v>
      </c>
      <c r="D2432">
        <v>5.2832290000000004</v>
      </c>
      <c r="E2432">
        <v>0.34516529999999901</v>
      </c>
      <c r="F2432" t="s">
        <v>41</v>
      </c>
      <c r="G2432">
        <v>-498.16919999999999</v>
      </c>
      <c r="H2432" s="1">
        <v>-3.4327519999999999E-6</v>
      </c>
      <c r="I2432">
        <v>242.8159</v>
      </c>
      <c r="J2432">
        <v>-488.48750000000001</v>
      </c>
      <c r="K2432">
        <v>1.11093</v>
      </c>
      <c r="L2432">
        <v>275.98469999999998</v>
      </c>
      <c r="M2432">
        <v>-0.6296754</v>
      </c>
      <c r="N2432">
        <v>0</v>
      </c>
      <c r="O2432">
        <v>-0.77678349999999996</v>
      </c>
      <c r="P2432">
        <v>-0.62447919999999901</v>
      </c>
      <c r="Q2432">
        <v>-3.1687439999999997E-2</v>
      </c>
      <c r="R2432">
        <v>-0.78039840000000005</v>
      </c>
      <c r="S2432">
        <v>-0.91049190000000002</v>
      </c>
      <c r="T2432">
        <v>-0.1041927</v>
      </c>
      <c r="U2432">
        <v>-3.1141969999999999</v>
      </c>
      <c r="V2432">
        <v>-6.2664369999999997E-3</v>
      </c>
      <c r="W2432">
        <v>-2.0920279999999999E-2</v>
      </c>
      <c r="X2432">
        <v>0.99976149999999997</v>
      </c>
      <c r="Y2432">
        <v>-0.38647870000000001</v>
      </c>
      <c r="Z2432">
        <v>2.0871710000000002E-2</v>
      </c>
      <c r="AA2432">
        <v>0.92206220000000005</v>
      </c>
      <c r="AB2432">
        <v>9</v>
      </c>
      <c r="AC2432">
        <v>-9.6816999999999709</v>
      </c>
      <c r="AD2432">
        <v>-1.110933432752</v>
      </c>
      <c r="AE2432">
        <v>-33.168799999999898</v>
      </c>
      <c r="AF2432">
        <v>-13.3519674280123</v>
      </c>
      <c r="AG2432">
        <v>-1.110933432752</v>
      </c>
      <c r="AH2432">
        <v>31.830253691701301</v>
      </c>
      <c r="AI2432">
        <v>91.843421616116203</v>
      </c>
      <c r="AJ2432">
        <v>112.75678793683601</v>
      </c>
      <c r="AK2432">
        <v>34.535116292967302</v>
      </c>
      <c r="AL2432">
        <v>91.198731210202695</v>
      </c>
      <c r="AM2432">
        <v>90.359121341365594</v>
      </c>
      <c r="AN2432">
        <v>0.999999991615101</v>
      </c>
    </row>
    <row r="2433" spans="1:40" x14ac:dyDescent="0.25">
      <c r="A2433" t="str">
        <f>"20190312161005591"</f>
        <v>20190312161005591</v>
      </c>
      <c r="B2433" t="str">
        <f>"1552378205588176"</f>
        <v>1552378205588176</v>
      </c>
      <c r="C2433" t="s">
        <v>40</v>
      </c>
      <c r="D2433">
        <v>5.2734110000000003</v>
      </c>
      <c r="E2433">
        <v>0.3458948</v>
      </c>
      <c r="F2433" t="s">
        <v>41</v>
      </c>
      <c r="G2433">
        <v>-498.01569999999998</v>
      </c>
      <c r="H2433" s="1">
        <v>-3.5495640000000001E-6</v>
      </c>
      <c r="I2433">
        <v>243.23920000000001</v>
      </c>
      <c r="J2433">
        <v>-488.53519999999997</v>
      </c>
      <c r="K2433">
        <v>1.1109209999999901</v>
      </c>
      <c r="L2433">
        <v>275.9194</v>
      </c>
      <c r="M2433">
        <v>-0.62698929999999997</v>
      </c>
      <c r="N2433">
        <v>0</v>
      </c>
      <c r="O2433">
        <v>-0.77895419999999904</v>
      </c>
      <c r="P2433">
        <v>-0.62192179999999997</v>
      </c>
      <c r="Q2433">
        <v>-3.1710490000000001E-2</v>
      </c>
      <c r="R2433">
        <v>-0.7824373</v>
      </c>
      <c r="S2433">
        <v>-0.90628050000000004</v>
      </c>
      <c r="T2433">
        <v>-0.1056676</v>
      </c>
      <c r="U2433">
        <v>-3.1146240000000001</v>
      </c>
      <c r="V2433">
        <v>-6.084318E-3</v>
      </c>
      <c r="W2433">
        <v>-2.1000709999999999E-2</v>
      </c>
      <c r="X2433">
        <v>0.99976089999999995</v>
      </c>
      <c r="Y2433">
        <v>-0.38447799999999999</v>
      </c>
      <c r="Z2433">
        <v>2.1283159999999999E-2</v>
      </c>
      <c r="AA2433">
        <v>0.92288879999999995</v>
      </c>
      <c r="AB2433">
        <v>9</v>
      </c>
      <c r="AC2433">
        <v>-9.4804999999999993</v>
      </c>
      <c r="AD2433">
        <v>-1.1109245495640001</v>
      </c>
      <c r="AE2433">
        <v>-32.6801999999999</v>
      </c>
      <c r="AF2433">
        <v>-13.0920580210444</v>
      </c>
      <c r="AG2433">
        <v>-1.1109245495640001</v>
      </c>
      <c r="AH2433">
        <v>31.368917786912199</v>
      </c>
      <c r="AI2433">
        <v>91.871907528346398</v>
      </c>
      <c r="AJ2433">
        <v>112.65359085439501</v>
      </c>
      <c r="AK2433">
        <v>34.009486025273503</v>
      </c>
      <c r="AL2433">
        <v>91.203340568958296</v>
      </c>
      <c r="AM2433">
        <v>90.348684809521203</v>
      </c>
      <c r="AN2433">
        <v>0.99999995295741795</v>
      </c>
    </row>
    <row r="2434" spans="1:40" x14ac:dyDescent="0.25">
      <c r="A2434" t="str">
        <f>"20190312161005613"</f>
        <v>20190312161005613</v>
      </c>
      <c r="B2434" t="str">
        <f>"1552378205607696"</f>
        <v>1552378205607696</v>
      </c>
      <c r="C2434" t="s">
        <v>40</v>
      </c>
      <c r="D2434">
        <v>5.2900199999999904</v>
      </c>
      <c r="E2434">
        <v>0.35710219999999998</v>
      </c>
      <c r="F2434" t="s">
        <v>41</v>
      </c>
      <c r="G2434">
        <v>-497.75810000000001</v>
      </c>
      <c r="H2434" s="1">
        <v>-3.7703289999999999E-6</v>
      </c>
      <c r="I2434">
        <v>244.0222</v>
      </c>
      <c r="J2434">
        <v>-488.5883</v>
      </c>
      <c r="K2434">
        <v>1.1109199999999999</v>
      </c>
      <c r="L2434">
        <v>275.84629999999999</v>
      </c>
      <c r="M2434">
        <v>-0.62397639999999999</v>
      </c>
      <c r="N2434">
        <v>0</v>
      </c>
      <c r="O2434">
        <v>-0.78137060000000003</v>
      </c>
      <c r="P2434">
        <v>-0.61928079999999996</v>
      </c>
      <c r="Q2434">
        <v>-3.1930399999999998E-2</v>
      </c>
      <c r="R2434">
        <v>-0.78452010000000005</v>
      </c>
      <c r="S2434">
        <v>-0.90042109999999997</v>
      </c>
      <c r="T2434">
        <v>-0.1084589</v>
      </c>
      <c r="U2434">
        <v>-3.1141049999999999</v>
      </c>
      <c r="V2434">
        <v>-5.5865849999999998E-3</v>
      </c>
      <c r="W2434">
        <v>-2.128509E-2</v>
      </c>
      <c r="X2434">
        <v>0.99975780000000003</v>
      </c>
      <c r="Y2434">
        <v>-0.38247639999999999</v>
      </c>
      <c r="Z2434">
        <v>2.1983639999999999E-2</v>
      </c>
      <c r="AA2434">
        <v>0.92370370000000002</v>
      </c>
      <c r="AB2434">
        <v>9</v>
      </c>
      <c r="AC2434">
        <v>-9.1698000000000093</v>
      </c>
      <c r="AD2434">
        <v>-1.110923770329</v>
      </c>
      <c r="AE2434">
        <v>-31.824099999999898</v>
      </c>
      <c r="AF2434">
        <v>-12.678929244903699</v>
      </c>
      <c r="AG2434">
        <v>-1.110923770329</v>
      </c>
      <c r="AH2434">
        <v>30.555509854254101</v>
      </c>
      <c r="AI2434">
        <v>91.9233431851695</v>
      </c>
      <c r="AJ2434">
        <v>112.535878821022</v>
      </c>
      <c r="AK2434">
        <v>33.100280676667602</v>
      </c>
      <c r="AL2434">
        <v>91.219637975802897</v>
      </c>
      <c r="AM2434">
        <v>90.320161954092896</v>
      </c>
      <c r="AN2434">
        <v>0.99999996182455397</v>
      </c>
    </row>
    <row r="2435" spans="1:40" x14ac:dyDescent="0.25">
      <c r="A2435" t="str">
        <f>"20190312161005625"</f>
        <v>20190312161005625</v>
      </c>
      <c r="B2435" t="str">
        <f>"1552378205618431"</f>
        <v>1552378205618431</v>
      </c>
      <c r="C2435" t="s">
        <v>40</v>
      </c>
      <c r="D2435">
        <v>5.2627560000000004</v>
      </c>
      <c r="E2435">
        <v>0.3564272</v>
      </c>
      <c r="F2435" t="s">
        <v>41</v>
      </c>
      <c r="G2435">
        <v>-494.9821</v>
      </c>
      <c r="H2435" s="1">
        <v>-3.7366290000000001E-6</v>
      </c>
      <c r="I2435">
        <v>255.37010000000001</v>
      </c>
      <c r="J2435">
        <v>-488.61709999999999</v>
      </c>
      <c r="K2435">
        <v>1.1109199999999999</v>
      </c>
      <c r="L2435">
        <v>275.80630000000002</v>
      </c>
      <c r="M2435">
        <v>-0.62233079999999996</v>
      </c>
      <c r="N2435">
        <v>0</v>
      </c>
      <c r="O2435">
        <v>-0.782682199999999</v>
      </c>
      <c r="P2435">
        <v>-0.61777299999999902</v>
      </c>
      <c r="Q2435">
        <v>-3.1829690000000001E-2</v>
      </c>
      <c r="R2435">
        <v>-0.78571219999999997</v>
      </c>
      <c r="S2435">
        <v>-0.95623780000000003</v>
      </c>
      <c r="T2435">
        <v>-0.1661446</v>
      </c>
      <c r="U2435">
        <v>-3.0623170000000002</v>
      </c>
      <c r="V2435">
        <v>-5.4049609999999998E-3</v>
      </c>
      <c r="W2435">
        <v>-2.121951E-2</v>
      </c>
      <c r="X2435">
        <v>0.99976019999999999</v>
      </c>
      <c r="Y2435">
        <v>-0.36096420000000001</v>
      </c>
      <c r="Z2435">
        <v>3.4477439999999998E-2</v>
      </c>
      <c r="AA2435">
        <v>0.93194219999999905</v>
      </c>
      <c r="AB2435">
        <v>9</v>
      </c>
      <c r="AC2435">
        <v>-6.3650000000000002</v>
      </c>
      <c r="AD2435">
        <v>-1.1109237366289999</v>
      </c>
      <c r="AE2435">
        <v>-20.436199999999999</v>
      </c>
      <c r="AF2435">
        <v>-7.7159564754841004</v>
      </c>
      <c r="AG2435">
        <v>-1.1109237366289999</v>
      </c>
      <c r="AH2435">
        <v>19.903696788411299</v>
      </c>
      <c r="AI2435">
        <v>92.979058498988493</v>
      </c>
      <c r="AJ2435">
        <v>111.189543249407</v>
      </c>
      <c r="AK2435">
        <v>21.375857450057602</v>
      </c>
      <c r="AL2435">
        <v>91.215879660444898</v>
      </c>
      <c r="AM2435">
        <v>90.309752715402993</v>
      </c>
      <c r="AN2435">
        <v>0.99999996935604496</v>
      </c>
    </row>
    <row r="2436" spans="1:40" x14ac:dyDescent="0.25">
      <c r="A2436" t="str">
        <f>"20190312161005637"</f>
        <v>20190312161005637</v>
      </c>
      <c r="B2436" t="str">
        <f>"1552378205628192"</f>
        <v>1552378205628192</v>
      </c>
      <c r="C2436" t="s">
        <v>40</v>
      </c>
      <c r="D2436">
        <v>5.2998620000000001</v>
      </c>
      <c r="E2436">
        <v>0.35642950000000001</v>
      </c>
      <c r="F2436" t="s">
        <v>41</v>
      </c>
      <c r="G2436">
        <v>-495.43770000000001</v>
      </c>
      <c r="H2436" s="1">
        <v>-3.2156339999999998E-6</v>
      </c>
      <c r="I2436">
        <v>253.7122</v>
      </c>
      <c r="J2436">
        <v>-488.6465</v>
      </c>
      <c r="K2436">
        <v>1.1109169999999999</v>
      </c>
      <c r="L2436">
        <v>275.76519999999999</v>
      </c>
      <c r="M2436">
        <v>-0.62063590000000002</v>
      </c>
      <c r="N2436">
        <v>0</v>
      </c>
      <c r="O2436">
        <v>-0.78402759999999905</v>
      </c>
      <c r="P2436">
        <v>-0.61621369999999998</v>
      </c>
      <c r="Q2436">
        <v>-3.1555060000000003E-2</v>
      </c>
      <c r="R2436">
        <v>-0.78694709999999901</v>
      </c>
      <c r="S2436">
        <v>-0.94692989999999999</v>
      </c>
      <c r="T2436">
        <v>-0.15423239999999999</v>
      </c>
      <c r="U2436">
        <v>-3.067383</v>
      </c>
      <c r="V2436">
        <v>-5.2314600000000003E-3</v>
      </c>
      <c r="W2436">
        <v>-2.0981429999999999E-2</v>
      </c>
      <c r="X2436">
        <v>0.99976620000000005</v>
      </c>
      <c r="Y2436">
        <v>-0.36193730000000002</v>
      </c>
      <c r="Z2436">
        <v>3.2053369999999998E-2</v>
      </c>
      <c r="AA2436">
        <v>0.93165120000000001</v>
      </c>
      <c r="AB2436">
        <v>9</v>
      </c>
      <c r="AC2436">
        <v>-6.7911999999999999</v>
      </c>
      <c r="AD2436">
        <v>-1.1109202156339999</v>
      </c>
      <c r="AE2436">
        <v>-22.053000000000001</v>
      </c>
      <c r="AF2436">
        <v>-8.3435238532617202</v>
      </c>
      <c r="AG2436">
        <v>-1.1109202156339999</v>
      </c>
      <c r="AH2436">
        <v>21.456492814111801</v>
      </c>
      <c r="AI2436">
        <v>92.762693227113502</v>
      </c>
      <c r="AJ2436">
        <v>111.248956516146</v>
      </c>
      <c r="AK2436">
        <v>23.0484189891081</v>
      </c>
      <c r="AL2436">
        <v>91.2022355802645</v>
      </c>
      <c r="AM2436">
        <v>90.299807938102504</v>
      </c>
      <c r="AN2436">
        <v>1.0000000216205001</v>
      </c>
    </row>
    <row r="2437" spans="1:40" x14ac:dyDescent="0.25">
      <c r="A2437" t="str">
        <f>"20190312161005651"</f>
        <v>20190312161005651</v>
      </c>
      <c r="B2437" t="str">
        <f>"1552378205648219"</f>
        <v>1552378205648219</v>
      </c>
      <c r="C2437" t="s">
        <v>40</v>
      </c>
      <c r="D2437">
        <v>5.2880390000000004</v>
      </c>
      <c r="E2437">
        <v>0.3565159</v>
      </c>
      <c r="F2437" t="s">
        <v>41</v>
      </c>
      <c r="G2437">
        <v>-495.6549</v>
      </c>
      <c r="H2437" s="1">
        <v>-2.9253650000000001E-6</v>
      </c>
      <c r="I2437">
        <v>252.90090000000001</v>
      </c>
      <c r="J2437">
        <v>-488.67430000000002</v>
      </c>
      <c r="K2437">
        <v>1.11091299999999</v>
      </c>
      <c r="L2437">
        <v>275.72640000000001</v>
      </c>
      <c r="M2437">
        <v>-0.61903739999999996</v>
      </c>
      <c r="N2437">
        <v>0</v>
      </c>
      <c r="O2437">
        <v>-0.7852905</v>
      </c>
      <c r="P2437">
        <v>-0.61450329999999997</v>
      </c>
      <c r="Q2437">
        <v>-3.1585160000000001E-2</v>
      </c>
      <c r="R2437">
        <v>-0.78828189999999998</v>
      </c>
      <c r="S2437">
        <v>-0.9408569</v>
      </c>
      <c r="T2437">
        <v>-0.14913899999999999</v>
      </c>
      <c r="U2437">
        <v>-3.0694889999999999</v>
      </c>
      <c r="V2437">
        <v>-5.3644599999999997E-3</v>
      </c>
      <c r="W2437">
        <v>-2.104746E-2</v>
      </c>
      <c r="X2437">
        <v>0.99976410000000004</v>
      </c>
      <c r="Y2437">
        <v>-0.3618924</v>
      </c>
      <c r="Z2437">
        <v>3.1067790000000001E-2</v>
      </c>
      <c r="AA2437">
        <v>0.93170200000000003</v>
      </c>
      <c r="AB2437">
        <v>9</v>
      </c>
      <c r="AC2437">
        <v>-6.9805999999999804</v>
      </c>
      <c r="AD2437">
        <v>-1.1109159253649901</v>
      </c>
      <c r="AE2437">
        <v>-22.825500000000002</v>
      </c>
      <c r="AF2437">
        <v>-8.6298279649640506</v>
      </c>
      <c r="AG2437">
        <v>-1.1109159253649901</v>
      </c>
      <c r="AH2437">
        <v>22.1990545842324</v>
      </c>
      <c r="AI2437">
        <v>92.670505767377193</v>
      </c>
      <c r="AJ2437">
        <v>111.24347061555299</v>
      </c>
      <c r="AK2437">
        <v>23.843365729943301</v>
      </c>
      <c r="AL2437">
        <v>91.206019664932299</v>
      </c>
      <c r="AM2437">
        <v>90.307430490526301</v>
      </c>
      <c r="AN2437">
        <v>1.00000001432617</v>
      </c>
    </row>
    <row r="2438" spans="1:40" x14ac:dyDescent="0.25">
      <c r="A2438" t="str">
        <f>"20190312161005665"</f>
        <v>20190312161005665</v>
      </c>
      <c r="B2438" t="str">
        <f>"1552378205657979"</f>
        <v>1552378205657979</v>
      </c>
      <c r="C2438" t="s">
        <v>40</v>
      </c>
      <c r="D2438">
        <v>5.2411820000000002</v>
      </c>
      <c r="E2438">
        <v>0.35661920000000003</v>
      </c>
      <c r="F2438" t="s">
        <v>41</v>
      </c>
      <c r="G2438">
        <v>-496.02949999999998</v>
      </c>
      <c r="H2438" s="1">
        <v>-2.458888E-6</v>
      </c>
      <c r="I2438">
        <v>251.5812</v>
      </c>
      <c r="J2438">
        <v>-488.7097</v>
      </c>
      <c r="K2438">
        <v>1.110911</v>
      </c>
      <c r="L2438">
        <v>275.67649999999998</v>
      </c>
      <c r="M2438">
        <v>-0.61698129999999995</v>
      </c>
      <c r="N2438">
        <v>0</v>
      </c>
      <c r="O2438">
        <v>-0.78690780000000005</v>
      </c>
      <c r="P2438">
        <v>-0.61246650000000002</v>
      </c>
      <c r="Q2438">
        <v>-3.1406799999999999E-2</v>
      </c>
      <c r="R2438">
        <v>-0.78987220000000002</v>
      </c>
      <c r="S2438">
        <v>-0.93545529999999999</v>
      </c>
      <c r="T2438">
        <v>-0.1412882</v>
      </c>
      <c r="U2438">
        <v>-3.0708310000000001</v>
      </c>
      <c r="V2438">
        <v>-5.3334869999999996E-3</v>
      </c>
      <c r="W2438">
        <v>-2.0915960000000001E-2</v>
      </c>
      <c r="X2438">
        <v>0.99976699999999996</v>
      </c>
      <c r="Y2438">
        <v>-0.36105189999999998</v>
      </c>
      <c r="Z2438">
        <v>2.9538419999999999E-2</v>
      </c>
      <c r="AA2438">
        <v>0.93207779999999996</v>
      </c>
      <c r="AB2438">
        <v>9</v>
      </c>
      <c r="AC2438">
        <v>-7.3197999999999803</v>
      </c>
      <c r="AD2438">
        <v>-1.1109134588879901</v>
      </c>
      <c r="AE2438">
        <v>-24.095299999999899</v>
      </c>
      <c r="AF2438">
        <v>-9.0891553790186901</v>
      </c>
      <c r="AG2438">
        <v>-1.1109134588879901</v>
      </c>
      <c r="AH2438">
        <v>23.432651102060401</v>
      </c>
      <c r="AI2438">
        <v>92.530837106289596</v>
      </c>
      <c r="AJ2438">
        <v>111.20048673112299</v>
      </c>
      <c r="AK2438">
        <v>25.158219569118401</v>
      </c>
      <c r="AL2438">
        <v>91.198483641543802</v>
      </c>
      <c r="AM2438">
        <v>90.305654613833894</v>
      </c>
      <c r="AN2438">
        <v>0.99999998887764996</v>
      </c>
    </row>
    <row r="2439" spans="1:40" x14ac:dyDescent="0.25">
      <c r="A2439" t="str">
        <f>"20190312161005680"</f>
        <v>20190312161005680</v>
      </c>
      <c r="B2439" t="str">
        <f>"1552378205667741"</f>
        <v>1552378205667741</v>
      </c>
      <c r="C2439" t="s">
        <v>40</v>
      </c>
      <c r="D2439">
        <v>5.2588280000000003</v>
      </c>
      <c r="E2439">
        <v>0.35702349999999999</v>
      </c>
      <c r="F2439" t="s">
        <v>41</v>
      </c>
      <c r="G2439">
        <v>-495.89370000000002</v>
      </c>
      <c r="H2439" s="1">
        <v>-2.5593619999999998E-6</v>
      </c>
      <c r="I2439">
        <v>251.89959999999999</v>
      </c>
      <c r="J2439">
        <v>-488.74459999999999</v>
      </c>
      <c r="K2439">
        <v>1.110908</v>
      </c>
      <c r="L2439">
        <v>275.62709999999998</v>
      </c>
      <c r="M2439">
        <v>-0.61494439999999995</v>
      </c>
      <c r="N2439">
        <v>0</v>
      </c>
      <c r="O2439">
        <v>-0.78850129999999996</v>
      </c>
      <c r="P2439">
        <v>-0.61043000000000003</v>
      </c>
      <c r="Q2439">
        <v>-3.1442749999999998E-2</v>
      </c>
      <c r="R2439">
        <v>-0.79144630000000005</v>
      </c>
      <c r="S2439">
        <v>-0.92834470000000002</v>
      </c>
      <c r="T2439">
        <v>-0.14355770000000001</v>
      </c>
      <c r="U2439">
        <v>-3.0725709999999999</v>
      </c>
      <c r="V2439">
        <v>-5.3220359999999996E-3</v>
      </c>
      <c r="W2439">
        <v>-2.1001329999999999E-2</v>
      </c>
      <c r="X2439">
        <v>0.99976529999999997</v>
      </c>
      <c r="Y2439">
        <v>-0.36076760000000002</v>
      </c>
      <c r="Z2439">
        <v>3.0108340000000001E-2</v>
      </c>
      <c r="AA2439">
        <v>0.93216960000000004</v>
      </c>
      <c r="AB2439">
        <v>9</v>
      </c>
      <c r="AC2439">
        <v>-7.14910000000003</v>
      </c>
      <c r="AD2439">
        <v>-1.1109105593619999</v>
      </c>
      <c r="AE2439">
        <v>-23.7274999999999</v>
      </c>
      <c r="AF2439">
        <v>-8.93654785631397</v>
      </c>
      <c r="AG2439">
        <v>-1.1109105593619999</v>
      </c>
      <c r="AH2439">
        <v>23.0603810773992</v>
      </c>
      <c r="AI2439">
        <v>92.571940164745598</v>
      </c>
      <c r="AJ2439">
        <v>111.182754042109</v>
      </c>
      <c r="AK2439">
        <v>24.756356462411102</v>
      </c>
      <c r="AL2439">
        <v>91.203376022491298</v>
      </c>
      <c r="AM2439">
        <v>90.304998904202094</v>
      </c>
      <c r="AN2439">
        <v>1.00000001750652</v>
      </c>
    </row>
    <row r="2440" spans="1:40" x14ac:dyDescent="0.25">
      <c r="A2440" t="str">
        <f>"20190312161005702"</f>
        <v>20190312161005702</v>
      </c>
      <c r="B2440" t="str">
        <f>"1552378205697995"</f>
        <v>1552378205697995</v>
      </c>
      <c r="C2440" t="s">
        <v>40</v>
      </c>
      <c r="D2440">
        <v>5.2487919999999999</v>
      </c>
      <c r="E2440">
        <v>0.3574775</v>
      </c>
      <c r="F2440" t="s">
        <v>41</v>
      </c>
      <c r="G2440">
        <v>-495.68200000000002</v>
      </c>
      <c r="H2440" s="1">
        <v>-2.7667020000000002E-6</v>
      </c>
      <c r="I2440">
        <v>252.51419999999999</v>
      </c>
      <c r="J2440">
        <v>-488.79680000000002</v>
      </c>
      <c r="K2440">
        <v>1.1109070000000001</v>
      </c>
      <c r="L2440">
        <v>275.55290000000002</v>
      </c>
      <c r="M2440">
        <v>-0.61187899999999995</v>
      </c>
      <c r="N2440">
        <v>0</v>
      </c>
      <c r="O2440">
        <v>-0.79088340000000001</v>
      </c>
      <c r="P2440">
        <v>-0.6076087</v>
      </c>
      <c r="Q2440">
        <v>-3.1199000000000001E-2</v>
      </c>
      <c r="R2440">
        <v>-0.79362390000000005</v>
      </c>
      <c r="S2440">
        <v>-0.92242429999999997</v>
      </c>
      <c r="T2440">
        <v>-0.1477108</v>
      </c>
      <c r="U2440">
        <v>-3.0731809999999999</v>
      </c>
      <c r="V2440">
        <v>-5.005509E-3</v>
      </c>
      <c r="W2440">
        <v>-2.0832759999999999E-2</v>
      </c>
      <c r="X2440">
        <v>0.99977050000000001</v>
      </c>
      <c r="Y2440">
        <v>-0.358853599999999</v>
      </c>
      <c r="Z2440">
        <v>3.1154339999999999E-2</v>
      </c>
      <c r="AA2440">
        <v>0.93287379999999998</v>
      </c>
      <c r="AB2440">
        <v>9</v>
      </c>
      <c r="AC2440">
        <v>-6.8851999999999398</v>
      </c>
      <c r="AD2440">
        <v>-1.11090976670199</v>
      </c>
      <c r="AE2440">
        <v>-23.038699999999999</v>
      </c>
      <c r="AF2440">
        <v>-8.6335435636259898</v>
      </c>
      <c r="AG2440">
        <v>-1.11090976670199</v>
      </c>
      <c r="AH2440">
        <v>22.387256226940501</v>
      </c>
      <c r="AI2440">
        <v>92.650836682690397</v>
      </c>
      <c r="AJ2440">
        <v>111.088906346735</v>
      </c>
      <c r="AK2440">
        <v>24.020021572543801</v>
      </c>
      <c r="AL2440">
        <v>91.193715513763195</v>
      </c>
      <c r="AM2440">
        <v>90.286857977632906</v>
      </c>
      <c r="AN2440">
        <v>1.0000000558399</v>
      </c>
    </row>
    <row r="2441" spans="1:40" x14ac:dyDescent="0.25">
      <c r="A2441" t="str">
        <f>"20190312161005716"</f>
        <v>20190312161005716</v>
      </c>
      <c r="B2441" t="str">
        <f>"1552378205707756"</f>
        <v>1552378205707756</v>
      </c>
      <c r="C2441" t="s">
        <v>40</v>
      </c>
      <c r="D2441">
        <v>5.2525279999999999</v>
      </c>
      <c r="E2441">
        <v>0.3577477</v>
      </c>
      <c r="F2441" t="s">
        <v>41</v>
      </c>
      <c r="G2441">
        <v>-495.78809999999999</v>
      </c>
      <c r="H2441" s="1">
        <v>-2.5943209999999998E-6</v>
      </c>
      <c r="I2441">
        <v>252.04660000000001</v>
      </c>
      <c r="J2441">
        <v>-488.82920000000001</v>
      </c>
      <c r="K2441">
        <v>1.1109119999999999</v>
      </c>
      <c r="L2441">
        <v>275.50639999999999</v>
      </c>
      <c r="M2441">
        <v>-0.60996130000000004</v>
      </c>
      <c r="N2441">
        <v>0</v>
      </c>
      <c r="O2441">
        <v>-0.79236399999999996</v>
      </c>
      <c r="P2441">
        <v>-0.60563469999999997</v>
      </c>
      <c r="Q2441">
        <v>-3.1412469999999998E-2</v>
      </c>
      <c r="R2441">
        <v>-0.79512269999999996</v>
      </c>
      <c r="S2441">
        <v>-0.91439820000000005</v>
      </c>
      <c r="T2441">
        <v>-0.1452965</v>
      </c>
      <c r="U2441">
        <v>-3.0744020000000001</v>
      </c>
      <c r="V2441">
        <v>-5.061734E-3</v>
      </c>
      <c r="W2441">
        <v>-2.1092550000000002E-2</v>
      </c>
      <c r="X2441">
        <v>0.99976469999999995</v>
      </c>
      <c r="Y2441">
        <v>-0.35892580000000002</v>
      </c>
      <c r="Z2441">
        <v>3.0738729999999999E-2</v>
      </c>
      <c r="AA2441">
        <v>0.93285980000000002</v>
      </c>
      <c r="AB2441">
        <v>9</v>
      </c>
      <c r="AC2441">
        <v>-6.9588999999999697</v>
      </c>
      <c r="AD2441">
        <v>-1.1109145943209999</v>
      </c>
      <c r="AE2441">
        <v>-23.459799999999898</v>
      </c>
      <c r="AF2441">
        <v>-8.7779648882937096</v>
      </c>
      <c r="AG2441">
        <v>-1.1109145943209999</v>
      </c>
      <c r="AH2441">
        <v>22.787610341793702</v>
      </c>
      <c r="AI2441">
        <v>92.604722295758606</v>
      </c>
      <c r="AJ2441">
        <v>111.067073185486</v>
      </c>
      <c r="AK2441">
        <v>24.445080975636301</v>
      </c>
      <c r="AL2441">
        <v>91.208603739373302</v>
      </c>
      <c r="AM2441">
        <v>90.290081773483294</v>
      </c>
      <c r="AN2441">
        <v>0.999999986091339</v>
      </c>
    </row>
    <row r="2442" spans="1:40" x14ac:dyDescent="0.25">
      <c r="A2442" t="str">
        <f>"20190312161005737"</f>
        <v>20190312161005737</v>
      </c>
      <c r="B2442" t="str">
        <f>"1552378205728251"</f>
        <v>1552378205728251</v>
      </c>
      <c r="C2442" t="s">
        <v>40</v>
      </c>
      <c r="D2442">
        <v>5.2253480000000003</v>
      </c>
      <c r="E2442">
        <v>0.35826550000000001</v>
      </c>
      <c r="F2442" t="s">
        <v>41</v>
      </c>
      <c r="G2442">
        <v>-495.73840000000001</v>
      </c>
      <c r="H2442" s="1">
        <v>-2.6110620000000001E-6</v>
      </c>
      <c r="I2442">
        <v>252.1165</v>
      </c>
      <c r="J2442">
        <v>-488.87700000000001</v>
      </c>
      <c r="K2442">
        <v>1.110911</v>
      </c>
      <c r="L2442">
        <v>275.4375</v>
      </c>
      <c r="M2442">
        <v>-0.607120199999999</v>
      </c>
      <c r="N2442">
        <v>0</v>
      </c>
      <c r="O2442">
        <v>-0.79454369999999996</v>
      </c>
      <c r="P2442">
        <v>-0.60314559999999995</v>
      </c>
      <c r="Q2442">
        <v>-3.1122839999999999E-2</v>
      </c>
      <c r="R2442">
        <v>-0.79702410000000001</v>
      </c>
      <c r="S2442">
        <v>-0.90841669999999997</v>
      </c>
      <c r="T2442">
        <v>-0.14606369999999999</v>
      </c>
      <c r="U2442">
        <v>-3.0753170000000001</v>
      </c>
      <c r="V2442">
        <v>-4.6141120000000001E-3</v>
      </c>
      <c r="W2442">
        <v>-2.086638E-2</v>
      </c>
      <c r="X2442">
        <v>0.99977169999999904</v>
      </c>
      <c r="Y2442">
        <v>-0.35732950000000002</v>
      </c>
      <c r="Z2442">
        <v>3.1056239999999999E-2</v>
      </c>
      <c r="AA2442">
        <v>0.93346189999999996</v>
      </c>
      <c r="AB2442">
        <v>9</v>
      </c>
      <c r="AC2442">
        <v>-6.8614000000000503</v>
      </c>
      <c r="AD2442">
        <v>-1.1109136110619999</v>
      </c>
      <c r="AE2442">
        <v>-23.321000000000002</v>
      </c>
      <c r="AF2442">
        <v>-8.6892802125097894</v>
      </c>
      <c r="AG2442">
        <v>-1.1109136110619999</v>
      </c>
      <c r="AH2442">
        <v>22.6491437541703</v>
      </c>
      <c r="AI2442">
        <v>92.621990161360898</v>
      </c>
      <c r="AJ2442">
        <v>110.98917021363501</v>
      </c>
      <c r="AK2442">
        <v>24.284180703903299</v>
      </c>
      <c r="AL2442">
        <v>91.195642194886702</v>
      </c>
      <c r="AM2442">
        <v>90.264427635654599</v>
      </c>
      <c r="AN2442">
        <v>1.00000007398236</v>
      </c>
    </row>
    <row r="2443" spans="1:40" x14ac:dyDescent="0.25">
      <c r="A2443" t="str">
        <f>"20190312161005752"</f>
        <v>20190312161005752</v>
      </c>
      <c r="B2443" t="str">
        <f>"1552378205748280"</f>
        <v>1552378205748280</v>
      </c>
      <c r="C2443" t="s">
        <v>40</v>
      </c>
      <c r="D2443">
        <v>5.2144519999999996</v>
      </c>
      <c r="E2443">
        <v>0.35872520000000002</v>
      </c>
      <c r="F2443" t="s">
        <v>41</v>
      </c>
      <c r="G2443">
        <v>-495.65480000000002</v>
      </c>
      <c r="H2443" s="1">
        <v>-2.6798059999999999E-6</v>
      </c>
      <c r="I2443">
        <v>252.32849999999999</v>
      </c>
      <c r="J2443">
        <v>-488.90980000000002</v>
      </c>
      <c r="K2443">
        <v>1.1109119999999999</v>
      </c>
      <c r="L2443">
        <v>275.38979999999998</v>
      </c>
      <c r="M2443">
        <v>-0.60515019999999997</v>
      </c>
      <c r="N2443">
        <v>0</v>
      </c>
      <c r="O2443">
        <v>-0.79604560000000002</v>
      </c>
      <c r="P2443">
        <v>-0.60123680000000002</v>
      </c>
      <c r="Q2443">
        <v>-3.1113410000000001E-2</v>
      </c>
      <c r="R2443">
        <v>-0.79846530000000004</v>
      </c>
      <c r="S2443">
        <v>-0.90206909999999896</v>
      </c>
      <c r="T2443">
        <v>-0.14785239999999999</v>
      </c>
      <c r="U2443">
        <v>-3.0755919999999999</v>
      </c>
      <c r="V2443">
        <v>-4.5297269999999999E-3</v>
      </c>
      <c r="W2443">
        <v>-2.089792E-2</v>
      </c>
      <c r="X2443">
        <v>0.99977139999999998</v>
      </c>
      <c r="Y2443">
        <v>-0.35681580000000002</v>
      </c>
      <c r="Z2443">
        <v>3.154473E-2</v>
      </c>
      <c r="AA2443">
        <v>0.93364199999999997</v>
      </c>
      <c r="AB2443">
        <v>9</v>
      </c>
      <c r="AC2443">
        <v>-6.7450000000000001</v>
      </c>
      <c r="AD2443">
        <v>-1.1109146798059999</v>
      </c>
      <c r="AE2443">
        <v>-23.0612999999999</v>
      </c>
      <c r="AF2443">
        <v>-8.5683554575615002</v>
      </c>
      <c r="AG2443">
        <v>-1.1109146798059999</v>
      </c>
      <c r="AH2443">
        <v>22.3928894224236</v>
      </c>
      <c r="AI2443">
        <v>92.652848625223001</v>
      </c>
      <c r="AJ2443">
        <v>110.938716471001</v>
      </c>
      <c r="AK2443">
        <v>24.001923742854899</v>
      </c>
      <c r="AL2443">
        <v>91.197449730242894</v>
      </c>
      <c r="AM2443">
        <v>90.259591806265306</v>
      </c>
      <c r="AN2443">
        <v>1.0000000468724799</v>
      </c>
    </row>
    <row r="2444" spans="1:40" x14ac:dyDescent="0.25">
      <c r="A2444" t="str">
        <f>"20190312161005765"</f>
        <v>20190312161005765</v>
      </c>
      <c r="B2444" t="str">
        <f>"1552378205758041"</f>
        <v>1552378205758041</v>
      </c>
      <c r="C2444" t="s">
        <v>40</v>
      </c>
      <c r="D2444">
        <v>5.2222419999999996</v>
      </c>
      <c r="E2444">
        <v>0.35896460000000002</v>
      </c>
      <c r="F2444" t="s">
        <v>41</v>
      </c>
      <c r="G2444">
        <v>-495.68979999999999</v>
      </c>
      <c r="H2444" s="1">
        <v>-2.6165810000000002E-6</v>
      </c>
      <c r="I2444">
        <v>252.15940000000001</v>
      </c>
      <c r="J2444">
        <v>-488.94150000000002</v>
      </c>
      <c r="K2444">
        <v>1.1109150000000001</v>
      </c>
      <c r="L2444">
        <v>275.34339999999997</v>
      </c>
      <c r="M2444">
        <v>-0.60323749999999998</v>
      </c>
      <c r="N2444">
        <v>0</v>
      </c>
      <c r="O2444">
        <v>-0.797496599999999</v>
      </c>
      <c r="P2444">
        <v>-0.59924759999999999</v>
      </c>
      <c r="Q2444">
        <v>-3.123107E-2</v>
      </c>
      <c r="R2444">
        <v>-0.79995430000000001</v>
      </c>
      <c r="S2444">
        <v>-0.897644</v>
      </c>
      <c r="T2444">
        <v>-0.14708019999999999</v>
      </c>
      <c r="U2444">
        <v>-3.0755919999999999</v>
      </c>
      <c r="V2444">
        <v>-4.6140929999999997E-3</v>
      </c>
      <c r="W2444">
        <v>-2.1053499999999999E-2</v>
      </c>
      <c r="X2444">
        <v>0.99976770000000004</v>
      </c>
      <c r="Y2444">
        <v>-0.3558095</v>
      </c>
      <c r="Z2444">
        <v>3.1490499999999998E-2</v>
      </c>
      <c r="AA2444">
        <v>0.93402779999999996</v>
      </c>
      <c r="AB2444">
        <v>9</v>
      </c>
      <c r="AC2444">
        <v>-6.7482999999999702</v>
      </c>
      <c r="AD2444">
        <v>-1.110917616581</v>
      </c>
      <c r="AE2444">
        <v>-23.183999999999902</v>
      </c>
      <c r="AF2444">
        <v>-8.5859837096368992</v>
      </c>
      <c r="AG2444">
        <v>-1.110917616581</v>
      </c>
      <c r="AH2444">
        <v>22.513503319325402</v>
      </c>
      <c r="AI2444">
        <v>92.639776432617396</v>
      </c>
      <c r="AJ2444">
        <v>110.875370392105</v>
      </c>
      <c r="AK2444">
        <v>24.1207604756205</v>
      </c>
      <c r="AL2444">
        <v>91.206365829234102</v>
      </c>
      <c r="AM2444">
        <v>90.264427604746302</v>
      </c>
      <c r="AN2444">
        <v>0.99999999683987595</v>
      </c>
    </row>
    <row r="2445" spans="1:40" x14ac:dyDescent="0.25">
      <c r="A2445" t="str">
        <f>"20190312161005780"</f>
        <v>20190312161005780</v>
      </c>
      <c r="B2445" t="str">
        <f>"1552378205778535"</f>
        <v>1552378205778535</v>
      </c>
      <c r="C2445" t="s">
        <v>40</v>
      </c>
      <c r="D2445">
        <v>5.1807379999999998</v>
      </c>
      <c r="E2445">
        <v>0.3593616</v>
      </c>
      <c r="F2445" t="s">
        <v>41</v>
      </c>
      <c r="G2445">
        <v>-495.65309999999999</v>
      </c>
      <c r="H2445" s="1">
        <v>-2.6164559999999999E-6</v>
      </c>
      <c r="I2445">
        <v>252.18190000000001</v>
      </c>
      <c r="J2445">
        <v>-488.97699999999998</v>
      </c>
      <c r="K2445">
        <v>1.1109169999999999</v>
      </c>
      <c r="L2445">
        <v>275.29140000000001</v>
      </c>
      <c r="M2445">
        <v>-0.60109369999999995</v>
      </c>
      <c r="N2445">
        <v>0</v>
      </c>
      <c r="O2445">
        <v>-0.79911430000000006</v>
      </c>
      <c r="P2445">
        <v>-0.59678050000000005</v>
      </c>
      <c r="Q2445">
        <v>-3.084079E-2</v>
      </c>
      <c r="R2445">
        <v>-0.80181199999999997</v>
      </c>
      <c r="S2445">
        <v>-0.89154049999999996</v>
      </c>
      <c r="T2445">
        <v>-0.14757039999999999</v>
      </c>
      <c r="U2445">
        <v>-3.0766909999999998</v>
      </c>
      <c r="V2445">
        <v>-5.0183939999999998E-3</v>
      </c>
      <c r="W2445">
        <v>-2.0702760000000001E-2</v>
      </c>
      <c r="X2445">
        <v>0.99977309999999997</v>
      </c>
      <c r="Y2445">
        <v>-0.35509940000000001</v>
      </c>
      <c r="Z2445">
        <v>3.1705079999999997E-2</v>
      </c>
      <c r="AA2445">
        <v>0.93429079999999998</v>
      </c>
      <c r="AB2445">
        <v>9</v>
      </c>
      <c r="AC2445">
        <v>-6.6761000000000204</v>
      </c>
      <c r="AD2445">
        <v>-1.110919616456</v>
      </c>
      <c r="AE2445">
        <v>-23.109500000000001</v>
      </c>
      <c r="AF2445">
        <v>-8.5382359824818508</v>
      </c>
      <c r="AG2445">
        <v>-1.110919616456</v>
      </c>
      <c r="AH2445">
        <v>22.433399597955301</v>
      </c>
      <c r="AI2445">
        <v>92.649868560587805</v>
      </c>
      <c r="AJ2445">
        <v>110.837012363791</v>
      </c>
      <c r="AK2445">
        <v>24.0290040078301</v>
      </c>
      <c r="AL2445">
        <v>91.186265498561497</v>
      </c>
      <c r="AM2445">
        <v>90.287595636755796</v>
      </c>
      <c r="AN2445">
        <v>1.00000002001678</v>
      </c>
    </row>
    <row r="2446" spans="1:40" x14ac:dyDescent="0.25">
      <c r="A2446" t="str">
        <f>"20190312161005794"</f>
        <v>20190312161005794</v>
      </c>
      <c r="B2446" t="str">
        <f>"1552378205788297"</f>
        <v>1552378205788297</v>
      </c>
      <c r="C2446" t="s">
        <v>40</v>
      </c>
      <c r="D2446">
        <v>5.2053739999999999</v>
      </c>
      <c r="E2446">
        <v>0.35962919999999998</v>
      </c>
      <c r="F2446" t="s">
        <v>41</v>
      </c>
      <c r="G2446">
        <v>-495.60660000000001</v>
      </c>
      <c r="H2446" s="1">
        <v>-2.6231139999999999E-6</v>
      </c>
      <c r="I2446">
        <v>252.22630000000001</v>
      </c>
      <c r="J2446">
        <v>-489.00749999999999</v>
      </c>
      <c r="K2446">
        <v>1.1109180000000001</v>
      </c>
      <c r="L2446">
        <v>275.24630000000002</v>
      </c>
      <c r="M2446">
        <v>-0.59923359999999903</v>
      </c>
      <c r="N2446">
        <v>0</v>
      </c>
      <c r="O2446">
        <v>-0.80051019999999995</v>
      </c>
      <c r="P2446">
        <v>-0.59476689999999999</v>
      </c>
      <c r="Q2446">
        <v>-3.0327280000000002E-2</v>
      </c>
      <c r="R2446">
        <v>-0.80332609999999904</v>
      </c>
      <c r="S2446">
        <v>-0.884552</v>
      </c>
      <c r="T2446">
        <v>-0.14822360000000001</v>
      </c>
      <c r="U2446">
        <v>-3.0774539999999999</v>
      </c>
      <c r="V2446">
        <v>-5.2143809999999997E-3</v>
      </c>
      <c r="W2446">
        <v>-2.0220709999999999E-2</v>
      </c>
      <c r="X2446">
        <v>0.99978199999999995</v>
      </c>
      <c r="Y2446">
        <v>-0.35494779999999998</v>
      </c>
      <c r="Z2446">
        <v>3.1939759999999998E-2</v>
      </c>
      <c r="AA2446">
        <v>0.93434039999999996</v>
      </c>
      <c r="AB2446">
        <v>9</v>
      </c>
      <c r="AC2446">
        <v>-6.5991000000000204</v>
      </c>
      <c r="AD2446">
        <v>-1.1109206231139901</v>
      </c>
      <c r="AE2446">
        <v>-23.02</v>
      </c>
      <c r="AF2446">
        <v>-8.4938675214539998</v>
      </c>
      <c r="AG2446">
        <v>-1.1109206231139901</v>
      </c>
      <c r="AH2446">
        <v>22.335227582738199</v>
      </c>
      <c r="AI2446">
        <v>92.6617784463226</v>
      </c>
      <c r="AJ2446">
        <v>110.821317387721</v>
      </c>
      <c r="AK2446">
        <v>23.921586930544098</v>
      </c>
      <c r="AL2446">
        <v>91.158640241537398</v>
      </c>
      <c r="AM2446">
        <v>90.298824458911596</v>
      </c>
      <c r="AN2446">
        <v>1.0000000572030501</v>
      </c>
    </row>
    <row r="2447" spans="1:40" x14ac:dyDescent="0.25">
      <c r="A2447" t="str">
        <f>"20190312161005807"</f>
        <v>20190312161005807</v>
      </c>
      <c r="B2447" t="str">
        <f>"1552378205798055"</f>
        <v>1552378205798055</v>
      </c>
      <c r="C2447" t="s">
        <v>40</v>
      </c>
      <c r="D2447">
        <v>5.2084979999999996</v>
      </c>
      <c r="E2447">
        <v>0.35962919999999998</v>
      </c>
      <c r="F2447" t="s">
        <v>41</v>
      </c>
      <c r="G2447">
        <v>-495.63099999999997</v>
      </c>
      <c r="H2447" s="1">
        <v>-2.551328E-6</v>
      </c>
      <c r="I2447">
        <v>252.0438</v>
      </c>
      <c r="J2447">
        <v>-489.03879999999998</v>
      </c>
      <c r="K2447">
        <v>1.1109199999999999</v>
      </c>
      <c r="L2447">
        <v>275.19990000000001</v>
      </c>
      <c r="M2447">
        <v>-0.59731420000000002</v>
      </c>
      <c r="N2447">
        <v>0</v>
      </c>
      <c r="O2447">
        <v>-0.80194399999999999</v>
      </c>
      <c r="P2447">
        <v>-0.59232079999999998</v>
      </c>
      <c r="Q2447">
        <v>-3.0371459999999999E-2</v>
      </c>
      <c r="R2447">
        <v>-0.80512969999999995</v>
      </c>
      <c r="S2447">
        <v>-0.87875369999999997</v>
      </c>
      <c r="T2447">
        <v>-0.14738709999999999</v>
      </c>
      <c r="U2447">
        <v>-3.0783079999999998</v>
      </c>
      <c r="V2447">
        <v>-5.8584369999999898E-3</v>
      </c>
      <c r="W2447">
        <v>-2.0297519999999999E-2</v>
      </c>
      <c r="X2447">
        <v>0.99977680000000002</v>
      </c>
      <c r="Y2447">
        <v>-0.354402299999999</v>
      </c>
      <c r="Z2447">
        <v>3.1857900000000001E-2</v>
      </c>
      <c r="AA2447">
        <v>0.9345502</v>
      </c>
      <c r="AB2447">
        <v>9</v>
      </c>
      <c r="AC2447">
        <v>-6.5921999999999903</v>
      </c>
      <c r="AD2447">
        <v>-1.1109225513279899</v>
      </c>
      <c r="AE2447">
        <v>-23.156099999999999</v>
      </c>
      <c r="AF2447">
        <v>-8.5271710251738906</v>
      </c>
      <c r="AG2447">
        <v>-1.1109225513279899</v>
      </c>
      <c r="AH2447">
        <v>22.460832242534</v>
      </c>
      <c r="AI2447">
        <v>92.647484320855696</v>
      </c>
      <c r="AJ2447">
        <v>110.789078660106</v>
      </c>
      <c r="AK2447">
        <v>24.0506918743488</v>
      </c>
      <c r="AL2447">
        <v>91.163042123079506</v>
      </c>
      <c r="AM2447">
        <v>90.335734808880403</v>
      </c>
      <c r="AN2447">
        <v>0.99999998021023595</v>
      </c>
    </row>
    <row r="2448" spans="1:40" x14ac:dyDescent="0.25">
      <c r="A2448" t="str">
        <f>"20190312161005822"</f>
        <v>20190312161005822</v>
      </c>
      <c r="B2448" t="str">
        <f>"1552378205818551"</f>
        <v>1552378205818551</v>
      </c>
      <c r="C2448" t="s">
        <v>40</v>
      </c>
      <c r="D2448">
        <v>4.9205560000000004</v>
      </c>
      <c r="E2448">
        <v>0.36542580000000002</v>
      </c>
      <c r="F2448" t="s">
        <v>41</v>
      </c>
      <c r="G2448">
        <v>-495.61959999999999</v>
      </c>
      <c r="H2448" s="1">
        <v>-2.4769E-6</v>
      </c>
      <c r="I2448">
        <v>251.87739999999999</v>
      </c>
      <c r="J2448">
        <v>-489.0736</v>
      </c>
      <c r="K2448">
        <v>1.1109260000000001</v>
      </c>
      <c r="L2448">
        <v>275.1481</v>
      </c>
      <c r="M2448">
        <v>-0.59517600000000004</v>
      </c>
      <c r="N2448">
        <v>0</v>
      </c>
      <c r="O2448">
        <v>-0.80353260000000004</v>
      </c>
      <c r="P2448">
        <v>-0.5902212</v>
      </c>
      <c r="Q2448">
        <v>-3.0695980000000001E-2</v>
      </c>
      <c r="R2448">
        <v>-0.80665790000000004</v>
      </c>
      <c r="S2448">
        <v>-0.86935419999999997</v>
      </c>
      <c r="T2448">
        <v>-0.14675879999999999</v>
      </c>
      <c r="U2448">
        <v>-3.0810240000000002</v>
      </c>
      <c r="V2448">
        <v>-5.7911739999999996E-3</v>
      </c>
      <c r="W2448">
        <v>-2.0655650000000001E-2</v>
      </c>
      <c r="X2448">
        <v>0.99976989999999999</v>
      </c>
      <c r="Y2448">
        <v>-0.35476679999999999</v>
      </c>
      <c r="Z2448">
        <v>3.180703E-2</v>
      </c>
      <c r="AA2448">
        <v>0.93441370000000001</v>
      </c>
      <c r="AB2448">
        <v>9</v>
      </c>
      <c r="AC2448">
        <v>-6.5459999999999896</v>
      </c>
      <c r="AD2448">
        <v>-1.1109284769000001</v>
      </c>
      <c r="AE2448">
        <v>-23.270700000000001</v>
      </c>
      <c r="AF2448">
        <v>-8.5725664243002697</v>
      </c>
      <c r="AG2448">
        <v>-1.1109284769000001</v>
      </c>
      <c r="AH2448">
        <v>22.548307534521602</v>
      </c>
      <c r="AI2448">
        <v>92.636769617731204</v>
      </c>
      <c r="AJ2448">
        <v>110.816137334605</v>
      </c>
      <c r="AK2448">
        <v>24.148482972045901</v>
      </c>
      <c r="AL2448">
        <v>91.183565713288999</v>
      </c>
      <c r="AM2448">
        <v>90.331882483773299</v>
      </c>
      <c r="AN2448">
        <v>1.00000002325961</v>
      </c>
    </row>
    <row r="2449" spans="1:40" x14ac:dyDescent="0.25">
      <c r="A2449" t="str">
        <f>"20190312161005837"</f>
        <v>20190312161005837</v>
      </c>
      <c r="B2449" t="str">
        <f>"1552378205828313"</f>
        <v>1552378205828313</v>
      </c>
      <c r="C2449" t="s">
        <v>40</v>
      </c>
      <c r="D2449">
        <v>5.1714359999999999</v>
      </c>
      <c r="E2449">
        <v>0.36529660000000003</v>
      </c>
      <c r="F2449" t="s">
        <v>41</v>
      </c>
      <c r="G2449">
        <v>-495.75240000000002</v>
      </c>
      <c r="H2449" s="1">
        <v>-2.7469209999999999E-6</v>
      </c>
      <c r="I2449">
        <v>252.42449999999999</v>
      </c>
      <c r="J2449">
        <v>-489.10680000000002</v>
      </c>
      <c r="K2449">
        <v>1.1109309999999999</v>
      </c>
      <c r="L2449">
        <v>275.09820000000002</v>
      </c>
      <c r="M2449">
        <v>-0.5931187</v>
      </c>
      <c r="N2449">
        <v>0</v>
      </c>
      <c r="O2449">
        <v>-0.80505280000000001</v>
      </c>
      <c r="P2449">
        <v>-0.58831669999999903</v>
      </c>
      <c r="Q2449">
        <v>-3.08381E-2</v>
      </c>
      <c r="R2449">
        <v>-0.8080425</v>
      </c>
      <c r="S2449">
        <v>-0.89825440000000001</v>
      </c>
      <c r="T2449">
        <v>-0.14941289999999999</v>
      </c>
      <c r="U2449">
        <v>-3.0561829999999999</v>
      </c>
      <c r="V2449">
        <v>-5.5880690000000002E-3</v>
      </c>
      <c r="W2449">
        <v>-2.0829210000000001E-2</v>
      </c>
      <c r="X2449">
        <v>0.99976739999999997</v>
      </c>
      <c r="Y2449">
        <v>-0.3422174</v>
      </c>
      <c r="Z2449">
        <v>3.2823199999999997E-2</v>
      </c>
      <c r="AA2449">
        <v>0.93904730000000003</v>
      </c>
      <c r="AB2449">
        <v>9</v>
      </c>
      <c r="AC2449">
        <v>-6.6456</v>
      </c>
      <c r="AD2449">
        <v>-1.1109337469210001</v>
      </c>
      <c r="AE2449">
        <v>-22.6737</v>
      </c>
      <c r="AF2449">
        <v>-8.0806779706661196</v>
      </c>
      <c r="AG2449">
        <v>-1.1109337469210001</v>
      </c>
      <c r="AH2449">
        <v>22.147305214985298</v>
      </c>
      <c r="AI2449">
        <v>92.697926941756606</v>
      </c>
      <c r="AJ2449">
        <v>110.04503126719101</v>
      </c>
      <c r="AK2449">
        <v>23.601581695754401</v>
      </c>
      <c r="AL2449">
        <v>91.193512174103105</v>
      </c>
      <c r="AM2449">
        <v>90.320243923949604</v>
      </c>
      <c r="AN2449">
        <v>0.99999996830356497</v>
      </c>
    </row>
    <row r="2450" spans="1:40" x14ac:dyDescent="0.25">
      <c r="A2450" t="str">
        <f>"20190312161005859"</f>
        <v>20190312161005859</v>
      </c>
      <c r="B2450" t="str">
        <f>"1552378205848341"</f>
        <v>1552378205848341</v>
      </c>
      <c r="C2450" t="s">
        <v>40</v>
      </c>
      <c r="D2450">
        <v>5.22464</v>
      </c>
      <c r="E2450">
        <v>0.36531380000000002</v>
      </c>
      <c r="F2450" t="s">
        <v>41</v>
      </c>
      <c r="G2450">
        <v>-495.85419999999999</v>
      </c>
      <c r="H2450" s="1">
        <v>-2.5579979999999998E-6</v>
      </c>
      <c r="I2450">
        <v>251.92089999999999</v>
      </c>
      <c r="J2450">
        <v>-489.15699999999998</v>
      </c>
      <c r="K2450">
        <v>1.110935</v>
      </c>
      <c r="L2450">
        <v>275.0224</v>
      </c>
      <c r="M2450">
        <v>-0.58998830000000002</v>
      </c>
      <c r="N2450">
        <v>0</v>
      </c>
      <c r="O2450">
        <v>-0.80735049999999997</v>
      </c>
      <c r="P2450">
        <v>-0.58536829999999995</v>
      </c>
      <c r="Q2450">
        <v>-3.0554979999999999E-2</v>
      </c>
      <c r="R2450">
        <v>-0.81019200000000002</v>
      </c>
      <c r="S2450">
        <v>-0.89047240000000005</v>
      </c>
      <c r="T2450">
        <v>-0.14661170000000001</v>
      </c>
      <c r="U2450">
        <v>-3.0587460000000002</v>
      </c>
      <c r="V2450">
        <v>-5.3554529999999996E-3</v>
      </c>
      <c r="W2450">
        <v>-2.0592619999999999E-2</v>
      </c>
      <c r="X2450">
        <v>0.99977360000000004</v>
      </c>
      <c r="Y2450">
        <v>-0.34097719999999998</v>
      </c>
      <c r="Z2450">
        <v>3.2355599999999998E-2</v>
      </c>
      <c r="AA2450">
        <v>0.93951459999999998</v>
      </c>
      <c r="AB2450">
        <v>9</v>
      </c>
      <c r="AC2450">
        <v>-6.6971999999999996</v>
      </c>
      <c r="AD2450">
        <v>-1.1109375579979901</v>
      </c>
      <c r="AE2450">
        <v>-23.101500000000001</v>
      </c>
      <c r="AF2450">
        <v>-8.2055290348529901</v>
      </c>
      <c r="AG2450">
        <v>-1.1109375579979901</v>
      </c>
      <c r="AH2450">
        <v>22.555278652036499</v>
      </c>
      <c r="AI2450">
        <v>92.650112454937201</v>
      </c>
      <c r="AJ2450">
        <v>109.991204320512</v>
      </c>
      <c r="AK2450">
        <v>24.027182191647</v>
      </c>
      <c r="AL2450">
        <v>91.179953626542996</v>
      </c>
      <c r="AM2450">
        <v>90.3069114042178</v>
      </c>
      <c r="AN2450">
        <v>0.99999999406612905</v>
      </c>
    </row>
    <row r="2451" spans="1:40" x14ac:dyDescent="0.25">
      <c r="A2451" t="str">
        <f>"20190312161005872"</f>
        <v>20190312161005872</v>
      </c>
      <c r="B2451" t="str">
        <f>"1552378205867860"</f>
        <v>1552378205867860</v>
      </c>
      <c r="C2451" t="s">
        <v>40</v>
      </c>
      <c r="D2451">
        <v>5.227843</v>
      </c>
      <c r="E2451">
        <v>0.3658285</v>
      </c>
      <c r="F2451" t="s">
        <v>41</v>
      </c>
      <c r="G2451">
        <v>-496.02440000000001</v>
      </c>
      <c r="H2451" s="1">
        <v>-2.2593239999999999E-6</v>
      </c>
      <c r="I2451">
        <v>251.11920000000001</v>
      </c>
      <c r="J2451">
        <v>-489.18849999999998</v>
      </c>
      <c r="K2451">
        <v>1.110943</v>
      </c>
      <c r="L2451">
        <v>274.9744</v>
      </c>
      <c r="M2451">
        <v>-0.58800330000000001</v>
      </c>
      <c r="N2451">
        <v>0</v>
      </c>
      <c r="O2451">
        <v>-0.8087974</v>
      </c>
      <c r="P2451">
        <v>-0.58333489999999999</v>
      </c>
      <c r="Q2451">
        <v>-3.089592E-2</v>
      </c>
      <c r="R2451">
        <v>-0.81164399999999903</v>
      </c>
      <c r="S2451">
        <v>-0.87966919999999904</v>
      </c>
      <c r="T2451">
        <v>-0.1423044</v>
      </c>
      <c r="U2451">
        <v>-3.0618590000000001</v>
      </c>
      <c r="V2451">
        <v>-5.397364E-3</v>
      </c>
      <c r="W2451">
        <v>-2.0961839999999999E-2</v>
      </c>
      <c r="X2451">
        <v>0.99976569999999998</v>
      </c>
      <c r="Y2451">
        <v>-0.34197460000000002</v>
      </c>
      <c r="Z2451">
        <v>3.147254E-2</v>
      </c>
      <c r="AA2451">
        <v>0.93918199999999996</v>
      </c>
      <c r="AB2451">
        <v>9</v>
      </c>
      <c r="AC2451">
        <v>-6.8359000000000298</v>
      </c>
      <c r="AD2451">
        <v>-1.1109452593239999</v>
      </c>
      <c r="AE2451">
        <v>-23.8552</v>
      </c>
      <c r="AF2451">
        <v>-8.4814995746694297</v>
      </c>
      <c r="AG2451">
        <v>-1.1109452593239999</v>
      </c>
      <c r="AH2451">
        <v>23.268073902228799</v>
      </c>
      <c r="AI2451">
        <v>92.5684665620403</v>
      </c>
      <c r="AJ2451">
        <v>110.027421150948</v>
      </c>
      <c r="AK2451">
        <v>24.790588890220199</v>
      </c>
      <c r="AL2451">
        <v>91.201112943939805</v>
      </c>
      <c r="AM2451">
        <v>90.309315646057598</v>
      </c>
      <c r="AN2451">
        <v>0.99999999258541195</v>
      </c>
    </row>
    <row r="2452" spans="1:40" x14ac:dyDescent="0.25">
      <c r="A2452" t="str">
        <f>"20190312161005893"</f>
        <v>20190312161005893</v>
      </c>
      <c r="B2452" t="str">
        <f>"1552378205888356"</f>
        <v>1552378205888356</v>
      </c>
      <c r="C2452" t="s">
        <v>40</v>
      </c>
      <c r="D2452">
        <v>5.1483650000000001</v>
      </c>
      <c r="E2452">
        <v>0.36607669999999998</v>
      </c>
      <c r="F2452" t="s">
        <v>41</v>
      </c>
      <c r="G2452">
        <v>-495.98820000000001</v>
      </c>
      <c r="H2452" s="1">
        <v>-2.2840469999999999E-6</v>
      </c>
      <c r="I2452">
        <v>251.19919999999999</v>
      </c>
      <c r="J2452">
        <v>-489.23469999999998</v>
      </c>
      <c r="K2452">
        <v>1.1109329999999999</v>
      </c>
      <c r="L2452">
        <v>274.90370000000001</v>
      </c>
      <c r="M2452">
        <v>-0.58508470000000001</v>
      </c>
      <c r="N2452">
        <v>0</v>
      </c>
      <c r="O2452">
        <v>-0.81091179999999996</v>
      </c>
      <c r="P2452">
        <v>-0.58056350000000001</v>
      </c>
      <c r="Q2452">
        <v>-3.085705E-2</v>
      </c>
      <c r="R2452">
        <v>-0.81363030000000003</v>
      </c>
      <c r="S2452">
        <v>-0.87557980000000002</v>
      </c>
      <c r="T2452">
        <v>-0.14305509999999999</v>
      </c>
      <c r="U2452">
        <v>-3.061493</v>
      </c>
      <c r="V2452">
        <v>-5.204289E-3</v>
      </c>
      <c r="W2452">
        <v>-2.0960759999999998E-2</v>
      </c>
      <c r="X2452">
        <v>0.99976679999999996</v>
      </c>
      <c r="Y2452">
        <v>-0.3397192</v>
      </c>
      <c r="Z2452">
        <v>3.1803360000000003E-2</v>
      </c>
      <c r="AA2452">
        <v>0.93998899999999996</v>
      </c>
      <c r="AB2452">
        <v>9</v>
      </c>
      <c r="AC2452">
        <v>-6.75350000000003</v>
      </c>
      <c r="AD2452">
        <v>-1.1109352840469999</v>
      </c>
      <c r="AE2452">
        <v>-23.704499999999999</v>
      </c>
      <c r="AF2452">
        <v>-8.3760423467760603</v>
      </c>
      <c r="AG2452">
        <v>-1.1109352840469999</v>
      </c>
      <c r="AH2452">
        <v>23.127778625547201</v>
      </c>
      <c r="AI2452">
        <v>92.585948856932205</v>
      </c>
      <c r="AJ2452">
        <v>109.908549207812</v>
      </c>
      <c r="AK2452">
        <v>24.6228838025249</v>
      </c>
      <c r="AL2452">
        <v>91.201050986455897</v>
      </c>
      <c r="AM2452">
        <v>90.298250653841293</v>
      </c>
      <c r="AN2452">
        <v>1.0000000462330001</v>
      </c>
    </row>
    <row r="2453" spans="1:40" x14ac:dyDescent="0.25">
      <c r="A2453" t="str">
        <f>"20190312161005906"</f>
        <v>20190312161005906</v>
      </c>
      <c r="B2453" t="str">
        <f>"1552378205898117"</f>
        <v>1552378205898117</v>
      </c>
      <c r="C2453" t="s">
        <v>40</v>
      </c>
      <c r="D2453">
        <v>5.135478</v>
      </c>
      <c r="E2453">
        <v>0.36607669999999998</v>
      </c>
      <c r="F2453" t="s">
        <v>41</v>
      </c>
      <c r="G2453">
        <v>-495.93740000000003</v>
      </c>
      <c r="H2453" s="1">
        <v>-2.2754069999999998E-6</v>
      </c>
      <c r="I2453">
        <v>251.2106</v>
      </c>
      <c r="J2453">
        <v>-489.26639999999998</v>
      </c>
      <c r="K2453">
        <v>1.110935</v>
      </c>
      <c r="L2453">
        <v>274.85500000000002</v>
      </c>
      <c r="M2453">
        <v>-0.58306910000000001</v>
      </c>
      <c r="N2453">
        <v>0</v>
      </c>
      <c r="O2453">
        <v>-0.81236239999999904</v>
      </c>
      <c r="P2453">
        <v>-0.57850019999999902</v>
      </c>
      <c r="Q2453">
        <v>-3.0906599999999999E-2</v>
      </c>
      <c r="R2453">
        <v>-0.81509670000000001</v>
      </c>
      <c r="S2453">
        <v>-0.86660769999999998</v>
      </c>
      <c r="T2453">
        <v>-0.14363609999999999</v>
      </c>
      <c r="U2453">
        <v>-3.0633539999999999</v>
      </c>
      <c r="V2453">
        <v>-5.2529069999999898E-3</v>
      </c>
      <c r="W2453">
        <v>-2.1034839999999999E-2</v>
      </c>
      <c r="X2453">
        <v>0.99976489999999996</v>
      </c>
      <c r="Y2453">
        <v>-0.34008329999999998</v>
      </c>
      <c r="Z2453">
        <v>3.2014969999999997E-2</v>
      </c>
      <c r="AA2453">
        <v>0.93985019999999997</v>
      </c>
      <c r="AB2453">
        <v>10</v>
      </c>
      <c r="AC2453">
        <v>-6.6710000000000402</v>
      </c>
      <c r="AD2453">
        <v>-1.1109372754069999</v>
      </c>
      <c r="AE2453">
        <v>-23.644400000000001</v>
      </c>
      <c r="AF2453">
        <v>-8.3503832778691294</v>
      </c>
      <c r="AG2453">
        <v>-1.1109372754069999</v>
      </c>
      <c r="AH2453">
        <v>23.051468038376299</v>
      </c>
      <c r="AI2453">
        <v>92.594431278976501</v>
      </c>
      <c r="AJ2453">
        <v>109.91289513084</v>
      </c>
      <c r="AK2453">
        <v>24.542478710217701</v>
      </c>
      <c r="AL2453">
        <v>91.205296501918895</v>
      </c>
      <c r="AM2453">
        <v>90.301037405693094</v>
      </c>
      <c r="AN2453">
        <v>0.99999995639889205</v>
      </c>
    </row>
    <row r="2454" spans="1:40" x14ac:dyDescent="0.25">
      <c r="A2454" t="str">
        <f>"20190312161005926"</f>
        <v>20190312161005926</v>
      </c>
      <c r="B2454" t="str">
        <f>"1552378205918612"</f>
        <v>1552378205918612</v>
      </c>
      <c r="C2454" t="s">
        <v>40</v>
      </c>
      <c r="D2454">
        <v>5.1406850000000004</v>
      </c>
      <c r="E2454">
        <v>0.37145339999999999</v>
      </c>
      <c r="F2454" t="s">
        <v>41</v>
      </c>
      <c r="G2454">
        <v>-495.90390000000002</v>
      </c>
      <c r="H2454" s="1">
        <v>-2.2517259999999998E-6</v>
      </c>
      <c r="I2454">
        <v>251.17619999999999</v>
      </c>
      <c r="J2454">
        <v>-489.31150000000002</v>
      </c>
      <c r="K2454">
        <v>1.1109420000000001</v>
      </c>
      <c r="L2454">
        <v>274.7851</v>
      </c>
      <c r="M2454">
        <v>-0.58018059999999905</v>
      </c>
      <c r="N2454">
        <v>0</v>
      </c>
      <c r="O2454">
        <v>-0.81442829999999999</v>
      </c>
      <c r="P2454">
        <v>-0.57529259999999904</v>
      </c>
      <c r="Q2454">
        <v>-3.100928E-2</v>
      </c>
      <c r="R2454">
        <v>-0.81735970000000002</v>
      </c>
      <c r="S2454">
        <v>-0.85925289999999999</v>
      </c>
      <c r="T2454">
        <v>-0.14381479999999999</v>
      </c>
      <c r="U2454">
        <v>-3.0653079999999999</v>
      </c>
      <c r="V2454">
        <v>-5.6280740000000003E-3</v>
      </c>
      <c r="W2454">
        <v>-2.117016E-2</v>
      </c>
      <c r="X2454">
        <v>0.99975999999999998</v>
      </c>
      <c r="Y2454">
        <v>-0.33899109999999899</v>
      </c>
      <c r="Z2454">
        <v>3.218758E-2</v>
      </c>
      <c r="AA2454">
        <v>0.94023880000000004</v>
      </c>
      <c r="AB2454">
        <v>10</v>
      </c>
      <c r="AC2454">
        <v>-6.5923999999999898</v>
      </c>
      <c r="AD2454">
        <v>-1.110944251726</v>
      </c>
      <c r="AE2454">
        <v>-23.608899999999998</v>
      </c>
      <c r="AF2454">
        <v>-8.3117193959862998</v>
      </c>
      <c r="AG2454">
        <v>-1.110944251726</v>
      </c>
      <c r="AH2454">
        <v>23.006399287607401</v>
      </c>
      <c r="AI2454">
        <v>92.600329448391307</v>
      </c>
      <c r="AJ2454">
        <v>109.863702569525</v>
      </c>
      <c r="AK2454">
        <v>24.487002361025699</v>
      </c>
      <c r="AL2454">
        <v>91.213051496660498</v>
      </c>
      <c r="AM2454">
        <v>90.322538890035702</v>
      </c>
      <c r="AN2454">
        <v>0.999999954245686</v>
      </c>
    </row>
    <row r="2455" spans="1:40" x14ac:dyDescent="0.25">
      <c r="A2455" t="str">
        <f>"20190312161005937"</f>
        <v>20190312161005937</v>
      </c>
      <c r="B2455" t="str">
        <f>"1552378205928373"</f>
        <v>1552378205928373</v>
      </c>
      <c r="C2455" t="s">
        <v>40</v>
      </c>
      <c r="D2455">
        <v>5.1092579999999996</v>
      </c>
      <c r="E2455">
        <v>0.37180039999999998</v>
      </c>
      <c r="F2455" t="s">
        <v>41</v>
      </c>
      <c r="G2455">
        <v>-495.09249999999997</v>
      </c>
      <c r="H2455" s="1">
        <v>-3.5590480000000002E-6</v>
      </c>
      <c r="I2455">
        <v>254.79079999999999</v>
      </c>
      <c r="J2455">
        <v>-489.33859999999999</v>
      </c>
      <c r="K2455">
        <v>1.1109439999999999</v>
      </c>
      <c r="L2455">
        <v>274.74279999999999</v>
      </c>
      <c r="M2455">
        <v>-0.57843239999999996</v>
      </c>
      <c r="N2455">
        <v>0</v>
      </c>
      <c r="O2455">
        <v>-0.81567109999999998</v>
      </c>
      <c r="P2455">
        <v>-0.57354939999999999</v>
      </c>
      <c r="Q2455">
        <v>-3.10432E-2</v>
      </c>
      <c r="R2455">
        <v>-0.818582699999999</v>
      </c>
      <c r="S2455">
        <v>-0.88021849999999902</v>
      </c>
      <c r="T2455">
        <v>-0.16915289999999999</v>
      </c>
      <c r="U2455">
        <v>-3.0443419999999999</v>
      </c>
      <c r="V2455">
        <v>-5.6128130000000004E-3</v>
      </c>
      <c r="W2455">
        <v>-2.1221589999999999E-2</v>
      </c>
      <c r="X2455">
        <v>0.99975899999999995</v>
      </c>
      <c r="Y2455">
        <v>-0.3293528</v>
      </c>
      <c r="Z2455">
        <v>3.8262530000000003E-2</v>
      </c>
      <c r="AA2455">
        <v>0.94343140000000003</v>
      </c>
      <c r="AB2455">
        <v>10</v>
      </c>
      <c r="AC2455">
        <v>-5.7538999999999803</v>
      </c>
      <c r="AD2455">
        <v>-1.110947559048</v>
      </c>
      <c r="AE2455">
        <v>-19.952000000000002</v>
      </c>
      <c r="AF2455">
        <v>-6.8283790850784802</v>
      </c>
      <c r="AG2455">
        <v>-1.110947559048</v>
      </c>
      <c r="AH2455">
        <v>19.547507695323102</v>
      </c>
      <c r="AI2455">
        <v>93.071193028978698</v>
      </c>
      <c r="AJ2455">
        <v>109.25544376630999</v>
      </c>
      <c r="AK2455">
        <v>20.7356220670422</v>
      </c>
      <c r="AL2455">
        <v>91.215998875330001</v>
      </c>
      <c r="AM2455">
        <v>90.321664638615999</v>
      </c>
      <c r="AN2455">
        <v>0.99999995881644899</v>
      </c>
    </row>
    <row r="2456" spans="1:40" x14ac:dyDescent="0.25">
      <c r="A2456" t="str">
        <f>"20190312161005949"</f>
        <v>20190312161005949</v>
      </c>
      <c r="B2456" t="str">
        <f>"1552378205938639"</f>
        <v>1552378205938639</v>
      </c>
      <c r="C2456" t="s">
        <v>40</v>
      </c>
      <c r="D2456">
        <v>5.131812</v>
      </c>
      <c r="E2456">
        <v>0.37161339999999998</v>
      </c>
      <c r="F2456" t="s">
        <v>41</v>
      </c>
      <c r="G2456">
        <v>-495.10840000000002</v>
      </c>
      <c r="H2456" s="1">
        <v>-3.5267239999999999E-6</v>
      </c>
      <c r="I2456">
        <v>254.6875</v>
      </c>
      <c r="J2456">
        <v>-489.36279999999999</v>
      </c>
      <c r="K2456">
        <v>1.110949</v>
      </c>
      <c r="L2456">
        <v>274.70479999999998</v>
      </c>
      <c r="M2456">
        <v>-0.57686249999999994</v>
      </c>
      <c r="N2456">
        <v>0</v>
      </c>
      <c r="O2456">
        <v>-0.81678219999999901</v>
      </c>
      <c r="P2456">
        <v>-0.57157400000000003</v>
      </c>
      <c r="Q2456">
        <v>-3.1267179999999999E-2</v>
      </c>
      <c r="R2456">
        <v>-0.81995459999999998</v>
      </c>
      <c r="S2456">
        <v>-0.875945999999999</v>
      </c>
      <c r="T2456">
        <v>-0.16865910000000001</v>
      </c>
      <c r="U2456">
        <v>-3.044708</v>
      </c>
      <c r="V2456">
        <v>-6.0947459999999998E-3</v>
      </c>
      <c r="W2456">
        <v>-2.1461910000000001E-2</v>
      </c>
      <c r="X2456">
        <v>0.9997511</v>
      </c>
      <c r="Y2456">
        <v>-0.32878859999999999</v>
      </c>
      <c r="Z2456">
        <v>3.8243699999999999E-2</v>
      </c>
      <c r="AA2456">
        <v>0.94362880000000005</v>
      </c>
      <c r="AB2456">
        <v>10</v>
      </c>
      <c r="AC2456">
        <v>-5.74560000000002</v>
      </c>
      <c r="AD2456">
        <v>-1.1109525267239999</v>
      </c>
      <c r="AE2456">
        <v>-20.017299999999899</v>
      </c>
      <c r="AF2456">
        <v>-6.8352053241196504</v>
      </c>
      <c r="AG2456">
        <v>-1.1109525267239999</v>
      </c>
      <c r="AH2456">
        <v>19.609340957221502</v>
      </c>
      <c r="AI2456">
        <v>93.062257098504404</v>
      </c>
      <c r="AJ2456">
        <v>109.216963174407</v>
      </c>
      <c r="AK2456">
        <v>20.7961655147306</v>
      </c>
      <c r="AL2456">
        <v>91.229771270641194</v>
      </c>
      <c r="AM2456">
        <v>90.349285834365602</v>
      </c>
      <c r="AN2456">
        <v>1.0000000107304301</v>
      </c>
    </row>
    <row r="2457" spans="1:40" x14ac:dyDescent="0.25">
      <c r="A2457" t="str">
        <f>"20190312161005960"</f>
        <v>20190312161005960</v>
      </c>
      <c r="B2457" t="str">
        <f>"1552378205948400"</f>
        <v>1552378205948400</v>
      </c>
      <c r="C2457" t="s">
        <v>40</v>
      </c>
      <c r="D2457">
        <v>5.1372980000000004</v>
      </c>
      <c r="E2457">
        <v>0.37161339999999998</v>
      </c>
      <c r="F2457" t="s">
        <v>41</v>
      </c>
      <c r="G2457">
        <v>-495.13900000000001</v>
      </c>
      <c r="H2457" s="1">
        <v>-3.4375679999999999E-6</v>
      </c>
      <c r="I2457">
        <v>254.41480000000001</v>
      </c>
      <c r="J2457">
        <v>-489.38959999999997</v>
      </c>
      <c r="K2457">
        <v>1.1109500000000001</v>
      </c>
      <c r="L2457">
        <v>274.66239999999999</v>
      </c>
      <c r="M2457">
        <v>-0.57511179999999995</v>
      </c>
      <c r="N2457">
        <v>0</v>
      </c>
      <c r="O2457">
        <v>-0.81801590000000002</v>
      </c>
      <c r="P2457">
        <v>-0.56966309999999998</v>
      </c>
      <c r="Q2457">
        <v>-3.1129649999999998E-2</v>
      </c>
      <c r="R2457">
        <v>-0.82128860000000004</v>
      </c>
      <c r="S2457">
        <v>-0.86758419999999903</v>
      </c>
      <c r="T2457">
        <v>-0.1668646</v>
      </c>
      <c r="U2457">
        <v>-3.0475460000000001</v>
      </c>
      <c r="V2457">
        <v>-6.2840200000000004E-3</v>
      </c>
      <c r="W2457">
        <v>-2.1340689999999999E-2</v>
      </c>
      <c r="X2457">
        <v>0.99975250000000004</v>
      </c>
      <c r="Y2457">
        <v>-0.32938840000000003</v>
      </c>
      <c r="Z2457">
        <v>3.790321E-2</v>
      </c>
      <c r="AA2457">
        <v>0.94343339999999998</v>
      </c>
      <c r="AB2457">
        <v>10</v>
      </c>
      <c r="AC2457">
        <v>-5.7494000000000298</v>
      </c>
      <c r="AD2457">
        <v>-1.1109534375679999</v>
      </c>
      <c r="AE2457">
        <v>-20.247599999999899</v>
      </c>
      <c r="AF2457">
        <v>-6.9225819805200901</v>
      </c>
      <c r="AG2457">
        <v>-1.1109534375679999</v>
      </c>
      <c r="AH2457">
        <v>19.815161035056601</v>
      </c>
      <c r="AI2457">
        <v>93.029769172110093</v>
      </c>
      <c r="AJ2457">
        <v>109.257262193217</v>
      </c>
      <c r="AK2457">
        <v>21.018966807687999</v>
      </c>
      <c r="AL2457">
        <v>91.222824313503395</v>
      </c>
      <c r="AM2457">
        <v>90.360132215566296</v>
      </c>
      <c r="AN2457">
        <v>0.99999998760664299</v>
      </c>
    </row>
    <row r="2458" spans="1:40" x14ac:dyDescent="0.25">
      <c r="A2458" t="str">
        <f>"20190312161005972"</f>
        <v>20190312161005972</v>
      </c>
      <c r="B2458" t="str">
        <f>"1552378205967919"</f>
        <v>1552378205967919</v>
      </c>
      <c r="C2458" t="s">
        <v>40</v>
      </c>
      <c r="D2458">
        <v>5.1249279999999997</v>
      </c>
      <c r="E2458">
        <v>0.36672310000000002</v>
      </c>
      <c r="F2458" t="s">
        <v>41</v>
      </c>
      <c r="G2458">
        <v>-495.1234</v>
      </c>
      <c r="H2458" s="1">
        <v>-3.4022129999999999E-6</v>
      </c>
      <c r="I2458">
        <v>254.34209999999999</v>
      </c>
      <c r="J2458">
        <v>-489.416</v>
      </c>
      <c r="K2458">
        <v>1.110951</v>
      </c>
      <c r="L2458">
        <v>274.62079999999997</v>
      </c>
      <c r="M2458">
        <v>-0.57339119999999999</v>
      </c>
      <c r="N2458">
        <v>0</v>
      </c>
      <c r="O2458">
        <v>-0.81922340000000005</v>
      </c>
      <c r="P2458">
        <v>-0.56785099999999999</v>
      </c>
      <c r="Q2458">
        <v>-3.1221659999999998E-2</v>
      </c>
      <c r="R2458">
        <v>-0.82253920000000003</v>
      </c>
      <c r="S2458">
        <v>-0.86050419999999905</v>
      </c>
      <c r="T2458">
        <v>-0.16672899999999999</v>
      </c>
      <c r="U2458">
        <v>-3.0496219999999998</v>
      </c>
      <c r="V2458">
        <v>-6.3841159999999996E-3</v>
      </c>
      <c r="W2458">
        <v>-2.1448499999999999E-2</v>
      </c>
      <c r="X2458">
        <v>0.99974960000000002</v>
      </c>
      <c r="Y2458">
        <v>-0.32960030000000001</v>
      </c>
      <c r="Z2458">
        <v>3.7946920000000002E-2</v>
      </c>
      <c r="AA2458">
        <v>0.94335760000000002</v>
      </c>
      <c r="AB2458">
        <v>10</v>
      </c>
      <c r="AC2458">
        <v>-5.7073999999999998</v>
      </c>
      <c r="AD2458">
        <v>-1.110954402213</v>
      </c>
      <c r="AE2458">
        <v>-20.278699999999901</v>
      </c>
      <c r="AF2458">
        <v>-6.9330436824678596</v>
      </c>
      <c r="AG2458">
        <v>-1.110954402213</v>
      </c>
      <c r="AH2458">
        <v>19.831157644506199</v>
      </c>
      <c r="AI2458">
        <v>93.027101163552004</v>
      </c>
      <c r="AJ2458">
        <v>109.269809182432</v>
      </c>
      <c r="AK2458">
        <v>21.037493384623101</v>
      </c>
      <c r="AL2458">
        <v>91.2290027350152</v>
      </c>
      <c r="AM2458">
        <v>90.365869544690995</v>
      </c>
      <c r="AN2458">
        <v>1.0000000288947499</v>
      </c>
    </row>
    <row r="2459" spans="1:40" x14ac:dyDescent="0.25">
      <c r="A2459" t="str">
        <f>"20190312161005985"</f>
        <v>20190312161005985</v>
      </c>
      <c r="B2459" t="str">
        <f>"1552378205977680"</f>
        <v>1552378205977680</v>
      </c>
      <c r="C2459" t="s">
        <v>40</v>
      </c>
      <c r="D2459">
        <v>5.122433</v>
      </c>
      <c r="E2459">
        <v>0.36690220000000001</v>
      </c>
      <c r="F2459" t="s">
        <v>41</v>
      </c>
      <c r="G2459">
        <v>-496.37099999999998</v>
      </c>
      <c r="H2459" s="1">
        <v>-5.112101E-6</v>
      </c>
      <c r="I2459">
        <v>248.68809999999999</v>
      </c>
      <c r="J2459">
        <v>-489.44569999999999</v>
      </c>
      <c r="K2459">
        <v>1.1109500000000001</v>
      </c>
      <c r="L2459">
        <v>274.57350000000002</v>
      </c>
      <c r="M2459">
        <v>-0.57143659999999996</v>
      </c>
      <c r="N2459">
        <v>0</v>
      </c>
      <c r="O2459">
        <v>-0.82058819999999999</v>
      </c>
      <c r="P2459">
        <v>-0.56579250000000003</v>
      </c>
      <c r="Q2459">
        <v>-3.1371299999999998E-2</v>
      </c>
      <c r="R2459">
        <v>-0.82395090000000004</v>
      </c>
      <c r="S2459">
        <v>-0.82421880000000003</v>
      </c>
      <c r="T2459">
        <v>-0.1316561</v>
      </c>
      <c r="U2459">
        <v>-3.0732119999999998</v>
      </c>
      <c r="V2459">
        <v>-6.4965980000000001E-3</v>
      </c>
      <c r="W2459">
        <v>-2.1616170000000001E-2</v>
      </c>
      <c r="X2459">
        <v>0.9997452</v>
      </c>
      <c r="Y2459">
        <v>-0.33950540000000001</v>
      </c>
      <c r="Z2459">
        <v>2.9796719999999999E-2</v>
      </c>
      <c r="AA2459">
        <v>0.94013199999999997</v>
      </c>
      <c r="AB2459">
        <v>10</v>
      </c>
      <c r="AC2459">
        <v>-6.9252999999999902</v>
      </c>
      <c r="AD2459">
        <v>-1.110955112101</v>
      </c>
      <c r="AE2459">
        <v>-25.885400000000001</v>
      </c>
      <c r="AF2459">
        <v>-9.0938474460803693</v>
      </c>
      <c r="AG2459">
        <v>-1.110955112101</v>
      </c>
      <c r="AH2459">
        <v>25.156580837819899</v>
      </c>
      <c r="AI2459">
        <v>92.378204232235504</v>
      </c>
      <c r="AJ2459">
        <v>109.874406501526</v>
      </c>
      <c r="AK2459">
        <v>26.7728564423644</v>
      </c>
      <c r="AL2459">
        <v>91.238611825379905</v>
      </c>
      <c r="AM2459">
        <v>90.372317273777497</v>
      </c>
      <c r="AN2459">
        <v>0.99999996475704001</v>
      </c>
    </row>
    <row r="2460" spans="1:40" x14ac:dyDescent="0.25">
      <c r="A2460" t="str">
        <f>"20190312161006004"</f>
        <v>20190312161006004</v>
      </c>
      <c r="B2460" t="str">
        <f>"1552378205998175"</f>
        <v>1552378205998175</v>
      </c>
      <c r="C2460" t="s">
        <v>40</v>
      </c>
      <c r="D2460">
        <v>5.1151479999999996</v>
      </c>
      <c r="E2460">
        <v>0.36747980000000002</v>
      </c>
      <c r="F2460" t="s">
        <v>41</v>
      </c>
      <c r="G2460">
        <v>-496.46260000000001</v>
      </c>
      <c r="H2460" s="1">
        <v>-4.9562799999999998E-6</v>
      </c>
      <c r="I2460">
        <v>248.1824</v>
      </c>
      <c r="J2460">
        <v>-489.48829999999998</v>
      </c>
      <c r="K2460">
        <v>1.110954</v>
      </c>
      <c r="L2460">
        <v>274.50529999999998</v>
      </c>
      <c r="M2460">
        <v>-0.56861139999999999</v>
      </c>
      <c r="N2460">
        <v>0</v>
      </c>
      <c r="O2460">
        <v>-0.82254859999999896</v>
      </c>
      <c r="P2460">
        <v>-0.56278779999999995</v>
      </c>
      <c r="Q2460">
        <v>-3.1613120000000001E-2</v>
      </c>
      <c r="R2460">
        <v>-0.82599679999999998</v>
      </c>
      <c r="S2460">
        <v>-0.81750489999999998</v>
      </c>
      <c r="T2460">
        <v>-0.12943080000000001</v>
      </c>
      <c r="U2460">
        <v>-3.0746769999999999</v>
      </c>
      <c r="V2460">
        <v>-6.6934419999999904E-3</v>
      </c>
      <c r="W2460">
        <v>-2.1885290000000002E-2</v>
      </c>
      <c r="X2460">
        <v>0.99973809999999996</v>
      </c>
      <c r="Y2460">
        <v>-0.33829569999999998</v>
      </c>
      <c r="Z2460">
        <v>2.941181E-2</v>
      </c>
      <c r="AA2460">
        <v>0.94058010000000003</v>
      </c>
      <c r="AB2460">
        <v>10</v>
      </c>
      <c r="AC2460">
        <v>-6.9743000000000199</v>
      </c>
      <c r="AD2460">
        <v>-1.11095895628</v>
      </c>
      <c r="AE2460">
        <v>-26.322899999999901</v>
      </c>
      <c r="AF2460">
        <v>-9.2158990851229099</v>
      </c>
      <c r="AG2460">
        <v>-1.11095895628</v>
      </c>
      <c r="AH2460">
        <v>25.576176777277599</v>
      </c>
      <c r="AI2460">
        <v>92.340104328803605</v>
      </c>
      <c r="AJ2460">
        <v>109.815682920059</v>
      </c>
      <c r="AK2460">
        <v>27.208598719747801</v>
      </c>
      <c r="AL2460">
        <v>91.254034847668905</v>
      </c>
      <c r="AM2460">
        <v>90.383600711895497</v>
      </c>
      <c r="AN2460">
        <v>1.0000000183379001</v>
      </c>
    </row>
    <row r="2461" spans="1:40" x14ac:dyDescent="0.25">
      <c r="A2461" t="str">
        <f>"20190312161006026"</f>
        <v>20190312161006026</v>
      </c>
      <c r="B2461" t="str">
        <f>"1552378206018671"</f>
        <v>1552378206018671</v>
      </c>
      <c r="C2461" t="s">
        <v>40</v>
      </c>
      <c r="D2461">
        <v>5.1199050000000002</v>
      </c>
      <c r="E2461">
        <v>0.36793619999999999</v>
      </c>
      <c r="F2461" t="s">
        <v>41</v>
      </c>
      <c r="G2461">
        <v>-496.50959999999998</v>
      </c>
      <c r="H2461" s="1">
        <v>-4.8604969999999996E-6</v>
      </c>
      <c r="I2461">
        <v>247.87639999999999</v>
      </c>
      <c r="J2461">
        <v>-489.5385</v>
      </c>
      <c r="K2461">
        <v>1.110962</v>
      </c>
      <c r="L2461">
        <v>274.42430000000002</v>
      </c>
      <c r="M2461">
        <v>-0.56525950000000003</v>
      </c>
      <c r="N2461">
        <v>0</v>
      </c>
      <c r="O2461">
        <v>-0.82485599999999903</v>
      </c>
      <c r="P2461">
        <v>-0.55957389999999996</v>
      </c>
      <c r="Q2461">
        <v>-3.1243320000000002E-2</v>
      </c>
      <c r="R2461">
        <v>-0.82819140000000002</v>
      </c>
      <c r="S2461">
        <v>-0.81072999999999995</v>
      </c>
      <c r="T2461">
        <v>-0.12827959999999999</v>
      </c>
      <c r="U2461">
        <v>-3.0747680000000002</v>
      </c>
      <c r="V2461">
        <v>-6.51806E-3</v>
      </c>
      <c r="W2461">
        <v>-2.154673E-2</v>
      </c>
      <c r="X2461">
        <v>0.99974660000000004</v>
      </c>
      <c r="Y2461">
        <v>-0.33640799999999998</v>
      </c>
      <c r="Z2461">
        <v>2.93057E-2</v>
      </c>
      <c r="AA2461">
        <v>0.94126019999999999</v>
      </c>
      <c r="AB2461">
        <v>10</v>
      </c>
      <c r="AC2461">
        <v>-6.9710999999999697</v>
      </c>
      <c r="AD2461">
        <v>-1.110966860497</v>
      </c>
      <c r="AE2461">
        <v>-26.547899999999998</v>
      </c>
      <c r="AF2461">
        <v>-9.2415952019649499</v>
      </c>
      <c r="AG2461">
        <v>-1.110966860497</v>
      </c>
      <c r="AH2461">
        <v>25.7976298496475</v>
      </c>
      <c r="AI2461">
        <v>92.321601871084795</v>
      </c>
      <c r="AJ2461">
        <v>109.70926452401901</v>
      </c>
      <c r="AK2461">
        <v>27.425517955027399</v>
      </c>
      <c r="AL2461">
        <v>91.234632229203498</v>
      </c>
      <c r="AM2461">
        <v>90.373546694007402</v>
      </c>
      <c r="AN2461">
        <v>1.0000000054456999</v>
      </c>
    </row>
    <row r="2462" spans="1:40" x14ac:dyDescent="0.25">
      <c r="A2462" t="str">
        <f>"20190312161006048"</f>
        <v>20190312161006048</v>
      </c>
      <c r="B2462" t="str">
        <f>"1552378206038697"</f>
        <v>1552378206038697</v>
      </c>
      <c r="C2462" t="s">
        <v>40</v>
      </c>
      <c r="D2462">
        <v>5.1210279999999999</v>
      </c>
      <c r="E2462">
        <v>0.36848130000000001</v>
      </c>
      <c r="F2462" t="s">
        <v>41</v>
      </c>
      <c r="G2462">
        <v>-496.80290000000002</v>
      </c>
      <c r="H2462" s="1">
        <v>-4.4654539999999999E-6</v>
      </c>
      <c r="I2462">
        <v>246.56270000000001</v>
      </c>
      <c r="J2462">
        <v>-489.58769999999998</v>
      </c>
      <c r="K2462">
        <v>1.1109800000000001</v>
      </c>
      <c r="L2462">
        <v>274.3442</v>
      </c>
      <c r="M2462">
        <v>-0.56194750000000004</v>
      </c>
      <c r="N2462">
        <v>0</v>
      </c>
      <c r="O2462">
        <v>-0.82711630000000003</v>
      </c>
      <c r="P2462">
        <v>-0.5563186</v>
      </c>
      <c r="Q2462">
        <v>-3.1165959999999999E-2</v>
      </c>
      <c r="R2462">
        <v>-0.83038469999999998</v>
      </c>
      <c r="S2462">
        <v>-0.8019714</v>
      </c>
      <c r="T2462">
        <v>-0.12264899999999999</v>
      </c>
      <c r="U2462">
        <v>-3.0758670000000001</v>
      </c>
      <c r="V2462">
        <v>-6.434642E-3</v>
      </c>
      <c r="W2462">
        <v>-2.1498900000000001E-2</v>
      </c>
      <c r="X2462">
        <v>0.99974819999999998</v>
      </c>
      <c r="Y2462">
        <v>-0.33521319999999999</v>
      </c>
      <c r="Z2462">
        <v>2.815467E-2</v>
      </c>
      <c r="AA2462">
        <v>0.94172149999999999</v>
      </c>
      <c r="AB2462">
        <v>10</v>
      </c>
      <c r="AC2462">
        <v>-7.2152000000000296</v>
      </c>
      <c r="AD2462">
        <v>-1.11098446545399</v>
      </c>
      <c r="AE2462">
        <v>-27.781499999999902</v>
      </c>
      <c r="AF2462">
        <v>-9.6299592984493199</v>
      </c>
      <c r="AG2462">
        <v>-1.11098446545399</v>
      </c>
      <c r="AH2462">
        <v>26.9939196974649</v>
      </c>
      <c r="AI2462">
        <v>92.219902059385802</v>
      </c>
      <c r="AJ2462">
        <v>109.633629917284</v>
      </c>
      <c r="AK2462">
        <v>28.681738148261701</v>
      </c>
      <c r="AL2462">
        <v>91.231891100272193</v>
      </c>
      <c r="AM2462">
        <v>90.368765593695599</v>
      </c>
      <c r="AN2462">
        <v>1.0000000353610501</v>
      </c>
    </row>
    <row r="2463" spans="1:40" x14ac:dyDescent="0.25">
      <c r="A2463" t="str">
        <f>"20190312161006071"</f>
        <v>20190312161006071</v>
      </c>
      <c r="B2463" t="str">
        <f>"1552378206067979"</f>
        <v>1552378206067979</v>
      </c>
      <c r="C2463" t="s">
        <v>40</v>
      </c>
      <c r="D2463">
        <v>5.1398539999999997</v>
      </c>
      <c r="E2463">
        <v>0.3690351</v>
      </c>
      <c r="F2463" t="s">
        <v>41</v>
      </c>
      <c r="G2463">
        <v>-496.78870000000001</v>
      </c>
      <c r="H2463" s="1">
        <v>-4.416479E-6</v>
      </c>
      <c r="I2463">
        <v>246.42619999999999</v>
      </c>
      <c r="J2463">
        <v>-489.63979999999998</v>
      </c>
      <c r="K2463">
        <v>1.1109869999999999</v>
      </c>
      <c r="L2463">
        <v>274.25850000000003</v>
      </c>
      <c r="M2463">
        <v>-0.55839749999999999</v>
      </c>
      <c r="N2463">
        <v>0</v>
      </c>
      <c r="O2463">
        <v>-0.82951719999999896</v>
      </c>
      <c r="P2463">
        <v>-0.55279719999999999</v>
      </c>
      <c r="Q2463">
        <v>-3.0943809999999999E-2</v>
      </c>
      <c r="R2463">
        <v>-0.83274139999999996</v>
      </c>
      <c r="S2463">
        <v>-0.79354859999999905</v>
      </c>
      <c r="T2463">
        <v>-0.1224306</v>
      </c>
      <c r="U2463">
        <v>-3.0765690000000001</v>
      </c>
      <c r="V2463">
        <v>-6.3879490000000004E-3</v>
      </c>
      <c r="W2463">
        <v>-2.130951E-2</v>
      </c>
      <c r="X2463">
        <v>0.99975250000000004</v>
      </c>
      <c r="Y2463">
        <v>-0.33364359999999998</v>
      </c>
      <c r="Z2463">
        <v>2.8251729999999999E-2</v>
      </c>
      <c r="AA2463">
        <v>0.9422758</v>
      </c>
      <c r="AB2463">
        <v>10</v>
      </c>
      <c r="AC2463">
        <v>-7.1489000000000198</v>
      </c>
      <c r="AD2463">
        <v>-1.110991416479</v>
      </c>
      <c r="AE2463">
        <v>-27.8323</v>
      </c>
      <c r="AF2463">
        <v>-9.5974542899678408</v>
      </c>
      <c r="AG2463">
        <v>-1.110991416479</v>
      </c>
      <c r="AH2463">
        <v>27.040145816934999</v>
      </c>
      <c r="AI2463">
        <v>92.217392089021601</v>
      </c>
      <c r="AJ2463">
        <v>109.541479828687</v>
      </c>
      <c r="AK2463">
        <v>28.7143677725389</v>
      </c>
      <c r="AL2463">
        <v>91.221037432572302</v>
      </c>
      <c r="AM2463">
        <v>90.366088143563999</v>
      </c>
      <c r="AN2463">
        <v>0.99999998118255795</v>
      </c>
    </row>
    <row r="2464" spans="1:40" x14ac:dyDescent="0.25">
      <c r="A2464" t="str">
        <f>"20190312161006094"</f>
        <v>20190312161006094</v>
      </c>
      <c r="B2464" t="str">
        <f>"1552378206088473"</f>
        <v>1552378206088473</v>
      </c>
      <c r="C2464" t="s">
        <v>40</v>
      </c>
      <c r="D2464">
        <v>5.1457980000000001</v>
      </c>
      <c r="E2464">
        <v>0.3736679</v>
      </c>
      <c r="F2464" t="s">
        <v>41</v>
      </c>
      <c r="G2464">
        <v>-496.90159999999997</v>
      </c>
      <c r="H2464" s="1">
        <v>-4.2140200000000004E-6</v>
      </c>
      <c r="I2464">
        <v>245.7724</v>
      </c>
      <c r="J2464">
        <v>-489.6909</v>
      </c>
      <c r="K2464">
        <v>1.1109910000000001</v>
      </c>
      <c r="L2464">
        <v>274.17399999999998</v>
      </c>
      <c r="M2464">
        <v>-0.5548959</v>
      </c>
      <c r="N2464">
        <v>0</v>
      </c>
      <c r="O2464">
        <v>-0.83186419999999905</v>
      </c>
      <c r="P2464">
        <v>-0.54961700000000002</v>
      </c>
      <c r="Q2464">
        <v>-3.112287E-2</v>
      </c>
      <c r="R2464">
        <v>-0.83483680000000005</v>
      </c>
      <c r="S2464">
        <v>-0.78448490000000004</v>
      </c>
      <c r="T2464">
        <v>-0.1200193</v>
      </c>
      <c r="U2464">
        <v>-3.0773320000000002</v>
      </c>
      <c r="V2464">
        <v>-5.982233E-3</v>
      </c>
      <c r="W2464">
        <v>-2.1521490000000001E-2</v>
      </c>
      <c r="X2464">
        <v>0.99975049999999999</v>
      </c>
      <c r="Y2464">
        <v>-0.33232660000000003</v>
      </c>
      <c r="Z2464">
        <v>2.783557E-2</v>
      </c>
      <c r="AA2464">
        <v>0.94275359999999997</v>
      </c>
      <c r="AB2464">
        <v>10</v>
      </c>
      <c r="AC2464">
        <v>-7.2106999999999699</v>
      </c>
      <c r="AD2464">
        <v>-1.1109952140199999</v>
      </c>
      <c r="AE2464">
        <v>-28.401599999999998</v>
      </c>
      <c r="AF2464">
        <v>-9.7480467688326993</v>
      </c>
      <c r="AG2464">
        <v>-1.1109952140199999</v>
      </c>
      <c r="AH2464">
        <v>27.589080327650699</v>
      </c>
      <c r="AI2464">
        <v>92.174419144875799</v>
      </c>
      <c r="AJ2464">
        <v>109.459837138331</v>
      </c>
      <c r="AK2464">
        <v>29.2816679767135</v>
      </c>
      <c r="AL2464">
        <v>91.233185740299703</v>
      </c>
      <c r="AM2464">
        <v>90.342838150371705</v>
      </c>
      <c r="AN2464">
        <v>1.0000000119468599</v>
      </c>
    </row>
    <row r="2465" spans="1:40" x14ac:dyDescent="0.25">
      <c r="A2465" t="str">
        <f>"20190312161006116"</f>
        <v>20190312161006116</v>
      </c>
      <c r="B2465" t="str">
        <f>"1552378206107994"</f>
        <v>1552378206107994</v>
      </c>
      <c r="C2465" t="s">
        <v>40</v>
      </c>
      <c r="D2465">
        <v>5.1247639999999999</v>
      </c>
      <c r="E2465">
        <v>0.37385970000000002</v>
      </c>
      <c r="F2465" t="s">
        <v>41</v>
      </c>
      <c r="G2465">
        <v>-497.49349999999998</v>
      </c>
      <c r="H2465" s="1">
        <v>-3.8789750000000004E-6</v>
      </c>
      <c r="I2465">
        <v>244.47929999999999</v>
      </c>
      <c r="J2465">
        <v>-489.74149999999997</v>
      </c>
      <c r="K2465">
        <v>1.1109880000000001</v>
      </c>
      <c r="L2465">
        <v>274.08909999999997</v>
      </c>
      <c r="M2465">
        <v>-0.55138089999999995</v>
      </c>
      <c r="N2465">
        <v>0</v>
      </c>
      <c r="O2465">
        <v>-0.83419849999999995</v>
      </c>
      <c r="P2465">
        <v>-0.54638710000000001</v>
      </c>
      <c r="Q2465">
        <v>-3.1277920000000001E-2</v>
      </c>
      <c r="R2465">
        <v>-0.83694840000000004</v>
      </c>
      <c r="S2465">
        <v>-0.80404659999999994</v>
      </c>
      <c r="T2465">
        <v>-0.1144857</v>
      </c>
      <c r="U2465">
        <v>-3.0599669999999999</v>
      </c>
      <c r="V2465">
        <v>-5.6222879999999996E-3</v>
      </c>
      <c r="W2465">
        <v>-2.170911E-2</v>
      </c>
      <c r="X2465">
        <v>0.99974850000000004</v>
      </c>
      <c r="Y2465">
        <v>-0.32139190000000001</v>
      </c>
      <c r="Z2465">
        <v>2.6878280000000001E-2</v>
      </c>
      <c r="AA2465">
        <v>0.94656470000000004</v>
      </c>
      <c r="AB2465">
        <v>10</v>
      </c>
      <c r="AC2465">
        <v>-7.7519999999999998</v>
      </c>
      <c r="AD2465">
        <v>-1.110991878975</v>
      </c>
      <c r="AE2465">
        <v>-29.6097999999999</v>
      </c>
      <c r="AF2465">
        <v>-9.8470510563131093</v>
      </c>
      <c r="AG2465">
        <v>-1.110991878975</v>
      </c>
      <c r="AH2465">
        <v>28.937961395836901</v>
      </c>
      <c r="AI2465">
        <v>92.081531287594203</v>
      </c>
      <c r="AJ2465">
        <v>108.792486168826</v>
      </c>
      <c r="AK2465">
        <v>30.587649913122299</v>
      </c>
      <c r="AL2465">
        <v>91.243938126967706</v>
      </c>
      <c r="AM2465">
        <v>90.322211013808399</v>
      </c>
      <c r="AN2465">
        <v>0.99999997941579799</v>
      </c>
    </row>
    <row r="2466" spans="1:40" x14ac:dyDescent="0.25">
      <c r="A2466" t="str">
        <f>"20190312161006137"</f>
        <v>20190312161006137</v>
      </c>
      <c r="B2466" t="str">
        <f>"1552378206128489"</f>
        <v>1552378206128489</v>
      </c>
      <c r="C2466" t="s">
        <v>40</v>
      </c>
      <c r="D2466">
        <v>5.114662</v>
      </c>
      <c r="E2466">
        <v>0.37449719999999997</v>
      </c>
      <c r="F2466" t="s">
        <v>41</v>
      </c>
      <c r="G2466">
        <v>-497.14409999999998</v>
      </c>
      <c r="H2466" s="1">
        <v>-4.1631129999999997E-6</v>
      </c>
      <c r="I2466">
        <v>245.49639999999999</v>
      </c>
      <c r="J2466">
        <v>-489.78960000000001</v>
      </c>
      <c r="K2466">
        <v>1.1109869999999999</v>
      </c>
      <c r="L2466">
        <v>274.00779999999997</v>
      </c>
      <c r="M2466">
        <v>-0.54800930000000003</v>
      </c>
      <c r="N2466">
        <v>0</v>
      </c>
      <c r="O2466">
        <v>-0.83641779999999999</v>
      </c>
      <c r="P2466">
        <v>-0.54334959999999999</v>
      </c>
      <c r="Q2466">
        <v>-3.1488759999999998E-2</v>
      </c>
      <c r="R2466">
        <v>-0.83891589999999905</v>
      </c>
      <c r="S2466">
        <v>-0.79284670000000002</v>
      </c>
      <c r="T2466">
        <v>-0.1189923</v>
      </c>
      <c r="U2466">
        <v>-3.062408</v>
      </c>
      <c r="V2466">
        <v>-5.2051329999999998E-3</v>
      </c>
      <c r="W2466">
        <v>-2.194859E-2</v>
      </c>
      <c r="X2466">
        <v>0.99974549999999995</v>
      </c>
      <c r="Y2466">
        <v>-0.32100479999999998</v>
      </c>
      <c r="Z2466">
        <v>2.804775E-2</v>
      </c>
      <c r="AA2466">
        <v>0.94666220000000001</v>
      </c>
      <c r="AB2466">
        <v>10</v>
      </c>
      <c r="AC2466">
        <v>-7.3544999999999696</v>
      </c>
      <c r="AD2466">
        <v>-1.1109911631130001</v>
      </c>
      <c r="AE2466">
        <v>-28.511399999999899</v>
      </c>
      <c r="AF2466">
        <v>-9.4600411066598795</v>
      </c>
      <c r="AG2466">
        <v>-1.1109911631130001</v>
      </c>
      <c r="AH2466">
        <v>27.839412376114101</v>
      </c>
      <c r="AI2466">
        <v>92.163903241488498</v>
      </c>
      <c r="AJ2466">
        <v>108.768146063904</v>
      </c>
      <c r="AK2466">
        <v>29.423792422995799</v>
      </c>
      <c r="AL2466">
        <v>91.257662628561704</v>
      </c>
      <c r="AM2466">
        <v>90.298305376719696</v>
      </c>
      <c r="AN2466">
        <v>0.99999994939139103</v>
      </c>
    </row>
    <row r="2467" spans="1:40" x14ac:dyDescent="0.25">
      <c r="A2467" t="str">
        <f>"20190312161006160"</f>
        <v>20190312161006160</v>
      </c>
      <c r="B2467" t="str">
        <f>"1552378206148517"</f>
        <v>1552378206148517</v>
      </c>
      <c r="C2467" t="s">
        <v>40</v>
      </c>
      <c r="D2467">
        <v>5.1430759999999998</v>
      </c>
      <c r="E2467">
        <v>0.3750656</v>
      </c>
      <c r="F2467" t="s">
        <v>41</v>
      </c>
      <c r="G2467">
        <v>-496.8725</v>
      </c>
      <c r="H2467" s="1">
        <v>-4.4238839999999997E-6</v>
      </c>
      <c r="I2467">
        <v>246.40430000000001</v>
      </c>
      <c r="J2467">
        <v>-489.839</v>
      </c>
      <c r="K2467">
        <v>1.110994</v>
      </c>
      <c r="L2467">
        <v>273.92349999999999</v>
      </c>
      <c r="M2467">
        <v>-0.54451769999999999</v>
      </c>
      <c r="N2467">
        <v>0</v>
      </c>
      <c r="O2467">
        <v>-0.83869530000000003</v>
      </c>
      <c r="P2467">
        <v>-0.54006269999999901</v>
      </c>
      <c r="Q2467">
        <v>-3.1749020000000003E-2</v>
      </c>
      <c r="R2467">
        <v>-0.84102589999999999</v>
      </c>
      <c r="S2467">
        <v>-0.78579709999999903</v>
      </c>
      <c r="T2467">
        <v>-0.12325659999999999</v>
      </c>
      <c r="U2467">
        <v>-3.062408</v>
      </c>
      <c r="V2467">
        <v>-4.9429069999999999E-3</v>
      </c>
      <c r="W2467">
        <v>-2.223822E-2</v>
      </c>
      <c r="X2467">
        <v>0.99974050000000003</v>
      </c>
      <c r="Y2467">
        <v>-0.3191079</v>
      </c>
      <c r="Z2467">
        <v>2.9200630000000002E-2</v>
      </c>
      <c r="AA2467">
        <v>0.94726840000000001</v>
      </c>
      <c r="AB2467">
        <v>10</v>
      </c>
      <c r="AC2467">
        <v>-7.0335000000000001</v>
      </c>
      <c r="AD2467">
        <v>-1.1109984238840001</v>
      </c>
      <c r="AE2467">
        <v>-27.519199999999898</v>
      </c>
      <c r="AF2467">
        <v>-9.0722600287611996</v>
      </c>
      <c r="AG2467">
        <v>-1.1109984238840001</v>
      </c>
      <c r="AH2467">
        <v>26.870199247782299</v>
      </c>
      <c r="AI2467">
        <v>92.243372448121306</v>
      </c>
      <c r="AJ2467">
        <v>108.65636817714299</v>
      </c>
      <c r="AK2467">
        <v>28.3821744611447</v>
      </c>
      <c r="AL2467">
        <v>91.274261168847204</v>
      </c>
      <c r="AM2467">
        <v>90.2832789128651</v>
      </c>
      <c r="AN2467">
        <v>1.0000000190493099</v>
      </c>
    </row>
    <row r="2468" spans="1:40" x14ac:dyDescent="0.25">
      <c r="A2468" t="str">
        <f>"20190312161006182"</f>
        <v>20190312161006182</v>
      </c>
      <c r="B2468" t="str">
        <f>"1552378206178773"</f>
        <v>1552378206178773</v>
      </c>
      <c r="C2468" t="s">
        <v>40</v>
      </c>
      <c r="D2468">
        <v>5.1118329999999998</v>
      </c>
      <c r="E2468">
        <v>0.37548740000000003</v>
      </c>
      <c r="F2468" t="s">
        <v>41</v>
      </c>
      <c r="G2468">
        <v>-496.76609999999999</v>
      </c>
      <c r="H2468" s="1">
        <v>-4.4881710000000003E-6</v>
      </c>
      <c r="I2468">
        <v>246.64859999999999</v>
      </c>
      <c r="J2468">
        <v>-489.88990000000001</v>
      </c>
      <c r="K2468">
        <v>1.1109929999999999</v>
      </c>
      <c r="L2468">
        <v>273.83580000000001</v>
      </c>
      <c r="M2468">
        <v>-0.54087989999999997</v>
      </c>
      <c r="N2468">
        <v>0</v>
      </c>
      <c r="O2468">
        <v>-0.84104630000000002</v>
      </c>
      <c r="P2468">
        <v>-0.53675869999999903</v>
      </c>
      <c r="Q2468">
        <v>-3.1599219999999997E-2</v>
      </c>
      <c r="R2468">
        <v>-0.8431438</v>
      </c>
      <c r="S2468">
        <v>-0.7778931</v>
      </c>
      <c r="T2468">
        <v>-0.12476089999999999</v>
      </c>
      <c r="U2468">
        <v>-3.0628660000000001</v>
      </c>
      <c r="V2468">
        <v>-4.5381889999999998E-3</v>
      </c>
      <c r="W2468">
        <v>-2.2120290000000001E-2</v>
      </c>
      <c r="X2468">
        <v>0.99974499999999999</v>
      </c>
      <c r="Y2468">
        <v>-0.31733499999999998</v>
      </c>
      <c r="Z2468">
        <v>2.9707359999999999E-2</v>
      </c>
      <c r="AA2468">
        <v>0.94784809999999997</v>
      </c>
      <c r="AB2468">
        <v>10</v>
      </c>
      <c r="AC2468">
        <v>-6.8761999999999803</v>
      </c>
      <c r="AD2468">
        <v>-1.1109974881710001</v>
      </c>
      <c r="AE2468">
        <v>-27.187200000000001</v>
      </c>
      <c r="AF2468">
        <v>-8.9082275151538308</v>
      </c>
      <c r="AG2468">
        <v>-1.1109974881710001</v>
      </c>
      <c r="AH2468">
        <v>26.544427319303399</v>
      </c>
      <c r="AI2468">
        <v>92.2722709557857</v>
      </c>
      <c r="AJ2468">
        <v>108.551592976463</v>
      </c>
      <c r="AK2468">
        <v>28.021374958953199</v>
      </c>
      <c r="AL2468">
        <v>91.267502659961707</v>
      </c>
      <c r="AM2468">
        <v>90.260083611720205</v>
      </c>
      <c r="AN2468">
        <v>0.99999998370704102</v>
      </c>
    </row>
    <row r="2469" spans="1:40" x14ac:dyDescent="0.25">
      <c r="A2469" t="str">
        <f>"20190312161006206"</f>
        <v>20190312161006206</v>
      </c>
      <c r="B2469" t="str">
        <f>"1552378206198296"</f>
        <v>1552378206198296</v>
      </c>
      <c r="C2469" t="s">
        <v>40</v>
      </c>
      <c r="D2469">
        <v>5.1857949999999997</v>
      </c>
      <c r="E2469">
        <v>0.37620480000000001</v>
      </c>
      <c r="F2469" t="s">
        <v>41</v>
      </c>
      <c r="G2469">
        <v>-496.69400000000002</v>
      </c>
      <c r="H2469" s="1">
        <v>-4.4950379999999999E-6</v>
      </c>
      <c r="I2469">
        <v>246.7064</v>
      </c>
      <c r="J2469">
        <v>-489.94069999999999</v>
      </c>
      <c r="K2469">
        <v>1.1110009999999999</v>
      </c>
      <c r="L2469">
        <v>273.7473</v>
      </c>
      <c r="M2469">
        <v>-0.53720939999999995</v>
      </c>
      <c r="N2469">
        <v>0</v>
      </c>
      <c r="O2469">
        <v>-0.84339609999999998</v>
      </c>
      <c r="P2469">
        <v>-0.53297569999999905</v>
      </c>
      <c r="Q2469">
        <v>-3.2155570000000001E-2</v>
      </c>
      <c r="R2469">
        <v>-0.84551939999999903</v>
      </c>
      <c r="S2469">
        <v>-0.76849369999999995</v>
      </c>
      <c r="T2469">
        <v>-0.12548229999999999</v>
      </c>
      <c r="U2469">
        <v>-3.0641479999999999</v>
      </c>
      <c r="V2469">
        <v>-4.6458649999999999E-3</v>
      </c>
      <c r="W2469">
        <v>-2.2711510000000001E-2</v>
      </c>
      <c r="X2469">
        <v>0.99973120000000004</v>
      </c>
      <c r="Y2469">
        <v>-0.31603189999999998</v>
      </c>
      <c r="Z2469">
        <v>3.002088E-2</v>
      </c>
      <c r="AA2469">
        <v>0.94827349999999999</v>
      </c>
      <c r="AB2469">
        <v>10</v>
      </c>
      <c r="AC2469">
        <v>-6.7533000000000198</v>
      </c>
      <c r="AD2469">
        <v>-1.1110054950379999</v>
      </c>
      <c r="AE2469">
        <v>-27.040899999999901</v>
      </c>
      <c r="AF2469">
        <v>-8.8173017762619601</v>
      </c>
      <c r="AG2469">
        <v>-1.1110054950379999</v>
      </c>
      <c r="AH2469">
        <v>26.393365229748198</v>
      </c>
      <c r="AI2469">
        <v>92.286326852564699</v>
      </c>
      <c r="AJ2469">
        <v>108.473064724175</v>
      </c>
      <c r="AK2469">
        <v>27.8493962587083</v>
      </c>
      <c r="AL2469">
        <v>91.301385649509299</v>
      </c>
      <c r="AM2469">
        <v>90.266258110719804</v>
      </c>
      <c r="AN2469">
        <v>0.99999993450075697</v>
      </c>
    </row>
    <row r="2470" spans="1:40" x14ac:dyDescent="0.25">
      <c r="A2470" t="str">
        <f>"20190312161006226"</f>
        <v>20190312161006226</v>
      </c>
      <c r="B2470" t="str">
        <f>"1552378206218788"</f>
        <v>1552378206218788</v>
      </c>
      <c r="C2470" t="s">
        <v>40</v>
      </c>
      <c r="D2470">
        <v>5.1314199999999897</v>
      </c>
      <c r="E2470">
        <v>0.37663140000000001</v>
      </c>
      <c r="F2470" t="s">
        <v>41</v>
      </c>
      <c r="G2470">
        <v>-496.57799999999997</v>
      </c>
      <c r="H2470" s="1">
        <v>-4.5682949999999996E-6</v>
      </c>
      <c r="I2470">
        <v>246.9821</v>
      </c>
      <c r="J2470">
        <v>-489.98880000000003</v>
      </c>
      <c r="K2470">
        <v>1.1110089999999999</v>
      </c>
      <c r="L2470">
        <v>273.6628</v>
      </c>
      <c r="M2470">
        <v>-0.5337018</v>
      </c>
      <c r="N2470">
        <v>0</v>
      </c>
      <c r="O2470">
        <v>-0.84562029999999999</v>
      </c>
      <c r="P2470">
        <v>-0.529725</v>
      </c>
      <c r="Q2470">
        <v>-3.203889E-2</v>
      </c>
      <c r="R2470">
        <v>-0.84756430000000005</v>
      </c>
      <c r="S2470">
        <v>-0.75988769999999894</v>
      </c>
      <c r="T2470">
        <v>-0.127196</v>
      </c>
      <c r="U2470">
        <v>-3.06427</v>
      </c>
      <c r="V2470">
        <v>-4.334582E-3</v>
      </c>
      <c r="W2470">
        <v>-2.2628550000000001E-2</v>
      </c>
      <c r="X2470">
        <v>0.99973449999999997</v>
      </c>
      <c r="Y2470">
        <v>-0.31461129999999998</v>
      </c>
      <c r="Z2470">
        <v>3.0578080000000001E-2</v>
      </c>
      <c r="AA2470">
        <v>0.94872800000000002</v>
      </c>
      <c r="AB2470">
        <v>10</v>
      </c>
      <c r="AC2470">
        <v>-6.5891999999999999</v>
      </c>
      <c r="AD2470">
        <v>-1.111013568295</v>
      </c>
      <c r="AE2470">
        <v>-26.680700000000002</v>
      </c>
      <c r="AF2470">
        <v>-8.6538178027044399</v>
      </c>
      <c r="AG2470">
        <v>-1.111013568295</v>
      </c>
      <c r="AH2470">
        <v>26.037013711568498</v>
      </c>
      <c r="AI2470">
        <v>92.318786539258795</v>
      </c>
      <c r="AJ2470">
        <v>108.385052062352</v>
      </c>
      <c r="AK2470">
        <v>27.459952598789101</v>
      </c>
      <c r="AL2470">
        <v>91.296631142613293</v>
      </c>
      <c r="AM2470">
        <v>90.248417653228202</v>
      </c>
      <c r="AN2470">
        <v>0.99999995518323204</v>
      </c>
    </row>
    <row r="2471" spans="1:40" x14ac:dyDescent="0.25">
      <c r="A2471" t="str">
        <f>"20190312161006249"</f>
        <v>20190312161006249</v>
      </c>
      <c r="B2471" t="str">
        <f>"1552378206237840"</f>
        <v>1552378206237840</v>
      </c>
      <c r="C2471" t="s">
        <v>40</v>
      </c>
      <c r="D2471">
        <v>5.1319990000000004</v>
      </c>
      <c r="E2471">
        <v>0.38146570000000002</v>
      </c>
      <c r="F2471" t="s">
        <v>41</v>
      </c>
      <c r="G2471">
        <v>-496.53050000000002</v>
      </c>
      <c r="H2471" s="1">
        <v>-4.540454E-6</v>
      </c>
      <c r="I2471">
        <v>246.92509999999999</v>
      </c>
      <c r="J2471">
        <v>-490.0378</v>
      </c>
      <c r="K2471">
        <v>1.1110139999999999</v>
      </c>
      <c r="L2471">
        <v>273.57569999999998</v>
      </c>
      <c r="M2471">
        <v>-0.53008869999999997</v>
      </c>
      <c r="N2471">
        <v>0</v>
      </c>
      <c r="O2471">
        <v>-0.84789040000000004</v>
      </c>
      <c r="P2471">
        <v>-0.52586569999999899</v>
      </c>
      <c r="Q2471">
        <v>-3.2510270000000001E-2</v>
      </c>
      <c r="R2471">
        <v>-0.84994639999999999</v>
      </c>
      <c r="S2471">
        <v>-0.75009159999999997</v>
      </c>
      <c r="T2471">
        <v>-0.1273938</v>
      </c>
      <c r="U2471">
        <v>-3.0658569999999998</v>
      </c>
      <c r="V2471">
        <v>-4.6029159999999899E-3</v>
      </c>
      <c r="W2471">
        <v>-2.3137979999999999E-2</v>
      </c>
      <c r="X2471">
        <v>0.99972169999999905</v>
      </c>
      <c r="Y2471">
        <v>-0.31353439999999999</v>
      </c>
      <c r="Z2471">
        <v>3.0760829999999999E-2</v>
      </c>
      <c r="AA2471">
        <v>0.94907839999999999</v>
      </c>
      <c r="AB2471">
        <v>10</v>
      </c>
      <c r="AC2471">
        <v>-6.4927000000000099</v>
      </c>
      <c r="AD2471">
        <v>-1.1110185404539901</v>
      </c>
      <c r="AE2471">
        <v>-26.650600000000001</v>
      </c>
      <c r="AF2471">
        <v>-8.6083402404378493</v>
      </c>
      <c r="AG2471">
        <v>-1.1110185404539901</v>
      </c>
      <c r="AH2471">
        <v>25.996989236848801</v>
      </c>
      <c r="AI2471">
        <v>92.323221176750096</v>
      </c>
      <c r="AJ2471">
        <v>108.32117127168</v>
      </c>
      <c r="AK2471">
        <v>27.407687484959499</v>
      </c>
      <c r="AL2471">
        <v>91.325826898716699</v>
      </c>
      <c r="AM2471">
        <v>90.263799212042301</v>
      </c>
      <c r="AN2471">
        <v>1.0000000152025299</v>
      </c>
    </row>
    <row r="2472" spans="1:40" x14ac:dyDescent="0.25">
      <c r="A2472" t="str">
        <f>"20190312161006272"</f>
        <v>20190312161006272</v>
      </c>
      <c r="B2472" t="str">
        <f>"1552378206268096"</f>
        <v>1552378206268096</v>
      </c>
      <c r="C2472" t="s">
        <v>40</v>
      </c>
      <c r="D2472">
        <v>5.1483189999999999</v>
      </c>
      <c r="E2472">
        <v>0.37655090000000002</v>
      </c>
      <c r="F2472" t="s">
        <v>41</v>
      </c>
      <c r="G2472">
        <v>-495.65879999999999</v>
      </c>
      <c r="H2472" s="1">
        <v>-2.2153900000000001E-6</v>
      </c>
      <c r="I2472">
        <v>251.24350000000001</v>
      </c>
      <c r="J2472">
        <v>-490.08780000000002</v>
      </c>
      <c r="K2472">
        <v>1.111019</v>
      </c>
      <c r="L2472">
        <v>273.48599999999999</v>
      </c>
      <c r="M2472">
        <v>-0.52636759999999905</v>
      </c>
      <c r="N2472">
        <v>0</v>
      </c>
      <c r="O2472">
        <v>-0.85020580000000001</v>
      </c>
      <c r="P2472">
        <v>-0.52199849999999903</v>
      </c>
      <c r="Q2472">
        <v>-3.2352840000000001E-2</v>
      </c>
      <c r="R2472">
        <v>-0.8523328</v>
      </c>
      <c r="S2472">
        <v>-0.76742549999999998</v>
      </c>
      <c r="T2472">
        <v>-0.15168519999999999</v>
      </c>
      <c r="U2472">
        <v>-3.0489809999999999</v>
      </c>
      <c r="V2472">
        <v>-4.7659620000000003E-3</v>
      </c>
      <c r="W2472">
        <v>-2.3018380000000001E-2</v>
      </c>
      <c r="X2472">
        <v>0.99972369999999999</v>
      </c>
      <c r="Y2472">
        <v>-0.30311719999999998</v>
      </c>
      <c r="Z2472">
        <v>3.7039839999999997E-2</v>
      </c>
      <c r="AA2472">
        <v>0.9522332</v>
      </c>
      <c r="AB2472">
        <v>10</v>
      </c>
      <c r="AC2472">
        <v>-5.5709999999999598</v>
      </c>
      <c r="AD2472">
        <v>-1.1110212153900001</v>
      </c>
      <c r="AE2472">
        <v>-22.2424999999999</v>
      </c>
      <c r="AF2472">
        <v>-6.9552098187921798</v>
      </c>
      <c r="AG2472">
        <v>-1.1110212153900001</v>
      </c>
      <c r="AH2472">
        <v>21.792884944370599</v>
      </c>
      <c r="AI2472">
        <v>92.780523133137507</v>
      </c>
      <c r="AJ2472">
        <v>107.700508372672</v>
      </c>
      <c r="AK2472">
        <v>22.902819607267599</v>
      </c>
      <c r="AL2472">
        <v>91.318972493953495</v>
      </c>
      <c r="AM2472">
        <v>90.273142908654506</v>
      </c>
      <c r="AN2472">
        <v>1.00000001827664</v>
      </c>
    </row>
    <row r="2473" spans="1:40" x14ac:dyDescent="0.25">
      <c r="A2473" t="str">
        <f>"20190312161006295"</f>
        <v>20190312161006295</v>
      </c>
      <c r="B2473" t="str">
        <f>"1552378206288591"</f>
        <v>1552378206288591</v>
      </c>
      <c r="C2473" t="s">
        <v>40</v>
      </c>
      <c r="D2473">
        <v>5.1385319999999997</v>
      </c>
      <c r="E2473">
        <v>0.37143310000000002</v>
      </c>
      <c r="F2473" t="s">
        <v>41</v>
      </c>
      <c r="G2473">
        <v>-496.2638</v>
      </c>
      <c r="H2473" s="1">
        <v>-4.590842E-6</v>
      </c>
      <c r="I2473">
        <v>247.2122</v>
      </c>
      <c r="J2473">
        <v>-490.1386</v>
      </c>
      <c r="K2473">
        <v>1.11103</v>
      </c>
      <c r="L2473">
        <v>273.39400000000001</v>
      </c>
      <c r="M2473">
        <v>-0.52254659999999997</v>
      </c>
      <c r="N2473">
        <v>0</v>
      </c>
      <c r="O2473">
        <v>-0.85255969999999903</v>
      </c>
      <c r="P2473">
        <v>-0.51816430000000002</v>
      </c>
      <c r="Q2473">
        <v>-3.1677120000000003E-2</v>
      </c>
      <c r="R2473">
        <v>-0.85469419999999996</v>
      </c>
      <c r="S2473">
        <v>-0.72222900000000001</v>
      </c>
      <c r="T2473">
        <v>-0.12992509999999999</v>
      </c>
      <c r="U2473">
        <v>-3.0725099999999999</v>
      </c>
      <c r="V2473">
        <v>-4.784623E-3</v>
      </c>
      <c r="W2473">
        <v>-2.2378370000000002E-2</v>
      </c>
      <c r="X2473">
        <v>0.99973809999999996</v>
      </c>
      <c r="Y2473">
        <v>-0.31373040000000002</v>
      </c>
      <c r="Z2473">
        <v>3.1611E-2</v>
      </c>
      <c r="AA2473">
        <v>0.94898579999999999</v>
      </c>
      <c r="AB2473">
        <v>10</v>
      </c>
      <c r="AC2473">
        <v>-6.1252000000000004</v>
      </c>
      <c r="AD2473">
        <v>-1.1110345908419901</v>
      </c>
      <c r="AE2473">
        <v>-26.181799999999999</v>
      </c>
      <c r="AF2473">
        <v>-8.4450615374159792</v>
      </c>
      <c r="AG2473">
        <v>-1.1110345908419901</v>
      </c>
      <c r="AH2473">
        <v>25.479858208914901</v>
      </c>
      <c r="AI2473">
        <v>92.370132745155701</v>
      </c>
      <c r="AJ2473">
        <v>108.337296540431</v>
      </c>
      <c r="AK2473">
        <v>26.865901000695999</v>
      </c>
      <c r="AL2473">
        <v>91.282293225844001</v>
      </c>
      <c r="AM2473">
        <v>90.274208426663193</v>
      </c>
      <c r="AN2473">
        <v>0.99999997632635895</v>
      </c>
    </row>
    <row r="2474" spans="1:40" x14ac:dyDescent="0.25">
      <c r="A2474" t="str">
        <f>"20190312161006317"</f>
        <v>20190312161006317</v>
      </c>
      <c r="B2474" t="str">
        <f>"1552378206308111"</f>
        <v>1552378206308111</v>
      </c>
      <c r="C2474" t="s">
        <v>40</v>
      </c>
      <c r="D2474">
        <v>5.1342829999999999</v>
      </c>
      <c r="E2474">
        <v>0.36889450000000001</v>
      </c>
      <c r="F2474" t="s">
        <v>41</v>
      </c>
      <c r="G2474">
        <v>-497.15629999999999</v>
      </c>
      <c r="H2474" s="1">
        <v>-2.5846729999999999E-6</v>
      </c>
      <c r="I2474">
        <v>241.1755</v>
      </c>
      <c r="J2474">
        <v>-490.18830000000003</v>
      </c>
      <c r="K2474">
        <v>1.111043</v>
      </c>
      <c r="L2474">
        <v>273.303</v>
      </c>
      <c r="M2474">
        <v>-0.51876719999999998</v>
      </c>
      <c r="N2474">
        <v>0</v>
      </c>
      <c r="O2474">
        <v>-0.85486530000000005</v>
      </c>
      <c r="P2474">
        <v>-0.51444999999999996</v>
      </c>
      <c r="Q2474">
        <v>-3.1520899999999998E-2</v>
      </c>
      <c r="R2474">
        <v>-0.85694090000000001</v>
      </c>
      <c r="S2474">
        <v>-0.6745911</v>
      </c>
      <c r="T2474">
        <v>-0.1068006</v>
      </c>
      <c r="U2474">
        <v>-3.0970759999999999</v>
      </c>
      <c r="V2474">
        <v>-4.7002579999999997E-3</v>
      </c>
      <c r="W2474">
        <v>-2.2253999999999999E-2</v>
      </c>
      <c r="X2474">
        <v>0.99974130000000005</v>
      </c>
      <c r="Y2474">
        <v>-0.32503359999999998</v>
      </c>
      <c r="Z2474">
        <v>2.5872079999999999E-2</v>
      </c>
      <c r="AA2474">
        <v>0.94534850000000004</v>
      </c>
      <c r="AB2474">
        <v>10</v>
      </c>
      <c r="AC2474">
        <v>-6.96799999999996</v>
      </c>
      <c r="AD2474">
        <v>-1.1110455846730001</v>
      </c>
      <c r="AE2474">
        <v>-32.127499999999998</v>
      </c>
      <c r="AF2474">
        <v>-10.698232238027</v>
      </c>
      <c r="AG2474">
        <v>-1.1110455846730001</v>
      </c>
      <c r="AH2474">
        <v>31.045329538161599</v>
      </c>
      <c r="AI2474">
        <v>91.937876859125694</v>
      </c>
      <c r="AJ2474">
        <v>109.01397048882799</v>
      </c>
      <c r="AK2474">
        <v>32.855731333255001</v>
      </c>
      <c r="AL2474">
        <v>91.275165544415202</v>
      </c>
      <c r="AM2474">
        <v>90.269372648526797</v>
      </c>
      <c r="AN2474">
        <v>0.99999999993347799</v>
      </c>
    </row>
    <row r="2475" spans="1:40" x14ac:dyDescent="0.25">
      <c r="A2475" t="str">
        <f>"20190312161006338"</f>
        <v>20190312161006338</v>
      </c>
      <c r="B2475" t="str">
        <f>"1552378206328607"</f>
        <v>1552378206328607</v>
      </c>
      <c r="C2475" t="s">
        <v>40</v>
      </c>
      <c r="D2475">
        <v>5.1355510000000004</v>
      </c>
      <c r="E2475">
        <v>0.36756139999999998</v>
      </c>
      <c r="F2475" t="s">
        <v>41</v>
      </c>
      <c r="G2475">
        <v>-497.35759999999999</v>
      </c>
      <c r="H2475" s="1">
        <v>-5.2857120000000004E-6</v>
      </c>
      <c r="I2475">
        <v>238.68389999999999</v>
      </c>
      <c r="J2475">
        <v>-490.23489999999998</v>
      </c>
      <c r="K2475">
        <v>1.111051</v>
      </c>
      <c r="L2475">
        <v>273.21679999999998</v>
      </c>
      <c r="M2475">
        <v>-0.51518679999999994</v>
      </c>
      <c r="N2475">
        <v>0</v>
      </c>
      <c r="O2475">
        <v>-0.85702809999999996</v>
      </c>
      <c r="P2475">
        <v>-0.51092590000000004</v>
      </c>
      <c r="Q2475">
        <v>-3.1053859999999999E-2</v>
      </c>
      <c r="R2475">
        <v>-0.85906389999999999</v>
      </c>
      <c r="S2475">
        <v>-0.64413450000000005</v>
      </c>
      <c r="T2475">
        <v>-9.9823239999999994E-2</v>
      </c>
      <c r="U2475">
        <v>-3.110382</v>
      </c>
      <c r="V2475">
        <v>-4.6340399999999999E-3</v>
      </c>
      <c r="W2475">
        <v>-2.1814150000000001E-2</v>
      </c>
      <c r="X2475">
        <v>0.99975130000000001</v>
      </c>
      <c r="Y2475">
        <v>-0.3307619</v>
      </c>
      <c r="Z2475">
        <v>2.4168780000000001E-2</v>
      </c>
      <c r="AA2475">
        <v>0.94340469999999998</v>
      </c>
      <c r="AB2475">
        <v>10</v>
      </c>
      <c r="AC2475">
        <v>-7.1227</v>
      </c>
      <c r="AD2475">
        <v>-1.1110562857119901</v>
      </c>
      <c r="AE2475">
        <v>-34.532899999999898</v>
      </c>
      <c r="AF2475">
        <v>-11.6754464965253</v>
      </c>
      <c r="AG2475">
        <v>-1.1110562857119901</v>
      </c>
      <c r="AH2475">
        <v>33.233608996108202</v>
      </c>
      <c r="AI2475">
        <v>91.806615761802902</v>
      </c>
      <c r="AJ2475">
        <v>109.35711131302099</v>
      </c>
      <c r="AK2475">
        <v>35.242350430546701</v>
      </c>
      <c r="AL2475">
        <v>91.249957879774101</v>
      </c>
      <c r="AM2475">
        <v>90.265575081140099</v>
      </c>
      <c r="AN2475">
        <v>0.99999999665931705</v>
      </c>
    </row>
    <row r="2476" spans="1:40" x14ac:dyDescent="0.25">
      <c r="A2476" t="str">
        <f>"20190312161006361"</f>
        <v>20190312161006361</v>
      </c>
      <c r="B2476" t="str">
        <f>"1552378206358397"</f>
        <v>1552378206358397</v>
      </c>
      <c r="C2476" t="s">
        <v>40</v>
      </c>
      <c r="D2476">
        <v>5.1116599999999996</v>
      </c>
      <c r="E2476">
        <v>0.36649350000000003</v>
      </c>
      <c r="F2476" t="s">
        <v>41</v>
      </c>
      <c r="G2476">
        <v>-497.6558</v>
      </c>
      <c r="H2476" s="1">
        <v>-4.4483700000000001E-6</v>
      </c>
      <c r="I2476">
        <v>236.06800000000001</v>
      </c>
      <c r="J2476">
        <v>-490.28370000000001</v>
      </c>
      <c r="K2476">
        <v>1.1110610000000001</v>
      </c>
      <c r="L2476">
        <v>273.12560000000002</v>
      </c>
      <c r="M2476">
        <v>-0.51140149999999995</v>
      </c>
      <c r="N2476">
        <v>0</v>
      </c>
      <c r="O2476">
        <v>-0.85929230000000001</v>
      </c>
      <c r="P2476">
        <v>-0.50738320000000003</v>
      </c>
      <c r="Q2476">
        <v>-3.1146719999999999E-2</v>
      </c>
      <c r="R2476">
        <v>-0.86115750000000002</v>
      </c>
      <c r="S2476">
        <v>-0.62292479999999995</v>
      </c>
      <c r="T2476">
        <v>-9.3264340000000001E-2</v>
      </c>
      <c r="U2476">
        <v>-3.118347</v>
      </c>
      <c r="V2476">
        <v>-4.3394159999999996E-3</v>
      </c>
      <c r="W2476">
        <v>-2.1935050000000001E-2</v>
      </c>
      <c r="X2476">
        <v>0.99975000000000003</v>
      </c>
      <c r="Y2476">
        <v>-0.33323140000000001</v>
      </c>
      <c r="Z2476">
        <v>2.262169E-2</v>
      </c>
      <c r="AA2476">
        <v>0.94257369999999996</v>
      </c>
      <c r="AB2476">
        <v>10</v>
      </c>
      <c r="AC2476">
        <v>-7.3720999999999801</v>
      </c>
      <c r="AD2476">
        <v>-1.11106544837</v>
      </c>
      <c r="AE2476">
        <v>-37.057600000000001</v>
      </c>
      <c r="AF2476">
        <v>-12.6061606423724</v>
      </c>
      <c r="AG2476">
        <v>-1.11106544837</v>
      </c>
      <c r="AH2476">
        <v>35.584161586752003</v>
      </c>
      <c r="AI2476">
        <v>91.685803558672305</v>
      </c>
      <c r="AJ2476">
        <v>109.50736528039199</v>
      </c>
      <c r="AK2476">
        <v>37.767476860440901</v>
      </c>
      <c r="AL2476">
        <v>91.256886568436698</v>
      </c>
      <c r="AM2476">
        <v>90.248690833683895</v>
      </c>
      <c r="AN2476">
        <v>1.00000001972486</v>
      </c>
    </row>
    <row r="2477" spans="1:40" x14ac:dyDescent="0.25">
      <c r="A2477" t="str">
        <f>"20190312161006384"</f>
        <v>20190312161006384</v>
      </c>
      <c r="B2477" t="str">
        <f>"1552378206377920"</f>
        <v>1552378206377920</v>
      </c>
      <c r="C2477" t="s">
        <v>40</v>
      </c>
      <c r="D2477">
        <v>5.1309189999999996</v>
      </c>
      <c r="E2477">
        <v>0.3663691</v>
      </c>
      <c r="F2477" t="s">
        <v>41</v>
      </c>
      <c r="G2477">
        <v>-497.72280000000001</v>
      </c>
      <c r="H2477" s="1">
        <v>-3.9574980000000002E-6</v>
      </c>
      <c r="I2477">
        <v>234.59059999999999</v>
      </c>
      <c r="J2477">
        <v>-490.33390000000003</v>
      </c>
      <c r="K2477">
        <v>1.1110739999999999</v>
      </c>
      <c r="L2477">
        <v>273.0308</v>
      </c>
      <c r="M2477">
        <v>-0.50745839999999998</v>
      </c>
      <c r="N2477">
        <v>0</v>
      </c>
      <c r="O2477">
        <v>-0.86162729999999998</v>
      </c>
      <c r="P2477">
        <v>-0.50338509999999903</v>
      </c>
      <c r="Q2477">
        <v>-3.067131E-2</v>
      </c>
      <c r="R2477">
        <v>-0.86351769999999906</v>
      </c>
      <c r="S2477">
        <v>-0.60327149999999996</v>
      </c>
      <c r="T2477">
        <v>-9.0101840000000002E-2</v>
      </c>
      <c r="U2477">
        <v>-3.125</v>
      </c>
      <c r="V2477">
        <v>-4.4023860000000003E-3</v>
      </c>
      <c r="W2477">
        <v>-2.149204E-2</v>
      </c>
      <c r="X2477">
        <v>0.99975930000000002</v>
      </c>
      <c r="Y2477">
        <v>-0.33500020000000003</v>
      </c>
      <c r="Z2477">
        <v>2.190769E-2</v>
      </c>
      <c r="AA2477">
        <v>0.94196329999999995</v>
      </c>
      <c r="AB2477">
        <v>10</v>
      </c>
      <c r="AC2477">
        <v>-7.3888999999999703</v>
      </c>
      <c r="AD2477">
        <v>-1.1110779574980001</v>
      </c>
      <c r="AE2477">
        <v>-38.440199999999997</v>
      </c>
      <c r="AF2477">
        <v>-13.1302999991552</v>
      </c>
      <c r="AG2477">
        <v>-1.1110779574980001</v>
      </c>
      <c r="AH2477">
        <v>36.842557366925398</v>
      </c>
      <c r="AI2477">
        <v>91.627181742455903</v>
      </c>
      <c r="AJ2477">
        <v>109.61553274112499</v>
      </c>
      <c r="AK2477">
        <v>39.128165119650603</v>
      </c>
      <c r="AL2477">
        <v>91.231498036766496</v>
      </c>
      <c r="AM2477">
        <v>90.252297235223494</v>
      </c>
      <c r="AN2477">
        <v>0.99999997336117197</v>
      </c>
    </row>
    <row r="2478" spans="1:40" x14ac:dyDescent="0.25">
      <c r="A2478" t="str">
        <f>"20190312161006406"</f>
        <v>20190312161006406</v>
      </c>
      <c r="B2478" t="str">
        <f>"1552378206398416"</f>
        <v>1552378206398416</v>
      </c>
      <c r="C2478" t="s">
        <v>40</v>
      </c>
      <c r="D2478">
        <v>5.1224239999999996</v>
      </c>
      <c r="E2478">
        <v>0.36632589999999998</v>
      </c>
      <c r="F2478" t="s">
        <v>41</v>
      </c>
      <c r="G2478">
        <v>-497.79649999999998</v>
      </c>
      <c r="H2478" s="1">
        <v>-3.5382689999999999E-6</v>
      </c>
      <c r="I2478">
        <v>233.3202</v>
      </c>
      <c r="J2478">
        <v>-490.38279999999997</v>
      </c>
      <c r="K2478">
        <v>1.1110850000000001</v>
      </c>
      <c r="L2478">
        <v>272.93729999999999</v>
      </c>
      <c r="M2478">
        <v>-0.50357540000000001</v>
      </c>
      <c r="N2478">
        <v>0</v>
      </c>
      <c r="O2478">
        <v>-0.86390270000000002</v>
      </c>
      <c r="P2478">
        <v>-0.49939620000000001</v>
      </c>
      <c r="Q2478">
        <v>-3.050143E-2</v>
      </c>
      <c r="R2478">
        <v>-0.86583690000000002</v>
      </c>
      <c r="S2478">
        <v>-0.58789060000000004</v>
      </c>
      <c r="T2478">
        <v>-8.7528709999999996E-2</v>
      </c>
      <c r="U2478">
        <v>-3.1283259999999999</v>
      </c>
      <c r="V2478">
        <v>-4.5172889999999999E-3</v>
      </c>
      <c r="W2478">
        <v>-2.135476E-2</v>
      </c>
      <c r="X2478">
        <v>0.99976180000000003</v>
      </c>
      <c r="Y2478">
        <v>-0.33541290000000001</v>
      </c>
      <c r="Z2478">
        <v>2.13577E-2</v>
      </c>
      <c r="AA2478">
        <v>0.94182909999999997</v>
      </c>
      <c r="AB2478">
        <v>11</v>
      </c>
      <c r="AC2478">
        <v>-7.4137000000000004</v>
      </c>
      <c r="AD2478">
        <v>-1.1110885382689999</v>
      </c>
      <c r="AE2478">
        <v>-39.617099999999901</v>
      </c>
      <c r="AF2478">
        <v>-13.535763611429999</v>
      </c>
      <c r="AG2478">
        <v>-1.1110885382689999</v>
      </c>
      <c r="AH2478">
        <v>37.9314439447379</v>
      </c>
      <c r="AI2478">
        <v>91.580280614996298</v>
      </c>
      <c r="AJ2478">
        <v>109.63884464409399</v>
      </c>
      <c r="AK2478">
        <v>40.289525363513299</v>
      </c>
      <c r="AL2478">
        <v>91.223630579617506</v>
      </c>
      <c r="AM2478">
        <v>90.258881498800605</v>
      </c>
      <c r="AN2478">
        <v>1.0000000442068999</v>
      </c>
    </row>
    <row r="2479" spans="1:40" x14ac:dyDescent="0.25">
      <c r="A2479" t="str">
        <f>"20190312161006427"</f>
        <v>20190312161006427</v>
      </c>
      <c r="B2479" t="str">
        <f>"1552378206417932"</f>
        <v>1552378206417932</v>
      </c>
      <c r="C2479" t="s">
        <v>40</v>
      </c>
      <c r="D2479">
        <v>5.0877439999999998</v>
      </c>
      <c r="E2479">
        <v>0.36637960000000003</v>
      </c>
      <c r="F2479" t="s">
        <v>41</v>
      </c>
      <c r="G2479">
        <v>-497.85320000000002</v>
      </c>
      <c r="H2479" s="1">
        <v>-3.1402879999999999E-6</v>
      </c>
      <c r="I2479">
        <v>232.12119999999999</v>
      </c>
      <c r="J2479">
        <v>-490.42919999999998</v>
      </c>
      <c r="K2479">
        <v>1.111086</v>
      </c>
      <c r="L2479">
        <v>272.84769999999997</v>
      </c>
      <c r="M2479">
        <v>-0.4998515</v>
      </c>
      <c r="N2479">
        <v>0</v>
      </c>
      <c r="O2479">
        <v>-0.86606319999999903</v>
      </c>
      <c r="P2479">
        <v>-0.49587429999999899</v>
      </c>
      <c r="Q2479">
        <v>-2.9924050000000001E-2</v>
      </c>
      <c r="R2479">
        <v>-0.86787890000000001</v>
      </c>
      <c r="S2479">
        <v>-0.57312010000000002</v>
      </c>
      <c r="T2479">
        <v>-8.5240839999999998E-2</v>
      </c>
      <c r="U2479">
        <v>-3.131348</v>
      </c>
      <c r="V2479">
        <v>-4.2856500000000002E-3</v>
      </c>
      <c r="W2479">
        <v>-2.080547E-2</v>
      </c>
      <c r="X2479">
        <v>0.9997743</v>
      </c>
      <c r="Y2479">
        <v>-0.33581480000000002</v>
      </c>
      <c r="Z2479">
        <v>2.0870090000000001E-2</v>
      </c>
      <c r="AA2479">
        <v>0.9416968</v>
      </c>
      <c r="AB2479">
        <v>11</v>
      </c>
      <c r="AC2479">
        <v>-7.4240000000000297</v>
      </c>
      <c r="AD2479">
        <v>-1.1110891402879901</v>
      </c>
      <c r="AE2479">
        <v>-40.726499999999902</v>
      </c>
      <c r="AF2479">
        <v>-13.9181010465661</v>
      </c>
      <c r="AG2479">
        <v>-1.1110891402879901</v>
      </c>
      <c r="AH2479">
        <v>38.956176258329897</v>
      </c>
      <c r="AI2479">
        <v>91.538524494285795</v>
      </c>
      <c r="AJ2479">
        <v>109.66058179953301</v>
      </c>
      <c r="AK2479">
        <v>41.382746700650003</v>
      </c>
      <c r="AL2479">
        <v>91.192151708005198</v>
      </c>
      <c r="AM2479">
        <v>90.2456035862172</v>
      </c>
      <c r="AN2479">
        <v>0.99999994265916503</v>
      </c>
    </row>
    <row r="2480" spans="1:40" x14ac:dyDescent="0.25">
      <c r="A2480" t="str">
        <f>"20190312161006451"</f>
        <v>20190312161006451</v>
      </c>
      <c r="B2480" t="str">
        <f>"1552378206448189"</f>
        <v>1552378206448189</v>
      </c>
      <c r="C2480" t="s">
        <v>40</v>
      </c>
      <c r="D2480">
        <v>5.1068809999999996</v>
      </c>
      <c r="E2480">
        <v>0.36656349999999999</v>
      </c>
      <c r="F2480" t="s">
        <v>41</v>
      </c>
      <c r="G2480">
        <v>-497.99709999999999</v>
      </c>
      <c r="H2480" s="1">
        <v>-2.5353059999999998E-6</v>
      </c>
      <c r="I2480">
        <v>230.53899999999999</v>
      </c>
      <c r="J2480">
        <v>-490.47770000000003</v>
      </c>
      <c r="K2480">
        <v>1.1111</v>
      </c>
      <c r="L2480">
        <v>272.75299999999999</v>
      </c>
      <c r="M2480">
        <v>-0.49591210000000002</v>
      </c>
      <c r="N2480">
        <v>0</v>
      </c>
      <c r="O2480">
        <v>-0.86832500000000001</v>
      </c>
      <c r="P2480">
        <v>-0.49214609999999898</v>
      </c>
      <c r="Q2480">
        <v>-2.937582E-2</v>
      </c>
      <c r="R2480">
        <v>-0.87001700000000004</v>
      </c>
      <c r="S2480">
        <v>-0.56051640000000003</v>
      </c>
      <c r="T2480">
        <v>-8.2292909999999997E-2</v>
      </c>
      <c r="U2480">
        <v>-3.1336059999999999</v>
      </c>
      <c r="V2480">
        <v>-4.0439919999999997E-3</v>
      </c>
      <c r="W2480">
        <v>-2.0284199999999999E-2</v>
      </c>
      <c r="X2480">
        <v>0.99978610000000001</v>
      </c>
      <c r="Y2480">
        <v>-0.33532129999999999</v>
      </c>
      <c r="Z2480">
        <v>2.022842E-2</v>
      </c>
      <c r="AA2480">
        <v>0.94188669999999997</v>
      </c>
      <c r="AB2480">
        <v>11</v>
      </c>
      <c r="AC2480">
        <v>-7.5193999999999601</v>
      </c>
      <c r="AD2480">
        <v>-1.111102535306</v>
      </c>
      <c r="AE2480">
        <v>-42.213999999999899</v>
      </c>
      <c r="AF2480">
        <v>-14.39608079027</v>
      </c>
      <c r="AG2480">
        <v>-1.111102535306</v>
      </c>
      <c r="AH2480">
        <v>40.359006643285298</v>
      </c>
      <c r="AI2480">
        <v>91.485359931617893</v>
      </c>
      <c r="AJ2480">
        <v>109.631346519799</v>
      </c>
      <c r="AK2480">
        <v>42.864100459436898</v>
      </c>
      <c r="AL2480">
        <v>91.162278734992995</v>
      </c>
      <c r="AM2480">
        <v>90.231751982121494</v>
      </c>
      <c r="AN2480">
        <v>1.0000000241970699</v>
      </c>
    </row>
    <row r="2481" spans="1:40" x14ac:dyDescent="0.25">
      <c r="A2481" t="str">
        <f>"20190312161006473"</f>
        <v>20190312161006473</v>
      </c>
      <c r="B2481" t="str">
        <f>"1552378206468685"</f>
        <v>1552378206468685</v>
      </c>
      <c r="C2481" t="s">
        <v>40</v>
      </c>
      <c r="D2481">
        <v>5.1155140000000001</v>
      </c>
      <c r="E2481">
        <v>0.36679990000000001</v>
      </c>
      <c r="F2481" t="s">
        <v>59</v>
      </c>
      <c r="G2481">
        <v>-498.16059999999999</v>
      </c>
      <c r="H2481" s="1">
        <v>4.2815079999999998E-6</v>
      </c>
      <c r="I2481">
        <v>228.85300000000001</v>
      </c>
      <c r="J2481">
        <v>-490.52659999999997</v>
      </c>
      <c r="K2481">
        <v>1.111111</v>
      </c>
      <c r="L2481">
        <v>272.65640000000002</v>
      </c>
      <c r="M2481">
        <v>-0.49189690000000003</v>
      </c>
      <c r="N2481">
        <v>0</v>
      </c>
      <c r="O2481">
        <v>-0.87060609999999905</v>
      </c>
      <c r="P2481">
        <v>-0.48812559999999999</v>
      </c>
      <c r="Q2481">
        <v>-2.8948959999999999E-2</v>
      </c>
      <c r="R2481">
        <v>-0.87229319999999899</v>
      </c>
      <c r="S2481">
        <v>-0.54867549999999998</v>
      </c>
      <c r="T2481">
        <v>-7.9349279999999994E-2</v>
      </c>
      <c r="U2481">
        <v>-3.135132</v>
      </c>
      <c r="V2481">
        <v>-4.0487919999999998E-3</v>
      </c>
      <c r="W2481">
        <v>-1.9882850000000001E-2</v>
      </c>
      <c r="X2481">
        <v>0.99979410000000002</v>
      </c>
      <c r="Y2481">
        <v>-0.33449699999999999</v>
      </c>
      <c r="Z2481">
        <v>1.9588330000000001E-2</v>
      </c>
      <c r="AA2481">
        <v>0.94219319999999895</v>
      </c>
      <c r="AB2481">
        <v>11</v>
      </c>
      <c r="AC2481">
        <v>-7.6340000000000101</v>
      </c>
      <c r="AD2481">
        <v>-1.111106718492</v>
      </c>
      <c r="AE2481">
        <v>-43.803400000000003</v>
      </c>
      <c r="AF2481">
        <v>-14.8918647729536</v>
      </c>
      <c r="AG2481">
        <v>-1.111106718492</v>
      </c>
      <c r="AH2481">
        <v>41.866231807025002</v>
      </c>
      <c r="AI2481">
        <v>91.432365857500898</v>
      </c>
      <c r="AJ2481">
        <v>109.580528745726</v>
      </c>
      <c r="AK2481">
        <v>44.449786954217998</v>
      </c>
      <c r="AL2481">
        <v>91.139278484001395</v>
      </c>
      <c r="AM2481">
        <v>90.232025199618207</v>
      </c>
      <c r="AN2481">
        <v>0.999999981417795</v>
      </c>
    </row>
    <row r="2482" spans="1:40" x14ac:dyDescent="0.25">
      <c r="A2482" t="str">
        <f>"20190312161006496"</f>
        <v>20190312161006496</v>
      </c>
      <c r="B2482" t="str">
        <f>"1552378206488204"</f>
        <v>1552378206488204</v>
      </c>
      <c r="C2482" t="s">
        <v>40</v>
      </c>
      <c r="D2482">
        <v>5.1364099999999997</v>
      </c>
      <c r="E2482">
        <v>0.36717430000000001</v>
      </c>
      <c r="F2482" t="s">
        <v>59</v>
      </c>
      <c r="G2482">
        <v>-498.11169999999998</v>
      </c>
      <c r="H2482" s="1">
        <v>4.1543890000000003E-6</v>
      </c>
      <c r="I2482">
        <v>228.2192</v>
      </c>
      <c r="J2482">
        <v>-490.5754</v>
      </c>
      <c r="K2482">
        <v>1.111124</v>
      </c>
      <c r="L2482">
        <v>272.55889999999999</v>
      </c>
      <c r="M2482">
        <v>-0.48784070000000002</v>
      </c>
      <c r="N2482">
        <v>0</v>
      </c>
      <c r="O2482">
        <v>-0.87288589999999999</v>
      </c>
      <c r="P2482">
        <v>-0.48443730000000002</v>
      </c>
      <c r="Q2482">
        <v>-2.9115970000000001E-2</v>
      </c>
      <c r="R2482">
        <v>-0.8743417</v>
      </c>
      <c r="S2482">
        <v>-0.53546139999999998</v>
      </c>
      <c r="T2482">
        <v>-7.843733E-2</v>
      </c>
      <c r="U2482">
        <v>-3.1369929999999999</v>
      </c>
      <c r="V2482">
        <v>-3.6154220000000001E-3</v>
      </c>
      <c r="W2482">
        <v>-2.0073779999999999E-2</v>
      </c>
      <c r="X2482">
        <v>0.99979200000000001</v>
      </c>
      <c r="Y2482">
        <v>-0.33406000000000002</v>
      </c>
      <c r="Z2482">
        <v>1.94421E-2</v>
      </c>
      <c r="AA2482">
        <v>0.9423513</v>
      </c>
      <c r="AB2482">
        <v>11</v>
      </c>
      <c r="AC2482">
        <v>-7.5362999999999802</v>
      </c>
      <c r="AD2482">
        <v>-1.1111198456110001</v>
      </c>
      <c r="AE2482">
        <v>-44.339699999999901</v>
      </c>
      <c r="AF2482">
        <v>-15.0438131251258</v>
      </c>
      <c r="AG2482">
        <v>-1.1111198456110001</v>
      </c>
      <c r="AH2482">
        <v>42.355891969225702</v>
      </c>
      <c r="AI2482">
        <v>91.416064685593099</v>
      </c>
      <c r="AJ2482">
        <v>109.55383750361</v>
      </c>
      <c r="AK2482">
        <v>44.961900373135201</v>
      </c>
      <c r="AL2482">
        <v>91.150220088891899</v>
      </c>
      <c r="AM2482">
        <v>90.207190614473305</v>
      </c>
      <c r="AN2482">
        <v>1.0000000355918599</v>
      </c>
    </row>
    <row r="2483" spans="1:40" x14ac:dyDescent="0.25">
      <c r="A2483" t="str">
        <f>"20190312161006518"</f>
        <v>20190312161006518</v>
      </c>
      <c r="B2483" t="str">
        <f>"1552378206508701"</f>
        <v>1552378206508701</v>
      </c>
      <c r="C2483" t="s">
        <v>40</v>
      </c>
      <c r="D2483">
        <v>5.1399169999999996</v>
      </c>
      <c r="E2483">
        <v>0.3675235</v>
      </c>
      <c r="F2483" t="s">
        <v>59</v>
      </c>
      <c r="G2483">
        <v>-497.93799999999999</v>
      </c>
      <c r="H2483" s="1">
        <v>4.2837799999999998E-6</v>
      </c>
      <c r="I2483">
        <v>228.59540000000001</v>
      </c>
      <c r="J2483">
        <v>-490.62279999999998</v>
      </c>
      <c r="K2483">
        <v>1.111137</v>
      </c>
      <c r="L2483">
        <v>272.4633</v>
      </c>
      <c r="M2483">
        <v>-0.48386289999999998</v>
      </c>
      <c r="N2483">
        <v>0</v>
      </c>
      <c r="O2483">
        <v>-0.87509729999999997</v>
      </c>
      <c r="P2483">
        <v>-0.48063240000000002</v>
      </c>
      <c r="Q2483">
        <v>-2.9630699999999999E-2</v>
      </c>
      <c r="R2483">
        <v>-0.87642160000000002</v>
      </c>
      <c r="S2483">
        <v>-0.52542109999999997</v>
      </c>
      <c r="T2483">
        <v>-7.9294089999999998E-2</v>
      </c>
      <c r="U2483">
        <v>-3.1374209999999998</v>
      </c>
      <c r="V2483">
        <v>-3.399422E-3</v>
      </c>
      <c r="W2483">
        <v>-2.0615109999999999E-2</v>
      </c>
      <c r="X2483">
        <v>0.9997817</v>
      </c>
      <c r="Y2483">
        <v>-0.33272380000000001</v>
      </c>
      <c r="Z2483">
        <v>1.974302E-2</v>
      </c>
      <c r="AA2483">
        <v>0.94281760000000003</v>
      </c>
      <c r="AB2483">
        <v>11</v>
      </c>
      <c r="AC2483">
        <v>-7.3152000000000603</v>
      </c>
      <c r="AD2483">
        <v>-1.11113271622</v>
      </c>
      <c r="AE2483">
        <v>-43.867899999999899</v>
      </c>
      <c r="AF2483">
        <v>-14.815892869882299</v>
      </c>
      <c r="AG2483">
        <v>-1.11113271622</v>
      </c>
      <c r="AH2483">
        <v>41.903785009538602</v>
      </c>
      <c r="AI2483">
        <v>91.432077191424199</v>
      </c>
      <c r="AJ2483">
        <v>109.472032028329</v>
      </c>
      <c r="AK2483">
        <v>44.459785149846503</v>
      </c>
      <c r="AL2483">
        <v>91.181242483206006</v>
      </c>
      <c r="AM2483">
        <v>90.194814310757096</v>
      </c>
      <c r="AN2483">
        <v>0.99999999324256805</v>
      </c>
    </row>
    <row r="2484" spans="1:40" x14ac:dyDescent="0.25">
      <c r="A2484" t="str">
        <f>"20190312161006539"</f>
        <v>20190312161006539</v>
      </c>
      <c r="B2484" t="str">
        <f>"1552378206528221"</f>
        <v>1552378206528221</v>
      </c>
      <c r="C2484" t="s">
        <v>40</v>
      </c>
      <c r="D2484">
        <v>4.9979129999999996</v>
      </c>
      <c r="E2484">
        <v>0.36774440000000003</v>
      </c>
      <c r="F2484" t="s">
        <v>59</v>
      </c>
      <c r="G2484">
        <v>-497.66919999999999</v>
      </c>
      <c r="H2484" s="1">
        <v>4.5395700000000001E-6</v>
      </c>
      <c r="I2484">
        <v>229.4289</v>
      </c>
      <c r="J2484">
        <v>-490.66849999999999</v>
      </c>
      <c r="K2484">
        <v>1.1111470000000001</v>
      </c>
      <c r="L2484">
        <v>272.3698</v>
      </c>
      <c r="M2484">
        <v>-0.47997099999999998</v>
      </c>
      <c r="N2484">
        <v>0</v>
      </c>
      <c r="O2484">
        <v>-0.87723839999999997</v>
      </c>
      <c r="P2484">
        <v>-0.47668339999999998</v>
      </c>
      <c r="Q2484">
        <v>-2.9162159999999999E-2</v>
      </c>
      <c r="R2484">
        <v>-0.87859140000000002</v>
      </c>
      <c r="S2484">
        <v>-0.5138855</v>
      </c>
      <c r="T2484">
        <v>-8.1032989999999999E-2</v>
      </c>
      <c r="U2484">
        <v>-3.1384280000000002</v>
      </c>
      <c r="V2484">
        <v>-3.4657189999999999E-3</v>
      </c>
      <c r="W2484">
        <v>-2.0174790000000001E-2</v>
      </c>
      <c r="X2484">
        <v>0.99979050000000003</v>
      </c>
      <c r="Y2484">
        <v>-0.33195849999999999</v>
      </c>
      <c r="Z2484">
        <v>2.0257979999999998E-2</v>
      </c>
      <c r="AA2484">
        <v>0.94307640000000004</v>
      </c>
      <c r="AB2484">
        <v>11</v>
      </c>
      <c r="AC2484">
        <v>-7.0006999999999904</v>
      </c>
      <c r="AD2484">
        <v>-1.11114246043</v>
      </c>
      <c r="AE2484">
        <v>-42.940899999999999</v>
      </c>
      <c r="AF2484">
        <v>-14.4602556954748</v>
      </c>
      <c r="AG2484">
        <v>-1.11114246043</v>
      </c>
      <c r="AH2484">
        <v>41.004448991698297</v>
      </c>
      <c r="AI2484">
        <v>91.463907623352497</v>
      </c>
      <c r="AJ2484">
        <v>109.42524395500701</v>
      </c>
      <c r="AK2484">
        <v>43.493660106487603</v>
      </c>
      <c r="AL2484">
        <v>91.156008704146004</v>
      </c>
      <c r="AM2484">
        <v>90.198611885514595</v>
      </c>
      <c r="AN2484">
        <v>1.0000000386249801</v>
      </c>
    </row>
    <row r="2485" spans="1:40" x14ac:dyDescent="0.25">
      <c r="A2485" t="str">
        <f>"20190312161006552"</f>
        <v>20190312161006552</v>
      </c>
      <c r="B2485" t="str">
        <f>"1552378206548718"</f>
        <v>1552378206548718</v>
      </c>
      <c r="C2485" t="s">
        <v>40</v>
      </c>
      <c r="D2485">
        <v>5.0766359999999997</v>
      </c>
      <c r="E2485">
        <v>0.34761160000000002</v>
      </c>
      <c r="F2485" t="s">
        <v>59</v>
      </c>
      <c r="G2485">
        <v>-497.56290000000001</v>
      </c>
      <c r="H2485" s="1">
        <v>4.5159219999999996E-6</v>
      </c>
      <c r="I2485">
        <v>229.19390000000001</v>
      </c>
      <c r="J2485">
        <v>-490.69400000000002</v>
      </c>
      <c r="K2485">
        <v>1.111148</v>
      </c>
      <c r="L2485">
        <v>272.31740000000002</v>
      </c>
      <c r="M2485">
        <v>-0.4777904</v>
      </c>
      <c r="N2485">
        <v>0</v>
      </c>
      <c r="O2485">
        <v>-0.87842819999999899</v>
      </c>
      <c r="P2485">
        <v>-0.47468050000000001</v>
      </c>
      <c r="Q2485">
        <v>-2.9189719999999999E-2</v>
      </c>
      <c r="R2485">
        <v>-0.87967419999999996</v>
      </c>
      <c r="S2485">
        <v>-0.50137330000000002</v>
      </c>
      <c r="T2485">
        <v>-8.0805059999999998E-2</v>
      </c>
      <c r="U2485">
        <v>-3.1398619999999999</v>
      </c>
      <c r="V2485">
        <v>-3.2592889999999998E-3</v>
      </c>
      <c r="W2485">
        <v>-2.021703E-2</v>
      </c>
      <c r="X2485">
        <v>0.99979030000000002</v>
      </c>
      <c r="Y2485">
        <v>-0.33334580000000003</v>
      </c>
      <c r="Z2485">
        <v>2.0235220000000002E-2</v>
      </c>
      <c r="AA2485">
        <v>0.94258750000000002</v>
      </c>
      <c r="AB2485">
        <v>11</v>
      </c>
      <c r="AC2485">
        <v>-6.8688999999999902</v>
      </c>
      <c r="AD2485">
        <v>-1.1111434840779999</v>
      </c>
      <c r="AE2485">
        <v>-43.1235</v>
      </c>
      <c r="AF2485">
        <v>-14.5613151147606</v>
      </c>
      <c r="AG2485">
        <v>-1.1111434840779999</v>
      </c>
      <c r="AH2485">
        <v>41.1378081340645</v>
      </c>
      <c r="AI2485">
        <v>91.458563800908905</v>
      </c>
      <c r="AJ2485">
        <v>109.492144948709</v>
      </c>
      <c r="AK2485">
        <v>43.653015884228097</v>
      </c>
      <c r="AL2485">
        <v>91.158429419001607</v>
      </c>
      <c r="AM2485">
        <v>90.186782010571207</v>
      </c>
      <c r="AN2485">
        <v>0.999999997620448</v>
      </c>
    </row>
    <row r="2486" spans="1:40" x14ac:dyDescent="0.25">
      <c r="A2486" t="str">
        <f>"20190312161006563"</f>
        <v>20190312161006563</v>
      </c>
      <c r="B2486" t="str">
        <f>"1552378206558477"</f>
        <v>1552378206558477</v>
      </c>
      <c r="C2486" t="s">
        <v>40</v>
      </c>
      <c r="D2486">
        <v>5.0569610000000003</v>
      </c>
      <c r="E2486">
        <v>0.34215659999999998</v>
      </c>
      <c r="F2486" t="s">
        <v>45</v>
      </c>
      <c r="G2486">
        <v>0</v>
      </c>
      <c r="H2486">
        <v>0</v>
      </c>
      <c r="I2486">
        <v>0</v>
      </c>
      <c r="J2486">
        <v>-490.71780000000001</v>
      </c>
      <c r="K2486">
        <v>1.1111519999999999</v>
      </c>
      <c r="L2486">
        <v>272.26799999999997</v>
      </c>
      <c r="M2486">
        <v>-0.47573409999999999</v>
      </c>
      <c r="N2486">
        <v>0</v>
      </c>
      <c r="O2486">
        <v>-0.87954349999999903</v>
      </c>
      <c r="P2486">
        <v>-0.47241349999999999</v>
      </c>
      <c r="Q2486">
        <v>-2.9261200000000001E-2</v>
      </c>
      <c r="R2486">
        <v>-0.88089130000000004</v>
      </c>
      <c r="S2486">
        <v>-0.36044310000000002</v>
      </c>
      <c r="T2486">
        <v>2.1506190000000001E-2</v>
      </c>
      <c r="U2486">
        <v>-3.216583</v>
      </c>
      <c r="V2486">
        <v>-3.4928839999999999E-3</v>
      </c>
      <c r="W2486">
        <v>-2.030361E-2</v>
      </c>
      <c r="X2486">
        <v>0.99978769999999995</v>
      </c>
      <c r="Y2486">
        <v>-0.37484479999999998</v>
      </c>
      <c r="Z2486">
        <v>-5.2293309999999898E-3</v>
      </c>
      <c r="AA2486">
        <v>0.92707280000000003</v>
      </c>
      <c r="AB2486">
        <v>11</v>
      </c>
      <c r="AC2486">
        <v>-0.36044310000000002</v>
      </c>
      <c r="AD2486">
        <v>2.1506190000000001E-2</v>
      </c>
      <c r="AE2486">
        <v>-3.216583</v>
      </c>
      <c r="AF2486">
        <v>-1.2132079833298599</v>
      </c>
      <c r="AG2486">
        <v>2.1506190000000001E-2</v>
      </c>
      <c r="AH2486">
        <v>3.0005877494666802</v>
      </c>
      <c r="AI2486">
        <v>89.619289896914495</v>
      </c>
      <c r="AJ2486">
        <v>112.014638276467</v>
      </c>
      <c r="AK2486">
        <v>3.2366437816468401</v>
      </c>
      <c r="AL2486">
        <v>91.163391171993197</v>
      </c>
      <c r="AM2486">
        <v>90.200169193240896</v>
      </c>
      <c r="AN2486">
        <v>0.99999994094447797</v>
      </c>
    </row>
    <row r="2487" spans="1:40" x14ac:dyDescent="0.25">
      <c r="A2487" t="str">
        <f>"20190312161006574"</f>
        <v>20190312161006574</v>
      </c>
      <c r="B2487" t="str">
        <f>"1552378206568237"</f>
        <v>1552378206568237</v>
      </c>
      <c r="C2487" t="s">
        <v>40</v>
      </c>
      <c r="D2487">
        <v>5.058897</v>
      </c>
      <c r="E2487">
        <v>0.33855289999999999</v>
      </c>
      <c r="F2487" t="s">
        <v>45</v>
      </c>
      <c r="G2487">
        <v>0</v>
      </c>
      <c r="H2487">
        <v>0</v>
      </c>
      <c r="I2487">
        <v>0</v>
      </c>
      <c r="J2487">
        <v>-490.74029999999999</v>
      </c>
      <c r="K2487">
        <v>1.111157</v>
      </c>
      <c r="L2487">
        <v>272.22109999999998</v>
      </c>
      <c r="M2487">
        <v>-0.47378120000000001</v>
      </c>
      <c r="N2487">
        <v>0</v>
      </c>
      <c r="O2487">
        <v>-0.88059709999999902</v>
      </c>
      <c r="P2487">
        <v>-0.47063969999999999</v>
      </c>
      <c r="Q2487">
        <v>-2.9534769999999998E-2</v>
      </c>
      <c r="R2487">
        <v>-0.88183089999999997</v>
      </c>
      <c r="S2487">
        <v>-0.31466670000000002</v>
      </c>
      <c r="T2487">
        <v>3.9228319999999997E-2</v>
      </c>
      <c r="U2487">
        <v>-3.2381899999999999</v>
      </c>
      <c r="V2487">
        <v>-3.2807180000000002E-3</v>
      </c>
      <c r="W2487">
        <v>-2.05889E-2</v>
      </c>
      <c r="X2487">
        <v>0.99978259999999997</v>
      </c>
      <c r="Y2487">
        <v>-0.38640930000000001</v>
      </c>
      <c r="Z2487">
        <v>-9.4692300000000004E-3</v>
      </c>
      <c r="AA2487">
        <v>0.92227879999999995</v>
      </c>
      <c r="AB2487">
        <v>11</v>
      </c>
      <c r="AC2487">
        <v>-0.31466670000000002</v>
      </c>
      <c r="AD2487">
        <v>3.9228319999999997E-2</v>
      </c>
      <c r="AE2487">
        <v>-3.2381899999999999</v>
      </c>
      <c r="AF2487">
        <v>-1.2569665828629699</v>
      </c>
      <c r="AG2487">
        <v>3.9228319999999997E-2</v>
      </c>
      <c r="AH2487">
        <v>3.00030791196777</v>
      </c>
      <c r="AI2487">
        <v>89.309090350111404</v>
      </c>
      <c r="AJ2487">
        <v>112.731045298929</v>
      </c>
      <c r="AK2487">
        <v>3.2532063288609101</v>
      </c>
      <c r="AL2487">
        <v>91.179740485264404</v>
      </c>
      <c r="AM2487">
        <v>90.188011494197198</v>
      </c>
      <c r="AN2487">
        <v>0.999999956588281</v>
      </c>
    </row>
    <row r="2488" spans="1:40" x14ac:dyDescent="0.25">
      <c r="A2488" t="str">
        <f>"20190312161006585"</f>
        <v>20190312161006585</v>
      </c>
      <c r="B2488" t="str">
        <f>"1552378206577998"</f>
        <v>1552378206577998</v>
      </c>
      <c r="C2488" t="s">
        <v>40</v>
      </c>
      <c r="D2488">
        <v>5.0869849999999897</v>
      </c>
      <c r="E2488">
        <v>0.3362755</v>
      </c>
      <c r="F2488" t="s">
        <v>45</v>
      </c>
      <c r="G2488">
        <v>0</v>
      </c>
      <c r="H2488">
        <v>0</v>
      </c>
      <c r="I2488">
        <v>0</v>
      </c>
      <c r="J2488">
        <v>-490.7654</v>
      </c>
      <c r="K2488">
        <v>1.111164</v>
      </c>
      <c r="L2488">
        <v>272.16849999999999</v>
      </c>
      <c r="M2488">
        <v>-0.47159000000000001</v>
      </c>
      <c r="N2488">
        <v>0</v>
      </c>
      <c r="O2488">
        <v>-0.88177280000000002</v>
      </c>
      <c r="P2488">
        <v>-0.46851609999999999</v>
      </c>
      <c r="Q2488">
        <v>-2.9941140000000002E-2</v>
      </c>
      <c r="R2488">
        <v>-0.88294760000000005</v>
      </c>
      <c r="S2488">
        <v>-0.28359990000000002</v>
      </c>
      <c r="T2488">
        <v>4.8932789999999997E-2</v>
      </c>
      <c r="U2488">
        <v>-3.2522890000000002</v>
      </c>
      <c r="V2488">
        <v>-3.1924929999999998E-3</v>
      </c>
      <c r="W2488">
        <v>-2.1009010000000002E-2</v>
      </c>
      <c r="X2488">
        <v>0.99977419999999995</v>
      </c>
      <c r="Y2488">
        <v>-0.39322750000000001</v>
      </c>
      <c r="Z2488">
        <v>-1.176784E-2</v>
      </c>
      <c r="AA2488">
        <v>0.91936589999999996</v>
      </c>
      <c r="AB2488">
        <v>11</v>
      </c>
      <c r="AC2488">
        <v>-0.28359990000000002</v>
      </c>
      <c r="AD2488">
        <v>4.8932789999999997E-2</v>
      </c>
      <c r="AE2488">
        <v>-3.2522890000000002</v>
      </c>
      <c r="AF2488">
        <v>-1.2834390441875601</v>
      </c>
      <c r="AG2488">
        <v>4.8932789999999997E-2</v>
      </c>
      <c r="AH2488">
        <v>3.00096811714333</v>
      </c>
      <c r="AI2488">
        <v>89.141078261239002</v>
      </c>
      <c r="AJ2488">
        <v>113.15518483506</v>
      </c>
      <c r="AK2488">
        <v>3.2642640576695201</v>
      </c>
      <c r="AL2488">
        <v>91.203816159312893</v>
      </c>
      <c r="AM2488">
        <v>90.182957065024794</v>
      </c>
      <c r="AN2488">
        <v>1.00000001074918</v>
      </c>
    </row>
    <row r="2489" spans="1:40" x14ac:dyDescent="0.25">
      <c r="A2489" t="str">
        <f>"20190312161006596"</f>
        <v>20190312161006596</v>
      </c>
      <c r="B2489" t="str">
        <f>"1552378206588733"</f>
        <v>1552378206588733</v>
      </c>
      <c r="C2489" t="s">
        <v>40</v>
      </c>
      <c r="D2489">
        <v>4.9977450000000001</v>
      </c>
      <c r="E2489">
        <v>0.33446779999999998</v>
      </c>
      <c r="F2489" t="s">
        <v>45</v>
      </c>
      <c r="G2489">
        <v>0</v>
      </c>
      <c r="H2489">
        <v>0</v>
      </c>
      <c r="I2489">
        <v>0</v>
      </c>
      <c r="J2489">
        <v>-490.7894</v>
      </c>
      <c r="K2489">
        <v>1.111167</v>
      </c>
      <c r="L2489">
        <v>272.11779999999999</v>
      </c>
      <c r="M2489">
        <v>-0.46948079999999998</v>
      </c>
      <c r="N2489">
        <v>0</v>
      </c>
      <c r="O2489">
        <v>-0.88289779999999995</v>
      </c>
      <c r="P2489">
        <v>-0.4664277</v>
      </c>
      <c r="Q2489">
        <v>-3.0285530000000001E-2</v>
      </c>
      <c r="R2489">
        <v>-0.88404110000000002</v>
      </c>
      <c r="S2489">
        <v>-0.260376</v>
      </c>
      <c r="T2489">
        <v>5.7871819999999997E-2</v>
      </c>
      <c r="U2489">
        <v>-3.2615660000000002</v>
      </c>
      <c r="V2489">
        <v>-3.1590979999999999E-3</v>
      </c>
      <c r="W2489">
        <v>-2.136743E-2</v>
      </c>
      <c r="X2489">
        <v>0.99976670000000001</v>
      </c>
      <c r="Y2489">
        <v>-0.39775349999999998</v>
      </c>
      <c r="Z2489">
        <v>-1.3892120000000001E-2</v>
      </c>
      <c r="AA2489">
        <v>0.91738719999999996</v>
      </c>
      <c r="AB2489">
        <v>11</v>
      </c>
      <c r="AC2489">
        <v>-0.260376</v>
      </c>
      <c r="AD2489">
        <v>5.7871819999999997E-2</v>
      </c>
      <c r="AE2489">
        <v>-3.2615660000000002</v>
      </c>
      <c r="AF2489">
        <v>-1.30100178277227</v>
      </c>
      <c r="AG2489">
        <v>5.7871819999999997E-2</v>
      </c>
      <c r="AH2489">
        <v>3.0010510895003399</v>
      </c>
      <c r="AI2489">
        <v>88.9863812656682</v>
      </c>
      <c r="AJ2489">
        <v>113.43747342250199</v>
      </c>
      <c r="AK2489">
        <v>3.2714312507093801</v>
      </c>
      <c r="AL2489">
        <v>91.224356736069595</v>
      </c>
      <c r="AM2489">
        <v>90.181044617769501</v>
      </c>
      <c r="AN2489">
        <v>1.0000000006969301</v>
      </c>
    </row>
    <row r="2490" spans="1:40" x14ac:dyDescent="0.25">
      <c r="A2490" t="str">
        <f>"20190312161006618"</f>
        <v>20190312161006618</v>
      </c>
      <c r="B2490" t="str">
        <f>"1552378206608253"</f>
        <v>1552378206608253</v>
      </c>
      <c r="C2490" t="s">
        <v>40</v>
      </c>
      <c r="D2490">
        <v>5.086449</v>
      </c>
      <c r="E2490">
        <v>0.3335765</v>
      </c>
      <c r="F2490" t="s">
        <v>45</v>
      </c>
      <c r="G2490">
        <v>0</v>
      </c>
      <c r="H2490">
        <v>0</v>
      </c>
      <c r="I2490">
        <v>0</v>
      </c>
      <c r="J2490">
        <v>-490.8329</v>
      </c>
      <c r="K2490">
        <v>1.1111709999999999</v>
      </c>
      <c r="L2490">
        <v>272.02510000000001</v>
      </c>
      <c r="M2490">
        <v>-0.46561900000000001</v>
      </c>
      <c r="N2490">
        <v>0</v>
      </c>
      <c r="O2490">
        <v>-0.88494059999999897</v>
      </c>
      <c r="P2490">
        <v>-0.46341260000000001</v>
      </c>
      <c r="Q2490">
        <v>-3.1028630000000001E-2</v>
      </c>
      <c r="R2490">
        <v>-0.88559949999999998</v>
      </c>
      <c r="S2490">
        <v>-0.24017330000000001</v>
      </c>
      <c r="T2490">
        <v>5.6766030000000002E-2</v>
      </c>
      <c r="U2490">
        <v>-3.268707</v>
      </c>
      <c r="V2490">
        <v>-2.1822489999999998E-3</v>
      </c>
      <c r="W2490">
        <v>-2.2134560000000001E-2</v>
      </c>
      <c r="X2490">
        <v>0.99975259999999999</v>
      </c>
      <c r="Y2490">
        <v>-0.39954000000000001</v>
      </c>
      <c r="Z2490">
        <v>-1.364462E-2</v>
      </c>
      <c r="AA2490">
        <v>0.91661420000000005</v>
      </c>
      <c r="AB2490">
        <v>11</v>
      </c>
      <c r="AC2490">
        <v>-0.24017330000000001</v>
      </c>
      <c r="AD2490">
        <v>5.6766030000000002E-2</v>
      </c>
      <c r="AE2490">
        <v>-3.268707</v>
      </c>
      <c r="AF2490">
        <v>-1.3090920629681999</v>
      </c>
      <c r="AG2490">
        <v>5.6766030000000002E-2</v>
      </c>
      <c r="AH2490">
        <v>3.0036585643154101</v>
      </c>
      <c r="AI2490">
        <v>89.007449089988995</v>
      </c>
      <c r="AJ2490">
        <v>113.54913776983901</v>
      </c>
      <c r="AK2490">
        <v>3.27702749187028</v>
      </c>
      <c r="AL2490">
        <v>91.268320474312702</v>
      </c>
      <c r="AM2490">
        <v>90.125064399902598</v>
      </c>
      <c r="AN2490">
        <v>0.999999981081925</v>
      </c>
    </row>
    <row r="2491" spans="1:40" x14ac:dyDescent="0.25">
      <c r="A2491" t="str">
        <f>"20190312161006629"</f>
        <v>20190312161006629</v>
      </c>
      <c r="B2491" t="str">
        <f>"1552378206618013"</f>
        <v>1552378206618013</v>
      </c>
      <c r="C2491" t="s">
        <v>40</v>
      </c>
      <c r="D2491">
        <v>5.088883</v>
      </c>
      <c r="E2491">
        <v>0.33362799999999998</v>
      </c>
      <c r="F2491" t="s">
        <v>45</v>
      </c>
      <c r="G2491">
        <v>0</v>
      </c>
      <c r="H2491">
        <v>0</v>
      </c>
      <c r="I2491">
        <v>0</v>
      </c>
      <c r="J2491">
        <v>-490.85640000000001</v>
      </c>
      <c r="K2491">
        <v>1.111175</v>
      </c>
      <c r="L2491">
        <v>271.97469999999998</v>
      </c>
      <c r="M2491">
        <v>-0.46351700000000001</v>
      </c>
      <c r="N2491">
        <v>0</v>
      </c>
      <c r="O2491">
        <v>-0.88604340000000004</v>
      </c>
      <c r="P2491">
        <v>-0.4614916</v>
      </c>
      <c r="Q2491">
        <v>-3.0953479999999998E-2</v>
      </c>
      <c r="R2491">
        <v>-0.88660479999999997</v>
      </c>
      <c r="S2491">
        <v>-0.22326660000000001</v>
      </c>
      <c r="T2491">
        <v>6.5182089999999998E-2</v>
      </c>
      <c r="U2491">
        <v>-3.2729189999999999</v>
      </c>
      <c r="V2491">
        <v>-1.9777390000000001E-3</v>
      </c>
      <c r="W2491">
        <v>-2.2074170000000001E-2</v>
      </c>
      <c r="X2491">
        <v>0.99975440000000004</v>
      </c>
      <c r="Y2491">
        <v>-0.40216099999999999</v>
      </c>
      <c r="Z2491">
        <v>-1.5669369999999998E-2</v>
      </c>
      <c r="AA2491">
        <v>0.91543490000000005</v>
      </c>
      <c r="AB2491">
        <v>11</v>
      </c>
      <c r="AC2491">
        <v>-0.22326660000000001</v>
      </c>
      <c r="AD2491">
        <v>6.5182089999999998E-2</v>
      </c>
      <c r="AE2491">
        <v>-3.2729189999999999</v>
      </c>
      <c r="AF2491">
        <v>-1.31876122876514</v>
      </c>
      <c r="AG2491">
        <v>6.5182089999999998E-2</v>
      </c>
      <c r="AH2491">
        <v>3.0023695969120401</v>
      </c>
      <c r="AI2491">
        <v>88.861267417190305</v>
      </c>
      <c r="AJ2491">
        <v>113.713008888117</v>
      </c>
      <c r="AK2491">
        <v>3.2798785160143802</v>
      </c>
      <c r="AL2491">
        <v>91.264859486796794</v>
      </c>
      <c r="AM2491">
        <v>90.113343787096795</v>
      </c>
      <c r="AN2491">
        <v>1.00000002037605</v>
      </c>
    </row>
    <row r="2492" spans="1:40" x14ac:dyDescent="0.25">
      <c r="A2492" t="str">
        <f>"20190312161006640"</f>
        <v>20190312161006640</v>
      </c>
      <c r="B2492" t="str">
        <f>"1552378206638509"</f>
        <v>1552378206638509</v>
      </c>
      <c r="C2492" t="s">
        <v>40</v>
      </c>
      <c r="D2492">
        <v>5.0804019999999896</v>
      </c>
      <c r="E2492">
        <v>0.33378809999999998</v>
      </c>
      <c r="F2492" t="s">
        <v>45</v>
      </c>
      <c r="G2492">
        <v>0</v>
      </c>
      <c r="H2492">
        <v>0</v>
      </c>
      <c r="I2492">
        <v>0</v>
      </c>
      <c r="J2492">
        <v>-490.88029999999998</v>
      </c>
      <c r="K2492">
        <v>1.111178</v>
      </c>
      <c r="L2492">
        <v>271.92290000000003</v>
      </c>
      <c r="M2492">
        <v>-0.46136120000000003</v>
      </c>
      <c r="N2492">
        <v>0</v>
      </c>
      <c r="O2492">
        <v>-0.88716819999999896</v>
      </c>
      <c r="P2492">
        <v>-0.45952480000000001</v>
      </c>
      <c r="Q2492">
        <v>-3.0811939999999999E-2</v>
      </c>
      <c r="R2492">
        <v>-0.88763049999999999</v>
      </c>
      <c r="S2492">
        <v>-0.2161865</v>
      </c>
      <c r="T2492">
        <v>6.5537570000000003E-2</v>
      </c>
      <c r="U2492">
        <v>-3.2734679999999998</v>
      </c>
      <c r="V2492">
        <v>-1.765127E-3</v>
      </c>
      <c r="W2492">
        <v>-2.194805E-2</v>
      </c>
      <c r="X2492">
        <v>0.99975749999999997</v>
      </c>
      <c r="Y2492">
        <v>-0.4019162</v>
      </c>
      <c r="Z2492">
        <v>-1.5787229999999999E-2</v>
      </c>
      <c r="AA2492">
        <v>0.91554029999999997</v>
      </c>
      <c r="AB2492">
        <v>11</v>
      </c>
      <c r="AC2492">
        <v>-0.2161865</v>
      </c>
      <c r="AD2492">
        <v>6.5537570000000003E-2</v>
      </c>
      <c r="AE2492">
        <v>-3.2734679999999998</v>
      </c>
      <c r="AF2492">
        <v>-1.3179830434816899</v>
      </c>
      <c r="AG2492">
        <v>6.5537570000000003E-2</v>
      </c>
      <c r="AH2492">
        <v>3.0027761888836602</v>
      </c>
      <c r="AI2492">
        <v>88.855079566016101</v>
      </c>
      <c r="AJ2492">
        <v>113.69770345596</v>
      </c>
      <c r="AK2492">
        <v>3.2799450173003599</v>
      </c>
      <c r="AL2492">
        <v>91.257631686040995</v>
      </c>
      <c r="AM2492">
        <v>90.101158753317605</v>
      </c>
      <c r="AN2492">
        <v>0.99999994568918704</v>
      </c>
    </row>
    <row r="2493" spans="1:40" x14ac:dyDescent="0.25">
      <c r="A2493" t="str">
        <f>"20190312161006652"</f>
        <v>20190312161006652</v>
      </c>
      <c r="B2493" t="str">
        <f>"1552378206648270"</f>
        <v>1552378206648270</v>
      </c>
      <c r="C2493" t="s">
        <v>40</v>
      </c>
      <c r="D2493">
        <v>5.0774239999999997</v>
      </c>
      <c r="E2493">
        <v>0.333993599999999</v>
      </c>
      <c r="F2493" t="s">
        <v>45</v>
      </c>
      <c r="G2493">
        <v>0</v>
      </c>
      <c r="H2493">
        <v>0</v>
      </c>
      <c r="I2493">
        <v>0</v>
      </c>
      <c r="J2493">
        <v>-490.904</v>
      </c>
      <c r="K2493">
        <v>1.111186</v>
      </c>
      <c r="L2493">
        <v>271.87130000000002</v>
      </c>
      <c r="M2493">
        <v>-0.4592097</v>
      </c>
      <c r="N2493">
        <v>0</v>
      </c>
      <c r="O2493">
        <v>-0.88828390000000002</v>
      </c>
      <c r="P2493">
        <v>-0.457484</v>
      </c>
      <c r="Q2493">
        <v>-3.10578E-2</v>
      </c>
      <c r="R2493">
        <v>-0.88867549999999995</v>
      </c>
      <c r="S2493">
        <v>-0.21075440000000001</v>
      </c>
      <c r="T2493">
        <v>6.8357940000000006E-2</v>
      </c>
      <c r="U2493">
        <v>-3.2730410000000001</v>
      </c>
      <c r="V2493">
        <v>-1.634496E-3</v>
      </c>
      <c r="W2493">
        <v>-2.220915E-2</v>
      </c>
      <c r="X2493">
        <v>0.99975199999999997</v>
      </c>
      <c r="Y2493">
        <v>-0.40120240000000001</v>
      </c>
      <c r="Z2493">
        <v>-1.650681E-2</v>
      </c>
      <c r="AA2493">
        <v>0.91584069999999995</v>
      </c>
      <c r="AB2493">
        <v>11</v>
      </c>
      <c r="AC2493">
        <v>-0.21075440000000001</v>
      </c>
      <c r="AD2493">
        <v>6.8357940000000006E-2</v>
      </c>
      <c r="AE2493">
        <v>-3.2730410000000001</v>
      </c>
      <c r="AF2493">
        <v>-1.31528251950779</v>
      </c>
      <c r="AG2493">
        <v>6.8357940000000006E-2</v>
      </c>
      <c r="AH2493">
        <v>3.0029830450186399</v>
      </c>
      <c r="AI2493">
        <v>88.805496674772897</v>
      </c>
      <c r="AJ2493">
        <v>113.653033684357</v>
      </c>
      <c r="AK2493">
        <v>3.2791078181043698</v>
      </c>
      <c r="AL2493">
        <v>91.272595206445601</v>
      </c>
      <c r="AM2493">
        <v>90.093672869863994</v>
      </c>
      <c r="AN2493">
        <v>0.99999998971244797</v>
      </c>
    </row>
    <row r="2494" spans="1:40" x14ac:dyDescent="0.25">
      <c r="A2494" t="str">
        <f>"20190312161006662"</f>
        <v>20190312161006662</v>
      </c>
      <c r="B2494" t="str">
        <f>"1552378206658029"</f>
        <v>1552378206658029</v>
      </c>
      <c r="C2494" t="s">
        <v>40</v>
      </c>
      <c r="D2494">
        <v>5.11632</v>
      </c>
      <c r="E2494">
        <v>0.33411429999999998</v>
      </c>
      <c r="F2494" t="s">
        <v>45</v>
      </c>
      <c r="G2494">
        <v>0</v>
      </c>
      <c r="H2494">
        <v>0</v>
      </c>
      <c r="I2494">
        <v>0</v>
      </c>
      <c r="J2494">
        <v>-490.92669999999998</v>
      </c>
      <c r="K2494">
        <v>1.1111879999999901</v>
      </c>
      <c r="L2494">
        <v>271.82159999999999</v>
      </c>
      <c r="M2494">
        <v>-0.45713870000000001</v>
      </c>
      <c r="N2494">
        <v>0</v>
      </c>
      <c r="O2494">
        <v>-0.88935159999999902</v>
      </c>
      <c r="P2494">
        <v>-0.45515459999999902</v>
      </c>
      <c r="Q2494">
        <v>-3.1010579999999999E-2</v>
      </c>
      <c r="R2494">
        <v>-0.88987240000000001</v>
      </c>
      <c r="S2494">
        <v>-0.20498659999999999</v>
      </c>
      <c r="T2494">
        <v>6.8530320000000006E-2</v>
      </c>
      <c r="U2494">
        <v>-3.272675</v>
      </c>
      <c r="V2494">
        <v>-1.9238650000000001E-3</v>
      </c>
      <c r="W2494">
        <v>-2.2177820000000001E-2</v>
      </c>
      <c r="X2494">
        <v>0.99975219999999998</v>
      </c>
      <c r="Y2494">
        <v>-0.4006691</v>
      </c>
      <c r="Z2494">
        <v>-1.6586380000000001E-2</v>
      </c>
      <c r="AA2494">
        <v>0.91607269999999996</v>
      </c>
      <c r="AB2494">
        <v>11</v>
      </c>
      <c r="AC2494">
        <v>-0.20498659999999999</v>
      </c>
      <c r="AD2494">
        <v>6.8530320000000006E-2</v>
      </c>
      <c r="AE2494">
        <v>-3.272675</v>
      </c>
      <c r="AF2494">
        <v>-1.3132388431061399</v>
      </c>
      <c r="AG2494">
        <v>6.8530320000000006E-2</v>
      </c>
      <c r="AH2494">
        <v>3.0030714682635899</v>
      </c>
      <c r="AI2494">
        <v>88.802215651724794</v>
      </c>
      <c r="AJ2494">
        <v>113.619689818026</v>
      </c>
      <c r="AK2494">
        <v>3.2783732104964698</v>
      </c>
      <c r="AL2494">
        <v>91.270799662664004</v>
      </c>
      <c r="AM2494">
        <v>90.110256530358299</v>
      </c>
      <c r="AN2494">
        <v>1.00000000918066</v>
      </c>
    </row>
    <row r="2495" spans="1:40" x14ac:dyDescent="0.25">
      <c r="A2495" t="str">
        <f>"20190312161006675"</f>
        <v>20190312161006675</v>
      </c>
      <c r="B2495" t="str">
        <f>"1552378206668765"</f>
        <v>1552378206668765</v>
      </c>
      <c r="C2495" t="s">
        <v>40</v>
      </c>
      <c r="D2495">
        <v>5.0632799999999998</v>
      </c>
      <c r="E2495">
        <v>0.33435749999999997</v>
      </c>
      <c r="F2495" t="s">
        <v>45</v>
      </c>
      <c r="G2495">
        <v>0</v>
      </c>
      <c r="H2495">
        <v>0</v>
      </c>
      <c r="I2495">
        <v>0</v>
      </c>
      <c r="J2495">
        <v>-490.9511</v>
      </c>
      <c r="K2495">
        <v>1.111192</v>
      </c>
      <c r="L2495">
        <v>271.76769999999999</v>
      </c>
      <c r="M2495">
        <v>-0.45489279999999999</v>
      </c>
      <c r="N2495">
        <v>0</v>
      </c>
      <c r="O2495">
        <v>-0.89050229999999997</v>
      </c>
      <c r="P2495">
        <v>-0.45301160000000001</v>
      </c>
      <c r="Q2495">
        <v>-3.1165640000000001E-2</v>
      </c>
      <c r="R2495">
        <v>-0.89095990000000003</v>
      </c>
      <c r="S2495">
        <v>-0.1972351</v>
      </c>
      <c r="T2495">
        <v>7.1201920000000002E-2</v>
      </c>
      <c r="U2495">
        <v>-3.272888</v>
      </c>
      <c r="V2495">
        <v>-1.803249E-3</v>
      </c>
      <c r="W2495">
        <v>-2.2347269999999999E-2</v>
      </c>
      <c r="X2495">
        <v>0.99974859999999999</v>
      </c>
      <c r="Y2495">
        <v>-0.4005225</v>
      </c>
      <c r="Z2495">
        <v>-1.7270089999999998E-2</v>
      </c>
      <c r="AA2495">
        <v>0.91612420000000006</v>
      </c>
      <c r="AB2495">
        <v>11</v>
      </c>
      <c r="AC2495">
        <v>-0.1972351</v>
      </c>
      <c r="AD2495">
        <v>7.1201920000000002E-2</v>
      </c>
      <c r="AE2495">
        <v>-3.272888</v>
      </c>
      <c r="AF2495">
        <v>-1.312607233514</v>
      </c>
      <c r="AG2495">
        <v>7.1201920000000002E-2</v>
      </c>
      <c r="AH2495">
        <v>3.0029364856081302</v>
      </c>
      <c r="AI2495">
        <v>88.755392395200303</v>
      </c>
      <c r="AJ2495">
        <v>113.61051813915699</v>
      </c>
      <c r="AK2495">
        <v>3.2780535382268399</v>
      </c>
      <c r="AL2495">
        <v>91.280510905196195</v>
      </c>
      <c r="AM2495">
        <v>90.103344425856505</v>
      </c>
      <c r="AN2495">
        <v>0.99999995769268302</v>
      </c>
    </row>
    <row r="2496" spans="1:40" x14ac:dyDescent="0.25">
      <c r="A2496" t="str">
        <f>"20190312161006688"</f>
        <v>20190312161006688</v>
      </c>
      <c r="B2496" t="str">
        <f>"1552378206678525"</f>
        <v>1552378206678525</v>
      </c>
      <c r="C2496" t="s">
        <v>40</v>
      </c>
      <c r="D2496">
        <v>5.1119059999999896</v>
      </c>
      <c r="E2496">
        <v>0.33467419999999998</v>
      </c>
      <c r="F2496" t="s">
        <v>45</v>
      </c>
      <c r="G2496">
        <v>0</v>
      </c>
      <c r="H2496">
        <v>0</v>
      </c>
      <c r="I2496">
        <v>0</v>
      </c>
      <c r="J2496">
        <v>-490.97739999999999</v>
      </c>
      <c r="K2496">
        <v>1.111197</v>
      </c>
      <c r="L2496">
        <v>271.70940000000002</v>
      </c>
      <c r="M2496">
        <v>-0.45246340000000002</v>
      </c>
      <c r="N2496">
        <v>0</v>
      </c>
      <c r="O2496">
        <v>-0.89173950000000002</v>
      </c>
      <c r="P2496">
        <v>-0.45031189999999999</v>
      </c>
      <c r="Q2496">
        <v>-3.1450230000000003E-2</v>
      </c>
      <c r="R2496">
        <v>-0.89231749999999899</v>
      </c>
      <c r="S2496">
        <v>-0.19097900000000001</v>
      </c>
      <c r="T2496">
        <v>7.0416809999999996E-2</v>
      </c>
      <c r="U2496">
        <v>-3.272491</v>
      </c>
      <c r="V2496">
        <v>-2.0987990000000002E-3</v>
      </c>
      <c r="W2496">
        <v>-2.2648450000000001E-2</v>
      </c>
      <c r="X2496">
        <v>0.99974130000000005</v>
      </c>
      <c r="Y2496">
        <v>-0.39976270000000003</v>
      </c>
      <c r="Z2496">
        <v>-1.7125410000000001E-2</v>
      </c>
      <c r="AA2496">
        <v>0.91645869999999996</v>
      </c>
      <c r="AB2496">
        <v>11</v>
      </c>
      <c r="AC2496">
        <v>-0.19097900000000001</v>
      </c>
      <c r="AD2496">
        <v>7.0416809999999996E-2</v>
      </c>
      <c r="AE2496">
        <v>-3.272491</v>
      </c>
      <c r="AF2496">
        <v>-1.30982527868718</v>
      </c>
      <c r="AG2496">
        <v>7.0416809999999996E-2</v>
      </c>
      <c r="AH2496">
        <v>3.0033511064480298</v>
      </c>
      <c r="AI2496">
        <v>88.768836503294494</v>
      </c>
      <c r="AJ2496">
        <v>113.56303950763299</v>
      </c>
      <c r="AK2496">
        <v>3.2773035648870099</v>
      </c>
      <c r="AL2496">
        <v>91.297771547104404</v>
      </c>
      <c r="AM2496">
        <v>90.120283265367306</v>
      </c>
      <c r="AN2496">
        <v>1.00000001208516</v>
      </c>
    </row>
    <row r="2497" spans="1:40" x14ac:dyDescent="0.25">
      <c r="A2497" t="str">
        <f>"20190312161006709"</f>
        <v>20190312161006709</v>
      </c>
      <c r="B2497" t="str">
        <f>"1552378206698528"</f>
        <v>1552378206698528</v>
      </c>
      <c r="C2497" t="s">
        <v>40</v>
      </c>
      <c r="D2497">
        <v>5.1152739999999897</v>
      </c>
      <c r="E2497">
        <v>0.33519579999999999</v>
      </c>
      <c r="F2497" t="s">
        <v>45</v>
      </c>
      <c r="G2497">
        <v>0</v>
      </c>
      <c r="H2497">
        <v>0</v>
      </c>
      <c r="I2497">
        <v>0</v>
      </c>
      <c r="J2497">
        <v>-491.0204</v>
      </c>
      <c r="K2497">
        <v>1.111205</v>
      </c>
      <c r="L2497">
        <v>271.613</v>
      </c>
      <c r="M2497">
        <v>-0.44844580000000001</v>
      </c>
      <c r="N2497">
        <v>0</v>
      </c>
      <c r="O2497">
        <v>-0.89376690000000003</v>
      </c>
      <c r="P2497">
        <v>-0.44603789999999999</v>
      </c>
      <c r="Q2497">
        <v>-3.248848E-2</v>
      </c>
      <c r="R2497">
        <v>-0.89442440000000001</v>
      </c>
      <c r="S2497">
        <v>-0.18292240000000001</v>
      </c>
      <c r="T2497">
        <v>6.8822030000000006E-2</v>
      </c>
      <c r="U2497">
        <v>-3.272125</v>
      </c>
      <c r="V2497">
        <v>-2.360933E-3</v>
      </c>
      <c r="W2497">
        <v>-2.371125E-2</v>
      </c>
      <c r="X2497">
        <v>0.99971600000000005</v>
      </c>
      <c r="Y2497">
        <v>-0.39787990000000001</v>
      </c>
      <c r="Z2497">
        <v>-1.681216E-2</v>
      </c>
      <c r="AA2497">
        <v>0.91728350000000003</v>
      </c>
      <c r="AB2497">
        <v>11</v>
      </c>
      <c r="AC2497">
        <v>-0.18292240000000001</v>
      </c>
      <c r="AD2497">
        <v>6.8822030000000006E-2</v>
      </c>
      <c r="AE2497">
        <v>-3.272125</v>
      </c>
      <c r="AF2497">
        <v>-1.3033562078042999</v>
      </c>
      <c r="AG2497">
        <v>6.8822030000000006E-2</v>
      </c>
      <c r="AH2497">
        <v>3.0053383394700899</v>
      </c>
      <c r="AI2497">
        <v>88.796433039522896</v>
      </c>
      <c r="AJ2497">
        <v>113.44543040688301</v>
      </c>
      <c r="AK2497">
        <v>3.2765122326834302</v>
      </c>
      <c r="AL2497">
        <v>91.358681968922198</v>
      </c>
      <c r="AM2497">
        <v>90.135309673083697</v>
      </c>
      <c r="AN2497">
        <v>0.99999993901859396</v>
      </c>
    </row>
    <row r="2498" spans="1:40" x14ac:dyDescent="0.25">
      <c r="A2498" t="str">
        <f>"20190312161006730"</f>
        <v>20190312161006730</v>
      </c>
      <c r="B2498" t="str">
        <f>"1552378206728785"</f>
        <v>1552378206728785</v>
      </c>
      <c r="C2498" t="s">
        <v>40</v>
      </c>
      <c r="D2498">
        <v>5.153467</v>
      </c>
      <c r="E2498">
        <v>0.33636460000000001</v>
      </c>
      <c r="F2498" t="s">
        <v>45</v>
      </c>
      <c r="G2498">
        <v>0</v>
      </c>
      <c r="H2498">
        <v>0</v>
      </c>
      <c r="I2498">
        <v>0</v>
      </c>
      <c r="J2498">
        <v>-491.0652</v>
      </c>
      <c r="K2498">
        <v>1.1112229999999901</v>
      </c>
      <c r="L2498">
        <v>271.51150000000001</v>
      </c>
      <c r="M2498">
        <v>-0.44421309999999897</v>
      </c>
      <c r="N2498">
        <v>0</v>
      </c>
      <c r="O2498">
        <v>-0.89587830000000002</v>
      </c>
      <c r="P2498">
        <v>-0.44228600000000001</v>
      </c>
      <c r="Q2498">
        <v>-3.3171239999999998E-2</v>
      </c>
      <c r="R2498">
        <v>-0.89626049999999902</v>
      </c>
      <c r="S2498">
        <v>-0.1719666</v>
      </c>
      <c r="T2498">
        <v>7.0348499999999994E-2</v>
      </c>
      <c r="U2498">
        <v>-3.270966</v>
      </c>
      <c r="V2498">
        <v>-1.806499E-3</v>
      </c>
      <c r="W2498">
        <v>-2.4414479999999999E-2</v>
      </c>
      <c r="X2498">
        <v>0.99970029999999999</v>
      </c>
      <c r="Y2498">
        <v>-0.39658539999999998</v>
      </c>
      <c r="Z2498">
        <v>-1.7265289999999999E-2</v>
      </c>
      <c r="AA2498">
        <v>0.91783550000000003</v>
      </c>
      <c r="AB2498">
        <v>11</v>
      </c>
      <c r="AC2498">
        <v>-0.1719666</v>
      </c>
      <c r="AD2498">
        <v>7.0348499999999994E-2</v>
      </c>
      <c r="AE2498">
        <v>-3.270966</v>
      </c>
      <c r="AF2498">
        <v>-1.29839576354651</v>
      </c>
      <c r="AG2498">
        <v>7.0348499999999994E-2</v>
      </c>
      <c r="AH2498">
        <v>3.0055063711749499</v>
      </c>
      <c r="AI2498">
        <v>88.769063817084799</v>
      </c>
      <c r="AJ2498">
        <v>113.36461776740499</v>
      </c>
      <c r="AK2498">
        <v>3.2747288463964401</v>
      </c>
      <c r="AL2498">
        <v>91.398985653921301</v>
      </c>
      <c r="AM2498">
        <v>90.103535685378404</v>
      </c>
      <c r="AN2498">
        <v>1.0000000100461901</v>
      </c>
    </row>
    <row r="2499" spans="1:40" x14ac:dyDescent="0.25">
      <c r="A2499" t="str">
        <f>"20190312161006753"</f>
        <v>20190312161006753</v>
      </c>
      <c r="B2499" t="str">
        <f>"1552378206748305"</f>
        <v>1552378206748305</v>
      </c>
      <c r="C2499" t="s">
        <v>40</v>
      </c>
      <c r="D2499">
        <v>5.1491300000000004</v>
      </c>
      <c r="E2499">
        <v>0.33715390000000001</v>
      </c>
      <c r="F2499" t="s">
        <v>45</v>
      </c>
      <c r="G2499">
        <v>0</v>
      </c>
      <c r="H2499">
        <v>0</v>
      </c>
      <c r="I2499">
        <v>0</v>
      </c>
      <c r="J2499">
        <v>-491.11070000000001</v>
      </c>
      <c r="K2499">
        <v>1.1112390000000001</v>
      </c>
      <c r="L2499">
        <v>271.40690000000001</v>
      </c>
      <c r="M2499">
        <v>-0.43985429999999998</v>
      </c>
      <c r="N2499">
        <v>0</v>
      </c>
      <c r="O2499">
        <v>-0.89802660000000001</v>
      </c>
      <c r="P2499">
        <v>-0.43804559999999998</v>
      </c>
      <c r="Q2499">
        <v>-3.2387730000000003E-2</v>
      </c>
      <c r="R2499">
        <v>-0.89836909999999903</v>
      </c>
      <c r="S2499">
        <v>-0.16656489999999999</v>
      </c>
      <c r="T2499">
        <v>6.9176790000000002E-2</v>
      </c>
      <c r="U2499">
        <v>-3.2675480000000001</v>
      </c>
      <c r="V2499">
        <v>-1.6873560000000001E-3</v>
      </c>
      <c r="W2499">
        <v>-2.3651370000000001E-2</v>
      </c>
      <c r="X2499">
        <v>0.99971880000000002</v>
      </c>
      <c r="Y2499">
        <v>-0.39358500000000002</v>
      </c>
      <c r="Z2499">
        <v>-1.707728E-2</v>
      </c>
      <c r="AA2499">
        <v>0.91912959999999999</v>
      </c>
      <c r="AB2499">
        <v>11</v>
      </c>
      <c r="AC2499">
        <v>-0.16656489999999999</v>
      </c>
      <c r="AD2499">
        <v>6.9176790000000002E-2</v>
      </c>
      <c r="AE2499">
        <v>-3.2675480000000001</v>
      </c>
      <c r="AF2499">
        <v>-1.2871391250308799</v>
      </c>
      <c r="AG2499">
        <v>6.9176790000000002E-2</v>
      </c>
      <c r="AH2499">
        <v>3.0063802534846</v>
      </c>
      <c r="AI2499">
        <v>88.788211351208204</v>
      </c>
      <c r="AJ2499">
        <v>113.177502336399</v>
      </c>
      <c r="AK2499">
        <v>3.2710601926595801</v>
      </c>
      <c r="AL2499">
        <v>91.355250110939707</v>
      </c>
      <c r="AM2499">
        <v>90.096705479112003</v>
      </c>
      <c r="AN2499">
        <v>0.99999995677329201</v>
      </c>
    </row>
    <row r="2500" spans="1:40" x14ac:dyDescent="0.25">
      <c r="A2500" t="str">
        <f>"20190312161006764"</f>
        <v>20190312161006764</v>
      </c>
      <c r="B2500" t="str">
        <f>"1552378206758065"</f>
        <v>1552378206758065</v>
      </c>
      <c r="C2500" t="s">
        <v>40</v>
      </c>
      <c r="D2500">
        <v>5.1446589999999999</v>
      </c>
      <c r="E2500">
        <v>0.33753030000000001</v>
      </c>
      <c r="F2500" t="s">
        <v>45</v>
      </c>
      <c r="G2500">
        <v>0</v>
      </c>
      <c r="H2500">
        <v>0</v>
      </c>
      <c r="I2500">
        <v>0</v>
      </c>
      <c r="J2500">
        <v>-491.13529999999997</v>
      </c>
      <c r="K2500">
        <v>1.111246</v>
      </c>
      <c r="L2500">
        <v>271.34969999999998</v>
      </c>
      <c r="M2500">
        <v>-0.4374712</v>
      </c>
      <c r="N2500">
        <v>0</v>
      </c>
      <c r="O2500">
        <v>-0.89918999999999905</v>
      </c>
      <c r="P2500">
        <v>-0.43602740000000001</v>
      </c>
      <c r="Q2500">
        <v>-3.2132620000000001E-2</v>
      </c>
      <c r="R2500">
        <v>-0.89935980000000004</v>
      </c>
      <c r="S2500">
        <v>-0.15692139999999999</v>
      </c>
      <c r="T2500">
        <v>7.1300630000000004E-2</v>
      </c>
      <c r="U2500">
        <v>-3.2654109999999998</v>
      </c>
      <c r="V2500">
        <v>-1.2850260000000001E-3</v>
      </c>
      <c r="W2500">
        <v>-2.3405450000000001E-2</v>
      </c>
      <c r="X2500">
        <v>0.99972519999999998</v>
      </c>
      <c r="Y2500">
        <v>-0.39382450000000002</v>
      </c>
      <c r="Z2500">
        <v>-1.765013E-2</v>
      </c>
      <c r="AA2500">
        <v>0.91901619999999995</v>
      </c>
      <c r="AB2500">
        <v>12</v>
      </c>
      <c r="AC2500">
        <v>-0.15692139999999999</v>
      </c>
      <c r="AD2500">
        <v>7.1300630000000004E-2</v>
      </c>
      <c r="AE2500">
        <v>-3.2654109999999998</v>
      </c>
      <c r="AF2500">
        <v>-1.2868581037481801</v>
      </c>
      <c r="AG2500">
        <v>7.1300630000000004E-2</v>
      </c>
      <c r="AH2500">
        <v>3.0035594277297601</v>
      </c>
      <c r="AI2500">
        <v>88.749985991806199</v>
      </c>
      <c r="AJ2500">
        <v>113.192439582498</v>
      </c>
      <c r="AK2500">
        <v>3.2684027895785901</v>
      </c>
      <c r="AL2500">
        <v>91.341156011499194</v>
      </c>
      <c r="AM2500">
        <v>90.073646763946698</v>
      </c>
      <c r="AN2500">
        <v>0.99999997094828097</v>
      </c>
    </row>
    <row r="2501" spans="1:40" x14ac:dyDescent="0.25">
      <c r="A2501" t="str">
        <f>"20190312161006775"</f>
        <v>20190312161006775</v>
      </c>
      <c r="B2501" t="str">
        <f>"1552378206767825"</f>
        <v>1552378206767825</v>
      </c>
      <c r="C2501" t="s">
        <v>40</v>
      </c>
      <c r="D2501">
        <v>5.1570269999999896</v>
      </c>
      <c r="E2501">
        <v>0.33787610000000001</v>
      </c>
      <c r="F2501" t="s">
        <v>45</v>
      </c>
      <c r="G2501">
        <v>0</v>
      </c>
      <c r="H2501">
        <v>0</v>
      </c>
      <c r="I2501">
        <v>0</v>
      </c>
      <c r="J2501">
        <v>-491.15719999999999</v>
      </c>
      <c r="K2501">
        <v>1.1112519999999999</v>
      </c>
      <c r="L2501">
        <v>271.29860000000002</v>
      </c>
      <c r="M2501">
        <v>-0.4353398</v>
      </c>
      <c r="N2501">
        <v>0</v>
      </c>
      <c r="O2501">
        <v>-0.90022409999999997</v>
      </c>
      <c r="P2501">
        <v>-0.43422090000000002</v>
      </c>
      <c r="Q2501">
        <v>-3.2032440000000002E-2</v>
      </c>
      <c r="R2501">
        <v>-0.90023699999999995</v>
      </c>
      <c r="S2501">
        <v>-0.15167240000000001</v>
      </c>
      <c r="T2501">
        <v>6.9246530000000001E-2</v>
      </c>
      <c r="U2501">
        <v>-3.2646480000000002</v>
      </c>
      <c r="V2501">
        <v>-9.2559119999999998E-4</v>
      </c>
      <c r="W2501">
        <v>-2.331256E-2</v>
      </c>
      <c r="X2501">
        <v>0.99972780000000006</v>
      </c>
      <c r="Y2501">
        <v>-0.39311059999999998</v>
      </c>
      <c r="Z2501">
        <v>-1.7182050000000001E-2</v>
      </c>
      <c r="AA2501">
        <v>0.91933069999999895</v>
      </c>
      <c r="AB2501">
        <v>12</v>
      </c>
      <c r="AC2501">
        <v>-0.15167240000000001</v>
      </c>
      <c r="AD2501">
        <v>6.9246530000000001E-2</v>
      </c>
      <c r="AE2501">
        <v>-3.2646480000000002</v>
      </c>
      <c r="AF2501">
        <v>-1.2841642575285399</v>
      </c>
      <c r="AG2501">
        <v>6.9246530000000001E-2</v>
      </c>
      <c r="AH2501">
        <v>3.0037092953390001</v>
      </c>
      <c r="AI2501">
        <v>88.785644111653497</v>
      </c>
      <c r="AJ2501">
        <v>113.147974390399</v>
      </c>
      <c r="AK2501">
        <v>3.2674366792849701</v>
      </c>
      <c r="AL2501">
        <v>91.3358323107758</v>
      </c>
      <c r="AM2501">
        <v>90.053046893525902</v>
      </c>
      <c r="AN2501">
        <v>1.00000000313283</v>
      </c>
    </row>
    <row r="2502" spans="1:40" x14ac:dyDescent="0.25">
      <c r="A2502" t="str">
        <f>"20190312161006787"</f>
        <v>20190312161006787</v>
      </c>
      <c r="B2502" t="str">
        <f>"1552378206778560"</f>
        <v>1552378206778560</v>
      </c>
      <c r="C2502" t="s">
        <v>40</v>
      </c>
      <c r="D2502">
        <v>5.1391439999999999</v>
      </c>
      <c r="E2502">
        <v>0.33817839999999999</v>
      </c>
      <c r="F2502" t="s">
        <v>45</v>
      </c>
      <c r="G2502">
        <v>0</v>
      </c>
      <c r="H2502">
        <v>0</v>
      </c>
      <c r="I2502">
        <v>0</v>
      </c>
      <c r="J2502">
        <v>-491.17939999999999</v>
      </c>
      <c r="K2502">
        <v>1.1112599999999999</v>
      </c>
      <c r="L2502">
        <v>271.24650000000003</v>
      </c>
      <c r="M2502">
        <v>-0.4331644</v>
      </c>
      <c r="N2502">
        <v>0</v>
      </c>
      <c r="O2502">
        <v>-0.90127310000000005</v>
      </c>
      <c r="P2502">
        <v>-0.43219000000000002</v>
      </c>
      <c r="Q2502">
        <v>-3.2418099999999998E-2</v>
      </c>
      <c r="R2502">
        <v>-0.90120009999999995</v>
      </c>
      <c r="S2502">
        <v>-0.14773559999999999</v>
      </c>
      <c r="T2502">
        <v>6.89081E-2</v>
      </c>
      <c r="U2502">
        <v>-3.263611</v>
      </c>
      <c r="V2502">
        <v>-7.5730640000000004E-4</v>
      </c>
      <c r="W2502">
        <v>-2.370676E-2</v>
      </c>
      <c r="X2502">
        <v>0.99971869999999996</v>
      </c>
      <c r="Y2502">
        <v>-0.39198270000000002</v>
      </c>
      <c r="Z2502">
        <v>-1.714183E-2</v>
      </c>
      <c r="AA2502">
        <v>0.91981290000000004</v>
      </c>
      <c r="AB2502">
        <v>12</v>
      </c>
      <c r="AC2502">
        <v>-0.14773559999999999</v>
      </c>
      <c r="AD2502">
        <v>6.89081E-2</v>
      </c>
      <c r="AE2502">
        <v>-3.263611</v>
      </c>
      <c r="AF2502">
        <v>-1.28000879243816</v>
      </c>
      <c r="AG2502">
        <v>6.89081E-2</v>
      </c>
      <c r="AH2502">
        <v>3.0041753842510901</v>
      </c>
      <c r="AI2502">
        <v>88.791132423661097</v>
      </c>
      <c r="AJ2502">
        <v>113.077718532037</v>
      </c>
      <c r="AK2502">
        <v>3.2662272692365999</v>
      </c>
      <c r="AL2502">
        <v>91.358424512792496</v>
      </c>
      <c r="AM2502">
        <v>90.043402661387205</v>
      </c>
      <c r="AN2502">
        <v>1.0000000315561799</v>
      </c>
    </row>
    <row r="2503" spans="1:40" x14ac:dyDescent="0.25">
      <c r="A2503" t="str">
        <f>"20190312161006797"</f>
        <v>20190312161006797</v>
      </c>
      <c r="B2503" t="str">
        <f>"1552378206788321"</f>
        <v>1552378206788321</v>
      </c>
      <c r="C2503" t="s">
        <v>40</v>
      </c>
      <c r="D2503">
        <v>5.1692839999999904</v>
      </c>
      <c r="E2503">
        <v>0.33861370000000002</v>
      </c>
      <c r="F2503" t="s">
        <v>45</v>
      </c>
      <c r="G2503">
        <v>0</v>
      </c>
      <c r="H2503">
        <v>0</v>
      </c>
      <c r="I2503">
        <v>0</v>
      </c>
      <c r="J2503">
        <v>-491.20080000000002</v>
      </c>
      <c r="K2503">
        <v>1.111264</v>
      </c>
      <c r="L2503">
        <v>271.19560000000001</v>
      </c>
      <c r="M2503">
        <v>-0.43104009999999998</v>
      </c>
      <c r="N2503">
        <v>0</v>
      </c>
      <c r="O2503">
        <v>-0.90229060000000005</v>
      </c>
      <c r="P2503">
        <v>-0.43035580000000001</v>
      </c>
      <c r="Q2503">
        <v>-3.2529799999999998E-2</v>
      </c>
      <c r="R2503">
        <v>-0.90207289999999996</v>
      </c>
      <c r="S2503">
        <v>-0.14291379999999901</v>
      </c>
      <c r="T2503">
        <v>6.781769E-2</v>
      </c>
      <c r="U2503">
        <v>-3.2627869999999999</v>
      </c>
      <c r="V2503">
        <v>-4.3362389999999999E-4</v>
      </c>
      <c r="W2503">
        <v>-2.3826590000000002E-2</v>
      </c>
      <c r="X2503">
        <v>0.99971600000000005</v>
      </c>
      <c r="Y2503">
        <v>-0.3911616</v>
      </c>
      <c r="Z2503">
        <v>-1.6910330000000001E-2</v>
      </c>
      <c r="AA2503">
        <v>0.9201667</v>
      </c>
      <c r="AB2503">
        <v>12</v>
      </c>
      <c r="AC2503">
        <v>-0.14291379999999901</v>
      </c>
      <c r="AD2503">
        <v>6.781769E-2</v>
      </c>
      <c r="AE2503">
        <v>-3.2627869999999999</v>
      </c>
      <c r="AF2503">
        <v>-1.2769402559654599</v>
      </c>
      <c r="AG2503">
        <v>6.781769E-2</v>
      </c>
      <c r="AH2503">
        <v>3.00440250503513</v>
      </c>
      <c r="AI2503">
        <v>88.809894513678501</v>
      </c>
      <c r="AJ2503">
        <v>113.026609645067</v>
      </c>
      <c r="AK2503">
        <v>3.2652121016318998</v>
      </c>
      <c r="AL2503">
        <v>91.365292265846307</v>
      </c>
      <c r="AM2503">
        <v>90.024851875740595</v>
      </c>
      <c r="AN2503">
        <v>0.99999998753835695</v>
      </c>
    </row>
    <row r="2504" spans="1:40" x14ac:dyDescent="0.25">
      <c r="A2504" t="str">
        <f>"20190312161006820"</f>
        <v>20190312161006820</v>
      </c>
      <c r="B2504" t="str">
        <f>"1552378206807841"</f>
        <v>1552378206807841</v>
      </c>
      <c r="C2504" t="s">
        <v>40</v>
      </c>
      <c r="D2504">
        <v>5.1428320000000003</v>
      </c>
      <c r="E2504">
        <v>0.33924900000000002</v>
      </c>
      <c r="F2504" t="s">
        <v>45</v>
      </c>
      <c r="G2504">
        <v>0</v>
      </c>
      <c r="H2504">
        <v>0</v>
      </c>
      <c r="I2504">
        <v>0</v>
      </c>
      <c r="J2504">
        <v>-491.24459999999999</v>
      </c>
      <c r="K2504">
        <v>1.1112740000000001</v>
      </c>
      <c r="L2504">
        <v>271.09089999999998</v>
      </c>
      <c r="M2504">
        <v>-0.42667450000000001</v>
      </c>
      <c r="N2504">
        <v>0</v>
      </c>
      <c r="O2504">
        <v>-0.90436360000000005</v>
      </c>
      <c r="P2504">
        <v>-0.42648049999999998</v>
      </c>
      <c r="Q2504">
        <v>-3.3388979999999999E-2</v>
      </c>
      <c r="R2504">
        <v>-0.90388020000000002</v>
      </c>
      <c r="S2504">
        <v>-0.1390381</v>
      </c>
      <c r="T2504">
        <v>6.6059229999999997E-2</v>
      </c>
      <c r="U2504">
        <v>-3.261749</v>
      </c>
      <c r="V2504">
        <v>1.254254E-4</v>
      </c>
      <c r="W2504">
        <v>-2.4705330000000001E-2</v>
      </c>
      <c r="X2504">
        <v>0.99969479999999999</v>
      </c>
      <c r="Y2504">
        <v>-0.38778980000000002</v>
      </c>
      <c r="Z2504">
        <v>-1.6554470000000002E-2</v>
      </c>
      <c r="AA2504">
        <v>0.92159919999999995</v>
      </c>
      <c r="AB2504">
        <v>12</v>
      </c>
      <c r="AC2504">
        <v>-0.1390381</v>
      </c>
      <c r="AD2504">
        <v>6.6059229999999997E-2</v>
      </c>
      <c r="AE2504">
        <v>-3.261749</v>
      </c>
      <c r="AF2504">
        <v>-1.2654936964399199</v>
      </c>
      <c r="AG2504">
        <v>6.6059229999999997E-2</v>
      </c>
      <c r="AH2504">
        <v>3.0080128905765702</v>
      </c>
      <c r="AI2504">
        <v>88.8403421832693</v>
      </c>
      <c r="AJ2504">
        <v>112.816857174726</v>
      </c>
      <c r="AK2504">
        <v>3.2640434536740099</v>
      </c>
      <c r="AL2504">
        <v>91.415655129655704</v>
      </c>
      <c r="AM2504">
        <v>89.992811460031504</v>
      </c>
      <c r="AN2504">
        <v>1.0000000311044801</v>
      </c>
    </row>
    <row r="2505" spans="1:40" x14ac:dyDescent="0.25">
      <c r="A2505" t="str">
        <f>"20190312161006943"</f>
        <v>20190312161006943</v>
      </c>
      <c r="B2505" t="str">
        <f>"1552378206938625"</f>
        <v>1552378206938625</v>
      </c>
      <c r="C2505" t="s">
        <v>40</v>
      </c>
      <c r="D2505">
        <v>5.1657479999999998</v>
      </c>
      <c r="E2505">
        <v>0.35624119999999998</v>
      </c>
      <c r="F2505" t="s">
        <v>45</v>
      </c>
      <c r="G2505">
        <v>0</v>
      </c>
      <c r="H2505">
        <v>0</v>
      </c>
      <c r="I2505">
        <v>0</v>
      </c>
      <c r="J2505">
        <v>-491.48559999999998</v>
      </c>
      <c r="K2505">
        <v>1.1113519999999999</v>
      </c>
      <c r="L2505">
        <v>270.48680000000002</v>
      </c>
      <c r="M2505">
        <v>-0.40146759999999998</v>
      </c>
      <c r="N2505">
        <v>0</v>
      </c>
      <c r="O2505">
        <v>-0.91583340000000002</v>
      </c>
      <c r="P2505">
        <v>-0.4009413</v>
      </c>
      <c r="Q2505">
        <v>-3.2351440000000002E-2</v>
      </c>
      <c r="R2505">
        <v>-0.91553280000000004</v>
      </c>
      <c r="S2505">
        <v>-0.1296997</v>
      </c>
      <c r="T2505">
        <v>6.2428829999999998E-2</v>
      </c>
      <c r="U2505">
        <v>-3.2601010000000001</v>
      </c>
      <c r="V2505">
        <v>-2.6534840000000002E-4</v>
      </c>
      <c r="W2505">
        <v>-2.3787099999999999E-2</v>
      </c>
      <c r="X2505">
        <v>0.99971699999999997</v>
      </c>
      <c r="Y2505">
        <v>-0.36475990000000003</v>
      </c>
      <c r="Z2505">
        <v>-1.6070569999999999E-2</v>
      </c>
      <c r="AA2505">
        <v>0.93096290000000004</v>
      </c>
      <c r="AB2505">
        <v>12</v>
      </c>
      <c r="AC2505">
        <v>-0.1296997</v>
      </c>
      <c r="AD2505">
        <v>6.2428829999999998E-2</v>
      </c>
      <c r="AE2505">
        <v>-3.2601010000000001</v>
      </c>
      <c r="AF2505">
        <v>-1.1896494634572701</v>
      </c>
      <c r="AG2505">
        <v>6.2428829999999998E-2</v>
      </c>
      <c r="AH2505">
        <v>3.03677859868661</v>
      </c>
      <c r="AI2505">
        <v>88.903422590184704</v>
      </c>
      <c r="AJ2505">
        <v>111.392622435135</v>
      </c>
      <c r="AK2505">
        <v>3.2620833009229502</v>
      </c>
      <c r="AL2505">
        <v>91.363029012971595</v>
      </c>
      <c r="AM2505">
        <v>90.015207646827506</v>
      </c>
      <c r="AN2505">
        <v>0.99999998831259096</v>
      </c>
    </row>
    <row r="2506" spans="1:40" x14ac:dyDescent="0.25">
      <c r="A2506" t="str">
        <f>"20190312161006955"</f>
        <v>20190312161006955</v>
      </c>
      <c r="B2506" t="str">
        <f>"1552378206948386"</f>
        <v>1552378206948386</v>
      </c>
      <c r="C2506" t="s">
        <v>40</v>
      </c>
      <c r="D2506">
        <v>5.1100089999999998</v>
      </c>
      <c r="E2506">
        <v>0.35642220000000002</v>
      </c>
      <c r="F2506" t="s">
        <v>41</v>
      </c>
      <c r="G2506">
        <v>-496.10419999999999</v>
      </c>
      <c r="H2506" s="1">
        <v>-3.7851960000000001E-6</v>
      </c>
      <c r="I2506">
        <v>174.92789999999999</v>
      </c>
      <c r="J2506">
        <v>-491.50709999999998</v>
      </c>
      <c r="K2506">
        <v>1.111362</v>
      </c>
      <c r="L2506">
        <v>270.43029999999999</v>
      </c>
      <c r="M2506">
        <v>-0.3991208</v>
      </c>
      <c r="N2506">
        <v>0</v>
      </c>
      <c r="O2506">
        <v>-0.91685859999999997</v>
      </c>
      <c r="P2506">
        <v>-0.39838829999999997</v>
      </c>
      <c r="Q2506">
        <v>-3.2285790000000002E-2</v>
      </c>
      <c r="R2506">
        <v>-0.91664860000000004</v>
      </c>
      <c r="S2506">
        <v>-0.15502929999999901</v>
      </c>
      <c r="T2506">
        <v>-3.7304039999999997E-2</v>
      </c>
      <c r="U2506">
        <v>-3.2075499999999999</v>
      </c>
      <c r="V2506">
        <v>-4.9130579999999999E-4</v>
      </c>
      <c r="W2506">
        <v>-2.37307E-2</v>
      </c>
      <c r="X2506">
        <v>0.9997182</v>
      </c>
      <c r="Y2506">
        <v>-0.35440749999999999</v>
      </c>
      <c r="Z2506">
        <v>9.8012840000000004E-3</v>
      </c>
      <c r="AA2506">
        <v>0.93503970000000003</v>
      </c>
      <c r="AB2506">
        <v>12</v>
      </c>
      <c r="AC2506">
        <v>-4.59710000000001</v>
      </c>
      <c r="AD2506">
        <v>-1.1113657851959999</v>
      </c>
      <c r="AE2506">
        <v>-95.502399999999994</v>
      </c>
      <c r="AF2506">
        <v>-33.898759341790203</v>
      </c>
      <c r="AG2506">
        <v>-1.1113657851959999</v>
      </c>
      <c r="AH2506">
        <v>89.388176410411205</v>
      </c>
      <c r="AI2506">
        <v>90.666042458419398</v>
      </c>
      <c r="AJ2506">
        <v>110.76827567588499</v>
      </c>
      <c r="AK2506">
        <v>95.6065222712337</v>
      </c>
      <c r="AL2506">
        <v>91.3597966931261</v>
      </c>
      <c r="AM2506">
        <v>90.028157681358607</v>
      </c>
      <c r="AN2506">
        <v>0.999999933457557</v>
      </c>
    </row>
    <row r="2507" spans="1:40" x14ac:dyDescent="0.25">
      <c r="A2507" t="str">
        <f>"20190312161006965"</f>
        <v>20190312161006965</v>
      </c>
      <c r="B2507" t="str">
        <f>"1552378206958145"</f>
        <v>1552378206958145</v>
      </c>
      <c r="C2507" t="s">
        <v>40</v>
      </c>
      <c r="D2507">
        <v>4.9861700000000004</v>
      </c>
      <c r="E2507">
        <v>0.3538539</v>
      </c>
      <c r="F2507" t="s">
        <v>41</v>
      </c>
      <c r="G2507">
        <v>-494.86649999999997</v>
      </c>
      <c r="H2507" s="1">
        <v>-4.1746970000000002E-6</v>
      </c>
      <c r="I2507">
        <v>196.71770000000001</v>
      </c>
      <c r="J2507">
        <v>-491.52929999999998</v>
      </c>
      <c r="K2507">
        <v>1.111364</v>
      </c>
      <c r="L2507">
        <v>270.37200000000001</v>
      </c>
      <c r="M2507">
        <v>-0.3966964</v>
      </c>
      <c r="N2507">
        <v>0</v>
      </c>
      <c r="O2507">
        <v>-0.91791029999999996</v>
      </c>
      <c r="P2507">
        <v>-0.39571529999999999</v>
      </c>
      <c r="Q2507">
        <v>-3.1841309999999998E-2</v>
      </c>
      <c r="R2507">
        <v>-0.91782149999999996</v>
      </c>
      <c r="S2507">
        <v>-0.14617920000000001</v>
      </c>
      <c r="T2507">
        <v>-4.8360710000000001E-2</v>
      </c>
      <c r="U2507">
        <v>-3.2075809999999998</v>
      </c>
      <c r="V2507">
        <v>-7.7066159999999995E-4</v>
      </c>
      <c r="W2507">
        <v>-2.3295759999999999E-2</v>
      </c>
      <c r="X2507">
        <v>0.99972830000000001</v>
      </c>
      <c r="Y2507">
        <v>-0.35451189999999999</v>
      </c>
      <c r="Z2507">
        <v>1.272947E-2</v>
      </c>
      <c r="AA2507">
        <v>0.93496480000000004</v>
      </c>
      <c r="AB2507">
        <v>12</v>
      </c>
      <c r="AC2507">
        <v>-3.33719999999999</v>
      </c>
      <c r="AD2507">
        <v>-1.1113681746969899</v>
      </c>
      <c r="AE2507">
        <v>-73.654300000000006</v>
      </c>
      <c r="AF2507">
        <v>-26.150153906071399</v>
      </c>
      <c r="AG2507">
        <v>-1.1113681746969899</v>
      </c>
      <c r="AH2507">
        <v>68.918740747603593</v>
      </c>
      <c r="AI2507">
        <v>90.863779550956593</v>
      </c>
      <c r="AJ2507">
        <v>110.778477590004</v>
      </c>
      <c r="AK2507">
        <v>73.721492895670096</v>
      </c>
      <c r="AL2507">
        <v>91.334869510967295</v>
      </c>
      <c r="AM2507">
        <v>90.044167648716495</v>
      </c>
      <c r="AN2507">
        <v>0.99999998008708402</v>
      </c>
    </row>
    <row r="2508" spans="1:40" x14ac:dyDescent="0.25">
      <c r="A2508" t="str">
        <f>"20190312161006978"</f>
        <v>20190312161006978</v>
      </c>
      <c r="B2508" t="str">
        <f>"1552378206967905"</f>
        <v>1552378206967905</v>
      </c>
      <c r="C2508" t="s">
        <v>40</v>
      </c>
      <c r="D2508">
        <v>5.0248989999999996</v>
      </c>
      <c r="E2508">
        <v>0.35322340000000002</v>
      </c>
      <c r="F2508" t="s">
        <v>41</v>
      </c>
      <c r="G2508">
        <v>-494.45440000000002</v>
      </c>
      <c r="H2508" s="1">
        <v>-1.6869370000000001E-6</v>
      </c>
      <c r="I2508">
        <v>190.7587</v>
      </c>
      <c r="J2508">
        <v>-491.55270000000002</v>
      </c>
      <c r="K2508">
        <v>1.1113660000000001</v>
      </c>
      <c r="L2508">
        <v>270.30970000000002</v>
      </c>
      <c r="M2508">
        <v>-0.39411499999999999</v>
      </c>
      <c r="N2508">
        <v>0</v>
      </c>
      <c r="O2508">
        <v>-0.91902150000000005</v>
      </c>
      <c r="P2508">
        <v>-0.39327899999999999</v>
      </c>
      <c r="Q2508">
        <v>-3.1656259999999999E-2</v>
      </c>
      <c r="R2508">
        <v>-0.91887439999999998</v>
      </c>
      <c r="S2508">
        <v>-0.11816409999999999</v>
      </c>
      <c r="T2508">
        <v>-4.4895650000000002E-2</v>
      </c>
      <c r="U2508">
        <v>-3.2161249999999999</v>
      </c>
      <c r="V2508">
        <v>-6.1621080000000001E-4</v>
      </c>
      <c r="W2508">
        <v>-2.3118670000000001E-2</v>
      </c>
      <c r="X2508">
        <v>0.99973259999999997</v>
      </c>
      <c r="Y2508">
        <v>-0.36012070000000002</v>
      </c>
      <c r="Z2508">
        <v>1.1795480000000001E-2</v>
      </c>
      <c r="AA2508">
        <v>0.93283110000000002</v>
      </c>
      <c r="AB2508">
        <v>12</v>
      </c>
      <c r="AC2508">
        <v>-2.9016999999999999</v>
      </c>
      <c r="AD2508">
        <v>-1.1113676869369999</v>
      </c>
      <c r="AE2508">
        <v>-79.551000000000002</v>
      </c>
      <c r="AF2508">
        <v>-28.6809722241561</v>
      </c>
      <c r="AG2508">
        <v>-1.1113676869369999</v>
      </c>
      <c r="AH2508">
        <v>74.240916898646901</v>
      </c>
      <c r="AI2508">
        <v>90.800022957980005</v>
      </c>
      <c r="AJ2508">
        <v>111.122692225347</v>
      </c>
      <c r="AK2508">
        <v>79.596149704682205</v>
      </c>
      <c r="AL2508">
        <v>91.324720159115103</v>
      </c>
      <c r="AM2508">
        <v>90.0353157170819</v>
      </c>
      <c r="AN2508">
        <v>1.00000006206053</v>
      </c>
    </row>
    <row r="2509" spans="1:40" x14ac:dyDescent="0.25">
      <c r="A2509" t="str">
        <f>"20190312161006993"</f>
        <v>20190312161006993</v>
      </c>
      <c r="B2509" t="str">
        <f>"1552378206988401"</f>
        <v>1552378206988401</v>
      </c>
      <c r="C2509" t="s">
        <v>40</v>
      </c>
      <c r="D2509">
        <v>5.2330389999999998</v>
      </c>
      <c r="E2509">
        <v>0.3527729</v>
      </c>
      <c r="F2509" t="s">
        <v>41</v>
      </c>
      <c r="G2509">
        <v>-494.42360000000002</v>
      </c>
      <c r="H2509" s="1">
        <v>-2.436373E-6</v>
      </c>
      <c r="I2509">
        <v>182.5247</v>
      </c>
      <c r="J2509">
        <v>-491.57839999999999</v>
      </c>
      <c r="K2509">
        <v>1.1113649999999999</v>
      </c>
      <c r="L2509">
        <v>270.24059999999997</v>
      </c>
      <c r="M2509">
        <v>-0.39126179999999999</v>
      </c>
      <c r="N2509">
        <v>0</v>
      </c>
      <c r="O2509">
        <v>-0.92023999999999995</v>
      </c>
      <c r="P2509">
        <v>-0.39052920000000002</v>
      </c>
      <c r="Q2509">
        <v>-3.1620299999999997E-2</v>
      </c>
      <c r="R2509">
        <v>-0.92004759999999997</v>
      </c>
      <c r="S2509">
        <v>-0.1052551</v>
      </c>
      <c r="T2509">
        <v>-4.0745499999999997E-2</v>
      </c>
      <c r="U2509">
        <v>-3.2184140000000001</v>
      </c>
      <c r="V2509">
        <v>-5.0466110000000003E-4</v>
      </c>
      <c r="W2509">
        <v>-2.3091449999999999E-2</v>
      </c>
      <c r="X2509">
        <v>0.99973319999999999</v>
      </c>
      <c r="Y2509">
        <v>-0.36098740000000001</v>
      </c>
      <c r="Z2509">
        <v>1.071893E-2</v>
      </c>
      <c r="AA2509">
        <v>0.93250909999999998</v>
      </c>
      <c r="AB2509">
        <v>12</v>
      </c>
      <c r="AC2509">
        <v>-2.8452000000000299</v>
      </c>
      <c r="AD2509">
        <v>-1.111367436373</v>
      </c>
      <c r="AE2509">
        <v>-87.715899999999905</v>
      </c>
      <c r="AF2509">
        <v>-31.697680944255701</v>
      </c>
      <c r="AG2509">
        <v>-1.111367436373</v>
      </c>
      <c r="AH2509">
        <v>81.822745111185299</v>
      </c>
      <c r="AI2509">
        <v>90.725638050097899</v>
      </c>
      <c r="AJ2509">
        <v>111.176093466202</v>
      </c>
      <c r="AK2509">
        <v>87.754998332587604</v>
      </c>
      <c r="AL2509">
        <v>91.3231602728561</v>
      </c>
      <c r="AM2509">
        <v>90.028922665225494</v>
      </c>
      <c r="AN2509">
        <v>0.99999997046408295</v>
      </c>
    </row>
    <row r="2510" spans="1:40" x14ac:dyDescent="0.25">
      <c r="A2510" t="str">
        <f>"20190312161007009"</f>
        <v>20190312161007009</v>
      </c>
      <c r="B2510" t="str">
        <f>"1552378206998161"</f>
        <v>1552378206998161</v>
      </c>
      <c r="C2510" t="s">
        <v>40</v>
      </c>
      <c r="D2510">
        <v>5.2492029999999996</v>
      </c>
      <c r="E2510">
        <v>0.35330549999999999</v>
      </c>
      <c r="F2510" t="s">
        <v>78</v>
      </c>
      <c r="G2510">
        <v>-495.10590000000002</v>
      </c>
      <c r="H2510" s="1">
        <v>-6.7482570000000001E-6</v>
      </c>
      <c r="I2510">
        <v>147.83580000000001</v>
      </c>
      <c r="J2510">
        <v>-491.61099999999999</v>
      </c>
      <c r="K2510">
        <v>1.111367</v>
      </c>
      <c r="L2510">
        <v>270.15210000000002</v>
      </c>
      <c r="M2510">
        <v>-0.38761810000000002</v>
      </c>
      <c r="N2510">
        <v>0</v>
      </c>
      <c r="O2510">
        <v>-0.92178070000000001</v>
      </c>
      <c r="P2510">
        <v>-0.38725890000000002</v>
      </c>
      <c r="Q2510">
        <v>-3.1425219999999997E-2</v>
      </c>
      <c r="R2510">
        <v>-0.92143549999999996</v>
      </c>
      <c r="S2510">
        <v>-9.2803960000000005E-2</v>
      </c>
      <c r="T2510">
        <v>-2.9238699999999999E-2</v>
      </c>
      <c r="U2510">
        <v>-3.2203059999999999</v>
      </c>
      <c r="V2510">
        <v>-1.037485E-4</v>
      </c>
      <c r="W2510">
        <v>-2.2906030000000001E-2</v>
      </c>
      <c r="X2510">
        <v>0.9997376</v>
      </c>
      <c r="Y2510">
        <v>-0.3609175</v>
      </c>
      <c r="Z2510">
        <v>7.7088149999999999E-3</v>
      </c>
      <c r="AA2510">
        <v>0.93256589999999995</v>
      </c>
      <c r="AB2510">
        <v>12</v>
      </c>
      <c r="AC2510">
        <v>-3.4949000000000199</v>
      </c>
      <c r="AD2510">
        <v>-1.1113737482570001</v>
      </c>
      <c r="AE2510">
        <v>-122.3163</v>
      </c>
      <c r="AF2510">
        <v>-44.188438456264898</v>
      </c>
      <c r="AG2510">
        <v>-1.1113737482570001</v>
      </c>
      <c r="AH2510">
        <v>114.09821857025899</v>
      </c>
      <c r="AI2510">
        <v>90.520409367455102</v>
      </c>
      <c r="AJ2510">
        <v>111.170599006507</v>
      </c>
      <c r="AK2510">
        <v>122.36117327697499</v>
      </c>
      <c r="AL2510">
        <v>91.312533661947796</v>
      </c>
      <c r="AM2510">
        <v>90.005945911366595</v>
      </c>
      <c r="AN2510">
        <v>0.99999998291393499</v>
      </c>
    </row>
    <row r="2511" spans="1:40" x14ac:dyDescent="0.25">
      <c r="A2511" t="str">
        <f>"20190312161007033"</f>
        <v>20190312161007033</v>
      </c>
      <c r="B2511" t="str">
        <f>"1552378207028417"</f>
        <v>1552378207028417</v>
      </c>
      <c r="C2511" t="s">
        <v>40</v>
      </c>
      <c r="D2511">
        <v>5.2484260000000003</v>
      </c>
      <c r="E2511">
        <v>0.35494379999999998</v>
      </c>
      <c r="F2511" t="s">
        <v>78</v>
      </c>
      <c r="G2511">
        <v>-495.34969999999998</v>
      </c>
      <c r="H2511">
        <v>3.3135209999999998E-2</v>
      </c>
      <c r="I2511">
        <v>129.6163</v>
      </c>
      <c r="J2511">
        <v>-491.65460000000002</v>
      </c>
      <c r="K2511">
        <v>1.111362</v>
      </c>
      <c r="L2511">
        <v>270.0324</v>
      </c>
      <c r="M2511">
        <v>-0.38272220000000001</v>
      </c>
      <c r="N2511">
        <v>0</v>
      </c>
      <c r="O2511">
        <v>-0.9238246</v>
      </c>
      <c r="P2511">
        <v>-0.38312180000000001</v>
      </c>
      <c r="Q2511">
        <v>-3.1486760000000003E-2</v>
      </c>
      <c r="R2511">
        <v>-0.92316129999999996</v>
      </c>
      <c r="S2511">
        <v>-8.5632319999999998E-2</v>
      </c>
      <c r="T2511">
        <v>-2.4696590000000001E-2</v>
      </c>
      <c r="U2511">
        <v>-3.2189329999999998</v>
      </c>
      <c r="V2511">
        <v>7.1670839999999996E-4</v>
      </c>
      <c r="W2511">
        <v>-2.2978970000000001E-2</v>
      </c>
      <c r="X2511">
        <v>0.9997357</v>
      </c>
      <c r="Y2511">
        <v>-0.35803239999999997</v>
      </c>
      <c r="Z2511">
        <v>6.5419120000000004E-3</v>
      </c>
      <c r="AA2511">
        <v>0.93368629999999997</v>
      </c>
      <c r="AB2511">
        <v>12</v>
      </c>
      <c r="AC2511">
        <v>-3.6950999999999601</v>
      </c>
      <c r="AD2511">
        <v>-1.07822679</v>
      </c>
      <c r="AE2511">
        <v>-140.4161</v>
      </c>
      <c r="AF2511">
        <v>-50.325576570610302</v>
      </c>
      <c r="AG2511">
        <v>-1.07822679</v>
      </c>
      <c r="AH2511">
        <v>131.13102724193601</v>
      </c>
      <c r="AI2511">
        <v>90.439827703231401</v>
      </c>
      <c r="AJ2511">
        <v>110.99584563807799</v>
      </c>
      <c r="AK2511">
        <v>140.46057288684401</v>
      </c>
      <c r="AL2511">
        <v>91.316713883054604</v>
      </c>
      <c r="AM2511">
        <v>89.958924784393801</v>
      </c>
      <c r="AN2511">
        <v>1.0000000082938401</v>
      </c>
    </row>
    <row r="2512" spans="1:40" x14ac:dyDescent="0.25">
      <c r="A2512" t="str">
        <f>"20190312161007045"</f>
        <v>20190312161007045</v>
      </c>
      <c r="B2512" t="str">
        <f>"1552378207038178"</f>
        <v>1552378207038178</v>
      </c>
      <c r="C2512" t="s">
        <v>40</v>
      </c>
      <c r="D2512">
        <v>5.2534869999999998</v>
      </c>
      <c r="E2512">
        <v>0.35546489999999997</v>
      </c>
      <c r="F2512" t="s">
        <v>43</v>
      </c>
      <c r="G2512">
        <v>-496.04360000000003</v>
      </c>
      <c r="H2512">
        <v>-0.05</v>
      </c>
      <c r="I2512">
        <v>101.1337</v>
      </c>
      <c r="J2512">
        <v>-491.67880000000002</v>
      </c>
      <c r="K2512">
        <v>1.1113569999999999</v>
      </c>
      <c r="L2512">
        <v>269.96550000000002</v>
      </c>
      <c r="M2512">
        <v>-0.37999500000000003</v>
      </c>
      <c r="N2512">
        <v>0</v>
      </c>
      <c r="O2512">
        <v>-0.92494960000000004</v>
      </c>
      <c r="P2512">
        <v>-0.38057380000000002</v>
      </c>
      <c r="Q2512">
        <v>-3.1450449999999998E-2</v>
      </c>
      <c r="R2512">
        <v>-0.92421560000000003</v>
      </c>
      <c r="S2512">
        <v>-8.3526610000000001E-2</v>
      </c>
      <c r="T2512">
        <v>-2.2101760000000002E-2</v>
      </c>
      <c r="U2512">
        <v>-3.2142940000000002</v>
      </c>
      <c r="V2512">
        <v>9.0774129999999999E-4</v>
      </c>
      <c r="W2512">
        <v>-2.2949850000000001E-2</v>
      </c>
      <c r="X2512">
        <v>0.99973619999999996</v>
      </c>
      <c r="Y2512">
        <v>-0.35585220000000001</v>
      </c>
      <c r="Z2512">
        <v>5.8774980000000001E-3</v>
      </c>
      <c r="AA2512">
        <v>0.93452380000000002</v>
      </c>
      <c r="AB2512">
        <v>12</v>
      </c>
      <c r="AC2512">
        <v>-4.3647999999999998</v>
      </c>
      <c r="AD2512">
        <v>-1.161357</v>
      </c>
      <c r="AE2512">
        <v>-168.83179999999999</v>
      </c>
      <c r="AF2512">
        <v>-60.1173426077182</v>
      </c>
      <c r="AG2512">
        <v>-1.161357</v>
      </c>
      <c r="AH2512">
        <v>157.81773024353799</v>
      </c>
      <c r="AI2512">
        <v>90.394005900798305</v>
      </c>
      <c r="AJ2512">
        <v>110.853285779801</v>
      </c>
      <c r="AK2512">
        <v>168.88421954557299</v>
      </c>
      <c r="AL2512">
        <v>91.315045007865095</v>
      </c>
      <c r="AM2512">
        <v>89.947976545125599</v>
      </c>
      <c r="AN2512">
        <v>0.99999999459986499</v>
      </c>
    </row>
    <row r="2513" spans="1:40" x14ac:dyDescent="0.25">
      <c r="A2513" t="str">
        <f>"20190312161007059"</f>
        <v>20190312161007059</v>
      </c>
      <c r="B2513" t="str">
        <f>"1552378207047936"</f>
        <v>1552378207047936</v>
      </c>
      <c r="C2513" t="s">
        <v>40</v>
      </c>
      <c r="D2513">
        <v>5.2606729999999997</v>
      </c>
      <c r="E2513">
        <v>0.35595060000000001</v>
      </c>
      <c r="F2513" t="s">
        <v>43</v>
      </c>
      <c r="G2513">
        <v>-495.92469999999997</v>
      </c>
      <c r="H2513">
        <v>-0.05</v>
      </c>
      <c r="I2513">
        <v>96.365579999999994</v>
      </c>
      <c r="J2513">
        <v>-491.70359999999999</v>
      </c>
      <c r="K2513">
        <v>1.1113500000000001</v>
      </c>
      <c r="L2513">
        <v>269.89580000000001</v>
      </c>
      <c r="M2513">
        <v>-0.37717099999999998</v>
      </c>
      <c r="N2513">
        <v>0</v>
      </c>
      <c r="O2513">
        <v>-0.92610499999999996</v>
      </c>
      <c r="P2513">
        <v>-0.3782142</v>
      </c>
      <c r="Q2513">
        <v>-3.152696E-2</v>
      </c>
      <c r="R2513">
        <v>-0.92518129999999998</v>
      </c>
      <c r="S2513">
        <v>-7.8582760000000001E-2</v>
      </c>
      <c r="T2513">
        <v>-2.149415E-2</v>
      </c>
      <c r="U2513">
        <v>-3.212952</v>
      </c>
      <c r="V2513">
        <v>1.4080659999999999E-3</v>
      </c>
      <c r="W2513">
        <v>-2.3032279999999999E-2</v>
      </c>
      <c r="X2513">
        <v>0.99973369999999995</v>
      </c>
      <c r="Y2513">
        <v>-0.35442709999999999</v>
      </c>
      <c r="Z2513">
        <v>5.7317189999999997E-3</v>
      </c>
      <c r="AA2513">
        <v>0.93506610000000001</v>
      </c>
      <c r="AB2513">
        <v>12</v>
      </c>
      <c r="AC2513">
        <v>-4.2210999999999697</v>
      </c>
      <c r="AD2513">
        <v>-1.1613500000000001</v>
      </c>
      <c r="AE2513">
        <v>-173.53022000000001</v>
      </c>
      <c r="AF2513">
        <v>-61.540832285661303</v>
      </c>
      <c r="AG2513">
        <v>-1.1613500000000001</v>
      </c>
      <c r="AH2513">
        <v>162.29782381014999</v>
      </c>
      <c r="AI2513">
        <v>90.3833497203305</v>
      </c>
      <c r="AJ2513">
        <v>110.76595500747599</v>
      </c>
      <c r="AK2513">
        <v>173.57766672514401</v>
      </c>
      <c r="AL2513">
        <v>91.319769180536696</v>
      </c>
      <c r="AM2513">
        <v>89.919302324479006</v>
      </c>
      <c r="AN2513">
        <v>0.99999996974377303</v>
      </c>
    </row>
    <row r="2514" spans="1:40" x14ac:dyDescent="0.25">
      <c r="A2514" t="str">
        <f>"20190312161007078"</f>
        <v>20190312161007078</v>
      </c>
      <c r="B2514" t="str">
        <f>"1552378207068433"</f>
        <v>1552378207068433</v>
      </c>
      <c r="C2514" t="s">
        <v>40</v>
      </c>
      <c r="D2514">
        <v>6.0296770000000004</v>
      </c>
      <c r="E2514">
        <v>0.35688249999999999</v>
      </c>
      <c r="F2514" t="s">
        <v>43</v>
      </c>
      <c r="G2514">
        <v>-495.54059999999998</v>
      </c>
      <c r="H2514">
        <v>-0.05</v>
      </c>
      <c r="I2514">
        <v>103.7277</v>
      </c>
      <c r="J2514">
        <v>-491.73660000000001</v>
      </c>
      <c r="K2514">
        <v>1.1113420000000001</v>
      </c>
      <c r="L2514">
        <v>269.8023</v>
      </c>
      <c r="M2514">
        <v>-0.37340800000000002</v>
      </c>
      <c r="N2514">
        <v>0</v>
      </c>
      <c r="O2514">
        <v>-0.92762840000000002</v>
      </c>
      <c r="P2514">
        <v>-0.37490410000000002</v>
      </c>
      <c r="Q2514">
        <v>-3.178388E-2</v>
      </c>
      <c r="R2514">
        <v>-0.92651879999999998</v>
      </c>
      <c r="S2514">
        <v>-7.4157710000000002E-2</v>
      </c>
      <c r="T2514">
        <v>-2.2445320000000001E-2</v>
      </c>
      <c r="U2514">
        <v>-3.2115170000000002</v>
      </c>
      <c r="V2514">
        <v>1.8965169999999999E-3</v>
      </c>
      <c r="W2514">
        <v>-2.3297760000000001E-2</v>
      </c>
      <c r="X2514">
        <v>0.99972680000000003</v>
      </c>
      <c r="Y2514">
        <v>-0.35190700000000003</v>
      </c>
      <c r="Z2514">
        <v>6.0073100000000001E-3</v>
      </c>
      <c r="AA2514">
        <v>0.93601570000000001</v>
      </c>
      <c r="AB2514">
        <v>12</v>
      </c>
      <c r="AC2514">
        <v>-3.8039999999999701</v>
      </c>
      <c r="AD2514">
        <v>-1.1613420000000001</v>
      </c>
      <c r="AE2514">
        <v>-166.0746</v>
      </c>
      <c r="AF2514">
        <v>-58.484133464198301</v>
      </c>
      <c r="AG2514">
        <v>-1.1613420000000001</v>
      </c>
      <c r="AH2514">
        <v>155.473959495994</v>
      </c>
      <c r="AI2514">
        <v>90.4005712741792</v>
      </c>
      <c r="AJ2514">
        <v>110.61463062452501</v>
      </c>
      <c r="AK2514">
        <v>166.11410133899199</v>
      </c>
      <c r="AL2514">
        <v>91.334984068971707</v>
      </c>
      <c r="AM2514">
        <v>89.891308015824194</v>
      </c>
      <c r="AN2514">
        <v>1.00000002851799</v>
      </c>
    </row>
    <row r="2515" spans="1:40" x14ac:dyDescent="0.25">
      <c r="A2515" t="str">
        <f>"20190312161007090"</f>
        <v>20190312161007090</v>
      </c>
      <c r="B2515" t="str">
        <f>"1552378207078194"</f>
        <v>1552378207078194</v>
      </c>
      <c r="C2515" t="s">
        <v>40</v>
      </c>
      <c r="D2515">
        <v>5.307048</v>
      </c>
      <c r="E2515">
        <v>0.3572342</v>
      </c>
      <c r="F2515" t="s">
        <v>78</v>
      </c>
      <c r="G2515">
        <v>-494.77499999999998</v>
      </c>
      <c r="H2515">
        <v>8.9986939999999998E-3</v>
      </c>
      <c r="I2515">
        <v>129.6163</v>
      </c>
      <c r="J2515">
        <v>-491.76029999999997</v>
      </c>
      <c r="K2515">
        <v>1.1113329999999999</v>
      </c>
      <c r="L2515">
        <v>269.73419999999999</v>
      </c>
      <c r="M2515">
        <v>-0.37068689999999999</v>
      </c>
      <c r="N2515">
        <v>0</v>
      </c>
      <c r="O2515">
        <v>-0.92871919999999997</v>
      </c>
      <c r="P2515">
        <v>-0.37234479999999998</v>
      </c>
      <c r="Q2515">
        <v>-3.1837909999999997E-2</v>
      </c>
      <c r="R2515">
        <v>-0.92754820000000004</v>
      </c>
      <c r="S2515">
        <v>-6.9549559999999996E-2</v>
      </c>
      <c r="T2515">
        <v>-2.5232910000000001E-2</v>
      </c>
      <c r="U2515">
        <v>-3.2088930000000002</v>
      </c>
      <c r="V2515">
        <v>2.0682560000000001E-3</v>
      </c>
      <c r="W2515">
        <v>-2.3358449999999999E-2</v>
      </c>
      <c r="X2515">
        <v>0.99972499999999997</v>
      </c>
      <c r="Y2515">
        <v>-0.35048829999999997</v>
      </c>
      <c r="Z2515">
        <v>6.7738269999999996E-3</v>
      </c>
      <c r="AA2515">
        <v>0.9365426</v>
      </c>
      <c r="AB2515">
        <v>12</v>
      </c>
      <c r="AC2515">
        <v>-3.0146999999999999</v>
      </c>
      <c r="AD2515">
        <v>-1.1023343059999999</v>
      </c>
      <c r="AE2515">
        <v>-140.11789999999999</v>
      </c>
      <c r="AF2515">
        <v>-49.1387862248583</v>
      </c>
      <c r="AG2515">
        <v>-1.1023343059999999</v>
      </c>
      <c r="AH2515">
        <v>131.244291108243</v>
      </c>
      <c r="AI2515">
        <v>90.450671140786795</v>
      </c>
      <c r="AJ2515">
        <v>110.52625377272101</v>
      </c>
      <c r="AK2515">
        <v>140.14599316812399</v>
      </c>
      <c r="AL2515">
        <v>91.338462354213902</v>
      </c>
      <c r="AM2515">
        <v>89.881465232250605</v>
      </c>
      <c r="AN2515">
        <v>0.99999998524714195</v>
      </c>
    </row>
    <row r="2516" spans="1:40" x14ac:dyDescent="0.25">
      <c r="A2516" t="str">
        <f>"20190312161007112"</f>
        <v>20190312161007112</v>
      </c>
      <c r="B2516" t="str">
        <f>"1552378207098689"</f>
        <v>1552378207098689</v>
      </c>
      <c r="C2516" t="s">
        <v>40</v>
      </c>
      <c r="D2516">
        <v>5.3483599999999996</v>
      </c>
      <c r="E2516">
        <v>0.357960099999999</v>
      </c>
      <c r="F2516" t="s">
        <v>78</v>
      </c>
      <c r="G2516">
        <v>-494.42700000000002</v>
      </c>
      <c r="H2516" s="1">
        <v>-9.1184360000000008E-6</v>
      </c>
      <c r="I2516">
        <v>134.70419999999999</v>
      </c>
      <c r="J2516">
        <v>-491.79899999999998</v>
      </c>
      <c r="K2516">
        <v>1.1113230000000001</v>
      </c>
      <c r="L2516">
        <v>269.62209999999999</v>
      </c>
      <c r="M2516">
        <v>-0.36623559999999999</v>
      </c>
      <c r="N2516">
        <v>0</v>
      </c>
      <c r="O2516">
        <v>-0.93048379999999997</v>
      </c>
      <c r="P2516">
        <v>-0.36825560000000002</v>
      </c>
      <c r="Q2516">
        <v>-3.1840180000000003E-2</v>
      </c>
      <c r="R2516">
        <v>-0.92917939999999999</v>
      </c>
      <c r="S2516">
        <v>-6.3354489999999999E-2</v>
      </c>
      <c r="T2516">
        <v>-2.6402709999999999E-2</v>
      </c>
      <c r="U2516">
        <v>-3.2079770000000001</v>
      </c>
      <c r="V2516">
        <v>2.4513260000000002E-3</v>
      </c>
      <c r="W2516">
        <v>-2.3370800000000001E-2</v>
      </c>
      <c r="X2516">
        <v>0.9997239</v>
      </c>
      <c r="Y2516">
        <v>-0.34780420000000001</v>
      </c>
      <c r="Z2516">
        <v>7.1157520000000004E-3</v>
      </c>
      <c r="AA2516">
        <v>0.93754020000000005</v>
      </c>
      <c r="AB2516">
        <v>13</v>
      </c>
      <c r="AC2516">
        <v>-2.6279999999999202</v>
      </c>
      <c r="AD2516">
        <v>-1.1113321184360001</v>
      </c>
      <c r="AE2516">
        <v>-134.9179</v>
      </c>
      <c r="AF2516">
        <v>-46.9649176763958</v>
      </c>
      <c r="AG2516">
        <v>-1.1113321184360001</v>
      </c>
      <c r="AH2516">
        <v>126.497323154215</v>
      </c>
      <c r="AI2516">
        <v>90.471882843711199</v>
      </c>
      <c r="AJ2516">
        <v>110.368552902524</v>
      </c>
      <c r="AK2516">
        <v>134.93891698324001</v>
      </c>
      <c r="AL2516">
        <v>91.339170077305397</v>
      </c>
      <c r="AM2516">
        <v>89.859510858414296</v>
      </c>
      <c r="AN2516">
        <v>1.0000000397615001</v>
      </c>
    </row>
    <row r="2517" spans="1:40" x14ac:dyDescent="0.25">
      <c r="A2517" t="str">
        <f>"20190312161007136"</f>
        <v>20190312161007136</v>
      </c>
      <c r="B2517" t="str">
        <f>"1552378207127969"</f>
        <v>1552378207127969</v>
      </c>
      <c r="C2517" t="s">
        <v>40</v>
      </c>
      <c r="D2517">
        <v>5.343483</v>
      </c>
      <c r="E2517">
        <v>0.35907329999999998</v>
      </c>
      <c r="F2517" t="s">
        <v>78</v>
      </c>
      <c r="G2517">
        <v>-493.9742</v>
      </c>
      <c r="H2517" s="1">
        <v>-9.8235220000000002E-6</v>
      </c>
      <c r="I2517">
        <v>140.36340000000001</v>
      </c>
      <c r="J2517">
        <v>-491.84179999999998</v>
      </c>
      <c r="K2517">
        <v>1.1113150000000001</v>
      </c>
      <c r="L2517">
        <v>269.4966</v>
      </c>
      <c r="M2517">
        <v>-0.36130050000000002</v>
      </c>
      <c r="N2517">
        <v>0</v>
      </c>
      <c r="O2517">
        <v>-0.9324114</v>
      </c>
      <c r="P2517">
        <v>-0.36405409999999999</v>
      </c>
      <c r="Q2517">
        <v>-3.1776569999999997E-2</v>
      </c>
      <c r="R2517">
        <v>-0.93083590000000005</v>
      </c>
      <c r="S2517">
        <v>-5.3955080000000002E-2</v>
      </c>
      <c r="T2517">
        <v>-2.7566670000000001E-2</v>
      </c>
      <c r="U2517">
        <v>-3.2062680000000001</v>
      </c>
      <c r="V2517">
        <v>3.2303890000000002E-3</v>
      </c>
      <c r="W2517">
        <v>-2.3316300000000002E-2</v>
      </c>
      <c r="X2517">
        <v>0.99972289999999997</v>
      </c>
      <c r="Y2517">
        <v>-0.34557339999999998</v>
      </c>
      <c r="Z2517">
        <v>7.4617809999999998E-3</v>
      </c>
      <c r="AA2517">
        <v>0.93836209999999998</v>
      </c>
      <c r="AB2517">
        <v>13</v>
      </c>
      <c r="AC2517">
        <v>-2.1324000000000098</v>
      </c>
      <c r="AD2517">
        <v>-1.1113248235219999</v>
      </c>
      <c r="AE2517">
        <v>-129.13319999999999</v>
      </c>
      <c r="AF2517">
        <v>-44.665892649617703</v>
      </c>
      <c r="AG2517">
        <v>-1.1113248235219999</v>
      </c>
      <c r="AH2517">
        <v>121.171030755705</v>
      </c>
      <c r="AI2517">
        <v>90.493046596302193</v>
      </c>
      <c r="AJ2517">
        <v>110.23482343134999</v>
      </c>
      <c r="AK2517">
        <v>129.14602472957</v>
      </c>
      <c r="AL2517">
        <v>91.336046684800294</v>
      </c>
      <c r="AM2517">
        <v>89.814861686462706</v>
      </c>
      <c r="AN2517">
        <v>0.99999998102159504</v>
      </c>
    </row>
    <row r="2518" spans="1:40" x14ac:dyDescent="0.25">
      <c r="A2518" t="str">
        <f>"20190312161007158"</f>
        <v>20190312161007158</v>
      </c>
      <c r="B2518" t="str">
        <f>"1552378207148465"</f>
        <v>1552378207148465</v>
      </c>
      <c r="C2518" t="s">
        <v>40</v>
      </c>
      <c r="D2518">
        <v>5.3817120000000003</v>
      </c>
      <c r="E2518">
        <v>0.35984070000000001</v>
      </c>
      <c r="F2518" t="s">
        <v>78</v>
      </c>
      <c r="G2518">
        <v>-493.72160000000002</v>
      </c>
      <c r="H2518" s="1">
        <v>-8.2063959999999905E-6</v>
      </c>
      <c r="I2518">
        <v>144.05850000000001</v>
      </c>
      <c r="J2518">
        <v>-491.88060000000002</v>
      </c>
      <c r="K2518">
        <v>1.111316</v>
      </c>
      <c r="L2518">
        <v>269.38099999999997</v>
      </c>
      <c r="M2518">
        <v>-0.35679090000000002</v>
      </c>
      <c r="N2518">
        <v>0</v>
      </c>
      <c r="O2518">
        <v>-0.93414609999999998</v>
      </c>
      <c r="P2518">
        <v>-0.3608383</v>
      </c>
      <c r="Q2518">
        <v>-3.1881609999999998E-2</v>
      </c>
      <c r="R2518">
        <v>-0.93208340000000001</v>
      </c>
      <c r="S2518">
        <v>-4.8004150000000002E-2</v>
      </c>
      <c r="T2518">
        <v>-2.8378730000000001E-2</v>
      </c>
      <c r="U2518">
        <v>-3.2031860000000001</v>
      </c>
      <c r="V2518">
        <v>4.6109039999999999E-3</v>
      </c>
      <c r="W2518">
        <v>-2.342586E-2</v>
      </c>
      <c r="X2518">
        <v>0.99971500000000002</v>
      </c>
      <c r="Y2518">
        <v>-0.34276519999999999</v>
      </c>
      <c r="Z2518">
        <v>7.7165519999999998E-3</v>
      </c>
      <c r="AA2518">
        <v>0.93938940000000004</v>
      </c>
      <c r="AB2518">
        <v>13</v>
      </c>
      <c r="AC2518">
        <v>-1.841</v>
      </c>
      <c r="AD2518">
        <v>-1.111324206396</v>
      </c>
      <c r="AE2518">
        <v>-125.322499999999</v>
      </c>
      <c r="AF2518">
        <v>-42.992317765682898</v>
      </c>
      <c r="AG2518">
        <v>-1.111324206396</v>
      </c>
      <c r="AH2518">
        <v>117.72131968622</v>
      </c>
      <c r="AI2518">
        <v>90.508054452085005</v>
      </c>
      <c r="AJ2518">
        <v>110.062404682989</v>
      </c>
      <c r="AK2518">
        <v>125.331095650769</v>
      </c>
      <c r="AL2518">
        <v>91.342325624538006</v>
      </c>
      <c r="AM2518">
        <v>89.735741220583293</v>
      </c>
      <c r="AN2518">
        <v>1.0000000562887099</v>
      </c>
    </row>
    <row r="2519" spans="1:40" x14ac:dyDescent="0.25">
      <c r="A2519" t="str">
        <f>"20190312161007179"</f>
        <v>20190312161007179</v>
      </c>
      <c r="B2519" t="str">
        <f>"1552378207167985"</f>
        <v>1552378207167985</v>
      </c>
      <c r="C2519" t="s">
        <v>40</v>
      </c>
      <c r="D2519">
        <v>5.4177660000000003</v>
      </c>
      <c r="E2519">
        <v>0.36022799999999999</v>
      </c>
      <c r="F2519" t="s">
        <v>78</v>
      </c>
      <c r="G2519">
        <v>-493.49759999999998</v>
      </c>
      <c r="H2519" s="1">
        <v>-6.2481250000000004E-6</v>
      </c>
      <c r="I2519">
        <v>148.83449999999999</v>
      </c>
      <c r="J2519">
        <v>-491.9194</v>
      </c>
      <c r="K2519">
        <v>1.111324</v>
      </c>
      <c r="L2519">
        <v>269.26339999999999</v>
      </c>
      <c r="M2519">
        <v>-0.35223649999999901</v>
      </c>
      <c r="N2519">
        <v>0</v>
      </c>
      <c r="O2519">
        <v>-0.93587310000000001</v>
      </c>
      <c r="P2519">
        <v>-0.35747770000000001</v>
      </c>
      <c r="Q2519">
        <v>-3.1360949999999999E-2</v>
      </c>
      <c r="R2519">
        <v>-0.93339499999999997</v>
      </c>
      <c r="S2519">
        <v>-4.2938230000000001E-2</v>
      </c>
      <c r="T2519">
        <v>-2.9510020000000001E-2</v>
      </c>
      <c r="U2519">
        <v>-3.2009889999999999</v>
      </c>
      <c r="V2519">
        <v>5.8703330000000001E-3</v>
      </c>
      <c r="W2519">
        <v>-2.290909E-2</v>
      </c>
      <c r="X2519">
        <v>0.99972030000000001</v>
      </c>
      <c r="Y2519">
        <v>-0.33966410000000002</v>
      </c>
      <c r="Z2519">
        <v>8.0586879999999996E-3</v>
      </c>
      <c r="AA2519">
        <v>0.94051229999999997</v>
      </c>
      <c r="AB2519">
        <v>13</v>
      </c>
      <c r="AC2519">
        <v>-1.5781999999999801</v>
      </c>
      <c r="AD2519">
        <v>-1.111330248125</v>
      </c>
      <c r="AE2519">
        <v>-120.4289</v>
      </c>
      <c r="AF2519">
        <v>-40.940426811866097</v>
      </c>
      <c r="AG2519">
        <v>-1.111330248125</v>
      </c>
      <c r="AH2519">
        <v>113.256444975574</v>
      </c>
      <c r="AI2519">
        <v>90.528715944187397</v>
      </c>
      <c r="AJ2519">
        <v>109.874127688069</v>
      </c>
      <c r="AK2519">
        <v>120.434114481585</v>
      </c>
      <c r="AL2519">
        <v>91.312709033306206</v>
      </c>
      <c r="AM2519">
        <v>89.663564459402295</v>
      </c>
      <c r="AN2519">
        <v>0.99999998272312396</v>
      </c>
    </row>
    <row r="2520" spans="1:40" x14ac:dyDescent="0.25">
      <c r="A2520" t="str">
        <f>"20190312161007206"</f>
        <v>20190312161007206</v>
      </c>
      <c r="B2520" t="str">
        <f>"1552378207198241"</f>
        <v>1552378207198241</v>
      </c>
      <c r="C2520" t="s">
        <v>40</v>
      </c>
      <c r="D2520">
        <v>4.9454200000000004</v>
      </c>
      <c r="E2520">
        <v>0.33837159999999999</v>
      </c>
      <c r="F2520" t="s">
        <v>78</v>
      </c>
      <c r="G2520">
        <v>-493.21980000000002</v>
      </c>
      <c r="H2520" s="1">
        <v>-7.6733849999999906E-6</v>
      </c>
      <c r="I2520">
        <v>145.29560000000001</v>
      </c>
      <c r="J2520">
        <v>-491.96</v>
      </c>
      <c r="K2520">
        <v>1.111332</v>
      </c>
      <c r="L2520">
        <v>269.1386</v>
      </c>
      <c r="M2520">
        <v>-0.34742770000000001</v>
      </c>
      <c r="N2520">
        <v>0</v>
      </c>
      <c r="O2520">
        <v>-0.93766910000000003</v>
      </c>
      <c r="P2520">
        <v>-0.35398439999999998</v>
      </c>
      <c r="Q2520">
        <v>-3.0521389999999999E-2</v>
      </c>
      <c r="R2520">
        <v>-0.93475359999999996</v>
      </c>
      <c r="S2520">
        <v>-3.3569340000000003E-2</v>
      </c>
      <c r="T2520">
        <v>-2.8689269999999999E-2</v>
      </c>
      <c r="U2520">
        <v>-3.200256</v>
      </c>
      <c r="V2520">
        <v>7.2506860000000001E-3</v>
      </c>
      <c r="W2520">
        <v>-2.2072129999999999E-2</v>
      </c>
      <c r="X2520">
        <v>0.99973009999999995</v>
      </c>
      <c r="Y2520">
        <v>-0.33758519999999997</v>
      </c>
      <c r="Z2520">
        <v>7.8638249999999996E-3</v>
      </c>
      <c r="AA2520">
        <v>0.94126209999999999</v>
      </c>
      <c r="AB2520">
        <v>13</v>
      </c>
      <c r="AC2520">
        <v>-1.25980000000004</v>
      </c>
      <c r="AD2520">
        <v>-1.1113396733849901</v>
      </c>
      <c r="AE2520">
        <v>-123.843</v>
      </c>
      <c r="AF2520">
        <v>-41.843322185127299</v>
      </c>
      <c r="AG2520">
        <v>-1.1113396733849901</v>
      </c>
      <c r="AH2520">
        <v>116.556176499259</v>
      </c>
      <c r="AI2520">
        <v>90.514160640125894</v>
      </c>
      <c r="AJ2520">
        <v>109.74798770496599</v>
      </c>
      <c r="AK2520">
        <v>123.84442243187399</v>
      </c>
      <c r="AL2520">
        <v>91.264742585382805</v>
      </c>
      <c r="AM2520">
        <v>89.584461423587399</v>
      </c>
      <c r="AN2520">
        <v>1.0000000121081001</v>
      </c>
    </row>
    <row r="2521" spans="1:40" x14ac:dyDescent="0.25">
      <c r="A2521" t="str">
        <f>"20190312161007237"</f>
        <v>20190312161007237</v>
      </c>
      <c r="B2521" t="str">
        <f>"1552378207228498"</f>
        <v>1552378207228498</v>
      </c>
      <c r="C2521" t="s">
        <v>40</v>
      </c>
      <c r="D2521">
        <v>5.4368610000000004</v>
      </c>
      <c r="E2521">
        <v>0.3236639</v>
      </c>
      <c r="F2521" t="s">
        <v>79</v>
      </c>
      <c r="G2521">
        <v>-483.36799999999999</v>
      </c>
      <c r="H2521">
        <v>2.1769020000000001</v>
      </c>
      <c r="I2521">
        <v>65.675449999999998</v>
      </c>
      <c r="J2521">
        <v>-492.01760000000002</v>
      </c>
      <c r="K2521">
        <v>1.1113489999999999</v>
      </c>
      <c r="L2521">
        <v>268.9572</v>
      </c>
      <c r="M2521">
        <v>-0.3404837</v>
      </c>
      <c r="N2521">
        <v>0</v>
      </c>
      <c r="O2521">
        <v>-0.94021299999999997</v>
      </c>
      <c r="P2521">
        <v>-0.34652709999999998</v>
      </c>
      <c r="Q2521">
        <v>-3.0288030000000001E-2</v>
      </c>
      <c r="R2521">
        <v>-0.93755109999999997</v>
      </c>
      <c r="S2521">
        <v>0.1377563</v>
      </c>
      <c r="T2521">
        <v>1.708484E-2</v>
      </c>
      <c r="U2521">
        <v>-3.2621769999999999</v>
      </c>
      <c r="V2521">
        <v>6.6785600000000001E-3</v>
      </c>
      <c r="W2521">
        <v>-2.1850069999999999E-2</v>
      </c>
      <c r="X2521">
        <v>0.99973889999999999</v>
      </c>
      <c r="Y2521">
        <v>-0.37986150000000002</v>
      </c>
      <c r="Z2521">
        <v>-4.5682880000000002E-3</v>
      </c>
      <c r="AA2521">
        <v>0.92503210000000002</v>
      </c>
      <c r="AB2521">
        <v>13</v>
      </c>
      <c r="AC2521">
        <v>8.6495999999999604</v>
      </c>
      <c r="AD2521">
        <v>1.065553</v>
      </c>
      <c r="AE2521">
        <v>-203.28174999999999</v>
      </c>
      <c r="AF2521">
        <v>-77.347188774489695</v>
      </c>
      <c r="AG2521">
        <v>1.065553</v>
      </c>
      <c r="AH2521">
        <v>188.18455605848899</v>
      </c>
      <c r="AI2521">
        <v>89.699935615032004</v>
      </c>
      <c r="AJ2521">
        <v>112.34353131856</v>
      </c>
      <c r="AK2521">
        <v>203.46289625738399</v>
      </c>
      <c r="AL2521">
        <v>91.252016495206604</v>
      </c>
      <c r="AM2521">
        <v>89.617252455393398</v>
      </c>
      <c r="AN2521">
        <v>0.99999994844794204</v>
      </c>
    </row>
    <row r="2522" spans="1:40" x14ac:dyDescent="0.25">
      <c r="A2522" t="str">
        <f>"20190312161007258"</f>
        <v>20190312161007258</v>
      </c>
      <c r="B2522" t="str">
        <f>"1552378207248017"</f>
        <v>1552378207248017</v>
      </c>
      <c r="C2522" t="s">
        <v>40</v>
      </c>
      <c r="D2522">
        <v>5.4175170000000001</v>
      </c>
      <c r="E2522">
        <v>0.32207809999999998</v>
      </c>
      <c r="F2522" t="s">
        <v>79</v>
      </c>
      <c r="G2522">
        <v>-475.06079999999997</v>
      </c>
      <c r="H2522">
        <v>2.6468980000000002</v>
      </c>
      <c r="I2522">
        <v>64.450009999999907</v>
      </c>
      <c r="J2522">
        <v>-492.05669999999998</v>
      </c>
      <c r="K2522">
        <v>1.1113789999999999</v>
      </c>
      <c r="L2522">
        <v>268.83179999999999</v>
      </c>
      <c r="M2522">
        <v>-0.33569389999999999</v>
      </c>
      <c r="N2522">
        <v>0</v>
      </c>
      <c r="O2522">
        <v>-0.94193369999999998</v>
      </c>
      <c r="P2522">
        <v>-0.34047820000000001</v>
      </c>
      <c r="Q2522">
        <v>-3.005598E-2</v>
      </c>
      <c r="R2522">
        <v>-0.9397721</v>
      </c>
      <c r="S2522">
        <v>0.27377319999999999</v>
      </c>
      <c r="T2522">
        <v>2.4792310000000001E-2</v>
      </c>
      <c r="U2522">
        <v>-3.3018489999999998</v>
      </c>
      <c r="V2522">
        <v>5.3223169999999896E-3</v>
      </c>
      <c r="W2522">
        <v>-2.1628290000000001E-2</v>
      </c>
      <c r="X2522">
        <v>0.99975190000000003</v>
      </c>
      <c r="Y2522">
        <v>-0.41239160000000002</v>
      </c>
      <c r="Z2522">
        <v>-6.506403E-3</v>
      </c>
      <c r="AA2522">
        <v>0.9109834</v>
      </c>
      <c r="AB2522">
        <v>13</v>
      </c>
      <c r="AC2522">
        <v>16.995899999999999</v>
      </c>
      <c r="AD2522">
        <v>1.5355189999999901</v>
      </c>
      <c r="AE2522">
        <v>-204.38179</v>
      </c>
      <c r="AF2522">
        <v>-84.616971141003404</v>
      </c>
      <c r="AG2522">
        <v>1.5355189999999901</v>
      </c>
      <c r="AH2522">
        <v>186.804790234694</v>
      </c>
      <c r="AI2522">
        <v>89.571001857415297</v>
      </c>
      <c r="AJ2522">
        <v>114.369101512295</v>
      </c>
      <c r="AK2522">
        <v>205.08149423657099</v>
      </c>
      <c r="AL2522">
        <v>91.239306386592403</v>
      </c>
      <c r="AM2522">
        <v>89.694980904222405</v>
      </c>
      <c r="AN2522">
        <v>0.99999998577009097</v>
      </c>
    </row>
    <row r="2523" spans="1:40" x14ac:dyDescent="0.25">
      <c r="A2523" t="str">
        <f>"20190312161007280"</f>
        <v>20190312161007280</v>
      </c>
      <c r="B2523" t="str">
        <f>"1552378207268516"</f>
        <v>1552378207268516</v>
      </c>
      <c r="C2523" t="s">
        <v>40</v>
      </c>
      <c r="D2523">
        <v>5.4048350000000003</v>
      </c>
      <c r="E2523">
        <v>0.32017190000000001</v>
      </c>
      <c r="F2523" t="s">
        <v>79</v>
      </c>
      <c r="G2523">
        <v>-473.05380000000002</v>
      </c>
      <c r="H2523">
        <v>2.486739</v>
      </c>
      <c r="I2523">
        <v>64.450009999999907</v>
      </c>
      <c r="J2523">
        <v>-492.0924</v>
      </c>
      <c r="K2523">
        <v>1.111402</v>
      </c>
      <c r="L2523">
        <v>268.71519999999998</v>
      </c>
      <c r="M2523">
        <v>-0.33124940000000003</v>
      </c>
      <c r="N2523">
        <v>0</v>
      </c>
      <c r="O2523">
        <v>-0.94350590000000001</v>
      </c>
      <c r="P2523">
        <v>-0.33502920000000003</v>
      </c>
      <c r="Q2523">
        <v>-2.9312299999999999E-2</v>
      </c>
      <c r="R2523">
        <v>-0.94175189999999998</v>
      </c>
      <c r="S2523">
        <v>0.30722050000000001</v>
      </c>
      <c r="T2523">
        <v>2.2235870000000001E-2</v>
      </c>
      <c r="U2523">
        <v>-3.3042600000000002</v>
      </c>
      <c r="V2523">
        <v>4.2355450000000003E-3</v>
      </c>
      <c r="W2523">
        <v>-2.089241E-2</v>
      </c>
      <c r="X2523">
        <v>0.99977280000000002</v>
      </c>
      <c r="Y2523">
        <v>-0.41718719999999998</v>
      </c>
      <c r="Z2523">
        <v>-5.8369919999999896E-3</v>
      </c>
      <c r="AA2523">
        <v>0.90880190000000005</v>
      </c>
      <c r="AB2523">
        <v>13</v>
      </c>
      <c r="AC2523">
        <v>19.038599999999899</v>
      </c>
      <c r="AD2523">
        <v>1.375337</v>
      </c>
      <c r="AE2523">
        <v>-204.26518999999999</v>
      </c>
      <c r="AF2523">
        <v>-85.624921116100197</v>
      </c>
      <c r="AG2523">
        <v>1.375337</v>
      </c>
      <c r="AH2523">
        <v>186.41707585641799</v>
      </c>
      <c r="AI2523">
        <v>89.615875376701496</v>
      </c>
      <c r="AJ2523">
        <v>114.67022197812101</v>
      </c>
      <c r="AK2523">
        <v>205.14591109466301</v>
      </c>
      <c r="AL2523">
        <v>91.197133967251602</v>
      </c>
      <c r="AM2523">
        <v>89.7572674505777</v>
      </c>
      <c r="AN2523">
        <v>1.0000000421284401</v>
      </c>
    </row>
    <row r="2524" spans="1:40" x14ac:dyDescent="0.25">
      <c r="A2524" t="str">
        <f>"20190312161007302"</f>
        <v>20190312161007302</v>
      </c>
      <c r="B2524" t="str">
        <f>"1552378207298770"</f>
        <v>1552378207298770</v>
      </c>
      <c r="C2524" t="s">
        <v>40</v>
      </c>
      <c r="D2524">
        <v>5.4127749999999999</v>
      </c>
      <c r="E2524">
        <v>0.32060129999999998</v>
      </c>
      <c r="F2524" t="s">
        <v>80</v>
      </c>
      <c r="G2524">
        <v>-473.57749999999999</v>
      </c>
      <c r="H2524">
        <v>2.609877</v>
      </c>
      <c r="I2524">
        <v>88.923739999999995</v>
      </c>
      <c r="J2524">
        <v>-492.1302</v>
      </c>
      <c r="K2524">
        <v>1.111426</v>
      </c>
      <c r="L2524">
        <v>268.5899</v>
      </c>
      <c r="M2524">
        <v>-0.32647739999999997</v>
      </c>
      <c r="N2524">
        <v>0</v>
      </c>
      <c r="O2524">
        <v>-0.94516770000000006</v>
      </c>
      <c r="P2524">
        <v>-0.32937080000000002</v>
      </c>
      <c r="Q2524">
        <v>-2.8753589999999999E-2</v>
      </c>
      <c r="R2524">
        <v>-0.94376300000000002</v>
      </c>
      <c r="S2524">
        <v>0.34060669999999998</v>
      </c>
      <c r="T2524">
        <v>2.7567029999999999E-2</v>
      </c>
      <c r="U2524">
        <v>-3.3075260000000002</v>
      </c>
      <c r="V2524">
        <v>3.2804959999999999E-3</v>
      </c>
      <c r="W2524">
        <v>-2.0340649999999998E-2</v>
      </c>
      <c r="X2524">
        <v>0.99978769999999995</v>
      </c>
      <c r="Y2524">
        <v>-0.42159209999999903</v>
      </c>
      <c r="Z2524">
        <v>-7.2377369999999898E-3</v>
      </c>
      <c r="AA2524">
        <v>0.90675669999999997</v>
      </c>
      <c r="AB2524">
        <v>13</v>
      </c>
      <c r="AC2524">
        <v>18.552700000000002</v>
      </c>
      <c r="AD2524">
        <v>1.498451</v>
      </c>
      <c r="AE2524">
        <v>-179.66615999999999</v>
      </c>
      <c r="AF2524">
        <v>-76.189796730314399</v>
      </c>
      <c r="AG2524">
        <v>1.498451</v>
      </c>
      <c r="AH2524">
        <v>163.75211862262199</v>
      </c>
      <c r="AI2524">
        <v>89.524647675384102</v>
      </c>
      <c r="AJ2524">
        <v>114.951389965586</v>
      </c>
      <c r="AK2524">
        <v>180.61530066581599</v>
      </c>
      <c r="AL2524">
        <v>91.165513807178201</v>
      </c>
      <c r="AM2524">
        <v>89.812002187085099</v>
      </c>
      <c r="AN2524">
        <v>0.99999997438385801</v>
      </c>
    </row>
    <row r="2525" spans="1:40" x14ac:dyDescent="0.25">
      <c r="A2525" t="str">
        <f>"20190312161007325"</f>
        <v>20190312161007325</v>
      </c>
      <c r="B2525" t="str">
        <f>"1552378207318289"</f>
        <v>1552378207318289</v>
      </c>
      <c r="C2525" t="s">
        <v>40</v>
      </c>
      <c r="D2525">
        <v>5.4090119999999997</v>
      </c>
      <c r="E2525">
        <v>0.32100420000000002</v>
      </c>
      <c r="F2525" t="s">
        <v>80</v>
      </c>
      <c r="G2525">
        <v>-473.57749999999999</v>
      </c>
      <c r="H2525">
        <v>1.739671</v>
      </c>
      <c r="I2525">
        <v>97.699950000000001</v>
      </c>
      <c r="J2525">
        <v>-492.1669</v>
      </c>
      <c r="K2525">
        <v>1.111445</v>
      </c>
      <c r="L2525">
        <v>268.46570000000003</v>
      </c>
      <c r="M2525">
        <v>-0.32175819999999999</v>
      </c>
      <c r="N2525">
        <v>0</v>
      </c>
      <c r="O2525">
        <v>-0.94678499999999999</v>
      </c>
      <c r="P2525">
        <v>-0.32377810000000001</v>
      </c>
      <c r="Q2525">
        <v>-2.863042E-2</v>
      </c>
      <c r="R2525">
        <v>-0.94570030000000005</v>
      </c>
      <c r="S2525">
        <v>0.3587341</v>
      </c>
      <c r="T2525">
        <v>1.2148259999999999E-2</v>
      </c>
      <c r="U2525">
        <v>-3.3043520000000002</v>
      </c>
      <c r="V2525">
        <v>2.3488530000000001E-3</v>
      </c>
      <c r="W2525">
        <v>-2.0224160000000001E-2</v>
      </c>
      <c r="X2525">
        <v>0.99979269999999998</v>
      </c>
      <c r="Y2525">
        <v>-0.42207919999999999</v>
      </c>
      <c r="Z2525">
        <v>-3.2002100000000002E-3</v>
      </c>
      <c r="AA2525">
        <v>0.90655330000000001</v>
      </c>
      <c r="AB2525">
        <v>13</v>
      </c>
      <c r="AC2525">
        <v>18.589400000000001</v>
      </c>
      <c r="AD2525">
        <v>0.62822599999999995</v>
      </c>
      <c r="AE2525">
        <v>-170.76575</v>
      </c>
      <c r="AF2525">
        <v>-72.547007916894799</v>
      </c>
      <c r="AG2525">
        <v>0.62822599999999995</v>
      </c>
      <c r="AH2525">
        <v>155.70051216277599</v>
      </c>
      <c r="AI2525">
        <v>89.7904520049713</v>
      </c>
      <c r="AJ2525">
        <v>114.982667864688</v>
      </c>
      <c r="AK2525">
        <v>171.77343366583699</v>
      </c>
      <c r="AL2525">
        <v>91.158838032178394</v>
      </c>
      <c r="AM2525">
        <v>89.865392979966302</v>
      </c>
      <c r="AN2525">
        <v>0.99999998836570503</v>
      </c>
    </row>
    <row r="2526" spans="1:40" x14ac:dyDescent="0.25">
      <c r="A2526" t="str">
        <f>"20190312161007347"</f>
        <v>20190312161007347</v>
      </c>
      <c r="B2526" t="str">
        <f>"1552378207338785"</f>
        <v>1552378207338785</v>
      </c>
      <c r="C2526" t="s">
        <v>40</v>
      </c>
      <c r="D2526">
        <v>5.3449390000000001</v>
      </c>
      <c r="E2526">
        <v>0.3215421</v>
      </c>
      <c r="F2526" t="s">
        <v>80</v>
      </c>
      <c r="G2526">
        <v>-473.15</v>
      </c>
      <c r="H2526">
        <v>1.468815</v>
      </c>
      <c r="I2526">
        <v>101.28740000000001</v>
      </c>
      <c r="J2526">
        <v>-492.2038</v>
      </c>
      <c r="K2526">
        <v>1.111451</v>
      </c>
      <c r="L2526">
        <v>268.33850000000001</v>
      </c>
      <c r="M2526">
        <v>-0.31693900000000003</v>
      </c>
      <c r="N2526">
        <v>0</v>
      </c>
      <c r="O2526">
        <v>-0.9484089</v>
      </c>
      <c r="P2526">
        <v>-0.31882500000000003</v>
      </c>
      <c r="Q2526">
        <v>-2.8389709999999999E-2</v>
      </c>
      <c r="R2526">
        <v>-0.94738849999999997</v>
      </c>
      <c r="S2526">
        <v>0.3754883</v>
      </c>
      <c r="T2526">
        <v>7.0568319999999999E-3</v>
      </c>
      <c r="U2526">
        <v>-3.300964</v>
      </c>
      <c r="V2526">
        <v>2.1991630000000001E-3</v>
      </c>
      <c r="W2526">
        <v>-1.998685E-2</v>
      </c>
      <c r="X2526">
        <v>0.99979779999999996</v>
      </c>
      <c r="Y2526">
        <v>-0.42211409999999999</v>
      </c>
      <c r="Z2526">
        <v>-1.8655360000000001E-3</v>
      </c>
      <c r="AA2526">
        <v>0.90654080000000004</v>
      </c>
      <c r="AB2526">
        <v>13</v>
      </c>
      <c r="AC2526">
        <v>19.053799999999999</v>
      </c>
      <c r="AD2526">
        <v>0.35736400000000001</v>
      </c>
      <c r="AE2526">
        <v>-167.05109999999999</v>
      </c>
      <c r="AF2526">
        <v>-71.017975054115198</v>
      </c>
      <c r="AG2526">
        <v>0.35736400000000001</v>
      </c>
      <c r="AH2526">
        <v>152.398520690119</v>
      </c>
      <c r="AI2526">
        <v>89.878219257685799</v>
      </c>
      <c r="AJ2526">
        <v>114.98560083603</v>
      </c>
      <c r="AK2526">
        <v>168.133844297786</v>
      </c>
      <c r="AL2526">
        <v>91.145238436100897</v>
      </c>
      <c r="AM2526">
        <v>89.8739719619807</v>
      </c>
      <c r="AN2526">
        <v>0.99999997568783106</v>
      </c>
    </row>
    <row r="2527" spans="1:40" x14ac:dyDescent="0.25">
      <c r="A2527" t="str">
        <f>"20190312161007372"</f>
        <v>20190312161007372</v>
      </c>
      <c r="B2527" t="str">
        <f>"1552378207368066"</f>
        <v>1552378207368066</v>
      </c>
      <c r="C2527" t="s">
        <v>40</v>
      </c>
      <c r="D2527">
        <v>5.4374779999999996</v>
      </c>
      <c r="E2527">
        <v>0.32232280000000002</v>
      </c>
      <c r="F2527" t="s">
        <v>80</v>
      </c>
      <c r="G2527">
        <v>-473.4776</v>
      </c>
      <c r="H2527">
        <v>0.99723819999999996</v>
      </c>
      <c r="I2527">
        <v>109.7255</v>
      </c>
      <c r="J2527">
        <v>-492.24079999999998</v>
      </c>
      <c r="K2527">
        <v>1.1114599999999999</v>
      </c>
      <c r="L2527">
        <v>268.20859999999999</v>
      </c>
      <c r="M2527">
        <v>-0.31203389999999998</v>
      </c>
      <c r="N2527">
        <v>0</v>
      </c>
      <c r="O2527">
        <v>-0.95003419999999905</v>
      </c>
      <c r="P2527">
        <v>-0.3137954</v>
      </c>
      <c r="Q2527">
        <v>-2.878236E-2</v>
      </c>
      <c r="R2527">
        <v>-0.94905439999999996</v>
      </c>
      <c r="S2527">
        <v>0.38931270000000001</v>
      </c>
      <c r="T2527">
        <v>-2.3739339999999999E-3</v>
      </c>
      <c r="U2527">
        <v>-3.2975460000000001</v>
      </c>
      <c r="V2527">
        <v>2.0682650000000001E-3</v>
      </c>
      <c r="W2527">
        <v>-2.0383189999999999E-2</v>
      </c>
      <c r="X2527">
        <v>0.99979010000000001</v>
      </c>
      <c r="Y2527">
        <v>-0.42128510000000002</v>
      </c>
      <c r="Z2527">
        <v>6.2995789999999998E-4</v>
      </c>
      <c r="AA2527">
        <v>0.90692810000000001</v>
      </c>
      <c r="AB2527">
        <v>13</v>
      </c>
      <c r="AC2527">
        <v>18.763199999999902</v>
      </c>
      <c r="AD2527">
        <v>-0.1142218</v>
      </c>
      <c r="AE2527">
        <v>-158.48309999999901</v>
      </c>
      <c r="AF2527">
        <v>-67.280097287247798</v>
      </c>
      <c r="AG2527">
        <v>-0.1142218</v>
      </c>
      <c r="AH2527">
        <v>144.714591785518</v>
      </c>
      <c r="AI2527">
        <v>90.0410077795853</v>
      </c>
      <c r="AJ2527">
        <v>114.934459953885</v>
      </c>
      <c r="AK2527">
        <v>159.58990448411899</v>
      </c>
      <c r="AL2527">
        <v>91.167951647422697</v>
      </c>
      <c r="AM2527">
        <v>89.881472434693904</v>
      </c>
      <c r="AN2527">
        <v>0.99999999810634799</v>
      </c>
    </row>
    <row r="2528" spans="1:40" x14ac:dyDescent="0.25">
      <c r="A2528" t="str">
        <f>"20190312161007392"</f>
        <v>20190312161007392</v>
      </c>
      <c r="B2528" t="str">
        <f>"1552378207388562"</f>
        <v>1552378207388562</v>
      </c>
      <c r="C2528" t="s">
        <v>40</v>
      </c>
      <c r="D2528">
        <v>5.3916050000000002</v>
      </c>
      <c r="E2528">
        <v>0.32302760000000003</v>
      </c>
      <c r="F2528" t="s">
        <v>80</v>
      </c>
      <c r="G2528">
        <v>-473.15</v>
      </c>
      <c r="H2528">
        <v>0.77273040000000004</v>
      </c>
      <c r="I2528">
        <v>111.6478</v>
      </c>
      <c r="J2528">
        <v>-492.2758</v>
      </c>
      <c r="K2528">
        <v>1.111464</v>
      </c>
      <c r="L2528">
        <v>268.08359999999999</v>
      </c>
      <c r="M2528">
        <v>-0.30733339999999998</v>
      </c>
      <c r="N2528">
        <v>0</v>
      </c>
      <c r="O2528">
        <v>-0.95156490000000005</v>
      </c>
      <c r="P2528">
        <v>-0.30914779999999997</v>
      </c>
      <c r="Q2528">
        <v>-2.9041290000000001E-2</v>
      </c>
      <c r="R2528">
        <v>-0.95057060000000004</v>
      </c>
      <c r="S2528">
        <v>0.4016113</v>
      </c>
      <c r="T2528">
        <v>-7.1253779999999999E-3</v>
      </c>
      <c r="U2528">
        <v>-3.2935789999999998</v>
      </c>
      <c r="V2528">
        <v>2.1225839999999998E-3</v>
      </c>
      <c r="W2528">
        <v>-2.0645150000000001E-2</v>
      </c>
      <c r="X2528">
        <v>0.99978460000000002</v>
      </c>
      <c r="Y2528">
        <v>-0.42026669999999999</v>
      </c>
      <c r="Z2528">
        <v>1.898135E-3</v>
      </c>
      <c r="AA2528">
        <v>0.90739860000000006</v>
      </c>
      <c r="AB2528">
        <v>13</v>
      </c>
      <c r="AC2528">
        <v>19.125800000000002</v>
      </c>
      <c r="AD2528">
        <v>-0.33873360000000002</v>
      </c>
      <c r="AE2528">
        <v>-156.43579999999901</v>
      </c>
      <c r="AF2528">
        <v>-66.279413905674005</v>
      </c>
      <c r="AG2528">
        <v>-0.33873360000000002</v>
      </c>
      <c r="AH2528">
        <v>142.98519350019001</v>
      </c>
      <c r="AI2528">
        <v>90.123147138023697</v>
      </c>
      <c r="AJ2528">
        <v>114.869628273787</v>
      </c>
      <c r="AK2528">
        <v>157.600257006193</v>
      </c>
      <c r="AL2528">
        <v>91.1829640222156</v>
      </c>
      <c r="AM2528">
        <v>89.878358876358206</v>
      </c>
      <c r="AN2528">
        <v>0.99999998698925896</v>
      </c>
    </row>
    <row r="2529" spans="1:40" x14ac:dyDescent="0.25">
      <c r="A2529" t="str">
        <f>"20190312161007415"</f>
        <v>20190312161007415</v>
      </c>
      <c r="B2529" t="str">
        <f>"1552378207408082"</f>
        <v>1552378207408082</v>
      </c>
      <c r="C2529" t="s">
        <v>40</v>
      </c>
      <c r="D2529">
        <v>5.4383189999999999</v>
      </c>
      <c r="E2529">
        <v>0.323847</v>
      </c>
      <c r="F2529" t="s">
        <v>80</v>
      </c>
      <c r="G2529">
        <v>-473.57749999999999</v>
      </c>
      <c r="H2529">
        <v>0.63999499999999998</v>
      </c>
      <c r="I2529">
        <v>118.9712</v>
      </c>
      <c r="J2529">
        <v>-492.31169999999997</v>
      </c>
      <c r="K2529">
        <v>1.111459</v>
      </c>
      <c r="L2529">
        <v>267.9529</v>
      </c>
      <c r="M2529">
        <v>-0.30245609999999901</v>
      </c>
      <c r="N2529">
        <v>0</v>
      </c>
      <c r="O2529">
        <v>-0.95312649999999999</v>
      </c>
      <c r="P2529">
        <v>-0.30393029999999999</v>
      </c>
      <c r="Q2529">
        <v>-2.9284689999999999E-2</v>
      </c>
      <c r="R2529">
        <v>-0.95224439999999999</v>
      </c>
      <c r="S2529">
        <v>0.41253659999999998</v>
      </c>
      <c r="T2529">
        <v>-1.040137E-2</v>
      </c>
      <c r="U2529">
        <v>-3.2898559999999999</v>
      </c>
      <c r="V2529">
        <v>1.76344E-3</v>
      </c>
      <c r="W2529">
        <v>-2.0893780000000001E-2</v>
      </c>
      <c r="X2529">
        <v>0.99978009999999995</v>
      </c>
      <c r="Y2529">
        <v>-0.41871009999999997</v>
      </c>
      <c r="Z2529">
        <v>2.7819120000000001E-3</v>
      </c>
      <c r="AA2529">
        <v>0.90811569999999997</v>
      </c>
      <c r="AB2529">
        <v>13</v>
      </c>
      <c r="AC2529">
        <v>18.734199999999898</v>
      </c>
      <c r="AD2529">
        <v>-0.47146399999999999</v>
      </c>
      <c r="AE2529">
        <v>-148.98169999999999</v>
      </c>
      <c r="AF2529">
        <v>-62.918074078764199</v>
      </c>
      <c r="AG2529">
        <v>-0.47146399999999999</v>
      </c>
      <c r="AH2529">
        <v>136.33557345284601</v>
      </c>
      <c r="AI2529">
        <v>90.179901295518505</v>
      </c>
      <c r="AJ2529">
        <v>114.773049075522</v>
      </c>
      <c r="AK2529">
        <v>150.15423707907999</v>
      </c>
      <c r="AL2529">
        <v>91.197212585056704</v>
      </c>
      <c r="AM2529">
        <v>89.898940212306997</v>
      </c>
      <c r="AN2529">
        <v>0.99999995405966402</v>
      </c>
    </row>
    <row r="2530" spans="1:40" x14ac:dyDescent="0.25">
      <c r="A2530" t="str">
        <f>"20190312161007436"</f>
        <v>20190312161007436</v>
      </c>
      <c r="B2530" t="str">
        <f>"1552378207428578"</f>
        <v>1552378207428578</v>
      </c>
      <c r="C2530" t="s">
        <v>40</v>
      </c>
      <c r="D2530">
        <v>5.4414769999999999</v>
      </c>
      <c r="E2530">
        <v>0.32464409999999999</v>
      </c>
      <c r="F2530" t="s">
        <v>80</v>
      </c>
      <c r="G2530">
        <v>-473.18110000000001</v>
      </c>
      <c r="H2530">
        <v>0.42383209999999999</v>
      </c>
      <c r="I2530">
        <v>119.8177</v>
      </c>
      <c r="J2530">
        <v>-492.34550000000002</v>
      </c>
      <c r="K2530">
        <v>1.1114440000000001</v>
      </c>
      <c r="L2530">
        <v>267.82780000000002</v>
      </c>
      <c r="M2530">
        <v>-0.2978324</v>
      </c>
      <c r="N2530">
        <v>0</v>
      </c>
      <c r="O2530">
        <v>-0.95458140000000002</v>
      </c>
      <c r="P2530">
        <v>-0.29890149999999999</v>
      </c>
      <c r="Q2530">
        <v>-2.9793569999999998E-2</v>
      </c>
      <c r="R2530">
        <v>-0.95381899999999997</v>
      </c>
      <c r="S2530">
        <v>0.42428589999999999</v>
      </c>
      <c r="T2530">
        <v>-1.524997E-2</v>
      </c>
      <c r="U2530">
        <v>-3.2854309999999902</v>
      </c>
      <c r="V2530">
        <v>1.3409610000000001E-3</v>
      </c>
      <c r="W2530">
        <v>-2.1408690000000001E-2</v>
      </c>
      <c r="X2530">
        <v>0.99976989999999999</v>
      </c>
      <c r="Y2530">
        <v>-0.41765380000000002</v>
      </c>
      <c r="Z2530">
        <v>4.0944589999999999E-3</v>
      </c>
      <c r="AA2530">
        <v>0.90859699999999999</v>
      </c>
      <c r="AB2530">
        <v>13</v>
      </c>
      <c r="AC2530">
        <v>19.164400000000001</v>
      </c>
      <c r="AD2530">
        <v>-0.68761190000000005</v>
      </c>
      <c r="AE2530">
        <v>-148.01009999999999</v>
      </c>
      <c r="AF2530">
        <v>-62.377048930144703</v>
      </c>
      <c r="AG2530">
        <v>-0.68761190000000005</v>
      </c>
      <c r="AH2530">
        <v>135.58179120366401</v>
      </c>
      <c r="AI2530">
        <v>90.263979669874004</v>
      </c>
      <c r="AJ2530">
        <v>114.705717463225</v>
      </c>
      <c r="AK2530">
        <v>149.24406570900101</v>
      </c>
      <c r="AL2530">
        <v>91.226721312030904</v>
      </c>
      <c r="AM2530">
        <v>89.923150957316906</v>
      </c>
      <c r="AN2530">
        <v>0.999999991564964</v>
      </c>
    </row>
    <row r="2531" spans="1:40" x14ac:dyDescent="0.25">
      <c r="A2531" t="str">
        <f>"20190312161007458"</f>
        <v>20190312161007458</v>
      </c>
      <c r="B2531" t="str">
        <f>"1552378207448097"</f>
        <v>1552378207448097</v>
      </c>
      <c r="C2531" t="s">
        <v>40</v>
      </c>
      <c r="D2531">
        <v>5.4289399999999999</v>
      </c>
      <c r="E2531">
        <v>0.32543539999999999</v>
      </c>
      <c r="F2531" t="s">
        <v>43</v>
      </c>
      <c r="G2531">
        <v>-469.74829999999997</v>
      </c>
      <c r="H2531">
        <v>-0.05</v>
      </c>
      <c r="I2531">
        <v>97.772630000000007</v>
      </c>
      <c r="J2531">
        <v>-492.38010000000003</v>
      </c>
      <c r="K2531">
        <v>1.1114200000000001</v>
      </c>
      <c r="L2531">
        <v>267.69690000000003</v>
      </c>
      <c r="M2531">
        <v>-0.29305229999999999</v>
      </c>
      <c r="N2531">
        <v>0</v>
      </c>
      <c r="O2531">
        <v>-0.95605989999999996</v>
      </c>
      <c r="P2531">
        <v>-0.29391390000000001</v>
      </c>
      <c r="Q2531">
        <v>-3.0117410000000001E-2</v>
      </c>
      <c r="R2531">
        <v>-0.95535760000000003</v>
      </c>
      <c r="S2531">
        <v>0.43600460000000002</v>
      </c>
      <c r="T2531">
        <v>-2.2409680000000001E-2</v>
      </c>
      <c r="U2531">
        <v>-3.281158</v>
      </c>
      <c r="V2531">
        <v>1.123459E-3</v>
      </c>
      <c r="W2531">
        <v>-2.173866E-2</v>
      </c>
      <c r="X2531">
        <v>0.99976310000000002</v>
      </c>
      <c r="Y2531">
        <v>-0.41644609999999899</v>
      </c>
      <c r="Z2531">
        <v>6.040101E-3</v>
      </c>
      <c r="AA2531">
        <v>0.90914030000000001</v>
      </c>
      <c r="AB2531">
        <v>14</v>
      </c>
      <c r="AC2531">
        <v>22.631799999999998</v>
      </c>
      <c r="AD2531">
        <v>-1.1614199999999999</v>
      </c>
      <c r="AE2531">
        <v>-169.92427000000001</v>
      </c>
      <c r="AF2531">
        <v>-71.433269454882605</v>
      </c>
      <c r="AG2531">
        <v>-1.1614199999999999</v>
      </c>
      <c r="AH2531">
        <v>155.82376684628599</v>
      </c>
      <c r="AI2531">
        <v>90.388196500391103</v>
      </c>
      <c r="AJ2531">
        <v>114.627831791684</v>
      </c>
      <c r="AK2531">
        <v>171.42084819413299</v>
      </c>
      <c r="AL2531">
        <v>91.245631536712096</v>
      </c>
      <c r="AM2531">
        <v>89.935615315206505</v>
      </c>
      <c r="AN2531">
        <v>1.0000000438101599</v>
      </c>
    </row>
    <row r="2532" spans="1:40" x14ac:dyDescent="0.25">
      <c r="A2532" t="str">
        <f>"20190312161007481"</f>
        <v>20190312161007481</v>
      </c>
      <c r="B2532" t="str">
        <f>"1552378207478353"</f>
        <v>1552378207478353</v>
      </c>
      <c r="C2532" t="s">
        <v>40</v>
      </c>
      <c r="D2532">
        <v>5.4008190000000003</v>
      </c>
      <c r="E2532">
        <v>0.32633050000000002</v>
      </c>
      <c r="F2532" t="s">
        <v>78</v>
      </c>
      <c r="G2532">
        <v>-474.12470000000002</v>
      </c>
      <c r="H2532" s="1">
        <v>-5.4275189999999996E-6</v>
      </c>
      <c r="I2532">
        <v>133.93940000000001</v>
      </c>
      <c r="J2532">
        <v>-492.4135</v>
      </c>
      <c r="K2532">
        <v>1.1113959999999901</v>
      </c>
      <c r="L2532">
        <v>267.5686</v>
      </c>
      <c r="M2532">
        <v>-0.2884312</v>
      </c>
      <c r="N2532">
        <v>0</v>
      </c>
      <c r="O2532">
        <v>-0.95746410000000004</v>
      </c>
      <c r="P2532">
        <v>-0.28967179999999998</v>
      </c>
      <c r="Q2532">
        <v>-3.074292E-2</v>
      </c>
      <c r="R2532">
        <v>-0.95663229999999999</v>
      </c>
      <c r="S2532">
        <v>0.4472351</v>
      </c>
      <c r="T2532">
        <v>-2.7228470000000001E-2</v>
      </c>
      <c r="U2532">
        <v>-3.2768860000000002</v>
      </c>
      <c r="V2532">
        <v>1.5232240000000001E-3</v>
      </c>
      <c r="W2532">
        <v>-2.2368510000000001E-2</v>
      </c>
      <c r="X2532">
        <v>0.99974859999999999</v>
      </c>
      <c r="Y2532">
        <v>-0.41526819999999998</v>
      </c>
      <c r="Z2532">
        <v>7.3663779999999998E-3</v>
      </c>
      <c r="AA2532">
        <v>0.90966919999999996</v>
      </c>
      <c r="AB2532">
        <v>14</v>
      </c>
      <c r="AC2532">
        <v>18.288799999999899</v>
      </c>
      <c r="AD2532">
        <v>-1.1114014275189901</v>
      </c>
      <c r="AE2532">
        <v>-133.6292</v>
      </c>
      <c r="AF2532">
        <v>-56.051854239720299</v>
      </c>
      <c r="AG2532">
        <v>-1.1114014275189901</v>
      </c>
      <c r="AH2532">
        <v>122.66606197191901</v>
      </c>
      <c r="AI2532">
        <v>90.472152234064495</v>
      </c>
      <c r="AJ2532">
        <v>114.557875161624</v>
      </c>
      <c r="AK2532">
        <v>134.870338979861</v>
      </c>
      <c r="AL2532">
        <v>91.281728160174396</v>
      </c>
      <c r="AM2532">
        <v>89.912703814818101</v>
      </c>
      <c r="AN2532">
        <v>0.99999996682646597</v>
      </c>
    </row>
    <row r="2533" spans="1:40" x14ac:dyDescent="0.25">
      <c r="A2533" t="str">
        <f>"20190312161007506"</f>
        <v>20190312161007506</v>
      </c>
      <c r="B2533" t="str">
        <f>"1552378207497873"</f>
        <v>1552378207497873</v>
      </c>
      <c r="C2533" t="s">
        <v>40</v>
      </c>
      <c r="D2533">
        <v>5.3490489999999999</v>
      </c>
      <c r="E2533">
        <v>0.32629469999999999</v>
      </c>
      <c r="F2533" t="s">
        <v>41</v>
      </c>
      <c r="G2533">
        <v>-477.43900000000002</v>
      </c>
      <c r="H2533">
        <v>7.9985509999999996E-2</v>
      </c>
      <c r="I2533">
        <v>159.88200000000001</v>
      </c>
      <c r="J2533">
        <v>-492.45060000000001</v>
      </c>
      <c r="K2533">
        <v>1.111359</v>
      </c>
      <c r="L2533">
        <v>267.4239</v>
      </c>
      <c r="M2533">
        <v>-0.28331329999999999</v>
      </c>
      <c r="N2533">
        <v>0</v>
      </c>
      <c r="O2533">
        <v>-0.95899089999999998</v>
      </c>
      <c r="P2533">
        <v>-0.28454689999999999</v>
      </c>
      <c r="Q2533">
        <v>-3.0702610000000002E-2</v>
      </c>
      <c r="R2533">
        <v>-0.95817019999999997</v>
      </c>
      <c r="S2533">
        <v>0.45510859999999898</v>
      </c>
      <c r="T2533">
        <v>-3.1346800000000001E-2</v>
      </c>
      <c r="U2533">
        <v>-3.2728269999999999</v>
      </c>
      <c r="V2533">
        <v>1.5089109999999999E-3</v>
      </c>
      <c r="W2533">
        <v>-2.2335629999999999E-2</v>
      </c>
      <c r="X2533">
        <v>0.99974940000000001</v>
      </c>
      <c r="Y2533">
        <v>-0.41270519999999999</v>
      </c>
      <c r="Z2533">
        <v>8.5170179999999995E-3</v>
      </c>
      <c r="AA2533">
        <v>0.91082479999999999</v>
      </c>
      <c r="AB2533">
        <v>14</v>
      </c>
      <c r="AC2533">
        <v>15.0115999999999</v>
      </c>
      <c r="AD2533">
        <v>-1.03137349</v>
      </c>
      <c r="AE2533">
        <v>-107.5419</v>
      </c>
      <c r="AF2533">
        <v>-44.861561974413398</v>
      </c>
      <c r="AG2533">
        <v>-1.03137349</v>
      </c>
      <c r="AH2533">
        <v>98.873259644376404</v>
      </c>
      <c r="AI2533">
        <v>90.544247705140407</v>
      </c>
      <c r="AJ2533">
        <v>114.40512401231101</v>
      </c>
      <c r="AK2533">
        <v>108.579670964523</v>
      </c>
      <c r="AL2533">
        <v>91.279843748844399</v>
      </c>
      <c r="AM2533">
        <v>89.913524162840503</v>
      </c>
      <c r="AN2533">
        <v>1.0000000099901301</v>
      </c>
    </row>
    <row r="2534" spans="1:40" x14ac:dyDescent="0.25">
      <c r="A2534" t="str">
        <f>"20190312161007527"</f>
        <v>20190312161007527</v>
      </c>
      <c r="B2534" t="str">
        <f>"1552378207518370"</f>
        <v>1552378207518370</v>
      </c>
      <c r="C2534" t="s">
        <v>40</v>
      </c>
      <c r="D2534">
        <v>5.3848159999999998</v>
      </c>
      <c r="E2534">
        <v>0.32623449999999998</v>
      </c>
      <c r="F2534" t="s">
        <v>78</v>
      </c>
      <c r="G2534">
        <v>-475.89920000000001</v>
      </c>
      <c r="H2534">
        <v>7.9987530000000001E-2</v>
      </c>
      <c r="I2534">
        <v>152.916</v>
      </c>
      <c r="J2534">
        <v>-492.4819</v>
      </c>
      <c r="K2534">
        <v>1.1113280000000001</v>
      </c>
      <c r="L2534">
        <v>267.29910000000001</v>
      </c>
      <c r="M2534">
        <v>-0.2789893</v>
      </c>
      <c r="N2534">
        <v>0</v>
      </c>
      <c r="O2534">
        <v>-0.9602579</v>
      </c>
      <c r="P2534">
        <v>-0.28079419999999999</v>
      </c>
      <c r="Q2534">
        <v>-3.0766209999999999E-2</v>
      </c>
      <c r="R2534">
        <v>-0.95927479999999998</v>
      </c>
      <c r="S2534">
        <v>0.47271730000000001</v>
      </c>
      <c r="T2534">
        <v>-2.9456619999999999E-2</v>
      </c>
      <c r="U2534">
        <v>-3.270416</v>
      </c>
      <c r="V2534">
        <v>2.0994999999999998E-3</v>
      </c>
      <c r="W2534">
        <v>-2.2403659999999999E-2</v>
      </c>
      <c r="X2534">
        <v>0.99974680000000005</v>
      </c>
      <c r="Y2534">
        <v>-0.41350019999999998</v>
      </c>
      <c r="Z2534">
        <v>8.0217659999999996E-3</v>
      </c>
      <c r="AA2534">
        <v>0.91046859999999996</v>
      </c>
      <c r="AB2534">
        <v>14</v>
      </c>
      <c r="AC2534">
        <v>16.5826999999999</v>
      </c>
      <c r="AD2534">
        <v>-1.03134047</v>
      </c>
      <c r="AE2534">
        <v>-114.3831</v>
      </c>
      <c r="AF2534">
        <v>-47.833188991003901</v>
      </c>
      <c r="AG2534">
        <v>-1.03134047</v>
      </c>
      <c r="AH2534">
        <v>105.206171223816</v>
      </c>
      <c r="AI2534">
        <v>90.511292272400695</v>
      </c>
      <c r="AJ2534">
        <v>114.44946195071</v>
      </c>
      <c r="AK2534">
        <v>115.57428821233999</v>
      </c>
      <c r="AL2534">
        <v>91.283742571692102</v>
      </c>
      <c r="AM2534">
        <v>89.879677222019694</v>
      </c>
      <c r="AN2534">
        <v>0.99999999799594197</v>
      </c>
    </row>
    <row r="2535" spans="1:40" x14ac:dyDescent="0.25">
      <c r="A2535" t="str">
        <f>"20190312161007549"</f>
        <v>20190312161007549</v>
      </c>
      <c r="B2535" t="str">
        <f>"1552378207537890"</f>
        <v>1552378207537890</v>
      </c>
      <c r="C2535" t="s">
        <v>40</v>
      </c>
      <c r="D2535">
        <v>5.4218129999999896</v>
      </c>
      <c r="E2535">
        <v>0.32648159999999998</v>
      </c>
      <c r="F2535" t="s">
        <v>78</v>
      </c>
      <c r="G2535">
        <v>-472.01299999999998</v>
      </c>
      <c r="H2535">
        <v>6.0171379999999997E-2</v>
      </c>
      <c r="I2535">
        <v>129.6061</v>
      </c>
      <c r="J2535">
        <v>-492.5145</v>
      </c>
      <c r="K2535">
        <v>1.111297</v>
      </c>
      <c r="L2535">
        <v>267.1671</v>
      </c>
      <c r="M2535">
        <v>-0.27449400000000002</v>
      </c>
      <c r="N2535">
        <v>0</v>
      </c>
      <c r="O2535">
        <v>-0.96155279999999999</v>
      </c>
      <c r="P2535">
        <v>-0.27690900000000002</v>
      </c>
      <c r="Q2535">
        <v>-3.083868E-2</v>
      </c>
      <c r="R2535">
        <v>-0.96040139999999996</v>
      </c>
      <c r="S2535">
        <v>0.48593140000000001</v>
      </c>
      <c r="T2535">
        <v>-2.4954440000000001E-2</v>
      </c>
      <c r="U2535">
        <v>-3.2688290000000002</v>
      </c>
      <c r="V2535">
        <v>2.7291020000000002E-3</v>
      </c>
      <c r="W2535">
        <v>-2.2480940000000001E-2</v>
      </c>
      <c r="X2535">
        <v>0.99974350000000001</v>
      </c>
      <c r="Y2535">
        <v>-0.41290779999999999</v>
      </c>
      <c r="Z2535">
        <v>6.8129039999999998E-3</v>
      </c>
      <c r="AA2535">
        <v>0.91074730000000004</v>
      </c>
      <c r="AB2535">
        <v>14</v>
      </c>
      <c r="AC2535">
        <v>20.501499999999901</v>
      </c>
      <c r="AD2535">
        <v>-1.0511256200000001</v>
      </c>
      <c r="AE2535">
        <v>-137.56100000000001</v>
      </c>
      <c r="AF2535">
        <v>-57.471651460062503</v>
      </c>
      <c r="AG2535">
        <v>-1.0511256200000001</v>
      </c>
      <c r="AH2535">
        <v>126.641778102156</v>
      </c>
      <c r="AI2535">
        <v>90.433040040682499</v>
      </c>
      <c r="AJ2535">
        <v>114.409152009777</v>
      </c>
      <c r="AK2535">
        <v>139.076365883969</v>
      </c>
      <c r="AL2535">
        <v>91.288171562694899</v>
      </c>
      <c r="AM2535">
        <v>89.843594243864899</v>
      </c>
      <c r="AN2535">
        <v>0.99999995322662805</v>
      </c>
    </row>
    <row r="2536" spans="1:40" x14ac:dyDescent="0.25">
      <c r="A2536" t="str">
        <f>"20190312161007572"</f>
        <v>20190312161007572</v>
      </c>
      <c r="B2536" t="str">
        <f>"1552378207568145"</f>
        <v>1552378207568145</v>
      </c>
      <c r="C2536" t="s">
        <v>40</v>
      </c>
      <c r="D2536">
        <v>5.4642419999999996</v>
      </c>
      <c r="E2536">
        <v>0.3719826</v>
      </c>
      <c r="F2536" t="s">
        <v>78</v>
      </c>
      <c r="G2536">
        <v>-471.58330000000001</v>
      </c>
      <c r="H2536">
        <v>5.8340009999999998E-2</v>
      </c>
      <c r="I2536">
        <v>129.6079</v>
      </c>
      <c r="J2536">
        <v>-492.54730000000001</v>
      </c>
      <c r="K2536">
        <v>1.111272</v>
      </c>
      <c r="L2536">
        <v>267.03190000000001</v>
      </c>
      <c r="M2536">
        <v>-0.26996819999999999</v>
      </c>
      <c r="N2536">
        <v>0</v>
      </c>
      <c r="O2536">
        <v>-0.9628333</v>
      </c>
      <c r="P2536">
        <v>-0.27267669999999999</v>
      </c>
      <c r="Q2536">
        <v>-3.1053839999999999E-2</v>
      </c>
      <c r="R2536">
        <v>-0.96160469999999998</v>
      </c>
      <c r="S2536">
        <v>0.4969788</v>
      </c>
      <c r="T2536">
        <v>-2.5000930000000001E-2</v>
      </c>
      <c r="U2536">
        <v>-3.2661440000000002</v>
      </c>
      <c r="V2536">
        <v>3.0300399999999999E-3</v>
      </c>
      <c r="W2536">
        <v>-2.2702099999999999E-2</v>
      </c>
      <c r="X2536">
        <v>0.99973769999999995</v>
      </c>
      <c r="Y2536">
        <v>-0.41174470000000002</v>
      </c>
      <c r="Z2536">
        <v>6.8461420000000004E-3</v>
      </c>
      <c r="AA2536">
        <v>0.91127349999999996</v>
      </c>
      <c r="AB2536">
        <v>14</v>
      </c>
      <c r="AC2536">
        <v>20.963999999999999</v>
      </c>
      <c r="AD2536">
        <v>-1.05293199</v>
      </c>
      <c r="AE2536">
        <v>-137.42400000000001</v>
      </c>
      <c r="AF2536">
        <v>-57.283643231146598</v>
      </c>
      <c r="AG2536">
        <v>-1.05293199</v>
      </c>
      <c r="AH2536">
        <v>126.653906964662</v>
      </c>
      <c r="AI2536">
        <v>90.433991827488299</v>
      </c>
      <c r="AJ2536">
        <v>114.336518896553</v>
      </c>
      <c r="AK2536">
        <v>139.009843525637</v>
      </c>
      <c r="AL2536">
        <v>91.300846248966295</v>
      </c>
      <c r="AM2536">
        <v>89.826346478509507</v>
      </c>
      <c r="AN2536">
        <v>1.00000001764405</v>
      </c>
    </row>
    <row r="2537" spans="1:40" x14ac:dyDescent="0.25">
      <c r="A2537" t="str">
        <f>"20190312161007594"</f>
        <v>20190312161007594</v>
      </c>
      <c r="B2537" t="str">
        <f>"1552378207588641"</f>
        <v>1552378207588641</v>
      </c>
      <c r="C2537" t="s">
        <v>40</v>
      </c>
      <c r="D2537">
        <v>5.4830350000000001</v>
      </c>
      <c r="E2537">
        <v>0.3778031</v>
      </c>
      <c r="F2537" t="s">
        <v>59</v>
      </c>
      <c r="G2537">
        <v>-490.55669999999998</v>
      </c>
      <c r="H2537" s="1">
        <v>6.3683779999999997E-6</v>
      </c>
      <c r="I2537">
        <v>229.19130000000001</v>
      </c>
      <c r="J2537">
        <v>-492.58</v>
      </c>
      <c r="K2537">
        <v>1.111251</v>
      </c>
      <c r="L2537">
        <v>266.89510000000001</v>
      </c>
      <c r="M2537">
        <v>-0.26548129999999998</v>
      </c>
      <c r="N2537">
        <v>0</v>
      </c>
      <c r="O2537">
        <v>-0.96408000000000005</v>
      </c>
      <c r="P2537">
        <v>-0.26863609999999999</v>
      </c>
      <c r="Q2537">
        <v>-3.2039949999999998E-2</v>
      </c>
      <c r="R2537">
        <v>-0.96270869999999997</v>
      </c>
      <c r="S2537">
        <v>0.16644289999999901</v>
      </c>
      <c r="T2537">
        <v>-9.2916490000000004E-2</v>
      </c>
      <c r="U2537">
        <v>-3.1639710000000001</v>
      </c>
      <c r="V2537">
        <v>3.4988010000000002E-3</v>
      </c>
      <c r="W2537">
        <v>-2.369344E-2</v>
      </c>
      <c r="X2537">
        <v>0.99971310000000002</v>
      </c>
      <c r="Y2537">
        <v>-0.3157489</v>
      </c>
      <c r="Z2537">
        <v>2.7001190000000001E-2</v>
      </c>
      <c r="AA2537">
        <v>0.94845849999999998</v>
      </c>
      <c r="AB2537">
        <v>14</v>
      </c>
      <c r="AC2537">
        <v>2.0232999999999999</v>
      </c>
      <c r="AD2537">
        <v>-1.1112446316219999</v>
      </c>
      <c r="AE2537">
        <v>-37.703800000000001</v>
      </c>
      <c r="AF2537">
        <v>-11.9503411848697</v>
      </c>
      <c r="AG2537">
        <v>-1.1112446316219999</v>
      </c>
      <c r="AH2537">
        <v>35.782580939859798</v>
      </c>
      <c r="AI2537">
        <v>91.687225800712199</v>
      </c>
      <c r="AJ2537">
        <v>108.46782003427801</v>
      </c>
      <c r="AK2537">
        <v>37.741735754781097</v>
      </c>
      <c r="AL2537">
        <v>91.3576612273027</v>
      </c>
      <c r="AM2537">
        <v>89.799476757700106</v>
      </c>
      <c r="AN2537">
        <v>0.99999995150953902</v>
      </c>
    </row>
    <row r="2538" spans="1:40" x14ac:dyDescent="0.25">
      <c r="A2538" t="str">
        <f>"20190312161007615"</f>
        <v>20190312161007615</v>
      </c>
      <c r="B2538" t="str">
        <f>"1552378207608163"</f>
        <v>1552378207608163</v>
      </c>
      <c r="C2538" t="s">
        <v>40</v>
      </c>
      <c r="D2538">
        <v>5.3902359999999998</v>
      </c>
      <c r="E2538">
        <v>0.37999490000000002</v>
      </c>
      <c r="F2538" t="s">
        <v>41</v>
      </c>
      <c r="G2538">
        <v>-491.12029999999999</v>
      </c>
      <c r="H2538" s="1">
        <v>-1.71518E-6</v>
      </c>
      <c r="I2538">
        <v>232.89240000000001</v>
      </c>
      <c r="J2538">
        <v>-492.61169999999998</v>
      </c>
      <c r="K2538">
        <v>1.111221</v>
      </c>
      <c r="L2538">
        <v>266.76</v>
      </c>
      <c r="M2538">
        <v>-0.2611464</v>
      </c>
      <c r="N2538">
        <v>0</v>
      </c>
      <c r="O2538">
        <v>-0.96526319999999999</v>
      </c>
      <c r="P2538">
        <v>-0.26392959999999999</v>
      </c>
      <c r="Q2538">
        <v>-3.1803699999999997E-2</v>
      </c>
      <c r="R2538">
        <v>-0.96401760000000003</v>
      </c>
      <c r="S2538">
        <v>0.13525390000000001</v>
      </c>
      <c r="T2538">
        <v>-0.102963899999999</v>
      </c>
      <c r="U2538">
        <v>-3.1505429999999999</v>
      </c>
      <c r="V2538">
        <v>3.1028940000000001E-3</v>
      </c>
      <c r="W2538">
        <v>-2.346546E-2</v>
      </c>
      <c r="X2538">
        <v>0.99971989999999999</v>
      </c>
      <c r="Y2538">
        <v>-0.30229400000000001</v>
      </c>
      <c r="Z2538">
        <v>3.0182609999999999E-2</v>
      </c>
      <c r="AA2538">
        <v>0.95273669999999999</v>
      </c>
      <c r="AB2538">
        <v>14</v>
      </c>
      <c r="AC2538">
        <v>1.4913999999999901</v>
      </c>
      <c r="AD2538">
        <v>-1.1112227151799901</v>
      </c>
      <c r="AE2538">
        <v>-33.867599999999896</v>
      </c>
      <c r="AF2538">
        <v>-10.273314494531601</v>
      </c>
      <c r="AG2538">
        <v>-1.1112227151799901</v>
      </c>
      <c r="AH2538">
        <v>32.2681260034338</v>
      </c>
      <c r="AI2538">
        <v>91.879443251546903</v>
      </c>
      <c r="AJ2538">
        <v>107.660093800689</v>
      </c>
      <c r="AK2538">
        <v>33.882263241993897</v>
      </c>
      <c r="AL2538">
        <v>91.344595146592795</v>
      </c>
      <c r="AM2538">
        <v>89.822168029666202</v>
      </c>
      <c r="AN2538">
        <v>1.0000000671100899</v>
      </c>
    </row>
    <row r="2539" spans="1:40" x14ac:dyDescent="0.25">
      <c r="A2539" t="str">
        <f>"20190312161007639"</f>
        <v>20190312161007639</v>
      </c>
      <c r="B2539" t="str">
        <f>"1552378207628657"</f>
        <v>1552378207628657</v>
      </c>
      <c r="C2539" t="s">
        <v>40</v>
      </c>
      <c r="D2539">
        <v>5.4110899999999997</v>
      </c>
      <c r="E2539">
        <v>0.38147799999999998</v>
      </c>
      <c r="F2539" t="s">
        <v>41</v>
      </c>
      <c r="G2539">
        <v>-491.07150000000001</v>
      </c>
      <c r="H2539" s="1">
        <v>-6.1262629999999997E-7</v>
      </c>
      <c r="I2539">
        <v>230.3526</v>
      </c>
      <c r="J2539">
        <v>-492.64359999999999</v>
      </c>
      <c r="K2539">
        <v>1.1111869999999999</v>
      </c>
      <c r="L2539">
        <v>266.62169999999998</v>
      </c>
      <c r="M2539">
        <v>-0.25680829999999999</v>
      </c>
      <c r="N2539">
        <v>0</v>
      </c>
      <c r="O2539">
        <v>-0.96642660000000002</v>
      </c>
      <c r="P2539">
        <v>-0.25845040000000002</v>
      </c>
      <c r="Q2539">
        <v>-3.2303129999999999E-2</v>
      </c>
      <c r="R2539">
        <v>-0.96548440000000002</v>
      </c>
      <c r="S2539">
        <v>0.1330566</v>
      </c>
      <c r="T2539">
        <v>-9.599829E-2</v>
      </c>
      <c r="U2539">
        <v>-3.1452330000000002</v>
      </c>
      <c r="V2539">
        <v>1.9202240000000001E-3</v>
      </c>
      <c r="W2539">
        <v>-2.3976500000000001E-2</v>
      </c>
      <c r="X2539">
        <v>0.99971069999999995</v>
      </c>
      <c r="Y2539">
        <v>-0.29741630000000002</v>
      </c>
      <c r="Z2539">
        <v>2.8267259999999999E-2</v>
      </c>
      <c r="AA2539">
        <v>0.95432939999999999</v>
      </c>
      <c r="AB2539">
        <v>14</v>
      </c>
      <c r="AC2539">
        <v>1.5720999999999701</v>
      </c>
      <c r="AD2539">
        <v>-1.1111876126263001</v>
      </c>
      <c r="AE2539">
        <v>-36.269099999999902</v>
      </c>
      <c r="AF2539">
        <v>-10.823759006963501</v>
      </c>
      <c r="AG2539">
        <v>-1.1111876126263001</v>
      </c>
      <c r="AH2539">
        <v>34.616460599667903</v>
      </c>
      <c r="AI2539">
        <v>91.754835905310102</v>
      </c>
      <c r="AJ2539">
        <v>107.363245108702</v>
      </c>
      <c r="AK2539">
        <v>36.2861935369314</v>
      </c>
      <c r="AL2539">
        <v>91.373883883741996</v>
      </c>
      <c r="AM2539">
        <v>89.889947566214104</v>
      </c>
      <c r="AN2539">
        <v>1.0000000217534699</v>
      </c>
    </row>
    <row r="2540" spans="1:40" x14ac:dyDescent="0.25">
      <c r="A2540" t="str">
        <f>"20190312161007660"</f>
        <v>20190312161007660</v>
      </c>
      <c r="B2540" t="str">
        <f>"1552378207648177"</f>
        <v>1552378207648177</v>
      </c>
      <c r="C2540" t="s">
        <v>40</v>
      </c>
      <c r="D2540">
        <v>5.4474660000000004</v>
      </c>
      <c r="E2540">
        <v>0.38312479999999999</v>
      </c>
      <c r="F2540" t="s">
        <v>41</v>
      </c>
      <c r="G2540">
        <v>-491.0077</v>
      </c>
      <c r="H2540" s="1">
        <v>-3.4034409999999999E-7</v>
      </c>
      <c r="I2540">
        <v>229.75739999999999</v>
      </c>
      <c r="J2540">
        <v>-492.6739</v>
      </c>
      <c r="K2540">
        <v>1.1111519999999999</v>
      </c>
      <c r="L2540">
        <v>266.48849999999999</v>
      </c>
      <c r="M2540">
        <v>-0.2527276</v>
      </c>
      <c r="N2540">
        <v>0</v>
      </c>
      <c r="O2540">
        <v>-0.96750179999999997</v>
      </c>
      <c r="P2540">
        <v>-0.25282500000000002</v>
      </c>
      <c r="Q2540">
        <v>-3.3320259999999997E-2</v>
      </c>
      <c r="R2540">
        <v>-0.96693810000000002</v>
      </c>
      <c r="S2540">
        <v>0.13940429999999901</v>
      </c>
      <c r="T2540">
        <v>-9.4689850000000006E-2</v>
      </c>
      <c r="U2540">
        <v>-3.1413880000000001</v>
      </c>
      <c r="V2540">
        <v>3.298148E-4</v>
      </c>
      <c r="W2540">
        <v>-2.50066E-2</v>
      </c>
      <c r="X2540">
        <v>0.99968729999999995</v>
      </c>
      <c r="Y2540">
        <v>-0.29536109999999999</v>
      </c>
      <c r="Z2540">
        <v>2.7973339999999999E-2</v>
      </c>
      <c r="AA2540">
        <v>0.95497609999999999</v>
      </c>
      <c r="AB2540">
        <v>14</v>
      </c>
      <c r="AC2540">
        <v>1.6661999999999999</v>
      </c>
      <c r="AD2540">
        <v>-1.1111523403440999</v>
      </c>
      <c r="AE2540">
        <v>-36.731099999999998</v>
      </c>
      <c r="AF2540">
        <v>-10.885449227068399</v>
      </c>
      <c r="AG2540">
        <v>-1.1111523403440999</v>
      </c>
      <c r="AH2540">
        <v>35.085481103275001</v>
      </c>
      <c r="AI2540">
        <v>91.732526854416705</v>
      </c>
      <c r="AJ2540">
        <v>107.236769589096</v>
      </c>
      <c r="AK2540">
        <v>36.752124409982201</v>
      </c>
      <c r="AL2540">
        <v>91.4329219100796</v>
      </c>
      <c r="AM2540">
        <v>89.981097093685804</v>
      </c>
      <c r="AN2540">
        <v>1.0000000683013199</v>
      </c>
    </row>
    <row r="2541" spans="1:40" x14ac:dyDescent="0.25">
      <c r="A2541" t="str">
        <f>"20190312161007683"</f>
        <v>20190312161007683</v>
      </c>
      <c r="B2541" t="str">
        <f>"1552378207678433"</f>
        <v>1552378207678433</v>
      </c>
      <c r="C2541" t="s">
        <v>40</v>
      </c>
      <c r="D2541">
        <v>5.4103300000000001</v>
      </c>
      <c r="E2541">
        <v>0.38465539999999998</v>
      </c>
      <c r="F2541" t="s">
        <v>41</v>
      </c>
      <c r="G2541">
        <v>-491.11509999999998</v>
      </c>
      <c r="H2541" s="1">
        <v>-1.7397649999999999E-6</v>
      </c>
      <c r="I2541">
        <v>232.9529</v>
      </c>
      <c r="J2541">
        <v>-492.7047</v>
      </c>
      <c r="K2541">
        <v>1.111113</v>
      </c>
      <c r="L2541">
        <v>266.35059999999999</v>
      </c>
      <c r="M2541">
        <v>-0.2486051</v>
      </c>
      <c r="N2541">
        <v>0</v>
      </c>
      <c r="O2541">
        <v>-0.96856949999999997</v>
      </c>
      <c r="P2541">
        <v>-0.24785550000000001</v>
      </c>
      <c r="Q2541">
        <v>-3.3346059999999997E-2</v>
      </c>
      <c r="R2541">
        <v>-0.96822299999999994</v>
      </c>
      <c r="S2541">
        <v>0.145813</v>
      </c>
      <c r="T2541">
        <v>-0.1039438</v>
      </c>
      <c r="U2541">
        <v>-3.1371150000000001</v>
      </c>
      <c r="V2541">
        <v>-5.4896939999999998E-4</v>
      </c>
      <c r="W2541">
        <v>-2.504238E-2</v>
      </c>
      <c r="X2541">
        <v>0.99968619999999997</v>
      </c>
      <c r="Y2541">
        <v>-0.29329179999999999</v>
      </c>
      <c r="Z2541">
        <v>3.0808200000000001E-2</v>
      </c>
      <c r="AA2541">
        <v>0.9555264</v>
      </c>
      <c r="AB2541">
        <v>14</v>
      </c>
      <c r="AC2541">
        <v>1.5896000000000099</v>
      </c>
      <c r="AD2541">
        <v>-1.1111147397650001</v>
      </c>
      <c r="AE2541">
        <v>-33.397699999999901</v>
      </c>
      <c r="AF2541">
        <v>-9.8319565752112208</v>
      </c>
      <c r="AG2541">
        <v>-1.1111147397650001</v>
      </c>
      <c r="AH2541">
        <v>31.918658423812701</v>
      </c>
      <c r="AI2541">
        <v>91.905429185571407</v>
      </c>
      <c r="AJ2541">
        <v>107.120487880657</v>
      </c>
      <c r="AK2541">
        <v>33.417101933557802</v>
      </c>
      <c r="AL2541">
        <v>91.434972750113403</v>
      </c>
      <c r="AM2541">
        <v>90.031463499786298</v>
      </c>
      <c r="AN2541">
        <v>0.99999996031695204</v>
      </c>
    </row>
    <row r="2542" spans="1:40" x14ac:dyDescent="0.25">
      <c r="A2542" t="str">
        <f>"20190312161007706"</f>
        <v>20190312161007706</v>
      </c>
      <c r="B2542" t="str">
        <f>"1552378207697953"</f>
        <v>1552378207697953</v>
      </c>
      <c r="C2542" t="s">
        <v>40</v>
      </c>
      <c r="D2542">
        <v>5.4320690000000003</v>
      </c>
      <c r="E2542">
        <v>0.38563389999999997</v>
      </c>
      <c r="F2542" t="s">
        <v>41</v>
      </c>
      <c r="G2542">
        <v>-491.048</v>
      </c>
      <c r="H2542" s="1">
        <v>-1.136184E-6</v>
      </c>
      <c r="I2542">
        <v>231.58760000000001</v>
      </c>
      <c r="J2542">
        <v>-492.73680000000002</v>
      </c>
      <c r="K2542">
        <v>1.1110660000000001</v>
      </c>
      <c r="L2542">
        <v>266.2047</v>
      </c>
      <c r="M2542">
        <v>-0.244368</v>
      </c>
      <c r="N2542">
        <v>0</v>
      </c>
      <c r="O2542">
        <v>-0.96964709999999998</v>
      </c>
      <c r="P2542">
        <v>-0.2430204</v>
      </c>
      <c r="Q2542">
        <v>-3.3470149999999997E-2</v>
      </c>
      <c r="R2542">
        <v>-0.96944379999999997</v>
      </c>
      <c r="S2542">
        <v>0.1493225</v>
      </c>
      <c r="T2542">
        <v>-0.1001481</v>
      </c>
      <c r="U2542">
        <v>-3.1333009999999999</v>
      </c>
      <c r="V2542">
        <v>-1.168182E-3</v>
      </c>
      <c r="W2542">
        <v>-2.5175920000000001E-2</v>
      </c>
      <c r="X2542">
        <v>0.99968239999999997</v>
      </c>
      <c r="Y2542">
        <v>-0.29023409999999999</v>
      </c>
      <c r="Z2542">
        <v>2.9786179999999999E-2</v>
      </c>
      <c r="AA2542">
        <v>0.95649200000000001</v>
      </c>
      <c r="AB2542">
        <v>14</v>
      </c>
      <c r="AC2542">
        <v>1.6888000000000101</v>
      </c>
      <c r="AD2542">
        <v>-1.1110671361840001</v>
      </c>
      <c r="AE2542">
        <v>-34.617099999999901</v>
      </c>
      <c r="AF2542">
        <v>-10.086832524632699</v>
      </c>
      <c r="AG2542">
        <v>-1.1110671361840001</v>
      </c>
      <c r="AH2542">
        <v>33.120783926389599</v>
      </c>
      <c r="AI2542">
        <v>91.838032299313198</v>
      </c>
      <c r="AJ2542">
        <v>106.937952346695</v>
      </c>
      <c r="AK2542">
        <v>34.640510799635798</v>
      </c>
      <c r="AL2542">
        <v>91.442626317937197</v>
      </c>
      <c r="AM2542">
        <v>90.066953132152406</v>
      </c>
      <c r="AN2542">
        <v>1.00000004623339</v>
      </c>
    </row>
    <row r="2543" spans="1:40" x14ac:dyDescent="0.25">
      <c r="A2543" t="str">
        <f>"20190312161007728"</f>
        <v>20190312161007728</v>
      </c>
      <c r="B2543" t="str">
        <f>"1552378207718450"</f>
        <v>1552378207718450</v>
      </c>
      <c r="C2543" t="s">
        <v>40</v>
      </c>
      <c r="D2543">
        <v>5.439209</v>
      </c>
      <c r="E2543">
        <v>0.38669330000000002</v>
      </c>
      <c r="F2543" t="s">
        <v>41</v>
      </c>
      <c r="G2543">
        <v>-490.98</v>
      </c>
      <c r="H2543" s="1">
        <v>-9.7423840000000009E-7</v>
      </c>
      <c r="I2543">
        <v>231.25219999999999</v>
      </c>
      <c r="J2543">
        <v>-492.76580000000001</v>
      </c>
      <c r="K2543">
        <v>1.111024</v>
      </c>
      <c r="L2543">
        <v>266.07040000000001</v>
      </c>
      <c r="M2543">
        <v>-0.24058060000000001</v>
      </c>
      <c r="N2543">
        <v>0</v>
      </c>
      <c r="O2543">
        <v>-0.97059390000000001</v>
      </c>
      <c r="P2543">
        <v>-0.2388739</v>
      </c>
      <c r="Q2543">
        <v>-3.431439E-2</v>
      </c>
      <c r="R2543">
        <v>-0.97044430000000004</v>
      </c>
      <c r="S2543">
        <v>0.15734860000000001</v>
      </c>
      <c r="T2543">
        <v>-9.9514839999999993E-2</v>
      </c>
      <c r="U2543">
        <v>-3.130585</v>
      </c>
      <c r="V2543">
        <v>-1.5313830000000001E-3</v>
      </c>
      <c r="W2543">
        <v>-2.6027970000000001E-2</v>
      </c>
      <c r="X2543">
        <v>0.99965999999999999</v>
      </c>
      <c r="Y2543">
        <v>-0.28898400000000002</v>
      </c>
      <c r="Z2543">
        <v>2.9672859999999999E-2</v>
      </c>
      <c r="AA2543">
        <v>0.956874</v>
      </c>
      <c r="AB2543">
        <v>14</v>
      </c>
      <c r="AC2543">
        <v>1.7857999999999901</v>
      </c>
      <c r="AD2543">
        <v>-1.1110249742384</v>
      </c>
      <c r="AE2543">
        <v>-34.818199999999997</v>
      </c>
      <c r="AF2543">
        <v>-10.099959250473001</v>
      </c>
      <c r="AG2543">
        <v>-1.1110249742384</v>
      </c>
      <c r="AH2543">
        <v>33.331996018791898</v>
      </c>
      <c r="AI2543">
        <v>91.827103848369006</v>
      </c>
      <c r="AJ2543">
        <v>106.857382341925</v>
      </c>
      <c r="AK2543">
        <v>34.846312745416199</v>
      </c>
      <c r="AL2543">
        <v>91.4914613250196</v>
      </c>
      <c r="AM2543">
        <v>90.087771556411894</v>
      </c>
      <c r="AN2543">
        <v>0.99999995797810504</v>
      </c>
    </row>
    <row r="2544" spans="1:40" x14ac:dyDescent="0.25">
      <c r="A2544" t="str">
        <f>"20190312161007750"</f>
        <v>20190312161007750</v>
      </c>
      <c r="B2544" t="str">
        <f>"1552378207737970"</f>
        <v>1552378207737970</v>
      </c>
      <c r="C2544" t="s">
        <v>40</v>
      </c>
      <c r="D2544">
        <v>5.44693</v>
      </c>
      <c r="E2544">
        <v>0.38768459999999899</v>
      </c>
      <c r="F2544" t="s">
        <v>41</v>
      </c>
      <c r="G2544">
        <v>-490.96769999999998</v>
      </c>
      <c r="H2544" s="1">
        <v>-1.052813E-6</v>
      </c>
      <c r="I2544">
        <v>231.44300000000001</v>
      </c>
      <c r="J2544">
        <v>-492.79610000000002</v>
      </c>
      <c r="K2544">
        <v>1.1109800000000001</v>
      </c>
      <c r="L2544">
        <v>265.92869999999999</v>
      </c>
      <c r="M2544">
        <v>-0.2366819</v>
      </c>
      <c r="N2544">
        <v>0</v>
      </c>
      <c r="O2544">
        <v>-0.97155199999999997</v>
      </c>
      <c r="P2544">
        <v>-0.2354068</v>
      </c>
      <c r="Q2544">
        <v>-3.4862549999999999E-2</v>
      </c>
      <c r="R2544">
        <v>-0.97127180000000002</v>
      </c>
      <c r="S2544">
        <v>0.16241459999999999</v>
      </c>
      <c r="T2544">
        <v>-0.10035529999999999</v>
      </c>
      <c r="U2544">
        <v>-3.127777</v>
      </c>
      <c r="V2544">
        <v>-1.08377E-3</v>
      </c>
      <c r="W2544">
        <v>-2.6580699999999999E-2</v>
      </c>
      <c r="X2544">
        <v>0.99964609999999998</v>
      </c>
      <c r="Y2544">
        <v>-0.28672809999999999</v>
      </c>
      <c r="Z2544">
        <v>3.0005730000000001E-2</v>
      </c>
      <c r="AA2544">
        <v>0.957542</v>
      </c>
      <c r="AB2544">
        <v>14</v>
      </c>
      <c r="AC2544">
        <v>1.82840000000004</v>
      </c>
      <c r="AD2544">
        <v>-1.11098105281299</v>
      </c>
      <c r="AE2544">
        <v>-34.485700000000001</v>
      </c>
      <c r="AF2544">
        <v>-9.9285910202725791</v>
      </c>
      <c r="AG2544">
        <v>-1.11098105281299</v>
      </c>
      <c r="AH2544">
        <v>33.038839273550799</v>
      </c>
      <c r="AI2544">
        <v>91.844505101113597</v>
      </c>
      <c r="AJ2544">
        <v>106.72619083033599</v>
      </c>
      <c r="AK2544">
        <v>34.516316418341503</v>
      </c>
      <c r="AL2544">
        <v>91.523141295390502</v>
      </c>
      <c r="AM2544">
        <v>90.062117405984097</v>
      </c>
      <c r="AN2544">
        <v>1.00000001670755</v>
      </c>
    </row>
    <row r="2545" spans="1:40" x14ac:dyDescent="0.25">
      <c r="A2545" t="str">
        <f>"20190312161007773"</f>
        <v>20190312161007773</v>
      </c>
      <c r="B2545" t="str">
        <f>"1552378207768226"</f>
        <v>1552378207768226</v>
      </c>
      <c r="C2545" t="s">
        <v>40</v>
      </c>
      <c r="D2545">
        <v>5.4334290000000003</v>
      </c>
      <c r="E2545">
        <v>0.38894970000000001</v>
      </c>
      <c r="F2545" t="s">
        <v>41</v>
      </c>
      <c r="G2545">
        <v>-491.0224</v>
      </c>
      <c r="H2545" s="1">
        <v>-1.5400829999999901E-6</v>
      </c>
      <c r="I2545">
        <v>232.54499999999999</v>
      </c>
      <c r="J2545">
        <v>-492.82560000000001</v>
      </c>
      <c r="K2545">
        <v>1.110954</v>
      </c>
      <c r="L2545">
        <v>265.7885</v>
      </c>
      <c r="M2545">
        <v>-0.23291780000000001</v>
      </c>
      <c r="N2545">
        <v>0</v>
      </c>
      <c r="O2545">
        <v>-0.97246100000000002</v>
      </c>
      <c r="P2545">
        <v>-0.2315663</v>
      </c>
      <c r="Q2545">
        <v>-3.4797939999999999E-2</v>
      </c>
      <c r="R2545">
        <v>-0.97219650000000002</v>
      </c>
      <c r="S2545">
        <v>0.1660461</v>
      </c>
      <c r="T2545">
        <v>-0.10400529999999999</v>
      </c>
      <c r="U2545">
        <v>-3.1252439999999999</v>
      </c>
      <c r="V2545">
        <v>-1.1648050000000001E-3</v>
      </c>
      <c r="W2545">
        <v>-2.652152E-2</v>
      </c>
      <c r="X2545">
        <v>0.99964759999999997</v>
      </c>
      <c r="Y2545">
        <v>-0.2841651</v>
      </c>
      <c r="Z2545">
        <v>3.11782E-2</v>
      </c>
      <c r="AA2545">
        <v>0.95826829999999996</v>
      </c>
      <c r="AB2545">
        <v>15</v>
      </c>
      <c r="AC2545">
        <v>1.8031999999999999</v>
      </c>
      <c r="AD2545">
        <v>-1.110955540083</v>
      </c>
      <c r="AE2545">
        <v>-33.243499999999997</v>
      </c>
      <c r="AF2545">
        <v>-9.4863084028477793</v>
      </c>
      <c r="AG2545">
        <v>-1.110955540083</v>
      </c>
      <c r="AH2545">
        <v>31.873616799614901</v>
      </c>
      <c r="AI2545">
        <v>91.913359008047493</v>
      </c>
      <c r="AJ2545">
        <v>106.57419423533</v>
      </c>
      <c r="AK2545">
        <v>33.273889421206498</v>
      </c>
      <c r="AL2545">
        <v>91.519749306092805</v>
      </c>
      <c r="AM2545">
        <v>90.066761907147594</v>
      </c>
      <c r="AN2545">
        <v>1.0000000359897701</v>
      </c>
    </row>
    <row r="2546" spans="1:40" x14ac:dyDescent="0.25">
      <c r="A2546" t="str">
        <f>"20190312161007794"</f>
        <v>20190312161007794</v>
      </c>
      <c r="B2546" t="str">
        <f>"1552378207788721"</f>
        <v>1552378207788721</v>
      </c>
      <c r="C2546" t="s">
        <v>40</v>
      </c>
      <c r="D2546">
        <v>5.4315040000000003</v>
      </c>
      <c r="E2546">
        <v>0.38985690000000001</v>
      </c>
      <c r="F2546" t="s">
        <v>41</v>
      </c>
      <c r="G2546">
        <v>-491.01339999999999</v>
      </c>
      <c r="H2546" s="1">
        <v>-1.407803E-6</v>
      </c>
      <c r="I2546">
        <v>232.2422</v>
      </c>
      <c r="J2546">
        <v>-492.8537</v>
      </c>
      <c r="K2546">
        <v>1.11093</v>
      </c>
      <c r="L2546">
        <v>265.65280000000001</v>
      </c>
      <c r="M2546">
        <v>-0.22937920000000001</v>
      </c>
      <c r="N2546">
        <v>0</v>
      </c>
      <c r="O2546">
        <v>-0.97330220000000001</v>
      </c>
      <c r="P2546">
        <v>-0.22856760000000001</v>
      </c>
      <c r="Q2546">
        <v>-3.5261149999999998E-2</v>
      </c>
      <c r="R2546">
        <v>-0.97288960000000002</v>
      </c>
      <c r="S2546">
        <v>0.16867070000000001</v>
      </c>
      <c r="T2546">
        <v>-0.1034011</v>
      </c>
      <c r="U2546">
        <v>-3.1222840000000001</v>
      </c>
      <c r="V2546">
        <v>-6.0757110000000003E-4</v>
      </c>
      <c r="W2546">
        <v>-2.698741E-2</v>
      </c>
      <c r="X2546">
        <v>0.99963559999999996</v>
      </c>
      <c r="Y2546">
        <v>-0.28152830000000001</v>
      </c>
      <c r="Z2546">
        <v>3.108052E-2</v>
      </c>
      <c r="AA2546">
        <v>0.9590495</v>
      </c>
      <c r="AB2546">
        <v>15</v>
      </c>
      <c r="AC2546">
        <v>1.84030000000001</v>
      </c>
      <c r="AD2546">
        <v>-1.1109314078029999</v>
      </c>
      <c r="AE2546">
        <v>-33.410600000000002</v>
      </c>
      <c r="AF2546">
        <v>-9.4447755193437306</v>
      </c>
      <c r="AG2546">
        <v>-1.1109314078029999</v>
      </c>
      <c r="AH2546">
        <v>32.062234012097299</v>
      </c>
      <c r="AI2546">
        <v>91.903646865858903</v>
      </c>
      <c r="AJ2546">
        <v>106.413726002996</v>
      </c>
      <c r="AK2546">
        <v>33.442858775082698</v>
      </c>
      <c r="AL2546">
        <v>91.546452433333997</v>
      </c>
      <c r="AM2546">
        <v>90.034823945343206</v>
      </c>
      <c r="AN2546">
        <v>1.00000001111425</v>
      </c>
    </row>
    <row r="2547" spans="1:40" x14ac:dyDescent="0.25">
      <c r="A2547" t="str">
        <f>"20190312161007817"</f>
        <v>20190312161007817</v>
      </c>
      <c r="B2547" t="str">
        <f>"1552378207808242"</f>
        <v>1552378207808242</v>
      </c>
      <c r="C2547" t="s">
        <v>40</v>
      </c>
      <c r="D2547">
        <v>5.4546289999999997</v>
      </c>
      <c r="E2547">
        <v>0.39074170000000003</v>
      </c>
      <c r="F2547" t="s">
        <v>41</v>
      </c>
      <c r="G2547">
        <v>-491.05930000000001</v>
      </c>
      <c r="H2547" s="1">
        <v>-1.7073130000000001E-6</v>
      </c>
      <c r="I2547">
        <v>232.9119</v>
      </c>
      <c r="J2547">
        <v>-492.88350000000003</v>
      </c>
      <c r="K2547">
        <v>1.1109009999999999</v>
      </c>
      <c r="L2547">
        <v>265.50650000000002</v>
      </c>
      <c r="M2547">
        <v>-0.22567419999999999</v>
      </c>
      <c r="N2547">
        <v>0</v>
      </c>
      <c r="O2547">
        <v>-0.97416780000000003</v>
      </c>
      <c r="P2547">
        <v>-0.2254418</v>
      </c>
      <c r="Q2547">
        <v>-3.6233399999999999E-2</v>
      </c>
      <c r="R2547">
        <v>-0.97358259999999996</v>
      </c>
      <c r="S2547">
        <v>0.17099</v>
      </c>
      <c r="T2547">
        <v>-0.1058624</v>
      </c>
      <c r="U2547">
        <v>-3.1199340000000002</v>
      </c>
      <c r="V2547" s="1">
        <v>-5.4708799999999999E-6</v>
      </c>
      <c r="W2547">
        <v>-2.796264E-2</v>
      </c>
      <c r="X2547">
        <v>0.99960899999999997</v>
      </c>
      <c r="Y2547">
        <v>-0.27862429999999999</v>
      </c>
      <c r="Z2547">
        <v>3.1901230000000003E-2</v>
      </c>
      <c r="AA2547">
        <v>0.95987020000000001</v>
      </c>
      <c r="AB2547">
        <v>15</v>
      </c>
      <c r="AC2547">
        <v>1.82420000000001</v>
      </c>
      <c r="AD2547">
        <v>-1.110902707313</v>
      </c>
      <c r="AE2547">
        <v>-32.5946</v>
      </c>
      <c r="AF2547">
        <v>-9.1225850598946892</v>
      </c>
      <c r="AG2547">
        <v>-1.110902707313</v>
      </c>
      <c r="AH2547">
        <v>31.305752947115501</v>
      </c>
      <c r="AI2547">
        <v>91.951230543247206</v>
      </c>
      <c r="AJ2547">
        <v>106.246272238625</v>
      </c>
      <c r="AK2547">
        <v>32.626765555077</v>
      </c>
      <c r="AL2547">
        <v>91.602350067912695</v>
      </c>
      <c r="AM2547">
        <v>90.000313580944294</v>
      </c>
      <c r="AN2547">
        <v>1.0000000310733399</v>
      </c>
    </row>
    <row r="2548" spans="1:40" x14ac:dyDescent="0.25">
      <c r="A2548" t="str">
        <f>"20190312161007840"</f>
        <v>20190312161007840</v>
      </c>
      <c r="B2548" t="str">
        <f>"1552378207827762"</f>
        <v>1552378207827762</v>
      </c>
      <c r="C2548" t="s">
        <v>40</v>
      </c>
      <c r="D2548">
        <v>5.3974929999999999</v>
      </c>
      <c r="E2548">
        <v>0.39156069999999998</v>
      </c>
      <c r="F2548" t="s">
        <v>41</v>
      </c>
      <c r="G2548">
        <v>-491.10039999999998</v>
      </c>
      <c r="H2548" s="1">
        <v>-2.0078489999999999E-6</v>
      </c>
      <c r="I2548">
        <v>233.58699999999999</v>
      </c>
      <c r="J2548">
        <v>-492.9135</v>
      </c>
      <c r="K2548">
        <v>1.110862</v>
      </c>
      <c r="L2548">
        <v>265.35730000000001</v>
      </c>
      <c r="M2548">
        <v>-0.22202269999999999</v>
      </c>
      <c r="N2548">
        <v>0</v>
      </c>
      <c r="O2548">
        <v>-0.97500640000000005</v>
      </c>
      <c r="P2548">
        <v>-0.2225154</v>
      </c>
      <c r="Q2548">
        <v>-3.5603379999999997E-2</v>
      </c>
      <c r="R2548">
        <v>-0.97427889999999995</v>
      </c>
      <c r="S2548">
        <v>0.17416379999999901</v>
      </c>
      <c r="T2548">
        <v>-0.108507199999999</v>
      </c>
      <c r="U2548">
        <v>-3.117737</v>
      </c>
      <c r="V2548">
        <v>7.2620520000000002E-4</v>
      </c>
      <c r="W2548">
        <v>-2.7335180000000001E-2</v>
      </c>
      <c r="X2548">
        <v>0.99962600000000001</v>
      </c>
      <c r="Y2548">
        <v>-0.27603460000000002</v>
      </c>
      <c r="Z2548">
        <v>3.2776140000000002E-2</v>
      </c>
      <c r="AA2548">
        <v>0.96058869999999996</v>
      </c>
      <c r="AB2548">
        <v>15</v>
      </c>
      <c r="AC2548">
        <v>1.8131000000000199</v>
      </c>
      <c r="AD2548">
        <v>-1.110864007849</v>
      </c>
      <c r="AE2548">
        <v>-31.770299999999899</v>
      </c>
      <c r="AF2548">
        <v>-8.8110764579072001</v>
      </c>
      <c r="AG2548">
        <v>-1.110864007849</v>
      </c>
      <c r="AH2548">
        <v>30.5375292342516</v>
      </c>
      <c r="AI2548">
        <v>92.001742947999006</v>
      </c>
      <c r="AJ2548">
        <v>106.09458153316599</v>
      </c>
      <c r="AK2548">
        <v>31.802669367897298</v>
      </c>
      <c r="AL2548">
        <v>91.566385652451999</v>
      </c>
      <c r="AM2548">
        <v>89.958375946903502</v>
      </c>
      <c r="AN2548">
        <v>0.99999993965780998</v>
      </c>
    </row>
    <row r="2549" spans="1:40" x14ac:dyDescent="0.25">
      <c r="A2549" t="str">
        <f>"20190312161007860"</f>
        <v>20190312161007860</v>
      </c>
      <c r="B2549" t="str">
        <f>"1552378207848258"</f>
        <v>1552378207848258</v>
      </c>
      <c r="C2549" t="s">
        <v>40</v>
      </c>
      <c r="D2549">
        <v>5.425789</v>
      </c>
      <c r="E2549">
        <v>0.3922158</v>
      </c>
      <c r="F2549" t="s">
        <v>41</v>
      </c>
      <c r="G2549">
        <v>-491.05560000000003</v>
      </c>
      <c r="H2549" s="1">
        <v>-1.630995E-6</v>
      </c>
      <c r="I2549">
        <v>232.7363</v>
      </c>
      <c r="J2549">
        <v>-492.93979999999999</v>
      </c>
      <c r="K2549">
        <v>1.1108169999999999</v>
      </c>
      <c r="L2549">
        <v>265.22480000000002</v>
      </c>
      <c r="M2549">
        <v>-0.21889749999999999</v>
      </c>
      <c r="N2549">
        <v>0</v>
      </c>
      <c r="O2549">
        <v>-0.97571300000000005</v>
      </c>
      <c r="P2549">
        <v>-0.2190394</v>
      </c>
      <c r="Q2549">
        <v>-3.5090410000000002E-2</v>
      </c>
      <c r="R2549">
        <v>-0.97508539999999999</v>
      </c>
      <c r="S2549">
        <v>0.1774597</v>
      </c>
      <c r="T2549">
        <v>-0.1061077</v>
      </c>
      <c r="U2549">
        <v>-3.1159059999999998</v>
      </c>
      <c r="V2549">
        <v>3.5564320000000001E-4</v>
      </c>
      <c r="W2549">
        <v>-2.682505E-2</v>
      </c>
      <c r="X2549">
        <v>0.99964010000000003</v>
      </c>
      <c r="Y2549">
        <v>-0.27399990000000002</v>
      </c>
      <c r="Z2549">
        <v>3.2115999999999999E-2</v>
      </c>
      <c r="AA2549">
        <v>0.96119330000000003</v>
      </c>
      <c r="AB2549">
        <v>15</v>
      </c>
      <c r="AC2549">
        <v>1.8841999999999599</v>
      </c>
      <c r="AD2549">
        <v>-1.1108186309949999</v>
      </c>
      <c r="AE2549">
        <v>-32.488500000000002</v>
      </c>
      <c r="AF2549">
        <v>-8.9399781988568296</v>
      </c>
      <c r="AG2549">
        <v>-1.1108186309949999</v>
      </c>
      <c r="AH2549">
        <v>31.251657586594298</v>
      </c>
      <c r="AI2549">
        <v>91.957238300080604</v>
      </c>
      <c r="AJ2549">
        <v>105.963925921561</v>
      </c>
      <c r="AK2549">
        <v>32.524194534788101</v>
      </c>
      <c r="AL2549">
        <v>91.537146508433096</v>
      </c>
      <c r="AM2549">
        <v>89.979615810217297</v>
      </c>
      <c r="AN2549">
        <v>1.0000000196587899</v>
      </c>
    </row>
    <row r="2550" spans="1:40" x14ac:dyDescent="0.25">
      <c r="A2550" t="str">
        <f>"20190312161007884"</f>
        <v>20190312161007884</v>
      </c>
      <c r="B2550" t="str">
        <f>"1552378207878514"</f>
        <v>1552378207878514</v>
      </c>
      <c r="C2550" t="s">
        <v>40</v>
      </c>
      <c r="D2550">
        <v>5.1296119999999998</v>
      </c>
      <c r="E2550">
        <v>0.36927559999999998</v>
      </c>
      <c r="F2550" t="s">
        <v>41</v>
      </c>
      <c r="G2550">
        <v>-491.0129</v>
      </c>
      <c r="H2550" s="1">
        <v>-1.4848219999999999E-6</v>
      </c>
      <c r="I2550">
        <v>232.422</v>
      </c>
      <c r="J2550">
        <v>-492.96780000000001</v>
      </c>
      <c r="K2550">
        <v>1.1107629999999999</v>
      </c>
      <c r="L2550">
        <v>265.08240000000001</v>
      </c>
      <c r="M2550">
        <v>-0.2156583</v>
      </c>
      <c r="N2550">
        <v>0</v>
      </c>
      <c r="O2550">
        <v>-0.97643400000000002</v>
      </c>
      <c r="P2550">
        <v>-0.215587</v>
      </c>
      <c r="Q2550">
        <v>-3.5095000000000001E-2</v>
      </c>
      <c r="R2550">
        <v>-0.975854</v>
      </c>
      <c r="S2550">
        <v>0.18292240000000001</v>
      </c>
      <c r="T2550">
        <v>-0.105449399999999</v>
      </c>
      <c r="U2550">
        <v>-3.113953</v>
      </c>
      <c r="V2550">
        <v>1.3155090000000001E-4</v>
      </c>
      <c r="W2550">
        <v>-2.6827529999999999E-2</v>
      </c>
      <c r="X2550">
        <v>0.99963999999999997</v>
      </c>
      <c r="Y2550">
        <v>-0.27252320000000002</v>
      </c>
      <c r="Z2550">
        <v>3.1979029999999999E-2</v>
      </c>
      <c r="AA2550">
        <v>0.96161759999999996</v>
      </c>
      <c r="AB2550">
        <v>15</v>
      </c>
      <c r="AC2550">
        <v>1.9549000000000001</v>
      </c>
      <c r="AD2550">
        <v>-1.110764484822</v>
      </c>
      <c r="AE2550">
        <v>-32.660400000000003</v>
      </c>
      <c r="AF2550">
        <v>-8.9423160120653904</v>
      </c>
      <c r="AG2550">
        <v>-1.110764484822</v>
      </c>
      <c r="AH2550">
        <v>31.433978596516202</v>
      </c>
      <c r="AI2550">
        <v>91.946613100875695</v>
      </c>
      <c r="AJ2550">
        <v>105.87995508629101</v>
      </c>
      <c r="AK2550">
        <v>32.700058467938803</v>
      </c>
      <c r="AL2550">
        <v>91.537288788469198</v>
      </c>
      <c r="AM2550">
        <v>89.992459974273004</v>
      </c>
      <c r="AN2550">
        <v>0.99999993163576695</v>
      </c>
    </row>
    <row r="2551" spans="1:40" x14ac:dyDescent="0.25">
      <c r="A2551" t="str">
        <f>"20190312161007905"</f>
        <v>20190312161007905</v>
      </c>
      <c r="B2551" t="str">
        <f>"1552378207899010"</f>
        <v>1552378207899010</v>
      </c>
      <c r="C2551" t="s">
        <v>40</v>
      </c>
      <c r="D2551">
        <v>5.3611170000000001</v>
      </c>
      <c r="E2551">
        <v>0.36705759999999998</v>
      </c>
      <c r="F2551" t="s">
        <v>41</v>
      </c>
      <c r="G2551">
        <v>-483.5822</v>
      </c>
      <c r="H2551" s="1">
        <v>-3.5029680000000001E-6</v>
      </c>
      <c r="I2551">
        <v>184.9238</v>
      </c>
      <c r="J2551">
        <v>-492.9966</v>
      </c>
      <c r="K2551">
        <v>1.110698</v>
      </c>
      <c r="L2551">
        <v>264.93329999999997</v>
      </c>
      <c r="M2551">
        <v>-0.21241779999999999</v>
      </c>
      <c r="N2551">
        <v>0</v>
      </c>
      <c r="O2551">
        <v>-0.97714400000000001</v>
      </c>
      <c r="P2551">
        <v>-0.21193200000000001</v>
      </c>
      <c r="Q2551">
        <v>-3.4620390000000001E-2</v>
      </c>
      <c r="R2551">
        <v>-0.97667119999999996</v>
      </c>
      <c r="S2551">
        <v>0.36932369999999998</v>
      </c>
      <c r="T2551">
        <v>-4.3709039999999998E-2</v>
      </c>
      <c r="U2551">
        <v>-3.1542659999999998</v>
      </c>
      <c r="V2551">
        <v>-3.03465E-4</v>
      </c>
      <c r="W2551">
        <v>-2.6346769999999999E-2</v>
      </c>
      <c r="X2551">
        <v>0.99965280000000001</v>
      </c>
      <c r="Y2551">
        <v>-0.32461180000000001</v>
      </c>
      <c r="Z2551">
        <v>1.2960040000000001E-2</v>
      </c>
      <c r="AA2551">
        <v>0.9457586</v>
      </c>
      <c r="AB2551">
        <v>15</v>
      </c>
      <c r="AC2551">
        <v>9.4144000000000005</v>
      </c>
      <c r="AD2551">
        <v>-1.1107015029680001</v>
      </c>
      <c r="AE2551">
        <v>-80.009499999999903</v>
      </c>
      <c r="AF2551">
        <v>-26.190582448196601</v>
      </c>
      <c r="AG2551">
        <v>-1.1107015029680001</v>
      </c>
      <c r="AH2551">
        <v>76.169139395724201</v>
      </c>
      <c r="AI2551">
        <v>90.790037323373099</v>
      </c>
      <c r="AJ2551">
        <v>108.975413263099</v>
      </c>
      <c r="AK2551">
        <v>80.553820909313401</v>
      </c>
      <c r="AL2551">
        <v>91.5097334497991</v>
      </c>
      <c r="AM2551">
        <v>90.017393302150296</v>
      </c>
      <c r="AN2551">
        <v>0.99999998246413901</v>
      </c>
    </row>
    <row r="2552" spans="1:40" x14ac:dyDescent="0.25">
      <c r="A2552" t="str">
        <f>"20190312161007929"</f>
        <v>20190312161007929</v>
      </c>
      <c r="B2552" t="str">
        <f>"1552378207918530"</f>
        <v>1552378207918530</v>
      </c>
      <c r="C2552" t="s">
        <v>40</v>
      </c>
      <c r="D2552">
        <v>5.3793819999999997</v>
      </c>
      <c r="E2552">
        <v>0.3666857</v>
      </c>
      <c r="F2552" t="s">
        <v>41</v>
      </c>
      <c r="G2552">
        <v>-483.19299999999998</v>
      </c>
      <c r="H2552" s="1">
        <v>-4.4897999999999998E-6</v>
      </c>
      <c r="I2552">
        <v>187.28399999999999</v>
      </c>
      <c r="J2552">
        <v>-493.02710000000002</v>
      </c>
      <c r="K2552">
        <v>1.1106400000000001</v>
      </c>
      <c r="L2552">
        <v>264.77449999999999</v>
      </c>
      <c r="M2552">
        <v>-0.20913699999999999</v>
      </c>
      <c r="N2552">
        <v>0</v>
      </c>
      <c r="O2552">
        <v>-0.97785140000000004</v>
      </c>
      <c r="P2552">
        <v>-0.20879890000000001</v>
      </c>
      <c r="Q2552">
        <v>-3.5105160000000003E-2</v>
      </c>
      <c r="R2552">
        <v>-0.97732850000000004</v>
      </c>
      <c r="S2552">
        <v>0.39852910000000002</v>
      </c>
      <c r="T2552">
        <v>-4.5151230000000001E-2</v>
      </c>
      <c r="U2552">
        <v>-3.1565249999999998</v>
      </c>
      <c r="V2552">
        <v>-1.533115E-4</v>
      </c>
      <c r="W2552">
        <v>-2.682259E-2</v>
      </c>
      <c r="X2552">
        <v>0.99964019999999998</v>
      </c>
      <c r="Y2552">
        <v>-0.32997589999999999</v>
      </c>
      <c r="Z2552">
        <v>1.3372449999999999E-2</v>
      </c>
      <c r="AA2552">
        <v>0.94389460000000003</v>
      </c>
      <c r="AB2552">
        <v>15</v>
      </c>
      <c r="AC2552">
        <v>9.8340999999999692</v>
      </c>
      <c r="AD2552">
        <v>-1.1106444898000001</v>
      </c>
      <c r="AE2552">
        <v>-77.490499999999898</v>
      </c>
      <c r="AF2552">
        <v>-25.8180821246786</v>
      </c>
      <c r="AG2552">
        <v>-1.1106444898000001</v>
      </c>
      <c r="AH2552">
        <v>73.705138450730502</v>
      </c>
      <c r="AI2552">
        <v>90.8147762576601</v>
      </c>
      <c r="AJ2552">
        <v>109.30478446715099</v>
      </c>
      <c r="AK2552">
        <v>78.104124921931799</v>
      </c>
      <c r="AL2552">
        <v>91.537005537005399</v>
      </c>
      <c r="AM2552">
        <v>90.008787263489296</v>
      </c>
      <c r="AN2552">
        <v>1.0000000021473801</v>
      </c>
    </row>
    <row r="2553" spans="1:40" x14ac:dyDescent="0.25">
      <c r="A2553" t="str">
        <f>"20190312161007951"</f>
        <v>20190312161007951</v>
      </c>
      <c r="B2553" t="str">
        <f>"1552378207938050"</f>
        <v>1552378207938050</v>
      </c>
      <c r="C2553" t="s">
        <v>40</v>
      </c>
      <c r="D2553">
        <v>5.4517519999999999</v>
      </c>
      <c r="E2553">
        <v>0.36712539999999999</v>
      </c>
      <c r="F2553" t="s">
        <v>41</v>
      </c>
      <c r="G2553">
        <v>-483.46379999999999</v>
      </c>
      <c r="H2553" s="1">
        <v>-2.342992E-6</v>
      </c>
      <c r="I2553">
        <v>191.42259999999999</v>
      </c>
      <c r="J2553">
        <v>-493.05329999999998</v>
      </c>
      <c r="K2553">
        <v>1.1105969999999901</v>
      </c>
      <c r="L2553">
        <v>264.63580000000002</v>
      </c>
      <c r="M2553">
        <v>-0.2063807</v>
      </c>
      <c r="N2553">
        <v>0</v>
      </c>
      <c r="O2553">
        <v>-0.9784368</v>
      </c>
      <c r="P2553">
        <v>-0.20718890000000001</v>
      </c>
      <c r="Q2553">
        <v>-3.5174370000000003E-2</v>
      </c>
      <c r="R2553">
        <v>-0.97766869999999995</v>
      </c>
      <c r="S2553">
        <v>0.41143800000000003</v>
      </c>
      <c r="T2553">
        <v>-4.7782779999999997E-2</v>
      </c>
      <c r="U2553">
        <v>-3.1557919999999999</v>
      </c>
      <c r="V2553">
        <v>1.014596E-3</v>
      </c>
      <c r="W2553">
        <v>-2.688171E-2</v>
      </c>
      <c r="X2553">
        <v>0.99963809999999997</v>
      </c>
      <c r="Y2553">
        <v>-0.33113989999999999</v>
      </c>
      <c r="Z2553">
        <v>1.4161440000000001E-2</v>
      </c>
      <c r="AA2553">
        <v>0.94347539999999996</v>
      </c>
      <c r="AB2553">
        <v>15</v>
      </c>
      <c r="AC2553">
        <v>9.5894999999999797</v>
      </c>
      <c r="AD2553">
        <v>-1.11059934299199</v>
      </c>
      <c r="AE2553">
        <v>-73.213200000000001</v>
      </c>
      <c r="AF2553">
        <v>-24.487809419386998</v>
      </c>
      <c r="AG2553">
        <v>-1.11059934299199</v>
      </c>
      <c r="AH2553">
        <v>69.642029905726005</v>
      </c>
      <c r="AI2553">
        <v>90.861910902618504</v>
      </c>
      <c r="AJ2553">
        <v>109.372898273723</v>
      </c>
      <c r="AK2553">
        <v>73.830200937359706</v>
      </c>
      <c r="AL2553">
        <v>91.540394098887305</v>
      </c>
      <c r="AM2553">
        <v>89.941846905645804</v>
      </c>
      <c r="AN2553">
        <v>0.999999993354588</v>
      </c>
    </row>
    <row r="2554" spans="1:40" x14ac:dyDescent="0.25">
      <c r="A2554" t="str">
        <f>"20190312161007973"</f>
        <v>20190312161007973</v>
      </c>
      <c r="B2554" t="str">
        <f>"1552378207967836"</f>
        <v>1552378207967836</v>
      </c>
      <c r="C2554" t="s">
        <v>40</v>
      </c>
      <c r="D2554">
        <v>5.3813250000000004</v>
      </c>
      <c r="E2554">
        <v>0.36782910000000002</v>
      </c>
      <c r="F2554" t="s">
        <v>41</v>
      </c>
      <c r="G2554">
        <v>-484.06580000000002</v>
      </c>
      <c r="H2554" s="1">
        <v>-3.8088869999999999E-6</v>
      </c>
      <c r="I2554">
        <v>196.05770000000001</v>
      </c>
      <c r="J2554">
        <v>-493.08159999999998</v>
      </c>
      <c r="K2554">
        <v>1.1105640000000001</v>
      </c>
      <c r="L2554">
        <v>264.48540000000003</v>
      </c>
      <c r="M2554">
        <v>-0.2035091</v>
      </c>
      <c r="N2554">
        <v>0</v>
      </c>
      <c r="O2554">
        <v>-0.97903790000000002</v>
      </c>
      <c r="P2554">
        <v>-0.205039</v>
      </c>
      <c r="Q2554">
        <v>-3.4843819999999998E-2</v>
      </c>
      <c r="R2554">
        <v>-0.97813380000000005</v>
      </c>
      <c r="S2554">
        <v>0.41339110000000001</v>
      </c>
      <c r="T2554">
        <v>-5.1083330000000003E-2</v>
      </c>
      <c r="U2554">
        <v>-3.1543269999999999</v>
      </c>
      <c r="V2554">
        <v>1.744366E-3</v>
      </c>
      <c r="W2554">
        <v>-2.6541789999999999E-2</v>
      </c>
      <c r="X2554">
        <v>0.99964620000000004</v>
      </c>
      <c r="Y2554">
        <v>-0.32899909999999999</v>
      </c>
      <c r="Z2554">
        <v>1.5166399999999899E-2</v>
      </c>
      <c r="AA2554">
        <v>0.94420839999999995</v>
      </c>
      <c r="AB2554">
        <v>15</v>
      </c>
      <c r="AC2554">
        <v>9.0157999999999507</v>
      </c>
      <c r="AD2554">
        <v>-1.1105678088869999</v>
      </c>
      <c r="AE2554">
        <v>-68.427700000000002</v>
      </c>
      <c r="AF2554">
        <v>-22.747363123587299</v>
      </c>
      <c r="AG2554">
        <v>-1.1105678088869999</v>
      </c>
      <c r="AH2554">
        <v>65.143890609952905</v>
      </c>
      <c r="AI2554">
        <v>90.922090223607498</v>
      </c>
      <c r="AJ2554">
        <v>109.24850903893901</v>
      </c>
      <c r="AK2554">
        <v>69.010161380306698</v>
      </c>
      <c r="AL2554">
        <v>91.520911128913397</v>
      </c>
      <c r="AM2554">
        <v>89.900019918763803</v>
      </c>
      <c r="AN2554">
        <v>1.00000001730179</v>
      </c>
    </row>
    <row r="2555" spans="1:40" x14ac:dyDescent="0.25">
      <c r="A2555" t="str">
        <f>"20190312161007995"</f>
        <v>20190312161007995</v>
      </c>
      <c r="B2555" t="str">
        <f>"1552378207988333"</f>
        <v>1552378207988333</v>
      </c>
      <c r="C2555" t="s">
        <v>40</v>
      </c>
      <c r="D2555">
        <v>5.3711469999999997</v>
      </c>
      <c r="E2555">
        <v>0.36850339999999998</v>
      </c>
      <c r="F2555" t="s">
        <v>41</v>
      </c>
      <c r="G2555">
        <v>-484.4341</v>
      </c>
      <c r="H2555" s="1">
        <v>-4.9356389999999998E-6</v>
      </c>
      <c r="I2555">
        <v>198.8365</v>
      </c>
      <c r="J2555">
        <v>-493.10890000000001</v>
      </c>
      <c r="K2555">
        <v>1.1105389999999999</v>
      </c>
      <c r="L2555">
        <v>264.33819999999997</v>
      </c>
      <c r="M2555">
        <v>-0.20082050000000001</v>
      </c>
      <c r="N2555">
        <v>0</v>
      </c>
      <c r="O2555">
        <v>-0.97959269999999998</v>
      </c>
      <c r="P2555">
        <v>-0.20308309999999999</v>
      </c>
      <c r="Q2555">
        <v>-3.4691649999999997E-2</v>
      </c>
      <c r="R2555">
        <v>-0.97854669999999999</v>
      </c>
      <c r="S2555">
        <v>0.41522219999999999</v>
      </c>
      <c r="T2555">
        <v>-5.332601E-2</v>
      </c>
      <c r="U2555">
        <v>-3.1522519999999998</v>
      </c>
      <c r="V2555">
        <v>2.4869330000000002E-3</v>
      </c>
      <c r="W2555">
        <v>-2.6380810000000001E-2</v>
      </c>
      <c r="X2555">
        <v>0.99964889999999995</v>
      </c>
      <c r="Y2555">
        <v>-0.32702369999999997</v>
      </c>
      <c r="Z2555">
        <v>1.586168E-2</v>
      </c>
      <c r="AA2555">
        <v>0.94488300000000003</v>
      </c>
      <c r="AB2555">
        <v>15</v>
      </c>
      <c r="AC2555">
        <v>8.6747999999999994</v>
      </c>
      <c r="AD2555">
        <v>-1.1105439356389999</v>
      </c>
      <c r="AE2555">
        <v>-65.5016999999999</v>
      </c>
      <c r="AF2555">
        <v>-21.646489751158501</v>
      </c>
      <c r="AG2555">
        <v>-1.1105439356389999</v>
      </c>
      <c r="AH2555">
        <v>62.4074416119091</v>
      </c>
      <c r="AI2555">
        <v>90.963189972430797</v>
      </c>
      <c r="AJ2555">
        <v>109.12948712355001</v>
      </c>
      <c r="AK2555">
        <v>66.064306512093495</v>
      </c>
      <c r="AL2555">
        <v>91.511684408036103</v>
      </c>
      <c r="AM2555">
        <v>89.857459483158607</v>
      </c>
      <c r="AN2555">
        <v>1.0000000276215999</v>
      </c>
    </row>
    <row r="2556" spans="1:40" x14ac:dyDescent="0.25">
      <c r="A2556" t="str">
        <f>"20190312161008017"</f>
        <v>20190312161008017</v>
      </c>
      <c r="B2556" t="str">
        <f>"1552378208007853"</f>
        <v>1552378208007853</v>
      </c>
      <c r="C2556" t="s">
        <v>40</v>
      </c>
      <c r="D2556">
        <v>5.4094089999999904</v>
      </c>
      <c r="E2556">
        <v>0.3692202</v>
      </c>
      <c r="F2556" t="s">
        <v>59</v>
      </c>
      <c r="G2556">
        <v>-484.82799999999997</v>
      </c>
      <c r="H2556" s="1">
        <v>2.7005249999999998E-7</v>
      </c>
      <c r="I2556">
        <v>201.6559</v>
      </c>
      <c r="J2556">
        <v>-493.13709999999998</v>
      </c>
      <c r="K2556">
        <v>1.110503</v>
      </c>
      <c r="L2556">
        <v>264.1841</v>
      </c>
      <c r="M2556">
        <v>-0.19812779999999999</v>
      </c>
      <c r="N2556">
        <v>0</v>
      </c>
      <c r="O2556">
        <v>-0.98014100000000004</v>
      </c>
      <c r="P2556">
        <v>-0.20092779999999999</v>
      </c>
      <c r="Q2556">
        <v>-3.5083929999999999E-2</v>
      </c>
      <c r="R2556">
        <v>-0.97897749999999994</v>
      </c>
      <c r="S2556">
        <v>0.41616819999999999</v>
      </c>
      <c r="T2556">
        <v>-5.5811520000000003E-2</v>
      </c>
      <c r="U2556">
        <v>-3.1501769999999998</v>
      </c>
      <c r="V2556">
        <v>3.0341460000000002E-3</v>
      </c>
      <c r="W2556">
        <v>-2.6765029999999999E-2</v>
      </c>
      <c r="X2556">
        <v>0.99963709999999995</v>
      </c>
      <c r="Y2556">
        <v>-0.32478360000000001</v>
      </c>
      <c r="Z2556">
        <v>1.663268E-2</v>
      </c>
      <c r="AA2556">
        <v>0.94564210000000004</v>
      </c>
      <c r="AB2556">
        <v>15</v>
      </c>
      <c r="AC2556">
        <v>8.3090999999999404</v>
      </c>
      <c r="AD2556">
        <v>-1.1105027299474901</v>
      </c>
      <c r="AE2556">
        <v>-62.528199999999998</v>
      </c>
      <c r="AF2556">
        <v>-20.5270103951338</v>
      </c>
      <c r="AG2556">
        <v>-1.1105027299474901</v>
      </c>
      <c r="AH2556">
        <v>59.623766200042901</v>
      </c>
      <c r="AI2556">
        <v>91.008915930880804</v>
      </c>
      <c r="AJ2556">
        <v>108.99733785282299</v>
      </c>
      <c r="AK2556">
        <v>63.068097069378297</v>
      </c>
      <c r="AL2556">
        <v>91.533706483987601</v>
      </c>
      <c r="AM2556">
        <v>89.826093663019194</v>
      </c>
      <c r="AN2556">
        <v>0.99999995228462801</v>
      </c>
    </row>
    <row r="2557" spans="1:40" x14ac:dyDescent="0.25">
      <c r="A2557" t="str">
        <f>"20190312161008039"</f>
        <v>20190312161008039</v>
      </c>
      <c r="B2557" t="str">
        <f>"1552378208028349"</f>
        <v>1552378208028349</v>
      </c>
      <c r="C2557" t="s">
        <v>40</v>
      </c>
      <c r="D2557">
        <v>5.3415939999999997</v>
      </c>
      <c r="E2557">
        <v>0.36985960000000001</v>
      </c>
      <c r="F2557" t="s">
        <v>59</v>
      </c>
      <c r="G2557">
        <v>-485.26690000000002</v>
      </c>
      <c r="H2557" s="1">
        <v>1.161722E-6</v>
      </c>
      <c r="I2557">
        <v>204.83410000000001</v>
      </c>
      <c r="J2557">
        <v>-493.16289999999998</v>
      </c>
      <c r="K2557">
        <v>1.1104689999999999</v>
      </c>
      <c r="L2557">
        <v>264.04219999999998</v>
      </c>
      <c r="M2557">
        <v>-0.19575290000000001</v>
      </c>
      <c r="N2557">
        <v>0</v>
      </c>
      <c r="O2557">
        <v>-0.98061830000000005</v>
      </c>
      <c r="P2557">
        <v>-0.19937150000000001</v>
      </c>
      <c r="Q2557">
        <v>-3.5525849999999998E-2</v>
      </c>
      <c r="R2557">
        <v>-0.97928040000000005</v>
      </c>
      <c r="S2557">
        <v>0.41744999999999999</v>
      </c>
      <c r="T2557">
        <v>-5.8902620000000003E-2</v>
      </c>
      <c r="U2557">
        <v>-3.1480100000000002</v>
      </c>
      <c r="V2557">
        <v>3.8685479999999999E-3</v>
      </c>
      <c r="W2557">
        <v>-2.7199560000000001E-2</v>
      </c>
      <c r="X2557">
        <v>0.99962249999999997</v>
      </c>
      <c r="Y2557">
        <v>-0.32295249999999998</v>
      </c>
      <c r="Z2557">
        <v>1.7584320000000001E-2</v>
      </c>
      <c r="AA2557">
        <v>0.94625179999999998</v>
      </c>
      <c r="AB2557">
        <v>15</v>
      </c>
      <c r="AC2557">
        <v>7.8959999999999502</v>
      </c>
      <c r="AD2557">
        <v>-1.110467838278</v>
      </c>
      <c r="AE2557">
        <v>-59.208099999999902</v>
      </c>
      <c r="AF2557">
        <v>-19.327102316131999</v>
      </c>
      <c r="AG2557">
        <v>-1.110467838278</v>
      </c>
      <c r="AH2557">
        <v>56.497292306979098</v>
      </c>
      <c r="AI2557">
        <v>91.065416697040206</v>
      </c>
      <c r="AJ2557">
        <v>108.885253264483</v>
      </c>
      <c r="AK2557">
        <v>59.721973014781803</v>
      </c>
      <c r="AL2557">
        <v>91.558612273030505</v>
      </c>
      <c r="AM2557">
        <v>89.778265928690104</v>
      </c>
      <c r="AN2557">
        <v>0.99999996211703501</v>
      </c>
    </row>
    <row r="2558" spans="1:40" x14ac:dyDescent="0.25">
      <c r="A2558" t="str">
        <f>"20190312161008062"</f>
        <v>20190312161008062</v>
      </c>
      <c r="B2558" t="str">
        <f>"1552378208058137"</f>
        <v>1552378208058137</v>
      </c>
      <c r="C2558" t="s">
        <v>40</v>
      </c>
      <c r="D2558">
        <v>5.3984819999999996</v>
      </c>
      <c r="E2558">
        <v>0.37074420000000002</v>
      </c>
      <c r="F2558" t="s">
        <v>59</v>
      </c>
      <c r="G2558">
        <v>-485.5204</v>
      </c>
      <c r="H2558" s="1">
        <v>1.4008899999999999E-6</v>
      </c>
      <c r="I2558">
        <v>206.47059999999999</v>
      </c>
      <c r="J2558">
        <v>-493.19009999999997</v>
      </c>
      <c r="K2558">
        <v>1.110436</v>
      </c>
      <c r="L2558">
        <v>263.89100000000002</v>
      </c>
      <c r="M2558">
        <v>-0.19332070000000001</v>
      </c>
      <c r="N2558">
        <v>0</v>
      </c>
      <c r="O2558">
        <v>-0.98110030000000004</v>
      </c>
      <c r="P2558">
        <v>-0.1971793</v>
      </c>
      <c r="Q2558">
        <v>-3.5477990000000001E-2</v>
      </c>
      <c r="R2558">
        <v>-0.97972530000000002</v>
      </c>
      <c r="S2558">
        <v>0.41766360000000002</v>
      </c>
      <c r="T2558">
        <v>-6.0687900000000003E-2</v>
      </c>
      <c r="U2558">
        <v>-3.1463320000000001</v>
      </c>
      <c r="V2558">
        <v>4.1072069999999999E-3</v>
      </c>
      <c r="W2558">
        <v>-2.714569E-2</v>
      </c>
      <c r="X2558">
        <v>0.99962309999999999</v>
      </c>
      <c r="Y2558">
        <v>-0.32073249999999998</v>
      </c>
      <c r="Z2558">
        <v>1.814781E-2</v>
      </c>
      <c r="AA2558">
        <v>0.94699599999999995</v>
      </c>
      <c r="AB2558">
        <v>15</v>
      </c>
      <c r="AC2558">
        <v>7.6696999999999704</v>
      </c>
      <c r="AD2558">
        <v>-1.11043459911</v>
      </c>
      <c r="AE2558">
        <v>-57.420399999999901</v>
      </c>
      <c r="AF2558">
        <v>-18.619101171485902</v>
      </c>
      <c r="AG2558">
        <v>-1.11043459911</v>
      </c>
      <c r="AH2558">
        <v>54.834213173386203</v>
      </c>
      <c r="AI2558">
        <v>91.098539583202694</v>
      </c>
      <c r="AJ2558">
        <v>108.755053625809</v>
      </c>
      <c r="AK2558">
        <v>57.9197283123574</v>
      </c>
      <c r="AL2558">
        <v>91.555524472674094</v>
      </c>
      <c r="AM2558">
        <v>89.764586970374793</v>
      </c>
      <c r="AN2558">
        <v>1.0000000498442601</v>
      </c>
    </row>
    <row r="2559" spans="1:40" x14ac:dyDescent="0.25">
      <c r="A2559" t="str">
        <f>"20190312161008075"</f>
        <v>20190312161008075</v>
      </c>
      <c r="B2559" t="str">
        <f>"1552378208067898"</f>
        <v>1552378208067898</v>
      </c>
      <c r="C2559" t="s">
        <v>40</v>
      </c>
      <c r="D2559">
        <v>5.4154650000000002</v>
      </c>
      <c r="E2559">
        <v>0.3709905</v>
      </c>
      <c r="F2559" t="s">
        <v>59</v>
      </c>
      <c r="G2559">
        <v>-485.78550000000001</v>
      </c>
      <c r="H2559" s="1">
        <v>1.9304120000000001E-6</v>
      </c>
      <c r="I2559">
        <v>208.23679999999999</v>
      </c>
      <c r="J2559">
        <v>-493.20760000000001</v>
      </c>
      <c r="K2559">
        <v>1.1104160000000001</v>
      </c>
      <c r="L2559">
        <v>263.79259999999999</v>
      </c>
      <c r="M2559">
        <v>-0.19179180000000001</v>
      </c>
      <c r="N2559">
        <v>0</v>
      </c>
      <c r="O2559">
        <v>-0.98140039999999995</v>
      </c>
      <c r="P2559">
        <v>-0.19529560000000001</v>
      </c>
      <c r="Q2559">
        <v>-3.5556959999999999E-2</v>
      </c>
      <c r="R2559">
        <v>-0.98009990000000002</v>
      </c>
      <c r="S2559">
        <v>0.41830440000000002</v>
      </c>
      <c r="T2559">
        <v>-6.2731149999999999E-2</v>
      </c>
      <c r="U2559">
        <v>-3.1440429999999999</v>
      </c>
      <c r="V2559">
        <v>3.7425679999999999E-3</v>
      </c>
      <c r="W2559">
        <v>-2.722194E-2</v>
      </c>
      <c r="X2559">
        <v>0.99962240000000002</v>
      </c>
      <c r="Y2559">
        <v>-0.3195344</v>
      </c>
      <c r="Z2559">
        <v>1.8784869999999999E-2</v>
      </c>
      <c r="AA2559">
        <v>0.94738849999999997</v>
      </c>
      <c r="AB2559">
        <v>15</v>
      </c>
      <c r="AC2559">
        <v>7.4221000000000004</v>
      </c>
      <c r="AD2559">
        <v>-1.110414069588</v>
      </c>
      <c r="AE2559">
        <v>-55.555799999999998</v>
      </c>
      <c r="AF2559">
        <v>-17.9327807351765</v>
      </c>
      <c r="AG2559">
        <v>-1.110414069588</v>
      </c>
      <c r="AH2559">
        <v>53.0799893502667</v>
      </c>
      <c r="AI2559">
        <v>91.135403534415701</v>
      </c>
      <c r="AJ2559">
        <v>108.667255210633</v>
      </c>
      <c r="AK2559">
        <v>56.038405702931001</v>
      </c>
      <c r="AL2559">
        <v>91.559894981435306</v>
      </c>
      <c r="AM2559">
        <v>89.785486650742797</v>
      </c>
      <c r="AN2559">
        <v>0.99999999170717901</v>
      </c>
    </row>
    <row r="2560" spans="1:40" x14ac:dyDescent="0.25">
      <c r="A2560" t="str">
        <f>"20190312161008096"</f>
        <v>20190312161008096</v>
      </c>
      <c r="B2560" t="str">
        <f>"1552378208088393"</f>
        <v>1552378208088393</v>
      </c>
      <c r="C2560" t="s">
        <v>40</v>
      </c>
      <c r="D2560">
        <v>5.4530699999999896</v>
      </c>
      <c r="E2560">
        <v>0.3711952</v>
      </c>
      <c r="F2560" t="s">
        <v>59</v>
      </c>
      <c r="G2560">
        <v>-485.84910000000002</v>
      </c>
      <c r="H2560" s="1">
        <v>2.2008359999999999E-6</v>
      </c>
      <c r="I2560">
        <v>209.07329999999999</v>
      </c>
      <c r="J2560">
        <v>-493.2312</v>
      </c>
      <c r="K2560">
        <v>1.110393</v>
      </c>
      <c r="L2560">
        <v>263.65910000000002</v>
      </c>
      <c r="M2560">
        <v>-0.1897624</v>
      </c>
      <c r="N2560">
        <v>0</v>
      </c>
      <c r="O2560">
        <v>-0.98179490000000003</v>
      </c>
      <c r="P2560">
        <v>-0.19299630000000001</v>
      </c>
      <c r="Q2560">
        <v>-3.6127739999999998E-2</v>
      </c>
      <c r="R2560">
        <v>-0.98053460000000003</v>
      </c>
      <c r="S2560">
        <v>0.42263790000000001</v>
      </c>
      <c r="T2560">
        <v>-6.3776970000000002E-2</v>
      </c>
      <c r="U2560">
        <v>-3.1428219999999998</v>
      </c>
      <c r="V2560">
        <v>3.4683309999999998E-3</v>
      </c>
      <c r="W2560">
        <v>-2.7788520000000001E-2</v>
      </c>
      <c r="X2560">
        <v>0.99960780000000005</v>
      </c>
      <c r="Y2560">
        <v>-0.31890590000000002</v>
      </c>
      <c r="Z2560">
        <v>1.911767E-2</v>
      </c>
      <c r="AA2560">
        <v>0.94759360000000004</v>
      </c>
      <c r="AB2560">
        <v>15</v>
      </c>
      <c r="AC2560">
        <v>7.3820999999999799</v>
      </c>
      <c r="AD2560">
        <v>-1.1103907991640001</v>
      </c>
      <c r="AE2560">
        <v>-54.585799999999999</v>
      </c>
      <c r="AF2560">
        <v>-17.599496138306201</v>
      </c>
      <c r="AG2560">
        <v>-1.1103907991640001</v>
      </c>
      <c r="AH2560">
        <v>52.171814848454702</v>
      </c>
      <c r="AI2560">
        <v>91.155315950359395</v>
      </c>
      <c r="AJ2560">
        <v>108.641166596695</v>
      </c>
      <c r="AK2560">
        <v>55.071530727142203</v>
      </c>
      <c r="AL2560">
        <v>91.592369910224605</v>
      </c>
      <c r="AM2560">
        <v>89.801202100654194</v>
      </c>
      <c r="AN2560">
        <v>0.999999992492278</v>
      </c>
    </row>
    <row r="2561" spans="1:40" x14ac:dyDescent="0.25">
      <c r="A2561" t="str">
        <f>"20190312161008117"</f>
        <v>20190312161008117</v>
      </c>
      <c r="B2561" t="str">
        <f>"1552378208107916"</f>
        <v>1552378208107916</v>
      </c>
      <c r="C2561" t="s">
        <v>40</v>
      </c>
      <c r="D2561">
        <v>5.4160870000000001</v>
      </c>
      <c r="E2561">
        <v>0.33468300000000001</v>
      </c>
      <c r="F2561" t="s">
        <v>59</v>
      </c>
      <c r="G2561">
        <v>-486.25200000000001</v>
      </c>
      <c r="H2561" s="1">
        <v>2.5646150000000002E-6</v>
      </c>
      <c r="I2561">
        <v>212.45519999999999</v>
      </c>
      <c r="J2561">
        <v>-493.25760000000002</v>
      </c>
      <c r="K2561">
        <v>1.1103809999999901</v>
      </c>
      <c r="L2561">
        <v>263.50850000000003</v>
      </c>
      <c r="M2561">
        <v>-0.18753400000000001</v>
      </c>
      <c r="N2561">
        <v>0</v>
      </c>
      <c r="O2561">
        <v>-0.98222299999999996</v>
      </c>
      <c r="P2561">
        <v>-0.19053719999999999</v>
      </c>
      <c r="Q2561">
        <v>-3.661271E-2</v>
      </c>
      <c r="R2561">
        <v>-0.98099709999999996</v>
      </c>
      <c r="S2561">
        <v>0.42816159999999998</v>
      </c>
      <c r="T2561">
        <v>-6.8120479999999997E-2</v>
      </c>
      <c r="U2561">
        <v>-3.1412659999999999</v>
      </c>
      <c r="V2561">
        <v>3.23405E-3</v>
      </c>
      <c r="W2561">
        <v>-2.8268359999999999E-2</v>
      </c>
      <c r="X2561">
        <v>0.99959520000000002</v>
      </c>
      <c r="Y2561">
        <v>-0.3184497</v>
      </c>
      <c r="Z2561">
        <v>2.044228E-2</v>
      </c>
      <c r="AA2561">
        <v>0.94771930000000004</v>
      </c>
      <c r="AB2561">
        <v>16</v>
      </c>
      <c r="AC2561">
        <v>7.0056000000000704</v>
      </c>
      <c r="AD2561">
        <v>-1.1103784353849999</v>
      </c>
      <c r="AE2561">
        <v>-51.0533</v>
      </c>
      <c r="AF2561">
        <v>-16.4482217535563</v>
      </c>
      <c r="AG2561">
        <v>-1.1103784353849999</v>
      </c>
      <c r="AH2561">
        <v>48.810958904052001</v>
      </c>
      <c r="AI2561">
        <v>91.234961355895805</v>
      </c>
      <c r="AJ2561">
        <v>108.622687072384</v>
      </c>
      <c r="AK2561">
        <v>51.519769489555998</v>
      </c>
      <c r="AL2561">
        <v>91.619873411078501</v>
      </c>
      <c r="AM2561">
        <v>89.814628192290698</v>
      </c>
      <c r="AN2561">
        <v>1.00000006155976</v>
      </c>
    </row>
    <row r="2562" spans="1:40" x14ac:dyDescent="0.25">
      <c r="A2562" t="str">
        <f>"20190312161008140"</f>
        <v>20190312161008140</v>
      </c>
      <c r="B2562" t="str">
        <f>"1552378208128409"</f>
        <v>1552378208128409</v>
      </c>
      <c r="C2562" t="s">
        <v>40</v>
      </c>
      <c r="D2562">
        <v>5.4069260000000003</v>
      </c>
      <c r="E2562">
        <v>0.31765280000000001</v>
      </c>
      <c r="F2562" t="s">
        <v>59</v>
      </c>
      <c r="G2562">
        <v>-479.92579999999998</v>
      </c>
      <c r="H2562">
        <v>8.0000160000000001E-2</v>
      </c>
      <c r="I2562">
        <v>204.4281</v>
      </c>
      <c r="J2562">
        <v>-493.28449999999998</v>
      </c>
      <c r="K2562">
        <v>1.110384</v>
      </c>
      <c r="L2562">
        <v>263.35340000000002</v>
      </c>
      <c r="M2562">
        <v>-0.18528529999999999</v>
      </c>
      <c r="N2562">
        <v>0</v>
      </c>
      <c r="O2562">
        <v>-0.98264949999999995</v>
      </c>
      <c r="P2562">
        <v>-0.18790470000000001</v>
      </c>
      <c r="Q2562">
        <v>-3.6676979999999998E-2</v>
      </c>
      <c r="R2562">
        <v>-0.98150269999999995</v>
      </c>
      <c r="S2562">
        <v>0.72122189999999997</v>
      </c>
      <c r="T2562">
        <v>-5.5741550000000001E-2</v>
      </c>
      <c r="U2562">
        <v>-3.1961360000000001</v>
      </c>
      <c r="V2562">
        <v>2.8413230000000002E-3</v>
      </c>
      <c r="W2562">
        <v>-2.8327069999999999E-2</v>
      </c>
      <c r="X2562">
        <v>0.99959469999999995</v>
      </c>
      <c r="Y2562">
        <v>-0.39702510000000002</v>
      </c>
      <c r="Z2562">
        <v>1.6063020000000001E-2</v>
      </c>
      <c r="AA2562">
        <v>0.91766720000000002</v>
      </c>
      <c r="AB2562">
        <v>16</v>
      </c>
      <c r="AC2562">
        <v>13.358700000000001</v>
      </c>
      <c r="AD2562">
        <v>-1.0303838400000001</v>
      </c>
      <c r="AE2562">
        <v>-58.9253</v>
      </c>
      <c r="AF2562">
        <v>-24.0387541601539</v>
      </c>
      <c r="AG2562">
        <v>-1.0303838400000001</v>
      </c>
      <c r="AH2562">
        <v>55.413551487201403</v>
      </c>
      <c r="AI2562">
        <v>90.977284439155994</v>
      </c>
      <c r="AJ2562">
        <v>113.451509326422</v>
      </c>
      <c r="AK2562">
        <v>60.411795875100204</v>
      </c>
      <c r="AL2562">
        <v>91.623238644725802</v>
      </c>
      <c r="AM2562">
        <v>89.837138614590103</v>
      </c>
      <c r="AN2562">
        <v>1.0000000301396299</v>
      </c>
    </row>
    <row r="2563" spans="1:40" x14ac:dyDescent="0.25">
      <c r="A2563" t="str">
        <f>"20190312161008162"</f>
        <v>20190312161008162</v>
      </c>
      <c r="B2563" t="str">
        <f>"1552378208158195"</f>
        <v>1552378208158195</v>
      </c>
      <c r="C2563" t="s">
        <v>40</v>
      </c>
      <c r="D2563">
        <v>5.3996089999999999</v>
      </c>
      <c r="E2563">
        <v>0.31072569999999999</v>
      </c>
      <c r="F2563" t="s">
        <v>81</v>
      </c>
      <c r="G2563">
        <v>-472.98009999999999</v>
      </c>
      <c r="H2563">
        <v>0.75044509999999998</v>
      </c>
      <c r="I2563">
        <v>187.39830000000001</v>
      </c>
      <c r="J2563">
        <v>-493.31020000000001</v>
      </c>
      <c r="K2563">
        <v>1.110403</v>
      </c>
      <c r="L2563">
        <v>263.20339999999999</v>
      </c>
      <c r="M2563">
        <v>-0.1831381</v>
      </c>
      <c r="N2563">
        <v>0</v>
      </c>
      <c r="O2563">
        <v>-0.98305180000000003</v>
      </c>
      <c r="P2563">
        <v>-0.1849732</v>
      </c>
      <c r="Q2563">
        <v>-3.6650229999999999E-2</v>
      </c>
      <c r="R2563">
        <v>-0.98206009999999999</v>
      </c>
      <c r="S2563">
        <v>0.86099239999999999</v>
      </c>
      <c r="T2563">
        <v>-1.526129E-2</v>
      </c>
      <c r="U2563">
        <v>-3.2207949999999999</v>
      </c>
      <c r="V2563">
        <v>2.0418279999999999E-3</v>
      </c>
      <c r="W2563">
        <v>-2.8295279999999999E-2</v>
      </c>
      <c r="X2563">
        <v>0.99959750000000003</v>
      </c>
      <c r="Y2563">
        <v>-0.43081550000000002</v>
      </c>
      <c r="Z2563">
        <v>4.3103000000000004E-3</v>
      </c>
      <c r="AA2563">
        <v>0.90242979999999995</v>
      </c>
      <c r="AB2563">
        <v>16</v>
      </c>
      <c r="AC2563">
        <v>20.330100000000002</v>
      </c>
      <c r="AD2563">
        <v>-0.3599579</v>
      </c>
      <c r="AE2563">
        <v>-75.805099999999896</v>
      </c>
      <c r="AF2563">
        <v>-33.868809546480001</v>
      </c>
      <c r="AG2563">
        <v>-0.3599579</v>
      </c>
      <c r="AH2563">
        <v>70.798098567129401</v>
      </c>
      <c r="AI2563">
        <v>90.262784490425503</v>
      </c>
      <c r="AJ2563">
        <v>115.565793368443</v>
      </c>
      <c r="AK2563">
        <v>78.483097482875095</v>
      </c>
      <c r="AL2563">
        <v>91.621416567785701</v>
      </c>
      <c r="AM2563">
        <v>89.882964929199801</v>
      </c>
      <c r="AN2563">
        <v>0.99999997696905396</v>
      </c>
    </row>
    <row r="2564" spans="1:40" x14ac:dyDescent="0.25">
      <c r="A2564" t="str">
        <f>"20190312161008185"</f>
        <v>20190312161008185</v>
      </c>
      <c r="B2564" t="str">
        <f>"1552378208178691"</f>
        <v>1552378208178691</v>
      </c>
      <c r="C2564" t="s">
        <v>40</v>
      </c>
      <c r="D2564">
        <v>5.3852599999999997</v>
      </c>
      <c r="E2564">
        <v>0.3092278</v>
      </c>
      <c r="F2564" t="s">
        <v>79</v>
      </c>
      <c r="G2564">
        <v>-469.66719999999998</v>
      </c>
      <c r="H2564">
        <v>0.98794090000000001</v>
      </c>
      <c r="I2564">
        <v>180.59030000000001</v>
      </c>
      <c r="J2564">
        <v>-493.33690000000001</v>
      </c>
      <c r="K2564">
        <v>1.110433</v>
      </c>
      <c r="L2564">
        <v>263.0455</v>
      </c>
      <c r="M2564">
        <v>-0.1808901</v>
      </c>
      <c r="N2564">
        <v>0</v>
      </c>
      <c r="O2564">
        <v>-0.98346769999999994</v>
      </c>
      <c r="P2564">
        <v>-0.18161749999999999</v>
      </c>
      <c r="Q2564">
        <v>-3.6754830000000002E-2</v>
      </c>
      <c r="R2564">
        <v>-0.98268230000000001</v>
      </c>
      <c r="S2564">
        <v>0.92401120000000003</v>
      </c>
      <c r="T2564">
        <v>-4.7860150000000002E-3</v>
      </c>
      <c r="U2564">
        <v>-3.2286679999999999</v>
      </c>
      <c r="V2564">
        <v>9.1593779999999997E-4</v>
      </c>
      <c r="W2564">
        <v>-2.839494E-2</v>
      </c>
      <c r="X2564">
        <v>0.99959640000000005</v>
      </c>
      <c r="Y2564">
        <v>-0.44451849999999998</v>
      </c>
      <c r="Z2564">
        <v>1.341173E-3</v>
      </c>
      <c r="AA2564">
        <v>0.89576869999999997</v>
      </c>
      <c r="AB2564">
        <v>16</v>
      </c>
      <c r="AC2564">
        <v>23.669699999999999</v>
      </c>
      <c r="AD2564">
        <v>-0.12249210000000001</v>
      </c>
      <c r="AE2564">
        <v>-82.455199999999905</v>
      </c>
      <c r="AF2564">
        <v>-38.194974813846599</v>
      </c>
      <c r="AG2564">
        <v>-0.12249210000000001</v>
      </c>
      <c r="AH2564">
        <v>76.8129454946382</v>
      </c>
      <c r="AI2564">
        <v>90.081812283916804</v>
      </c>
      <c r="AJ2564">
        <v>116.438704970986</v>
      </c>
      <c r="AK2564">
        <v>85.785195114933401</v>
      </c>
      <c r="AL2564">
        <v>91.627128862491901</v>
      </c>
      <c r="AM2564">
        <v>89.947499455231195</v>
      </c>
      <c r="AN2564">
        <v>1.0000000372263</v>
      </c>
    </row>
    <row r="2565" spans="1:40" x14ac:dyDescent="0.25">
      <c r="A2565" t="str">
        <f>"20190312161008198"</f>
        <v>20190312161008198</v>
      </c>
      <c r="B2565" t="str">
        <f>"1552378208188451"</f>
        <v>1552378208188451</v>
      </c>
      <c r="C2565" t="s">
        <v>40</v>
      </c>
      <c r="D2565">
        <v>5.3872809999999998</v>
      </c>
      <c r="E2565">
        <v>0.3087955</v>
      </c>
      <c r="F2565" t="s">
        <v>51</v>
      </c>
      <c r="G2565">
        <v>-476.53379999999999</v>
      </c>
      <c r="H2565">
        <v>1.0631409999999999</v>
      </c>
      <c r="I2565">
        <v>205.7561</v>
      </c>
      <c r="J2565">
        <v>-493.3528</v>
      </c>
      <c r="K2565">
        <v>1.1104529999999999</v>
      </c>
      <c r="L2565">
        <v>262.9504</v>
      </c>
      <c r="M2565">
        <v>-0.17953329999999901</v>
      </c>
      <c r="N2565">
        <v>0</v>
      </c>
      <c r="O2565">
        <v>-0.9837167</v>
      </c>
      <c r="P2565">
        <v>-0.17924029999999999</v>
      </c>
      <c r="Q2565">
        <v>-3.692111E-2</v>
      </c>
      <c r="R2565">
        <v>-0.98311280000000001</v>
      </c>
      <c r="S2565">
        <v>0.94671629999999996</v>
      </c>
      <c r="T2565">
        <v>-2.6645660000000002E-3</v>
      </c>
      <c r="U2565">
        <v>-3.2277830000000001</v>
      </c>
      <c r="V2565">
        <v>-1.194626E-4</v>
      </c>
      <c r="W2565">
        <v>-2.855881E-2</v>
      </c>
      <c r="X2565">
        <v>0.99959209999999998</v>
      </c>
      <c r="Y2565">
        <v>-0.44915480000000002</v>
      </c>
      <c r="Z2565">
        <v>7.4553149999999997E-4</v>
      </c>
      <c r="AA2565">
        <v>0.89345370000000002</v>
      </c>
      <c r="AB2565">
        <v>16</v>
      </c>
      <c r="AC2565">
        <v>16.818999999999999</v>
      </c>
      <c r="AD2565">
        <v>-4.7312000000000201E-2</v>
      </c>
      <c r="AE2565">
        <v>-57.194299999999998</v>
      </c>
      <c r="AF2565">
        <v>-26.8143241495411</v>
      </c>
      <c r="AG2565">
        <v>-4.7312000000000201E-2</v>
      </c>
      <c r="AH2565">
        <v>53.245227551836699</v>
      </c>
      <c r="AI2565">
        <v>90.045470667969795</v>
      </c>
      <c r="AJ2565">
        <v>116.729848944549</v>
      </c>
      <c r="AK2565">
        <v>59.615974998894998</v>
      </c>
      <c r="AL2565">
        <v>91.636521802970407</v>
      </c>
      <c r="AM2565">
        <v>90.006847495850593</v>
      </c>
      <c r="AN2565">
        <v>0.99999999314116905</v>
      </c>
    </row>
    <row r="2566" spans="1:40" x14ac:dyDescent="0.25">
      <c r="A2566" t="str">
        <f>"20190312161008211"</f>
        <v>20190312161008211</v>
      </c>
      <c r="B2566" t="str">
        <f>"1552378208207971"</f>
        <v>1552378208207971</v>
      </c>
      <c r="C2566" t="s">
        <v>40</v>
      </c>
      <c r="D2566">
        <v>5.4245419999999998</v>
      </c>
      <c r="E2566">
        <v>0.30845050000000002</v>
      </c>
      <c r="F2566" t="s">
        <v>51</v>
      </c>
      <c r="G2566">
        <v>-476.38310000000001</v>
      </c>
      <c r="H2566">
        <v>1.0858399999999999</v>
      </c>
      <c r="I2566">
        <v>205.79820000000001</v>
      </c>
      <c r="J2566">
        <v>-493.36779999999999</v>
      </c>
      <c r="K2566">
        <v>1.110474</v>
      </c>
      <c r="L2566">
        <v>262.85939999999999</v>
      </c>
      <c r="M2566">
        <v>-0.17823059999999999</v>
      </c>
      <c r="N2566">
        <v>0</v>
      </c>
      <c r="O2566">
        <v>-0.98395330000000003</v>
      </c>
      <c r="P2566">
        <v>-0.1777975</v>
      </c>
      <c r="Q2566">
        <v>-3.7254580000000002E-2</v>
      </c>
      <c r="R2566">
        <v>-0.98336179999999995</v>
      </c>
      <c r="S2566">
        <v>0.95791630000000005</v>
      </c>
      <c r="T2566">
        <v>-1.389384E-3</v>
      </c>
      <c r="U2566">
        <v>-3.2261660000000001</v>
      </c>
      <c r="V2566">
        <v>-2.5816320000000002E-4</v>
      </c>
      <c r="W2566">
        <v>-2.8888170000000001E-2</v>
      </c>
      <c r="X2566">
        <v>0.99958259999999999</v>
      </c>
      <c r="Y2566">
        <v>-0.45094509999999999</v>
      </c>
      <c r="Z2566">
        <v>3.8870279999999999E-4</v>
      </c>
      <c r="AA2566">
        <v>0.89255169999999995</v>
      </c>
      <c r="AB2566">
        <v>16</v>
      </c>
      <c r="AC2566">
        <v>16.984699999999901</v>
      </c>
      <c r="AD2566">
        <v>-2.4634E-2</v>
      </c>
      <c r="AE2566">
        <v>-57.0611999999999</v>
      </c>
      <c r="AF2566">
        <v>-26.883136579857698</v>
      </c>
      <c r="AG2566">
        <v>-2.4634E-2</v>
      </c>
      <c r="AH2566">
        <v>53.1202064518871</v>
      </c>
      <c r="AI2566">
        <v>90.023707324472696</v>
      </c>
      <c r="AJ2566">
        <v>116.843113211717</v>
      </c>
      <c r="AK2566">
        <v>59.535367410442298</v>
      </c>
      <c r="AL2566">
        <v>91.655400546343301</v>
      </c>
      <c r="AM2566">
        <v>90.014797838074301</v>
      </c>
      <c r="AN2566">
        <v>0.99999998361847298</v>
      </c>
    </row>
    <row r="2567" spans="1:40" x14ac:dyDescent="0.25">
      <c r="A2567" t="str">
        <f>"20190312161008229"</f>
        <v>20190312161008229</v>
      </c>
      <c r="B2567" t="str">
        <f>"1552378208218708"</f>
        <v>1552378208218708</v>
      </c>
      <c r="C2567" t="s">
        <v>40</v>
      </c>
      <c r="D2567">
        <v>5.4345319999999999</v>
      </c>
      <c r="E2567">
        <v>0.30841879999999999</v>
      </c>
      <c r="F2567" t="s">
        <v>51</v>
      </c>
      <c r="G2567">
        <v>-476.3091</v>
      </c>
      <c r="H2567">
        <v>1.03759</v>
      </c>
      <c r="I2567">
        <v>205.87139999999999</v>
      </c>
      <c r="J2567">
        <v>-493.38799999999998</v>
      </c>
      <c r="K2567">
        <v>1.11049</v>
      </c>
      <c r="L2567">
        <v>262.7364</v>
      </c>
      <c r="M2567">
        <v>-0.1764607</v>
      </c>
      <c r="N2567">
        <v>0</v>
      </c>
      <c r="O2567">
        <v>-0.98427220000000004</v>
      </c>
      <c r="P2567">
        <v>-0.1755777</v>
      </c>
      <c r="Q2567">
        <v>-3.7759630000000002E-2</v>
      </c>
      <c r="R2567">
        <v>-0.98374150000000005</v>
      </c>
      <c r="S2567">
        <v>0.96542360000000005</v>
      </c>
      <c r="T2567">
        <v>-4.12488E-3</v>
      </c>
      <c r="U2567">
        <v>-3.2251889999999999</v>
      </c>
      <c r="V2567">
        <v>-7.0952919999999896E-4</v>
      </c>
      <c r="W2567">
        <v>-2.9387360000000001E-2</v>
      </c>
      <c r="X2567">
        <v>0.99956789999999995</v>
      </c>
      <c r="Y2567">
        <v>-0.45132139999999998</v>
      </c>
      <c r="Z2567">
        <v>1.1544459999999999E-3</v>
      </c>
      <c r="AA2567">
        <v>0.89236070000000001</v>
      </c>
      <c r="AB2567">
        <v>16</v>
      </c>
      <c r="AC2567">
        <v>17.078900000000001</v>
      </c>
      <c r="AD2567">
        <v>-7.2899999999999895E-2</v>
      </c>
      <c r="AE2567">
        <v>-56.865000000000002</v>
      </c>
      <c r="AF2567">
        <v>-26.8456214163201</v>
      </c>
      <c r="AG2567">
        <v>-7.2899999999999895E-2</v>
      </c>
      <c r="AH2567">
        <v>52.958653987669003</v>
      </c>
      <c r="AI2567">
        <v>90.070347959754997</v>
      </c>
      <c r="AJ2567">
        <v>116.881207374569</v>
      </c>
      <c r="AK2567">
        <v>59.374335666380603</v>
      </c>
      <c r="AL2567">
        <v>91.684014058710204</v>
      </c>
      <c r="AM2567">
        <v>90.040670595537705</v>
      </c>
      <c r="AN2567">
        <v>1.00000005353493</v>
      </c>
    </row>
    <row r="2568" spans="1:40" x14ac:dyDescent="0.25">
      <c r="A2568" t="str">
        <f>"20190312161008243"</f>
        <v>20190312161008243</v>
      </c>
      <c r="B2568" t="str">
        <f>"1552378208238227"</f>
        <v>1552378208238227</v>
      </c>
      <c r="C2568" t="s">
        <v>40</v>
      </c>
      <c r="D2568">
        <v>5.419441</v>
      </c>
      <c r="E2568">
        <v>0.30842700000000001</v>
      </c>
      <c r="F2568" t="s">
        <v>81</v>
      </c>
      <c r="G2568">
        <v>-473.42860000000002</v>
      </c>
      <c r="H2568">
        <v>0.95746419999999999</v>
      </c>
      <c r="I2568">
        <v>196.6301</v>
      </c>
      <c r="J2568">
        <v>-493.40469999999999</v>
      </c>
      <c r="K2568">
        <v>1.110511</v>
      </c>
      <c r="L2568">
        <v>262.63350000000003</v>
      </c>
      <c r="M2568">
        <v>-0.17497309999999999</v>
      </c>
      <c r="N2568">
        <v>0</v>
      </c>
      <c r="O2568">
        <v>-0.98453760000000001</v>
      </c>
      <c r="P2568">
        <v>-0.174099799999999</v>
      </c>
      <c r="Q2568">
        <v>-3.8300609999999999E-2</v>
      </c>
      <c r="R2568">
        <v>-0.98398300000000005</v>
      </c>
      <c r="S2568">
        <v>0.97311400000000003</v>
      </c>
      <c r="T2568">
        <v>-7.4589249999999999E-3</v>
      </c>
      <c r="U2568">
        <v>-3.2229610000000002</v>
      </c>
      <c r="V2568">
        <v>-6.9426579999999996E-4</v>
      </c>
      <c r="W2568">
        <v>-2.9921E-2</v>
      </c>
      <c r="X2568">
        <v>0.999552</v>
      </c>
      <c r="Y2568">
        <v>-0.45209440000000001</v>
      </c>
      <c r="Z2568">
        <v>2.088702E-3</v>
      </c>
      <c r="AA2568">
        <v>0.89196769999999903</v>
      </c>
      <c r="AB2568">
        <v>16</v>
      </c>
      <c r="AC2568">
        <v>19.976099999999899</v>
      </c>
      <c r="AD2568">
        <v>-0.15304680000000001</v>
      </c>
      <c r="AE2568">
        <v>-66.003399999999999</v>
      </c>
      <c r="AF2568">
        <v>-31.2169819237923</v>
      </c>
      <c r="AG2568">
        <v>-0.15304680000000001</v>
      </c>
      <c r="AH2568">
        <v>61.489402144107402</v>
      </c>
      <c r="AI2568">
        <v>90.127160000561602</v>
      </c>
      <c r="AJ2568">
        <v>116.916025243931</v>
      </c>
      <c r="AK2568">
        <v>68.959915601696594</v>
      </c>
      <c r="AL2568">
        <v>91.714602965199902</v>
      </c>
      <c r="AM2568">
        <v>90.039796322555901</v>
      </c>
      <c r="AN2568">
        <v>0.999999974475</v>
      </c>
    </row>
    <row r="2569" spans="1:40" x14ac:dyDescent="0.25">
      <c r="A2569" t="str">
        <f>"20190312161008263"</f>
        <v>20190312161008263</v>
      </c>
      <c r="B2569" t="str">
        <f>"1552378208258254"</f>
        <v>1552378208258254</v>
      </c>
      <c r="C2569" t="s">
        <v>40</v>
      </c>
      <c r="D2569">
        <v>5.4244269999999997</v>
      </c>
      <c r="E2569">
        <v>0.30876510000000001</v>
      </c>
      <c r="F2569" t="s">
        <v>81</v>
      </c>
      <c r="G2569">
        <v>-473.36950000000002</v>
      </c>
      <c r="H2569">
        <v>0.86432739999999997</v>
      </c>
      <c r="I2569">
        <v>196.6301</v>
      </c>
      <c r="J2569">
        <v>-493.42579999999998</v>
      </c>
      <c r="K2569">
        <v>1.110533</v>
      </c>
      <c r="L2569">
        <v>262.5016</v>
      </c>
      <c r="M2569">
        <v>-0.17305409999999999</v>
      </c>
      <c r="N2569">
        <v>0</v>
      </c>
      <c r="O2569">
        <v>-0.98487670000000005</v>
      </c>
      <c r="P2569">
        <v>-0.17207529999999999</v>
      </c>
      <c r="Q2569">
        <v>-3.8536000000000001E-2</v>
      </c>
      <c r="R2569">
        <v>-0.98433020000000004</v>
      </c>
      <c r="S2569">
        <v>0.97784420000000005</v>
      </c>
      <c r="T2569">
        <v>-1.201355E-2</v>
      </c>
      <c r="U2569">
        <v>-3.2213750000000001</v>
      </c>
      <c r="V2569">
        <v>-7.9911770000000003E-4</v>
      </c>
      <c r="W2569">
        <v>-3.0142769999999999E-2</v>
      </c>
      <c r="X2569">
        <v>0.99954529999999997</v>
      </c>
      <c r="Y2569">
        <v>-0.45167629999999998</v>
      </c>
      <c r="Z2569">
        <v>3.3672569999999998E-3</v>
      </c>
      <c r="AA2569">
        <v>0.89217549999999901</v>
      </c>
      <c r="AB2569">
        <v>16</v>
      </c>
      <c r="AC2569">
        <v>20.056299999999901</v>
      </c>
      <c r="AD2569">
        <v>-0.2462056</v>
      </c>
      <c r="AE2569">
        <v>-65.871499999999997</v>
      </c>
      <c r="AF2569">
        <v>-31.1530103653228</v>
      </c>
      <c r="AG2569">
        <v>-0.2462056</v>
      </c>
      <c r="AH2569">
        <v>61.405849843871202</v>
      </c>
      <c r="AI2569">
        <v>90.204868458433694</v>
      </c>
      <c r="AJ2569">
        <v>116.900033167278</v>
      </c>
      <c r="AK2569">
        <v>68.856728553333397</v>
      </c>
      <c r="AL2569">
        <v>91.727315112848302</v>
      </c>
      <c r="AM2569">
        <v>90.045806890182106</v>
      </c>
      <c r="AN2569">
        <v>1.00000001596223</v>
      </c>
    </row>
    <row r="2570" spans="1:40" x14ac:dyDescent="0.25">
      <c r="A2570" t="str">
        <f>"20190312161008285"</f>
        <v>20190312161008285</v>
      </c>
      <c r="B2570" t="str">
        <f>"1552378208278749"</f>
        <v>1552378208278749</v>
      </c>
      <c r="C2570" t="s">
        <v>40</v>
      </c>
      <c r="D2570">
        <v>5.417122</v>
      </c>
      <c r="E2570">
        <v>0.30910650000000001</v>
      </c>
      <c r="F2570" t="s">
        <v>81</v>
      </c>
      <c r="G2570">
        <v>-473.32299999999998</v>
      </c>
      <c r="H2570">
        <v>0.73189740000000003</v>
      </c>
      <c r="I2570">
        <v>196.6301</v>
      </c>
      <c r="J2570">
        <v>-493.45139999999998</v>
      </c>
      <c r="K2570">
        <v>1.11056</v>
      </c>
      <c r="L2570">
        <v>262.33940000000001</v>
      </c>
      <c r="M2570">
        <v>-0.1706782</v>
      </c>
      <c r="N2570">
        <v>0</v>
      </c>
      <c r="O2570">
        <v>-0.98529080000000002</v>
      </c>
      <c r="P2570">
        <v>-0.16991899999999999</v>
      </c>
      <c r="Q2570">
        <v>-3.951789E-2</v>
      </c>
      <c r="R2570">
        <v>-0.98466580000000004</v>
      </c>
      <c r="S2570">
        <v>0.98229979999999995</v>
      </c>
      <c r="T2570">
        <v>-1.8499729999999999E-2</v>
      </c>
      <c r="U2570">
        <v>-3.2187190000000001</v>
      </c>
      <c r="V2570">
        <v>-5.6698700000000002E-4</v>
      </c>
      <c r="W2570">
        <v>-3.1091400000000002E-2</v>
      </c>
      <c r="X2570">
        <v>0.99951639999999997</v>
      </c>
      <c r="Y2570">
        <v>-0.4508567</v>
      </c>
      <c r="Z2570">
        <v>5.1929760000000002E-3</v>
      </c>
      <c r="AA2570">
        <v>0.89258119999999996</v>
      </c>
      <c r="AB2570">
        <v>16</v>
      </c>
      <c r="AC2570">
        <v>20.1283999999999</v>
      </c>
      <c r="AD2570">
        <v>-0.37866260000000002</v>
      </c>
      <c r="AE2570">
        <v>-65.709299999999999</v>
      </c>
      <c r="AF2570">
        <v>-31.047631896853702</v>
      </c>
      <c r="AG2570">
        <v>-0.37866260000000002</v>
      </c>
      <c r="AH2570">
        <v>61.307604658615702</v>
      </c>
      <c r="AI2570">
        <v>90.315704729108603</v>
      </c>
      <c r="AJ2570">
        <v>116.85874058519499</v>
      </c>
      <c r="AK2570">
        <v>68.722057745270504</v>
      </c>
      <c r="AL2570">
        <v>91.781693103716606</v>
      </c>
      <c r="AM2570">
        <v>90.032501676465003</v>
      </c>
      <c r="AN2570">
        <v>1.00000001524858</v>
      </c>
    </row>
    <row r="2571" spans="1:40" x14ac:dyDescent="0.25">
      <c r="A2571" t="str">
        <f>"20190312161008298"</f>
        <v>20190312161008298</v>
      </c>
      <c r="B2571" t="str">
        <f>"1552378208288509"</f>
        <v>1552378208288509</v>
      </c>
      <c r="C2571" t="s">
        <v>40</v>
      </c>
      <c r="D2571">
        <v>5.3725849999999999</v>
      </c>
      <c r="E2571">
        <v>0.30912149999999999</v>
      </c>
      <c r="F2571" t="s">
        <v>81</v>
      </c>
      <c r="G2571">
        <v>-473.2833</v>
      </c>
      <c r="H2571">
        <v>0.61122369999999904</v>
      </c>
      <c r="I2571">
        <v>196.6301</v>
      </c>
      <c r="J2571">
        <v>-493.4665</v>
      </c>
      <c r="K2571">
        <v>1.110576</v>
      </c>
      <c r="L2571">
        <v>262.24329999999998</v>
      </c>
      <c r="M2571">
        <v>-0.1692659</v>
      </c>
      <c r="N2571">
        <v>0</v>
      </c>
      <c r="O2571">
        <v>-0.98553409999999997</v>
      </c>
      <c r="P2571">
        <v>-0.16849310000000001</v>
      </c>
      <c r="Q2571">
        <v>-3.9611920000000002E-2</v>
      </c>
      <c r="R2571">
        <v>-0.98490679999999997</v>
      </c>
      <c r="S2571">
        <v>0.98712160000000004</v>
      </c>
      <c r="T2571">
        <v>-2.4437899999999999E-2</v>
      </c>
      <c r="U2571">
        <v>-3.2160950000000001</v>
      </c>
      <c r="V2571">
        <v>-5.7985449999999896E-4</v>
      </c>
      <c r="W2571">
        <v>-3.1149759999999999E-2</v>
      </c>
      <c r="X2571">
        <v>0.99951460000000003</v>
      </c>
      <c r="Y2571">
        <v>-0.45100119999999999</v>
      </c>
      <c r="Z2571">
        <v>6.8661240000000004E-3</v>
      </c>
      <c r="AA2571">
        <v>0.89249690000000004</v>
      </c>
      <c r="AB2571">
        <v>16</v>
      </c>
      <c r="AC2571">
        <v>20.183199999999999</v>
      </c>
      <c r="AD2571">
        <v>-0.49935230000000003</v>
      </c>
      <c r="AE2571">
        <v>-65.613199999999907</v>
      </c>
      <c r="AF2571">
        <v>-30.9967786991241</v>
      </c>
      <c r="AG2571">
        <v>-0.49935230000000003</v>
      </c>
      <c r="AH2571">
        <v>61.246670284172303</v>
      </c>
      <c r="AI2571">
        <v>90.416794004723002</v>
      </c>
      <c r="AJ2571">
        <v>116.84385180516</v>
      </c>
      <c r="AK2571">
        <v>68.645497036150203</v>
      </c>
      <c r="AL2571">
        <v>91.785038462091805</v>
      </c>
      <c r="AM2571">
        <v>90.033239346233103</v>
      </c>
      <c r="AN2571">
        <v>1.0000000396962201</v>
      </c>
    </row>
    <row r="2572" spans="1:40" x14ac:dyDescent="0.25">
      <c r="A2572" t="str">
        <f>"20190312161008319"</f>
        <v>20190312161008319</v>
      </c>
      <c r="B2572" t="str">
        <f>"1552378208308029"</f>
        <v>1552378208308029</v>
      </c>
      <c r="C2572" t="s">
        <v>40</v>
      </c>
      <c r="D2572">
        <v>5.4371799999999997</v>
      </c>
      <c r="E2572">
        <v>0.30928349999999999</v>
      </c>
      <c r="F2572" t="s">
        <v>81</v>
      </c>
      <c r="G2572">
        <v>-473.22480000000002</v>
      </c>
      <c r="H2572">
        <v>0.62028219999999901</v>
      </c>
      <c r="I2572">
        <v>196.6301</v>
      </c>
      <c r="J2572">
        <v>-493.48899999999998</v>
      </c>
      <c r="K2572">
        <v>1.1106020000000001</v>
      </c>
      <c r="L2572">
        <v>262.09750000000003</v>
      </c>
      <c r="M2572">
        <v>-0.1671195</v>
      </c>
      <c r="N2572">
        <v>0</v>
      </c>
      <c r="O2572">
        <v>-0.98589979999999999</v>
      </c>
      <c r="P2572">
        <v>-0.16671859999999999</v>
      </c>
      <c r="Q2572">
        <v>-4.0154170000000003E-2</v>
      </c>
      <c r="R2572">
        <v>-0.98518689999999998</v>
      </c>
      <c r="S2572">
        <v>0.99172969999999905</v>
      </c>
      <c r="T2572">
        <v>-2.4019720000000001E-2</v>
      </c>
      <c r="U2572">
        <v>-3.214661</v>
      </c>
      <c r="V2572">
        <v>-1.9856689999999999E-4</v>
      </c>
      <c r="W2572">
        <v>-3.1619910000000001E-2</v>
      </c>
      <c r="X2572">
        <v>0.9994999</v>
      </c>
      <c r="Y2572">
        <v>-0.45033830000000002</v>
      </c>
      <c r="Z2572">
        <v>6.7554009999999899E-3</v>
      </c>
      <c r="AA2572">
        <v>0.89283250000000003</v>
      </c>
      <c r="AB2572">
        <v>16</v>
      </c>
      <c r="AC2572">
        <v>20.264199999999999</v>
      </c>
      <c r="AD2572">
        <v>-0.49031979999999997</v>
      </c>
      <c r="AE2572">
        <v>-65.467399999999998</v>
      </c>
      <c r="AF2572">
        <v>-30.9188905015213</v>
      </c>
      <c r="AG2572">
        <v>-0.49031979999999997</v>
      </c>
      <c r="AH2572">
        <v>61.156844951805603</v>
      </c>
      <c r="AI2572">
        <v>90.409943733186196</v>
      </c>
      <c r="AJ2572">
        <v>116.81966090133101</v>
      </c>
      <c r="AK2572">
        <v>68.530123944222694</v>
      </c>
      <c r="AL2572">
        <v>91.811989503813905</v>
      </c>
      <c r="AM2572">
        <v>90.011382737678403</v>
      </c>
      <c r="AN2572">
        <v>0.99999995411861398</v>
      </c>
    </row>
    <row r="2573" spans="1:40" x14ac:dyDescent="0.25">
      <c r="A2573" t="str">
        <f>"20190312161008341"</f>
        <v>20190312161008341</v>
      </c>
      <c r="B2573" t="str">
        <f>"1552378208338285"</f>
        <v>1552378208338285</v>
      </c>
      <c r="C2573" t="s">
        <v>40</v>
      </c>
      <c r="D2573">
        <v>5.3460519999999896</v>
      </c>
      <c r="E2573">
        <v>0.3095292</v>
      </c>
      <c r="F2573" t="s">
        <v>81</v>
      </c>
      <c r="G2573">
        <v>-473.19049999999999</v>
      </c>
      <c r="H2573">
        <v>0.56008959999999997</v>
      </c>
      <c r="I2573">
        <v>196.6301</v>
      </c>
      <c r="J2573">
        <v>-493.51209999999998</v>
      </c>
      <c r="K2573">
        <v>1.1106309999999999</v>
      </c>
      <c r="L2573">
        <v>261.94420000000002</v>
      </c>
      <c r="M2573">
        <v>-0.1648617</v>
      </c>
      <c r="N2573">
        <v>0</v>
      </c>
      <c r="O2573">
        <v>-0.98627880000000001</v>
      </c>
      <c r="P2573">
        <v>-0.16400590000000001</v>
      </c>
      <c r="Q2573">
        <v>-4.0895250000000001E-2</v>
      </c>
      <c r="R2573">
        <v>-0.98561160000000003</v>
      </c>
      <c r="S2573">
        <v>0.99606320000000004</v>
      </c>
      <c r="T2573">
        <v>-2.7012230000000002E-2</v>
      </c>
      <c r="U2573">
        <v>-3.2125240000000002</v>
      </c>
      <c r="V2573">
        <v>-6.5418219999999997E-4</v>
      </c>
      <c r="W2573">
        <v>-3.2246730000000001E-2</v>
      </c>
      <c r="X2573">
        <v>0.99947969999999997</v>
      </c>
      <c r="Y2573">
        <v>-0.44955850000000003</v>
      </c>
      <c r="Z2573">
        <v>7.6066709999999997E-3</v>
      </c>
      <c r="AA2573">
        <v>0.89321849999999903</v>
      </c>
      <c r="AB2573">
        <v>16</v>
      </c>
      <c r="AC2573">
        <v>20.321599999999901</v>
      </c>
      <c r="AD2573">
        <v>-0.55054139999999996</v>
      </c>
      <c r="AE2573">
        <v>-65.314099999999996</v>
      </c>
      <c r="AF2573">
        <v>-30.809712576953501</v>
      </c>
      <c r="AG2573">
        <v>-0.55054139999999996</v>
      </c>
      <c r="AH2573">
        <v>61.065985323477797</v>
      </c>
      <c r="AI2573">
        <v>90.461168388000203</v>
      </c>
      <c r="AJ2573">
        <v>116.772382673781</v>
      </c>
      <c r="AK2573">
        <v>68.400263511442802</v>
      </c>
      <c r="AL2573">
        <v>91.847921933230694</v>
      </c>
      <c r="AM2573">
        <v>90.037501385711096</v>
      </c>
      <c r="AN2573">
        <v>0.99999997513106598</v>
      </c>
    </row>
    <row r="2574" spans="1:40" x14ac:dyDescent="0.25">
      <c r="A2574" t="str">
        <f>"20190312161008374"</f>
        <v>20190312161008374</v>
      </c>
      <c r="B2574" t="str">
        <f>"1552378208368071"</f>
        <v>1552378208368071</v>
      </c>
      <c r="C2574" t="s">
        <v>40</v>
      </c>
      <c r="D2574">
        <v>5.3664430000000003</v>
      </c>
      <c r="E2574">
        <v>0.30983650000000001</v>
      </c>
      <c r="F2574" t="s">
        <v>81</v>
      </c>
      <c r="G2574">
        <v>-473.10120000000001</v>
      </c>
      <c r="H2574">
        <v>0.491622</v>
      </c>
      <c r="I2574">
        <v>196.6301</v>
      </c>
      <c r="J2574">
        <v>-493.54680000000002</v>
      </c>
      <c r="K2574">
        <v>1.110698</v>
      </c>
      <c r="L2574">
        <v>261.71129999999999</v>
      </c>
      <c r="M2574">
        <v>-0.1614352</v>
      </c>
      <c r="N2574">
        <v>0</v>
      </c>
      <c r="O2574">
        <v>-0.98684280000000002</v>
      </c>
      <c r="P2574">
        <v>-0.1599293</v>
      </c>
      <c r="Q2574">
        <v>-4.2071190000000001E-2</v>
      </c>
      <c r="R2574">
        <v>-0.98623139999999998</v>
      </c>
      <c r="S2574">
        <v>1.002991</v>
      </c>
      <c r="T2574">
        <v>-3.041601E-2</v>
      </c>
      <c r="U2574">
        <v>-3.2095030000000002</v>
      </c>
      <c r="V2574">
        <v>-1.304688E-3</v>
      </c>
      <c r="W2574">
        <v>-3.3134110000000001E-2</v>
      </c>
      <c r="X2574">
        <v>0.99945010000000001</v>
      </c>
      <c r="Y2574">
        <v>-0.44844899999999999</v>
      </c>
      <c r="Z2574">
        <v>8.5806470000000003E-3</v>
      </c>
      <c r="AA2574">
        <v>0.89376719999999898</v>
      </c>
      <c r="AB2574">
        <v>16</v>
      </c>
      <c r="AC2574">
        <v>20.445599999999999</v>
      </c>
      <c r="AD2574">
        <v>-0.61907599999999996</v>
      </c>
      <c r="AE2574">
        <v>-65.081199999999995</v>
      </c>
      <c r="AF2574">
        <v>-30.681689684751898</v>
      </c>
      <c r="AG2574">
        <v>-0.61907599999999996</v>
      </c>
      <c r="AH2574">
        <v>60.921692814479499</v>
      </c>
      <c r="AI2574">
        <v>90.519991936907701</v>
      </c>
      <c r="AJ2574">
        <v>116.730969500209</v>
      </c>
      <c r="AK2574">
        <v>68.214382591847794</v>
      </c>
      <c r="AL2574">
        <v>91.898792136517699</v>
      </c>
      <c r="AM2574">
        <v>90.074794202851606</v>
      </c>
      <c r="AN2574">
        <v>1.0000000369231301</v>
      </c>
    </row>
    <row r="2575" spans="1:40" x14ac:dyDescent="0.25">
      <c r="A2575" t="str">
        <f>"20190312161008408"</f>
        <v>20190312161008408</v>
      </c>
      <c r="B2575" t="str">
        <f>"1552378208398330"</f>
        <v>1552378208398330</v>
      </c>
      <c r="C2575" t="s">
        <v>40</v>
      </c>
      <c r="D2575">
        <v>3.376369</v>
      </c>
      <c r="E2575">
        <v>0.31002469999999999</v>
      </c>
      <c r="F2575" t="s">
        <v>81</v>
      </c>
      <c r="G2575">
        <v>-472.96850000000001</v>
      </c>
      <c r="H2575">
        <v>0.44503120000000002</v>
      </c>
      <c r="I2575">
        <v>196.6301</v>
      </c>
      <c r="J2575">
        <v>-493.58170000000001</v>
      </c>
      <c r="K2575">
        <v>1.1107860000000001</v>
      </c>
      <c r="L2575">
        <v>261.4708</v>
      </c>
      <c r="M2575">
        <v>-0.1579102</v>
      </c>
      <c r="N2575">
        <v>0</v>
      </c>
      <c r="O2575">
        <v>-0.98740930000000005</v>
      </c>
      <c r="P2575">
        <v>-0.15519469999999999</v>
      </c>
      <c r="Q2575">
        <v>-4.250102E-2</v>
      </c>
      <c r="R2575">
        <v>-0.9869694</v>
      </c>
      <c r="S2575">
        <v>1.0133669999999999</v>
      </c>
      <c r="T2575">
        <v>-3.2778380000000003E-2</v>
      </c>
      <c r="U2575">
        <v>-3.2048649999999999</v>
      </c>
      <c r="V2575">
        <v>-2.5285289999999998E-3</v>
      </c>
      <c r="W2575">
        <v>-3.3167219999999997E-2</v>
      </c>
      <c r="X2575">
        <v>0.99944659999999996</v>
      </c>
      <c r="Y2575">
        <v>-0.44825720000000002</v>
      </c>
      <c r="Z2575">
        <v>9.26452E-3</v>
      </c>
      <c r="AA2575">
        <v>0.893856599999999</v>
      </c>
      <c r="AB2575">
        <v>16</v>
      </c>
      <c r="AC2575">
        <v>20.613199999999999</v>
      </c>
      <c r="AD2575">
        <v>-0.66575479999999998</v>
      </c>
      <c r="AE2575">
        <v>-64.840699999999998</v>
      </c>
      <c r="AF2575">
        <v>-30.591078899446899</v>
      </c>
      <c r="AG2575">
        <v>-0.66575479999999998</v>
      </c>
      <c r="AH2575">
        <v>60.766108571196902</v>
      </c>
      <c r="AI2575">
        <v>90.560674400379597</v>
      </c>
      <c r="AJ2575">
        <v>116.721751735125</v>
      </c>
      <c r="AK2575">
        <v>68.035118053637504</v>
      </c>
      <c r="AL2575">
        <v>91.9006903472185</v>
      </c>
      <c r="AM2575">
        <v>90.144953948501893</v>
      </c>
      <c r="AN2575">
        <v>0.99999998209649599</v>
      </c>
    </row>
    <row r="2576" spans="1:40" x14ac:dyDescent="0.25">
      <c r="A2576" t="str">
        <f>"20190312161008429"</f>
        <v>20190312161008429</v>
      </c>
      <c r="B2576" t="str">
        <f>"1552378208418823"</f>
        <v>1552378208418823</v>
      </c>
      <c r="C2576" t="s">
        <v>40</v>
      </c>
      <c r="D2576">
        <v>5.3399039999999998</v>
      </c>
      <c r="E2576">
        <v>0.31008580000000002</v>
      </c>
      <c r="F2576" t="s">
        <v>81</v>
      </c>
      <c r="G2576">
        <v>-470.15</v>
      </c>
      <c r="H2576">
        <v>0.338897</v>
      </c>
      <c r="I2576">
        <v>188.48920000000001</v>
      </c>
      <c r="J2576">
        <v>-493.60340000000002</v>
      </c>
      <c r="K2576">
        <v>1.1108340000000001</v>
      </c>
      <c r="L2576">
        <v>261.31810000000002</v>
      </c>
      <c r="M2576">
        <v>-0.15567829999999999</v>
      </c>
      <c r="N2576">
        <v>0</v>
      </c>
      <c r="O2576">
        <v>-0.98776090000000005</v>
      </c>
      <c r="P2576">
        <v>-0.15253069999999999</v>
      </c>
      <c r="Q2576">
        <v>-4.2655360000000003E-2</v>
      </c>
      <c r="R2576">
        <v>-0.98737779999999997</v>
      </c>
      <c r="S2576">
        <v>1.0273129999999999</v>
      </c>
      <c r="T2576">
        <v>-3.3840059999999998E-2</v>
      </c>
      <c r="U2576">
        <v>-3.1997070000000001</v>
      </c>
      <c r="V2576">
        <v>-2.9660350000000001E-3</v>
      </c>
      <c r="W2576">
        <v>-3.3042299999999997E-2</v>
      </c>
      <c r="X2576">
        <v>0.99944960000000005</v>
      </c>
      <c r="Y2576">
        <v>-0.45018599999999998</v>
      </c>
      <c r="Z2576">
        <v>9.5735979999999991E-3</v>
      </c>
      <c r="AA2576">
        <v>0.89288349999999905</v>
      </c>
      <c r="AB2576">
        <v>16</v>
      </c>
      <c r="AC2576">
        <v>23.453399999999998</v>
      </c>
      <c r="AD2576">
        <v>-0.77193699999999998</v>
      </c>
      <c r="AE2576">
        <v>-72.828900000000004</v>
      </c>
      <c r="AF2576">
        <v>-34.502317750599502</v>
      </c>
      <c r="AG2576">
        <v>-0.77193699999999998</v>
      </c>
      <c r="AH2576">
        <v>68.282568237310699</v>
      </c>
      <c r="AI2576">
        <v>90.578100697427004</v>
      </c>
      <c r="AJ2576">
        <v>116.806892392512</v>
      </c>
      <c r="AK2576">
        <v>76.508267147925196</v>
      </c>
      <c r="AL2576">
        <v>91.893528910260898</v>
      </c>
      <c r="AM2576">
        <v>90.170034375416805</v>
      </c>
      <c r="AN2576">
        <v>1.00000004694653</v>
      </c>
    </row>
    <row r="2577" spans="1:40" x14ac:dyDescent="0.25">
      <c r="A2577" t="str">
        <f>"20190312161008452"</f>
        <v>20190312161008452</v>
      </c>
      <c r="B2577" t="str">
        <f>"1552378208438343"</f>
        <v>1552378208438343</v>
      </c>
      <c r="C2577" t="s">
        <v>40</v>
      </c>
      <c r="D2577">
        <v>5.3479140000000003</v>
      </c>
      <c r="E2577">
        <v>0.3103959</v>
      </c>
      <c r="F2577" t="s">
        <v>81</v>
      </c>
      <c r="G2577">
        <v>-470.15</v>
      </c>
      <c r="H2577">
        <v>0.35600209999999999</v>
      </c>
      <c r="I2577">
        <v>188.90950000000001</v>
      </c>
      <c r="J2577">
        <v>-493.62560000000002</v>
      </c>
      <c r="K2577">
        <v>1.11087</v>
      </c>
      <c r="L2577">
        <v>261.15899999999999</v>
      </c>
      <c r="M2577">
        <v>-0.15335309999999999</v>
      </c>
      <c r="N2577">
        <v>0</v>
      </c>
      <c r="O2577">
        <v>-0.98812169999999999</v>
      </c>
      <c r="P2577">
        <v>-0.14999670000000001</v>
      </c>
      <c r="Q2577">
        <v>-4.3742919999999998E-2</v>
      </c>
      <c r="R2577">
        <v>-0.98771869999999995</v>
      </c>
      <c r="S2577">
        <v>1.0354920000000001</v>
      </c>
      <c r="T2577">
        <v>-3.3324840000000001E-2</v>
      </c>
      <c r="U2577">
        <v>-3.1968990000000002</v>
      </c>
      <c r="V2577">
        <v>-3.1699250000000001E-3</v>
      </c>
      <c r="W2577">
        <v>-3.3827089999999997E-2</v>
      </c>
      <c r="X2577">
        <v>0.9994227</v>
      </c>
      <c r="Y2577">
        <v>-0.45038240000000002</v>
      </c>
      <c r="Z2577">
        <v>9.4372180000000007E-3</v>
      </c>
      <c r="AA2577">
        <v>0.89278590000000002</v>
      </c>
      <c r="AB2577">
        <v>16</v>
      </c>
      <c r="AC2577">
        <v>23.4756</v>
      </c>
      <c r="AD2577">
        <v>-0.75486790000000004</v>
      </c>
      <c r="AE2577">
        <v>-72.249499999999898</v>
      </c>
      <c r="AF2577">
        <v>-34.2747357361309</v>
      </c>
      <c r="AG2577">
        <v>-0.75486790000000004</v>
      </c>
      <c r="AH2577">
        <v>67.787882792600499</v>
      </c>
      <c r="AI2577">
        <v>90.569368055917806</v>
      </c>
      <c r="AJ2577">
        <v>116.821956657478</v>
      </c>
      <c r="AK2577">
        <v>75.963967700689594</v>
      </c>
      <c r="AL2577">
        <v>91.938519256953896</v>
      </c>
      <c r="AM2577">
        <v>90.181727626189499</v>
      </c>
      <c r="AN2577">
        <v>1.00000002685883</v>
      </c>
    </row>
    <row r="2578" spans="1:40" x14ac:dyDescent="0.25">
      <c r="A2578" t="str">
        <f>"20190312161008475"</f>
        <v>20190312161008475</v>
      </c>
      <c r="B2578" t="str">
        <f>"1552378208468600"</f>
        <v>1552378208468600</v>
      </c>
      <c r="C2578" t="s">
        <v>40</v>
      </c>
      <c r="D2578">
        <v>5.3029089999999997</v>
      </c>
      <c r="E2578">
        <v>0.31078470000000002</v>
      </c>
      <c r="F2578" t="s">
        <v>81</v>
      </c>
      <c r="G2578">
        <v>-470.15</v>
      </c>
      <c r="H2578">
        <v>0.2857497</v>
      </c>
      <c r="I2578">
        <v>189.17679999999999</v>
      </c>
      <c r="J2578">
        <v>-493.64909999999998</v>
      </c>
      <c r="K2578">
        <v>1.1109100000000001</v>
      </c>
      <c r="L2578">
        <v>260.98739999999998</v>
      </c>
      <c r="M2578">
        <v>-0.1508507</v>
      </c>
      <c r="N2578">
        <v>0</v>
      </c>
      <c r="O2578">
        <v>-0.98850320000000003</v>
      </c>
      <c r="P2578">
        <v>-0.1473865</v>
      </c>
      <c r="Q2578">
        <v>-4.4200459999999997E-2</v>
      </c>
      <c r="R2578">
        <v>-0.98809089999999999</v>
      </c>
      <c r="S2578">
        <v>1.0416259999999999</v>
      </c>
      <c r="T2578">
        <v>-3.6609290000000003E-2</v>
      </c>
      <c r="U2578">
        <v>-3.1938780000000002</v>
      </c>
      <c r="V2578">
        <v>-3.277617E-3</v>
      </c>
      <c r="W2578">
        <v>-3.393579E-2</v>
      </c>
      <c r="X2578">
        <v>0.99941860000000005</v>
      </c>
      <c r="Y2578">
        <v>-0.44991740000000002</v>
      </c>
      <c r="Z2578">
        <v>1.0381380000000001E-2</v>
      </c>
      <c r="AA2578">
        <v>0.89300979999999996</v>
      </c>
      <c r="AB2578">
        <v>16</v>
      </c>
      <c r="AC2578">
        <v>23.499099999999999</v>
      </c>
      <c r="AD2578">
        <v>-0.82516029999999996</v>
      </c>
      <c r="AE2578">
        <v>-71.810599999999994</v>
      </c>
      <c r="AF2578">
        <v>-34.059349401558002</v>
      </c>
      <c r="AG2578">
        <v>-0.82516029999999996</v>
      </c>
      <c r="AH2578">
        <v>67.435666794765396</v>
      </c>
      <c r="AI2578">
        <v>90.625772686076999</v>
      </c>
      <c r="AJ2578">
        <v>116.79671210095999</v>
      </c>
      <c r="AK2578">
        <v>75.553221819011299</v>
      </c>
      <c r="AL2578">
        <v>91.9447510172497</v>
      </c>
      <c r="AM2578">
        <v>90.187902194042806</v>
      </c>
      <c r="AN2578">
        <v>0.99999995932104002</v>
      </c>
    </row>
    <row r="2579" spans="1:40" x14ac:dyDescent="0.25">
      <c r="A2579" t="str">
        <f>"20190312161008497"</f>
        <v>20190312161008497</v>
      </c>
      <c r="B2579" t="str">
        <f>"1552378208488119"</f>
        <v>1552378208488119</v>
      </c>
      <c r="C2579" t="s">
        <v>40</v>
      </c>
      <c r="D2579">
        <v>5.2920369999999997</v>
      </c>
      <c r="E2579">
        <v>0.31103380000000003</v>
      </c>
      <c r="F2579" t="s">
        <v>81</v>
      </c>
      <c r="G2579">
        <v>-470.15</v>
      </c>
      <c r="H2579">
        <v>0.28467750000000003</v>
      </c>
      <c r="I2579">
        <v>189.36689999999999</v>
      </c>
      <c r="J2579">
        <v>-493.6705</v>
      </c>
      <c r="K2579">
        <v>1.110949</v>
      </c>
      <c r="L2579">
        <v>260.82839999999999</v>
      </c>
      <c r="M2579">
        <v>-0.14853759999999999</v>
      </c>
      <c r="N2579">
        <v>0</v>
      </c>
      <c r="O2579">
        <v>-0.9888498</v>
      </c>
      <c r="P2579">
        <v>-0.14535970000000001</v>
      </c>
      <c r="Q2579">
        <v>-4.420748E-2</v>
      </c>
      <c r="R2579">
        <v>-0.98839089999999996</v>
      </c>
      <c r="S2579">
        <v>1.046875</v>
      </c>
      <c r="T2579">
        <v>-3.6806459999999999E-2</v>
      </c>
      <c r="U2579">
        <v>-3.1906430000000001</v>
      </c>
      <c r="V2579">
        <v>-2.9917149999999998E-3</v>
      </c>
      <c r="W2579">
        <v>-3.3595949999999999E-2</v>
      </c>
      <c r="X2579">
        <v>0.99943099999999996</v>
      </c>
      <c r="Y2579">
        <v>-0.44942209999999999</v>
      </c>
      <c r="Z2579">
        <v>1.0452110000000001E-2</v>
      </c>
      <c r="AA2579">
        <v>0.89325840000000001</v>
      </c>
      <c r="AB2579">
        <v>16</v>
      </c>
      <c r="AC2579">
        <v>23.520499999999998</v>
      </c>
      <c r="AD2579">
        <v>-0.82627149999999905</v>
      </c>
      <c r="AE2579">
        <v>-71.461500000000001</v>
      </c>
      <c r="AF2579">
        <v>-33.870783939027099</v>
      </c>
      <c r="AG2579">
        <v>-0.82627149999999905</v>
      </c>
      <c r="AH2579">
        <v>67.166693350876102</v>
      </c>
      <c r="AI2579">
        <v>90.629323060463093</v>
      </c>
      <c r="AJ2579">
        <v>116.760871267539</v>
      </c>
      <c r="AK2579">
        <v>75.228169091947194</v>
      </c>
      <c r="AL2579">
        <v>91.925268467420196</v>
      </c>
      <c r="AM2579">
        <v>90.171509720055397</v>
      </c>
      <c r="AN2579">
        <v>0.99999998098802101</v>
      </c>
    </row>
    <row r="2580" spans="1:40" x14ac:dyDescent="0.25">
      <c r="A2580" t="str">
        <f>"20190312161008518"</f>
        <v>20190312161008518</v>
      </c>
      <c r="B2580" t="str">
        <f>"1552378208508616"</f>
        <v>1552378208508616</v>
      </c>
      <c r="C2580" t="s">
        <v>40</v>
      </c>
      <c r="D2580">
        <v>5.2613250000000003</v>
      </c>
      <c r="E2580">
        <v>0.31134430000000002</v>
      </c>
      <c r="F2580" t="s">
        <v>81</v>
      </c>
      <c r="G2580">
        <v>-470.15</v>
      </c>
      <c r="H2580">
        <v>0.260355</v>
      </c>
      <c r="I2580">
        <v>189.5017</v>
      </c>
      <c r="J2580">
        <v>-493.68979999999999</v>
      </c>
      <c r="K2580">
        <v>1.110981</v>
      </c>
      <c r="L2580">
        <v>260.6832</v>
      </c>
      <c r="M2580">
        <v>-0.146424</v>
      </c>
      <c r="N2580">
        <v>0</v>
      </c>
      <c r="O2580">
        <v>-0.98916139999999997</v>
      </c>
      <c r="P2580">
        <v>-0.1439145</v>
      </c>
      <c r="Q2580">
        <v>-4.451393E-2</v>
      </c>
      <c r="R2580">
        <v>-0.98858849999999998</v>
      </c>
      <c r="S2580">
        <v>1.051331</v>
      </c>
      <c r="T2580">
        <v>-3.8018349999999999E-2</v>
      </c>
      <c r="U2580">
        <v>-3.1881710000000001</v>
      </c>
      <c r="V2580">
        <v>-2.316898E-3</v>
      </c>
      <c r="W2580">
        <v>-3.3576300000000003E-2</v>
      </c>
      <c r="X2580">
        <v>0.99943349999999997</v>
      </c>
      <c r="Y2580">
        <v>-0.44884360000000001</v>
      </c>
      <c r="Z2580">
        <v>1.08091E-2</v>
      </c>
      <c r="AA2580">
        <v>0.89354500000000003</v>
      </c>
      <c r="AB2580">
        <v>16</v>
      </c>
      <c r="AC2580">
        <v>23.5398</v>
      </c>
      <c r="AD2580">
        <v>-0.85062599999999999</v>
      </c>
      <c r="AE2580">
        <v>-71.1815</v>
      </c>
      <c r="AF2580">
        <v>-33.705020926003698</v>
      </c>
      <c r="AG2580">
        <v>-0.85062599999999999</v>
      </c>
      <c r="AH2580">
        <v>66.958590493398205</v>
      </c>
      <c r="AI2580">
        <v>90.650121505462394</v>
      </c>
      <c r="AJ2580">
        <v>116.719363640862</v>
      </c>
      <c r="AK2580">
        <v>74.968025458036607</v>
      </c>
      <c r="AL2580">
        <v>91.924141878472</v>
      </c>
      <c r="AM2580">
        <v>90.132823483665206</v>
      </c>
      <c r="AN2580">
        <v>1.00000002843014</v>
      </c>
    </row>
    <row r="2581" spans="1:40" x14ac:dyDescent="0.25">
      <c r="A2581" t="str">
        <f>"20190312161008541"</f>
        <v>20190312161008541</v>
      </c>
      <c r="B2581" t="str">
        <f>"1552378208538871"</f>
        <v>1552378208538871</v>
      </c>
      <c r="C2581" t="s">
        <v>40</v>
      </c>
      <c r="D2581">
        <v>5.30497</v>
      </c>
      <c r="E2581">
        <v>0.31168759999999901</v>
      </c>
      <c r="F2581" t="s">
        <v>81</v>
      </c>
      <c r="G2581">
        <v>-470.15</v>
      </c>
      <c r="H2581">
        <v>0.24233830000000001</v>
      </c>
      <c r="I2581">
        <v>189.48320000000001</v>
      </c>
      <c r="J2581">
        <v>-493.71089999999998</v>
      </c>
      <c r="K2581">
        <v>1.111013</v>
      </c>
      <c r="L2581">
        <v>260.52109999999999</v>
      </c>
      <c r="M2581">
        <v>-0.14406479999999999</v>
      </c>
      <c r="N2581">
        <v>0</v>
      </c>
      <c r="O2581">
        <v>-0.98950369999999999</v>
      </c>
      <c r="P2581">
        <v>-0.14191289999999901</v>
      </c>
      <c r="Q2581">
        <v>-4.5033749999999997E-2</v>
      </c>
      <c r="R2581">
        <v>-0.98885420000000002</v>
      </c>
      <c r="S2581">
        <v>1.0534059999999901</v>
      </c>
      <c r="T2581">
        <v>-3.8869979999999998E-2</v>
      </c>
      <c r="U2581">
        <v>-3.186188</v>
      </c>
      <c r="V2581">
        <v>-1.9546960000000001E-3</v>
      </c>
      <c r="W2581">
        <v>-3.3744339999999998E-2</v>
      </c>
      <c r="X2581">
        <v>0.9994286</v>
      </c>
      <c r="Y2581">
        <v>-0.44740190000000002</v>
      </c>
      <c r="Z2581">
        <v>1.1067159999999999E-2</v>
      </c>
      <c r="AA2581">
        <v>0.89426450000000002</v>
      </c>
      <c r="AB2581">
        <v>16</v>
      </c>
      <c r="AC2581">
        <v>23.5609</v>
      </c>
      <c r="AD2581">
        <v>-0.86867469999999902</v>
      </c>
      <c r="AE2581">
        <v>-71.037899999999894</v>
      </c>
      <c r="AF2581">
        <v>-33.545282837812202</v>
      </c>
      <c r="AG2581">
        <v>-0.86867469999999902</v>
      </c>
      <c r="AH2581">
        <v>66.893231032665099</v>
      </c>
      <c r="AI2581">
        <v>90.665068930725099</v>
      </c>
      <c r="AJ2581">
        <v>116.632620166801</v>
      </c>
      <c r="AK2581">
        <v>74.838125005860206</v>
      </c>
      <c r="AL2581">
        <v>91.933775348065396</v>
      </c>
      <c r="AM2581">
        <v>90.112059719152498</v>
      </c>
      <c r="AN2581">
        <v>1.0000000139082199</v>
      </c>
    </row>
    <row r="2582" spans="1:40" x14ac:dyDescent="0.25">
      <c r="A2582" t="str">
        <f>"20190312161008565"</f>
        <v>20190312161008565</v>
      </c>
      <c r="B2582" t="str">
        <f>"1552378208558391"</f>
        <v>1552378208558391</v>
      </c>
      <c r="C2582" t="s">
        <v>40</v>
      </c>
      <c r="D2582">
        <v>5.2878179999999997</v>
      </c>
      <c r="E2582">
        <v>0.3120425</v>
      </c>
      <c r="F2582" t="s">
        <v>81</v>
      </c>
      <c r="G2582">
        <v>-470.15</v>
      </c>
      <c r="H2582">
        <v>0.20419670000000001</v>
      </c>
      <c r="I2582">
        <v>189.57560000000001</v>
      </c>
      <c r="J2582">
        <v>-493.73160000000001</v>
      </c>
      <c r="K2582">
        <v>1.111043</v>
      </c>
      <c r="L2582">
        <v>260.35860000000002</v>
      </c>
      <c r="M2582">
        <v>-0.14170070000000001</v>
      </c>
      <c r="N2582">
        <v>0</v>
      </c>
      <c r="O2582">
        <v>-0.98984150000000004</v>
      </c>
      <c r="P2582">
        <v>-0.13899039999999999</v>
      </c>
      <c r="Q2582">
        <v>-4.4720719999999999E-2</v>
      </c>
      <c r="R2582">
        <v>-0.98928389999999999</v>
      </c>
      <c r="S2582">
        <v>1.057312</v>
      </c>
      <c r="T2582">
        <v>-4.0692329999999999E-2</v>
      </c>
      <c r="U2582">
        <v>-3.183716</v>
      </c>
      <c r="V2582">
        <v>-2.5247210000000002E-3</v>
      </c>
      <c r="W2582">
        <v>-3.3107770000000002E-2</v>
      </c>
      <c r="X2582">
        <v>0.99944860000000002</v>
      </c>
      <c r="Y2582">
        <v>-0.4464593</v>
      </c>
      <c r="Z2582">
        <v>1.160168E-2</v>
      </c>
      <c r="AA2582">
        <v>0.89472870000000004</v>
      </c>
      <c r="AB2582">
        <v>16</v>
      </c>
      <c r="AC2582">
        <v>23.581600000000002</v>
      </c>
      <c r="AD2582">
        <v>-0.90684629999999999</v>
      </c>
      <c r="AE2582">
        <v>-70.783000000000001</v>
      </c>
      <c r="AF2582">
        <v>-33.3693650761086</v>
      </c>
      <c r="AG2582">
        <v>-0.90684629999999999</v>
      </c>
      <c r="AH2582">
        <v>66.717059632252102</v>
      </c>
      <c r="AI2582">
        <v>90.696489871857196</v>
      </c>
      <c r="AJ2582">
        <v>116.57249484248899</v>
      </c>
      <c r="AK2582">
        <v>74.602298501908905</v>
      </c>
      <c r="AL2582">
        <v>91.897282204805805</v>
      </c>
      <c r="AM2582">
        <v>90.144735357130003</v>
      </c>
      <c r="AN2582">
        <v>1.00000000134623</v>
      </c>
    </row>
    <row r="2583" spans="1:40" x14ac:dyDescent="0.25">
      <c r="A2583" t="str">
        <f>"20190312161008586"</f>
        <v>20190312161008586</v>
      </c>
      <c r="B2583" t="str">
        <f>"1552378208578887"</f>
        <v>1552378208578887</v>
      </c>
      <c r="C2583" t="s">
        <v>40</v>
      </c>
      <c r="D2583">
        <v>5.2177419999999897</v>
      </c>
      <c r="E2583">
        <v>0.31229889999999999</v>
      </c>
      <c r="F2583" t="s">
        <v>81</v>
      </c>
      <c r="G2583">
        <v>-470.15</v>
      </c>
      <c r="H2583">
        <v>0.17511689999999999</v>
      </c>
      <c r="I2583">
        <v>189.85159999999999</v>
      </c>
      <c r="J2583">
        <v>-493.75150000000002</v>
      </c>
      <c r="K2583">
        <v>1.1110690000000001</v>
      </c>
      <c r="L2583">
        <v>260.20060000000001</v>
      </c>
      <c r="M2583">
        <v>-0.139404799999999</v>
      </c>
      <c r="N2583">
        <v>0</v>
      </c>
      <c r="O2583">
        <v>-0.99016389999999999</v>
      </c>
      <c r="P2583">
        <v>-0.13609939999999901</v>
      </c>
      <c r="Q2583">
        <v>-4.5077899999999997E-2</v>
      </c>
      <c r="R2583">
        <v>-0.98966929999999997</v>
      </c>
      <c r="S2583">
        <v>1.063599</v>
      </c>
      <c r="T2583">
        <v>-4.2211060000000002E-2</v>
      </c>
      <c r="U2583">
        <v>-3.1800540000000002</v>
      </c>
      <c r="V2583">
        <v>-3.1251959999999998E-3</v>
      </c>
      <c r="W2583">
        <v>-3.3183749999999998E-2</v>
      </c>
      <c r="X2583">
        <v>0.99944440000000001</v>
      </c>
      <c r="Y2583">
        <v>-0.44628279999999998</v>
      </c>
      <c r="Z2583">
        <v>1.2051040000000001E-2</v>
      </c>
      <c r="AA2583">
        <v>0.89481080000000002</v>
      </c>
      <c r="AB2583">
        <v>16</v>
      </c>
      <c r="AC2583">
        <v>23.601500000000001</v>
      </c>
      <c r="AD2583">
        <v>-0.93595209999999995</v>
      </c>
      <c r="AE2583">
        <v>-70.349000000000004</v>
      </c>
      <c r="AF2583">
        <v>-33.173415343204198</v>
      </c>
      <c r="AG2583">
        <v>-0.93595209999999995</v>
      </c>
      <c r="AH2583">
        <v>66.361024126209003</v>
      </c>
      <c r="AI2583">
        <v>90.722775974300404</v>
      </c>
      <c r="AJ2583">
        <v>116.560149149151</v>
      </c>
      <c r="AK2583">
        <v>74.196610535424895</v>
      </c>
      <c r="AL2583">
        <v>91.901637899029595</v>
      </c>
      <c r="AM2583">
        <v>90.179159498371007</v>
      </c>
      <c r="AN2583">
        <v>1.00000001840273</v>
      </c>
    </row>
    <row r="2584" spans="1:40" x14ac:dyDescent="0.25">
      <c r="A2584" t="str">
        <f>"20190312161008608"</f>
        <v>20190312161008608</v>
      </c>
      <c r="B2584" t="str">
        <f>"1552378208598411"</f>
        <v>1552378208598411</v>
      </c>
      <c r="C2584" t="s">
        <v>40</v>
      </c>
      <c r="D2584">
        <v>5.3334539999999997</v>
      </c>
      <c r="E2584">
        <v>0.31261109999999998</v>
      </c>
      <c r="F2584" t="s">
        <v>81</v>
      </c>
      <c r="G2584">
        <v>-470.15</v>
      </c>
      <c r="H2584">
        <v>0.18612409999999999</v>
      </c>
      <c r="I2584">
        <v>190.20849999999999</v>
      </c>
      <c r="J2584">
        <v>-493.77030000000002</v>
      </c>
      <c r="K2584">
        <v>1.111094</v>
      </c>
      <c r="L2584">
        <v>260.04750000000001</v>
      </c>
      <c r="M2584">
        <v>-0.13718459999999999</v>
      </c>
      <c r="N2584">
        <v>0</v>
      </c>
      <c r="O2584">
        <v>-0.99047110000000005</v>
      </c>
      <c r="P2584">
        <v>-0.13406560000000001</v>
      </c>
      <c r="Q2584">
        <v>-4.5295439999999999E-2</v>
      </c>
      <c r="R2584">
        <v>-0.98993710000000001</v>
      </c>
      <c r="S2584">
        <v>1.0712280000000001</v>
      </c>
      <c r="T2584">
        <v>-4.1979549999999997E-2</v>
      </c>
      <c r="U2584">
        <v>-3.1767880000000002</v>
      </c>
      <c r="V2584">
        <v>-2.936953E-3</v>
      </c>
      <c r="W2584">
        <v>-3.3154330000000003E-2</v>
      </c>
      <c r="X2584">
        <v>0.9994459</v>
      </c>
      <c r="Y2584">
        <v>-0.44648490000000002</v>
      </c>
      <c r="Z2584">
        <v>1.1997560000000001E-2</v>
      </c>
      <c r="AA2584">
        <v>0.89471069999999997</v>
      </c>
      <c r="AB2584">
        <v>16</v>
      </c>
      <c r="AC2584">
        <v>23.6203</v>
      </c>
      <c r="AD2584">
        <v>-0.92496990000000001</v>
      </c>
      <c r="AE2584">
        <v>-69.838999999999999</v>
      </c>
      <c r="AF2584">
        <v>-32.973299949622501</v>
      </c>
      <c r="AG2584">
        <v>-0.92496990000000001</v>
      </c>
      <c r="AH2584">
        <v>65.927651625268496</v>
      </c>
      <c r="AI2584">
        <v>90.718918833792898</v>
      </c>
      <c r="AJ2584">
        <v>116.571637753085</v>
      </c>
      <c r="AK2584">
        <v>73.7193958718223</v>
      </c>
      <c r="AL2584">
        <v>91.899951418996594</v>
      </c>
      <c r="AM2584">
        <v>90.168367819773493</v>
      </c>
      <c r="AN2584">
        <v>0.99999997115874095</v>
      </c>
    </row>
    <row r="2585" spans="1:40" x14ac:dyDescent="0.25">
      <c r="A2585" t="str">
        <f>"20190312161008630"</f>
        <v>20190312161008630</v>
      </c>
      <c r="B2585" t="str">
        <f>"1552378208628663"</f>
        <v>1552378208628663</v>
      </c>
      <c r="C2585" t="s">
        <v>40</v>
      </c>
      <c r="D2585">
        <v>5.5528370000000002</v>
      </c>
      <c r="E2585">
        <v>0.33508349999999998</v>
      </c>
      <c r="F2585" t="s">
        <v>81</v>
      </c>
      <c r="G2585">
        <v>-470.15</v>
      </c>
      <c r="H2585">
        <v>0.20391980000000001</v>
      </c>
      <c r="I2585">
        <v>190.3099</v>
      </c>
      <c r="J2585">
        <v>-493.78910000000002</v>
      </c>
      <c r="K2585">
        <v>1.1111070000000001</v>
      </c>
      <c r="L2585">
        <v>259.89190000000002</v>
      </c>
      <c r="M2585">
        <v>-0.13492579999999901</v>
      </c>
      <c r="N2585">
        <v>0</v>
      </c>
      <c r="O2585">
        <v>-0.99077850000000001</v>
      </c>
      <c r="P2585">
        <v>-0.13207759999999999</v>
      </c>
      <c r="Q2585">
        <v>-4.5552290000000002E-2</v>
      </c>
      <c r="R2585">
        <v>-0.99019250000000003</v>
      </c>
      <c r="S2585">
        <v>1.075134</v>
      </c>
      <c r="T2585">
        <v>-4.1290519999999997E-2</v>
      </c>
      <c r="U2585">
        <v>-3.174255</v>
      </c>
      <c r="V2585">
        <v>-2.6638740000000001E-3</v>
      </c>
      <c r="W2585">
        <v>-3.318666E-2</v>
      </c>
      <c r="X2585">
        <v>0.99944560000000005</v>
      </c>
      <c r="Y2585">
        <v>-0.44564969999999998</v>
      </c>
      <c r="Z2585">
        <v>1.1815920000000001E-2</v>
      </c>
      <c r="AA2585">
        <v>0.89512939999999996</v>
      </c>
      <c r="AB2585">
        <v>16</v>
      </c>
      <c r="AC2585">
        <v>23.639099999999999</v>
      </c>
      <c r="AD2585">
        <v>-0.90718719999999997</v>
      </c>
      <c r="AE2585">
        <v>-69.581999999999994</v>
      </c>
      <c r="AF2585">
        <v>-32.807029609394199</v>
      </c>
      <c r="AG2585">
        <v>-0.90718719999999997</v>
      </c>
      <c r="AH2585">
        <v>65.745836217676299</v>
      </c>
      <c r="AI2585">
        <v>90.707372561698193</v>
      </c>
      <c r="AJ2585">
        <v>116.51909667981</v>
      </c>
      <c r="AK2585">
        <v>73.482237039770595</v>
      </c>
      <c r="AL2585">
        <v>91.901804796604694</v>
      </c>
      <c r="AM2585">
        <v>90.152713040035593</v>
      </c>
      <c r="AN2585">
        <v>0.99999997899300097</v>
      </c>
    </row>
    <row r="2586" spans="1:40" x14ac:dyDescent="0.25">
      <c r="A2586" t="str">
        <f>"20190312161008654"</f>
        <v>20190312161008654</v>
      </c>
      <c r="B2586" t="str">
        <f>"1552378208648183"</f>
        <v>1552378208648183</v>
      </c>
      <c r="C2586" t="s">
        <v>40</v>
      </c>
      <c r="D2586">
        <v>5.3316210000000002</v>
      </c>
      <c r="E2586">
        <v>0.38380170000000002</v>
      </c>
      <c r="F2586" t="s">
        <v>41</v>
      </c>
      <c r="G2586">
        <v>-476.42200000000003</v>
      </c>
      <c r="H2586">
        <v>7.9986929999999998E-2</v>
      </c>
      <c r="I2586">
        <v>199.46119999999999</v>
      </c>
      <c r="J2586">
        <v>-493.8082</v>
      </c>
      <c r="K2586">
        <v>1.1111120000000001</v>
      </c>
      <c r="L2586">
        <v>259.73070000000001</v>
      </c>
      <c r="M2586">
        <v>-0.132578</v>
      </c>
      <c r="N2586">
        <v>0</v>
      </c>
      <c r="O2586">
        <v>-0.99109270000000005</v>
      </c>
      <c r="P2586">
        <v>-0.13036339999999999</v>
      </c>
      <c r="Q2586">
        <v>-4.557829E-2</v>
      </c>
      <c r="R2586">
        <v>-0.99041829999999997</v>
      </c>
      <c r="S2586">
        <v>0.90466310000000005</v>
      </c>
      <c r="T2586">
        <v>-5.3711889999999998E-2</v>
      </c>
      <c r="U2586">
        <v>-3.147888</v>
      </c>
      <c r="V2586">
        <v>-2.027184E-3</v>
      </c>
      <c r="W2586">
        <v>-3.3006639999999997E-2</v>
      </c>
      <c r="X2586">
        <v>0.99945309999999998</v>
      </c>
      <c r="Y2586">
        <v>-0.40116400000000002</v>
      </c>
      <c r="Z2586">
        <v>1.5796890000000001E-2</v>
      </c>
      <c r="AA2586">
        <v>0.91587010000000002</v>
      </c>
      <c r="AB2586">
        <v>16</v>
      </c>
      <c r="AC2586">
        <v>17.386199999999999</v>
      </c>
      <c r="AD2586">
        <v>-1.0311250700000001</v>
      </c>
      <c r="AE2586">
        <v>-60.269500000000001</v>
      </c>
      <c r="AF2586">
        <v>-25.2169286073247</v>
      </c>
      <c r="AG2586">
        <v>-1.0311250700000001</v>
      </c>
      <c r="AH2586">
        <v>57.416665839028099</v>
      </c>
      <c r="AI2586">
        <v>90.942012744893006</v>
      </c>
      <c r="AJ2586">
        <v>113.710687141779</v>
      </c>
      <c r="AK2586">
        <v>62.718659291852802</v>
      </c>
      <c r="AL2586">
        <v>91.891484672290602</v>
      </c>
      <c r="AM2586">
        <v>90.116212484826704</v>
      </c>
      <c r="AN2586">
        <v>1.00000002342933</v>
      </c>
    </row>
    <row r="2587" spans="1:40" x14ac:dyDescent="0.25">
      <c r="A2587" t="str">
        <f>"20190312161008676"</f>
        <v>20190312161008676</v>
      </c>
      <c r="B2587" t="str">
        <f>"1552378208668679"</f>
        <v>1552378208668679</v>
      </c>
      <c r="C2587" t="s">
        <v>40</v>
      </c>
      <c r="D2587">
        <v>5.3076230000000004</v>
      </c>
      <c r="E2587">
        <v>0.39058880000000001</v>
      </c>
      <c r="F2587" t="s">
        <v>59</v>
      </c>
      <c r="G2587">
        <v>-488.31849999999997</v>
      </c>
      <c r="H2587" s="1">
        <v>5.543601E-6</v>
      </c>
      <c r="I2587">
        <v>227.50819999999999</v>
      </c>
      <c r="J2587">
        <v>-493.8261</v>
      </c>
      <c r="K2587">
        <v>1.1111150000000001</v>
      </c>
      <c r="L2587">
        <v>259.5754</v>
      </c>
      <c r="M2587">
        <v>-0.1303098</v>
      </c>
      <c r="N2587">
        <v>0</v>
      </c>
      <c r="O2587">
        <v>-0.99139129999999998</v>
      </c>
      <c r="P2587">
        <v>-0.12849829999999901</v>
      </c>
      <c r="Q2587">
        <v>-4.579312E-2</v>
      </c>
      <c r="R2587">
        <v>-0.99065210000000004</v>
      </c>
      <c r="S2587">
        <v>0.52703859999999902</v>
      </c>
      <c r="T2587">
        <v>-0.10667119999999999</v>
      </c>
      <c r="U2587">
        <v>-3.0935060000000001</v>
      </c>
      <c r="V2587">
        <v>-1.6216150000000001E-3</v>
      </c>
      <c r="W2587">
        <v>-3.304845E-2</v>
      </c>
      <c r="X2587">
        <v>0.99945240000000002</v>
      </c>
      <c r="Y2587">
        <v>-0.2948925</v>
      </c>
      <c r="Z2587">
        <v>3.3015500000000003E-2</v>
      </c>
      <c r="AA2587">
        <v>0.95495989999999997</v>
      </c>
      <c r="AB2587">
        <v>16</v>
      </c>
      <c r="AC2587">
        <v>5.5076000000000196</v>
      </c>
      <c r="AD2587">
        <v>-1.1111094563989901</v>
      </c>
      <c r="AE2587">
        <v>-32.0672</v>
      </c>
      <c r="AF2587">
        <v>-9.6284126324013304</v>
      </c>
      <c r="AG2587">
        <v>-1.1111094563989901</v>
      </c>
      <c r="AH2587">
        <v>31.0397781532082</v>
      </c>
      <c r="AI2587">
        <v>91.958134762408903</v>
      </c>
      <c r="AJ2587">
        <v>107.23367698672099</v>
      </c>
      <c r="AK2587">
        <v>32.517821603610997</v>
      </c>
      <c r="AL2587">
        <v>91.893881627520301</v>
      </c>
      <c r="AM2587">
        <v>90.092962520240704</v>
      </c>
      <c r="AN2587">
        <v>0.99999996477418396</v>
      </c>
    </row>
    <row r="2588" spans="1:40" x14ac:dyDescent="0.25">
      <c r="A2588" t="str">
        <f>"20190312161008697"</f>
        <v>20190312161008697</v>
      </c>
      <c r="B2588" t="str">
        <f>"1552378208688217"</f>
        <v>1552378208688217</v>
      </c>
      <c r="C2588" t="s">
        <v>40</v>
      </c>
      <c r="D2588">
        <v>5.3216340000000004</v>
      </c>
      <c r="E2588">
        <v>0.39329710000000001</v>
      </c>
      <c r="F2588" t="s">
        <v>41</v>
      </c>
      <c r="G2588">
        <v>-489.3571</v>
      </c>
      <c r="H2588" s="1">
        <v>-6.3903960000000001E-7</v>
      </c>
      <c r="I2588">
        <v>230.85659999999999</v>
      </c>
      <c r="J2588">
        <v>-493.84309999999999</v>
      </c>
      <c r="K2588">
        <v>1.11111</v>
      </c>
      <c r="L2588">
        <v>259.42610000000002</v>
      </c>
      <c r="M2588">
        <v>-0.1281245</v>
      </c>
      <c r="N2588">
        <v>0</v>
      </c>
      <c r="O2588">
        <v>-0.99167430000000001</v>
      </c>
      <c r="P2588">
        <v>-0.12625129999999901</v>
      </c>
      <c r="Q2588">
        <v>-4.5893539999999997E-2</v>
      </c>
      <c r="R2588">
        <v>-0.9909365</v>
      </c>
      <c r="S2588">
        <v>0.480072</v>
      </c>
      <c r="T2588">
        <v>-0.11935999999999999</v>
      </c>
      <c r="U2588">
        <v>-3.085083</v>
      </c>
      <c r="V2588">
        <v>-1.685955E-3</v>
      </c>
      <c r="W2588">
        <v>-3.3004539999999999E-2</v>
      </c>
      <c r="X2588">
        <v>0.99945379999999995</v>
      </c>
      <c r="Y2588">
        <v>-0.27899499999999999</v>
      </c>
      <c r="Z2588">
        <v>3.7189800000000002E-2</v>
      </c>
      <c r="AA2588">
        <v>0.95957210000000004</v>
      </c>
      <c r="AB2588">
        <v>16</v>
      </c>
      <c r="AC2588">
        <v>4.48599999999999</v>
      </c>
      <c r="AD2588">
        <v>-1.1111106390395999</v>
      </c>
      <c r="AE2588">
        <v>-28.569500000000001</v>
      </c>
      <c r="AF2588">
        <v>-8.0978241136724698</v>
      </c>
      <c r="AG2588">
        <v>-1.1111106390395999</v>
      </c>
      <c r="AH2588">
        <v>27.718262818199001</v>
      </c>
      <c r="AI2588">
        <v>92.203508809119</v>
      </c>
      <c r="AJ2588">
        <v>106.285596822572</v>
      </c>
      <c r="AK2588">
        <v>28.898294342173799</v>
      </c>
      <c r="AL2588">
        <v>91.891364291638695</v>
      </c>
      <c r="AM2588">
        <v>90.0966508049938</v>
      </c>
      <c r="AN2588">
        <v>1.00000002021965</v>
      </c>
    </row>
    <row r="2589" spans="1:40" x14ac:dyDescent="0.25">
      <c r="A2589" t="str">
        <f>"20190312161008720"</f>
        <v>20190312161008720</v>
      </c>
      <c r="B2589" t="str">
        <f>"1552378208708699"</f>
        <v>1552378208708699</v>
      </c>
      <c r="C2589" t="s">
        <v>40</v>
      </c>
      <c r="D2589">
        <v>5.3365530000000003</v>
      </c>
      <c r="E2589">
        <v>0.39510190000000001</v>
      </c>
      <c r="F2589" t="s">
        <v>41</v>
      </c>
      <c r="G2589">
        <v>-489.55799999999999</v>
      </c>
      <c r="H2589" s="1">
        <v>-7.0316029999999998E-7</v>
      </c>
      <c r="I2589">
        <v>231.0891</v>
      </c>
      <c r="J2589">
        <v>-493.8605</v>
      </c>
      <c r="K2589">
        <v>1.1111009999999999</v>
      </c>
      <c r="L2589">
        <v>259.26990000000001</v>
      </c>
      <c r="M2589">
        <v>-0.1258398</v>
      </c>
      <c r="N2589">
        <v>0</v>
      </c>
      <c r="O2589">
        <v>-0.99196519999999999</v>
      </c>
      <c r="P2589">
        <v>-0.1230822</v>
      </c>
      <c r="Q2589">
        <v>-4.5933219999999997E-2</v>
      </c>
      <c r="R2589">
        <v>-0.99133300000000002</v>
      </c>
      <c r="S2589">
        <v>0.46594239999999998</v>
      </c>
      <c r="T2589">
        <v>-0.12081740000000001</v>
      </c>
      <c r="U2589">
        <v>-3.0812379999999999</v>
      </c>
      <c r="V2589">
        <v>-2.5790660000000001E-3</v>
      </c>
      <c r="W2589">
        <v>-3.2918240000000001E-2</v>
      </c>
      <c r="X2589">
        <v>0.99945470000000003</v>
      </c>
      <c r="Y2589">
        <v>-0.27265709999999999</v>
      </c>
      <c r="Z2589">
        <v>3.7755249999999997E-2</v>
      </c>
      <c r="AA2589">
        <v>0.96137019999999995</v>
      </c>
      <c r="AB2589">
        <v>16</v>
      </c>
      <c r="AC2589">
        <v>4.3024999999999496</v>
      </c>
      <c r="AD2589">
        <v>-1.1111017031603001</v>
      </c>
      <c r="AE2589">
        <v>-28.180800000000001</v>
      </c>
      <c r="AF2589">
        <v>-7.8030046524649199</v>
      </c>
      <c r="AG2589">
        <v>-1.1111017031603001</v>
      </c>
      <c r="AH2589">
        <v>27.3736850683044</v>
      </c>
      <c r="AI2589">
        <v>92.235416276168806</v>
      </c>
      <c r="AJ2589">
        <v>105.910464207182</v>
      </c>
      <c r="AK2589">
        <v>28.485787031779001</v>
      </c>
      <c r="AL2589">
        <v>91.886417054131996</v>
      </c>
      <c r="AM2589">
        <v>90.147849891441297</v>
      </c>
      <c r="AN2589">
        <v>0.99999997972910903</v>
      </c>
    </row>
    <row r="2590" spans="1:40" x14ac:dyDescent="0.25">
      <c r="A2590" t="str">
        <f>"20190312161008742"</f>
        <v>20190312161008742</v>
      </c>
      <c r="B2590" t="str">
        <f>"1552378208737975"</f>
        <v>1552378208737975</v>
      </c>
      <c r="C2590" t="s">
        <v>40</v>
      </c>
      <c r="D2590">
        <v>5.3701629999999998</v>
      </c>
      <c r="E2590">
        <v>0.39666289999999998</v>
      </c>
      <c r="F2590" t="s">
        <v>41</v>
      </c>
      <c r="G2590">
        <v>-489.7303</v>
      </c>
      <c r="H2590" s="1">
        <v>-9.4877739999999999E-7</v>
      </c>
      <c r="I2590">
        <v>231.7329</v>
      </c>
      <c r="J2590">
        <v>-493.8777</v>
      </c>
      <c r="K2590">
        <v>1.1111009999999999</v>
      </c>
      <c r="L2590">
        <v>259.11239999999998</v>
      </c>
      <c r="M2590">
        <v>-0.1235358</v>
      </c>
      <c r="N2590">
        <v>0</v>
      </c>
      <c r="O2590">
        <v>-0.99225350000000001</v>
      </c>
      <c r="P2590">
        <v>-0.1199445</v>
      </c>
      <c r="Q2590">
        <v>-4.607518E-2</v>
      </c>
      <c r="R2590">
        <v>-0.99171129999999996</v>
      </c>
      <c r="S2590">
        <v>0.46163939999999998</v>
      </c>
      <c r="T2590">
        <v>-0.1241881</v>
      </c>
      <c r="U2590">
        <v>-3.07782</v>
      </c>
      <c r="V2590">
        <v>-3.4202199999999999E-3</v>
      </c>
      <c r="W2590">
        <v>-3.295816E-2</v>
      </c>
      <c r="X2590">
        <v>0.99945090000000003</v>
      </c>
      <c r="Y2590">
        <v>-0.26925840000000001</v>
      </c>
      <c r="Z2590">
        <v>3.8890149999999998E-2</v>
      </c>
      <c r="AA2590">
        <v>0.96228239999999998</v>
      </c>
      <c r="AB2590">
        <v>16</v>
      </c>
      <c r="AC2590">
        <v>4.1474000000000002</v>
      </c>
      <c r="AD2590">
        <v>-1.1111019487773901</v>
      </c>
      <c r="AE2590">
        <v>-27.379499999999901</v>
      </c>
      <c r="AF2590">
        <v>-7.4862128957019403</v>
      </c>
      <c r="AG2590">
        <v>-1.1111019487773901</v>
      </c>
      <c r="AH2590">
        <v>26.6144963920623</v>
      </c>
      <c r="AI2590">
        <v>92.301387307494593</v>
      </c>
      <c r="AJ2590">
        <v>105.71040495220301</v>
      </c>
      <c r="AK2590">
        <v>27.6696467137448</v>
      </c>
      <c r="AL2590">
        <v>91.888705467624405</v>
      </c>
      <c r="AM2590">
        <v>90.196071068672097</v>
      </c>
      <c r="AN2590">
        <v>1.00000001986312</v>
      </c>
    </row>
    <row r="2591" spans="1:40" x14ac:dyDescent="0.25">
      <c r="A2591" t="str">
        <f>"20190312161008766"</f>
        <v>20190312161008766</v>
      </c>
      <c r="B2591" t="str">
        <f>"1552378208758471"</f>
        <v>1552378208758471</v>
      </c>
      <c r="C2591" t="s">
        <v>40</v>
      </c>
      <c r="D2591">
        <v>5.4070729999999996</v>
      </c>
      <c r="E2591">
        <v>0.39738560000000001</v>
      </c>
      <c r="F2591" t="s">
        <v>41</v>
      </c>
      <c r="G2591">
        <v>-489.80329999999998</v>
      </c>
      <c r="H2591" s="1">
        <v>-9.7966350000000007E-7</v>
      </c>
      <c r="I2591">
        <v>231.83500000000001</v>
      </c>
      <c r="J2591">
        <v>-493.89490000000001</v>
      </c>
      <c r="K2591">
        <v>1.1111</v>
      </c>
      <c r="L2591">
        <v>258.9511</v>
      </c>
      <c r="M2591">
        <v>-0.12118</v>
      </c>
      <c r="N2591">
        <v>0</v>
      </c>
      <c r="O2591">
        <v>-0.99254260000000005</v>
      </c>
      <c r="P2591">
        <v>-0.116438</v>
      </c>
      <c r="Q2591">
        <v>-4.534241E-2</v>
      </c>
      <c r="R2591">
        <v>-0.99216280000000001</v>
      </c>
      <c r="S2591">
        <v>0.45928960000000002</v>
      </c>
      <c r="T2591">
        <v>-0.12524749999999901</v>
      </c>
      <c r="U2591">
        <v>-3.0747990000000001</v>
      </c>
      <c r="V2591">
        <v>-4.586995E-3</v>
      </c>
      <c r="W2591">
        <v>-3.2144970000000002E-2</v>
      </c>
      <c r="X2591">
        <v>0.99947269999999999</v>
      </c>
      <c r="Y2591">
        <v>-0.26638840000000003</v>
      </c>
      <c r="Z2591">
        <v>3.9295480000000001E-2</v>
      </c>
      <c r="AA2591">
        <v>0.96306440000000004</v>
      </c>
      <c r="AB2591">
        <v>16</v>
      </c>
      <c r="AC2591">
        <v>4.0916000000000201</v>
      </c>
      <c r="AD2591">
        <v>-1.1111009796635001</v>
      </c>
      <c r="AE2591">
        <v>-27.1160999999999</v>
      </c>
      <c r="AF2591">
        <v>-7.3356153921225102</v>
      </c>
      <c r="AG2591">
        <v>-1.1111009796635001</v>
      </c>
      <c r="AH2591">
        <v>26.377069445537899</v>
      </c>
      <c r="AI2591">
        <v>92.3239907626715</v>
      </c>
      <c r="AJ2591">
        <v>105.541556288324</v>
      </c>
      <c r="AK2591">
        <v>27.4006494649832</v>
      </c>
      <c r="AL2591">
        <v>91.842088428279695</v>
      </c>
      <c r="AM2591">
        <v>90.262952263695894</v>
      </c>
      <c r="AN2591">
        <v>1.00000000883236</v>
      </c>
    </row>
    <row r="2592" spans="1:40" x14ac:dyDescent="0.25">
      <c r="A2592" t="str">
        <f>"20190312161008789"</f>
        <v>20190312161008789</v>
      </c>
      <c r="B2592" t="str">
        <f>"1552378208778968"</f>
        <v>1552378208778968</v>
      </c>
      <c r="C2592" t="s">
        <v>40</v>
      </c>
      <c r="D2592">
        <v>5.4263209999999997</v>
      </c>
      <c r="E2592">
        <v>0.3979876</v>
      </c>
      <c r="F2592" t="s">
        <v>41</v>
      </c>
      <c r="G2592">
        <v>-489.75990000000002</v>
      </c>
      <c r="H2592" s="1">
        <v>-8.8414509999999899E-7</v>
      </c>
      <c r="I2592">
        <v>231.59440000000001</v>
      </c>
      <c r="J2592">
        <v>-493.91140000000001</v>
      </c>
      <c r="K2592">
        <v>1.1111120000000001</v>
      </c>
      <c r="L2592">
        <v>258.79289999999997</v>
      </c>
      <c r="M2592">
        <v>-0.1188688</v>
      </c>
      <c r="N2592">
        <v>0</v>
      </c>
      <c r="O2592">
        <v>-0.99282119999999996</v>
      </c>
      <c r="P2592">
        <v>-0.1129502</v>
      </c>
      <c r="Q2592">
        <v>-4.4163630000000002E-2</v>
      </c>
      <c r="R2592">
        <v>-0.99261880000000002</v>
      </c>
      <c r="S2592">
        <v>0.46441650000000001</v>
      </c>
      <c r="T2592">
        <v>-0.1247904</v>
      </c>
      <c r="U2592">
        <v>-3.072495</v>
      </c>
      <c r="V2592">
        <v>-5.7815409999999899E-3</v>
      </c>
      <c r="W2592">
        <v>-3.0906929999999999E-2</v>
      </c>
      <c r="X2592">
        <v>0.99950550000000005</v>
      </c>
      <c r="Y2592">
        <v>-0.26582220000000001</v>
      </c>
      <c r="Z2592">
        <v>3.9196620000000001E-2</v>
      </c>
      <c r="AA2592">
        <v>0.96322490000000005</v>
      </c>
      <c r="AB2592">
        <v>16</v>
      </c>
      <c r="AC2592">
        <v>4.1514999999999898</v>
      </c>
      <c r="AD2592">
        <v>-1.1111128841450999</v>
      </c>
      <c r="AE2592">
        <v>-27.1984999999999</v>
      </c>
      <c r="AF2592">
        <v>-7.3434222732967003</v>
      </c>
      <c r="AG2592">
        <v>-1.1111128841450999</v>
      </c>
      <c r="AH2592">
        <v>26.468932494015899</v>
      </c>
      <c r="AI2592">
        <v>92.316358594763301</v>
      </c>
      <c r="AJ2592">
        <v>105.505904634907</v>
      </c>
      <c r="AK2592">
        <v>27.491176946395601</v>
      </c>
      <c r="AL2592">
        <v>91.771118777019495</v>
      </c>
      <c r="AM2592">
        <v>90.331418090149199</v>
      </c>
      <c r="AN2592">
        <v>0.99999995453430301</v>
      </c>
    </row>
    <row r="2593" spans="1:40" x14ac:dyDescent="0.25">
      <c r="A2593" t="str">
        <f>"20190312161008811"</f>
        <v>20190312161008811</v>
      </c>
      <c r="B2593" t="str">
        <f>"1552378208798491"</f>
        <v>1552378208798491</v>
      </c>
      <c r="C2593" t="s">
        <v>40</v>
      </c>
      <c r="D2593">
        <v>5.4436540000000004</v>
      </c>
      <c r="E2593">
        <v>0.3986035</v>
      </c>
      <c r="F2593" t="s">
        <v>41</v>
      </c>
      <c r="G2593">
        <v>-489.661</v>
      </c>
      <c r="H2593" s="1">
        <v>-6.6873919999999995E-7</v>
      </c>
      <c r="I2593">
        <v>231.0515</v>
      </c>
      <c r="J2593">
        <v>-493.9264</v>
      </c>
      <c r="K2593">
        <v>1.111111</v>
      </c>
      <c r="L2593">
        <v>258.64479999999998</v>
      </c>
      <c r="M2593">
        <v>-0.1167058</v>
      </c>
      <c r="N2593">
        <v>0</v>
      </c>
      <c r="O2593">
        <v>-0.99307719999999999</v>
      </c>
      <c r="P2593">
        <v>-0.1098845</v>
      </c>
      <c r="Q2593">
        <v>-4.2919539999999999E-2</v>
      </c>
      <c r="R2593">
        <v>-0.9930175</v>
      </c>
      <c r="S2593">
        <v>0.47042850000000003</v>
      </c>
      <c r="T2593">
        <v>-0.12297710000000001</v>
      </c>
      <c r="U2593">
        <v>-3.0704039999999999</v>
      </c>
      <c r="V2593">
        <v>-6.6997350000000001E-3</v>
      </c>
      <c r="W2593">
        <v>-2.9621089999999999E-2</v>
      </c>
      <c r="X2593">
        <v>0.9995387</v>
      </c>
      <c r="Y2593">
        <v>-0.2656657</v>
      </c>
      <c r="Z2593">
        <v>3.8664499999999997E-2</v>
      </c>
      <c r="AA2593">
        <v>0.96328959999999997</v>
      </c>
      <c r="AB2593">
        <v>16</v>
      </c>
      <c r="AC2593">
        <v>4.2653999999999996</v>
      </c>
      <c r="AD2593">
        <v>-1.1111116687392</v>
      </c>
      <c r="AE2593">
        <v>-27.5932999999999</v>
      </c>
      <c r="AF2593">
        <v>-7.4450410465908501</v>
      </c>
      <c r="AG2593">
        <v>-1.1111116687392</v>
      </c>
      <c r="AH2593">
        <v>26.864324307723699</v>
      </c>
      <c r="AI2593">
        <v>92.282476529777895</v>
      </c>
      <c r="AJ2593">
        <v>105.489908146327</v>
      </c>
      <c r="AK2593">
        <v>27.899016574717901</v>
      </c>
      <c r="AL2593">
        <v>91.697411801942707</v>
      </c>
      <c r="AM2593">
        <v>90.384037947444995</v>
      </c>
      <c r="AN2593">
        <v>0.99999995410977305</v>
      </c>
    </row>
    <row r="2594" spans="1:40" x14ac:dyDescent="0.25">
      <c r="A2594" t="str">
        <f>"20190312161008832"</f>
        <v>20190312161008832</v>
      </c>
      <c r="B2594" t="str">
        <f>"1552378208828743"</f>
        <v>1552378208828743</v>
      </c>
      <c r="C2594" t="s">
        <v>40</v>
      </c>
      <c r="D2594">
        <v>5.4486460000000001</v>
      </c>
      <c r="E2594">
        <v>0.39950910000000001</v>
      </c>
      <c r="F2594" t="s">
        <v>41</v>
      </c>
      <c r="G2594">
        <v>-489.53269999999998</v>
      </c>
      <c r="H2594" s="1">
        <v>-3.5144900000000001E-7</v>
      </c>
      <c r="I2594">
        <v>230.25880000000001</v>
      </c>
      <c r="J2594">
        <v>-493.94099999999997</v>
      </c>
      <c r="K2594">
        <v>1.1111219999999999</v>
      </c>
      <c r="L2594">
        <v>258.4984</v>
      </c>
      <c r="M2594">
        <v>-0.1145646</v>
      </c>
      <c r="N2594">
        <v>0</v>
      </c>
      <c r="O2594">
        <v>-0.99332619999999905</v>
      </c>
      <c r="P2594">
        <v>-0.1071522</v>
      </c>
      <c r="Q2594">
        <v>-4.2392249999999999E-2</v>
      </c>
      <c r="R2594">
        <v>-0.99333859999999996</v>
      </c>
      <c r="S2594">
        <v>0.47494510000000001</v>
      </c>
      <c r="T2594">
        <v>-0.1201074</v>
      </c>
      <c r="U2594">
        <v>-3.0684360000000002</v>
      </c>
      <c r="V2594">
        <v>-7.2989600000000002E-3</v>
      </c>
      <c r="W2594">
        <v>-2.9063459999999999E-2</v>
      </c>
      <c r="X2594">
        <v>0.99955090000000002</v>
      </c>
      <c r="Y2594">
        <v>-0.26507019999999998</v>
      </c>
      <c r="Z2594">
        <v>3.7801109999999999E-2</v>
      </c>
      <c r="AA2594">
        <v>0.96348789999999995</v>
      </c>
      <c r="AB2594">
        <v>16</v>
      </c>
      <c r="AC2594">
        <v>4.4082999999999899</v>
      </c>
      <c r="AD2594">
        <v>-1.1111223514489901</v>
      </c>
      <c r="AE2594">
        <v>-28.239599999999999</v>
      </c>
      <c r="AF2594">
        <v>-7.6033252610959901</v>
      </c>
      <c r="AG2594">
        <v>-1.1111223514489901</v>
      </c>
      <c r="AH2594">
        <v>27.506980250931498</v>
      </c>
      <c r="AI2594">
        <v>92.229638544236494</v>
      </c>
      <c r="AJ2594">
        <v>105.451565074173</v>
      </c>
      <c r="AK2594">
        <v>28.560096470968801</v>
      </c>
      <c r="AL2594">
        <v>91.665448147583604</v>
      </c>
      <c r="AM2594">
        <v>90.418380064382106</v>
      </c>
      <c r="AN2594">
        <v>0.99999998060753104</v>
      </c>
    </row>
    <row r="2595" spans="1:40" x14ac:dyDescent="0.25">
      <c r="A2595" t="str">
        <f>"20190312161008856"</f>
        <v>20190312161008856</v>
      </c>
      <c r="B2595" t="str">
        <f>"1552378208848264"</f>
        <v>1552378208848264</v>
      </c>
      <c r="C2595" t="s">
        <v>40</v>
      </c>
      <c r="D2595">
        <v>5.4594699999999996</v>
      </c>
      <c r="E2595">
        <v>0.39994489999999999</v>
      </c>
      <c r="F2595" t="s">
        <v>41</v>
      </c>
      <c r="G2595">
        <v>-489.5052</v>
      </c>
      <c r="H2595" s="1">
        <v>-2.3350760000000001E-7</v>
      </c>
      <c r="I2595">
        <v>229.94739999999999</v>
      </c>
      <c r="J2595">
        <v>-493.95679999999999</v>
      </c>
      <c r="K2595">
        <v>1.111119</v>
      </c>
      <c r="L2595">
        <v>258.3365</v>
      </c>
      <c r="M2595">
        <v>-0.1121969</v>
      </c>
      <c r="N2595">
        <v>0</v>
      </c>
      <c r="O2595">
        <v>-0.99359600000000003</v>
      </c>
      <c r="P2595">
        <v>-0.1047168</v>
      </c>
      <c r="Q2595">
        <v>-4.1759020000000001E-2</v>
      </c>
      <c r="R2595">
        <v>-0.99362490000000003</v>
      </c>
      <c r="S2595">
        <v>0.4764099</v>
      </c>
      <c r="T2595">
        <v>-0.1193364</v>
      </c>
      <c r="U2595">
        <v>-3.0664220000000002</v>
      </c>
      <c r="V2595">
        <v>-7.3710690000000001E-3</v>
      </c>
      <c r="W2595">
        <v>-2.8408590000000001E-2</v>
      </c>
      <c r="X2595">
        <v>0.99956920000000005</v>
      </c>
      <c r="Y2595">
        <v>-0.2633182</v>
      </c>
      <c r="Z2595">
        <v>3.7606790000000001E-2</v>
      </c>
      <c r="AA2595">
        <v>0.96397580000000005</v>
      </c>
      <c r="AB2595">
        <v>16</v>
      </c>
      <c r="AC2595">
        <v>4.4515999999999796</v>
      </c>
      <c r="AD2595">
        <v>-1.1111192335075999</v>
      </c>
      <c r="AE2595">
        <v>-28.389099999999999</v>
      </c>
      <c r="AF2595">
        <v>-7.59758230177545</v>
      </c>
      <c r="AG2595">
        <v>-1.1111192335075999</v>
      </c>
      <c r="AH2595">
        <v>27.6689508128858</v>
      </c>
      <c r="AI2595">
        <v>92.217628801534005</v>
      </c>
      <c r="AJ2595">
        <v>105.354342107752</v>
      </c>
      <c r="AK2595">
        <v>28.714607465003201</v>
      </c>
      <c r="AL2595">
        <v>91.627911353593404</v>
      </c>
      <c r="AM2595">
        <v>90.422505504435094</v>
      </c>
      <c r="AN2595">
        <v>0.99999998311631499</v>
      </c>
    </row>
    <row r="2596" spans="1:40" x14ac:dyDescent="0.25">
      <c r="A2596" t="str">
        <f>"20190312161008877"</f>
        <v>20190312161008877</v>
      </c>
      <c r="B2596" t="str">
        <f>"1552378208868760"</f>
        <v>1552378208868760</v>
      </c>
      <c r="C2596" t="s">
        <v>40</v>
      </c>
      <c r="D2596">
        <v>5.4516920000000004</v>
      </c>
      <c r="E2596">
        <v>0.40045710000000001</v>
      </c>
      <c r="F2596" t="s">
        <v>59</v>
      </c>
      <c r="G2596">
        <v>-489.42309999999998</v>
      </c>
      <c r="H2596" s="1">
        <v>6.4308149999999997E-6</v>
      </c>
      <c r="I2596">
        <v>229.42339999999999</v>
      </c>
      <c r="J2596">
        <v>-493.97109999999998</v>
      </c>
      <c r="K2596">
        <v>1.1111180000000001</v>
      </c>
      <c r="L2596">
        <v>258.18619999999999</v>
      </c>
      <c r="M2596">
        <v>-0.1099958</v>
      </c>
      <c r="N2596">
        <v>0</v>
      </c>
      <c r="O2596">
        <v>-0.99384209999999995</v>
      </c>
      <c r="P2596">
        <v>-0.1027762</v>
      </c>
      <c r="Q2596">
        <v>-4.1952749999999997E-2</v>
      </c>
      <c r="R2596">
        <v>-0.99381960000000003</v>
      </c>
      <c r="S2596">
        <v>0.48059079999999899</v>
      </c>
      <c r="T2596">
        <v>-0.117783</v>
      </c>
      <c r="U2596">
        <v>-3.0649259999999998</v>
      </c>
      <c r="V2596">
        <v>-7.1088829999999999E-3</v>
      </c>
      <c r="W2596">
        <v>-2.8596549999999998E-2</v>
      </c>
      <c r="X2596">
        <v>0.99956579999999995</v>
      </c>
      <c r="Y2596">
        <v>-0.26253910000000003</v>
      </c>
      <c r="Z2596">
        <v>3.7150160000000002E-2</v>
      </c>
      <c r="AA2596">
        <v>0.96420589999999995</v>
      </c>
      <c r="AB2596">
        <v>16</v>
      </c>
      <c r="AC2596">
        <v>4.548</v>
      </c>
      <c r="AD2596">
        <v>-1.111111569185</v>
      </c>
      <c r="AE2596">
        <v>-28.762799999999999</v>
      </c>
      <c r="AF2596">
        <v>-7.6732966387711503</v>
      </c>
      <c r="AG2596">
        <v>-1.111111569185</v>
      </c>
      <c r="AH2596">
        <v>28.047098431604301</v>
      </c>
      <c r="AI2596">
        <v>92.188302316051406</v>
      </c>
      <c r="AJ2596">
        <v>105.300909926842</v>
      </c>
      <c r="AK2596">
        <v>29.099034015888801</v>
      </c>
      <c r="AL2596">
        <v>91.638684946332305</v>
      </c>
      <c r="AM2596">
        <v>90.407479053318099</v>
      </c>
      <c r="AN2596">
        <v>1.00000004370952</v>
      </c>
    </row>
    <row r="2597" spans="1:40" x14ac:dyDescent="0.25">
      <c r="A2597" t="str">
        <f>"20190312161008899"</f>
        <v>20190312161008899</v>
      </c>
      <c r="B2597" t="str">
        <f>"1552378208888283"</f>
        <v>1552378208888283</v>
      </c>
      <c r="C2597" t="s">
        <v>40</v>
      </c>
      <c r="D2597">
        <v>5.4626960000000002</v>
      </c>
      <c r="E2597">
        <v>0.40093669999999998</v>
      </c>
      <c r="F2597" t="s">
        <v>41</v>
      </c>
      <c r="G2597">
        <v>-489.50130000000001</v>
      </c>
      <c r="H2597" s="1">
        <v>-1.8457569999999999E-7</v>
      </c>
      <c r="I2597">
        <v>229.8005</v>
      </c>
      <c r="J2597">
        <v>-493.98489999999998</v>
      </c>
      <c r="K2597">
        <v>1.1111150000000001</v>
      </c>
      <c r="L2597">
        <v>258.03769999999997</v>
      </c>
      <c r="M2597">
        <v>-0.10781930000000001</v>
      </c>
      <c r="N2597">
        <v>0</v>
      </c>
      <c r="O2597">
        <v>-0.99408079999999999</v>
      </c>
      <c r="P2597">
        <v>-0.10048940000000001</v>
      </c>
      <c r="Q2597">
        <v>-4.1533779999999999E-2</v>
      </c>
      <c r="R2597">
        <v>-0.99407109999999999</v>
      </c>
      <c r="S2597">
        <v>0.48239140000000003</v>
      </c>
      <c r="T2597">
        <v>-0.1199147</v>
      </c>
      <c r="U2597">
        <v>-3.0634459999999999</v>
      </c>
      <c r="V2597">
        <v>-7.222404E-3</v>
      </c>
      <c r="W2597">
        <v>-2.8196390000000002E-2</v>
      </c>
      <c r="X2597">
        <v>0.99957629999999997</v>
      </c>
      <c r="Y2597">
        <v>-0.2610461</v>
      </c>
      <c r="Z2597">
        <v>3.7859660000000003E-2</v>
      </c>
      <c r="AA2597">
        <v>0.96458359999999999</v>
      </c>
      <c r="AB2597">
        <v>16</v>
      </c>
      <c r="AC2597">
        <v>4.4835999999999601</v>
      </c>
      <c r="AD2597">
        <v>-1.1111151845756999</v>
      </c>
      <c r="AE2597">
        <v>-28.237199999999898</v>
      </c>
      <c r="AF2597">
        <v>-7.49093139932112</v>
      </c>
      <c r="AG2597">
        <v>-1.1111151845756999</v>
      </c>
      <c r="AH2597">
        <v>27.547495496666901</v>
      </c>
      <c r="AI2597">
        <v>92.228894274182494</v>
      </c>
      <c r="AJ2597">
        <v>105.21247786521199</v>
      </c>
      <c r="AK2597">
        <v>28.569444137427901</v>
      </c>
      <c r="AL2597">
        <v>91.615748306134194</v>
      </c>
      <c r="AM2597">
        <v>90.413981469947998</v>
      </c>
      <c r="AN2597">
        <v>0.99999998952513003</v>
      </c>
    </row>
    <row r="2598" spans="1:40" x14ac:dyDescent="0.25">
      <c r="A2598" t="str">
        <f>"20190312161008913"</f>
        <v>20190312161008913</v>
      </c>
      <c r="B2598" t="str">
        <f>"1552378208908776"</f>
        <v>1552378208908776</v>
      </c>
      <c r="C2598" t="s">
        <v>40</v>
      </c>
      <c r="D2598">
        <v>5.4882140000000001</v>
      </c>
      <c r="E2598">
        <v>0.40145419999999998</v>
      </c>
      <c r="F2598" t="s">
        <v>41</v>
      </c>
      <c r="G2598">
        <v>-489.4991</v>
      </c>
      <c r="H2598" s="1">
        <v>-1.70487399999999E-7</v>
      </c>
      <c r="I2598">
        <v>229.75739999999999</v>
      </c>
      <c r="J2598">
        <v>-493.9939</v>
      </c>
      <c r="K2598">
        <v>1.11111</v>
      </c>
      <c r="L2598">
        <v>257.9391</v>
      </c>
      <c r="M2598">
        <v>-0.1063736</v>
      </c>
      <c r="N2598">
        <v>0</v>
      </c>
      <c r="O2598">
        <v>-0.99423689999999998</v>
      </c>
      <c r="P2598">
        <v>-9.9220509999999998E-2</v>
      </c>
      <c r="Q2598">
        <v>-4.1005819999999998E-2</v>
      </c>
      <c r="R2598">
        <v>-0.9942204</v>
      </c>
      <c r="S2598">
        <v>0.48568729999999899</v>
      </c>
      <c r="T2598">
        <v>-0.1203027</v>
      </c>
      <c r="U2598">
        <v>-3.061966</v>
      </c>
      <c r="V2598">
        <v>-7.0480530000000003E-3</v>
      </c>
      <c r="W2598">
        <v>-2.7699540000000002E-2</v>
      </c>
      <c r="X2598">
        <v>0.99959149999999997</v>
      </c>
      <c r="Y2598">
        <v>-0.26072610000000002</v>
      </c>
      <c r="Z2598">
        <v>3.8007760000000002E-2</v>
      </c>
      <c r="AA2598">
        <v>0.96466430000000003</v>
      </c>
      <c r="AB2598">
        <v>15</v>
      </c>
      <c r="AC2598">
        <v>4.4947999999999899</v>
      </c>
      <c r="AD2598">
        <v>-1.11111017048739</v>
      </c>
      <c r="AE2598">
        <v>-28.181699999999999</v>
      </c>
      <c r="AF2598">
        <v>-7.4560455801585999</v>
      </c>
      <c r="AG2598">
        <v>-1.11111017048739</v>
      </c>
      <c r="AH2598">
        <v>27.501914437379501</v>
      </c>
      <c r="AI2598">
        <v>92.233035875562905</v>
      </c>
      <c r="AJ2598">
        <v>105.168838589814</v>
      </c>
      <c r="AK2598">
        <v>28.516354592151298</v>
      </c>
      <c r="AL2598">
        <v>91.587269672060998</v>
      </c>
      <c r="AM2598">
        <v>90.403982025421001</v>
      </c>
      <c r="AN2598">
        <v>1.0000000532197699</v>
      </c>
    </row>
    <row r="2599" spans="1:40" x14ac:dyDescent="0.25">
      <c r="A2599" t="str">
        <f>"20190312161008928"</f>
        <v>20190312161008928</v>
      </c>
      <c r="B2599" t="str">
        <f>"1552378208918535"</f>
        <v>1552378208918535</v>
      </c>
      <c r="C2599" t="s">
        <v>40</v>
      </c>
      <c r="D2599">
        <v>5.4899969999999998</v>
      </c>
      <c r="E2599">
        <v>0.4016825</v>
      </c>
      <c r="F2599" t="s">
        <v>41</v>
      </c>
      <c r="G2599">
        <v>-489.524</v>
      </c>
      <c r="H2599" s="1">
        <v>-1.6950519999999999E-7</v>
      </c>
      <c r="I2599">
        <v>229.774</v>
      </c>
      <c r="J2599">
        <v>-494.0034</v>
      </c>
      <c r="K2599">
        <v>1.1110960000000001</v>
      </c>
      <c r="L2599">
        <v>257.8331</v>
      </c>
      <c r="M2599">
        <v>-0.1048162</v>
      </c>
      <c r="N2599">
        <v>0</v>
      </c>
      <c r="O2599">
        <v>-0.99440289999999998</v>
      </c>
      <c r="P2599">
        <v>-9.7481650000000003E-2</v>
      </c>
      <c r="Q2599">
        <v>-4.1068739999999999E-2</v>
      </c>
      <c r="R2599">
        <v>-0.99438950000000004</v>
      </c>
      <c r="S2599">
        <v>0.48577880000000001</v>
      </c>
      <c r="T2599">
        <v>-0.12075379999999999</v>
      </c>
      <c r="U2599">
        <v>-3.0609440000000001</v>
      </c>
      <c r="V2599">
        <v>-7.2296309999999898E-3</v>
      </c>
      <c r="W2599">
        <v>-2.7811019999999999E-2</v>
      </c>
      <c r="X2599">
        <v>0.99958709999999995</v>
      </c>
      <c r="Y2599">
        <v>-0.25929069999999999</v>
      </c>
      <c r="Z2599">
        <v>3.8179860000000003E-2</v>
      </c>
      <c r="AA2599">
        <v>0.96504440000000002</v>
      </c>
      <c r="AB2599">
        <v>15</v>
      </c>
      <c r="AC2599">
        <v>4.4793999999999903</v>
      </c>
      <c r="AD2599">
        <v>-1.1110961695052</v>
      </c>
      <c r="AE2599">
        <v>-28.059100000000001</v>
      </c>
      <c r="AF2599">
        <v>-7.3847373286685096</v>
      </c>
      <c r="AG2599">
        <v>-1.1110961695052</v>
      </c>
      <c r="AH2599">
        <v>27.393071275298201</v>
      </c>
      <c r="AI2599">
        <v>92.242732458183198</v>
      </c>
      <c r="AJ2599">
        <v>105.087364289047</v>
      </c>
      <c r="AK2599">
        <v>28.392767283322101</v>
      </c>
      <c r="AL2599">
        <v>91.593659479303597</v>
      </c>
      <c r="AM2599">
        <v>90.414391223251499</v>
      </c>
      <c r="AN2599">
        <v>1.0000000454421201</v>
      </c>
    </row>
    <row r="2600" spans="1:40" x14ac:dyDescent="0.25">
      <c r="A2600" t="str">
        <f>"20190312161008945"</f>
        <v>20190312161008945</v>
      </c>
      <c r="B2600" t="str">
        <f>"1552378208938056"</f>
        <v>1552378208938056</v>
      </c>
      <c r="C2600" t="s">
        <v>40</v>
      </c>
      <c r="D2600">
        <v>5.4748260000000002</v>
      </c>
      <c r="E2600">
        <v>0.40981250000000002</v>
      </c>
      <c r="F2600" t="s">
        <v>41</v>
      </c>
      <c r="G2600">
        <v>-489.54129999999998</v>
      </c>
      <c r="H2600" s="1">
        <v>-2.1751849999999999E-7</v>
      </c>
      <c r="I2600">
        <v>229.92859999999999</v>
      </c>
      <c r="J2600">
        <v>-494.01310000000001</v>
      </c>
      <c r="K2600">
        <v>1.1110850000000001</v>
      </c>
      <c r="L2600">
        <v>257.72230000000002</v>
      </c>
      <c r="M2600">
        <v>-0.10318910000000001</v>
      </c>
      <c r="N2600">
        <v>0</v>
      </c>
      <c r="O2600">
        <v>-0.99457399999999996</v>
      </c>
      <c r="P2600">
        <v>-9.5567520000000003E-2</v>
      </c>
      <c r="Q2600">
        <v>-4.0675509999999998E-2</v>
      </c>
      <c r="R2600">
        <v>-0.99459169999999997</v>
      </c>
      <c r="S2600">
        <v>0.48928830000000001</v>
      </c>
      <c r="T2600">
        <v>-0.1218385</v>
      </c>
      <c r="U2600">
        <v>-3.0598909999999999</v>
      </c>
      <c r="V2600">
        <v>-7.5204490000000002E-3</v>
      </c>
      <c r="W2600">
        <v>-2.7482570000000001E-2</v>
      </c>
      <c r="X2600">
        <v>0.99959399999999998</v>
      </c>
      <c r="Y2600">
        <v>-0.25883919999999999</v>
      </c>
      <c r="Z2600">
        <v>3.8544429999999998E-2</v>
      </c>
      <c r="AA2600">
        <v>0.96515110000000004</v>
      </c>
      <c r="AB2600">
        <v>15</v>
      </c>
      <c r="AC2600">
        <v>4.4718000000000302</v>
      </c>
      <c r="AD2600">
        <v>-1.1110852175185</v>
      </c>
      <c r="AE2600">
        <v>-27.793700000000001</v>
      </c>
      <c r="AF2600">
        <v>-7.3048023299693297</v>
      </c>
      <c r="AG2600">
        <v>-1.1110852175185</v>
      </c>
      <c r="AH2600">
        <v>27.141542962972</v>
      </c>
      <c r="AI2600">
        <v>92.263726418286794</v>
      </c>
      <c r="AJ2600">
        <v>105.06349605537901</v>
      </c>
      <c r="AK2600">
        <v>28.129308591776098</v>
      </c>
      <c r="AL2600">
        <v>91.574833545974698</v>
      </c>
      <c r="AM2600">
        <v>90.431056867203694</v>
      </c>
      <c r="AN2600">
        <v>1.00000000682148</v>
      </c>
    </row>
    <row r="2601" spans="1:40" x14ac:dyDescent="0.25">
      <c r="A2601" t="str">
        <f>"20190312161008970"</f>
        <v>20190312161008970</v>
      </c>
      <c r="B2601" t="str">
        <f>"1552378208958551"</f>
        <v>1552378208958551</v>
      </c>
      <c r="C2601" t="s">
        <v>40</v>
      </c>
      <c r="D2601">
        <v>5.462669</v>
      </c>
      <c r="E2601">
        <v>0.40987129999999999</v>
      </c>
      <c r="F2601" t="s">
        <v>41</v>
      </c>
      <c r="G2601">
        <v>-490.79090000000002</v>
      </c>
      <c r="H2601" s="1">
        <v>-2.5208539999999999E-6</v>
      </c>
      <c r="I2601">
        <v>234.97470000000001</v>
      </c>
      <c r="J2601">
        <v>-494.0274</v>
      </c>
      <c r="K2601">
        <v>1.1110640000000001</v>
      </c>
      <c r="L2601">
        <v>257.55549999999999</v>
      </c>
      <c r="M2601">
        <v>-0.1007411</v>
      </c>
      <c r="N2601">
        <v>0</v>
      </c>
      <c r="O2601">
        <v>-0.99482660000000001</v>
      </c>
      <c r="P2601">
        <v>-9.2355019999999996E-2</v>
      </c>
      <c r="Q2601">
        <v>-4.0599469999999999E-2</v>
      </c>
      <c r="R2601">
        <v>-0.99489830000000001</v>
      </c>
      <c r="S2601">
        <v>0.43228149999999999</v>
      </c>
      <c r="T2601">
        <v>-0.14905940000000001</v>
      </c>
      <c r="U2601">
        <v>-3.0517270000000001</v>
      </c>
      <c r="V2601">
        <v>-8.2883119999999904E-3</v>
      </c>
      <c r="W2601">
        <v>-2.7521940000000002E-2</v>
      </c>
      <c r="X2601">
        <v>0.9995868</v>
      </c>
      <c r="Y2601">
        <v>-0.23913100000000001</v>
      </c>
      <c r="Z2601">
        <v>4.7468740000000002E-2</v>
      </c>
      <c r="AA2601">
        <v>0.96982630000000003</v>
      </c>
      <c r="AB2601">
        <v>15</v>
      </c>
      <c r="AC2601">
        <v>3.2364999999999702</v>
      </c>
      <c r="AD2601">
        <v>-1.111066520854</v>
      </c>
      <c r="AE2601">
        <v>-22.580799999999901</v>
      </c>
      <c r="AF2601">
        <v>-5.4820364542260496</v>
      </c>
      <c r="AG2601">
        <v>-1.111066520854</v>
      </c>
      <c r="AH2601">
        <v>22.087429852034699</v>
      </c>
      <c r="AI2601">
        <v>92.795065464283297</v>
      </c>
      <c r="AJ2601">
        <v>103.93898114871899</v>
      </c>
      <c r="AK2601">
        <v>22.784682353892499</v>
      </c>
      <c r="AL2601">
        <v>91.577090205053295</v>
      </c>
      <c r="AM2601">
        <v>90.475070713304802</v>
      </c>
      <c r="AN2601">
        <v>0.99999996201570496</v>
      </c>
    </row>
    <row r="2602" spans="1:40" x14ac:dyDescent="0.25">
      <c r="A2602" t="str">
        <f>"20190312161008991"</f>
        <v>20190312161008991</v>
      </c>
      <c r="B2602" t="str">
        <f>"1552378208978071"</f>
        <v>1552378208978071</v>
      </c>
      <c r="C2602" t="s">
        <v>40</v>
      </c>
      <c r="D2602">
        <v>5.4766820000000003</v>
      </c>
      <c r="E2602">
        <v>0.41024880000000002</v>
      </c>
      <c r="F2602" t="s">
        <v>41</v>
      </c>
      <c r="G2602">
        <v>-490.6934</v>
      </c>
      <c r="H2602" s="1">
        <v>-2.3020020000000002E-6</v>
      </c>
      <c r="I2602">
        <v>234.52510000000001</v>
      </c>
      <c r="J2602">
        <v>-494.04</v>
      </c>
      <c r="K2602">
        <v>1.1110450000000001</v>
      </c>
      <c r="L2602">
        <v>257.40460000000002</v>
      </c>
      <c r="M2602">
        <v>-9.8526900000000001E-2</v>
      </c>
      <c r="N2602">
        <v>0</v>
      </c>
      <c r="O2602">
        <v>-0.99504959999999998</v>
      </c>
      <c r="P2602">
        <v>-8.9180460000000003E-2</v>
      </c>
      <c r="Q2602">
        <v>-4.0849959999999998E-2</v>
      </c>
      <c r="R2602">
        <v>-0.9951776</v>
      </c>
      <c r="S2602">
        <v>0.44158940000000002</v>
      </c>
      <c r="T2602">
        <v>-0.1471586</v>
      </c>
      <c r="U2602">
        <v>-3.0503390000000001</v>
      </c>
      <c r="V2602">
        <v>-9.2510279999999997E-3</v>
      </c>
      <c r="W2602">
        <v>-2.788086E-2</v>
      </c>
      <c r="X2602">
        <v>0.99956849999999997</v>
      </c>
      <c r="Y2602">
        <v>-0.23993519999999999</v>
      </c>
      <c r="Z2602">
        <v>4.6887060000000001E-2</v>
      </c>
      <c r="AA2602">
        <v>0.96965599999999996</v>
      </c>
      <c r="AB2602">
        <v>15</v>
      </c>
      <c r="AC2602">
        <v>3.34660000000002</v>
      </c>
      <c r="AD2602">
        <v>-1.111047302002</v>
      </c>
      <c r="AE2602">
        <v>-22.8795</v>
      </c>
      <c r="AF2602">
        <v>-5.5718862823761297</v>
      </c>
      <c r="AG2602">
        <v>-1.111047302002</v>
      </c>
      <c r="AH2602">
        <v>22.386714957273799</v>
      </c>
      <c r="AI2602">
        <v>92.7572608515094</v>
      </c>
      <c r="AJ2602">
        <v>103.976507498312</v>
      </c>
      <c r="AK2602">
        <v>23.096435859873299</v>
      </c>
      <c r="AL2602">
        <v>91.597662553328405</v>
      </c>
      <c r="AM2602">
        <v>90.530258534153504</v>
      </c>
      <c r="AN2602">
        <v>1.0000000550328201</v>
      </c>
    </row>
    <row r="2603" spans="1:40" x14ac:dyDescent="0.25">
      <c r="A2603" t="str">
        <f>"20190312161009013"</f>
        <v>20190312161009013</v>
      </c>
      <c r="B2603" t="str">
        <f>"1552378209008327"</f>
        <v>1552378209008327</v>
      </c>
      <c r="C2603" t="s">
        <v>40</v>
      </c>
      <c r="D2603">
        <v>5.4677720000000001</v>
      </c>
      <c r="E2603">
        <v>0.41061910000000001</v>
      </c>
      <c r="F2603" t="s">
        <v>41</v>
      </c>
      <c r="G2603">
        <v>-490.58609999999999</v>
      </c>
      <c r="H2603" s="1">
        <v>-2.000563E-6</v>
      </c>
      <c r="I2603">
        <v>233.88890000000001</v>
      </c>
      <c r="J2603">
        <v>-494.0521</v>
      </c>
      <c r="K2603">
        <v>1.1110249999999999</v>
      </c>
      <c r="L2603">
        <v>257.25510000000003</v>
      </c>
      <c r="M2603">
        <v>-9.6338469999999995E-2</v>
      </c>
      <c r="N2603">
        <v>0</v>
      </c>
      <c r="O2603">
        <v>-0.99526519999999996</v>
      </c>
      <c r="P2603">
        <v>-8.6269250000000006E-2</v>
      </c>
      <c r="Q2603">
        <v>-4.070621E-2</v>
      </c>
      <c r="R2603">
        <v>-0.99544029999999994</v>
      </c>
      <c r="S2603">
        <v>0.44778440000000003</v>
      </c>
      <c r="T2603">
        <v>-0.14404459999999999</v>
      </c>
      <c r="U2603">
        <v>-3.0487519999999999</v>
      </c>
      <c r="V2603">
        <v>-9.9769449999999992E-3</v>
      </c>
      <c r="W2603">
        <v>-2.7845149999999999E-2</v>
      </c>
      <c r="X2603">
        <v>0.99956239999999996</v>
      </c>
      <c r="Y2603">
        <v>-0.23980779999999999</v>
      </c>
      <c r="Z2603">
        <v>4.5929879999999999E-2</v>
      </c>
      <c r="AA2603">
        <v>0.96973330000000002</v>
      </c>
      <c r="AB2603">
        <v>15</v>
      </c>
      <c r="AC2603">
        <v>3.4660000000000002</v>
      </c>
      <c r="AD2603">
        <v>-1.1110270005630001</v>
      </c>
      <c r="AE2603">
        <v>-23.366199999999999</v>
      </c>
      <c r="AF2603">
        <v>-5.6885424920314396</v>
      </c>
      <c r="AG2603">
        <v>-1.1110270005630001</v>
      </c>
      <c r="AH2603">
        <v>22.872961082795999</v>
      </c>
      <c r="AI2603">
        <v>92.698804361375593</v>
      </c>
      <c r="AJ2603">
        <v>103.966206433224</v>
      </c>
      <c r="AK2603">
        <v>23.595894672055302</v>
      </c>
      <c r="AL2603">
        <v>91.595615907435402</v>
      </c>
      <c r="AM2603">
        <v>90.571868108140194</v>
      </c>
      <c r="AN2603">
        <v>0.99999994165190598</v>
      </c>
    </row>
    <row r="2604" spans="1:40" x14ac:dyDescent="0.25">
      <c r="A2604" t="str">
        <f>"20190312161009057"</f>
        <v>20190312161009057</v>
      </c>
      <c r="B2604" t="str">
        <f>"1552378209048343"</f>
        <v>1552378209048343</v>
      </c>
      <c r="C2604" t="s">
        <v>40</v>
      </c>
      <c r="D2604">
        <v>5.4841410000000002</v>
      </c>
      <c r="E2604">
        <v>0.41173460000000001</v>
      </c>
      <c r="F2604" t="s">
        <v>41</v>
      </c>
      <c r="G2604">
        <v>-490.54090000000002</v>
      </c>
      <c r="H2604" s="1">
        <v>-1.901678E-6</v>
      </c>
      <c r="I2604">
        <v>233.6865</v>
      </c>
      <c r="J2604">
        <v>-494.07549999999998</v>
      </c>
      <c r="K2604">
        <v>1.1109880000000001</v>
      </c>
      <c r="L2604">
        <v>256.95580000000001</v>
      </c>
      <c r="M2604">
        <v>-9.1992149999999995E-2</v>
      </c>
      <c r="N2604">
        <v>0</v>
      </c>
      <c r="O2604">
        <v>-0.99567919999999999</v>
      </c>
      <c r="P2604">
        <v>-8.1113959999999999E-2</v>
      </c>
      <c r="Q2604">
        <v>-4.1617920000000003E-2</v>
      </c>
      <c r="R2604">
        <v>-0.99583580000000005</v>
      </c>
      <c r="S2604">
        <v>0.45397949999999998</v>
      </c>
      <c r="T2604">
        <v>-0.14364759999999999</v>
      </c>
      <c r="U2604">
        <v>-3.0472410000000001</v>
      </c>
      <c r="V2604">
        <v>-1.078257E-2</v>
      </c>
      <c r="W2604">
        <v>-2.8975270000000001E-2</v>
      </c>
      <c r="X2604">
        <v>0.99952200000000002</v>
      </c>
      <c r="Y2604">
        <v>-0.23756740000000001</v>
      </c>
      <c r="Z2604">
        <v>4.586105E-2</v>
      </c>
      <c r="AA2604">
        <v>0.97028789999999998</v>
      </c>
      <c r="AB2604">
        <v>15</v>
      </c>
      <c r="AC2604">
        <v>3.53459999999995</v>
      </c>
      <c r="AD2604">
        <v>-1.1109899016779901</v>
      </c>
      <c r="AE2604">
        <v>-23.269300000000001</v>
      </c>
      <c r="AF2604">
        <v>-5.6477903546945303</v>
      </c>
      <c r="AG2604">
        <v>-1.1109899016779901</v>
      </c>
      <c r="AH2604">
        <v>22.794644389495101</v>
      </c>
      <c r="AI2604">
        <v>92.708562863442694</v>
      </c>
      <c r="AJ2604">
        <v>103.915835168895</v>
      </c>
      <c r="AK2604">
        <v>23.5101605119096</v>
      </c>
      <c r="AL2604">
        <v>91.660393022907101</v>
      </c>
      <c r="AM2604">
        <v>90.618067225775505</v>
      </c>
      <c r="AN2604">
        <v>1.0000000292856801</v>
      </c>
    </row>
    <row r="2605" spans="1:40" x14ac:dyDescent="0.25">
      <c r="A2605" t="str">
        <f>"20190312161009079"</f>
        <v>20190312161009079</v>
      </c>
      <c r="B2605" t="str">
        <f>"1552378209068840"</f>
        <v>1552378209068840</v>
      </c>
      <c r="C2605" t="s">
        <v>40</v>
      </c>
      <c r="D2605">
        <v>5.4834500000000004</v>
      </c>
      <c r="E2605">
        <v>0.41226390000000002</v>
      </c>
      <c r="F2605" t="s">
        <v>41</v>
      </c>
      <c r="G2605">
        <v>-490.57580000000002</v>
      </c>
      <c r="H2605" s="1">
        <v>-1.97214E-6</v>
      </c>
      <c r="I2605">
        <v>233.82910000000001</v>
      </c>
      <c r="J2605">
        <v>-494.08690000000001</v>
      </c>
      <c r="K2605">
        <v>1.110975</v>
      </c>
      <c r="L2605">
        <v>256.80430000000001</v>
      </c>
      <c r="M2605">
        <v>-8.9808810000000003E-2</v>
      </c>
      <c r="N2605">
        <v>0</v>
      </c>
      <c r="O2605">
        <v>-0.99587979999999998</v>
      </c>
      <c r="P2605">
        <v>-7.8924910000000001E-2</v>
      </c>
      <c r="Q2605">
        <v>-4.1854080000000002E-2</v>
      </c>
      <c r="R2605">
        <v>-0.99600180000000005</v>
      </c>
      <c r="S2605">
        <v>0.46063229999999999</v>
      </c>
      <c r="T2605">
        <v>-0.14623079999999999</v>
      </c>
      <c r="U2605">
        <v>-3.0439910000000001</v>
      </c>
      <c r="V2605">
        <v>-1.0786759999999999E-2</v>
      </c>
      <c r="W2605">
        <v>-2.93128E-2</v>
      </c>
      <c r="X2605">
        <v>0.99951210000000001</v>
      </c>
      <c r="Y2605">
        <v>-0.23765620000000001</v>
      </c>
      <c r="Z2605">
        <v>4.6739370000000002E-2</v>
      </c>
      <c r="AA2605">
        <v>0.97022419999999998</v>
      </c>
      <c r="AB2605">
        <v>15</v>
      </c>
      <c r="AC2605">
        <v>3.5110999999999901</v>
      </c>
      <c r="AD2605">
        <v>-1.11097697214</v>
      </c>
      <c r="AE2605">
        <v>-22.975200000000001</v>
      </c>
      <c r="AF2605">
        <v>-5.5477716253241303</v>
      </c>
      <c r="AG2605">
        <v>-1.11097697214</v>
      </c>
      <c r="AH2605">
        <v>22.515544927718</v>
      </c>
      <c r="AI2605">
        <v>92.742929196881704</v>
      </c>
      <c r="AJ2605">
        <v>103.841807357048</v>
      </c>
      <c r="AK2605">
        <v>23.215550892267601</v>
      </c>
      <c r="AL2605">
        <v>91.679740307093496</v>
      </c>
      <c r="AM2605">
        <v>90.618313505696307</v>
      </c>
      <c r="AN2605">
        <v>1.0000000162407701</v>
      </c>
    </row>
    <row r="2606" spans="1:40" x14ac:dyDescent="0.25">
      <c r="A2606" t="str">
        <f>"20190312161009104"</f>
        <v>20190312161009104</v>
      </c>
      <c r="B2606" t="str">
        <f>"1552378209098120"</f>
        <v>1552378209098120</v>
      </c>
      <c r="C2606" t="s">
        <v>40</v>
      </c>
      <c r="D2606">
        <v>5.5072960000000002</v>
      </c>
      <c r="E2606">
        <v>0.41310980000000003</v>
      </c>
      <c r="F2606" t="s">
        <v>41</v>
      </c>
      <c r="G2606">
        <v>-490.56369999999998</v>
      </c>
      <c r="H2606" s="1">
        <v>-1.896331E-6</v>
      </c>
      <c r="I2606">
        <v>233.65989999999999</v>
      </c>
      <c r="J2606">
        <v>-494.09930000000003</v>
      </c>
      <c r="K2606">
        <v>1.110965</v>
      </c>
      <c r="L2606">
        <v>256.6336</v>
      </c>
      <c r="M2606">
        <v>-8.7359919999999994E-2</v>
      </c>
      <c r="N2606">
        <v>0</v>
      </c>
      <c r="O2606">
        <v>-0.99609890000000001</v>
      </c>
      <c r="P2606">
        <v>-7.6728850000000001E-2</v>
      </c>
      <c r="Q2606">
        <v>-4.1873229999999997E-2</v>
      </c>
      <c r="R2606">
        <v>-0.99617259999999996</v>
      </c>
      <c r="S2606">
        <v>0.4631653</v>
      </c>
      <c r="T2606">
        <v>-0.14605090000000001</v>
      </c>
      <c r="U2606">
        <v>-3.0426030000000002</v>
      </c>
      <c r="V2606">
        <v>-1.0532690000000001E-2</v>
      </c>
      <c r="W2606">
        <v>-2.94331E-2</v>
      </c>
      <c r="X2606">
        <v>0.99951120000000004</v>
      </c>
      <c r="Y2606">
        <v>-0.2361229</v>
      </c>
      <c r="Z2606">
        <v>4.6724660000000001E-2</v>
      </c>
      <c r="AA2606">
        <v>0.9705992</v>
      </c>
      <c r="AB2606">
        <v>15</v>
      </c>
      <c r="AC2606">
        <v>3.53560000000004</v>
      </c>
      <c r="AD2606">
        <v>-1.110966896331</v>
      </c>
      <c r="AE2606">
        <v>-22.973700000000001</v>
      </c>
      <c r="AF2606">
        <v>-5.5166148054194704</v>
      </c>
      <c r="AG2606">
        <v>-1.110966896331</v>
      </c>
      <c r="AH2606">
        <v>22.525502394917599</v>
      </c>
      <c r="AI2606">
        <v>92.742640155716103</v>
      </c>
      <c r="AJ2606">
        <v>103.761181631862</v>
      </c>
      <c r="AK2606">
        <v>23.2177850903043</v>
      </c>
      <c r="AL2606">
        <v>91.686636089958498</v>
      </c>
      <c r="AM2606">
        <v>90.603751461139098</v>
      </c>
      <c r="AN2606">
        <v>0.99999994192984099</v>
      </c>
    </row>
    <row r="2607" spans="1:40" x14ac:dyDescent="0.25">
      <c r="A2607" t="str">
        <f>"20190312161009123"</f>
        <v>20190312161009123</v>
      </c>
      <c r="B2607" t="str">
        <f>"1552378209118615"</f>
        <v>1552378209118615</v>
      </c>
      <c r="C2607" t="s">
        <v>40</v>
      </c>
      <c r="D2607">
        <v>5.4859010000000001</v>
      </c>
      <c r="E2607">
        <v>0.41355789999999998</v>
      </c>
      <c r="F2607" t="s">
        <v>41</v>
      </c>
      <c r="G2607">
        <v>-490.5933</v>
      </c>
      <c r="H2607" s="1">
        <v>-1.891945E-6</v>
      </c>
      <c r="I2607">
        <v>233.63130000000001</v>
      </c>
      <c r="J2607">
        <v>-494.1087</v>
      </c>
      <c r="K2607">
        <v>1.1109599999999999</v>
      </c>
      <c r="L2607">
        <v>256.50060000000002</v>
      </c>
      <c r="M2607">
        <v>-8.545788E-2</v>
      </c>
      <c r="N2607">
        <v>0</v>
      </c>
      <c r="O2607">
        <v>-0.99626459999999994</v>
      </c>
      <c r="P2607">
        <v>-7.4955399999999894E-2</v>
      </c>
      <c r="Q2607">
        <v>-4.1624929999999997E-2</v>
      </c>
      <c r="R2607">
        <v>-0.99631769999999997</v>
      </c>
      <c r="S2607">
        <v>0.46353149999999999</v>
      </c>
      <c r="T2607">
        <v>-0.14687900000000001</v>
      </c>
      <c r="U2607">
        <v>-3.0410919999999999</v>
      </c>
      <c r="V2607">
        <v>-1.0405019999999999E-2</v>
      </c>
      <c r="W2607">
        <v>-2.925357E-2</v>
      </c>
      <c r="X2607">
        <v>0.99951789999999996</v>
      </c>
      <c r="Y2607">
        <v>-0.23445099999999999</v>
      </c>
      <c r="Z2607">
        <v>4.7033180000000001E-2</v>
      </c>
      <c r="AA2607">
        <v>0.97098949999999995</v>
      </c>
      <c r="AB2607">
        <v>15</v>
      </c>
      <c r="AC2607">
        <v>3.5154000000000001</v>
      </c>
      <c r="AD2607">
        <v>-1.1109618919449999</v>
      </c>
      <c r="AE2607">
        <v>-22.869299999999999</v>
      </c>
      <c r="AF2607">
        <v>-5.4444982718553199</v>
      </c>
      <c r="AG2607">
        <v>-1.1109618919449999</v>
      </c>
      <c r="AH2607">
        <v>22.433465976119798</v>
      </c>
      <c r="AI2607">
        <v>92.755261229492902</v>
      </c>
      <c r="AJ2607">
        <v>103.641666007927</v>
      </c>
      <c r="AK2607">
        <v>23.111408296754998</v>
      </c>
      <c r="AL2607">
        <v>91.676345192201396</v>
      </c>
      <c r="AM2607">
        <v>90.596429736721703</v>
      </c>
      <c r="AN2607">
        <v>1.00000003410967</v>
      </c>
    </row>
    <row r="2608" spans="1:40" x14ac:dyDescent="0.25">
      <c r="A2608" t="str">
        <f>"20190312161009146"</f>
        <v>20190312161009146</v>
      </c>
      <c r="B2608" t="str">
        <f>"1552378209138136"</f>
        <v>1552378209138136</v>
      </c>
      <c r="C2608" t="s">
        <v>40</v>
      </c>
      <c r="D2608">
        <v>5.5117029999999998</v>
      </c>
      <c r="E2608">
        <v>0.4140432</v>
      </c>
      <c r="F2608" t="s">
        <v>41</v>
      </c>
      <c r="G2608">
        <v>-490.56420000000003</v>
      </c>
      <c r="H2608" s="1">
        <v>-1.7541240000000001E-6</v>
      </c>
      <c r="I2608">
        <v>233.328</v>
      </c>
      <c r="J2608">
        <v>-494.11959999999999</v>
      </c>
      <c r="K2608">
        <v>1.1109629999999999</v>
      </c>
      <c r="L2608">
        <v>256.34179999999998</v>
      </c>
      <c r="M2608">
        <v>-8.3189600000000002E-2</v>
      </c>
      <c r="N2608">
        <v>0</v>
      </c>
      <c r="O2608">
        <v>-0.9964575</v>
      </c>
      <c r="P2608">
        <v>-7.2333309999999998E-2</v>
      </c>
      <c r="Q2608">
        <v>-4.1457899999999999E-2</v>
      </c>
      <c r="R2608">
        <v>-0.99651869999999998</v>
      </c>
      <c r="S2608">
        <v>0.46499629999999997</v>
      </c>
      <c r="T2608">
        <v>-0.14574709999999999</v>
      </c>
      <c r="U2608">
        <v>-3.040009</v>
      </c>
      <c r="V2608">
        <v>-1.076012E-2</v>
      </c>
      <c r="W2608">
        <v>-2.9161570000000001E-2</v>
      </c>
      <c r="X2608">
        <v>0.99951679999999998</v>
      </c>
      <c r="Y2608">
        <v>-0.2327487</v>
      </c>
      <c r="Z2608">
        <v>4.6709760000000003E-2</v>
      </c>
      <c r="AA2608">
        <v>0.97141460000000002</v>
      </c>
      <c r="AB2608">
        <v>15</v>
      </c>
      <c r="AC2608">
        <v>3.5553999999999601</v>
      </c>
      <c r="AD2608">
        <v>-1.110964754124</v>
      </c>
      <c r="AE2608">
        <v>-23.0137999999999</v>
      </c>
      <c r="AF2608">
        <v>-5.4453346436039203</v>
      </c>
      <c r="AG2608">
        <v>-1.110964754124</v>
      </c>
      <c r="AH2608">
        <v>22.586812677124701</v>
      </c>
      <c r="AI2608">
        <v>92.737596658094105</v>
      </c>
      <c r="AJ2608">
        <v>103.55448197447799</v>
      </c>
      <c r="AK2608">
        <v>23.260481916272902</v>
      </c>
      <c r="AL2608">
        <v>91.671071778801306</v>
      </c>
      <c r="AM2608">
        <v>90.6167836783805</v>
      </c>
      <c r="AN2608">
        <v>1.00000000541475</v>
      </c>
    </row>
    <row r="2609" spans="1:40" x14ac:dyDescent="0.25">
      <c r="A2609" t="str">
        <f>"20190312161009170"</f>
        <v>20190312161009170</v>
      </c>
      <c r="B2609" t="str">
        <f>"1552378209158854"</f>
        <v>1552378209158854</v>
      </c>
      <c r="C2609" t="s">
        <v>40</v>
      </c>
      <c r="D2609">
        <v>5.6180839999999996</v>
      </c>
      <c r="E2609">
        <v>0.41440510000000003</v>
      </c>
      <c r="F2609" t="s">
        <v>41</v>
      </c>
      <c r="G2609">
        <v>-490.53870000000001</v>
      </c>
      <c r="H2609" s="1">
        <v>-1.673579E-6</v>
      </c>
      <c r="I2609">
        <v>233.15610000000001</v>
      </c>
      <c r="J2609">
        <v>-494.13029999999998</v>
      </c>
      <c r="K2609">
        <v>1.1109659999999999</v>
      </c>
      <c r="L2609">
        <v>256.17919999999998</v>
      </c>
      <c r="M2609">
        <v>-8.0868529999999994E-2</v>
      </c>
      <c r="N2609">
        <v>0</v>
      </c>
      <c r="O2609">
        <v>-0.99664949999999997</v>
      </c>
      <c r="P2609">
        <v>-6.9334389999999996E-2</v>
      </c>
      <c r="Q2609">
        <v>-4.1551619999999997E-2</v>
      </c>
      <c r="R2609">
        <v>-0.9967279</v>
      </c>
      <c r="S2609">
        <v>0.46926879999999999</v>
      </c>
      <c r="T2609">
        <v>-0.14559079999999999</v>
      </c>
      <c r="U2609">
        <v>-3.0384519999999999</v>
      </c>
      <c r="V2609">
        <v>-1.143922E-2</v>
      </c>
      <c r="W2609">
        <v>-2.932386E-2</v>
      </c>
      <c r="X2609">
        <v>0.99950450000000002</v>
      </c>
      <c r="Y2609">
        <v>-0.2318925</v>
      </c>
      <c r="Z2609">
        <v>4.6696950000000001E-2</v>
      </c>
      <c r="AA2609">
        <v>0.97161989999999998</v>
      </c>
      <c r="AB2609">
        <v>15</v>
      </c>
      <c r="AC2609">
        <v>3.5915999999999699</v>
      </c>
      <c r="AD2609">
        <v>-1.1109676735789999</v>
      </c>
      <c r="AE2609">
        <v>-23.0230999999999</v>
      </c>
      <c r="AF2609">
        <v>-5.4294767490213198</v>
      </c>
      <c r="AG2609">
        <v>-1.1109676735789999</v>
      </c>
      <c r="AH2609">
        <v>22.605826673932199</v>
      </c>
      <c r="AI2609">
        <v>92.735866534220193</v>
      </c>
      <c r="AJ2609">
        <v>103.505506715518</v>
      </c>
      <c r="AK2609">
        <v>23.275241492877399</v>
      </c>
      <c r="AL2609">
        <v>91.680374306598793</v>
      </c>
      <c r="AM2609">
        <v>90.655715319308598</v>
      </c>
      <c r="AN2609">
        <v>0.99999999501987902</v>
      </c>
    </row>
    <row r="2610" spans="1:40" x14ac:dyDescent="0.25">
      <c r="A2610" t="str">
        <f>"20190312161009193"</f>
        <v>20190312161009193</v>
      </c>
      <c r="B2610" t="str">
        <f>"1552378209188134"</f>
        <v>1552378209188134</v>
      </c>
      <c r="C2610" t="s">
        <v>40</v>
      </c>
      <c r="D2610">
        <v>5.6110759999999997</v>
      </c>
      <c r="E2610">
        <v>0.41495949999999998</v>
      </c>
      <c r="F2610" t="s">
        <v>41</v>
      </c>
      <c r="G2610">
        <v>-490.5102</v>
      </c>
      <c r="H2610" s="1">
        <v>-1.624743E-6</v>
      </c>
      <c r="I2610">
        <v>233.06</v>
      </c>
      <c r="J2610">
        <v>-494.14</v>
      </c>
      <c r="K2610">
        <v>1.11097</v>
      </c>
      <c r="L2610">
        <v>256.02780000000001</v>
      </c>
      <c r="M2610">
        <v>-7.8706670000000006E-2</v>
      </c>
      <c r="N2610">
        <v>0</v>
      </c>
      <c r="O2610">
        <v>-0.99682320000000002</v>
      </c>
      <c r="P2610">
        <v>-6.6660419999999998E-2</v>
      </c>
      <c r="Q2610">
        <v>-4.1592709999999998E-2</v>
      </c>
      <c r="R2610">
        <v>-0.99690880000000004</v>
      </c>
      <c r="S2610">
        <v>0.47552489999999997</v>
      </c>
      <c r="T2610">
        <v>-0.14593039999999999</v>
      </c>
      <c r="U2610">
        <v>-3.0368040000000001</v>
      </c>
      <c r="V2610">
        <v>-1.1951059999999999E-2</v>
      </c>
      <c r="W2610">
        <v>-2.9421010000000001E-2</v>
      </c>
      <c r="X2610">
        <v>0.99949569999999999</v>
      </c>
      <c r="Y2610">
        <v>-0.23181560000000001</v>
      </c>
      <c r="Z2610">
        <v>4.6836179999999998E-2</v>
      </c>
      <c r="AA2610">
        <v>0.97163160000000004</v>
      </c>
      <c r="AB2610">
        <v>15</v>
      </c>
      <c r="AC2610">
        <v>3.6297999999999799</v>
      </c>
      <c r="AD2610">
        <v>-1.1109716247429999</v>
      </c>
      <c r="AE2610">
        <v>-22.9678</v>
      </c>
      <c r="AF2610">
        <v>-5.4140328172935597</v>
      </c>
      <c r="AG2610">
        <v>-1.1109716247429999</v>
      </c>
      <c r="AH2610">
        <v>22.559331647639301</v>
      </c>
      <c r="AI2610">
        <v>92.741624127680396</v>
      </c>
      <c r="AJ2610">
        <v>103.495236710783</v>
      </c>
      <c r="AK2610">
        <v>23.226481732838799</v>
      </c>
      <c r="AL2610">
        <v>91.685942920136398</v>
      </c>
      <c r="AM2610">
        <v>90.685058143193302</v>
      </c>
      <c r="AN2610">
        <v>1.00000003899151</v>
      </c>
    </row>
    <row r="2611" spans="1:40" x14ac:dyDescent="0.25">
      <c r="A2611" t="str">
        <f>"20190312161009213"</f>
        <v>20190312161009213</v>
      </c>
      <c r="B2611" t="str">
        <f>"1552378209208631"</f>
        <v>1552378209208631</v>
      </c>
      <c r="C2611" t="s">
        <v>40</v>
      </c>
      <c r="D2611">
        <v>5.6028370000000001</v>
      </c>
      <c r="E2611">
        <v>0.41526079999999999</v>
      </c>
      <c r="F2611" t="s">
        <v>41</v>
      </c>
      <c r="G2611">
        <v>-490.49860000000001</v>
      </c>
      <c r="H2611" s="1">
        <v>-1.577289E-6</v>
      </c>
      <c r="I2611">
        <v>232.95660000000001</v>
      </c>
      <c r="J2611">
        <v>-494.149</v>
      </c>
      <c r="K2611">
        <v>1.110973</v>
      </c>
      <c r="L2611">
        <v>255.8828</v>
      </c>
      <c r="M2611">
        <v>-7.6634149999999998E-2</v>
      </c>
      <c r="N2611">
        <v>0</v>
      </c>
      <c r="O2611">
        <v>-0.99698509999999996</v>
      </c>
      <c r="P2611">
        <v>-6.3827380000000003E-2</v>
      </c>
      <c r="Q2611">
        <v>-4.1866639999999997E-2</v>
      </c>
      <c r="R2611">
        <v>-0.99708229999999998</v>
      </c>
      <c r="S2611">
        <v>0.47906490000000002</v>
      </c>
      <c r="T2611">
        <v>-0.1461587</v>
      </c>
      <c r="U2611">
        <v>-3.0352329999999998</v>
      </c>
      <c r="V2611">
        <v>-1.2711099999999999E-2</v>
      </c>
      <c r="W2611">
        <v>-2.9741050000000002E-2</v>
      </c>
      <c r="X2611">
        <v>0.99947680000000005</v>
      </c>
      <c r="Y2611">
        <v>-0.23097529999999999</v>
      </c>
      <c r="Z2611">
        <v>4.6945380000000002E-2</v>
      </c>
      <c r="AA2611">
        <v>0.97182639999999998</v>
      </c>
      <c r="AB2611">
        <v>15</v>
      </c>
      <c r="AC2611">
        <v>3.6503999999999901</v>
      </c>
      <c r="AD2611">
        <v>-1.1109745772890001</v>
      </c>
      <c r="AE2611">
        <v>-22.926199999999898</v>
      </c>
      <c r="AF2611">
        <v>-5.3843921420005998</v>
      </c>
      <c r="AG2611">
        <v>-1.1109745772890001</v>
      </c>
      <c r="AH2611">
        <v>22.527412481424101</v>
      </c>
      <c r="AI2611">
        <v>92.746116011941396</v>
      </c>
      <c r="AJ2611">
        <v>103.44236508204899</v>
      </c>
      <c r="AK2611">
        <v>23.188580300623101</v>
      </c>
      <c r="AL2611">
        <v>91.704287975849695</v>
      </c>
      <c r="AM2611">
        <v>90.728634343289997</v>
      </c>
      <c r="AN2611">
        <v>0.99999998792827605</v>
      </c>
    </row>
    <row r="2612" spans="1:40" x14ac:dyDescent="0.25">
      <c r="A2612" t="str">
        <f>"20190312161009236"</f>
        <v>20190312161009236</v>
      </c>
      <c r="B2612" t="str">
        <f>"1552378209228150"</f>
        <v>1552378209228150</v>
      </c>
      <c r="C2612" t="s">
        <v>40</v>
      </c>
      <c r="D2612">
        <v>5.6521119999999998</v>
      </c>
      <c r="E2612">
        <v>0.41552090000000003</v>
      </c>
      <c r="F2612" t="s">
        <v>41</v>
      </c>
      <c r="G2612">
        <v>-490.48849999999999</v>
      </c>
      <c r="H2612" s="1">
        <v>-1.5897499999999999E-6</v>
      </c>
      <c r="I2612">
        <v>232.99189999999999</v>
      </c>
      <c r="J2612">
        <v>-494.1583</v>
      </c>
      <c r="K2612">
        <v>1.110967</v>
      </c>
      <c r="L2612">
        <v>255.72620000000001</v>
      </c>
      <c r="M2612">
        <v>-7.4393790000000001E-2</v>
      </c>
      <c r="N2612">
        <v>0</v>
      </c>
      <c r="O2612">
        <v>-0.99715520000000002</v>
      </c>
      <c r="P2612">
        <v>-6.0862279999999998E-2</v>
      </c>
      <c r="Q2612">
        <v>-4.1785170000000003E-2</v>
      </c>
      <c r="R2612">
        <v>-0.99727120000000002</v>
      </c>
      <c r="S2612">
        <v>0.48510740000000002</v>
      </c>
      <c r="T2612">
        <v>-0.14723339999999999</v>
      </c>
      <c r="U2612">
        <v>-3.0336460000000001</v>
      </c>
      <c r="V2612">
        <v>-1.343744E-2</v>
      </c>
      <c r="W2612">
        <v>-2.969515E-2</v>
      </c>
      <c r="X2612">
        <v>0.99946869999999999</v>
      </c>
      <c r="Y2612">
        <v>-0.23075270000000001</v>
      </c>
      <c r="Z2612">
        <v>4.7320380000000002E-2</v>
      </c>
      <c r="AA2612">
        <v>0.97186110000000003</v>
      </c>
      <c r="AB2612">
        <v>15</v>
      </c>
      <c r="AC2612">
        <v>3.6698</v>
      </c>
      <c r="AD2612">
        <v>-1.1109685897499999</v>
      </c>
      <c r="AE2612">
        <v>-22.734300000000001</v>
      </c>
      <c r="AF2612">
        <v>-5.3386193557007502</v>
      </c>
      <c r="AG2612">
        <v>-1.1109685897499999</v>
      </c>
      <c r="AH2612">
        <v>22.346253837570799</v>
      </c>
      <c r="AI2612">
        <v>92.768398236497703</v>
      </c>
      <c r="AJ2612">
        <v>103.436366503448</v>
      </c>
      <c r="AK2612">
        <v>23.001960099209398</v>
      </c>
      <c r="AL2612">
        <v>91.701656875203497</v>
      </c>
      <c r="AM2612">
        <v>90.770271460975806</v>
      </c>
      <c r="AN2612">
        <v>1.0000000245034799</v>
      </c>
    </row>
    <row r="2613" spans="1:40" x14ac:dyDescent="0.25">
      <c r="A2613" t="str">
        <f>"20190312161009259"</f>
        <v>20190312161009259</v>
      </c>
      <c r="B2613" t="str">
        <f>"1552378209248646"</f>
        <v>1552378209248646</v>
      </c>
      <c r="C2613" t="s">
        <v>40</v>
      </c>
      <c r="D2613">
        <v>5.6120960000000002</v>
      </c>
      <c r="E2613">
        <v>0.41577239999999999</v>
      </c>
      <c r="F2613" t="s">
        <v>41</v>
      </c>
      <c r="G2613">
        <v>-490.43150000000003</v>
      </c>
      <c r="H2613" s="1">
        <v>-1.486281E-6</v>
      </c>
      <c r="I2613">
        <v>232.786</v>
      </c>
      <c r="J2613">
        <v>-494.16730000000001</v>
      </c>
      <c r="K2613">
        <v>1.1109719999999901</v>
      </c>
      <c r="L2613">
        <v>255.56989999999999</v>
      </c>
      <c r="M2613">
        <v>-7.2155380000000005E-2</v>
      </c>
      <c r="N2613">
        <v>0</v>
      </c>
      <c r="O2613">
        <v>-0.99731979999999998</v>
      </c>
      <c r="P2613">
        <v>-5.8057780000000003E-2</v>
      </c>
      <c r="Q2613">
        <v>-4.1964750000000002E-2</v>
      </c>
      <c r="R2613">
        <v>-0.99743079999999995</v>
      </c>
      <c r="S2613">
        <v>0.49258420000000003</v>
      </c>
      <c r="T2613">
        <v>-0.1468428</v>
      </c>
      <c r="U2613">
        <v>-3.0321349999999998</v>
      </c>
      <c r="V2613">
        <v>-1.4003059999999999E-2</v>
      </c>
      <c r="W2613">
        <v>-2.9888629999999999E-2</v>
      </c>
      <c r="X2613">
        <v>0.99945519999999999</v>
      </c>
      <c r="Y2613">
        <v>-0.23098089999999999</v>
      </c>
      <c r="Z2613">
        <v>4.721972E-2</v>
      </c>
      <c r="AA2613">
        <v>0.9718118</v>
      </c>
      <c r="AB2613">
        <v>15</v>
      </c>
      <c r="AC2613">
        <v>3.7357999999999798</v>
      </c>
      <c r="AD2613">
        <v>-1.1109734862809999</v>
      </c>
      <c r="AE2613">
        <v>-22.783899999999999</v>
      </c>
      <c r="AF2613">
        <v>-5.3577570555171397</v>
      </c>
      <c r="AG2613">
        <v>-1.1109734862809999</v>
      </c>
      <c r="AH2613">
        <v>22.403052540132599</v>
      </c>
      <c r="AI2613">
        <v>92.761247571527505</v>
      </c>
      <c r="AJ2613">
        <v>103.449837596365</v>
      </c>
      <c r="AK2613">
        <v>23.061582466715201</v>
      </c>
      <c r="AL2613">
        <v>91.712747330629</v>
      </c>
      <c r="AM2613">
        <v>90.802701057889905</v>
      </c>
      <c r="AN2613">
        <v>1.0000000563498299</v>
      </c>
    </row>
    <row r="2614" spans="1:40" x14ac:dyDescent="0.25">
      <c r="A2614" t="str">
        <f>"20190312161009280"</f>
        <v>20190312161009280</v>
      </c>
      <c r="B2614" t="str">
        <f>"1552378209268166"</f>
        <v>1552378209268166</v>
      </c>
      <c r="C2614" t="s">
        <v>40</v>
      </c>
      <c r="D2614">
        <v>5.6201919999999896</v>
      </c>
      <c r="E2614">
        <v>0.41604289999999999</v>
      </c>
      <c r="F2614" t="s">
        <v>41</v>
      </c>
      <c r="G2614">
        <v>-490.40370000000001</v>
      </c>
      <c r="H2614" s="1">
        <v>-1.439502E-6</v>
      </c>
      <c r="I2614">
        <v>232.6942</v>
      </c>
      <c r="J2614">
        <v>-494.17559999999997</v>
      </c>
      <c r="K2614">
        <v>1.110981</v>
      </c>
      <c r="L2614">
        <v>255.41980000000001</v>
      </c>
      <c r="M2614">
        <v>-7.0009539999999995E-2</v>
      </c>
      <c r="N2614">
        <v>0</v>
      </c>
      <c r="O2614">
        <v>-0.99747249999999998</v>
      </c>
      <c r="P2614">
        <v>-5.6278889999999998E-2</v>
      </c>
      <c r="Q2614">
        <v>-4.2971910000000002E-2</v>
      </c>
      <c r="R2614">
        <v>-0.99748959999999998</v>
      </c>
      <c r="S2614">
        <v>0.49859619999999999</v>
      </c>
      <c r="T2614">
        <v>-0.14718229999999999</v>
      </c>
      <c r="U2614">
        <v>-3.0305789999999999</v>
      </c>
      <c r="V2614">
        <v>-1.3630440000000001E-2</v>
      </c>
      <c r="W2614">
        <v>-3.0880000000000001E-2</v>
      </c>
      <c r="X2614">
        <v>0.99943020000000005</v>
      </c>
      <c r="Y2614">
        <v>-0.2308433</v>
      </c>
      <c r="Z2614">
        <v>4.7356929999999998E-2</v>
      </c>
      <c r="AA2614">
        <v>0.97183779999999997</v>
      </c>
      <c r="AB2614">
        <v>15</v>
      </c>
      <c r="AC2614">
        <v>3.7718999999999601</v>
      </c>
      <c r="AD2614">
        <v>-1.110982439502</v>
      </c>
      <c r="AE2614">
        <v>-22.7256</v>
      </c>
      <c r="AF2614">
        <v>-5.3413464138624898</v>
      </c>
      <c r="AG2614">
        <v>-1.110982439502</v>
      </c>
      <c r="AH2614">
        <v>22.3537505829906</v>
      </c>
      <c r="AI2614">
        <v>92.7674795405742</v>
      </c>
      <c r="AJ2614">
        <v>103.43863617140499</v>
      </c>
      <c r="AK2614">
        <v>23.0098767623887</v>
      </c>
      <c r="AL2614">
        <v>91.769574906429696</v>
      </c>
      <c r="AM2614">
        <v>90.781363491083596</v>
      </c>
      <c r="AN2614">
        <v>1.0000000439833101</v>
      </c>
    </row>
    <row r="2615" spans="1:40" x14ac:dyDescent="0.25">
      <c r="A2615" t="str">
        <f>"20190312161009304"</f>
        <v>20190312161009304</v>
      </c>
      <c r="B2615" t="str">
        <f>"1552378209298422"</f>
        <v>1552378209298422</v>
      </c>
      <c r="C2615" t="s">
        <v>40</v>
      </c>
      <c r="D2615">
        <v>5.6513119999999999</v>
      </c>
      <c r="E2615">
        <v>0.41648629999999998</v>
      </c>
      <c r="F2615" t="s">
        <v>41</v>
      </c>
      <c r="G2615">
        <v>-490.4545</v>
      </c>
      <c r="H2615" s="1">
        <v>-1.5691740000000001E-6</v>
      </c>
      <c r="I2615">
        <v>232.965</v>
      </c>
      <c r="J2615">
        <v>-494.18389999999999</v>
      </c>
      <c r="K2615">
        <v>1.1109899999999999</v>
      </c>
      <c r="L2615">
        <v>255.26240000000001</v>
      </c>
      <c r="M2615">
        <v>-6.7762520000000007E-2</v>
      </c>
      <c r="N2615">
        <v>0</v>
      </c>
      <c r="O2615">
        <v>-0.99762729999999999</v>
      </c>
      <c r="P2615">
        <v>-5.4208270000000003E-2</v>
      </c>
      <c r="Q2615">
        <v>-4.330705E-2</v>
      </c>
      <c r="R2615">
        <v>-0.99759050000000005</v>
      </c>
      <c r="S2615">
        <v>0.50201419999999997</v>
      </c>
      <c r="T2615">
        <v>-0.14988319999999999</v>
      </c>
      <c r="U2615">
        <v>-3.029388</v>
      </c>
      <c r="V2615">
        <v>-1.345209E-2</v>
      </c>
      <c r="W2615">
        <v>-3.1166860000000001E-2</v>
      </c>
      <c r="X2615">
        <v>0.99942370000000003</v>
      </c>
      <c r="Y2615">
        <v>-0.22977310000000001</v>
      </c>
      <c r="Z2615">
        <v>4.8255779999999998E-2</v>
      </c>
      <c r="AA2615">
        <v>0.9720472</v>
      </c>
      <c r="AB2615">
        <v>15</v>
      </c>
      <c r="AC2615">
        <v>3.7293999999999898</v>
      </c>
      <c r="AD2615">
        <v>-1.110991569174</v>
      </c>
      <c r="AE2615">
        <v>-22.2974</v>
      </c>
      <c r="AF2615">
        <v>-5.2192615620095104</v>
      </c>
      <c r="AG2615">
        <v>-1.110991569174</v>
      </c>
      <c r="AH2615">
        <v>21.940421359211101</v>
      </c>
      <c r="AI2615">
        <v>92.820230155823793</v>
      </c>
      <c r="AJ2615">
        <v>103.381009768872</v>
      </c>
      <c r="AK2615">
        <v>22.580015122651499</v>
      </c>
      <c r="AL2615">
        <v>91.786018709565099</v>
      </c>
      <c r="AM2615">
        <v>90.7711458542217</v>
      </c>
      <c r="AN2615">
        <v>1.00000003200465</v>
      </c>
    </row>
    <row r="2616" spans="1:40" x14ac:dyDescent="0.25">
      <c r="A2616" t="str">
        <f>"20190312161009325"</f>
        <v>20190312161009325</v>
      </c>
      <c r="B2616" t="str">
        <f>"1552378209318919"</f>
        <v>1552378209318919</v>
      </c>
      <c r="C2616" t="s">
        <v>40</v>
      </c>
      <c r="D2616">
        <v>5.6694699999999996</v>
      </c>
      <c r="E2616">
        <v>0.4168462</v>
      </c>
      <c r="F2616" t="s">
        <v>41</v>
      </c>
      <c r="G2616">
        <v>-490.45339999999999</v>
      </c>
      <c r="H2616" s="1">
        <v>-1.540873E-6</v>
      </c>
      <c r="I2616">
        <v>232.8997</v>
      </c>
      <c r="J2616">
        <v>-494.19139999999999</v>
      </c>
      <c r="K2616">
        <v>1.111003</v>
      </c>
      <c r="L2616">
        <v>255.1156</v>
      </c>
      <c r="M2616">
        <v>-6.5669599999999995E-2</v>
      </c>
      <c r="N2616">
        <v>0</v>
      </c>
      <c r="O2616">
        <v>-0.99776640000000005</v>
      </c>
      <c r="P2616">
        <v>-5.2359240000000001E-2</v>
      </c>
      <c r="Q2616">
        <v>-4.3434710000000001E-2</v>
      </c>
      <c r="R2616">
        <v>-0.99768380000000001</v>
      </c>
      <c r="S2616">
        <v>0.50515750000000004</v>
      </c>
      <c r="T2616">
        <v>-0.15044199999999999</v>
      </c>
      <c r="U2616">
        <v>-3.0281829999999998</v>
      </c>
      <c r="V2616">
        <v>-1.320854E-2</v>
      </c>
      <c r="W2616">
        <v>-3.121786E-2</v>
      </c>
      <c r="X2616">
        <v>0.99942540000000002</v>
      </c>
      <c r="Y2616">
        <v>-0.22877420000000001</v>
      </c>
      <c r="Z2616">
        <v>4.846632E-2</v>
      </c>
      <c r="AA2616">
        <v>0.97227229999999998</v>
      </c>
      <c r="AB2616">
        <v>15</v>
      </c>
      <c r="AC2616">
        <v>3.738</v>
      </c>
      <c r="AD2616">
        <v>-1.111004540873</v>
      </c>
      <c r="AE2616">
        <v>-22.215900000000001</v>
      </c>
      <c r="AF2616">
        <v>-5.1763591484625699</v>
      </c>
      <c r="AG2616">
        <v>-1.111004540873</v>
      </c>
      <c r="AH2616">
        <v>21.869258732066299</v>
      </c>
      <c r="AI2616">
        <v>92.830179063345497</v>
      </c>
      <c r="AJ2616">
        <v>103.316587263234</v>
      </c>
      <c r="AK2616">
        <v>22.500966703983401</v>
      </c>
      <c r="AL2616">
        <v>91.788942139437694</v>
      </c>
      <c r="AM2616">
        <v>90.757184616340794</v>
      </c>
      <c r="AN2616">
        <v>1.0000000752385301</v>
      </c>
    </row>
    <row r="2617" spans="1:40" x14ac:dyDescent="0.25">
      <c r="A2617" t="str">
        <f>"20190312161009349"</f>
        <v>20190312161009349</v>
      </c>
      <c r="B2617" t="str">
        <f>"1552378209338438"</f>
        <v>1552378209338438</v>
      </c>
      <c r="C2617" t="s">
        <v>40</v>
      </c>
      <c r="D2617">
        <v>5.7026490000000001</v>
      </c>
      <c r="E2617">
        <v>0.41717349999999997</v>
      </c>
      <c r="F2617" t="s">
        <v>41</v>
      </c>
      <c r="G2617">
        <v>-490.46030000000002</v>
      </c>
      <c r="H2617" s="1">
        <v>-1.529802E-6</v>
      </c>
      <c r="I2617">
        <v>232.86959999999999</v>
      </c>
      <c r="J2617">
        <v>-494.19900000000001</v>
      </c>
      <c r="K2617">
        <v>1.1110150000000001</v>
      </c>
      <c r="L2617">
        <v>254.9598</v>
      </c>
      <c r="M2617">
        <v>-6.344756E-2</v>
      </c>
      <c r="N2617">
        <v>0</v>
      </c>
      <c r="O2617">
        <v>-0.99790860000000003</v>
      </c>
      <c r="P2617">
        <v>-5.0139129999999997E-2</v>
      </c>
      <c r="Q2617">
        <v>-4.3485429999999999E-2</v>
      </c>
      <c r="R2617">
        <v>-0.99779530000000005</v>
      </c>
      <c r="S2617">
        <v>0.50769039999999999</v>
      </c>
      <c r="T2617">
        <v>-0.15117510000000001</v>
      </c>
      <c r="U2617">
        <v>-3.0270229999999998</v>
      </c>
      <c r="V2617">
        <v>-1.3207139999999999E-2</v>
      </c>
      <c r="W2617">
        <v>-3.1160779999999999E-2</v>
      </c>
      <c r="X2617">
        <v>0.99942710000000001</v>
      </c>
      <c r="Y2617">
        <v>-0.22745609999999999</v>
      </c>
      <c r="Z2617">
        <v>4.8735309999999997E-2</v>
      </c>
      <c r="AA2617">
        <v>0.97256799999999999</v>
      </c>
      <c r="AB2617">
        <v>15</v>
      </c>
      <c r="AC2617">
        <v>3.7386999999999899</v>
      </c>
      <c r="AD2617">
        <v>-1.1110165298019901</v>
      </c>
      <c r="AE2617">
        <v>-22.090199999999999</v>
      </c>
      <c r="AF2617">
        <v>-5.1202512056843803</v>
      </c>
      <c r="AG2617">
        <v>-1.1110165298019901</v>
      </c>
      <c r="AH2617">
        <v>21.754958109077801</v>
      </c>
      <c r="AI2617">
        <v>92.845903320841003</v>
      </c>
      <c r="AJ2617">
        <v>103.244107265568</v>
      </c>
      <c r="AK2617">
        <v>22.3769866708307</v>
      </c>
      <c r="AL2617">
        <v>91.785670282910203</v>
      </c>
      <c r="AM2617">
        <v>90.757103082481393</v>
      </c>
      <c r="AN2617">
        <v>0.999999975485798</v>
      </c>
    </row>
    <row r="2618" spans="1:40" x14ac:dyDescent="0.25">
      <c r="A2618" t="str">
        <f>"20190312161009371"</f>
        <v>20190312161009371</v>
      </c>
      <c r="B2618" t="str">
        <f>"1552378209358935"</f>
        <v>1552378209358935</v>
      </c>
      <c r="C2618" t="s">
        <v>40</v>
      </c>
      <c r="D2618">
        <v>5.7031150000000004</v>
      </c>
      <c r="E2618">
        <v>0.417516</v>
      </c>
      <c r="F2618" t="s">
        <v>41</v>
      </c>
      <c r="G2618">
        <v>-490.43830000000003</v>
      </c>
      <c r="H2618" s="1">
        <v>-1.4582759999999901E-6</v>
      </c>
      <c r="I2618">
        <v>232.7165</v>
      </c>
      <c r="J2618">
        <v>-494.2063</v>
      </c>
      <c r="K2618">
        <v>1.1110310000000001</v>
      </c>
      <c r="L2618">
        <v>254.80269999999999</v>
      </c>
      <c r="M2618">
        <v>-6.1206259999999998E-2</v>
      </c>
      <c r="N2618">
        <v>0</v>
      </c>
      <c r="O2618">
        <v>-0.99804720000000002</v>
      </c>
      <c r="P2618">
        <v>-4.8367640000000003E-2</v>
      </c>
      <c r="Q2618">
        <v>-4.4211220000000002E-2</v>
      </c>
      <c r="R2618">
        <v>-0.99785100000000004</v>
      </c>
      <c r="S2618">
        <v>0.51156619999999997</v>
      </c>
      <c r="T2618">
        <v>-0.1511306</v>
      </c>
      <c r="U2618">
        <v>-3.0257260000000001</v>
      </c>
      <c r="V2618">
        <v>-1.2735089999999999E-2</v>
      </c>
      <c r="W2618">
        <v>-3.1762850000000002E-2</v>
      </c>
      <c r="X2618">
        <v>0.99941429999999998</v>
      </c>
      <c r="Y2618">
        <v>-0.22654859999999999</v>
      </c>
      <c r="Z2618">
        <v>4.875206E-2</v>
      </c>
      <c r="AA2618">
        <v>0.97277899999999995</v>
      </c>
      <c r="AB2618">
        <v>15</v>
      </c>
      <c r="AC2618">
        <v>3.76799999999997</v>
      </c>
      <c r="AD2618">
        <v>-1.1110324582759901</v>
      </c>
      <c r="AE2618">
        <v>-22.086199999999899</v>
      </c>
      <c r="AF2618">
        <v>-5.10031183167695</v>
      </c>
      <c r="AG2618">
        <v>-1.1110324582759901</v>
      </c>
      <c r="AH2618">
        <v>21.7606333460072</v>
      </c>
      <c r="AI2618">
        <v>92.845821282558802</v>
      </c>
      <c r="AJ2618">
        <v>103.19101851926401</v>
      </c>
      <c r="AK2618">
        <v>22.377952040413501</v>
      </c>
      <c r="AL2618">
        <v>91.820183391371302</v>
      </c>
      <c r="AM2618">
        <v>90.730055013134006</v>
      </c>
      <c r="AN2618">
        <v>1.0000000021009601</v>
      </c>
    </row>
    <row r="2619" spans="1:40" x14ac:dyDescent="0.25">
      <c r="A2619" t="str">
        <f>"20190312161009404"</f>
        <v>20190312161009404</v>
      </c>
      <c r="B2619" t="str">
        <f>"1552378209398950"</f>
        <v>1552378209398950</v>
      </c>
      <c r="C2619" t="s">
        <v>40</v>
      </c>
      <c r="D2619">
        <v>5.6912849999999997</v>
      </c>
      <c r="E2619">
        <v>0.41804720000000001</v>
      </c>
      <c r="F2619" t="s">
        <v>41</v>
      </c>
      <c r="G2619">
        <v>-490.47730000000001</v>
      </c>
      <c r="H2619" s="1">
        <v>-1.5358040000000001E-6</v>
      </c>
      <c r="I2619">
        <v>232.87309999999999</v>
      </c>
      <c r="J2619">
        <v>-494.21609999999998</v>
      </c>
      <c r="K2619">
        <v>1.111049</v>
      </c>
      <c r="L2619">
        <v>254.58</v>
      </c>
      <c r="M2619">
        <v>-5.803266E-2</v>
      </c>
      <c r="N2619">
        <v>0</v>
      </c>
      <c r="O2619">
        <v>-0.99823439999999997</v>
      </c>
      <c r="P2619">
        <v>-4.6522349999999997E-2</v>
      </c>
      <c r="Q2619">
        <v>-4.4730869999999999E-2</v>
      </c>
      <c r="R2619">
        <v>-0.99791529999999995</v>
      </c>
      <c r="S2619">
        <v>0.51431269999999996</v>
      </c>
      <c r="T2619">
        <v>-0.1532356</v>
      </c>
      <c r="U2619">
        <v>-3.0245669999999998</v>
      </c>
      <c r="V2619">
        <v>-1.140441E-2</v>
      </c>
      <c r="W2619">
        <v>-3.209762E-2</v>
      </c>
      <c r="X2619">
        <v>0.99941970000000002</v>
      </c>
      <c r="Y2619">
        <v>-0.2243656</v>
      </c>
      <c r="Z2619">
        <v>4.9471319999999999E-2</v>
      </c>
      <c r="AA2619">
        <v>0.97324849999999996</v>
      </c>
      <c r="AB2619">
        <v>15</v>
      </c>
      <c r="AC2619">
        <v>3.7387999999999599</v>
      </c>
      <c r="AD2619">
        <v>-1.1110505358039999</v>
      </c>
      <c r="AE2619">
        <v>-21.706900000000001</v>
      </c>
      <c r="AF2619">
        <v>-4.9796381554427001</v>
      </c>
      <c r="AG2619">
        <v>-1.1110505358039999</v>
      </c>
      <c r="AH2619">
        <v>21.398875225099101</v>
      </c>
      <c r="AI2619">
        <v>92.894970239466105</v>
      </c>
      <c r="AJ2619">
        <v>103.099908312959</v>
      </c>
      <c r="AK2619">
        <v>21.998706560877899</v>
      </c>
      <c r="AL2619">
        <v>91.8393740385646</v>
      </c>
      <c r="AM2619">
        <v>90.653775587863194</v>
      </c>
      <c r="AN2619">
        <v>1.0000000272626</v>
      </c>
    </row>
    <row r="2620" spans="1:40" x14ac:dyDescent="0.25">
      <c r="A2620" t="str">
        <f>"20190312161009448"</f>
        <v>20190312161009448</v>
      </c>
      <c r="B2620" t="str">
        <f>"1552378209437990"</f>
        <v>1552378209437990</v>
      </c>
      <c r="C2620" t="s">
        <v>40</v>
      </c>
      <c r="D2620">
        <v>5.7322379999999997</v>
      </c>
      <c r="E2620">
        <v>0.4182015</v>
      </c>
      <c r="F2620" t="s">
        <v>41</v>
      </c>
      <c r="G2620">
        <v>-490.49369999999999</v>
      </c>
      <c r="H2620" s="1">
        <v>-1.4805939999999999E-6</v>
      </c>
      <c r="I2620">
        <v>232.73419999999999</v>
      </c>
      <c r="J2620">
        <v>-494.22809999999998</v>
      </c>
      <c r="K2620">
        <v>1.1110789999999999</v>
      </c>
      <c r="L2620">
        <v>254.2766</v>
      </c>
      <c r="M2620">
        <v>-5.372101E-2</v>
      </c>
      <c r="N2620">
        <v>0</v>
      </c>
      <c r="O2620">
        <v>-0.99847240000000004</v>
      </c>
      <c r="P2620">
        <v>-4.246954E-2</v>
      </c>
      <c r="Q2620">
        <v>-4.4201619999999997E-2</v>
      </c>
      <c r="R2620">
        <v>-0.99811950000000005</v>
      </c>
      <c r="S2620">
        <v>0.51516720000000005</v>
      </c>
      <c r="T2620">
        <v>-0.15376709999999999</v>
      </c>
      <c r="U2620">
        <v>-3.0234070000000002</v>
      </c>
      <c r="V2620">
        <v>-1.114973E-2</v>
      </c>
      <c r="W2620">
        <v>-3.1321759999999997E-2</v>
      </c>
      <c r="X2620">
        <v>0.99944719999999998</v>
      </c>
      <c r="Y2620">
        <v>-0.22048280000000001</v>
      </c>
      <c r="Z2620">
        <v>4.9700689999999999E-2</v>
      </c>
      <c r="AA2620">
        <v>0.97412379999999998</v>
      </c>
      <c r="AB2620">
        <v>15</v>
      </c>
      <c r="AC2620">
        <v>3.7343999999999902</v>
      </c>
      <c r="AD2620">
        <v>-1.111080480594</v>
      </c>
      <c r="AE2620">
        <v>-21.542400000000001</v>
      </c>
      <c r="AF2620">
        <v>-4.8737959567645897</v>
      </c>
      <c r="AG2620">
        <v>-1.111080480594</v>
      </c>
      <c r="AH2620">
        <v>21.255761241843299</v>
      </c>
      <c r="AI2620">
        <v>92.916685079131398</v>
      </c>
      <c r="AJ2620">
        <v>102.914282333093</v>
      </c>
      <c r="AK2620">
        <v>21.835653707475299</v>
      </c>
      <c r="AL2620">
        <v>91.794898151072999</v>
      </c>
      <c r="AM2620">
        <v>90.6391592991896</v>
      </c>
      <c r="AN2620">
        <v>1.0000000373582001</v>
      </c>
    </row>
    <row r="2621" spans="1:40" x14ac:dyDescent="0.25">
      <c r="A2621" t="str">
        <f>"20190312161009472"</f>
        <v>20190312161009472</v>
      </c>
      <c r="B2621" t="str">
        <f>"1552378209468247"</f>
        <v>1552378209468247</v>
      </c>
      <c r="C2621" t="s">
        <v>40</v>
      </c>
      <c r="D2621">
        <v>5.6268140000000004</v>
      </c>
      <c r="E2621">
        <v>0.35604209999999997</v>
      </c>
      <c r="F2621" t="s">
        <v>41</v>
      </c>
      <c r="G2621">
        <v>-490.41739999999999</v>
      </c>
      <c r="H2621" s="1">
        <v>-1.3248279999999999E-6</v>
      </c>
      <c r="I2621">
        <v>232.41839999999999</v>
      </c>
      <c r="J2621">
        <v>-494.23360000000002</v>
      </c>
      <c r="K2621">
        <v>1.111084</v>
      </c>
      <c r="L2621">
        <v>254.12479999999999</v>
      </c>
      <c r="M2621">
        <v>-5.1558930000000003E-2</v>
      </c>
      <c r="N2621">
        <v>0</v>
      </c>
      <c r="O2621">
        <v>-0.99858530000000001</v>
      </c>
      <c r="P2621">
        <v>-3.9399070000000001E-2</v>
      </c>
      <c r="Q2621">
        <v>-4.4815870000000001E-2</v>
      </c>
      <c r="R2621">
        <v>-0.99821850000000001</v>
      </c>
      <c r="S2621">
        <v>0.52673340000000002</v>
      </c>
      <c r="T2621">
        <v>-0.1535765</v>
      </c>
      <c r="U2621">
        <v>-3.0213009999999998</v>
      </c>
      <c r="V2621">
        <v>-1.2057399999999999E-2</v>
      </c>
      <c r="W2621">
        <v>-3.1827250000000001E-2</v>
      </c>
      <c r="X2621">
        <v>0.99942059999999999</v>
      </c>
      <c r="Y2621">
        <v>-0.222105</v>
      </c>
      <c r="Z2621">
        <v>4.9656619999999999E-2</v>
      </c>
      <c r="AA2621">
        <v>0.9737574</v>
      </c>
      <c r="AB2621">
        <v>15</v>
      </c>
      <c r="AC2621">
        <v>3.81620000000003</v>
      </c>
      <c r="AD2621">
        <v>-1.1110853248279999</v>
      </c>
      <c r="AE2621">
        <v>-21.706399999999999</v>
      </c>
      <c r="AF2621">
        <v>-4.9178777628598302</v>
      </c>
      <c r="AG2621">
        <v>-1.1110853248279999</v>
      </c>
      <c r="AH2621">
        <v>21.426292759841399</v>
      </c>
      <c r="AI2621">
        <v>92.893377109800099</v>
      </c>
      <c r="AJ2621">
        <v>102.92693381524199</v>
      </c>
      <c r="AK2621">
        <v>22.011498216157602</v>
      </c>
      <c r="AL2621">
        <v>91.823875209837695</v>
      </c>
      <c r="AM2621">
        <v>90.691205102013598</v>
      </c>
      <c r="AN2621">
        <v>0.99999994522083901</v>
      </c>
    </row>
    <row r="2622" spans="1:40" x14ac:dyDescent="0.25">
      <c r="A2622" t="str">
        <f>"20190312161009493"</f>
        <v>20190312161009493</v>
      </c>
      <c r="B2622" t="str">
        <f>"1552378209488743"</f>
        <v>1552378209488743</v>
      </c>
      <c r="C2622" t="s">
        <v>40</v>
      </c>
      <c r="D2622">
        <v>5.6547070000000001</v>
      </c>
      <c r="E2622">
        <v>0.3481455</v>
      </c>
      <c r="F2622" t="s">
        <v>59</v>
      </c>
      <c r="G2622">
        <v>-484.04239999999999</v>
      </c>
      <c r="H2622" s="1">
        <v>3.5878990000000002E-6</v>
      </c>
      <c r="I2622">
        <v>224.02099999999999</v>
      </c>
      <c r="J2622">
        <v>-494.23880000000003</v>
      </c>
      <c r="K2622">
        <v>1.1110899999999999</v>
      </c>
      <c r="L2622">
        <v>253.97669999999999</v>
      </c>
      <c r="M2622">
        <v>-4.9446200000000003E-2</v>
      </c>
      <c r="N2622">
        <v>0</v>
      </c>
      <c r="O2622">
        <v>-0.99869070000000004</v>
      </c>
      <c r="P2622">
        <v>-3.6856470000000002E-2</v>
      </c>
      <c r="Q2622">
        <v>-4.4981069999999998E-2</v>
      </c>
      <c r="R2622">
        <v>-0.99830799999999997</v>
      </c>
      <c r="S2622">
        <v>1.02948</v>
      </c>
      <c r="T2622">
        <v>-0.1122372</v>
      </c>
      <c r="U2622">
        <v>-3.0409700000000002</v>
      </c>
      <c r="V2622">
        <v>-1.248818E-2</v>
      </c>
      <c r="W2622">
        <v>-3.189649E-2</v>
      </c>
      <c r="X2622">
        <v>0.99941310000000005</v>
      </c>
      <c r="Y2622">
        <v>-0.36691400000000002</v>
      </c>
      <c r="Z2622">
        <v>3.4566810000000003E-2</v>
      </c>
      <c r="AA2622">
        <v>0.92961240000000001</v>
      </c>
      <c r="AB2622">
        <v>15</v>
      </c>
      <c r="AC2622">
        <v>10.196400000000001</v>
      </c>
      <c r="AD2622">
        <v>-1.111086412101</v>
      </c>
      <c r="AE2622">
        <v>-29.9557</v>
      </c>
      <c r="AF2622">
        <v>-11.650884059365501</v>
      </c>
      <c r="AG2622">
        <v>-1.111086412101</v>
      </c>
      <c r="AH2622">
        <v>29.378614137559001</v>
      </c>
      <c r="AI2622">
        <v>92.013457013094396</v>
      </c>
      <c r="AJ2622">
        <v>111.63214059752799</v>
      </c>
      <c r="AK2622">
        <v>31.6240506738703</v>
      </c>
      <c r="AL2622">
        <v>91.827844389875807</v>
      </c>
      <c r="AM2622">
        <v>90.715902934799402</v>
      </c>
      <c r="AN2622">
        <v>0.99999994258281899</v>
      </c>
    </row>
    <row r="2623" spans="1:40" x14ac:dyDescent="0.25">
      <c r="A2623" t="str">
        <f>"20190312161009517"</f>
        <v>20190312161009517</v>
      </c>
      <c r="B2623" t="str">
        <f>"1552378209508263"</f>
        <v>1552378209508263</v>
      </c>
      <c r="C2623" t="s">
        <v>40</v>
      </c>
      <c r="D2623">
        <v>5.3486159999999998</v>
      </c>
      <c r="E2623">
        <v>0.34545360000000003</v>
      </c>
      <c r="F2623" t="s">
        <v>59</v>
      </c>
      <c r="G2623">
        <v>-479.77420000000001</v>
      </c>
      <c r="H2623" s="1">
        <v>1.5940779999999999E-6</v>
      </c>
      <c r="I2623">
        <v>213.93199999999999</v>
      </c>
      <c r="J2623">
        <v>-494.24369999999999</v>
      </c>
      <c r="K2623">
        <v>1.1110910000000001</v>
      </c>
      <c r="L2623">
        <v>253.82499999999999</v>
      </c>
      <c r="M2623">
        <v>-4.7278109999999998E-2</v>
      </c>
      <c r="N2623">
        <v>0</v>
      </c>
      <c r="O2623">
        <v>-0.99879459999999998</v>
      </c>
      <c r="P2623">
        <v>-3.414383E-2</v>
      </c>
      <c r="Q2623">
        <v>-4.5137450000000003E-2</v>
      </c>
      <c r="R2623">
        <v>-0.99839739999999999</v>
      </c>
      <c r="S2623">
        <v>1.0987549999999999</v>
      </c>
      <c r="T2623">
        <v>-8.4400299999999998E-2</v>
      </c>
      <c r="U2623">
        <v>-3.0418699999999999</v>
      </c>
      <c r="V2623">
        <v>-1.303381E-2</v>
      </c>
      <c r="W2623">
        <v>-3.1966130000000002E-2</v>
      </c>
      <c r="X2623">
        <v>0.99940399999999996</v>
      </c>
      <c r="Y2623">
        <v>-0.38370320000000002</v>
      </c>
      <c r="Z2623">
        <v>2.5811810000000001E-2</v>
      </c>
      <c r="AA2623">
        <v>0.92309560000000002</v>
      </c>
      <c r="AB2623">
        <v>15</v>
      </c>
      <c r="AC2623">
        <v>14.469499999999901</v>
      </c>
      <c r="AD2623">
        <v>-1.111089405922</v>
      </c>
      <c r="AE2623">
        <v>-39.892999999999901</v>
      </c>
      <c r="AF2623">
        <v>-16.328353128511999</v>
      </c>
      <c r="AG2623">
        <v>-1.111089405922</v>
      </c>
      <c r="AH2623">
        <v>39.137402323315598</v>
      </c>
      <c r="AI2623">
        <v>91.500842141779202</v>
      </c>
      <c r="AJ2623">
        <v>112.646182784673</v>
      </c>
      <c r="AK2623">
        <v>42.421526330088703</v>
      </c>
      <c r="AL2623">
        <v>91.831836335576597</v>
      </c>
      <c r="AM2623">
        <v>90.747185292434395</v>
      </c>
      <c r="AN2623">
        <v>1.0000000344431399</v>
      </c>
    </row>
    <row r="2624" spans="1:40" x14ac:dyDescent="0.25">
      <c r="A2624" t="str">
        <f>"20190312161009538"</f>
        <v>20190312161009538</v>
      </c>
      <c r="B2624" t="str">
        <f>"1552378209528759"</f>
        <v>1552378209528759</v>
      </c>
      <c r="C2624" t="s">
        <v>40</v>
      </c>
      <c r="D2624">
        <v>5.6527019999999997</v>
      </c>
      <c r="E2624">
        <v>0.34344619999999998</v>
      </c>
      <c r="F2624" t="s">
        <v>59</v>
      </c>
      <c r="G2624">
        <v>-477.75749999999999</v>
      </c>
      <c r="H2624">
        <v>2.8688559999999998E-2</v>
      </c>
      <c r="I2624">
        <v>209.38229999999999</v>
      </c>
      <c r="J2624">
        <v>-494.24810000000002</v>
      </c>
      <c r="K2624">
        <v>1.111094</v>
      </c>
      <c r="L2624">
        <v>253.6781</v>
      </c>
      <c r="M2624">
        <v>-4.5179480000000001E-2</v>
      </c>
      <c r="N2624">
        <v>0</v>
      </c>
      <c r="O2624">
        <v>-0.99889050000000001</v>
      </c>
      <c r="P2624">
        <v>-3.22063E-2</v>
      </c>
      <c r="Q2624">
        <v>-4.5693400000000002E-2</v>
      </c>
      <c r="R2624">
        <v>-0.9984362</v>
      </c>
      <c r="S2624">
        <v>1.1277159999999999</v>
      </c>
      <c r="T2624">
        <v>-7.4040289999999995E-2</v>
      </c>
      <c r="U2624">
        <v>-3.0400390000000002</v>
      </c>
      <c r="V2624">
        <v>-1.2872059999999999E-2</v>
      </c>
      <c r="W2624">
        <v>-3.2446549999999998E-2</v>
      </c>
      <c r="X2624">
        <v>0.99939060000000002</v>
      </c>
      <c r="Y2624">
        <v>-0.389714</v>
      </c>
      <c r="Z2624">
        <v>2.2596020000000001E-2</v>
      </c>
      <c r="AA2624">
        <v>0.92065870000000005</v>
      </c>
      <c r="AB2624">
        <v>15</v>
      </c>
      <c r="AC2624">
        <v>16.490600000000001</v>
      </c>
      <c r="AD2624">
        <v>-1.0824054400000001</v>
      </c>
      <c r="AE2624">
        <v>-44.2958</v>
      </c>
      <c r="AF2624">
        <v>-18.4655123456923</v>
      </c>
      <c r="AG2624">
        <v>-1.0824054400000001</v>
      </c>
      <c r="AH2624">
        <v>43.482654917914999</v>
      </c>
      <c r="AI2624">
        <v>91.312553797410601</v>
      </c>
      <c r="AJ2624">
        <v>113.009177442934</v>
      </c>
      <c r="AK2624">
        <v>47.253444598631397</v>
      </c>
      <c r="AL2624">
        <v>91.859376687024707</v>
      </c>
      <c r="AM2624">
        <v>90.737923623743598</v>
      </c>
      <c r="AN2624">
        <v>1.0000000199519501</v>
      </c>
    </row>
    <row r="2625" spans="1:40" x14ac:dyDescent="0.25">
      <c r="A2625" t="str">
        <f>"20190312161009562"</f>
        <v>20190312161009562</v>
      </c>
      <c r="B2625" t="str">
        <f>"1552378209558038"</f>
        <v>1552378209558038</v>
      </c>
      <c r="C2625" t="s">
        <v>40</v>
      </c>
      <c r="D2625">
        <v>5.6712360000000004</v>
      </c>
      <c r="E2625">
        <v>0.34209129999999999</v>
      </c>
      <c r="F2625" t="s">
        <v>59</v>
      </c>
      <c r="G2625">
        <v>-477.51240000000001</v>
      </c>
      <c r="H2625">
        <v>5.8622470000000003E-2</v>
      </c>
      <c r="I2625">
        <v>209.44049999999999</v>
      </c>
      <c r="J2625">
        <v>-494.2527</v>
      </c>
      <c r="K2625">
        <v>1.1110930000000001</v>
      </c>
      <c r="L2625">
        <v>253.51759999999999</v>
      </c>
      <c r="M2625">
        <v>-4.2885489999999998E-2</v>
      </c>
      <c r="N2625">
        <v>0</v>
      </c>
      <c r="O2625">
        <v>-0.99899110000000002</v>
      </c>
      <c r="P2625">
        <v>-2.9899329999999998E-2</v>
      </c>
      <c r="Q2625">
        <v>-4.5839390000000001E-2</v>
      </c>
      <c r="R2625">
        <v>-0.99850159999999999</v>
      </c>
      <c r="S2625">
        <v>1.1495059999999999</v>
      </c>
      <c r="T2625">
        <v>-7.2289939999999997E-2</v>
      </c>
      <c r="U2625">
        <v>-3.0384980000000001</v>
      </c>
      <c r="V2625">
        <v>-1.2885850000000001E-2</v>
      </c>
      <c r="W2625">
        <v>-3.2519840000000001E-2</v>
      </c>
      <c r="X2625">
        <v>0.99938800000000005</v>
      </c>
      <c r="Y2625">
        <v>-0.3935419</v>
      </c>
      <c r="Z2625">
        <v>2.2030549999999999E-2</v>
      </c>
      <c r="AA2625">
        <v>0.91904260000000004</v>
      </c>
      <c r="AB2625">
        <v>15</v>
      </c>
      <c r="AC2625">
        <v>16.740299999999898</v>
      </c>
      <c r="AD2625">
        <v>-1.0524705299999999</v>
      </c>
      <c r="AE2625">
        <v>-44.077100000000002</v>
      </c>
      <c r="AF2625">
        <v>-18.606060956067001</v>
      </c>
      <c r="AG2625">
        <v>-1.0524705299999999</v>
      </c>
      <c r="AH2625">
        <v>43.296987776261297</v>
      </c>
      <c r="AI2625">
        <v>91.279393763048205</v>
      </c>
      <c r="AJ2625">
        <v>113.25469952402101</v>
      </c>
      <c r="AK2625">
        <v>47.137271336121302</v>
      </c>
      <c r="AL2625">
        <v>91.863578186580099</v>
      </c>
      <c r="AM2625">
        <v>90.7387160046773</v>
      </c>
      <c r="AN2625">
        <v>0.99999997983392397</v>
      </c>
    </row>
    <row r="2626" spans="1:40" x14ac:dyDescent="0.25">
      <c r="A2626" t="str">
        <f>"20190312161009584"</f>
        <v>20190312161009584</v>
      </c>
      <c r="B2626" t="str">
        <f>"1552378209578535"</f>
        <v>1552378209578535</v>
      </c>
      <c r="C2626" t="s">
        <v>40</v>
      </c>
      <c r="D2626">
        <v>5.6602480000000002</v>
      </c>
      <c r="E2626">
        <v>0.34204109999999999</v>
      </c>
      <c r="F2626" t="s">
        <v>59</v>
      </c>
      <c r="G2626">
        <v>-477.22879999999998</v>
      </c>
      <c r="H2626">
        <v>7.9999970000000004E-2</v>
      </c>
      <c r="I2626">
        <v>209.22460000000001</v>
      </c>
      <c r="J2626">
        <v>-494.25639999999999</v>
      </c>
      <c r="K2626">
        <v>1.111086</v>
      </c>
      <c r="L2626">
        <v>253.37200000000001</v>
      </c>
      <c r="M2626">
        <v>-4.0806340000000003E-2</v>
      </c>
      <c r="N2626">
        <v>0</v>
      </c>
      <c r="O2626">
        <v>-0.99907710000000005</v>
      </c>
      <c r="P2626">
        <v>-2.786081E-2</v>
      </c>
      <c r="Q2626">
        <v>-4.5705620000000002E-2</v>
      </c>
      <c r="R2626">
        <v>-0.99856639999999997</v>
      </c>
      <c r="S2626">
        <v>1.1669620000000001</v>
      </c>
      <c r="T2626">
        <v>-7.0680019999999996E-2</v>
      </c>
      <c r="U2626">
        <v>-3.0362239999999998</v>
      </c>
      <c r="V2626">
        <v>-1.2847330000000001E-2</v>
      </c>
      <c r="W2626">
        <v>-3.2328740000000002E-2</v>
      </c>
      <c r="X2626">
        <v>0.99939469999999997</v>
      </c>
      <c r="Y2626">
        <v>-0.39647110000000002</v>
      </c>
      <c r="Z2626">
        <v>2.152273E-2</v>
      </c>
      <c r="AA2626">
        <v>0.91779489999999997</v>
      </c>
      <c r="AB2626">
        <v>15</v>
      </c>
      <c r="AC2626">
        <v>17.0276</v>
      </c>
      <c r="AD2626">
        <v>-1.03108603</v>
      </c>
      <c r="AE2626">
        <v>-44.147399999999998</v>
      </c>
      <c r="AF2626">
        <v>-18.8061405670204</v>
      </c>
      <c r="AG2626">
        <v>-1.03108603</v>
      </c>
      <c r="AH2626">
        <v>43.3951195666071</v>
      </c>
      <c r="AI2626">
        <v>91.248919525711202</v>
      </c>
      <c r="AJ2626">
        <v>113.43045883692299</v>
      </c>
      <c r="AK2626">
        <v>47.306135581211002</v>
      </c>
      <c r="AL2626">
        <v>91.852623195237697</v>
      </c>
      <c r="AM2626">
        <v>90.736503048654299</v>
      </c>
      <c r="AN2626">
        <v>0.99999998385310296</v>
      </c>
    </row>
    <row r="2627" spans="1:40" x14ac:dyDescent="0.25">
      <c r="A2627" t="str">
        <f>"20190312161009605"</f>
        <v>20190312161009605</v>
      </c>
      <c r="B2627" t="str">
        <f>"1552378209598054"</f>
        <v>1552378209598054</v>
      </c>
      <c r="C2627" t="s">
        <v>40</v>
      </c>
      <c r="D2627">
        <v>5.6707799999999997</v>
      </c>
      <c r="E2627">
        <v>0.34240589999999999</v>
      </c>
      <c r="F2627" t="s">
        <v>59</v>
      </c>
      <c r="G2627">
        <v>-476.93729999999999</v>
      </c>
      <c r="H2627">
        <v>7.9999780000000006E-2</v>
      </c>
      <c r="I2627">
        <v>208.6095</v>
      </c>
      <c r="J2627">
        <v>-494.25970000000001</v>
      </c>
      <c r="K2627">
        <v>1.1110770000000001</v>
      </c>
      <c r="L2627">
        <v>253.23079999999999</v>
      </c>
      <c r="M2627">
        <v>-3.8789329999999997E-2</v>
      </c>
      <c r="N2627">
        <v>0</v>
      </c>
      <c r="O2627">
        <v>-0.99915710000000002</v>
      </c>
      <c r="P2627">
        <v>-2.5090520000000002E-2</v>
      </c>
      <c r="Q2627">
        <v>-4.5711929999999998E-2</v>
      </c>
      <c r="R2627">
        <v>-0.99863979999999997</v>
      </c>
      <c r="S2627">
        <v>1.1738280000000001</v>
      </c>
      <c r="T2627">
        <v>-6.9883349999999997E-2</v>
      </c>
      <c r="U2627">
        <v>-3.0338440000000002</v>
      </c>
      <c r="V2627">
        <v>-1.360219E-2</v>
      </c>
      <c r="W2627">
        <v>-3.228876E-2</v>
      </c>
      <c r="X2627">
        <v>0.999386</v>
      </c>
      <c r="Y2627">
        <v>-0.39666899999999999</v>
      </c>
      <c r="Z2627">
        <v>2.1289209999999999E-2</v>
      </c>
      <c r="AA2627">
        <v>0.91771480000000005</v>
      </c>
      <c r="AB2627">
        <v>15</v>
      </c>
      <c r="AC2627">
        <v>17.322399999999998</v>
      </c>
      <c r="AD2627">
        <v>-1.03107722</v>
      </c>
      <c r="AE2627">
        <v>-44.621299999999898</v>
      </c>
      <c r="AF2627">
        <v>-19.031516595876401</v>
      </c>
      <c r="AG2627">
        <v>-1.03107722</v>
      </c>
      <c r="AH2627">
        <v>43.895359322422301</v>
      </c>
      <c r="AI2627">
        <v>91.234592381400304</v>
      </c>
      <c r="AJ2627">
        <v>113.43989456581301</v>
      </c>
      <c r="AK2627">
        <v>47.854616435797404</v>
      </c>
      <c r="AL2627">
        <v>91.850331320011705</v>
      </c>
      <c r="AM2627">
        <v>90.779778744671503</v>
      </c>
      <c r="AN2627">
        <v>0.99999998029556603</v>
      </c>
    </row>
    <row r="2628" spans="1:40" x14ac:dyDescent="0.25">
      <c r="A2628" t="str">
        <f>"20190312161009628"</f>
        <v>20190312161009628</v>
      </c>
      <c r="B2628" t="str">
        <f>"1552378209618551"</f>
        <v>1552378209618551</v>
      </c>
      <c r="C2628" t="s">
        <v>40</v>
      </c>
      <c r="D2628">
        <v>5.6855060000000002</v>
      </c>
      <c r="E2628">
        <v>0.34315590000000001</v>
      </c>
      <c r="F2628" t="s">
        <v>59</v>
      </c>
      <c r="G2628">
        <v>-477.24299999999999</v>
      </c>
      <c r="H2628">
        <v>7.690176E-2</v>
      </c>
      <c r="I2628">
        <v>209.49539999999999</v>
      </c>
      <c r="J2628">
        <v>-494.2629</v>
      </c>
      <c r="K2628">
        <v>1.111078</v>
      </c>
      <c r="L2628">
        <v>253.0804</v>
      </c>
      <c r="M2628">
        <v>-3.663918E-2</v>
      </c>
      <c r="N2628">
        <v>0</v>
      </c>
      <c r="O2628">
        <v>-0.99923740000000005</v>
      </c>
      <c r="P2628">
        <v>-2.219349E-2</v>
      </c>
      <c r="Q2628">
        <v>-4.581739E-2</v>
      </c>
      <c r="R2628">
        <v>-0.99870369999999997</v>
      </c>
      <c r="S2628">
        <v>1.1790769999999999</v>
      </c>
      <c r="T2628">
        <v>-7.1657180000000001E-2</v>
      </c>
      <c r="U2628">
        <v>-3.0303960000000001</v>
      </c>
      <c r="V2628">
        <v>-1.435081E-2</v>
      </c>
      <c r="W2628">
        <v>-3.2351959999999999E-2</v>
      </c>
      <c r="X2628">
        <v>0.99937350000000003</v>
      </c>
      <c r="Y2628">
        <v>-0.3964221</v>
      </c>
      <c r="Z2628">
        <v>2.1849859999999999E-2</v>
      </c>
      <c r="AA2628">
        <v>0.91780830000000002</v>
      </c>
      <c r="AB2628">
        <v>15</v>
      </c>
      <c r="AC2628">
        <v>17.0198999999999</v>
      </c>
      <c r="AD2628">
        <v>-1.0341762400000001</v>
      </c>
      <c r="AE2628">
        <v>-43.585000000000001</v>
      </c>
      <c r="AF2628">
        <v>-18.596449575575001</v>
      </c>
      <c r="AG2628">
        <v>-1.0341762400000001</v>
      </c>
      <c r="AH2628">
        <v>42.911115222199697</v>
      </c>
      <c r="AI2628">
        <v>91.2667852122363</v>
      </c>
      <c r="AJ2628">
        <v>113.43052846890301</v>
      </c>
      <c r="AK2628">
        <v>46.778854912504897</v>
      </c>
      <c r="AL2628">
        <v>91.853954281125695</v>
      </c>
      <c r="AM2628">
        <v>90.822699757522003</v>
      </c>
      <c r="AN2628">
        <v>0.99999999378287296</v>
      </c>
    </row>
    <row r="2629" spans="1:40" x14ac:dyDescent="0.25">
      <c r="A2629" t="str">
        <f>"20190312161009649"</f>
        <v>20190312161009649</v>
      </c>
      <c r="B2629" t="str">
        <f>"1552378209638070"</f>
        <v>1552378209638070</v>
      </c>
      <c r="C2629" t="s">
        <v>40</v>
      </c>
      <c r="D2629">
        <v>5.6474120000000001</v>
      </c>
      <c r="E2629">
        <v>0.34339540000000002</v>
      </c>
      <c r="F2629" t="s">
        <v>59</v>
      </c>
      <c r="G2629">
        <v>-477.68450000000001</v>
      </c>
      <c r="H2629" s="1">
        <v>2.377533E-6</v>
      </c>
      <c r="I2629">
        <v>210.6551</v>
      </c>
      <c r="J2629">
        <v>-494.26569999999998</v>
      </c>
      <c r="K2629">
        <v>1.1110690000000001</v>
      </c>
      <c r="L2629">
        <v>252.93690000000001</v>
      </c>
      <c r="M2629">
        <v>-3.4589179999999997E-2</v>
      </c>
      <c r="N2629">
        <v>0</v>
      </c>
      <c r="O2629">
        <v>-0.99931009999999998</v>
      </c>
      <c r="P2629">
        <v>-1.9694099999999999E-2</v>
      </c>
      <c r="Q2629">
        <v>-4.6236359999999997E-2</v>
      </c>
      <c r="R2629">
        <v>-0.99873659999999997</v>
      </c>
      <c r="S2629">
        <v>1.1826779999999999</v>
      </c>
      <c r="T2629">
        <v>-7.9262260000000001E-2</v>
      </c>
      <c r="U2629">
        <v>-3.0265499999999999</v>
      </c>
      <c r="V2629">
        <v>-1.4800000000000001E-2</v>
      </c>
      <c r="W2629">
        <v>-3.2735849999999997E-2</v>
      </c>
      <c r="X2629">
        <v>0.99935450000000003</v>
      </c>
      <c r="Y2629">
        <v>-0.39586080000000001</v>
      </c>
      <c r="Z2629">
        <v>2.4196789999999999E-2</v>
      </c>
      <c r="AA2629">
        <v>0.91799169999999997</v>
      </c>
      <c r="AB2629">
        <v>15</v>
      </c>
      <c r="AC2629">
        <v>16.5811999999999</v>
      </c>
      <c r="AD2629">
        <v>-1.1110666224670001</v>
      </c>
      <c r="AE2629">
        <v>-42.281799999999997</v>
      </c>
      <c r="AF2629">
        <v>-18.0231164041748</v>
      </c>
      <c r="AG2629">
        <v>-1.1110666224670001</v>
      </c>
      <c r="AH2629">
        <v>41.657980703777604</v>
      </c>
      <c r="AI2629">
        <v>91.402229843929504</v>
      </c>
      <c r="AJ2629">
        <v>113.395480029155</v>
      </c>
      <c r="AK2629">
        <v>45.403243829866398</v>
      </c>
      <c r="AL2629">
        <v>91.875961116613894</v>
      </c>
      <c r="AM2629">
        <v>90.848463234293504</v>
      </c>
      <c r="AN2629">
        <v>1.0000000462727301</v>
      </c>
    </row>
    <row r="2630" spans="1:40" x14ac:dyDescent="0.25">
      <c r="A2630" t="str">
        <f>"20190312161009675"</f>
        <v>20190312161009675</v>
      </c>
      <c r="B2630" t="str">
        <f>"1552378209668326"</f>
        <v>1552378209668326</v>
      </c>
      <c r="C2630" t="s">
        <v>40</v>
      </c>
      <c r="D2630">
        <v>5.5596889999999997</v>
      </c>
      <c r="E2630">
        <v>0.34388030000000003</v>
      </c>
      <c r="F2630" t="s">
        <v>59</v>
      </c>
      <c r="G2630">
        <v>-477.87349999999998</v>
      </c>
      <c r="H2630" s="1">
        <v>2.3184169999999999E-6</v>
      </c>
      <c r="I2630">
        <v>211.22030000000001</v>
      </c>
      <c r="J2630">
        <v>-494.26859999999999</v>
      </c>
      <c r="K2630">
        <v>1.1110690000000001</v>
      </c>
      <c r="L2630">
        <v>252.77549999999999</v>
      </c>
      <c r="M2630">
        <v>-3.2283970000000002E-2</v>
      </c>
      <c r="N2630">
        <v>0</v>
      </c>
      <c r="O2630">
        <v>-0.99938669999999996</v>
      </c>
      <c r="P2630">
        <v>-1.78888E-2</v>
      </c>
      <c r="Q2630">
        <v>-4.565719E-2</v>
      </c>
      <c r="R2630">
        <v>-0.99879720000000005</v>
      </c>
      <c r="S2630">
        <v>1.1880489999999999</v>
      </c>
      <c r="T2630">
        <v>-8.0526109999999998E-2</v>
      </c>
      <c r="U2630">
        <v>-3.0234679999999998</v>
      </c>
      <c r="V2630">
        <v>-1.4304219999999999E-2</v>
      </c>
      <c r="W2630">
        <v>-3.2120460000000003E-2</v>
      </c>
      <c r="X2630">
        <v>0.99938170000000004</v>
      </c>
      <c r="Y2630">
        <v>-0.39546969999999998</v>
      </c>
      <c r="Z2630">
        <v>2.4603139999999999E-2</v>
      </c>
      <c r="AA2630">
        <v>0.91814949999999995</v>
      </c>
      <c r="AB2630">
        <v>15</v>
      </c>
      <c r="AC2630">
        <v>16.395099999999999</v>
      </c>
      <c r="AD2630">
        <v>-1.1110666815829999</v>
      </c>
      <c r="AE2630">
        <v>-41.5551999999999</v>
      </c>
      <c r="AF2630">
        <v>-17.717282870201998</v>
      </c>
      <c r="AG2630">
        <v>-1.1110666815829999</v>
      </c>
      <c r="AH2630">
        <v>40.978838311860699</v>
      </c>
      <c r="AI2630">
        <v>91.4256116759083</v>
      </c>
      <c r="AJ2630">
        <v>113.381338709278</v>
      </c>
      <c r="AK2630">
        <v>44.658725584853997</v>
      </c>
      <c r="AL2630">
        <v>91.840683291773701</v>
      </c>
      <c r="AM2630">
        <v>90.820022495128697</v>
      </c>
      <c r="AN2630">
        <v>1.0000000584776501</v>
      </c>
    </row>
    <row r="2631" spans="1:40" x14ac:dyDescent="0.25">
      <c r="A2631" t="str">
        <f>"20190312161009693"</f>
        <v>20190312161009693</v>
      </c>
      <c r="B2631" t="str">
        <f>"1552378209688823"</f>
        <v>1552378209688823</v>
      </c>
      <c r="C2631" t="s">
        <v>40</v>
      </c>
      <c r="D2631">
        <v>5.6475099999999996</v>
      </c>
      <c r="E2631">
        <v>0.34400730000000002</v>
      </c>
      <c r="F2631" t="s">
        <v>59</v>
      </c>
      <c r="G2631">
        <v>-478.4658</v>
      </c>
      <c r="H2631" s="1">
        <v>2.1180540000000001E-6</v>
      </c>
      <c r="I2631">
        <v>212.64519999999999</v>
      </c>
      <c r="J2631">
        <v>-494.27050000000003</v>
      </c>
      <c r="K2631">
        <v>1.111073</v>
      </c>
      <c r="L2631">
        <v>252.64850000000001</v>
      </c>
      <c r="M2631">
        <v>-3.047072E-2</v>
      </c>
      <c r="N2631">
        <v>0</v>
      </c>
      <c r="O2631">
        <v>-0.99944310000000003</v>
      </c>
      <c r="P2631">
        <v>-1.6192600000000001E-2</v>
      </c>
      <c r="Q2631">
        <v>-4.5147199999999998E-2</v>
      </c>
      <c r="R2631">
        <v>-0.99884930000000005</v>
      </c>
      <c r="S2631">
        <v>1.189667</v>
      </c>
      <c r="T2631">
        <v>-8.3643439999999999E-2</v>
      </c>
      <c r="U2631">
        <v>-3.0210880000000002</v>
      </c>
      <c r="V2631">
        <v>-1.419057E-2</v>
      </c>
      <c r="W2631">
        <v>-3.1586490000000002E-2</v>
      </c>
      <c r="X2631">
        <v>0.99940030000000002</v>
      </c>
      <c r="Y2631">
        <v>-0.39446609999999999</v>
      </c>
      <c r="Z2631">
        <v>2.5579259999999999E-2</v>
      </c>
      <c r="AA2631">
        <v>0.91855439999999999</v>
      </c>
      <c r="AB2631">
        <v>15</v>
      </c>
      <c r="AC2631">
        <v>15.8047</v>
      </c>
      <c r="AD2631">
        <v>-1.111070881946</v>
      </c>
      <c r="AE2631">
        <v>-40.003300000000003</v>
      </c>
      <c r="AF2631">
        <v>-17.0050551119846</v>
      </c>
      <c r="AG2631">
        <v>-1.111070881946</v>
      </c>
      <c r="AH2631">
        <v>39.476754749997802</v>
      </c>
      <c r="AI2631">
        <v>91.480694154219407</v>
      </c>
      <c r="AJ2631">
        <v>113.304503484954</v>
      </c>
      <c r="AK2631">
        <v>42.997913245386897</v>
      </c>
      <c r="AL2631">
        <v>91.810073604108794</v>
      </c>
      <c r="AM2631">
        <v>90.8134929868217</v>
      </c>
      <c r="AN2631">
        <v>1.0000000191337599</v>
      </c>
    </row>
    <row r="2632" spans="1:40" x14ac:dyDescent="0.25">
      <c r="A2632" t="str">
        <f>"20190312161009717"</f>
        <v>20190312161009717</v>
      </c>
      <c r="B2632" t="str">
        <f>"1552378209708343"</f>
        <v>1552378209708343</v>
      </c>
      <c r="C2632" t="s">
        <v>40</v>
      </c>
      <c r="D2632">
        <v>5.6573710000000004</v>
      </c>
      <c r="E2632">
        <v>0.34295320000000001</v>
      </c>
      <c r="F2632" t="s">
        <v>59</v>
      </c>
      <c r="G2632">
        <v>-478.64760000000001</v>
      </c>
      <c r="H2632" s="1">
        <v>2.0597919999999999E-6</v>
      </c>
      <c r="I2632">
        <v>213.1566</v>
      </c>
      <c r="J2632">
        <v>-494.27249999999998</v>
      </c>
      <c r="K2632">
        <v>1.111076</v>
      </c>
      <c r="L2632">
        <v>252.49529999999999</v>
      </c>
      <c r="M2632">
        <v>-2.8282959999999999E-2</v>
      </c>
      <c r="N2632">
        <v>0</v>
      </c>
      <c r="O2632">
        <v>-0.99950740000000005</v>
      </c>
      <c r="P2632">
        <v>-1.419363E-2</v>
      </c>
      <c r="Q2632">
        <v>-4.4450980000000001E-2</v>
      </c>
      <c r="R2632">
        <v>-0.99891099999999999</v>
      </c>
      <c r="S2632">
        <v>1.1943049999999999</v>
      </c>
      <c r="T2632">
        <v>-8.4936620000000004E-2</v>
      </c>
      <c r="U2632">
        <v>-3.0189819999999998</v>
      </c>
      <c r="V2632">
        <v>-1.4005500000000001E-2</v>
      </c>
      <c r="W2632">
        <v>-3.0865340000000002E-2</v>
      </c>
      <c r="X2632">
        <v>0.99942540000000002</v>
      </c>
      <c r="Y2632">
        <v>-0.39389030000000003</v>
      </c>
      <c r="Z2632">
        <v>2.5990200000000001E-2</v>
      </c>
      <c r="AA2632">
        <v>0.91879</v>
      </c>
      <c r="AB2632">
        <v>15</v>
      </c>
      <c r="AC2632">
        <v>15.624899999999901</v>
      </c>
      <c r="AD2632">
        <v>-1.1110739402080001</v>
      </c>
      <c r="AE2632">
        <v>-39.338699999999903</v>
      </c>
      <c r="AF2632">
        <v>-16.719845840704998</v>
      </c>
      <c r="AG2632">
        <v>-1.1110739402080001</v>
      </c>
      <c r="AH2632">
        <v>38.854229519455998</v>
      </c>
      <c r="AI2632">
        <v>91.504650947771097</v>
      </c>
      <c r="AJ2632">
        <v>113.283293298134</v>
      </c>
      <c r="AK2632">
        <v>42.313577983764397</v>
      </c>
      <c r="AL2632">
        <v>91.768734668798899</v>
      </c>
      <c r="AM2632">
        <v>90.802864843620696</v>
      </c>
      <c r="AN2632">
        <v>0.99999997670436203</v>
      </c>
    </row>
    <row r="2633" spans="1:40" x14ac:dyDescent="0.25">
      <c r="A2633" t="str">
        <f>"20190312161009740"</f>
        <v>20190312161009740</v>
      </c>
      <c r="B2633" t="str">
        <f>"1552378209728838"</f>
        <v>1552378209728838</v>
      </c>
      <c r="C2633" t="s">
        <v>40</v>
      </c>
      <c r="D2633">
        <v>5.5952250000000001</v>
      </c>
      <c r="E2633">
        <v>0.34184969999999998</v>
      </c>
      <c r="F2633" t="s">
        <v>59</v>
      </c>
      <c r="G2633">
        <v>-478.00630000000001</v>
      </c>
      <c r="H2633" s="1">
        <v>2.289658E-6</v>
      </c>
      <c r="I2633">
        <v>211.90940000000001</v>
      </c>
      <c r="J2633">
        <v>-494.27420000000001</v>
      </c>
      <c r="K2633">
        <v>1.111078</v>
      </c>
      <c r="L2633">
        <v>252.3434</v>
      </c>
      <c r="M2633">
        <v>-2.611223E-2</v>
      </c>
      <c r="N2633">
        <v>0</v>
      </c>
      <c r="O2633">
        <v>-0.99956599999999995</v>
      </c>
      <c r="P2633">
        <v>-1.2518359999999999E-2</v>
      </c>
      <c r="Q2633">
        <v>-4.3945480000000002E-2</v>
      </c>
      <c r="R2633">
        <v>-0.99895579999999995</v>
      </c>
      <c r="S2633">
        <v>1.209076</v>
      </c>
      <c r="T2633">
        <v>-8.2586649999999998E-2</v>
      </c>
      <c r="U2633">
        <v>-3.016769</v>
      </c>
      <c r="V2633">
        <v>-1.351343E-2</v>
      </c>
      <c r="W2633">
        <v>-3.033839E-2</v>
      </c>
      <c r="X2633">
        <v>0.99944840000000001</v>
      </c>
      <c r="Y2633">
        <v>-0.39601320000000001</v>
      </c>
      <c r="Z2633">
        <v>2.5257129999999999E-2</v>
      </c>
      <c r="AA2633">
        <v>0.91789739999999997</v>
      </c>
      <c r="AB2633">
        <v>15</v>
      </c>
      <c r="AC2633">
        <v>16.267899999999901</v>
      </c>
      <c r="AD2633">
        <v>-1.1110757103419999</v>
      </c>
      <c r="AE2633">
        <v>-40.433999999999997</v>
      </c>
      <c r="AF2633">
        <v>-17.307024433855201</v>
      </c>
      <c r="AG2633">
        <v>-1.1110757103419999</v>
      </c>
      <c r="AH2633">
        <v>39.969404022684799</v>
      </c>
      <c r="AI2633">
        <v>91.461263578536901</v>
      </c>
      <c r="AJ2633">
        <v>113.412940530014</v>
      </c>
      <c r="AK2633">
        <v>43.5697239137086</v>
      </c>
      <c r="AL2633">
        <v>91.738528351908499</v>
      </c>
      <c r="AM2633">
        <v>90.774642621674403</v>
      </c>
      <c r="AN2633">
        <v>1.00000006748035</v>
      </c>
    </row>
    <row r="2634" spans="1:40" x14ac:dyDescent="0.25">
      <c r="A2634" t="str">
        <f>"20190312161009762"</f>
        <v>20190312161009762</v>
      </c>
      <c r="B2634" t="str">
        <f>"1552378209758119"</f>
        <v>1552378209758119</v>
      </c>
      <c r="C2634" t="s">
        <v>40</v>
      </c>
      <c r="D2634">
        <v>5.5900119999999998</v>
      </c>
      <c r="E2634">
        <v>0.34079310000000002</v>
      </c>
      <c r="F2634" t="s">
        <v>59</v>
      </c>
      <c r="G2634">
        <v>-476.92860000000002</v>
      </c>
      <c r="H2634">
        <v>1.420733E-3</v>
      </c>
      <c r="I2634">
        <v>209.559</v>
      </c>
      <c r="J2634">
        <v>-494.2756</v>
      </c>
      <c r="K2634">
        <v>1.111084</v>
      </c>
      <c r="L2634">
        <v>252.1927</v>
      </c>
      <c r="M2634">
        <v>-2.3960080000000002E-2</v>
      </c>
      <c r="N2634">
        <v>0</v>
      </c>
      <c r="O2634">
        <v>-0.99961960000000005</v>
      </c>
      <c r="P2634">
        <v>-1.049959E-2</v>
      </c>
      <c r="Q2634">
        <v>-4.3703350000000002E-2</v>
      </c>
      <c r="R2634">
        <v>-0.99898969999999998</v>
      </c>
      <c r="S2634">
        <v>1.222351</v>
      </c>
      <c r="T2634">
        <v>-7.8197959999999997E-2</v>
      </c>
      <c r="U2634">
        <v>-3.0150299999999999</v>
      </c>
      <c r="V2634">
        <v>-1.338248E-2</v>
      </c>
      <c r="W2634">
        <v>-3.0079160000000001E-2</v>
      </c>
      <c r="X2634">
        <v>0.99945799999999996</v>
      </c>
      <c r="Y2634">
        <v>-0.39770729999999999</v>
      </c>
      <c r="Z2634">
        <v>2.390256E-2</v>
      </c>
      <c r="AA2634">
        <v>0.91720100000000004</v>
      </c>
      <c r="AB2634">
        <v>15</v>
      </c>
      <c r="AC2634">
        <v>17.346999999999898</v>
      </c>
      <c r="AD2634">
        <v>-1.109663267</v>
      </c>
      <c r="AE2634">
        <v>-42.633699999999898</v>
      </c>
      <c r="AF2634">
        <v>-18.3529540155555</v>
      </c>
      <c r="AG2634">
        <v>-1.109663267</v>
      </c>
      <c r="AH2634">
        <v>42.181267215115</v>
      </c>
      <c r="AI2634">
        <v>91.381855191230201</v>
      </c>
      <c r="AJ2634">
        <v>113.51372621505401</v>
      </c>
      <c r="AK2634">
        <v>46.014362730957899</v>
      </c>
      <c r="AL2634">
        <v>91.723668781511407</v>
      </c>
      <c r="AM2634">
        <v>90.767129589735205</v>
      </c>
      <c r="AN2634">
        <v>1.00000007020062</v>
      </c>
    </row>
    <row r="2635" spans="1:40" x14ac:dyDescent="0.25">
      <c r="A2635" t="str">
        <f>"20190312161009785"</f>
        <v>20190312161009785</v>
      </c>
      <c r="B2635" t="str">
        <f>"1552378209778615"</f>
        <v>1552378209778615</v>
      </c>
      <c r="C2635" t="s">
        <v>40</v>
      </c>
      <c r="D2635">
        <v>5.5405239999999996</v>
      </c>
      <c r="E2635">
        <v>0.3402656</v>
      </c>
      <c r="F2635" t="s">
        <v>59</v>
      </c>
      <c r="G2635">
        <v>-476.77789999999999</v>
      </c>
      <c r="H2635">
        <v>1.6332639999999999E-2</v>
      </c>
      <c r="I2635">
        <v>209.57040000000001</v>
      </c>
      <c r="J2635">
        <v>-494.27659999999997</v>
      </c>
      <c r="K2635">
        <v>1.111083</v>
      </c>
      <c r="L2635">
        <v>252.05109999999999</v>
      </c>
      <c r="M2635">
        <v>-2.193496E-2</v>
      </c>
      <c r="N2635">
        <v>0</v>
      </c>
      <c r="O2635">
        <v>-0.9996661</v>
      </c>
      <c r="P2635">
        <v>-8.3653949999999994E-3</v>
      </c>
      <c r="Q2635">
        <v>-4.362473E-2</v>
      </c>
      <c r="R2635">
        <v>-0.99901340000000005</v>
      </c>
      <c r="S2635">
        <v>1.2367859999999999</v>
      </c>
      <c r="T2635">
        <v>-7.7380060000000001E-2</v>
      </c>
      <c r="U2635">
        <v>-3.0126650000000001</v>
      </c>
      <c r="V2635">
        <v>-1.3493079999999999E-2</v>
      </c>
      <c r="W2635">
        <v>-2.9987730000000001E-2</v>
      </c>
      <c r="X2635">
        <v>0.99945919999999999</v>
      </c>
      <c r="Y2635">
        <v>-0.3998678</v>
      </c>
      <c r="Z2635">
        <v>2.3639460000000001E-2</v>
      </c>
      <c r="AA2635">
        <v>0.91626790000000002</v>
      </c>
      <c r="AB2635">
        <v>15</v>
      </c>
      <c r="AC2635">
        <v>17.4986999999999</v>
      </c>
      <c r="AD2635">
        <v>-1.0947503599999999</v>
      </c>
      <c r="AE2635">
        <v>-42.480699999999899</v>
      </c>
      <c r="AF2635">
        <v>-18.415932204972499</v>
      </c>
      <c r="AG2635">
        <v>-1.0947503599999999</v>
      </c>
      <c r="AH2635">
        <v>42.062725760136701</v>
      </c>
      <c r="AI2635">
        <v>91.365768065202403</v>
      </c>
      <c r="AJ2635">
        <v>113.644798853567</v>
      </c>
      <c r="AK2635">
        <v>45.930577349967301</v>
      </c>
      <c r="AL2635">
        <v>91.718427968354902</v>
      </c>
      <c r="AM2635">
        <v>90.773467864923703</v>
      </c>
      <c r="AN2635">
        <v>1.00000000981153</v>
      </c>
    </row>
    <row r="2636" spans="1:40" x14ac:dyDescent="0.25">
      <c r="A2636" t="str">
        <f>"20190312161009813"</f>
        <v>20190312161009813</v>
      </c>
      <c r="B2636" t="str">
        <f>"1552378209798134"</f>
        <v>1552378209798134</v>
      </c>
      <c r="C2636" t="s">
        <v>40</v>
      </c>
      <c r="D2636">
        <v>5.5379209999999999</v>
      </c>
      <c r="E2636">
        <v>0.3398156</v>
      </c>
      <c r="F2636" t="s">
        <v>59</v>
      </c>
      <c r="G2636">
        <v>-476.66399999999999</v>
      </c>
      <c r="H2636">
        <v>2.4403820000000001E-3</v>
      </c>
      <c r="I2636">
        <v>209.57900000000001</v>
      </c>
      <c r="J2636">
        <v>-494.27730000000003</v>
      </c>
      <c r="K2636">
        <v>1.111081</v>
      </c>
      <c r="L2636">
        <v>251.89359999999999</v>
      </c>
      <c r="M2636">
        <v>-1.968454E-2</v>
      </c>
      <c r="N2636">
        <v>0</v>
      </c>
      <c r="O2636">
        <v>-0.99971279999999996</v>
      </c>
      <c r="P2636">
        <v>-6.073434E-3</v>
      </c>
      <c r="Q2636">
        <v>-4.3529180000000001E-2</v>
      </c>
      <c r="R2636">
        <v>-0.99903390000000003</v>
      </c>
      <c r="S2636">
        <v>1.2481990000000001</v>
      </c>
      <c r="T2636">
        <v>-7.8569529999999999E-2</v>
      </c>
      <c r="U2636">
        <v>-3.009995</v>
      </c>
      <c r="V2636">
        <v>-1.3536970000000001E-2</v>
      </c>
      <c r="W2636">
        <v>-2.9880460000000001E-2</v>
      </c>
      <c r="X2636">
        <v>0.99946179999999996</v>
      </c>
      <c r="Y2636">
        <v>-0.4010551</v>
      </c>
      <c r="Z2636">
        <v>2.4000879999999999E-2</v>
      </c>
      <c r="AA2636">
        <v>0.91573950000000004</v>
      </c>
      <c r="AB2636">
        <v>15</v>
      </c>
      <c r="AC2636">
        <v>17.613299999999999</v>
      </c>
      <c r="AD2636">
        <v>-1.1086406179999999</v>
      </c>
      <c r="AE2636">
        <v>-42.314599999999899</v>
      </c>
      <c r="AF2636">
        <v>-18.432123832269902</v>
      </c>
      <c r="AG2636">
        <v>-1.1086406179999999</v>
      </c>
      <c r="AH2636">
        <v>41.9351226140341</v>
      </c>
      <c r="AI2636">
        <v>91.386420883671605</v>
      </c>
      <c r="AJ2636">
        <v>113.727363841881</v>
      </c>
      <c r="AK2636">
        <v>45.820593423067798</v>
      </c>
      <c r="AL2636">
        <v>91.712279127663194</v>
      </c>
      <c r="AM2636">
        <v>90.775981458992604</v>
      </c>
      <c r="AN2636">
        <v>0.999999990552916</v>
      </c>
    </row>
    <row r="2637" spans="1:40" x14ac:dyDescent="0.25">
      <c r="A2637" t="str">
        <f>"20190312161009850"</f>
        <v>20190312161009850</v>
      </c>
      <c r="B2637" t="str">
        <f>"1552378209838151"</f>
        <v>1552378209838151</v>
      </c>
      <c r="C2637" t="s">
        <v>40</v>
      </c>
      <c r="D2637">
        <v>5.5372370000000002</v>
      </c>
      <c r="E2637">
        <v>0.33914369999999999</v>
      </c>
      <c r="F2637" t="s">
        <v>59</v>
      </c>
      <c r="G2637">
        <v>-476.57</v>
      </c>
      <c r="H2637">
        <v>1.7012739999999998E-2</v>
      </c>
      <c r="I2637">
        <v>209.58609999999999</v>
      </c>
      <c r="J2637">
        <v>-494.27769999999998</v>
      </c>
      <c r="K2637">
        <v>1.1110679999999999</v>
      </c>
      <c r="L2637">
        <v>251.6268</v>
      </c>
      <c r="M2637">
        <v>-1.587102E-2</v>
      </c>
      <c r="N2637">
        <v>0</v>
      </c>
      <c r="O2637">
        <v>-0.99978040000000001</v>
      </c>
      <c r="P2637">
        <v>-1.9872029999999999E-3</v>
      </c>
      <c r="Q2637">
        <v>-4.2414809999999997E-2</v>
      </c>
      <c r="R2637">
        <v>-0.99909840000000005</v>
      </c>
      <c r="S2637">
        <v>1.2586059999999999</v>
      </c>
      <c r="T2637">
        <v>-7.7764749999999994E-2</v>
      </c>
      <c r="U2637">
        <v>-3.0071560000000002</v>
      </c>
      <c r="V2637">
        <v>-1.381575E-2</v>
      </c>
      <c r="W2637">
        <v>-2.8751180000000001E-2</v>
      </c>
      <c r="X2637">
        <v>0.99949109999999997</v>
      </c>
      <c r="Y2637">
        <v>-0.40056890000000001</v>
      </c>
      <c r="Z2637">
        <v>2.376588E-2</v>
      </c>
      <c r="AA2637">
        <v>0.91595839999999995</v>
      </c>
      <c r="AB2637">
        <v>15</v>
      </c>
      <c r="AC2637">
        <v>17.7076999999999</v>
      </c>
      <c r="AD2637">
        <v>-1.09405526</v>
      </c>
      <c r="AE2637">
        <v>-42.040700000000001</v>
      </c>
      <c r="AF2637">
        <v>-18.3621988046729</v>
      </c>
      <c r="AG2637">
        <v>-1.09405526</v>
      </c>
      <c r="AH2637">
        <v>41.7303354989794</v>
      </c>
      <c r="AI2637">
        <v>91.374655904772496</v>
      </c>
      <c r="AJ2637">
        <v>113.750473605613</v>
      </c>
      <c r="AK2637">
        <v>45.604694963475502</v>
      </c>
      <c r="AL2637">
        <v>91.647548338213596</v>
      </c>
      <c r="AM2637">
        <v>90.791936772381206</v>
      </c>
      <c r="AN2637">
        <v>0.99999998213933206</v>
      </c>
    </row>
    <row r="2638" spans="1:40" x14ac:dyDescent="0.25">
      <c r="A2638" t="str">
        <f>"20190312161009872"</f>
        <v>20190312161009872</v>
      </c>
      <c r="B2638" t="str">
        <f>"1552378209868407"</f>
        <v>1552378209868407</v>
      </c>
      <c r="C2638" t="s">
        <v>40</v>
      </c>
      <c r="D2638">
        <v>5.4757490000000004</v>
      </c>
      <c r="E2638">
        <v>0.33871390000000001</v>
      </c>
      <c r="F2638" t="s">
        <v>59</v>
      </c>
      <c r="G2638">
        <v>-476.29489999999998</v>
      </c>
      <c r="H2638">
        <v>8.0000130000000003E-2</v>
      </c>
      <c r="I2638">
        <v>209.2961</v>
      </c>
      <c r="J2638">
        <v>-494.27760000000001</v>
      </c>
      <c r="K2638">
        <v>1.1110640000000001</v>
      </c>
      <c r="L2638">
        <v>251.4853</v>
      </c>
      <c r="M2638">
        <v>-1.384781E-2</v>
      </c>
      <c r="N2638">
        <v>0</v>
      </c>
      <c r="O2638">
        <v>-0.99981010000000003</v>
      </c>
      <c r="P2638">
        <v>3.7259080000000001E-4</v>
      </c>
      <c r="Q2638">
        <v>-4.2786350000000001E-2</v>
      </c>
      <c r="R2638">
        <v>-0.99908419999999998</v>
      </c>
      <c r="S2638">
        <v>1.27536</v>
      </c>
      <c r="T2638">
        <v>-7.3124289999999995E-2</v>
      </c>
      <c r="U2638">
        <v>-3.0021360000000001</v>
      </c>
      <c r="V2638">
        <v>-1.415303E-2</v>
      </c>
      <c r="W2638">
        <v>-2.911789E-2</v>
      </c>
      <c r="X2638">
        <v>0.99947580000000003</v>
      </c>
      <c r="Y2638">
        <v>-0.40360980000000002</v>
      </c>
      <c r="Z2638">
        <v>2.2345150000000001E-2</v>
      </c>
      <c r="AA2638">
        <v>0.91465839999999998</v>
      </c>
      <c r="AB2638">
        <v>15</v>
      </c>
      <c r="AC2638">
        <v>17.982700000000001</v>
      </c>
      <c r="AD2638">
        <v>-1.0310638700000001</v>
      </c>
      <c r="AE2638">
        <v>-42.1892</v>
      </c>
      <c r="AF2638">
        <v>-18.555879483517401</v>
      </c>
      <c r="AG2638">
        <v>-1.0310638700000001</v>
      </c>
      <c r="AH2638">
        <v>41.914924048776101</v>
      </c>
      <c r="AI2638">
        <v>91.2885556724124</v>
      </c>
      <c r="AJ2638">
        <v>113.87913513512299</v>
      </c>
      <c r="AK2638">
        <v>45.850241156677797</v>
      </c>
      <c r="AL2638">
        <v>91.668568016140796</v>
      </c>
      <c r="AM2638">
        <v>90.811279965075002</v>
      </c>
      <c r="AN2638">
        <v>1.00000001728093</v>
      </c>
    </row>
    <row r="2639" spans="1:40" x14ac:dyDescent="0.25">
      <c r="A2639" t="str">
        <f>"20190312161009894"</f>
        <v>20190312161009894</v>
      </c>
      <c r="B2639" t="str">
        <f>"1552378209887927"</f>
        <v>1552378209887927</v>
      </c>
      <c r="C2639" t="s">
        <v>40</v>
      </c>
      <c r="D2639">
        <v>5.5147309999999896</v>
      </c>
      <c r="E2639">
        <v>0.33848329999999999</v>
      </c>
      <c r="F2639" t="s">
        <v>59</v>
      </c>
      <c r="G2639">
        <v>-476.30579999999998</v>
      </c>
      <c r="H2639">
        <v>7.3457300000000003E-2</v>
      </c>
      <c r="I2639">
        <v>209.58260000000001</v>
      </c>
      <c r="J2639">
        <v>-494.27710000000002</v>
      </c>
      <c r="K2639">
        <v>1.1110610000000001</v>
      </c>
      <c r="L2639">
        <v>251.34129999999999</v>
      </c>
      <c r="M2639">
        <v>-1.1788450000000001E-2</v>
      </c>
      <c r="N2639">
        <v>0</v>
      </c>
      <c r="O2639">
        <v>-0.99983659999999996</v>
      </c>
      <c r="P2639">
        <v>1.9790820000000001E-3</v>
      </c>
      <c r="Q2639">
        <v>-4.3684960000000002E-2</v>
      </c>
      <c r="R2639">
        <v>-0.99904340000000003</v>
      </c>
      <c r="S2639">
        <v>1.2862849999999999</v>
      </c>
      <c r="T2639">
        <v>-7.4264049999999998E-2</v>
      </c>
      <c r="U2639">
        <v>-2.9990839999999999</v>
      </c>
      <c r="V2639">
        <v>-1.3699909999999999E-2</v>
      </c>
      <c r="W2639">
        <v>-3.001148E-2</v>
      </c>
      <c r="X2639">
        <v>0.99945569999999895</v>
      </c>
      <c r="Y2639">
        <v>-0.40487479999999998</v>
      </c>
      <c r="Z2639">
        <v>2.269324E-2</v>
      </c>
      <c r="AA2639">
        <v>0.91409050000000003</v>
      </c>
      <c r="AB2639">
        <v>15</v>
      </c>
      <c r="AC2639">
        <v>17.971299999999999</v>
      </c>
      <c r="AD2639">
        <v>-1.0376037</v>
      </c>
      <c r="AE2639">
        <v>-41.758699999999898</v>
      </c>
      <c r="AF2639">
        <v>-18.4527551195626</v>
      </c>
      <c r="AG2639">
        <v>-1.0376037</v>
      </c>
      <c r="AH2639">
        <v>41.522294208584697</v>
      </c>
      <c r="AI2639">
        <v>91.3081579191618</v>
      </c>
      <c r="AJ2639">
        <v>113.960647778441</v>
      </c>
      <c r="AK2639">
        <v>45.449771278688203</v>
      </c>
      <c r="AL2639">
        <v>91.719789310172501</v>
      </c>
      <c r="AM2639">
        <v>90.785325319061798</v>
      </c>
      <c r="AN2639">
        <v>1.0000000363641399</v>
      </c>
    </row>
    <row r="2640" spans="1:40" x14ac:dyDescent="0.25">
      <c r="A2640" t="str">
        <f>"20190312161009916"</f>
        <v>20190312161009916</v>
      </c>
      <c r="B2640" t="str">
        <f>"1552378209908426"</f>
        <v>1552378209908426</v>
      </c>
      <c r="C2640" t="s">
        <v>40</v>
      </c>
      <c r="D2640">
        <v>5.4423320000000004</v>
      </c>
      <c r="E2640">
        <v>0.33820929999999999</v>
      </c>
      <c r="F2640" t="s">
        <v>59</v>
      </c>
      <c r="G2640">
        <v>-476.2756</v>
      </c>
      <c r="H2640">
        <v>4.9313549999999998E-2</v>
      </c>
      <c r="I2640">
        <v>209.60839999999999</v>
      </c>
      <c r="J2640">
        <v>-494.27640000000002</v>
      </c>
      <c r="K2640">
        <v>1.111067</v>
      </c>
      <c r="L2640">
        <v>251.19820000000001</v>
      </c>
      <c r="M2640">
        <v>-9.7418350000000008E-3</v>
      </c>
      <c r="N2640">
        <v>0</v>
      </c>
      <c r="O2640">
        <v>-0.99985840000000004</v>
      </c>
      <c r="P2640">
        <v>3.1441149999999998E-3</v>
      </c>
      <c r="Q2640">
        <v>-4.3503600000000003E-2</v>
      </c>
      <c r="R2640">
        <v>-0.99904839999999995</v>
      </c>
      <c r="S2640">
        <v>1.2927550000000001</v>
      </c>
      <c r="T2640">
        <v>-7.6247930000000005E-2</v>
      </c>
      <c r="U2640">
        <v>-2.9969939999999999</v>
      </c>
      <c r="V2640">
        <v>-1.282021E-2</v>
      </c>
      <c r="W2640">
        <v>-2.982481E-2</v>
      </c>
      <c r="X2640">
        <v>0.9994729</v>
      </c>
      <c r="Y2640">
        <v>-0.40489360000000002</v>
      </c>
      <c r="Z2640">
        <v>2.330521E-2</v>
      </c>
      <c r="AA2640">
        <v>0.91406679999999996</v>
      </c>
      <c r="AB2640">
        <v>15</v>
      </c>
      <c r="AC2640">
        <v>18.000800000000002</v>
      </c>
      <c r="AD2640">
        <v>-1.0617534500000001</v>
      </c>
      <c r="AE2640">
        <v>-41.589799999999997</v>
      </c>
      <c r="AF2640">
        <v>-18.3950475247687</v>
      </c>
      <c r="AG2640">
        <v>-1.0617534500000001</v>
      </c>
      <c r="AH2640">
        <v>41.3897294688174</v>
      </c>
      <c r="AI2640">
        <v>91.342864975113201</v>
      </c>
      <c r="AJ2640">
        <v>113.962040697311</v>
      </c>
      <c r="AK2640">
        <v>45.305792116781099</v>
      </c>
      <c r="AL2640">
        <v>91.709089218176302</v>
      </c>
      <c r="AM2640">
        <v>90.734891005368596</v>
      </c>
      <c r="AN2640">
        <v>0.99999997745519398</v>
      </c>
    </row>
    <row r="2641" spans="1:40" x14ac:dyDescent="0.25">
      <c r="A2641" t="str">
        <f>"20190312161009938"</f>
        <v>20190312161009938</v>
      </c>
      <c r="B2641" t="str">
        <f>"1552378209928918"</f>
        <v>1552378209928918</v>
      </c>
      <c r="C2641" t="s">
        <v>40</v>
      </c>
      <c r="D2641">
        <v>5.4296439999999997</v>
      </c>
      <c r="E2641">
        <v>0.33801490000000001</v>
      </c>
      <c r="F2641" t="s">
        <v>59</v>
      </c>
      <c r="G2641">
        <v>-476.24299999999999</v>
      </c>
      <c r="H2641">
        <v>6.7742659999999996E-2</v>
      </c>
      <c r="I2641">
        <v>209.59299999999999</v>
      </c>
      <c r="J2641">
        <v>-494.27530000000002</v>
      </c>
      <c r="K2641">
        <v>1.111065</v>
      </c>
      <c r="L2641">
        <v>251.05510000000001</v>
      </c>
      <c r="M2641">
        <v>-7.6964900000000003E-3</v>
      </c>
      <c r="N2641">
        <v>0</v>
      </c>
      <c r="O2641">
        <v>-0.99987649999999995</v>
      </c>
      <c r="P2641">
        <v>4.8927320000000003E-3</v>
      </c>
      <c r="Q2641">
        <v>-4.3062969999999999E-2</v>
      </c>
      <c r="R2641">
        <v>-0.99906059999999997</v>
      </c>
      <c r="S2641">
        <v>1.29837</v>
      </c>
      <c r="T2641">
        <v>-7.5117470000000006E-2</v>
      </c>
      <c r="U2641">
        <v>-2.9954990000000001</v>
      </c>
      <c r="V2641">
        <v>-1.2526799999999999E-2</v>
      </c>
      <c r="W2641">
        <v>-2.9380920000000001E-2</v>
      </c>
      <c r="X2641">
        <v>0.99948979999999998</v>
      </c>
      <c r="Y2641">
        <v>-0.40463579999999999</v>
      </c>
      <c r="Z2641">
        <v>2.2964249999999999E-2</v>
      </c>
      <c r="AA2641">
        <v>0.91418949999999999</v>
      </c>
      <c r="AB2641">
        <v>14</v>
      </c>
      <c r="AC2641">
        <v>18.0322999999999</v>
      </c>
      <c r="AD2641">
        <v>-1.04332234</v>
      </c>
      <c r="AE2641">
        <v>-41.4621</v>
      </c>
      <c r="AF2641">
        <v>-18.3411422189882</v>
      </c>
      <c r="AG2641">
        <v>-1.04332234</v>
      </c>
      <c r="AH2641">
        <v>41.300082038524202</v>
      </c>
      <c r="AI2641">
        <v>91.322592627416299</v>
      </c>
      <c r="AJ2641">
        <v>113.945747135351</v>
      </c>
      <c r="AK2641">
        <v>45.201579571859298</v>
      </c>
      <c r="AL2641">
        <v>91.6836449882652</v>
      </c>
      <c r="AM2641">
        <v>90.718061548629905</v>
      </c>
      <c r="AN2641">
        <v>1.0000000097411601</v>
      </c>
    </row>
    <row r="2642" spans="1:40" x14ac:dyDescent="0.25">
      <c r="A2642" t="str">
        <f>"20190312161009959"</f>
        <v>20190312161009959</v>
      </c>
      <c r="B2642" t="str">
        <f>"1552378209948456"</f>
        <v>1552378209948456</v>
      </c>
      <c r="C2642" t="s">
        <v>40</v>
      </c>
      <c r="D2642">
        <v>5.4330499999999997</v>
      </c>
      <c r="E2642">
        <v>0.33777879999999999</v>
      </c>
      <c r="F2642" t="s">
        <v>59</v>
      </c>
      <c r="G2642">
        <v>-476.1884</v>
      </c>
      <c r="H2642">
        <v>7.4772110000000003E-2</v>
      </c>
      <c r="I2642">
        <v>209.59010000000001</v>
      </c>
      <c r="J2642">
        <v>-494.27409999999998</v>
      </c>
      <c r="K2642">
        <v>1.1110610000000001</v>
      </c>
      <c r="L2642">
        <v>250.9222</v>
      </c>
      <c r="M2642">
        <v>-5.7961250000000001E-3</v>
      </c>
      <c r="N2642">
        <v>0</v>
      </c>
      <c r="O2642">
        <v>-0.99988929999999998</v>
      </c>
      <c r="P2642">
        <v>6.3407050000000003E-3</v>
      </c>
      <c r="Q2642">
        <v>-4.2622010000000002E-2</v>
      </c>
      <c r="R2642">
        <v>-0.99907140000000005</v>
      </c>
      <c r="S2642">
        <v>1.305634</v>
      </c>
      <c r="T2642">
        <v>-7.4806209999999998E-2</v>
      </c>
      <c r="U2642">
        <v>-2.9932099999999999</v>
      </c>
      <c r="V2642">
        <v>-1.207752E-2</v>
      </c>
      <c r="W2642">
        <v>-2.8937439999999998E-2</v>
      </c>
      <c r="X2642">
        <v>0.99950830000000002</v>
      </c>
      <c r="Y2642">
        <v>-0.40501910000000002</v>
      </c>
      <c r="Z2642">
        <v>2.2873029999999999E-2</v>
      </c>
      <c r="AA2642">
        <v>0.91402209999999995</v>
      </c>
      <c r="AB2642">
        <v>14</v>
      </c>
      <c r="AC2642">
        <v>18.0856999999999</v>
      </c>
      <c r="AD2642">
        <v>-1.03628889</v>
      </c>
      <c r="AE2642">
        <v>-41.332099999999997</v>
      </c>
      <c r="AF2642">
        <v>-18.3153215050264</v>
      </c>
      <c r="AG2642">
        <v>-1.03628889</v>
      </c>
      <c r="AH2642">
        <v>41.204829113886802</v>
      </c>
      <c r="AI2642">
        <v>91.316520069251197</v>
      </c>
      <c r="AJ2642">
        <v>113.964885681298</v>
      </c>
      <c r="AK2642">
        <v>45.1039115687391</v>
      </c>
      <c r="AL2642">
        <v>91.658224593533902</v>
      </c>
      <c r="AM2642">
        <v>90.692297649481702</v>
      </c>
      <c r="AN2642">
        <v>1.00000004184599</v>
      </c>
    </row>
    <row r="2643" spans="1:40" x14ac:dyDescent="0.25">
      <c r="A2643" t="str">
        <f>"20190312161009987"</f>
        <v>20190312161009987</v>
      </c>
      <c r="B2643" t="str">
        <f>"1552378209978225"</f>
        <v>1552378209978225</v>
      </c>
      <c r="C2643" t="s">
        <v>40</v>
      </c>
      <c r="D2643">
        <v>5.4532590000000001</v>
      </c>
      <c r="E2643">
        <v>0.33722239999999998</v>
      </c>
      <c r="F2643" t="s">
        <v>59</v>
      </c>
      <c r="G2643">
        <v>-475.80070000000001</v>
      </c>
      <c r="H2643">
        <v>7.9999680000000004E-2</v>
      </c>
      <c r="I2643">
        <v>208.78960000000001</v>
      </c>
      <c r="J2643">
        <v>-494.27199999999999</v>
      </c>
      <c r="K2643">
        <v>1.111062</v>
      </c>
      <c r="L2643">
        <v>250.74860000000001</v>
      </c>
      <c r="M2643">
        <v>-3.3132690000000002E-3</v>
      </c>
      <c r="N2643">
        <v>0</v>
      </c>
      <c r="O2643">
        <v>-0.99990049999999997</v>
      </c>
      <c r="P2643">
        <v>8.3360150000000004E-3</v>
      </c>
      <c r="Q2643">
        <v>-4.2257860000000001E-2</v>
      </c>
      <c r="R2643">
        <v>-0.99907210000000002</v>
      </c>
      <c r="S2643">
        <v>1.3115840000000001</v>
      </c>
      <c r="T2643">
        <v>-7.3204039999999998E-2</v>
      </c>
      <c r="U2643">
        <v>-2.9913639999999999</v>
      </c>
      <c r="V2643">
        <v>-1.1592460000000001E-2</v>
      </c>
      <c r="W2643">
        <v>-2.857121E-2</v>
      </c>
      <c r="X2643">
        <v>0.99952450000000004</v>
      </c>
      <c r="Y2643">
        <v>-0.40448610000000002</v>
      </c>
      <c r="Z2643">
        <v>2.2390690000000001E-2</v>
      </c>
      <c r="AA2643">
        <v>0.91427000000000003</v>
      </c>
      <c r="AB2643">
        <v>14</v>
      </c>
      <c r="AC2643">
        <v>18.4712999999999</v>
      </c>
      <c r="AD2643">
        <v>-1.03106232</v>
      </c>
      <c r="AE2643">
        <v>-41.958999999999897</v>
      </c>
      <c r="AF2643">
        <v>-18.600824590827902</v>
      </c>
      <c r="AG2643">
        <v>-1.03106232</v>
      </c>
      <c r="AH2643">
        <v>41.876381915109697</v>
      </c>
      <c r="AI2643">
        <v>91.289032019144898</v>
      </c>
      <c r="AJ2643">
        <v>113.950033413529</v>
      </c>
      <c r="AK2643">
        <v>45.833231691280403</v>
      </c>
      <c r="AL2643">
        <v>91.637232610634598</v>
      </c>
      <c r="AM2643">
        <v>90.664485216158496</v>
      </c>
      <c r="AN2643">
        <v>0.99999996263498203</v>
      </c>
    </row>
    <row r="2644" spans="1:40" x14ac:dyDescent="0.25">
      <c r="A2644" t="str">
        <f>"20190312161010008"</f>
        <v>20190312161010008</v>
      </c>
      <c r="B2644" t="str">
        <f>"1552378209998722"</f>
        <v>1552378209998722</v>
      </c>
      <c r="C2644" t="s">
        <v>40</v>
      </c>
      <c r="D2644">
        <v>5.4629209999999997</v>
      </c>
      <c r="E2644">
        <v>0.33693919999999999</v>
      </c>
      <c r="F2644" t="s">
        <v>59</v>
      </c>
      <c r="G2644">
        <v>-475.03269999999998</v>
      </c>
      <c r="H2644">
        <v>7.9999490000000006E-2</v>
      </c>
      <c r="I2644">
        <v>207.2621</v>
      </c>
      <c r="J2644">
        <v>-494.27030000000002</v>
      </c>
      <c r="K2644">
        <v>1.111062</v>
      </c>
      <c r="L2644">
        <v>250.61869999999999</v>
      </c>
      <c r="M2644">
        <v>-1.4549770000000001E-3</v>
      </c>
      <c r="N2644">
        <v>0</v>
      </c>
      <c r="O2644">
        <v>-0.99990500000000004</v>
      </c>
      <c r="P2644">
        <v>9.6159629999999999E-3</v>
      </c>
      <c r="Q2644">
        <v>-4.2181049999999998E-2</v>
      </c>
      <c r="R2644">
        <v>-0.99906399999999995</v>
      </c>
      <c r="S2644">
        <v>1.3222959999999999</v>
      </c>
      <c r="T2644">
        <v>-7.0863839999999997E-2</v>
      </c>
      <c r="U2644">
        <v>-2.988785</v>
      </c>
      <c r="V2644">
        <v>-1.1016740000000001E-2</v>
      </c>
      <c r="W2644">
        <v>-2.8493129999999998E-2</v>
      </c>
      <c r="X2644">
        <v>0.99953329999999996</v>
      </c>
      <c r="Y2644">
        <v>-0.40582659999999998</v>
      </c>
      <c r="Z2644">
        <v>2.1670849999999998E-2</v>
      </c>
      <c r="AA2644">
        <v>0.91369310000000004</v>
      </c>
      <c r="AB2644">
        <v>14</v>
      </c>
      <c r="AC2644">
        <v>19.2376</v>
      </c>
      <c r="AD2644">
        <v>-1.0310625099999999</v>
      </c>
      <c r="AE2644">
        <v>-43.356599999999901</v>
      </c>
      <c r="AF2644">
        <v>-19.291552972100799</v>
      </c>
      <c r="AG2644">
        <v>-1.0310625099999999</v>
      </c>
      <c r="AH2644">
        <v>43.308097712290099</v>
      </c>
      <c r="AI2644">
        <v>91.245846841724401</v>
      </c>
      <c r="AJ2644">
        <v>114.010538526502</v>
      </c>
      <c r="AK2644">
        <v>47.421708461759998</v>
      </c>
      <c r="AL2644">
        <v>91.632757036292602</v>
      </c>
      <c r="AM2644">
        <v>90.631481860128403</v>
      </c>
      <c r="AN2644">
        <v>1.00000002241315</v>
      </c>
    </row>
    <row r="2645" spans="1:40" x14ac:dyDescent="0.25">
      <c r="A2645" t="str">
        <f>"20190312161010031"</f>
        <v>20190312161010031</v>
      </c>
      <c r="B2645" t="str">
        <f>"1552378210018242"</f>
        <v>1552378210018242</v>
      </c>
      <c r="C2645" t="s">
        <v>40</v>
      </c>
      <c r="D2645">
        <v>5.4337249999999999</v>
      </c>
      <c r="E2645">
        <v>0.33661439999999998</v>
      </c>
      <c r="F2645" t="s">
        <v>59</v>
      </c>
      <c r="G2645">
        <v>-474.56130000000002</v>
      </c>
      <c r="H2645">
        <v>7.9999490000000006E-2</v>
      </c>
      <c r="I2645">
        <v>206.30009999999999</v>
      </c>
      <c r="J2645">
        <v>-494.2679</v>
      </c>
      <c r="K2645">
        <v>1.1110599999999999</v>
      </c>
      <c r="L2645">
        <v>250.46449999999999</v>
      </c>
      <c r="M2645">
        <v>7.5164109999999998E-4</v>
      </c>
      <c r="N2645">
        <v>0</v>
      </c>
      <c r="O2645">
        <v>-0.99990590000000001</v>
      </c>
      <c r="P2645">
        <v>1.1309390000000001E-2</v>
      </c>
      <c r="Q2645">
        <v>-4.1928439999999997E-2</v>
      </c>
      <c r="R2645">
        <v>-0.99905679999999997</v>
      </c>
      <c r="S2645">
        <v>1.3284</v>
      </c>
      <c r="T2645">
        <v>-6.949437E-2</v>
      </c>
      <c r="U2645">
        <v>-2.9871059999999998</v>
      </c>
      <c r="V2645">
        <v>-1.050589E-2</v>
      </c>
      <c r="W2645">
        <v>-2.8239690000000001E-2</v>
      </c>
      <c r="X2645">
        <v>0.99954600000000005</v>
      </c>
      <c r="Y2645">
        <v>-0.40556320000000001</v>
      </c>
      <c r="Z2645">
        <v>2.12561E-2</v>
      </c>
      <c r="AA2645">
        <v>0.91381979999999996</v>
      </c>
      <c r="AB2645">
        <v>14</v>
      </c>
      <c r="AC2645">
        <v>19.706599999999899</v>
      </c>
      <c r="AD2645">
        <v>-1.0310605100000001</v>
      </c>
      <c r="AE2645">
        <v>-44.164400000000001</v>
      </c>
      <c r="AF2645">
        <v>-19.664457362155002</v>
      </c>
      <c r="AG2645">
        <v>-1.0310605100000001</v>
      </c>
      <c r="AH2645">
        <v>44.159129347976602</v>
      </c>
      <c r="AI2645">
        <v>91.221905554149401</v>
      </c>
      <c r="AJ2645">
        <v>114.003839899403</v>
      </c>
      <c r="AK2645">
        <v>48.350622269983504</v>
      </c>
      <c r="AL2645">
        <v>91.618230136264401</v>
      </c>
      <c r="AM2645">
        <v>90.602194388391595</v>
      </c>
      <c r="AN2645">
        <v>1.0000000299659899</v>
      </c>
    </row>
    <row r="2646" spans="1:40" x14ac:dyDescent="0.25">
      <c r="A2646" t="str">
        <f>"20190312161010053"</f>
        <v>20190312161010053</v>
      </c>
      <c r="B2646" t="str">
        <f>"1552378210048497"</f>
        <v>1552378210048497</v>
      </c>
      <c r="C2646" t="s">
        <v>40</v>
      </c>
      <c r="D2646">
        <v>5.4514290000000001</v>
      </c>
      <c r="E2646">
        <v>0.33628429999999998</v>
      </c>
      <c r="F2646" t="s">
        <v>59</v>
      </c>
      <c r="G2646">
        <v>-474.07249999999999</v>
      </c>
      <c r="H2646">
        <v>7.9999490000000006E-2</v>
      </c>
      <c r="I2646">
        <v>205.33539999999999</v>
      </c>
      <c r="J2646">
        <v>-494.26549999999997</v>
      </c>
      <c r="K2646">
        <v>1.111062</v>
      </c>
      <c r="L2646">
        <v>250.3314</v>
      </c>
      <c r="M2646">
        <v>2.6562059999999999E-3</v>
      </c>
      <c r="N2646">
        <v>0</v>
      </c>
      <c r="O2646">
        <v>-0.99990250000000003</v>
      </c>
      <c r="P2646">
        <v>1.280743E-2</v>
      </c>
      <c r="Q2646">
        <v>-4.1800549999999999E-2</v>
      </c>
      <c r="R2646">
        <v>-0.99904409999999999</v>
      </c>
      <c r="S2646">
        <v>1.3357239999999999</v>
      </c>
      <c r="T2646">
        <v>-6.8194630000000006E-2</v>
      </c>
      <c r="U2646">
        <v>-2.9848479999999999</v>
      </c>
      <c r="V2646">
        <v>-1.010175E-2</v>
      </c>
      <c r="W2646">
        <v>-2.8111580000000001E-2</v>
      </c>
      <c r="X2646">
        <v>0.99955369999999999</v>
      </c>
      <c r="Y2646">
        <v>-0.40595219999999999</v>
      </c>
      <c r="Z2646">
        <v>2.0861210000000002E-2</v>
      </c>
      <c r="AA2646">
        <v>0.91365620000000003</v>
      </c>
      <c r="AB2646">
        <v>14</v>
      </c>
      <c r="AC2646">
        <v>20.192999999999898</v>
      </c>
      <c r="AD2646">
        <v>-1.0310625099999999</v>
      </c>
      <c r="AE2646">
        <v>-44.996000000000002</v>
      </c>
      <c r="AF2646">
        <v>-20.064629539304502</v>
      </c>
      <c r="AG2646">
        <v>-1.0310625099999999</v>
      </c>
      <c r="AH2646">
        <v>45.029802572561898</v>
      </c>
      <c r="AI2646">
        <v>91.198165555812196</v>
      </c>
      <c r="AJ2646">
        <v>114.017062166399</v>
      </c>
      <c r="AK2646">
        <v>49.308574996373203</v>
      </c>
      <c r="AL2646">
        <v>91.610887183321907</v>
      </c>
      <c r="AM2646">
        <v>90.579026356251902</v>
      </c>
      <c r="AN2646">
        <v>0.99999995273342301</v>
      </c>
    </row>
    <row r="2647" spans="1:40" x14ac:dyDescent="0.25">
      <c r="A2647" t="str">
        <f>"20190312161010075"</f>
        <v>20190312161010075</v>
      </c>
      <c r="B2647" t="str">
        <f>"1552378210068525"</f>
        <v>1552378210068525</v>
      </c>
      <c r="C2647" t="s">
        <v>40</v>
      </c>
      <c r="D2647">
        <v>5.4698820000000001</v>
      </c>
      <c r="E2647">
        <v>0.3360284</v>
      </c>
      <c r="F2647" t="s">
        <v>59</v>
      </c>
      <c r="G2647">
        <v>-473.85509999999999</v>
      </c>
      <c r="H2647">
        <v>7.9999500000000001E-2</v>
      </c>
      <c r="I2647">
        <v>204.9965</v>
      </c>
      <c r="J2647">
        <v>-494.2627</v>
      </c>
      <c r="K2647">
        <v>1.111057</v>
      </c>
      <c r="L2647">
        <v>250.1883</v>
      </c>
      <c r="M2647">
        <v>4.7034930000000004E-3</v>
      </c>
      <c r="N2647">
        <v>0</v>
      </c>
      <c r="O2647">
        <v>-0.99989490000000003</v>
      </c>
      <c r="P2647">
        <v>1.4422330000000001E-2</v>
      </c>
      <c r="Q2647">
        <v>-4.1919339999999999E-2</v>
      </c>
      <c r="R2647">
        <v>-0.99901680000000004</v>
      </c>
      <c r="S2647">
        <v>1.3428960000000001</v>
      </c>
      <c r="T2647">
        <v>-6.7838670000000004E-2</v>
      </c>
      <c r="U2647">
        <v>-2.9828030000000001</v>
      </c>
      <c r="V2647">
        <v>-9.6708450000000008E-3</v>
      </c>
      <c r="W2647">
        <v>-2.8230669999999999E-2</v>
      </c>
      <c r="X2647">
        <v>0.99955459999999996</v>
      </c>
      <c r="Y2647">
        <v>-0.4061437</v>
      </c>
      <c r="Z2647">
        <v>2.0754430000000001E-2</v>
      </c>
      <c r="AA2647">
        <v>0.91357350000000004</v>
      </c>
      <c r="AB2647">
        <v>14</v>
      </c>
      <c r="AC2647">
        <v>20.407599999999999</v>
      </c>
      <c r="AD2647">
        <v>-1.0310575</v>
      </c>
      <c r="AE2647">
        <v>-45.191800000000001</v>
      </c>
      <c r="AF2647">
        <v>-20.186067214594299</v>
      </c>
      <c r="AG2647">
        <v>-1.0310575</v>
      </c>
      <c r="AH2647">
        <v>45.267723980603499</v>
      </c>
      <c r="AI2647">
        <v>91.191713225325898</v>
      </c>
      <c r="AJ2647">
        <v>114.033347711551</v>
      </c>
      <c r="AK2647">
        <v>49.575268264978</v>
      </c>
      <c r="AL2647">
        <v>91.617713256184601</v>
      </c>
      <c r="AM2647">
        <v>90.554328212114996</v>
      </c>
      <c r="AN2647">
        <v>0.99999994717641005</v>
      </c>
    </row>
    <row r="2648" spans="1:40" x14ac:dyDescent="0.25">
      <c r="A2648" t="str">
        <f>"20190312161010096"</f>
        <v>20190312161010096</v>
      </c>
      <c r="B2648" t="str">
        <f>"1552378210088044"</f>
        <v>1552378210088044</v>
      </c>
      <c r="C2648" t="s">
        <v>40</v>
      </c>
      <c r="D2648">
        <v>5.4214330000000004</v>
      </c>
      <c r="E2648">
        <v>0.33586959999999999</v>
      </c>
      <c r="F2648" t="s">
        <v>43</v>
      </c>
      <c r="G2648">
        <v>-470.93540000000002</v>
      </c>
      <c r="H2648">
        <v>-0.05</v>
      </c>
      <c r="I2648">
        <v>198.6515</v>
      </c>
      <c r="J2648">
        <v>-494.25970000000001</v>
      </c>
      <c r="K2648">
        <v>1.111057</v>
      </c>
      <c r="L2648">
        <v>250.05199999999999</v>
      </c>
      <c r="M2648">
        <v>6.6530640000000002E-3</v>
      </c>
      <c r="N2648">
        <v>0</v>
      </c>
      <c r="O2648">
        <v>-0.99988379999999999</v>
      </c>
      <c r="P2648">
        <v>1.6426219999999998E-2</v>
      </c>
      <c r="Q2648">
        <v>-4.2611389999999999E-2</v>
      </c>
      <c r="R2648">
        <v>-0.99895659999999997</v>
      </c>
      <c r="S2648">
        <v>1.3491519999999999</v>
      </c>
      <c r="T2648">
        <v>-6.7150589999999996E-2</v>
      </c>
      <c r="U2648">
        <v>-2.980667</v>
      </c>
      <c r="V2648">
        <v>-9.7259400000000006E-3</v>
      </c>
      <c r="W2648">
        <v>-2.8924490000000001E-2</v>
      </c>
      <c r="X2648">
        <v>0.99953429999999999</v>
      </c>
      <c r="Y2648">
        <v>-0.40620149999999999</v>
      </c>
      <c r="Z2648">
        <v>2.0548339999999998E-2</v>
      </c>
      <c r="AA2648">
        <v>0.91355249999999999</v>
      </c>
      <c r="AB2648">
        <v>14</v>
      </c>
      <c r="AC2648">
        <v>23.324299999999901</v>
      </c>
      <c r="AD2648">
        <v>-1.161057</v>
      </c>
      <c r="AE2648">
        <v>-51.400500000000001</v>
      </c>
      <c r="AF2648">
        <v>-22.972060922016901</v>
      </c>
      <c r="AG2648">
        <v>-1.161057</v>
      </c>
      <c r="AH2648">
        <v>51.532750665897197</v>
      </c>
      <c r="AI2648">
        <v>91.178890233023395</v>
      </c>
      <c r="AJ2648">
        <v>114.02616330683399</v>
      </c>
      <c r="AK2648">
        <v>56.4330402118797</v>
      </c>
      <c r="AL2648">
        <v>91.657482341289594</v>
      </c>
      <c r="AM2648">
        <v>90.557497353951007</v>
      </c>
      <c r="AN2648">
        <v>1.00000001845356</v>
      </c>
    </row>
    <row r="2649" spans="1:40" x14ac:dyDescent="0.25">
      <c r="A2649" t="str">
        <f>"20190312161010120"</f>
        <v>20190312161010120</v>
      </c>
      <c r="B2649" t="str">
        <f>"1552378210108541"</f>
        <v>1552378210108541</v>
      </c>
      <c r="C2649" t="s">
        <v>40</v>
      </c>
      <c r="D2649">
        <v>5.426418</v>
      </c>
      <c r="E2649">
        <v>0.33575139999999998</v>
      </c>
      <c r="F2649" t="s">
        <v>59</v>
      </c>
      <c r="G2649">
        <v>-474.04</v>
      </c>
      <c r="H2649">
        <v>7.9999520000000005E-2</v>
      </c>
      <c r="I2649">
        <v>205.6831</v>
      </c>
      <c r="J2649">
        <v>-494.25630000000001</v>
      </c>
      <c r="K2649">
        <v>1.1110469999999999</v>
      </c>
      <c r="L2649">
        <v>249.90799999999999</v>
      </c>
      <c r="M2649">
        <v>8.7134440000000007E-3</v>
      </c>
      <c r="N2649">
        <v>0</v>
      </c>
      <c r="O2649">
        <v>-0.99986830000000004</v>
      </c>
      <c r="P2649">
        <v>1.8636969999999999E-2</v>
      </c>
      <c r="Q2649">
        <v>-4.2826349999999999E-2</v>
      </c>
      <c r="R2649">
        <v>-0.99890889999999999</v>
      </c>
      <c r="S2649">
        <v>1.357056</v>
      </c>
      <c r="T2649">
        <v>-6.9199919999999998E-2</v>
      </c>
      <c r="U2649">
        <v>-2.9778440000000002</v>
      </c>
      <c r="V2649">
        <v>-9.8779169999999999E-3</v>
      </c>
      <c r="W2649">
        <v>-2.9141650000000002E-2</v>
      </c>
      <c r="X2649">
        <v>0.99952649999999998</v>
      </c>
      <c r="Y2649">
        <v>-0.40664830000000002</v>
      </c>
      <c r="Z2649">
        <v>2.1179610000000001E-2</v>
      </c>
      <c r="AA2649">
        <v>0.91333929999999997</v>
      </c>
      <c r="AB2649">
        <v>14</v>
      </c>
      <c r="AC2649">
        <v>20.216299999999901</v>
      </c>
      <c r="AD2649">
        <v>-1.03104747999999</v>
      </c>
      <c r="AE2649">
        <v>-44.224899999999899</v>
      </c>
      <c r="AF2649">
        <v>-19.821233772258001</v>
      </c>
      <c r="AG2649">
        <v>-1.03104747999999</v>
      </c>
      <c r="AH2649">
        <v>44.379438623943201</v>
      </c>
      <c r="AI2649">
        <v>91.215228625526294</v>
      </c>
      <c r="AJ2649">
        <v>114.06702040246201</v>
      </c>
      <c r="AK2649">
        <v>48.615624440470398</v>
      </c>
      <c r="AL2649">
        <v>91.6699299429158</v>
      </c>
      <c r="AM2649">
        <v>90.566212632183195</v>
      </c>
      <c r="AN2649">
        <v>1.00000001660561</v>
      </c>
    </row>
    <row r="2650" spans="1:40" x14ac:dyDescent="0.25">
      <c r="A2650" t="str">
        <f>"20190312161010141"</f>
        <v>20190312161010141</v>
      </c>
      <c r="B2650" t="str">
        <f>"1552378210138796"</f>
        <v>1552378210138796</v>
      </c>
      <c r="C2650" t="s">
        <v>40</v>
      </c>
      <c r="D2650">
        <v>5.4551999999999996</v>
      </c>
      <c r="E2650">
        <v>0.33558569999999999</v>
      </c>
      <c r="F2650" t="s">
        <v>59</v>
      </c>
      <c r="G2650">
        <v>-474.21030000000002</v>
      </c>
      <c r="H2650">
        <v>7.9999539999999994E-2</v>
      </c>
      <c r="I2650">
        <v>206.20079999999999</v>
      </c>
      <c r="J2650">
        <v>-494.2527</v>
      </c>
      <c r="K2650">
        <v>1.1110439999999999</v>
      </c>
      <c r="L2650">
        <v>249.7713</v>
      </c>
      <c r="M2650">
        <v>1.066957E-2</v>
      </c>
      <c r="N2650">
        <v>0</v>
      </c>
      <c r="O2650">
        <v>-0.99984919999999999</v>
      </c>
      <c r="P2650">
        <v>2.048036E-2</v>
      </c>
      <c r="Q2650">
        <v>-4.2518279999999999E-2</v>
      </c>
      <c r="R2650">
        <v>-0.99888600000000005</v>
      </c>
      <c r="S2650">
        <v>1.3643799999999999</v>
      </c>
      <c r="T2650">
        <v>-7.0175650000000006E-2</v>
      </c>
      <c r="U2650">
        <v>-2.9748230000000002</v>
      </c>
      <c r="V2650">
        <v>-9.767909E-3</v>
      </c>
      <c r="W2650">
        <v>-2.8835139999999999E-2</v>
      </c>
      <c r="X2650">
        <v>0.99953650000000005</v>
      </c>
      <c r="Y2650">
        <v>-0.40706789999999998</v>
      </c>
      <c r="Z2650">
        <v>2.148473E-2</v>
      </c>
      <c r="AA2650">
        <v>0.91314519999999999</v>
      </c>
      <c r="AB2650">
        <v>14</v>
      </c>
      <c r="AC2650">
        <v>20.042399999999901</v>
      </c>
      <c r="AD2650">
        <v>-1.0310444599999999</v>
      </c>
      <c r="AE2650">
        <v>-43.570500000000003</v>
      </c>
      <c r="AF2650">
        <v>-19.567293197838801</v>
      </c>
      <c r="AG2650">
        <v>-1.0310444599999999</v>
      </c>
      <c r="AH2650">
        <v>43.7616575625105</v>
      </c>
      <c r="AI2650">
        <v>91.232144613303504</v>
      </c>
      <c r="AJ2650">
        <v>114.09100734226899</v>
      </c>
      <c r="AK2650">
        <v>47.948145828458401</v>
      </c>
      <c r="AL2650">
        <v>91.652360781578295</v>
      </c>
      <c r="AM2650">
        <v>90.559901659862405</v>
      </c>
      <c r="AN2650">
        <v>1.00000004608864</v>
      </c>
    </row>
    <row r="2651" spans="1:40" x14ac:dyDescent="0.25">
      <c r="A2651" t="str">
        <f>"20190312161010163"</f>
        <v>20190312161010163</v>
      </c>
      <c r="B2651" t="str">
        <f>"1552378210158603"</f>
        <v>1552378210158603</v>
      </c>
      <c r="C2651" t="s">
        <v>40</v>
      </c>
      <c r="D2651">
        <v>5.5415070000000002</v>
      </c>
      <c r="E2651">
        <v>0.335511</v>
      </c>
      <c r="F2651" t="s">
        <v>59</v>
      </c>
      <c r="G2651">
        <v>-473.91800000000001</v>
      </c>
      <c r="H2651">
        <v>7.9999550000000003E-2</v>
      </c>
      <c r="I2651">
        <v>205.684</v>
      </c>
      <c r="J2651">
        <v>-494.24900000000002</v>
      </c>
      <c r="K2651">
        <v>1.111043</v>
      </c>
      <c r="L2651">
        <v>249.63630000000001</v>
      </c>
      <c r="M2651">
        <v>1.260287E-2</v>
      </c>
      <c r="N2651">
        <v>0</v>
      </c>
      <c r="O2651">
        <v>-0.99982669999999996</v>
      </c>
      <c r="P2651">
        <v>2.2195400000000001E-2</v>
      </c>
      <c r="Q2651">
        <v>-4.1881090000000003E-2</v>
      </c>
      <c r="R2651">
        <v>-0.99887619999999999</v>
      </c>
      <c r="S2651">
        <v>1.370911</v>
      </c>
      <c r="T2651">
        <v>-6.9510100000000005E-2</v>
      </c>
      <c r="U2651">
        <v>-2.9722439999999999</v>
      </c>
      <c r="V2651">
        <v>-9.5526499999999993E-3</v>
      </c>
      <c r="W2651">
        <v>-2.8199229999999999E-2</v>
      </c>
      <c r="X2651">
        <v>0.99955669999999996</v>
      </c>
      <c r="Y2651">
        <v>-0.4072596</v>
      </c>
      <c r="Z2651">
        <v>2.128683E-2</v>
      </c>
      <c r="AA2651">
        <v>0.9130644</v>
      </c>
      <c r="AB2651">
        <v>14</v>
      </c>
      <c r="AC2651">
        <v>20.331</v>
      </c>
      <c r="AD2651">
        <v>-1.0310434500000001</v>
      </c>
      <c r="AE2651">
        <v>-43.952299999999902</v>
      </c>
      <c r="AF2651">
        <v>-19.766447830990799</v>
      </c>
      <c r="AG2651">
        <v>-1.0310434500000001</v>
      </c>
      <c r="AH2651">
        <v>44.1850327599943</v>
      </c>
      <c r="AI2651">
        <v>91.220239407262895</v>
      </c>
      <c r="AJ2651">
        <v>114.101650490201</v>
      </c>
      <c r="AK2651">
        <v>48.415830370374103</v>
      </c>
      <c r="AL2651">
        <v>91.615911036602895</v>
      </c>
      <c r="AM2651">
        <v>90.547552595956006</v>
      </c>
      <c r="AN2651">
        <v>1.0000000231047499</v>
      </c>
    </row>
    <row r="2652" spans="1:40" x14ac:dyDescent="0.25">
      <c r="A2652" t="str">
        <f>"20190312161010186"</f>
        <v>20190312161010186</v>
      </c>
      <c r="B2652" t="str">
        <f>"1552378210178123"</f>
        <v>1552378210178123</v>
      </c>
      <c r="C2652" t="s">
        <v>40</v>
      </c>
      <c r="D2652">
        <v>5.3986280000000004</v>
      </c>
      <c r="E2652">
        <v>0.3801253</v>
      </c>
      <c r="F2652" t="s">
        <v>43</v>
      </c>
      <c r="G2652">
        <v>-470.34160000000003</v>
      </c>
      <c r="H2652">
        <v>-0.05</v>
      </c>
      <c r="I2652">
        <v>198.07570000000001</v>
      </c>
      <c r="J2652">
        <v>-494.24470000000002</v>
      </c>
      <c r="K2652">
        <v>1.1110420000000001</v>
      </c>
      <c r="L2652">
        <v>249.4932</v>
      </c>
      <c r="M2652">
        <v>1.465136E-2</v>
      </c>
      <c r="N2652">
        <v>0</v>
      </c>
      <c r="O2652">
        <v>-0.99979879999999999</v>
      </c>
      <c r="P2652">
        <v>2.4260529999999999E-2</v>
      </c>
      <c r="Q2652">
        <v>-4.0853309999999997E-2</v>
      </c>
      <c r="R2652">
        <v>-0.9988707</v>
      </c>
      <c r="S2652">
        <v>1.3771059999999999</v>
      </c>
      <c r="T2652">
        <v>-6.687796E-2</v>
      </c>
      <c r="U2652">
        <v>-2.9699710000000001</v>
      </c>
      <c r="V2652">
        <v>-9.5729400000000003E-3</v>
      </c>
      <c r="W2652">
        <v>-2.717344E-2</v>
      </c>
      <c r="X2652">
        <v>0.9995849</v>
      </c>
      <c r="Y2652">
        <v>-0.40722999999999998</v>
      </c>
      <c r="Z2652">
        <v>2.048608E-2</v>
      </c>
      <c r="AA2652">
        <v>0.91309580000000001</v>
      </c>
      <c r="AB2652">
        <v>14</v>
      </c>
      <c r="AC2652">
        <v>23.903099999999899</v>
      </c>
      <c r="AD2652">
        <v>-1.1610419999999999</v>
      </c>
      <c r="AE2652">
        <v>-51.417499999999897</v>
      </c>
      <c r="AF2652">
        <v>-23.137425875283601</v>
      </c>
      <c r="AG2652">
        <v>-1.1610419999999999</v>
      </c>
      <c r="AH2652">
        <v>51.740532247923497</v>
      </c>
      <c r="AI2652">
        <v>91.173527991198</v>
      </c>
      <c r="AJ2652">
        <v>114.09332582432</v>
      </c>
      <c r="AK2652">
        <v>56.690132932975402</v>
      </c>
      <c r="AL2652">
        <v>91.557115087577699</v>
      </c>
      <c r="AM2652">
        <v>90.5487000572017</v>
      </c>
      <c r="AN2652">
        <v>1.0000000046648401</v>
      </c>
    </row>
    <row r="2653" spans="1:40" x14ac:dyDescent="0.25">
      <c r="A2653" t="str">
        <f>"20190312161010209"</f>
        <v>20190312161010209</v>
      </c>
      <c r="B2653" t="str">
        <f>"1552378210198620"</f>
        <v>1552378210198620</v>
      </c>
      <c r="C2653" t="s">
        <v>40</v>
      </c>
      <c r="D2653">
        <v>5.3858600000000001</v>
      </c>
      <c r="E2653">
        <v>0.38956030000000003</v>
      </c>
      <c r="F2653" t="s">
        <v>59</v>
      </c>
      <c r="G2653">
        <v>-481.65109999999999</v>
      </c>
      <c r="H2653" s="1">
        <v>1.77475599999999E-6</v>
      </c>
      <c r="I2653">
        <v>213.05609999999999</v>
      </c>
      <c r="J2653">
        <v>-494.24020000000002</v>
      </c>
      <c r="K2653">
        <v>1.111043</v>
      </c>
      <c r="L2653">
        <v>249.35310000000001</v>
      </c>
      <c r="M2653">
        <v>1.6655369999999999E-2</v>
      </c>
      <c r="N2653">
        <v>0</v>
      </c>
      <c r="O2653">
        <v>-0.99976750000000003</v>
      </c>
      <c r="P2653">
        <v>2.6375510000000001E-2</v>
      </c>
      <c r="Q2653">
        <v>-4.0570269999999999E-2</v>
      </c>
      <c r="R2653">
        <v>-0.99882850000000001</v>
      </c>
      <c r="S2653">
        <v>1.0281370000000001</v>
      </c>
      <c r="T2653">
        <v>-9.0704679999999996E-2</v>
      </c>
      <c r="U2653">
        <v>-2.974701</v>
      </c>
      <c r="V2653">
        <v>-9.6864540000000006E-3</v>
      </c>
      <c r="W2653">
        <v>-2.689298E-2</v>
      </c>
      <c r="X2653">
        <v>0.99959140000000002</v>
      </c>
      <c r="Y2653">
        <v>-0.3107414</v>
      </c>
      <c r="Z2653">
        <v>2.8879740000000001E-2</v>
      </c>
      <c r="AA2653">
        <v>0.95005569999999895</v>
      </c>
      <c r="AB2653">
        <v>14</v>
      </c>
      <c r="AC2653">
        <v>12.5891</v>
      </c>
      <c r="AD2653">
        <v>-1.1110412252440001</v>
      </c>
      <c r="AE2653">
        <v>-36.296999999999997</v>
      </c>
      <c r="AF2653">
        <v>-11.972743405835599</v>
      </c>
      <c r="AG2653">
        <v>-1.1110412252440001</v>
      </c>
      <c r="AH2653">
        <v>36.471157531410199</v>
      </c>
      <c r="AI2653">
        <v>91.657897570543199</v>
      </c>
      <c r="AJ2653">
        <v>108.17396216893</v>
      </c>
      <c r="AK2653">
        <v>38.402165680428901</v>
      </c>
      <c r="AL2653">
        <v>91.541040025024301</v>
      </c>
      <c r="AM2653">
        <v>90.555202417294197</v>
      </c>
      <c r="AN2653">
        <v>1.00000001335916</v>
      </c>
    </row>
    <row r="2654" spans="1:40" x14ac:dyDescent="0.25">
      <c r="A2654" t="str">
        <f>"20190312161010234"</f>
        <v>20190312161010234</v>
      </c>
      <c r="B2654" t="str">
        <f>"1552378210228876"</f>
        <v>1552378210228876</v>
      </c>
      <c r="C2654" t="s">
        <v>40</v>
      </c>
      <c r="D2654">
        <v>5.3132380000000001</v>
      </c>
      <c r="E2654">
        <v>0.39450479999999999</v>
      </c>
      <c r="F2654" t="s">
        <v>59</v>
      </c>
      <c r="G2654">
        <v>-483.51029999999997</v>
      </c>
      <c r="H2654" s="1">
        <v>2.2373519999999999E-6</v>
      </c>
      <c r="I2654">
        <v>216.09450000000001</v>
      </c>
      <c r="J2654">
        <v>-494.2353</v>
      </c>
      <c r="K2654">
        <v>1.111046</v>
      </c>
      <c r="L2654">
        <v>249.20679999999999</v>
      </c>
      <c r="M2654">
        <v>1.875075E-2</v>
      </c>
      <c r="N2654">
        <v>0</v>
      </c>
      <c r="O2654">
        <v>-0.99973029999999996</v>
      </c>
      <c r="P2654">
        <v>2.8430609999999999E-2</v>
      </c>
      <c r="Q2654">
        <v>-4.0524499999999998E-2</v>
      </c>
      <c r="R2654">
        <v>-0.9987743</v>
      </c>
      <c r="S2654">
        <v>0.95953370000000004</v>
      </c>
      <c r="T2654">
        <v>-9.9355219999999994E-2</v>
      </c>
      <c r="U2654">
        <v>-2.974167</v>
      </c>
      <c r="V2654">
        <v>-9.6483339999999997E-3</v>
      </c>
      <c r="W2654">
        <v>-2.6849979999999999E-2</v>
      </c>
      <c r="X2654">
        <v>0.99959290000000001</v>
      </c>
      <c r="Y2654">
        <v>-0.28898259999999998</v>
      </c>
      <c r="Z2654">
        <v>3.1858820000000003E-2</v>
      </c>
      <c r="AA2654">
        <v>0.95680410000000005</v>
      </c>
      <c r="AB2654">
        <v>14</v>
      </c>
      <c r="AC2654">
        <v>10.725</v>
      </c>
      <c r="AD2654">
        <v>-1.1110437626479901</v>
      </c>
      <c r="AE2654">
        <v>-33.112299999999898</v>
      </c>
      <c r="AF2654">
        <v>-10.0918921000038</v>
      </c>
      <c r="AG2654">
        <v>-1.1110437626479901</v>
      </c>
      <c r="AH2654">
        <v>33.273693542983899</v>
      </c>
      <c r="AI2654">
        <v>91.830187574790102</v>
      </c>
      <c r="AJ2654">
        <v>106.872520384857</v>
      </c>
      <c r="AK2654">
        <v>34.788207576606297</v>
      </c>
      <c r="AL2654">
        <v>91.538575454427402</v>
      </c>
      <c r="AM2654">
        <v>90.553016783927902</v>
      </c>
      <c r="AN2654">
        <v>0.99999998875269203</v>
      </c>
    </row>
    <row r="2655" spans="1:40" x14ac:dyDescent="0.25">
      <c r="A2655" t="str">
        <f>"20190312161010253"</f>
        <v>20190312161010253</v>
      </c>
      <c r="B2655" t="str">
        <f>"1552378210248395"</f>
        <v>1552378210248395</v>
      </c>
      <c r="C2655" t="s">
        <v>40</v>
      </c>
      <c r="D2655">
        <v>5.3132570000000001</v>
      </c>
      <c r="E2655">
        <v>0.3959705</v>
      </c>
      <c r="F2655" t="s">
        <v>59</v>
      </c>
      <c r="G2655">
        <v>-484.27069999999998</v>
      </c>
      <c r="H2655" s="1">
        <v>2.4224299999999999E-6</v>
      </c>
      <c r="I2655">
        <v>217.24260000000001</v>
      </c>
      <c r="J2655">
        <v>-494.23059999999998</v>
      </c>
      <c r="K2655">
        <v>1.1110439999999999</v>
      </c>
      <c r="L2655">
        <v>249.07499999999999</v>
      </c>
      <c r="M2655">
        <v>2.06375E-2</v>
      </c>
      <c r="N2655">
        <v>0</v>
      </c>
      <c r="O2655">
        <v>-0.99969330000000001</v>
      </c>
      <c r="P2655">
        <v>2.994906E-2</v>
      </c>
      <c r="Q2655">
        <v>-4.0421369999999998E-2</v>
      </c>
      <c r="R2655">
        <v>-0.99873409999999996</v>
      </c>
      <c r="S2655">
        <v>0.92684940000000005</v>
      </c>
      <c r="T2655">
        <v>-0.103343</v>
      </c>
      <c r="U2655">
        <v>-2.9731290000000001</v>
      </c>
      <c r="V2655">
        <v>-9.2818190000000002E-3</v>
      </c>
      <c r="W2655">
        <v>-2.674874E-2</v>
      </c>
      <c r="X2655">
        <v>0.99959909999999996</v>
      </c>
      <c r="Y2655">
        <v>-0.27768369999999998</v>
      </c>
      <c r="Z2655">
        <v>3.325558E-2</v>
      </c>
      <c r="AA2655">
        <v>0.96009679999999997</v>
      </c>
      <c r="AB2655">
        <v>14</v>
      </c>
      <c r="AC2655">
        <v>9.9598999999999993</v>
      </c>
      <c r="AD2655">
        <v>-1.11104157757</v>
      </c>
      <c r="AE2655">
        <v>-31.8323999999999</v>
      </c>
      <c r="AF2655">
        <v>-9.2904671134417303</v>
      </c>
      <c r="AG2655">
        <v>-1.11104157757</v>
      </c>
      <c r="AH2655">
        <v>31.995684002602001</v>
      </c>
      <c r="AI2655">
        <v>91.9099561294381</v>
      </c>
      <c r="AJ2655">
        <v>106.19151435171101</v>
      </c>
      <c r="AK2655">
        <v>33.335731390917402</v>
      </c>
      <c r="AL2655">
        <v>91.532772722140095</v>
      </c>
      <c r="AM2655">
        <v>90.532007052902898</v>
      </c>
      <c r="AN2655">
        <v>1.00000000398817</v>
      </c>
    </row>
    <row r="2656" spans="1:40" x14ac:dyDescent="0.25">
      <c r="A2656" t="str">
        <f>"20190312161010275"</f>
        <v>20190312161010275</v>
      </c>
      <c r="B2656" t="str">
        <f>"1552378210268422"</f>
        <v>1552378210268422</v>
      </c>
      <c r="C2656" t="s">
        <v>40</v>
      </c>
      <c r="D2656">
        <v>5.2811979999999998</v>
      </c>
      <c r="E2656">
        <v>0.39688469999999998</v>
      </c>
      <c r="F2656" t="s">
        <v>59</v>
      </c>
      <c r="G2656">
        <v>-484.38819999999998</v>
      </c>
      <c r="H2656" s="1">
        <v>2.4442709999999999E-6</v>
      </c>
      <c r="I2656">
        <v>217.2655</v>
      </c>
      <c r="J2656">
        <v>-494.22570000000002</v>
      </c>
      <c r="K2656">
        <v>1.1110409999999999</v>
      </c>
      <c r="L2656">
        <v>248.9452</v>
      </c>
      <c r="M2656">
        <v>2.2495299999999999E-2</v>
      </c>
      <c r="N2656">
        <v>0</v>
      </c>
      <c r="O2656">
        <v>-0.99965320000000002</v>
      </c>
      <c r="P2656">
        <v>3.1187039999999999E-2</v>
      </c>
      <c r="Q2656">
        <v>-4.0102859999999997E-2</v>
      </c>
      <c r="R2656">
        <v>-0.99870899999999996</v>
      </c>
      <c r="S2656">
        <v>0.91958620000000002</v>
      </c>
      <c r="T2656">
        <v>-0.10380590000000001</v>
      </c>
      <c r="U2656">
        <v>-2.972</v>
      </c>
      <c r="V2656">
        <v>-8.66368E-3</v>
      </c>
      <c r="W2656">
        <v>-2.64316E-2</v>
      </c>
      <c r="X2656">
        <v>0.99961310000000003</v>
      </c>
      <c r="Y2656">
        <v>-0.2738582</v>
      </c>
      <c r="Z2656">
        <v>3.3444969999999997E-2</v>
      </c>
      <c r="AA2656">
        <v>0.96118840000000005</v>
      </c>
      <c r="AB2656">
        <v>14</v>
      </c>
      <c r="AC2656">
        <v>9.8375000000000306</v>
      </c>
      <c r="AD2656">
        <v>-1.1110385557289999</v>
      </c>
      <c r="AE2656">
        <v>-31.6797</v>
      </c>
      <c r="AF2656">
        <v>-9.1120770538983393</v>
      </c>
      <c r="AG2656">
        <v>-1.1110385557289999</v>
      </c>
      <c r="AH2656">
        <v>31.857262670048701</v>
      </c>
      <c r="AI2656">
        <v>91.920457472997199</v>
      </c>
      <c r="AJ2656">
        <v>105.96202564014899</v>
      </c>
      <c r="AK2656">
        <v>33.153424253566598</v>
      </c>
      <c r="AL2656">
        <v>91.514595488366695</v>
      </c>
      <c r="AM2656">
        <v>90.496571994072696</v>
      </c>
      <c r="AN2656">
        <v>1.00000001926065</v>
      </c>
    </row>
    <row r="2657" spans="1:40" x14ac:dyDescent="0.25">
      <c r="A2657" t="str">
        <f>"20190312161010297"</f>
        <v>20190312161010297</v>
      </c>
      <c r="B2657" t="str">
        <f>"1552378210288918"</f>
        <v>1552378210288918</v>
      </c>
      <c r="C2657" t="s">
        <v>40</v>
      </c>
      <c r="D2657">
        <v>5.340109</v>
      </c>
      <c r="E2657">
        <v>0.39812629999999999</v>
      </c>
      <c r="F2657" t="s">
        <v>59</v>
      </c>
      <c r="G2657">
        <v>-484.37740000000002</v>
      </c>
      <c r="H2657" s="1">
        <v>2.4307089999999999E-6</v>
      </c>
      <c r="I2657">
        <v>216.99889999999999</v>
      </c>
      <c r="J2657">
        <v>-494.2201</v>
      </c>
      <c r="K2657">
        <v>1.11104</v>
      </c>
      <c r="L2657">
        <v>248.80340000000001</v>
      </c>
      <c r="M2657">
        <v>2.4527899999999998E-2</v>
      </c>
      <c r="N2657">
        <v>0</v>
      </c>
      <c r="O2657">
        <v>-0.99960550000000004</v>
      </c>
      <c r="P2657">
        <v>3.2814669999999997E-2</v>
      </c>
      <c r="Q2657">
        <v>-4.013017E-2</v>
      </c>
      <c r="R2657">
        <v>-0.99865579999999998</v>
      </c>
      <c r="S2657">
        <v>0.91592410000000002</v>
      </c>
      <c r="T2657">
        <v>-0.1033309</v>
      </c>
      <c r="U2657">
        <v>-2.97113</v>
      </c>
      <c r="V2657">
        <v>-8.2613789999999993E-3</v>
      </c>
      <c r="W2657">
        <v>-2.646126E-2</v>
      </c>
      <c r="X2657">
        <v>0.9996157</v>
      </c>
      <c r="Y2657">
        <v>-0.27090049999999999</v>
      </c>
      <c r="Z2657">
        <v>3.3319090000000003E-2</v>
      </c>
      <c r="AA2657">
        <v>0.96203050000000001</v>
      </c>
      <c r="AB2657">
        <v>14</v>
      </c>
      <c r="AC2657">
        <v>9.8426999999999794</v>
      </c>
      <c r="AD2657">
        <v>-1.1110375692909999</v>
      </c>
      <c r="AE2657">
        <v>-31.804500000000001</v>
      </c>
      <c r="AF2657">
        <v>-9.0494893915079206</v>
      </c>
      <c r="AG2657">
        <v>-1.1110375692909999</v>
      </c>
      <c r="AH2657">
        <v>32.000734591541097</v>
      </c>
      <c r="AI2657">
        <v>91.913480488583403</v>
      </c>
      <c r="AJ2657">
        <v>105.790375272069</v>
      </c>
      <c r="AK2657">
        <v>33.274234433351701</v>
      </c>
      <c r="AL2657">
        <v>91.516295507734895</v>
      </c>
      <c r="AM2657">
        <v>90.473513344401994</v>
      </c>
      <c r="AN2657">
        <v>0.99999999817512897</v>
      </c>
    </row>
    <row r="2658" spans="1:40" x14ac:dyDescent="0.25">
      <c r="A2658" t="str">
        <f>"20190312161010320"</f>
        <v>20190312161010320</v>
      </c>
      <c r="B2658" t="str">
        <f>"1552378210308438"</f>
        <v>1552378210308438</v>
      </c>
      <c r="C2658" t="s">
        <v>40</v>
      </c>
      <c r="D2658">
        <v>5.3180440000000004</v>
      </c>
      <c r="E2658">
        <v>0.39891589999999999</v>
      </c>
      <c r="F2658" t="s">
        <v>59</v>
      </c>
      <c r="G2658">
        <v>-484.56310000000002</v>
      </c>
      <c r="H2658" s="1">
        <v>2.4777769999999998E-6</v>
      </c>
      <c r="I2658">
        <v>217.322</v>
      </c>
      <c r="J2658">
        <v>-494.21440000000001</v>
      </c>
      <c r="K2658">
        <v>1.111035</v>
      </c>
      <c r="L2658">
        <v>248.66810000000001</v>
      </c>
      <c r="M2658">
        <v>2.646652E-2</v>
      </c>
      <c r="N2658">
        <v>0</v>
      </c>
      <c r="O2658">
        <v>-0.99955640000000001</v>
      </c>
      <c r="P2658">
        <v>3.4535759999999999E-2</v>
      </c>
      <c r="Q2658">
        <v>-4.0473519999999999E-2</v>
      </c>
      <c r="R2658">
        <v>-0.99858400000000003</v>
      </c>
      <c r="S2658">
        <v>0.91101069999999995</v>
      </c>
      <c r="T2658">
        <v>-0.10481269999999999</v>
      </c>
      <c r="U2658">
        <v>-2.9698790000000002</v>
      </c>
      <c r="V2658">
        <v>-8.0453799999999995E-3</v>
      </c>
      <c r="W2658">
        <v>-2.680745E-2</v>
      </c>
      <c r="X2658">
        <v>0.99960819999999995</v>
      </c>
      <c r="Y2658">
        <v>-0.26768720000000001</v>
      </c>
      <c r="Z2658">
        <v>3.3830930000000002E-2</v>
      </c>
      <c r="AA2658">
        <v>0.96291170000000004</v>
      </c>
      <c r="AB2658">
        <v>14</v>
      </c>
      <c r="AC2658">
        <v>9.6512999999999902</v>
      </c>
      <c r="AD2658">
        <v>-1.111032522223</v>
      </c>
      <c r="AE2658">
        <v>-31.3461</v>
      </c>
      <c r="AF2658">
        <v>-8.8081116619145607</v>
      </c>
      <c r="AG2658">
        <v>-1.111032522223</v>
      </c>
      <c r="AH2658">
        <v>31.554368987837801</v>
      </c>
      <c r="AI2658">
        <v>91.942362601070499</v>
      </c>
      <c r="AJ2658">
        <v>105.596586438808</v>
      </c>
      <c r="AK2658">
        <v>32.779497045177699</v>
      </c>
      <c r="AL2658">
        <v>91.536137830840801</v>
      </c>
      <c r="AM2658">
        <v>90.461137038828795</v>
      </c>
      <c r="AN2658">
        <v>0.99999996051104201</v>
      </c>
    </row>
    <row r="2659" spans="1:40" x14ac:dyDescent="0.25">
      <c r="A2659" t="str">
        <f>"20190312161010454"</f>
        <v>20190312161010454</v>
      </c>
      <c r="B2659" t="str">
        <f>"1552378210448511"</f>
        <v>1552378210448511</v>
      </c>
      <c r="C2659" t="s">
        <v>40</v>
      </c>
      <c r="D2659">
        <v>5.1970960000000002</v>
      </c>
      <c r="E2659">
        <v>0.39765499999999998</v>
      </c>
      <c r="F2659" t="s">
        <v>59</v>
      </c>
      <c r="G2659">
        <v>-484.77210000000002</v>
      </c>
      <c r="H2659" s="1">
        <v>2.537658E-6</v>
      </c>
      <c r="I2659">
        <v>217.84399999999999</v>
      </c>
      <c r="J2659">
        <v>-494.17439999999999</v>
      </c>
      <c r="K2659">
        <v>1.1110070000000001</v>
      </c>
      <c r="L2659">
        <v>247.8441</v>
      </c>
      <c r="M2659">
        <v>3.8288799999999998E-2</v>
      </c>
      <c r="N2659">
        <v>0</v>
      </c>
      <c r="O2659">
        <v>-0.99917330000000004</v>
      </c>
      <c r="P2659">
        <v>4.5918580000000001E-2</v>
      </c>
      <c r="Q2659">
        <v>-4.1536679999999999E-2</v>
      </c>
      <c r="R2659">
        <v>-0.99808140000000001</v>
      </c>
      <c r="S2659">
        <v>0.90933229999999998</v>
      </c>
      <c r="T2659">
        <v>-0.10699699999999999</v>
      </c>
      <c r="U2659">
        <v>-2.9684910000000002</v>
      </c>
      <c r="V2659">
        <v>-7.6185519999999998E-3</v>
      </c>
      <c r="W2659">
        <v>-2.7890290000000002E-2</v>
      </c>
      <c r="X2659">
        <v>0.99958190000000002</v>
      </c>
      <c r="Y2659">
        <v>-0.25589129999999999</v>
      </c>
      <c r="Z2659">
        <v>3.4589490000000001E-2</v>
      </c>
      <c r="AA2659">
        <v>0.96608660000000002</v>
      </c>
      <c r="AB2659">
        <v>14</v>
      </c>
      <c r="AC2659">
        <v>9.4022999999999595</v>
      </c>
      <c r="AD2659">
        <v>-1.1110044623419999</v>
      </c>
      <c r="AE2659">
        <v>-30.0000999999999</v>
      </c>
      <c r="AF2659">
        <v>-8.2363434928152799</v>
      </c>
      <c r="AG2659">
        <v>-1.1110044623419999</v>
      </c>
      <c r="AH2659">
        <v>30.3002944864831</v>
      </c>
      <c r="AI2659">
        <v>92.026426753414896</v>
      </c>
      <c r="AJ2659">
        <v>105.206930288075</v>
      </c>
      <c r="AK2659">
        <v>31.419413282468799</v>
      </c>
      <c r="AL2659">
        <v>91.5982032422543</v>
      </c>
      <c r="AM2659">
        <v>90.436685001458102</v>
      </c>
      <c r="AN2659">
        <v>0.99999994270923298</v>
      </c>
    </row>
    <row r="2660" spans="1:40" x14ac:dyDescent="0.25">
      <c r="A2660" t="str">
        <f>"20190312161010489"</f>
        <v>20190312161010489</v>
      </c>
      <c r="B2660" t="str">
        <f>"1552378210478300"</f>
        <v>1552378210478300</v>
      </c>
      <c r="C2660" t="s">
        <v>40</v>
      </c>
      <c r="D2660">
        <v>5.0810149999999998</v>
      </c>
      <c r="E2660">
        <v>0.32707720000000001</v>
      </c>
      <c r="F2660" t="s">
        <v>59</v>
      </c>
      <c r="G2660">
        <v>-484.51429999999999</v>
      </c>
      <c r="H2660" s="1">
        <v>2.493504E-6</v>
      </c>
      <c r="I2660">
        <v>217.87979999999999</v>
      </c>
      <c r="J2660">
        <v>-494.16320000000002</v>
      </c>
      <c r="K2660">
        <v>1.110994</v>
      </c>
      <c r="L2660">
        <v>247.6447</v>
      </c>
      <c r="M2660">
        <v>4.1150619999999999E-2</v>
      </c>
      <c r="N2660">
        <v>0</v>
      </c>
      <c r="O2660">
        <v>-0.9990599</v>
      </c>
      <c r="P2660">
        <v>4.8341639999999998E-2</v>
      </c>
      <c r="Q2660">
        <v>-4.2045819999999998E-2</v>
      </c>
      <c r="R2660">
        <v>-0.99794590000000005</v>
      </c>
      <c r="S2660">
        <v>0.95339969999999996</v>
      </c>
      <c r="T2660">
        <v>-0.1096511</v>
      </c>
      <c r="U2660">
        <v>-2.9573360000000002</v>
      </c>
      <c r="V2660">
        <v>-7.1828009999999999E-3</v>
      </c>
      <c r="W2660">
        <v>-2.8404080000000002E-2</v>
      </c>
      <c r="X2660">
        <v>0.99957070000000003</v>
      </c>
      <c r="Y2660">
        <v>-0.26721220000000001</v>
      </c>
      <c r="Z2660">
        <v>3.543491E-2</v>
      </c>
      <c r="AA2660">
        <v>0.96298600000000001</v>
      </c>
      <c r="AB2660">
        <v>14</v>
      </c>
      <c r="AC2660">
        <v>9.6489000000000207</v>
      </c>
      <c r="AD2660">
        <v>-1.1109915064960001</v>
      </c>
      <c r="AE2660">
        <v>-29.764900000000001</v>
      </c>
      <c r="AF2660">
        <v>-8.4051709299257205</v>
      </c>
      <c r="AG2660">
        <v>-1.1109915064960001</v>
      </c>
      <c r="AH2660">
        <v>30.098832221076702</v>
      </c>
      <c r="AI2660">
        <v>92.036081339052501</v>
      </c>
      <c r="AJ2660">
        <v>105.602518133326</v>
      </c>
      <c r="AK2660">
        <v>31.270127942835501</v>
      </c>
      <c r="AL2660">
        <v>91.627652843304801</v>
      </c>
      <c r="AM2660">
        <v>90.411713847727</v>
      </c>
      <c r="AN2660">
        <v>0.99999998434466997</v>
      </c>
    </row>
    <row r="2661" spans="1:40" x14ac:dyDescent="0.25">
      <c r="A2661" t="str">
        <f>"20190312161010511"</f>
        <v>20190312161010511</v>
      </c>
      <c r="B2661" t="str">
        <f>"1552378210508554"</f>
        <v>1552378210508554</v>
      </c>
      <c r="C2661" t="s">
        <v>40</v>
      </c>
      <c r="D2661">
        <v>5.2313409999999996</v>
      </c>
      <c r="E2661">
        <v>0.32230419999999999</v>
      </c>
      <c r="F2661" t="s">
        <v>59</v>
      </c>
      <c r="G2661">
        <v>-481.35489999999999</v>
      </c>
      <c r="H2661" s="1">
        <v>2.7710240000000001E-6</v>
      </c>
      <c r="I2661">
        <v>223.06299999999999</v>
      </c>
      <c r="J2661">
        <v>-494.15499999999997</v>
      </c>
      <c r="K2661">
        <v>1.1109880000000001</v>
      </c>
      <c r="L2661">
        <v>247.505</v>
      </c>
      <c r="M2661">
        <v>4.3156590000000002E-2</v>
      </c>
      <c r="N2661">
        <v>0</v>
      </c>
      <c r="O2661">
        <v>-0.99897519999999995</v>
      </c>
      <c r="P2661">
        <v>5.0221309999999998E-2</v>
      </c>
      <c r="Q2661">
        <v>-4.1858359999999997E-2</v>
      </c>
      <c r="R2661">
        <v>-0.99786079999999999</v>
      </c>
      <c r="S2661">
        <v>1.524994</v>
      </c>
      <c r="T2661">
        <v>-0.13227749999999999</v>
      </c>
      <c r="U2661">
        <v>-2.926758</v>
      </c>
      <c r="V2661">
        <v>-7.058913E-3</v>
      </c>
      <c r="W2661">
        <v>-2.822001E-2</v>
      </c>
      <c r="X2661">
        <v>0.99957680000000004</v>
      </c>
      <c r="Y2661">
        <v>-0.4230043</v>
      </c>
      <c r="Z2661">
        <v>4.0395630000000002E-2</v>
      </c>
      <c r="AA2661">
        <v>0.9052268</v>
      </c>
      <c r="AB2661">
        <v>14</v>
      </c>
      <c r="AC2661">
        <v>12.800099999999899</v>
      </c>
      <c r="AD2661">
        <v>-1.1109852289759901</v>
      </c>
      <c r="AE2661">
        <v>-24.442</v>
      </c>
      <c r="AF2661">
        <v>-11.714247327092201</v>
      </c>
      <c r="AG2661">
        <v>-1.1109852289759901</v>
      </c>
      <c r="AH2661">
        <v>24.9312604583039</v>
      </c>
      <c r="AI2661">
        <v>92.309587492202795</v>
      </c>
      <c r="AJ2661">
        <v>115.167039348586</v>
      </c>
      <c r="AK2661">
        <v>27.568562288575698</v>
      </c>
      <c r="AL2661">
        <v>91.617102173416498</v>
      </c>
      <c r="AM2661">
        <v>90.404610430884901</v>
      </c>
      <c r="AN2661">
        <v>0.99999998815768998</v>
      </c>
    </row>
    <row r="2662" spans="1:40" x14ac:dyDescent="0.25">
      <c r="A2662" t="str">
        <f>"20190312161010533"</f>
        <v>20190312161010533</v>
      </c>
      <c r="B2662" t="str">
        <f>"1552378210529052"</f>
        <v>1552378210529052</v>
      </c>
      <c r="C2662" t="s">
        <v>40</v>
      </c>
      <c r="D2662">
        <v>5.1820149999999998</v>
      </c>
      <c r="E2662">
        <v>0.323343099999999</v>
      </c>
      <c r="F2662" t="s">
        <v>59</v>
      </c>
      <c r="G2662">
        <v>-475.97460000000001</v>
      </c>
      <c r="H2662" s="1">
        <v>3.263494E-6</v>
      </c>
      <c r="I2662">
        <v>213.57640000000001</v>
      </c>
      <c r="J2662">
        <v>-494.14690000000002</v>
      </c>
      <c r="K2662">
        <v>1.1109869999999999</v>
      </c>
      <c r="L2662">
        <v>247.36969999999999</v>
      </c>
      <c r="M2662">
        <v>4.5098920000000001E-2</v>
      </c>
      <c r="N2662">
        <v>0</v>
      </c>
      <c r="O2662">
        <v>-0.99888929999999998</v>
      </c>
      <c r="P2662">
        <v>5.2445180000000001E-2</v>
      </c>
      <c r="Q2662">
        <v>-4.2008379999999998E-2</v>
      </c>
      <c r="R2662">
        <v>-0.99774010000000002</v>
      </c>
      <c r="S2662">
        <v>1.566559</v>
      </c>
      <c r="T2662">
        <v>-9.5730659999999995E-2</v>
      </c>
      <c r="U2662">
        <v>-2.9235380000000002</v>
      </c>
      <c r="V2662">
        <v>-7.342955E-3</v>
      </c>
      <c r="W2662">
        <v>-2.8374239999999998E-2</v>
      </c>
      <c r="X2662">
        <v>0.99957039999999997</v>
      </c>
      <c r="Y2662">
        <v>-0.43187429999999899</v>
      </c>
      <c r="Z2662">
        <v>2.911652E-2</v>
      </c>
      <c r="AA2662">
        <v>0.90146369999999998</v>
      </c>
      <c r="AB2662">
        <v>14</v>
      </c>
      <c r="AC2662">
        <v>18.1723</v>
      </c>
      <c r="AD2662">
        <v>-1.110983736506</v>
      </c>
      <c r="AE2662">
        <v>-33.793299999999903</v>
      </c>
      <c r="AF2662">
        <v>-16.615693104666999</v>
      </c>
      <c r="AG2662">
        <v>-1.110983736506</v>
      </c>
      <c r="AH2662">
        <v>34.549571430802303</v>
      </c>
      <c r="AI2662">
        <v>91.659917331112197</v>
      </c>
      <c r="AJ2662">
        <v>115.683984373824</v>
      </c>
      <c r="AK2662">
        <v>38.3534669653653</v>
      </c>
      <c r="AL2662">
        <v>91.625942421529402</v>
      </c>
      <c r="AM2662">
        <v>90.420893578674907</v>
      </c>
      <c r="AN2662">
        <v>1.0000000005199301</v>
      </c>
    </row>
    <row r="2663" spans="1:40" x14ac:dyDescent="0.25">
      <c r="A2663" t="str">
        <f>"20190312161010557"</f>
        <v>20190312161010557</v>
      </c>
      <c r="B2663" t="str">
        <f>"1552378210548571"</f>
        <v>1552378210548571</v>
      </c>
      <c r="C2663" t="s">
        <v>40</v>
      </c>
      <c r="D2663">
        <v>5.2098259999999996</v>
      </c>
      <c r="E2663">
        <v>0.32402140000000001</v>
      </c>
      <c r="F2663" t="s">
        <v>59</v>
      </c>
      <c r="G2663">
        <v>-476.30619999999999</v>
      </c>
      <c r="H2663" s="1">
        <v>3.1384389999999999E-6</v>
      </c>
      <c r="I2663">
        <v>214.0795</v>
      </c>
      <c r="J2663">
        <v>-494.13810000000001</v>
      </c>
      <c r="K2663">
        <v>1.110989</v>
      </c>
      <c r="L2663">
        <v>247.22900000000001</v>
      </c>
      <c r="M2663">
        <v>4.7120189999999999E-2</v>
      </c>
      <c r="N2663">
        <v>0</v>
      </c>
      <c r="O2663">
        <v>-0.99879620000000002</v>
      </c>
      <c r="P2663">
        <v>5.5081619999999998E-2</v>
      </c>
      <c r="Q2663">
        <v>-4.2622439999999998E-2</v>
      </c>
      <c r="R2663">
        <v>-0.9975716</v>
      </c>
      <c r="S2663">
        <v>1.565094</v>
      </c>
      <c r="T2663">
        <v>-9.7462530000000006E-2</v>
      </c>
      <c r="U2663">
        <v>-2.9204249999999998</v>
      </c>
      <c r="V2663">
        <v>-7.9619579999999999E-3</v>
      </c>
      <c r="W2663">
        <v>-2.8993379999999999E-2</v>
      </c>
      <c r="X2663">
        <v>0.99954790000000004</v>
      </c>
      <c r="Y2663">
        <v>-0.43008940000000001</v>
      </c>
      <c r="Z2663">
        <v>2.9682839999999999E-2</v>
      </c>
      <c r="AA2663">
        <v>0.90229820000000005</v>
      </c>
      <c r="AB2663">
        <v>14</v>
      </c>
      <c r="AC2663">
        <v>17.831900000000001</v>
      </c>
      <c r="AD2663">
        <v>-1.110985861561</v>
      </c>
      <c r="AE2663">
        <v>-33.149500000000003</v>
      </c>
      <c r="AF2663">
        <v>-16.2357895662416</v>
      </c>
      <c r="AG2663">
        <v>-1.110985861561</v>
      </c>
      <c r="AH2663">
        <v>33.923440094253301</v>
      </c>
      <c r="AI2663">
        <v>91.692071295928301</v>
      </c>
      <c r="AJ2663">
        <v>115.575819508118</v>
      </c>
      <c r="AK2663">
        <v>37.624924455103702</v>
      </c>
      <c r="AL2663">
        <v>91.661431123225697</v>
      </c>
      <c r="AM2663">
        <v>90.456383272938695</v>
      </c>
      <c r="AN2663">
        <v>1.0000000066267101</v>
      </c>
    </row>
    <row r="2664" spans="1:40" x14ac:dyDescent="0.25">
      <c r="A2664" t="str">
        <f>"20190312161010578"</f>
        <v>20190312161010578</v>
      </c>
      <c r="B2664" t="str">
        <f>"1552378210568599"</f>
        <v>1552378210568599</v>
      </c>
      <c r="C2664" t="s">
        <v>40</v>
      </c>
      <c r="D2664">
        <v>5.205832</v>
      </c>
      <c r="E2664">
        <v>0.324436</v>
      </c>
      <c r="F2664" t="s">
        <v>59</v>
      </c>
      <c r="G2664">
        <v>-476.68900000000002</v>
      </c>
      <c r="H2664" s="1">
        <v>2.9984419999999998E-6</v>
      </c>
      <c r="I2664">
        <v>214.76</v>
      </c>
      <c r="J2664">
        <v>-494.13040000000001</v>
      </c>
      <c r="K2664">
        <v>1.110986</v>
      </c>
      <c r="L2664">
        <v>247.10990000000001</v>
      </c>
      <c r="M2664">
        <v>4.8831279999999998E-2</v>
      </c>
      <c r="N2664">
        <v>0</v>
      </c>
      <c r="O2664">
        <v>-0.99871390000000004</v>
      </c>
      <c r="P2664">
        <v>5.7733569999999998E-2</v>
      </c>
      <c r="Q2664">
        <v>-4.1934550000000001E-2</v>
      </c>
      <c r="R2664">
        <v>-0.99745130000000004</v>
      </c>
      <c r="S2664">
        <v>1.5673520000000001</v>
      </c>
      <c r="T2664">
        <v>-9.9793549999999995E-2</v>
      </c>
      <c r="U2664">
        <v>-2.9165040000000002</v>
      </c>
      <c r="V2664">
        <v>-8.9067929999999997E-3</v>
      </c>
      <c r="W2664">
        <v>-2.8309959999999999E-2</v>
      </c>
      <c r="X2664">
        <v>0.99955950000000005</v>
      </c>
      <c r="Y2664">
        <v>-0.42957960000000001</v>
      </c>
      <c r="Z2664">
        <v>3.042278E-2</v>
      </c>
      <c r="AA2664">
        <v>0.9025164</v>
      </c>
      <c r="AB2664">
        <v>13</v>
      </c>
      <c r="AC2664">
        <v>17.441399999999899</v>
      </c>
      <c r="AD2664">
        <v>-1.110983001558</v>
      </c>
      <c r="AE2664">
        <v>-32.349899999999998</v>
      </c>
      <c r="AF2664">
        <v>-15.8262932334945</v>
      </c>
      <c r="AG2664">
        <v>-1.110983001558</v>
      </c>
      <c r="AH2664">
        <v>33.1327891903927</v>
      </c>
      <c r="AI2664">
        <v>91.733052939073602</v>
      </c>
      <c r="AJ2664">
        <v>115.532059993423</v>
      </c>
      <c r="AK2664">
        <v>36.735372058512098</v>
      </c>
      <c r="AL2664">
        <v>91.622257986726794</v>
      </c>
      <c r="AM2664">
        <v>90.510533031674697</v>
      </c>
      <c r="AN2664">
        <v>0.99999998941849799</v>
      </c>
    </row>
    <row r="2665" spans="1:40" x14ac:dyDescent="0.25">
      <c r="A2665" t="str">
        <f>"20190312161010600"</f>
        <v>20190312161010600</v>
      </c>
      <c r="B2665" t="str">
        <f>"1552378210588117"</f>
        <v>1552378210588117</v>
      </c>
      <c r="C2665" t="s">
        <v>40</v>
      </c>
      <c r="D2665">
        <v>5.1790750000000001</v>
      </c>
      <c r="E2665">
        <v>0.32470339999999998</v>
      </c>
      <c r="F2665" t="s">
        <v>59</v>
      </c>
      <c r="G2665">
        <v>-476.12240000000003</v>
      </c>
      <c r="H2665" s="1">
        <v>3.2049520000000002E-6</v>
      </c>
      <c r="I2665">
        <v>213.73650000000001</v>
      </c>
      <c r="J2665">
        <v>-494.12119999999999</v>
      </c>
      <c r="K2665">
        <v>1.1109830000000001</v>
      </c>
      <c r="L2665">
        <v>246.97110000000001</v>
      </c>
      <c r="M2665">
        <v>5.0824759999999997E-2</v>
      </c>
      <c r="N2665">
        <v>0</v>
      </c>
      <c r="O2665">
        <v>-0.99861440000000001</v>
      </c>
      <c r="P2665">
        <v>5.996228E-2</v>
      </c>
      <c r="Q2665">
        <v>-4.211517E-2</v>
      </c>
      <c r="R2665">
        <v>-0.99731190000000003</v>
      </c>
      <c r="S2665">
        <v>1.571625</v>
      </c>
      <c r="T2665">
        <v>-9.6959470000000006E-2</v>
      </c>
      <c r="U2665">
        <v>-2.9126129999999999</v>
      </c>
      <c r="V2665">
        <v>-9.1450579999999993E-3</v>
      </c>
      <c r="W2665">
        <v>-2.8494820000000001E-2</v>
      </c>
      <c r="X2665">
        <v>0.99955210000000005</v>
      </c>
      <c r="Y2665">
        <v>-0.42931780000000003</v>
      </c>
      <c r="Z2665">
        <v>2.958208E-2</v>
      </c>
      <c r="AA2665">
        <v>0.9026689</v>
      </c>
      <c r="AB2665">
        <v>13</v>
      </c>
      <c r="AC2665">
        <v>17.9987999999999</v>
      </c>
      <c r="AD2665">
        <v>-1.110979795048</v>
      </c>
      <c r="AE2665">
        <v>-33.2346</v>
      </c>
      <c r="AF2665">
        <v>-16.2721761946401</v>
      </c>
      <c r="AG2665">
        <v>-1.110979795048</v>
      </c>
      <c r="AH2665">
        <v>34.0770650729729</v>
      </c>
      <c r="AI2665">
        <v>91.685152456442495</v>
      </c>
      <c r="AJ2665">
        <v>115.524992386157</v>
      </c>
      <c r="AK2665">
        <v>37.779152428317502</v>
      </c>
      <c r="AL2665">
        <v>91.632853952332496</v>
      </c>
      <c r="AM2665">
        <v>90.524193393672505</v>
      </c>
      <c r="AN2665">
        <v>0.99999999373353199</v>
      </c>
    </row>
    <row r="2666" spans="1:40" x14ac:dyDescent="0.25">
      <c r="A2666" t="str">
        <f>"20190312161010623"</f>
        <v>20190312161010623</v>
      </c>
      <c r="B2666" t="str">
        <f>"1552378210618373"</f>
        <v>1552378210618373</v>
      </c>
      <c r="C2666" t="s">
        <v>40</v>
      </c>
      <c r="D2666">
        <v>5.1839149999999998</v>
      </c>
      <c r="E2666">
        <v>0.32520579999999999</v>
      </c>
      <c r="F2666" t="s">
        <v>59</v>
      </c>
      <c r="G2666">
        <v>-475.7355</v>
      </c>
      <c r="H2666" s="1">
        <v>3.3453139999999999E-6</v>
      </c>
      <c r="I2666">
        <v>213.02260000000001</v>
      </c>
      <c r="J2666">
        <v>-494.11239999999998</v>
      </c>
      <c r="K2666">
        <v>1.1109869999999999</v>
      </c>
      <c r="L2666">
        <v>246.84110000000001</v>
      </c>
      <c r="M2666">
        <v>5.2694100000000001E-2</v>
      </c>
      <c r="N2666">
        <v>0</v>
      </c>
      <c r="O2666">
        <v>-0.99851760000000001</v>
      </c>
      <c r="P2666">
        <v>6.1215949999999998E-2</v>
      </c>
      <c r="Q2666">
        <v>-4.2343560000000002E-2</v>
      </c>
      <c r="R2666">
        <v>-0.9972261</v>
      </c>
      <c r="S2666">
        <v>1.575623</v>
      </c>
      <c r="T2666">
        <v>-9.5208879999999996E-2</v>
      </c>
      <c r="U2666">
        <v>-2.9093170000000002</v>
      </c>
      <c r="V2666">
        <v>-8.5311080000000008E-3</v>
      </c>
      <c r="W2666">
        <v>-2.8725690000000002E-2</v>
      </c>
      <c r="X2666">
        <v>0.99955090000000002</v>
      </c>
      <c r="Y2666">
        <v>-0.42902129999999999</v>
      </c>
      <c r="Z2666">
        <v>2.906626E-2</v>
      </c>
      <c r="AA2666">
        <v>0.90282660000000003</v>
      </c>
      <c r="AB2666">
        <v>13</v>
      </c>
      <c r="AC2666">
        <v>18.3768999999999</v>
      </c>
      <c r="AD2666">
        <v>-1.1109836546859999</v>
      </c>
      <c r="AE2666">
        <v>-33.8185</v>
      </c>
      <c r="AF2666">
        <v>-16.5553694003262</v>
      </c>
      <c r="AG2666">
        <v>-1.1109836546859999</v>
      </c>
      <c r="AH2666">
        <v>34.711030700104097</v>
      </c>
      <c r="AI2666">
        <v>91.654759379463997</v>
      </c>
      <c r="AJ2666">
        <v>115.49873197236499</v>
      </c>
      <c r="AK2666">
        <v>38.472980036979301</v>
      </c>
      <c r="AL2666">
        <v>91.646087279716895</v>
      </c>
      <c r="AM2666">
        <v>90.489004226458206</v>
      </c>
      <c r="AN2666">
        <v>0.99999997338024604</v>
      </c>
    </row>
    <row r="2667" spans="1:40" x14ac:dyDescent="0.25">
      <c r="A2667" t="str">
        <f>"20190312161010645"</f>
        <v>20190312161010645</v>
      </c>
      <c r="B2667" t="str">
        <f>"1552378210638870"</f>
        <v>1552378210638870</v>
      </c>
      <c r="C2667" t="s">
        <v>40</v>
      </c>
      <c r="D2667">
        <v>5.1923969999999997</v>
      </c>
      <c r="E2667">
        <v>0.32556479999999999</v>
      </c>
      <c r="F2667" t="s">
        <v>59</v>
      </c>
      <c r="G2667">
        <v>-475.6551</v>
      </c>
      <c r="H2667" s="1">
        <v>3.3702319999999898E-6</v>
      </c>
      <c r="I2667">
        <v>212.77680000000001</v>
      </c>
      <c r="J2667">
        <v>-494.10320000000002</v>
      </c>
      <c r="K2667">
        <v>1.1109880000000001</v>
      </c>
      <c r="L2667">
        <v>246.70930000000001</v>
      </c>
      <c r="M2667">
        <v>5.4595890000000001E-2</v>
      </c>
      <c r="N2667">
        <v>0</v>
      </c>
      <c r="O2667">
        <v>-0.99841539999999995</v>
      </c>
      <c r="P2667">
        <v>6.1909560000000002E-2</v>
      </c>
      <c r="Q2667">
        <v>-4.1819229999999999E-2</v>
      </c>
      <c r="R2667">
        <v>-0.99720529999999996</v>
      </c>
      <c r="S2667">
        <v>1.5754699999999999</v>
      </c>
      <c r="T2667">
        <v>-9.4830750000000005E-2</v>
      </c>
      <c r="U2667">
        <v>-2.9076390000000001</v>
      </c>
      <c r="V2667">
        <v>-7.3229719999999996E-3</v>
      </c>
      <c r="W2667">
        <v>-2.820249E-2</v>
      </c>
      <c r="X2667">
        <v>0.9995754</v>
      </c>
      <c r="Y2667">
        <v>-0.42748320000000001</v>
      </c>
      <c r="Z2667">
        <v>2.8972419999999999E-2</v>
      </c>
      <c r="AA2667">
        <v>0.90355890000000005</v>
      </c>
      <c r="AB2667">
        <v>13</v>
      </c>
      <c r="AC2667">
        <v>18.4481</v>
      </c>
      <c r="AD2667">
        <v>-1.1109846297679999</v>
      </c>
      <c r="AE2667">
        <v>-33.932499999999997</v>
      </c>
      <c r="AF2667">
        <v>-16.554135736773301</v>
      </c>
      <c r="AG2667">
        <v>-1.1109846297679999</v>
      </c>
      <c r="AH2667">
        <v>34.8603216649229</v>
      </c>
      <c r="AI2667">
        <v>91.6490064705512</v>
      </c>
      <c r="AJ2667">
        <v>115.401660367567</v>
      </c>
      <c r="AK2667">
        <v>38.607197818813397</v>
      </c>
      <c r="AL2667">
        <v>91.616097943300602</v>
      </c>
      <c r="AM2667">
        <v>90.419746107119593</v>
      </c>
      <c r="AN2667">
        <v>0.99999999332313605</v>
      </c>
    </row>
    <row r="2668" spans="1:40" x14ac:dyDescent="0.25">
      <c r="A2668" t="str">
        <f>"20190312161010666"</f>
        <v>20190312161010666</v>
      </c>
      <c r="B2668" t="str">
        <f>"1552378210658896"</f>
        <v>1552378210658896</v>
      </c>
      <c r="C2668" t="s">
        <v>40</v>
      </c>
      <c r="D2668">
        <v>5.2214970000000003</v>
      </c>
      <c r="E2668">
        <v>0.32588129999999998</v>
      </c>
      <c r="F2668" t="s">
        <v>59</v>
      </c>
      <c r="G2668">
        <v>-475.2106</v>
      </c>
      <c r="H2668" s="1">
        <v>3.5260939999999998E-6</v>
      </c>
      <c r="I2668">
        <v>211.8329</v>
      </c>
      <c r="J2668">
        <v>-494.09410000000003</v>
      </c>
      <c r="K2668">
        <v>1.1109979999999999</v>
      </c>
      <c r="L2668">
        <v>246.5821</v>
      </c>
      <c r="M2668">
        <v>5.6441860000000003E-2</v>
      </c>
      <c r="N2668">
        <v>0</v>
      </c>
      <c r="O2668">
        <v>-0.99831309999999995</v>
      </c>
      <c r="P2668">
        <v>6.2598050000000002E-2</v>
      </c>
      <c r="Q2668">
        <v>-4.1251099999999999E-2</v>
      </c>
      <c r="R2668">
        <v>-0.99718660000000003</v>
      </c>
      <c r="S2668">
        <v>1.5745849999999999</v>
      </c>
      <c r="T2668">
        <v>-9.2593789999999995E-2</v>
      </c>
      <c r="U2668">
        <v>-2.9067379999999998</v>
      </c>
      <c r="V2668">
        <v>-6.1643649999999998E-3</v>
      </c>
      <c r="W2668">
        <v>-2.7635349999999999E-2</v>
      </c>
      <c r="X2668">
        <v>0.99959900000000002</v>
      </c>
      <c r="Y2668">
        <v>-0.42572470000000001</v>
      </c>
      <c r="Z2668">
        <v>2.830703E-2</v>
      </c>
      <c r="AA2668">
        <v>0.90440989999999999</v>
      </c>
      <c r="AB2668">
        <v>13</v>
      </c>
      <c r="AC2668">
        <v>18.883500000000002</v>
      </c>
      <c r="AD2668">
        <v>-1.110994473906</v>
      </c>
      <c r="AE2668">
        <v>-34.749200000000002</v>
      </c>
      <c r="AF2668">
        <v>-16.878581023646799</v>
      </c>
      <c r="AG2668">
        <v>-1.110994473906</v>
      </c>
      <c r="AH2668">
        <v>35.731516581008599</v>
      </c>
      <c r="AI2668">
        <v>91.610391190426895</v>
      </c>
      <c r="AJ2668">
        <v>115.28475587599701</v>
      </c>
      <c r="AK2668">
        <v>39.5330505181646</v>
      </c>
      <c r="AL2668">
        <v>91.583590632767894</v>
      </c>
      <c r="AM2668">
        <v>90.353329305746399</v>
      </c>
      <c r="AN2668">
        <v>0.99999993638323503</v>
      </c>
    </row>
    <row r="2669" spans="1:40" x14ac:dyDescent="0.25">
      <c r="A2669" t="str">
        <f>"20190312161010689"</f>
        <v>20190312161010689</v>
      </c>
      <c r="B2669" t="str">
        <f>"1552378210678416"</f>
        <v>1552378210678416</v>
      </c>
      <c r="C2669" t="s">
        <v>40</v>
      </c>
      <c r="D2669">
        <v>5.2693899999999996</v>
      </c>
      <c r="E2669">
        <v>0.32622719999999999</v>
      </c>
      <c r="F2669" t="s">
        <v>59</v>
      </c>
      <c r="G2669">
        <v>-475.3279</v>
      </c>
      <c r="H2669" s="1">
        <v>3.478768E-6</v>
      </c>
      <c r="I2669">
        <v>211.94059999999999</v>
      </c>
      <c r="J2669">
        <v>-494.084</v>
      </c>
      <c r="K2669">
        <v>1.1110009999999999</v>
      </c>
      <c r="L2669">
        <v>246.44739999999999</v>
      </c>
      <c r="M2669">
        <v>5.840737E-2</v>
      </c>
      <c r="N2669">
        <v>0</v>
      </c>
      <c r="O2669">
        <v>-0.99819990000000003</v>
      </c>
      <c r="P2669">
        <v>6.3867170000000001E-2</v>
      </c>
      <c r="Q2669">
        <v>-4.1066030000000003E-2</v>
      </c>
      <c r="R2669">
        <v>-0.99711340000000004</v>
      </c>
      <c r="S2669">
        <v>1.5741270000000001</v>
      </c>
      <c r="T2669">
        <v>-9.3191620000000003E-2</v>
      </c>
      <c r="U2669">
        <v>-2.9057770000000001</v>
      </c>
      <c r="V2669">
        <v>-5.4684900000000003E-3</v>
      </c>
      <c r="W2669">
        <v>-2.7452399999999998E-2</v>
      </c>
      <c r="X2669">
        <v>0.99960819999999995</v>
      </c>
      <c r="Y2669">
        <v>-0.42395480000000002</v>
      </c>
      <c r="Z2669">
        <v>2.8506320000000002E-2</v>
      </c>
      <c r="AA2669">
        <v>0.9052346</v>
      </c>
      <c r="AB2669">
        <v>13</v>
      </c>
      <c r="AC2669">
        <v>18.7561</v>
      </c>
      <c r="AD2669">
        <v>-1.110997521232</v>
      </c>
      <c r="AE2669">
        <v>-34.506799999999998</v>
      </c>
      <c r="AF2669">
        <v>-16.695076427882299</v>
      </c>
      <c r="AG2669">
        <v>-1.110997521232</v>
      </c>
      <c r="AH2669">
        <v>35.515057165501702</v>
      </c>
      <c r="AI2669">
        <v>91.621634780267996</v>
      </c>
      <c r="AJ2669">
        <v>115.177487975291</v>
      </c>
      <c r="AK2669">
        <v>39.259128593154898</v>
      </c>
      <c r="AL2669">
        <v>91.573104218091999</v>
      </c>
      <c r="AM2669">
        <v>90.313441077903406</v>
      </c>
      <c r="AN2669">
        <v>1.0000000460779299</v>
      </c>
    </row>
    <row r="2670" spans="1:40" x14ac:dyDescent="0.25">
      <c r="A2670" t="str">
        <f>"20190312161010711"</f>
        <v>20190312161010711</v>
      </c>
      <c r="B2670" t="str">
        <f>"1552378210708672"</f>
        <v>1552378210708672</v>
      </c>
      <c r="C2670" t="s">
        <v>40</v>
      </c>
      <c r="D2670">
        <v>5.2512169999999996</v>
      </c>
      <c r="E2670">
        <v>0.32629560000000002</v>
      </c>
      <c r="F2670" t="s">
        <v>59</v>
      </c>
      <c r="G2670">
        <v>-475.7955</v>
      </c>
      <c r="H2670" s="1">
        <v>3.306247E-6</v>
      </c>
      <c r="I2670">
        <v>212.73750000000001</v>
      </c>
      <c r="J2670">
        <v>-494.07429999999999</v>
      </c>
      <c r="K2670">
        <v>1.111005</v>
      </c>
      <c r="L2670">
        <v>246.31950000000001</v>
      </c>
      <c r="M2670">
        <v>6.028733E-2</v>
      </c>
      <c r="N2670">
        <v>0</v>
      </c>
      <c r="O2670">
        <v>-0.99808819999999998</v>
      </c>
      <c r="P2670">
        <v>6.5162650000000003E-2</v>
      </c>
      <c r="Q2670">
        <v>-4.1700729999999998E-2</v>
      </c>
      <c r="R2670">
        <v>-0.99700310000000003</v>
      </c>
      <c r="S2670">
        <v>1.5754090000000001</v>
      </c>
      <c r="T2670">
        <v>-9.5703479999999994E-2</v>
      </c>
      <c r="U2670">
        <v>-2.9038390000000001</v>
      </c>
      <c r="V2670">
        <v>-4.8849820000000004E-3</v>
      </c>
      <c r="W2670">
        <v>-2.808954E-2</v>
      </c>
      <c r="X2670">
        <v>0.99959350000000002</v>
      </c>
      <c r="Y2670">
        <v>-0.42279990000000001</v>
      </c>
      <c r="Z2670">
        <v>2.9291419999999999E-2</v>
      </c>
      <c r="AA2670">
        <v>0.90574960000000004</v>
      </c>
      <c r="AB2670">
        <v>13</v>
      </c>
      <c r="AC2670">
        <v>18.278799999999901</v>
      </c>
      <c r="AD2670">
        <v>-1.1110016937530001</v>
      </c>
      <c r="AE2670">
        <v>-33.581999999999901</v>
      </c>
      <c r="AF2670">
        <v>-16.207104616054998</v>
      </c>
      <c r="AG2670">
        <v>-1.1110016937530001</v>
      </c>
      <c r="AH2670">
        <v>34.593778153945301</v>
      </c>
      <c r="AI2670">
        <v>91.665819069567306</v>
      </c>
      <c r="AJ2670">
        <v>115.102980925954</v>
      </c>
      <c r="AK2670">
        <v>38.2182423950089</v>
      </c>
      <c r="AL2670">
        <v>91.609623768612494</v>
      </c>
      <c r="AM2670">
        <v>90.280000443664704</v>
      </c>
      <c r="AN2670">
        <v>1.0000000252743999</v>
      </c>
    </row>
    <row r="2671" spans="1:40" x14ac:dyDescent="0.25">
      <c r="A2671" t="str">
        <f>"20190312161010734"</f>
        <v>20190312161010734</v>
      </c>
      <c r="B2671" t="str">
        <f>"1552378210728192"</f>
        <v>1552378210728192</v>
      </c>
      <c r="C2671" t="s">
        <v>40</v>
      </c>
      <c r="D2671">
        <v>5.3069620000000004</v>
      </c>
      <c r="E2671">
        <v>0.3263818</v>
      </c>
      <c r="F2671" t="s">
        <v>59</v>
      </c>
      <c r="G2671">
        <v>-475.6551</v>
      </c>
      <c r="H2671" s="1">
        <v>3.3561969999999999E-6</v>
      </c>
      <c r="I2671">
        <v>212.45580000000001</v>
      </c>
      <c r="J2671">
        <v>-494.0641</v>
      </c>
      <c r="K2671">
        <v>1.111005</v>
      </c>
      <c r="L2671">
        <v>246.18879999999999</v>
      </c>
      <c r="M2671">
        <v>6.2227119999999997E-2</v>
      </c>
      <c r="N2671">
        <v>0</v>
      </c>
      <c r="O2671">
        <v>-0.99796899999999999</v>
      </c>
      <c r="P2671">
        <v>6.7947309999999997E-2</v>
      </c>
      <c r="Q2671">
        <v>-4.1949800000000002E-2</v>
      </c>
      <c r="R2671">
        <v>-0.99680650000000004</v>
      </c>
      <c r="S2671">
        <v>1.5784</v>
      </c>
      <c r="T2671">
        <v>-9.5205070000000003E-2</v>
      </c>
      <c r="U2671">
        <v>-2.9018860000000002</v>
      </c>
      <c r="V2671">
        <v>-5.7338409999999999E-3</v>
      </c>
      <c r="W2671">
        <v>-2.834327E-2</v>
      </c>
      <c r="X2671">
        <v>0.99958179999999996</v>
      </c>
      <c r="Y2671">
        <v>-0.42201660000000002</v>
      </c>
      <c r="Z2671">
        <v>2.9149700000000001E-2</v>
      </c>
      <c r="AA2671">
        <v>0.90611929999999996</v>
      </c>
      <c r="AB2671">
        <v>13</v>
      </c>
      <c r="AC2671">
        <v>18.408999999999899</v>
      </c>
      <c r="AD2671">
        <v>-1.1110016438029999</v>
      </c>
      <c r="AE2671">
        <v>-33.732999999999898</v>
      </c>
      <c r="AF2671">
        <v>-16.260424104128699</v>
      </c>
      <c r="AG2671">
        <v>-1.1110016438029999</v>
      </c>
      <c r="AH2671">
        <v>34.784186352038603</v>
      </c>
      <c r="AI2671">
        <v>91.657361350113504</v>
      </c>
      <c r="AJ2671">
        <v>115.054489675868</v>
      </c>
      <c r="AK2671">
        <v>38.413218257157403</v>
      </c>
      <c r="AL2671">
        <v>91.624167263995801</v>
      </c>
      <c r="AM2671">
        <v>90.328658731541594</v>
      </c>
      <c r="AN2671">
        <v>0.999999996389073</v>
      </c>
    </row>
    <row r="2672" spans="1:40" x14ac:dyDescent="0.25">
      <c r="A2672" t="str">
        <f>"20190312161010756"</f>
        <v>20190312161010756</v>
      </c>
      <c r="B2672" t="str">
        <f>"1552378210748689"</f>
        <v>1552378210748689</v>
      </c>
      <c r="C2672" t="s">
        <v>40</v>
      </c>
      <c r="D2672">
        <v>5.3052140000000003</v>
      </c>
      <c r="E2672">
        <v>0.32653359999999998</v>
      </c>
      <c r="F2672" t="s">
        <v>59</v>
      </c>
      <c r="G2672">
        <v>-475.4649</v>
      </c>
      <c r="H2672" s="1">
        <v>3.4297259999999998E-6</v>
      </c>
      <c r="I2672">
        <v>212.20820000000001</v>
      </c>
      <c r="J2672">
        <v>-494.05360000000002</v>
      </c>
      <c r="K2672">
        <v>1.1110150000000001</v>
      </c>
      <c r="L2672">
        <v>246.0582</v>
      </c>
      <c r="M2672">
        <v>6.418712E-2</v>
      </c>
      <c r="N2672">
        <v>0</v>
      </c>
      <c r="O2672">
        <v>-0.99784490000000003</v>
      </c>
      <c r="P2672">
        <v>7.0612960000000002E-2</v>
      </c>
      <c r="Q2672">
        <v>-4.1291979999999999E-2</v>
      </c>
      <c r="R2672">
        <v>-0.99664900000000001</v>
      </c>
      <c r="S2672">
        <v>1.585968</v>
      </c>
      <c r="T2672">
        <v>-9.4735979999999997E-2</v>
      </c>
      <c r="U2672">
        <v>-2.8975520000000001</v>
      </c>
      <c r="V2672">
        <v>-6.4422409999999996E-3</v>
      </c>
      <c r="W2672">
        <v>-2.7689390000000001E-2</v>
      </c>
      <c r="X2672">
        <v>0.99959580000000003</v>
      </c>
      <c r="Y2672">
        <v>-0.4226297</v>
      </c>
      <c r="Z2672">
        <v>2.9017310000000001E-2</v>
      </c>
      <c r="AA2672">
        <v>0.90583780000000003</v>
      </c>
      <c r="AB2672">
        <v>13</v>
      </c>
      <c r="AC2672">
        <v>18.588699999999999</v>
      </c>
      <c r="AD2672">
        <v>-1.11101157027399</v>
      </c>
      <c r="AE2672">
        <v>-33.849999999999902</v>
      </c>
      <c r="AF2672">
        <v>-16.363881329903101</v>
      </c>
      <c r="AG2672">
        <v>-1.11101157027399</v>
      </c>
      <c r="AH2672">
        <v>34.9445278060265</v>
      </c>
      <c r="AI2672">
        <v>91.6492593996621</v>
      </c>
      <c r="AJ2672">
        <v>115.092830777749</v>
      </c>
      <c r="AK2672">
        <v>38.602214735356696</v>
      </c>
      <c r="AL2672">
        <v>91.586688006508197</v>
      </c>
      <c r="AM2672">
        <v>90.369257363359196</v>
      </c>
      <c r="AN2672">
        <v>0.999999984082657</v>
      </c>
    </row>
    <row r="2673" spans="1:40" x14ac:dyDescent="0.25">
      <c r="A2673" t="str">
        <f>"20190312161010777"</f>
        <v>20190312161010777</v>
      </c>
      <c r="B2673" t="str">
        <f>"1552378210768208"</f>
        <v>1552378210768208</v>
      </c>
      <c r="C2673" t="s">
        <v>40</v>
      </c>
      <c r="D2673">
        <v>5.3256449999999997</v>
      </c>
      <c r="E2673">
        <v>0.32662419999999998</v>
      </c>
      <c r="F2673" t="s">
        <v>59</v>
      </c>
      <c r="G2673">
        <v>-474.58969999999999</v>
      </c>
      <c r="H2673" s="1">
        <v>3.7512819999999999E-6</v>
      </c>
      <c r="I2673">
        <v>210.68539999999999</v>
      </c>
      <c r="J2673">
        <v>-494.04289999999997</v>
      </c>
      <c r="K2673">
        <v>1.111022</v>
      </c>
      <c r="L2673">
        <v>245.9281</v>
      </c>
      <c r="M2673">
        <v>6.6162639999999995E-2</v>
      </c>
      <c r="N2673">
        <v>0</v>
      </c>
      <c r="O2673">
        <v>-0.99771600000000005</v>
      </c>
      <c r="P2673">
        <v>7.2498359999999998E-2</v>
      </c>
      <c r="Q2673">
        <v>-4.1124569999999999E-2</v>
      </c>
      <c r="R2673">
        <v>-0.99652050000000003</v>
      </c>
      <c r="S2673">
        <v>1.592163</v>
      </c>
      <c r="T2673">
        <v>-9.088135E-2</v>
      </c>
      <c r="U2673">
        <v>-2.8935089999999999</v>
      </c>
      <c r="V2673">
        <v>-6.3536139999999996E-3</v>
      </c>
      <c r="W2673">
        <v>-2.7524630000000001E-2</v>
      </c>
      <c r="X2673">
        <v>0.99960090000000001</v>
      </c>
      <c r="Y2673">
        <v>-0.42287449999999999</v>
      </c>
      <c r="Z2673">
        <v>2.785106E-2</v>
      </c>
      <c r="AA2673">
        <v>0.90576020000000002</v>
      </c>
      <c r="AB2673">
        <v>13</v>
      </c>
      <c r="AC2673">
        <v>19.453199999999899</v>
      </c>
      <c r="AD2673">
        <v>-1.111018248718</v>
      </c>
      <c r="AE2673">
        <v>-35.242699999999999</v>
      </c>
      <c r="AF2673">
        <v>-17.0656017737744</v>
      </c>
      <c r="AG2673">
        <v>-1.111018248718</v>
      </c>
      <c r="AH2673">
        <v>36.424912140087997</v>
      </c>
      <c r="AI2673">
        <v>91.582132882410505</v>
      </c>
      <c r="AJ2673">
        <v>115.10377437588799</v>
      </c>
      <c r="AK2673">
        <v>40.239822935286</v>
      </c>
      <c r="AL2673">
        <v>91.577244382082895</v>
      </c>
      <c r="AM2673">
        <v>90.364175707078005</v>
      </c>
      <c r="AN2673">
        <v>0.99999996647415301</v>
      </c>
    </row>
    <row r="2674" spans="1:40" x14ac:dyDescent="0.25">
      <c r="A2674" t="str">
        <f>"20190312161010801"</f>
        <v>20190312161010801</v>
      </c>
      <c r="B2674" t="str">
        <f>"1552378210788705"</f>
        <v>1552378210788705</v>
      </c>
      <c r="C2674" t="s">
        <v>40</v>
      </c>
      <c r="D2674">
        <v>5.3301669999999897</v>
      </c>
      <c r="E2674">
        <v>0.32670939999999998</v>
      </c>
      <c r="F2674" t="s">
        <v>59</v>
      </c>
      <c r="G2674">
        <v>-473.98379999999997</v>
      </c>
      <c r="H2674">
        <v>1.9352989999999999E-3</v>
      </c>
      <c r="I2674">
        <v>209.6163</v>
      </c>
      <c r="J2674">
        <v>-494.03179999999998</v>
      </c>
      <c r="K2674">
        <v>1.1110329999999999</v>
      </c>
      <c r="L2674">
        <v>245.79560000000001</v>
      </c>
      <c r="M2674">
        <v>6.8200640000000007E-2</v>
      </c>
      <c r="N2674">
        <v>0</v>
      </c>
      <c r="O2674">
        <v>-0.99757899999999999</v>
      </c>
      <c r="P2674">
        <v>7.4022809999999994E-2</v>
      </c>
      <c r="Q2674">
        <v>-4.1258690000000001E-2</v>
      </c>
      <c r="R2674">
        <v>-0.99640300000000004</v>
      </c>
      <c r="S2674">
        <v>1.596832</v>
      </c>
      <c r="T2674">
        <v>-8.8290099999999996E-2</v>
      </c>
      <c r="U2674">
        <v>-2.8906399999999999</v>
      </c>
      <c r="V2674">
        <v>-5.8402419999999998E-3</v>
      </c>
      <c r="W2674">
        <v>-2.76607E-2</v>
      </c>
      <c r="X2674">
        <v>0.9996003</v>
      </c>
      <c r="Y2674">
        <v>-0.4225351</v>
      </c>
      <c r="Z2674">
        <v>2.7067689999999998E-2</v>
      </c>
      <c r="AA2674">
        <v>0.90594229999999998</v>
      </c>
      <c r="AB2674">
        <v>13</v>
      </c>
      <c r="AC2674">
        <v>20.047999999999998</v>
      </c>
      <c r="AD2674">
        <v>-1.109097701</v>
      </c>
      <c r="AE2674">
        <v>-36.179299999999998</v>
      </c>
      <c r="AF2674">
        <v>-17.521035174669102</v>
      </c>
      <c r="AG2674">
        <v>-1.109097701</v>
      </c>
      <c r="AH2674">
        <v>37.435542392591501</v>
      </c>
      <c r="AI2674">
        <v>91.537066392445595</v>
      </c>
      <c r="AJ2674">
        <v>115.08110231211499</v>
      </c>
      <c r="AK2674">
        <v>41.347752121848998</v>
      </c>
      <c r="AL2674">
        <v>91.585043549327594</v>
      </c>
      <c r="AM2674">
        <v>90.334751210560995</v>
      </c>
      <c r="AN2674">
        <v>0.99999999125559902</v>
      </c>
    </row>
    <row r="2675" spans="1:40" x14ac:dyDescent="0.25">
      <c r="A2675" t="str">
        <f>"20190312161010823"</f>
        <v>20190312161010823</v>
      </c>
      <c r="B2675" t="str">
        <f>"1552378210818960"</f>
        <v>1552378210818960</v>
      </c>
      <c r="C2675" t="s">
        <v>40</v>
      </c>
      <c r="D2675">
        <v>5.3325469999999999</v>
      </c>
      <c r="E2675">
        <v>0.32687509999999997</v>
      </c>
      <c r="F2675" t="s">
        <v>59</v>
      </c>
      <c r="G2675">
        <v>-473.98160000000001</v>
      </c>
      <c r="H2675">
        <v>9.9777560000000008E-3</v>
      </c>
      <c r="I2675">
        <v>209.6163</v>
      </c>
      <c r="J2675">
        <v>-494.02050000000003</v>
      </c>
      <c r="K2675">
        <v>1.1110409999999999</v>
      </c>
      <c r="L2675">
        <v>245.6662</v>
      </c>
      <c r="M2675">
        <v>7.0216100000000004E-2</v>
      </c>
      <c r="N2675">
        <v>0</v>
      </c>
      <c r="O2675">
        <v>-0.99743890000000002</v>
      </c>
      <c r="P2675">
        <v>7.5098680000000001E-2</v>
      </c>
      <c r="Q2675">
        <v>-4.144109E-2</v>
      </c>
      <c r="R2675">
        <v>-0.99631479999999994</v>
      </c>
      <c r="S2675">
        <v>1.6006469999999999</v>
      </c>
      <c r="T2675">
        <v>-8.78998E-2</v>
      </c>
      <c r="U2675">
        <v>-2.8882750000000001</v>
      </c>
      <c r="V2675">
        <v>-4.8997900000000002E-3</v>
      </c>
      <c r="W2675">
        <v>-2.7844130000000002E-2</v>
      </c>
      <c r="X2675">
        <v>0.9996003</v>
      </c>
      <c r="Y2675">
        <v>-0.42193520000000001</v>
      </c>
      <c r="Z2675">
        <v>2.6957470000000001E-2</v>
      </c>
      <c r="AA2675">
        <v>0.90622510000000001</v>
      </c>
      <c r="AB2675">
        <v>13</v>
      </c>
      <c r="AC2675">
        <v>20.038900000000002</v>
      </c>
      <c r="AD2675">
        <v>-1.1010632440000001</v>
      </c>
      <c r="AE2675">
        <v>-36.049900000000001</v>
      </c>
      <c r="AF2675">
        <v>-17.445480227960701</v>
      </c>
      <c r="AG2675">
        <v>-1.1010632440000001</v>
      </c>
      <c r="AH2675">
        <v>37.341477364892199</v>
      </c>
      <c r="AI2675">
        <v>91.530274513594605</v>
      </c>
      <c r="AJ2675">
        <v>115.041404558157</v>
      </c>
      <c r="AK2675">
        <v>41.230365659841198</v>
      </c>
      <c r="AL2675">
        <v>91.595557299451798</v>
      </c>
      <c r="AM2675">
        <v>90.280847293757503</v>
      </c>
      <c r="AN2675">
        <v>1.00000003163879</v>
      </c>
    </row>
    <row r="2676" spans="1:40" x14ac:dyDescent="0.25">
      <c r="A2676" t="str">
        <f>"20190312161010847"</f>
        <v>20190312161010847</v>
      </c>
      <c r="B2676" t="str">
        <f>"1552378210838480"</f>
        <v>1552378210838480</v>
      </c>
      <c r="C2676" t="s">
        <v>40</v>
      </c>
      <c r="D2676">
        <v>5.3328319999999998</v>
      </c>
      <c r="E2676">
        <v>0.32689299999999999</v>
      </c>
      <c r="F2676" t="s">
        <v>59</v>
      </c>
      <c r="G2676">
        <v>-474.08069999999998</v>
      </c>
      <c r="H2676" s="1">
        <v>3.9362039999999998E-6</v>
      </c>
      <c r="I2676">
        <v>209.75280000000001</v>
      </c>
      <c r="J2676">
        <v>-494.00850000000003</v>
      </c>
      <c r="K2676">
        <v>1.1110500000000001</v>
      </c>
      <c r="L2676">
        <v>245.53200000000001</v>
      </c>
      <c r="M2676">
        <v>7.2328870000000003E-2</v>
      </c>
      <c r="N2676">
        <v>0</v>
      </c>
      <c r="O2676">
        <v>-0.99728830000000002</v>
      </c>
      <c r="P2676">
        <v>7.6795059999999998E-2</v>
      </c>
      <c r="Q2676">
        <v>-4.1649360000000003E-2</v>
      </c>
      <c r="R2676">
        <v>-0.99617730000000004</v>
      </c>
      <c r="S2676">
        <v>1.602692</v>
      </c>
      <c r="T2676">
        <v>-8.9301350000000002E-2</v>
      </c>
      <c r="U2676">
        <v>-2.8865970000000001</v>
      </c>
      <c r="V2676">
        <v>-4.484605E-3</v>
      </c>
      <c r="W2676">
        <v>-2.805467E-2</v>
      </c>
      <c r="X2676">
        <v>0.99959640000000005</v>
      </c>
      <c r="Y2676">
        <v>-0.42072290000000001</v>
      </c>
      <c r="Z2676">
        <v>2.739813E-2</v>
      </c>
      <c r="AA2676">
        <v>0.90677540000000001</v>
      </c>
      <c r="AB2676">
        <v>13</v>
      </c>
      <c r="AC2676">
        <v>19.927800000000001</v>
      </c>
      <c r="AD2676">
        <v>-1.111046063796</v>
      </c>
      <c r="AE2676">
        <v>-35.779200000000003</v>
      </c>
      <c r="AF2676">
        <v>-17.274774467360501</v>
      </c>
      <c r="AG2676">
        <v>-1.111046063796</v>
      </c>
      <c r="AH2676">
        <v>37.099655102208899</v>
      </c>
      <c r="AI2676">
        <v>91.555128444451</v>
      </c>
      <c r="AJ2676">
        <v>114.96817827433</v>
      </c>
      <c r="AK2676">
        <v>40.939426778557902</v>
      </c>
      <c r="AL2676">
        <v>91.607625005964394</v>
      </c>
      <c r="AM2676">
        <v>90.257050961122204</v>
      </c>
      <c r="AN2676">
        <v>1.00000006954188</v>
      </c>
    </row>
    <row r="2677" spans="1:40" x14ac:dyDescent="0.25">
      <c r="A2677" t="str">
        <f>"20190312161010868"</f>
        <v>20190312161010868</v>
      </c>
      <c r="B2677" t="str">
        <f>"1552378210858976"</f>
        <v>1552378210858976</v>
      </c>
      <c r="C2677" t="s">
        <v>40</v>
      </c>
      <c r="D2677">
        <v>5.3342320000000001</v>
      </c>
      <c r="E2677">
        <v>0.32702399999999998</v>
      </c>
      <c r="F2677" t="s">
        <v>59</v>
      </c>
      <c r="G2677">
        <v>-474.31830000000002</v>
      </c>
      <c r="H2677" s="1">
        <v>3.850706E-6</v>
      </c>
      <c r="I2677">
        <v>210.20660000000001</v>
      </c>
      <c r="J2677">
        <v>-493.99709999999999</v>
      </c>
      <c r="K2677">
        <v>1.111054</v>
      </c>
      <c r="L2677">
        <v>245.40729999999999</v>
      </c>
      <c r="M2677">
        <v>7.4314199999999997E-2</v>
      </c>
      <c r="N2677">
        <v>0</v>
      </c>
      <c r="O2677">
        <v>-0.99714210000000003</v>
      </c>
      <c r="P2677">
        <v>7.8067010000000006E-2</v>
      </c>
      <c r="Q2677">
        <v>-4.1771959999999997E-2</v>
      </c>
      <c r="R2677">
        <v>-0.99607279999999998</v>
      </c>
      <c r="S2677">
        <v>1.6074219999999999</v>
      </c>
      <c r="T2677">
        <v>-9.0700749999999997E-2</v>
      </c>
      <c r="U2677">
        <v>-2.883804</v>
      </c>
      <c r="V2677">
        <v>-3.7710539999999998E-3</v>
      </c>
      <c r="W2677">
        <v>-2.8180360000000002E-2</v>
      </c>
      <c r="X2677">
        <v>0.99959580000000003</v>
      </c>
      <c r="Y2677">
        <v>-0.42041909999999999</v>
      </c>
      <c r="Z2677">
        <v>2.7836E-2</v>
      </c>
      <c r="AA2677">
        <v>0.90690289999999996</v>
      </c>
      <c r="AB2677">
        <v>13</v>
      </c>
      <c r="AC2677">
        <v>19.678799999999899</v>
      </c>
      <c r="AD2677">
        <v>-1.1110501492939999</v>
      </c>
      <c r="AE2677">
        <v>-35.200699999999898</v>
      </c>
      <c r="AF2677">
        <v>-16.995321867791102</v>
      </c>
      <c r="AG2677">
        <v>-1.1110501492939999</v>
      </c>
      <c r="AH2677">
        <v>36.538163989403898</v>
      </c>
      <c r="AI2677">
        <v>91.5793178080921</v>
      </c>
      <c r="AJ2677">
        <v>114.944971415952</v>
      </c>
      <c r="AK2677">
        <v>40.312688145801403</v>
      </c>
      <c r="AL2677">
        <v>91.614829378323705</v>
      </c>
      <c r="AM2677">
        <v>90.216151822051202</v>
      </c>
      <c r="AN2677">
        <v>1.0000000584578099</v>
      </c>
    </row>
    <row r="2678" spans="1:40" x14ac:dyDescent="0.25">
      <c r="A2678" t="str">
        <f>"20190312161010892"</f>
        <v>20190312161010892</v>
      </c>
      <c r="B2678" t="str">
        <f>"1552378210888256"</f>
        <v>1552378210888256</v>
      </c>
      <c r="C2678" t="s">
        <v>40</v>
      </c>
      <c r="D2678">
        <v>5.3378110000000003</v>
      </c>
      <c r="E2678">
        <v>0.32714549999999998</v>
      </c>
      <c r="F2678" t="s">
        <v>59</v>
      </c>
      <c r="G2678">
        <v>-474.56720000000001</v>
      </c>
      <c r="H2678" s="1">
        <v>3.759096E-6</v>
      </c>
      <c r="I2678">
        <v>210.63640000000001</v>
      </c>
      <c r="J2678">
        <v>-493.9846</v>
      </c>
      <c r="K2678">
        <v>1.111056</v>
      </c>
      <c r="L2678">
        <v>245.27420000000001</v>
      </c>
      <c r="M2678">
        <v>7.6451379999999999E-2</v>
      </c>
      <c r="N2678">
        <v>0</v>
      </c>
      <c r="O2678">
        <v>-0.9969808</v>
      </c>
      <c r="P2678">
        <v>7.9915E-2</v>
      </c>
      <c r="Q2678">
        <v>-4.1145670000000002E-2</v>
      </c>
      <c r="R2678">
        <v>-0.99595239999999996</v>
      </c>
      <c r="S2678">
        <v>1.6103209999999999</v>
      </c>
      <c r="T2678">
        <v>-9.2082259999999999E-2</v>
      </c>
      <c r="U2678">
        <v>-2.8817599999999999</v>
      </c>
      <c r="V2678">
        <v>-3.4827439999999999E-3</v>
      </c>
      <c r="W2678">
        <v>-2.756134E-2</v>
      </c>
      <c r="X2678">
        <v>0.99961409999999995</v>
      </c>
      <c r="Y2678">
        <v>-0.41943760000000002</v>
      </c>
      <c r="Z2678">
        <v>2.8270279999999998E-2</v>
      </c>
      <c r="AA2678">
        <v>0.90734389999999998</v>
      </c>
      <c r="AB2678">
        <v>13</v>
      </c>
      <c r="AC2678">
        <v>19.417399999999901</v>
      </c>
      <c r="AD2678">
        <v>-1.111052240904</v>
      </c>
      <c r="AE2678">
        <v>-34.637799999999999</v>
      </c>
      <c r="AF2678">
        <v>-16.699135676217999</v>
      </c>
      <c r="AG2678">
        <v>-1.111052240904</v>
      </c>
      <c r="AH2678">
        <v>35.992853475183203</v>
      </c>
      <c r="AI2678">
        <v>91.603959733338002</v>
      </c>
      <c r="AJ2678">
        <v>114.88927199058899</v>
      </c>
      <c r="AK2678">
        <v>39.693589793577097</v>
      </c>
      <c r="AL2678">
        <v>91.579348371883</v>
      </c>
      <c r="AM2678">
        <v>90.199622759329799</v>
      </c>
      <c r="AN2678">
        <v>1.00000005294358</v>
      </c>
    </row>
    <row r="2679" spans="1:40" x14ac:dyDescent="0.25">
      <c r="A2679" t="str">
        <f>"20190312161010913"</f>
        <v>20190312161010913</v>
      </c>
      <c r="B2679" t="str">
        <f>"1552378210908752"</f>
        <v>1552378210908752</v>
      </c>
      <c r="C2679" t="s">
        <v>40</v>
      </c>
      <c r="D2679">
        <v>5.3125720000000003</v>
      </c>
      <c r="E2679">
        <v>0.32718340000000001</v>
      </c>
      <c r="F2679" t="s">
        <v>59</v>
      </c>
      <c r="G2679">
        <v>-474.1576</v>
      </c>
      <c r="H2679" s="1">
        <v>3.9096270000000003E-6</v>
      </c>
      <c r="I2679">
        <v>209.92439999999999</v>
      </c>
      <c r="J2679">
        <v>-493.97210000000001</v>
      </c>
      <c r="K2679">
        <v>1.111056</v>
      </c>
      <c r="L2679">
        <v>245.14420000000001</v>
      </c>
      <c r="M2679">
        <v>7.8552129999999998E-2</v>
      </c>
      <c r="N2679">
        <v>0</v>
      </c>
      <c r="O2679">
        <v>-0.99681750000000002</v>
      </c>
      <c r="P2679">
        <v>8.2229199999999905E-2</v>
      </c>
      <c r="Q2679">
        <v>-4.0871400000000002E-2</v>
      </c>
      <c r="R2679">
        <v>-0.99577519999999997</v>
      </c>
      <c r="S2679">
        <v>1.614716</v>
      </c>
      <c r="T2679">
        <v>-9.0484259999999997E-2</v>
      </c>
      <c r="U2679">
        <v>-2.8788909999999999</v>
      </c>
      <c r="V2679">
        <v>-3.6982170000000002E-3</v>
      </c>
      <c r="W2679">
        <v>-2.7301229999999999E-2</v>
      </c>
      <c r="X2679">
        <v>0.99962039999999996</v>
      </c>
      <c r="Y2679">
        <v>-0.41897040000000002</v>
      </c>
      <c r="Z2679">
        <v>2.779065E-2</v>
      </c>
      <c r="AA2679">
        <v>0.90757449999999995</v>
      </c>
      <c r="AB2679">
        <v>13</v>
      </c>
      <c r="AC2679">
        <v>19.814499999999999</v>
      </c>
      <c r="AD2679">
        <v>-1.1110520903729999</v>
      </c>
      <c r="AE2679">
        <v>-35.219799999999999</v>
      </c>
      <c r="AF2679">
        <v>-16.973586067109299</v>
      </c>
      <c r="AG2679">
        <v>-1.1110520903729999</v>
      </c>
      <c r="AH2679">
        <v>36.639869286957698</v>
      </c>
      <c r="AI2679">
        <v>91.576072120284095</v>
      </c>
      <c r="AJ2679">
        <v>114.856145367336</v>
      </c>
      <c r="AK2679">
        <v>40.3957557435238</v>
      </c>
      <c r="AL2679">
        <v>91.564439657117703</v>
      </c>
      <c r="AM2679">
        <v>90.211971723560694</v>
      </c>
      <c r="AN2679">
        <v>0.99999998903232501</v>
      </c>
    </row>
    <row r="2680" spans="1:40" x14ac:dyDescent="0.25">
      <c r="A2680" t="str">
        <f>"20190312161010936"</f>
        <v>20190312161010936</v>
      </c>
      <c r="B2680" t="str">
        <f>"1552378210928274"</f>
        <v>1552378210928274</v>
      </c>
      <c r="C2680" t="s">
        <v>40</v>
      </c>
      <c r="D2680">
        <v>5.3096589999999999</v>
      </c>
      <c r="E2680">
        <v>0.32710620000000001</v>
      </c>
      <c r="F2680" t="s">
        <v>59</v>
      </c>
      <c r="G2680">
        <v>-473.94639999999998</v>
      </c>
      <c r="H2680">
        <v>7.2472909999999899E-3</v>
      </c>
      <c r="I2680">
        <v>209.6163</v>
      </c>
      <c r="J2680">
        <v>-493.9597</v>
      </c>
      <c r="K2680">
        <v>1.111049</v>
      </c>
      <c r="L2680">
        <v>245.01820000000001</v>
      </c>
      <c r="M2680">
        <v>8.0600279999999996E-2</v>
      </c>
      <c r="N2680">
        <v>0</v>
      </c>
      <c r="O2680">
        <v>-0.99665429999999999</v>
      </c>
      <c r="P2680">
        <v>8.5479009999999994E-2</v>
      </c>
      <c r="Q2680">
        <v>-4.0101610000000003E-2</v>
      </c>
      <c r="R2680">
        <v>-0.99553290000000005</v>
      </c>
      <c r="S2680">
        <v>1.6206670000000001</v>
      </c>
      <c r="T2680">
        <v>-8.9330430000000002E-2</v>
      </c>
      <c r="U2680">
        <v>-2.8752439999999999</v>
      </c>
      <c r="V2680">
        <v>-4.905207E-3</v>
      </c>
      <c r="W2680">
        <v>-2.655151E-2</v>
      </c>
      <c r="X2680">
        <v>0.99963539999999995</v>
      </c>
      <c r="Y2680">
        <v>-0.41902719999999999</v>
      </c>
      <c r="Z2680">
        <v>2.744653E-2</v>
      </c>
      <c r="AA2680">
        <v>0.90755870000000005</v>
      </c>
      <c r="AB2680">
        <v>13</v>
      </c>
      <c r="AC2680">
        <v>20.013300000000001</v>
      </c>
      <c r="AD2680">
        <v>-1.1038017090000001</v>
      </c>
      <c r="AE2680">
        <v>-35.401899999999998</v>
      </c>
      <c r="AF2680">
        <v>-17.081925220675199</v>
      </c>
      <c r="AG2680">
        <v>-1.1038017090000001</v>
      </c>
      <c r="AH2680">
        <v>36.872760473468901</v>
      </c>
      <c r="AI2680">
        <v>91.555900252595606</v>
      </c>
      <c r="AJ2680">
        <v>114.85672266451699</v>
      </c>
      <c r="AK2680">
        <v>40.652318659473103</v>
      </c>
      <c r="AL2680">
        <v>91.521468284300994</v>
      </c>
      <c r="AM2680">
        <v>90.281147909552701</v>
      </c>
      <c r="AN2680">
        <v>0.99999998833607595</v>
      </c>
    </row>
    <row r="2681" spans="1:40" x14ac:dyDescent="0.25">
      <c r="A2681" t="str">
        <f>"20190312161010958"</f>
        <v>20190312161010958</v>
      </c>
      <c r="B2681" t="str">
        <f>"1552378210948768"</f>
        <v>1552378210948768</v>
      </c>
      <c r="C2681" t="s">
        <v>40</v>
      </c>
      <c r="D2681">
        <v>5.3217230000000004</v>
      </c>
      <c r="E2681">
        <v>0.32682899999999998</v>
      </c>
      <c r="F2681" t="s">
        <v>59</v>
      </c>
      <c r="G2681">
        <v>-473.84010000000001</v>
      </c>
      <c r="H2681">
        <v>2.9236720000000001E-2</v>
      </c>
      <c r="I2681">
        <v>209.6163</v>
      </c>
      <c r="J2681">
        <v>-493.94720000000001</v>
      </c>
      <c r="K2681">
        <v>1.111046</v>
      </c>
      <c r="L2681">
        <v>244.8937</v>
      </c>
      <c r="M2681">
        <v>8.2632780000000003E-2</v>
      </c>
      <c r="N2681">
        <v>0</v>
      </c>
      <c r="O2681">
        <v>-0.99648829999999999</v>
      </c>
      <c r="P2681">
        <v>8.8509379999999999E-2</v>
      </c>
      <c r="Q2681">
        <v>-3.9750769999999998E-2</v>
      </c>
      <c r="R2681">
        <v>-0.99528190000000005</v>
      </c>
      <c r="S2681">
        <v>1.6310420000000001</v>
      </c>
      <c r="T2681">
        <v>-8.7699170000000007E-2</v>
      </c>
      <c r="U2681">
        <v>-2.8699189999999999</v>
      </c>
      <c r="V2681">
        <v>-5.9091090000000001E-3</v>
      </c>
      <c r="W2681">
        <v>-2.6221589999999999E-2</v>
      </c>
      <c r="X2681">
        <v>0.99963869999999999</v>
      </c>
      <c r="Y2681">
        <v>-0.42038589999999998</v>
      </c>
      <c r="Z2681">
        <v>2.6950950000000001E-2</v>
      </c>
      <c r="AA2681">
        <v>0.906945</v>
      </c>
      <c r="AB2681">
        <v>13</v>
      </c>
      <c r="AC2681">
        <v>20.107099999999999</v>
      </c>
      <c r="AD2681">
        <v>-1.0818092800000001</v>
      </c>
      <c r="AE2681">
        <v>-35.2774</v>
      </c>
      <c r="AF2681">
        <v>-17.110840887216501</v>
      </c>
      <c r="AG2681">
        <v>-1.0818092800000001</v>
      </c>
      <c r="AH2681">
        <v>36.792273813533598</v>
      </c>
      <c r="AI2681">
        <v>91.527199916687294</v>
      </c>
      <c r="AJ2681">
        <v>114.941543557909</v>
      </c>
      <c r="AK2681">
        <v>40.590917697878702</v>
      </c>
      <c r="AL2681">
        <v>91.502558643888406</v>
      </c>
      <c r="AM2681">
        <v>90.338685430016596</v>
      </c>
      <c r="AN2681">
        <v>1.0000000099444899</v>
      </c>
    </row>
    <row r="2682" spans="1:40" x14ac:dyDescent="0.25">
      <c r="A2682" t="str">
        <f>"20190312161010980"</f>
        <v>20190312161010980</v>
      </c>
      <c r="B2682" t="str">
        <f>"1552378210968289"</f>
        <v>1552378210968289</v>
      </c>
      <c r="C2682" t="s">
        <v>40</v>
      </c>
      <c r="D2682">
        <v>5.382091</v>
      </c>
      <c r="E2682">
        <v>0.32649250000000002</v>
      </c>
      <c r="F2682" t="s">
        <v>59</v>
      </c>
      <c r="G2682">
        <v>-473.72660000000002</v>
      </c>
      <c r="H2682">
        <v>4.7467490000000001E-2</v>
      </c>
      <c r="I2682">
        <v>209.6163</v>
      </c>
      <c r="J2682">
        <v>-493.9341</v>
      </c>
      <c r="K2682">
        <v>1.111043</v>
      </c>
      <c r="L2682">
        <v>244.76589999999999</v>
      </c>
      <c r="M2682">
        <v>8.4725040000000001E-2</v>
      </c>
      <c r="N2682">
        <v>0</v>
      </c>
      <c r="O2682">
        <v>-0.99631259999999999</v>
      </c>
      <c r="P2682">
        <v>9.197922E-2</v>
      </c>
      <c r="Q2682">
        <v>-3.928239E-2</v>
      </c>
      <c r="R2682">
        <v>-0.99498620000000004</v>
      </c>
      <c r="S2682">
        <v>1.6420589999999999</v>
      </c>
      <c r="T2682">
        <v>-8.6369870000000001E-2</v>
      </c>
      <c r="U2682">
        <v>-2.8647610000000001</v>
      </c>
      <c r="V2682">
        <v>-7.2948529999999996E-3</v>
      </c>
      <c r="W2682">
        <v>-2.577407E-2</v>
      </c>
      <c r="X2682">
        <v>0.99964120000000001</v>
      </c>
      <c r="Y2682">
        <v>-0.42181629999999998</v>
      </c>
      <c r="Z2682">
        <v>2.6544129999999999E-2</v>
      </c>
      <c r="AA2682">
        <v>0.90629269999999995</v>
      </c>
      <c r="AB2682">
        <v>13</v>
      </c>
      <c r="AC2682">
        <v>20.2074999999999</v>
      </c>
      <c r="AD2682">
        <v>-1.0635755099999999</v>
      </c>
      <c r="AE2682">
        <v>-35.1495999999999</v>
      </c>
      <c r="AF2682">
        <v>-17.144706395952198</v>
      </c>
      <c r="AG2682">
        <v>-1.0635755099999999</v>
      </c>
      <c r="AH2682">
        <v>36.7101678884382</v>
      </c>
      <c r="AI2682">
        <v>91.503697767459897</v>
      </c>
      <c r="AJ2682">
        <v>115.03393023622699</v>
      </c>
      <c r="AK2682">
        <v>40.530341432884498</v>
      </c>
      <c r="AL2682">
        <v>91.476908947563302</v>
      </c>
      <c r="AM2682">
        <v>90.41810688676</v>
      </c>
      <c r="AN2682">
        <v>1.00000002315104</v>
      </c>
    </row>
    <row r="2683" spans="1:40" x14ac:dyDescent="0.25">
      <c r="A2683" t="str">
        <f>"20190312161011005"</f>
        <v>20190312161011005</v>
      </c>
      <c r="B2683" t="str">
        <f>"1552378210998545"</f>
        <v>1552378210998545</v>
      </c>
      <c r="C2683" t="s">
        <v>40</v>
      </c>
      <c r="D2683">
        <v>5.314127</v>
      </c>
      <c r="E2683">
        <v>0.32619290000000001</v>
      </c>
      <c r="F2683" t="s">
        <v>59</v>
      </c>
      <c r="G2683">
        <v>-473.2885</v>
      </c>
      <c r="H2683">
        <v>7.9999920000000002E-2</v>
      </c>
      <c r="I2683">
        <v>209.08359999999999</v>
      </c>
      <c r="J2683">
        <v>-493.9196</v>
      </c>
      <c r="K2683">
        <v>1.111035</v>
      </c>
      <c r="L2683">
        <v>244.6277</v>
      </c>
      <c r="M2683">
        <v>8.6993440000000005E-2</v>
      </c>
      <c r="N2683">
        <v>0</v>
      </c>
      <c r="O2683">
        <v>-0.99611740000000004</v>
      </c>
      <c r="P2683">
        <v>9.4083589999999995E-2</v>
      </c>
      <c r="Q2683">
        <v>-3.9217870000000002E-2</v>
      </c>
      <c r="R2683">
        <v>-0.99479150000000005</v>
      </c>
      <c r="S2683">
        <v>1.654175</v>
      </c>
      <c r="T2683">
        <v>-8.260953E-2</v>
      </c>
      <c r="U2683">
        <v>-2.8589479999999998</v>
      </c>
      <c r="V2683">
        <v>-7.1327949999999999E-3</v>
      </c>
      <c r="W2683">
        <v>-2.572754E-2</v>
      </c>
      <c r="X2683">
        <v>0.99964359999999997</v>
      </c>
      <c r="Y2683">
        <v>-0.42344369999999998</v>
      </c>
      <c r="Z2683">
        <v>2.5391159999999999E-2</v>
      </c>
      <c r="AA2683">
        <v>0.90556650000000005</v>
      </c>
      <c r="AB2683">
        <v>13</v>
      </c>
      <c r="AC2683">
        <v>20.6311</v>
      </c>
      <c r="AD2683">
        <v>-1.0310350800000001</v>
      </c>
      <c r="AE2683">
        <v>-35.5441</v>
      </c>
      <c r="AF2683">
        <v>-17.4495031542546</v>
      </c>
      <c r="AG2683">
        <v>-1.0310350800000001</v>
      </c>
      <c r="AH2683">
        <v>37.180856774417897</v>
      </c>
      <c r="AI2683">
        <v>91.438003821748097</v>
      </c>
      <c r="AJ2683">
        <v>115.14133089465901</v>
      </c>
      <c r="AK2683">
        <v>41.0848427543092</v>
      </c>
      <c r="AL2683">
        <v>91.474242043618602</v>
      </c>
      <c r="AM2683">
        <v>90.408817816814903</v>
      </c>
      <c r="AN2683">
        <v>1.0000000550499599</v>
      </c>
    </row>
    <row r="2684" spans="1:40" x14ac:dyDescent="0.25">
      <c r="A2684" t="str">
        <f>"20190312161011024"</f>
        <v>20190312161011024</v>
      </c>
      <c r="B2684" t="str">
        <f>"1552378211019041"</f>
        <v>1552378211019041</v>
      </c>
      <c r="C2684" t="s">
        <v>40</v>
      </c>
      <c r="D2684">
        <v>5.3263369999999997</v>
      </c>
      <c r="E2684">
        <v>0.3259842</v>
      </c>
      <c r="F2684" t="s">
        <v>59</v>
      </c>
      <c r="G2684">
        <v>-472.8698</v>
      </c>
      <c r="H2684">
        <v>7.999995E-2</v>
      </c>
      <c r="I2684">
        <v>208.47839999999999</v>
      </c>
      <c r="J2684">
        <v>-493.90769999999998</v>
      </c>
      <c r="K2684">
        <v>1.1110279999999999</v>
      </c>
      <c r="L2684">
        <v>244.5163</v>
      </c>
      <c r="M2684">
        <v>8.8827890000000007E-2</v>
      </c>
      <c r="N2684">
        <v>0</v>
      </c>
      <c r="O2684">
        <v>-0.99595549999999999</v>
      </c>
      <c r="P2684">
        <v>9.590949E-2</v>
      </c>
      <c r="Q2684">
        <v>-3.917313E-2</v>
      </c>
      <c r="R2684">
        <v>-0.99461920000000004</v>
      </c>
      <c r="S2684">
        <v>1.662598</v>
      </c>
      <c r="T2684">
        <v>-8.1435320000000005E-2</v>
      </c>
      <c r="U2684">
        <v>-2.8552249999999999</v>
      </c>
      <c r="V2684">
        <v>-7.12708E-3</v>
      </c>
      <c r="W2684">
        <v>-2.5699960000000001E-2</v>
      </c>
      <c r="X2684">
        <v>0.99964430000000004</v>
      </c>
      <c r="Y2684">
        <v>-0.42428900000000003</v>
      </c>
      <c r="Z2684">
        <v>2.502996E-2</v>
      </c>
      <c r="AA2684">
        <v>0.90518080000000001</v>
      </c>
      <c r="AB2684">
        <v>13</v>
      </c>
      <c r="AC2684">
        <v>21.037899999999901</v>
      </c>
      <c r="AD2684">
        <v>-1.03102805</v>
      </c>
      <c r="AE2684">
        <v>-36.0379</v>
      </c>
      <c r="AF2684">
        <v>-17.742428268073802</v>
      </c>
      <c r="AG2684">
        <v>-1.03102805</v>
      </c>
      <c r="AH2684">
        <v>37.741298593447503</v>
      </c>
      <c r="AI2684">
        <v>91.416217539405494</v>
      </c>
      <c r="AJ2684">
        <v>115.178520383555</v>
      </c>
      <c r="AK2684">
        <v>41.716452380414601</v>
      </c>
      <c r="AL2684">
        <v>91.472661377347407</v>
      </c>
      <c r="AM2684">
        <v>90.408489985319605</v>
      </c>
      <c r="AN2684">
        <v>1.0000000048679001</v>
      </c>
    </row>
    <row r="2685" spans="1:40" x14ac:dyDescent="0.25">
      <c r="A2685" t="str">
        <f>"20190312161011047"</f>
        <v>20190312161011047</v>
      </c>
      <c r="B2685" t="str">
        <f>"1552378211038561"</f>
        <v>1552378211038561</v>
      </c>
      <c r="C2685" t="s">
        <v>40</v>
      </c>
      <c r="D2685">
        <v>5.318149</v>
      </c>
      <c r="E2685">
        <v>0.325797</v>
      </c>
      <c r="F2685" t="s">
        <v>59</v>
      </c>
      <c r="G2685">
        <v>-472.5215</v>
      </c>
      <c r="H2685">
        <v>7.9999979999999998E-2</v>
      </c>
      <c r="I2685">
        <v>207.97980000000001</v>
      </c>
      <c r="J2685">
        <v>-493.8938</v>
      </c>
      <c r="K2685">
        <v>1.11102099999999</v>
      </c>
      <c r="L2685">
        <v>244.38839999999999</v>
      </c>
      <c r="M2685">
        <v>9.0939000000000006E-2</v>
      </c>
      <c r="N2685">
        <v>0</v>
      </c>
      <c r="O2685">
        <v>-0.99576549999999997</v>
      </c>
      <c r="P2685">
        <v>9.7152749999999996E-2</v>
      </c>
      <c r="Q2685">
        <v>-3.8705919999999998E-2</v>
      </c>
      <c r="R2685">
        <v>-0.99451679999999998</v>
      </c>
      <c r="S2685">
        <v>1.6694639999999901</v>
      </c>
      <c r="T2685">
        <v>-8.0484990000000006E-2</v>
      </c>
      <c r="U2685">
        <v>-2.8521420000000002</v>
      </c>
      <c r="V2685">
        <v>-6.257706E-3</v>
      </c>
      <c r="W2685">
        <v>-2.525527E-2</v>
      </c>
      <c r="X2685">
        <v>0.99966140000000003</v>
      </c>
      <c r="Y2685">
        <v>-0.4244233</v>
      </c>
      <c r="Z2685">
        <v>2.473904E-2</v>
      </c>
      <c r="AA2685">
        <v>0.90512590000000004</v>
      </c>
      <c r="AB2685">
        <v>13</v>
      </c>
      <c r="AC2685">
        <v>21.372299999999999</v>
      </c>
      <c r="AD2685">
        <v>-1.0310210199999901</v>
      </c>
      <c r="AE2685">
        <v>-36.4085999999999</v>
      </c>
      <c r="AF2685">
        <v>-17.961752975342101</v>
      </c>
      <c r="AG2685">
        <v>-1.0310210199999901</v>
      </c>
      <c r="AH2685">
        <v>38.178694098131501</v>
      </c>
      <c r="AI2685">
        <v>91.399796137671302</v>
      </c>
      <c r="AJ2685">
        <v>115.195359445579</v>
      </c>
      <c r="AK2685">
        <v>42.205452933591303</v>
      </c>
      <c r="AL2685">
        <v>91.447174321594602</v>
      </c>
      <c r="AM2685">
        <v>90.358656901388997</v>
      </c>
      <c r="AN2685">
        <v>0.99999995109855599</v>
      </c>
    </row>
    <row r="2686" spans="1:40" x14ac:dyDescent="0.25">
      <c r="A2686" t="str">
        <f>"20190312161011069"</f>
        <v>20190312161011069</v>
      </c>
      <c r="B2686" t="str">
        <f>"1552378211058080"</f>
        <v>1552378211058080</v>
      </c>
      <c r="C2686" t="s">
        <v>40</v>
      </c>
      <c r="D2686">
        <v>5.3503189999999998</v>
      </c>
      <c r="E2686">
        <v>0.32567760000000001</v>
      </c>
      <c r="F2686" t="s">
        <v>59</v>
      </c>
      <c r="G2686">
        <v>-471.87529999999998</v>
      </c>
      <c r="H2686">
        <v>8.000003E-2</v>
      </c>
      <c r="I2686">
        <v>206.91329999999999</v>
      </c>
      <c r="J2686">
        <v>-493.87959999999998</v>
      </c>
      <c r="K2686">
        <v>1.111019</v>
      </c>
      <c r="L2686">
        <v>244.26150000000001</v>
      </c>
      <c r="M2686">
        <v>9.3037809999999999E-2</v>
      </c>
      <c r="N2686">
        <v>0</v>
      </c>
      <c r="O2686">
        <v>-0.99557209999999996</v>
      </c>
      <c r="P2686">
        <v>9.8470790000000002E-2</v>
      </c>
      <c r="Q2686">
        <v>-3.8611529999999998E-2</v>
      </c>
      <c r="R2686">
        <v>-0.99439089999999997</v>
      </c>
      <c r="S2686">
        <v>1.67446899999999</v>
      </c>
      <c r="T2686">
        <v>-7.8407649999999995E-2</v>
      </c>
      <c r="U2686">
        <v>-2.8499300000000001</v>
      </c>
      <c r="V2686">
        <v>-5.4754900000000004E-3</v>
      </c>
      <c r="W2686">
        <v>-2.518536E-2</v>
      </c>
      <c r="X2686">
        <v>0.9996678</v>
      </c>
      <c r="Y2686">
        <v>-0.42401139999999998</v>
      </c>
      <c r="Z2686">
        <v>2.4102289999999998E-2</v>
      </c>
      <c r="AA2686">
        <v>0.90533609999999998</v>
      </c>
      <c r="AB2686">
        <v>13</v>
      </c>
      <c r="AC2686">
        <v>22.004300000000001</v>
      </c>
      <c r="AD2686">
        <v>-1.0310189700000001</v>
      </c>
      <c r="AE2686">
        <v>-37.348199999999999</v>
      </c>
      <c r="AF2686">
        <v>-18.423310879611499</v>
      </c>
      <c r="AG2686">
        <v>-1.0310189700000001</v>
      </c>
      <c r="AH2686">
        <v>39.211410079188497</v>
      </c>
      <c r="AI2686">
        <v>91.363266038185003</v>
      </c>
      <c r="AJ2686">
        <v>115.16628108929299</v>
      </c>
      <c r="AK2686">
        <v>43.336082705773002</v>
      </c>
      <c r="AL2686">
        <v>91.443167432905696</v>
      </c>
      <c r="AM2686">
        <v>90.313823582695804</v>
      </c>
      <c r="AN2686">
        <v>0.99999999685295404</v>
      </c>
    </row>
    <row r="2687" spans="1:40" x14ac:dyDescent="0.25">
      <c r="A2687" t="str">
        <f>"20190312161011091"</f>
        <v>20190312161011091</v>
      </c>
      <c r="B2687" t="str">
        <f>"1552378211088336"</f>
        <v>1552378211088336</v>
      </c>
      <c r="C2687" t="s">
        <v>40</v>
      </c>
      <c r="D2687">
        <v>5.3324939999999996</v>
      </c>
      <c r="E2687">
        <v>0.32550190000000001</v>
      </c>
      <c r="F2687" t="s">
        <v>59</v>
      </c>
      <c r="G2687">
        <v>-471.44299999999998</v>
      </c>
      <c r="H2687">
        <v>8.0000070000000006E-2</v>
      </c>
      <c r="I2687">
        <v>206.20769999999999</v>
      </c>
      <c r="J2687">
        <v>-493.8657</v>
      </c>
      <c r="K2687">
        <v>1.1110169999999999</v>
      </c>
      <c r="L2687">
        <v>244.1386</v>
      </c>
      <c r="M2687">
        <v>9.5075679999999996E-2</v>
      </c>
      <c r="N2687">
        <v>0</v>
      </c>
      <c r="O2687">
        <v>-0.99537980000000004</v>
      </c>
      <c r="P2687">
        <v>9.9765229999999996E-2</v>
      </c>
      <c r="Q2687">
        <v>-3.8562159999999998E-2</v>
      </c>
      <c r="R2687">
        <v>-0.99426380000000003</v>
      </c>
      <c r="S2687">
        <v>1.6790160000000001</v>
      </c>
      <c r="T2687">
        <v>-7.7154990000000007E-2</v>
      </c>
      <c r="U2687">
        <v>-2.847702</v>
      </c>
      <c r="V2687">
        <v>-4.7304410000000002E-3</v>
      </c>
      <c r="W2687">
        <v>-2.5159569999999999E-2</v>
      </c>
      <c r="X2687">
        <v>0.99967220000000001</v>
      </c>
      <c r="Y2687">
        <v>-0.4235449</v>
      </c>
      <c r="Z2687">
        <v>2.3720160000000001E-2</v>
      </c>
      <c r="AA2687">
        <v>0.90556449999999999</v>
      </c>
      <c r="AB2687">
        <v>13</v>
      </c>
      <c r="AC2687">
        <v>22.422699999999899</v>
      </c>
      <c r="AD2687">
        <v>-1.0310169299999901</v>
      </c>
      <c r="AE2687">
        <v>-37.930900000000001</v>
      </c>
      <c r="AF2687">
        <v>-18.704237164832101</v>
      </c>
      <c r="AG2687">
        <v>-1.0310169299999901</v>
      </c>
      <c r="AH2687">
        <v>39.869260277459802</v>
      </c>
      <c r="AI2687">
        <v>91.341141771341796</v>
      </c>
      <c r="AJ2687">
        <v>115.13311959927201</v>
      </c>
      <c r="AK2687">
        <v>44.0507593453287</v>
      </c>
      <c r="AL2687">
        <v>91.441689382225604</v>
      </c>
      <c r="AM2687">
        <v>90.271121155100005</v>
      </c>
      <c r="AN2687">
        <v>0.99999994424373795</v>
      </c>
    </row>
    <row r="2688" spans="1:40" x14ac:dyDescent="0.25">
      <c r="A2688" t="str">
        <f>"20190312161011113"</f>
        <v>20190312161011113</v>
      </c>
      <c r="B2688" t="str">
        <f>"1552378211108832"</f>
        <v>1552378211108832</v>
      </c>
      <c r="C2688" t="s">
        <v>40</v>
      </c>
      <c r="D2688">
        <v>5.2944440000000004</v>
      </c>
      <c r="E2688">
        <v>0.3254244</v>
      </c>
      <c r="F2688" t="s">
        <v>59</v>
      </c>
      <c r="G2688">
        <v>-470.97340000000003</v>
      </c>
      <c r="H2688">
        <v>8.0000100000000005E-2</v>
      </c>
      <c r="I2688">
        <v>205.46619999999999</v>
      </c>
      <c r="J2688">
        <v>-493.85120000000001</v>
      </c>
      <c r="K2688">
        <v>1.1110199999999999</v>
      </c>
      <c r="L2688">
        <v>244.01349999999999</v>
      </c>
      <c r="M2688">
        <v>9.7163269999999996E-2</v>
      </c>
      <c r="N2688">
        <v>0</v>
      </c>
      <c r="O2688">
        <v>-0.99517829999999996</v>
      </c>
      <c r="P2688">
        <v>0.10175289999999999</v>
      </c>
      <c r="Q2688">
        <v>-3.8299489999999999E-2</v>
      </c>
      <c r="R2688">
        <v>-0.99407230000000002</v>
      </c>
      <c r="S2688">
        <v>1.68432599999999</v>
      </c>
      <c r="T2688">
        <v>-7.5858239999999993E-2</v>
      </c>
      <c r="U2688">
        <v>-2.845367</v>
      </c>
      <c r="V2688">
        <v>-4.6317959999999997E-3</v>
      </c>
      <c r="W2688">
        <v>-2.4924209999999999E-2</v>
      </c>
      <c r="X2688">
        <v>0.99967859999999997</v>
      </c>
      <c r="Y2688">
        <v>-0.42322720000000003</v>
      </c>
      <c r="Z2688">
        <v>2.332244E-2</v>
      </c>
      <c r="AA2688">
        <v>0.90572339999999996</v>
      </c>
      <c r="AB2688">
        <v>13</v>
      </c>
      <c r="AC2688">
        <v>22.877799999999901</v>
      </c>
      <c r="AD2688">
        <v>-1.0310199</v>
      </c>
      <c r="AE2688">
        <v>-38.5473</v>
      </c>
      <c r="AF2688">
        <v>-19.013756268215399</v>
      </c>
      <c r="AG2688">
        <v>-1.0310199</v>
      </c>
      <c r="AH2688">
        <v>40.5664987960524</v>
      </c>
      <c r="AI2688">
        <v>91.318322387068505</v>
      </c>
      <c r="AJ2688">
        <v>115.112762057911</v>
      </c>
      <c r="AK2688">
        <v>44.813243065319703</v>
      </c>
      <c r="AL2688">
        <v>91.428199956129802</v>
      </c>
      <c r="AM2688">
        <v>90.265465784076</v>
      </c>
      <c r="AN2688">
        <v>0.99999998653813404</v>
      </c>
    </row>
    <row r="2689" spans="1:40" x14ac:dyDescent="0.25">
      <c r="A2689" t="str">
        <f>"20190312161011136"</f>
        <v>20190312161011136</v>
      </c>
      <c r="B2689" t="str">
        <f>"1552378211128352"</f>
        <v>1552378211128352</v>
      </c>
      <c r="C2689" t="s">
        <v>40</v>
      </c>
      <c r="D2689">
        <v>5.359915</v>
      </c>
      <c r="E2689">
        <v>0.3252565</v>
      </c>
      <c r="F2689" t="s">
        <v>59</v>
      </c>
      <c r="G2689">
        <v>-470.71039999999999</v>
      </c>
      <c r="H2689">
        <v>8.0000119999999994E-2</v>
      </c>
      <c r="I2689">
        <v>205.11940000000001</v>
      </c>
      <c r="J2689">
        <v>-493.83690000000001</v>
      </c>
      <c r="K2689">
        <v>1.1110199999999999</v>
      </c>
      <c r="L2689">
        <v>243.89160000000001</v>
      </c>
      <c r="M2689">
        <v>9.9213990000000002E-2</v>
      </c>
      <c r="N2689">
        <v>0</v>
      </c>
      <c r="O2689">
        <v>-0.99497650000000004</v>
      </c>
      <c r="P2689">
        <v>0.1042085</v>
      </c>
      <c r="Q2689">
        <v>-3.8033270000000001E-2</v>
      </c>
      <c r="R2689">
        <v>-0.99382820000000005</v>
      </c>
      <c r="S2689">
        <v>1.6908570000000001</v>
      </c>
      <c r="T2689">
        <v>-7.5334789999999999E-2</v>
      </c>
      <c r="U2689">
        <v>-2.8419189999999999</v>
      </c>
      <c r="V2689">
        <v>-5.0403430000000001E-3</v>
      </c>
      <c r="W2689">
        <v>-2.4687959999999998E-2</v>
      </c>
      <c r="X2689">
        <v>0.99968250000000003</v>
      </c>
      <c r="Y2689">
        <v>-0.42338239999999999</v>
      </c>
      <c r="Z2689">
        <v>2.3164980000000002E-2</v>
      </c>
      <c r="AA2689">
        <v>0.90565490000000004</v>
      </c>
      <c r="AB2689">
        <v>13</v>
      </c>
      <c r="AC2689">
        <v>23.1265</v>
      </c>
      <c r="AD2689">
        <v>-1.0310198800000001</v>
      </c>
      <c r="AE2689">
        <v>-38.772199999999998</v>
      </c>
      <c r="AF2689">
        <v>-19.155297846207901</v>
      </c>
      <c r="AG2689">
        <v>-1.0310198800000001</v>
      </c>
      <c r="AH2689">
        <v>40.854237450118099</v>
      </c>
      <c r="AI2689">
        <v>91.308958396339804</v>
      </c>
      <c r="AJ2689">
        <v>115.120438811586</v>
      </c>
      <c r="AK2689">
        <v>45.1337695655983</v>
      </c>
      <c r="AL2689">
        <v>91.414659641489905</v>
      </c>
      <c r="AM2689">
        <v>90.288879653393096</v>
      </c>
      <c r="AN2689">
        <v>1.0000000006163801</v>
      </c>
    </row>
    <row r="2690" spans="1:40" x14ac:dyDescent="0.25">
      <c r="A2690" t="str">
        <f>"20190312161011157"</f>
        <v>20190312161011157</v>
      </c>
      <c r="B2690" t="str">
        <f>"1552378211148849"</f>
        <v>1552378211148849</v>
      </c>
      <c r="C2690" t="s">
        <v>40</v>
      </c>
      <c r="D2690">
        <v>5.3314750000000002</v>
      </c>
      <c r="E2690">
        <v>0.32527719999999999</v>
      </c>
      <c r="F2690" t="s">
        <v>43</v>
      </c>
      <c r="G2690">
        <v>-467.01429999999999</v>
      </c>
      <c r="H2690">
        <v>-0.05</v>
      </c>
      <c r="I2690">
        <v>199.09139999999999</v>
      </c>
      <c r="J2690">
        <v>-493.82170000000002</v>
      </c>
      <c r="K2690">
        <v>1.1110279999999999</v>
      </c>
      <c r="L2690">
        <v>243.76580000000001</v>
      </c>
      <c r="M2690">
        <v>0.1013497</v>
      </c>
      <c r="N2690">
        <v>0</v>
      </c>
      <c r="O2690">
        <v>-0.99476169999999997</v>
      </c>
      <c r="P2690">
        <v>0.10699889999999999</v>
      </c>
      <c r="Q2690">
        <v>-3.7371109999999999E-2</v>
      </c>
      <c r="R2690">
        <v>-0.99355689999999997</v>
      </c>
      <c r="S2690">
        <v>1.69894399999999</v>
      </c>
      <c r="T2690">
        <v>-7.3539140000000003E-2</v>
      </c>
      <c r="U2690">
        <v>-2.8376459999999999</v>
      </c>
      <c r="V2690">
        <v>-5.6992090000000002E-3</v>
      </c>
      <c r="W2690">
        <v>-2.4057149999999999E-2</v>
      </c>
      <c r="X2690">
        <v>0.99969430000000004</v>
      </c>
      <c r="Y2690">
        <v>-0.42394539999999997</v>
      </c>
      <c r="Z2690">
        <v>2.261635E-2</v>
      </c>
      <c r="AA2690">
        <v>0.90540529999999997</v>
      </c>
      <c r="AB2690">
        <v>13</v>
      </c>
      <c r="AC2690">
        <v>26.807400000000001</v>
      </c>
      <c r="AD2690">
        <v>-1.1610279999999999</v>
      </c>
      <c r="AE2690">
        <v>-44.674399999999999</v>
      </c>
      <c r="AF2690">
        <v>-22.1302119256307</v>
      </c>
      <c r="AG2690">
        <v>-1.1610279999999999</v>
      </c>
      <c r="AH2690">
        <v>47.138078716759999</v>
      </c>
      <c r="AI2690">
        <v>91.277229604747703</v>
      </c>
      <c r="AJ2690">
        <v>115.14894391883099</v>
      </c>
      <c r="AK2690">
        <v>52.0873567288413</v>
      </c>
      <c r="AL2690">
        <v>91.378506206046495</v>
      </c>
      <c r="AM2690">
        <v>90.326636937627697</v>
      </c>
      <c r="AN2690">
        <v>0.99999996045091799</v>
      </c>
    </row>
    <row r="2691" spans="1:40" x14ac:dyDescent="0.25">
      <c r="A2691" t="str">
        <f>"20190312161011181"</f>
        <v>20190312161011181</v>
      </c>
      <c r="B2691" t="str">
        <f>"1552378211168369"</f>
        <v>1552378211168369</v>
      </c>
      <c r="C2691" t="s">
        <v>40</v>
      </c>
      <c r="D2691">
        <v>5.3414419999999998</v>
      </c>
      <c r="E2691">
        <v>0.32521280000000002</v>
      </c>
      <c r="F2691" t="s">
        <v>43</v>
      </c>
      <c r="G2691">
        <v>-466.20069999999998</v>
      </c>
      <c r="H2691">
        <v>-0.05</v>
      </c>
      <c r="I2691">
        <v>197.9145</v>
      </c>
      <c r="J2691">
        <v>-493.80610000000001</v>
      </c>
      <c r="K2691">
        <v>1.11104</v>
      </c>
      <c r="L2691">
        <v>243.6386</v>
      </c>
      <c r="M2691">
        <v>0.1035348</v>
      </c>
      <c r="N2691">
        <v>0</v>
      </c>
      <c r="O2691">
        <v>-0.99453720000000001</v>
      </c>
      <c r="P2691">
        <v>0.10986940000000001</v>
      </c>
      <c r="Q2691">
        <v>-3.7029569999999998E-2</v>
      </c>
      <c r="R2691">
        <v>-0.99325649999999999</v>
      </c>
      <c r="S2691">
        <v>1.706604</v>
      </c>
      <c r="T2691">
        <v>-7.1735859999999999E-2</v>
      </c>
      <c r="U2691">
        <v>-2.8329930000000001</v>
      </c>
      <c r="V2691">
        <v>-6.3904579999999999E-3</v>
      </c>
      <c r="W2691">
        <v>-2.3747910000000001E-2</v>
      </c>
      <c r="X2691">
        <v>0.99969759999999996</v>
      </c>
      <c r="Y2691">
        <v>-0.42441570000000001</v>
      </c>
      <c r="Z2691">
        <v>2.2068600000000001E-2</v>
      </c>
      <c r="AA2691">
        <v>0.90519850000000002</v>
      </c>
      <c r="AB2691">
        <v>13</v>
      </c>
      <c r="AC2691">
        <v>27.605399999999999</v>
      </c>
      <c r="AD2691">
        <v>-1.1610400000000001</v>
      </c>
      <c r="AE2691">
        <v>-45.7240999999999</v>
      </c>
      <c r="AF2691">
        <v>-22.711832740534302</v>
      </c>
      <c r="AG2691">
        <v>-1.1610400000000001</v>
      </c>
      <c r="AH2691">
        <v>48.313869287246398</v>
      </c>
      <c r="AI2691">
        <v>91.245875258757096</v>
      </c>
      <c r="AJ2691">
        <v>115.17771490638199</v>
      </c>
      <c r="AK2691">
        <v>53.3985517202549</v>
      </c>
      <c r="AL2691">
        <v>91.360782877921807</v>
      </c>
      <c r="AM2691">
        <v>90.366252040057503</v>
      </c>
      <c r="AN2691">
        <v>1.00000004631428</v>
      </c>
    </row>
    <row r="2692" spans="1:40" x14ac:dyDescent="0.25">
      <c r="A2692" t="str">
        <f>"20190312161011201"</f>
        <v>20190312161011201</v>
      </c>
      <c r="B2692" t="str">
        <f>"1552378211198625"</f>
        <v>1552378211198625</v>
      </c>
      <c r="C2692" t="s">
        <v>40</v>
      </c>
      <c r="D2692">
        <v>5.3499369999999997</v>
      </c>
      <c r="E2692">
        <v>0.32529780000000003</v>
      </c>
      <c r="F2692" t="s">
        <v>43</v>
      </c>
      <c r="G2692">
        <v>-465.01310000000001</v>
      </c>
      <c r="H2692">
        <v>-0.05</v>
      </c>
      <c r="I2692">
        <v>196.16370000000001</v>
      </c>
      <c r="J2692">
        <v>-493.79149999999998</v>
      </c>
      <c r="K2692">
        <v>1.111049</v>
      </c>
      <c r="L2692">
        <v>243.52180000000001</v>
      </c>
      <c r="M2692">
        <v>0.1055685</v>
      </c>
      <c r="N2692">
        <v>0</v>
      </c>
      <c r="O2692">
        <v>-0.99432339999999997</v>
      </c>
      <c r="P2692">
        <v>0.1124016</v>
      </c>
      <c r="Q2692">
        <v>-3.6443400000000001E-2</v>
      </c>
      <c r="R2692">
        <v>-0.99299440000000005</v>
      </c>
      <c r="S2692">
        <v>1.715179</v>
      </c>
      <c r="T2692">
        <v>-6.9162370000000001E-2</v>
      </c>
      <c r="U2692">
        <v>-2.828049</v>
      </c>
      <c r="V2692">
        <v>-6.8925050000000002E-3</v>
      </c>
      <c r="W2692">
        <v>-2.3193269999999998E-2</v>
      </c>
      <c r="X2692">
        <v>0.99970720000000002</v>
      </c>
      <c r="Y2692">
        <v>-0.42528129999999997</v>
      </c>
      <c r="Z2692">
        <v>2.128205E-2</v>
      </c>
      <c r="AA2692">
        <v>0.90481100000000003</v>
      </c>
      <c r="AB2692">
        <v>13</v>
      </c>
      <c r="AC2692">
        <v>28.778399999999898</v>
      </c>
      <c r="AD2692">
        <v>-1.161049</v>
      </c>
      <c r="AE2692">
        <v>-47.3581</v>
      </c>
      <c r="AF2692">
        <v>-23.607231969257001</v>
      </c>
      <c r="AG2692">
        <v>-1.161049</v>
      </c>
      <c r="AH2692">
        <v>50.109781934405298</v>
      </c>
      <c r="AI2692">
        <v>91.200773992222906</v>
      </c>
      <c r="AJ2692">
        <v>115.22560539138701</v>
      </c>
      <c r="AK2692">
        <v>55.404329086673002</v>
      </c>
      <c r="AL2692">
        <v>91.328995705967301</v>
      </c>
      <c r="AM2692">
        <v>90.3950208517562</v>
      </c>
      <c r="AN2692">
        <v>0.99999996006515302</v>
      </c>
    </row>
    <row r="2693" spans="1:40" x14ac:dyDescent="0.25">
      <c r="A2693" t="str">
        <f>"20190312161011226"</f>
        <v>20190312161011226</v>
      </c>
      <c r="B2693" t="str">
        <f>"1552378211218145"</f>
        <v>1552378211218145</v>
      </c>
      <c r="C2693" t="s">
        <v>40</v>
      </c>
      <c r="D2693">
        <v>5.3775769999999996</v>
      </c>
      <c r="E2693">
        <v>0.32535799999999998</v>
      </c>
      <c r="F2693" t="s">
        <v>43</v>
      </c>
      <c r="G2693">
        <v>-464.88069999999999</v>
      </c>
      <c r="H2693">
        <v>-0.05</v>
      </c>
      <c r="I2693">
        <v>196.11089999999999</v>
      </c>
      <c r="J2693">
        <v>-493.77499999999998</v>
      </c>
      <c r="K2693">
        <v>1.1110629999999999</v>
      </c>
      <c r="L2693">
        <v>243.39230000000001</v>
      </c>
      <c r="M2693">
        <v>0.1078547</v>
      </c>
      <c r="N2693">
        <v>0</v>
      </c>
      <c r="O2693">
        <v>-0.99407869999999998</v>
      </c>
      <c r="P2693">
        <v>0.1155708</v>
      </c>
      <c r="Q2693">
        <v>-3.5519450000000001E-2</v>
      </c>
      <c r="R2693">
        <v>-0.9926642</v>
      </c>
      <c r="S2693">
        <v>1.7218929999999999</v>
      </c>
      <c r="T2693">
        <v>-6.9150569999999995E-2</v>
      </c>
      <c r="U2693">
        <v>-2.8237299999999999</v>
      </c>
      <c r="V2693">
        <v>-7.7816999999999904E-3</v>
      </c>
      <c r="W2693">
        <v>-2.230975E-2</v>
      </c>
      <c r="X2693">
        <v>0.99972079999999997</v>
      </c>
      <c r="Y2693">
        <v>-0.42538330000000002</v>
      </c>
      <c r="Z2693">
        <v>2.128538E-2</v>
      </c>
      <c r="AA2693">
        <v>0.90476290000000004</v>
      </c>
      <c r="AB2693">
        <v>13</v>
      </c>
      <c r="AC2693">
        <v>28.894299999999902</v>
      </c>
      <c r="AD2693">
        <v>-1.161063</v>
      </c>
      <c r="AE2693">
        <v>-47.281399999999998</v>
      </c>
      <c r="AF2693">
        <v>-23.615384794492599</v>
      </c>
      <c r="AG2693">
        <v>-1.161063</v>
      </c>
      <c r="AH2693">
        <v>50.1002055829141</v>
      </c>
      <c r="AI2693">
        <v>91.200900895338506</v>
      </c>
      <c r="AJ2693">
        <v>115.2374568508</v>
      </c>
      <c r="AK2693">
        <v>55.399143185902901</v>
      </c>
      <c r="AL2693">
        <v>91.278360604283407</v>
      </c>
      <c r="AM2693">
        <v>90.445974079066005</v>
      </c>
      <c r="AN2693">
        <v>0.99999997887629599</v>
      </c>
    </row>
    <row r="2694" spans="1:40" x14ac:dyDescent="0.25">
      <c r="A2694" t="str">
        <f>"20190312161011248"</f>
        <v>20190312161011248</v>
      </c>
      <c r="B2694" t="str">
        <f>"1552378211238641"</f>
        <v>1552378211238641</v>
      </c>
      <c r="C2694" t="s">
        <v>40</v>
      </c>
      <c r="D2694">
        <v>5.3649100000000001</v>
      </c>
      <c r="E2694">
        <v>0.32535890000000001</v>
      </c>
      <c r="F2694" t="s">
        <v>43</v>
      </c>
      <c r="G2694">
        <v>-464.4375</v>
      </c>
      <c r="H2694">
        <v>-0.05</v>
      </c>
      <c r="I2694">
        <v>195.61590000000001</v>
      </c>
      <c r="J2694">
        <v>-493.75839999999999</v>
      </c>
      <c r="K2694">
        <v>1.1110679999999999</v>
      </c>
      <c r="L2694">
        <v>243.2647</v>
      </c>
      <c r="M2694">
        <v>0.1101443</v>
      </c>
      <c r="N2694">
        <v>0</v>
      </c>
      <c r="O2694">
        <v>-0.9938283</v>
      </c>
      <c r="P2694">
        <v>0.11876539999999999</v>
      </c>
      <c r="Q2694">
        <v>-3.4710129999999999E-2</v>
      </c>
      <c r="R2694">
        <v>-0.99231579999999997</v>
      </c>
      <c r="S2694">
        <v>1.7305600000000001</v>
      </c>
      <c r="T2694">
        <v>-6.8488839999999995E-2</v>
      </c>
      <c r="U2694">
        <v>-2.8182369999999999</v>
      </c>
      <c r="V2694">
        <v>-8.6942549999999997E-3</v>
      </c>
      <c r="W2694">
        <v>-2.1544569999999999E-2</v>
      </c>
      <c r="X2694">
        <v>0.99973009999999995</v>
      </c>
      <c r="Y2694">
        <v>-0.42610769999999998</v>
      </c>
      <c r="Z2694">
        <v>2.1089159999999999E-2</v>
      </c>
      <c r="AA2694">
        <v>0.90442659999999997</v>
      </c>
      <c r="AB2694">
        <v>13</v>
      </c>
      <c r="AC2694">
        <v>29.320899999999899</v>
      </c>
      <c r="AD2694">
        <v>-1.161068</v>
      </c>
      <c r="AE2694">
        <v>-47.648800000000001</v>
      </c>
      <c r="AF2694">
        <v>-23.8834837525187</v>
      </c>
      <c r="AG2694">
        <v>-1.161068</v>
      </c>
      <c r="AH2694">
        <v>50.566867661155001</v>
      </c>
      <c r="AI2694">
        <v>91.189389708220901</v>
      </c>
      <c r="AJ2694">
        <v>115.282062726592</v>
      </c>
      <c r="AK2694">
        <v>55.935471573217399</v>
      </c>
      <c r="AL2694">
        <v>91.234508428916399</v>
      </c>
      <c r="AM2694">
        <v>90.498266041723994</v>
      </c>
      <c r="AN2694">
        <v>1.0000000157062401</v>
      </c>
    </row>
    <row r="2695" spans="1:40" x14ac:dyDescent="0.25">
      <c r="A2695" t="str">
        <f>"20190312161011273"</f>
        <v>20190312161011273</v>
      </c>
      <c r="B2695" t="str">
        <f>"1552378211268896"</f>
        <v>1552378211268896</v>
      </c>
      <c r="C2695" t="s">
        <v>40</v>
      </c>
      <c r="D2695">
        <v>5.3688339999999997</v>
      </c>
      <c r="E2695">
        <v>0.32545499999999999</v>
      </c>
      <c r="F2695" t="s">
        <v>81</v>
      </c>
      <c r="G2695">
        <v>-465.35640000000001</v>
      </c>
      <c r="H2695">
        <v>6.4425949999999996E-2</v>
      </c>
      <c r="I2695">
        <v>197.345</v>
      </c>
      <c r="J2695">
        <v>-493.74130000000002</v>
      </c>
      <c r="K2695">
        <v>1.1110799999999901</v>
      </c>
      <c r="L2695">
        <v>243.13650000000001</v>
      </c>
      <c r="M2695">
        <v>0.11246970000000001</v>
      </c>
      <c r="N2695">
        <v>0</v>
      </c>
      <c r="O2695">
        <v>-0.99356849999999997</v>
      </c>
      <c r="P2695">
        <v>0.12141929999999999</v>
      </c>
      <c r="Q2695">
        <v>-3.4973360000000002E-2</v>
      </c>
      <c r="R2695">
        <v>-0.99198549999999996</v>
      </c>
      <c r="S2695">
        <v>1.739746</v>
      </c>
      <c r="T2695">
        <v>-6.4108970000000001E-2</v>
      </c>
      <c r="U2695">
        <v>-2.8127749999999998</v>
      </c>
      <c r="V2695">
        <v>-9.028365E-3</v>
      </c>
      <c r="W2695">
        <v>-2.1851909999999999E-2</v>
      </c>
      <c r="X2695">
        <v>0.99972050000000001</v>
      </c>
      <c r="Y2695">
        <v>-0.42692730000000001</v>
      </c>
      <c r="Z2695">
        <v>1.9746090000000001E-2</v>
      </c>
      <c r="AA2695">
        <v>0.90407040000000005</v>
      </c>
      <c r="AB2695">
        <v>13</v>
      </c>
      <c r="AC2695">
        <v>28.384899999999998</v>
      </c>
      <c r="AD2695">
        <v>-1.0466540499999999</v>
      </c>
      <c r="AE2695">
        <v>-45.791499999999999</v>
      </c>
      <c r="AF2695">
        <v>-23.045473510683099</v>
      </c>
      <c r="AG2695">
        <v>-1.0466540499999999</v>
      </c>
      <c r="AH2695">
        <v>48.675254917422897</v>
      </c>
      <c r="AI2695">
        <v>91.113381748958204</v>
      </c>
      <c r="AJ2695">
        <v>115.33538224173201</v>
      </c>
      <c r="AK2695">
        <v>53.865292863847699</v>
      </c>
      <c r="AL2695">
        <v>91.252121820287101</v>
      </c>
      <c r="AM2695">
        <v>90.517417766566894</v>
      </c>
      <c r="AN2695">
        <v>1.00000004773273</v>
      </c>
    </row>
    <row r="2696" spans="1:40" x14ac:dyDescent="0.25">
      <c r="A2696" t="str">
        <f>"20190312161011292"</f>
        <v>20190312161011292</v>
      </c>
      <c r="B2696" t="str">
        <f>"1552378211288416"</f>
        <v>1552378211288416</v>
      </c>
      <c r="C2696" t="s">
        <v>40</v>
      </c>
      <c r="D2696">
        <v>5.3686910000000001</v>
      </c>
      <c r="E2696">
        <v>0.3567072</v>
      </c>
      <c r="F2696" t="s">
        <v>81</v>
      </c>
      <c r="G2696">
        <v>-465.26319999999998</v>
      </c>
      <c r="H2696">
        <v>7.1610930000000003E-2</v>
      </c>
      <c r="I2696">
        <v>197.345</v>
      </c>
      <c r="J2696">
        <v>-493.72590000000002</v>
      </c>
      <c r="K2696">
        <v>1.111083</v>
      </c>
      <c r="L2696">
        <v>243.0224</v>
      </c>
      <c r="M2696">
        <v>0.1145625</v>
      </c>
      <c r="N2696">
        <v>0</v>
      </c>
      <c r="O2696">
        <v>-0.99332960000000003</v>
      </c>
      <c r="P2696">
        <v>0.1238499</v>
      </c>
      <c r="Q2696">
        <v>-3.4169909999999998E-2</v>
      </c>
      <c r="R2696">
        <v>-0.9917125</v>
      </c>
      <c r="S2696">
        <v>1.7464599999999999</v>
      </c>
      <c r="T2696">
        <v>-6.3744430000000005E-2</v>
      </c>
      <c r="U2696">
        <v>-2.8082120000000002</v>
      </c>
      <c r="V2696">
        <v>-9.3707919999999993E-3</v>
      </c>
      <c r="W2696">
        <v>-2.1088679999999999E-2</v>
      </c>
      <c r="X2696">
        <v>0.99973369999999995</v>
      </c>
      <c r="Y2696">
        <v>-0.42724060000000003</v>
      </c>
      <c r="Z2696">
        <v>1.9640689999999999E-2</v>
      </c>
      <c r="AA2696">
        <v>0.90392459999999997</v>
      </c>
      <c r="AB2696">
        <v>13</v>
      </c>
      <c r="AC2696">
        <v>28.462700000000002</v>
      </c>
      <c r="AD2696">
        <v>-1.03947207</v>
      </c>
      <c r="AE2696">
        <v>-45.677399999999999</v>
      </c>
      <c r="AF2696">
        <v>-23.0333118214417</v>
      </c>
      <c r="AG2696">
        <v>-1.03947207</v>
      </c>
      <c r="AH2696">
        <v>48.619511647053699</v>
      </c>
      <c r="AI2696">
        <v>91.106885941963498</v>
      </c>
      <c r="AJ2696">
        <v>115.34907954664401</v>
      </c>
      <c r="AK2696">
        <v>53.809579708877699</v>
      </c>
      <c r="AL2696">
        <v>91.208381929448095</v>
      </c>
      <c r="AM2696">
        <v>90.537034121361899</v>
      </c>
      <c r="AN2696">
        <v>1.0000000075412601</v>
      </c>
    </row>
    <row r="2697" spans="1:40" x14ac:dyDescent="0.25">
      <c r="A2697" t="str">
        <f>"20190312161011313"</f>
        <v>20190312161011313</v>
      </c>
      <c r="B2697" t="str">
        <f>"1552378211308913"</f>
        <v>1552378211308913</v>
      </c>
      <c r="C2697" t="s">
        <v>40</v>
      </c>
      <c r="D2697">
        <v>5.3520820000000002</v>
      </c>
      <c r="E2697">
        <v>0.35927819999999999</v>
      </c>
      <c r="F2697" t="s">
        <v>59</v>
      </c>
      <c r="G2697">
        <v>-475.65440000000001</v>
      </c>
      <c r="H2697">
        <v>7.9999730000000005E-2</v>
      </c>
      <c r="I2697">
        <v>209.02809999999999</v>
      </c>
      <c r="J2697">
        <v>-493.7097</v>
      </c>
      <c r="K2697">
        <v>1.111084</v>
      </c>
      <c r="L2697">
        <v>242.905</v>
      </c>
      <c r="M2697">
        <v>0.1167388</v>
      </c>
      <c r="N2697">
        <v>0</v>
      </c>
      <c r="O2697">
        <v>-0.99307679999999998</v>
      </c>
      <c r="P2697">
        <v>0.1259933</v>
      </c>
      <c r="Q2697">
        <v>-3.3830909999999999E-2</v>
      </c>
      <c r="R2697">
        <v>-0.9914541</v>
      </c>
      <c r="S2697">
        <v>1.5065309999999901</v>
      </c>
      <c r="T2697">
        <v>-8.5956340000000006E-2</v>
      </c>
      <c r="U2697">
        <v>-2.833939</v>
      </c>
      <c r="V2697">
        <v>-9.3398649999999993E-3</v>
      </c>
      <c r="W2697">
        <v>-2.0791319999999999E-2</v>
      </c>
      <c r="X2697">
        <v>0.99974019999999997</v>
      </c>
      <c r="Y2697">
        <v>-0.36292770000000002</v>
      </c>
      <c r="Z2697">
        <v>2.717663E-2</v>
      </c>
      <c r="AA2697">
        <v>0.9314209</v>
      </c>
      <c r="AB2697">
        <v>13</v>
      </c>
      <c r="AC2697">
        <v>18.0552999999999</v>
      </c>
      <c r="AD2697">
        <v>-1.03108427</v>
      </c>
      <c r="AE2697">
        <v>-33.876899999999999</v>
      </c>
      <c r="AF2697">
        <v>-13.9666665666405</v>
      </c>
      <c r="AG2697">
        <v>-1.03108427</v>
      </c>
      <c r="AH2697">
        <v>35.727390975418999</v>
      </c>
      <c r="AI2697">
        <v>91.539678348482099</v>
      </c>
      <c r="AJ2697">
        <v>111.351682257363</v>
      </c>
      <c r="AK2697">
        <v>38.374175895594298</v>
      </c>
      <c r="AL2697">
        <v>91.191340741124506</v>
      </c>
      <c r="AM2697">
        <v>90.535258338078407</v>
      </c>
      <c r="AN2697">
        <v>0.99999998978079996</v>
      </c>
    </row>
    <row r="2698" spans="1:40" x14ac:dyDescent="0.25">
      <c r="A2698" t="str">
        <f>"20190312161011343"</f>
        <v>20190312161011343</v>
      </c>
      <c r="B2698" t="str">
        <f>"1552378211338193"</f>
        <v>1552378211338193</v>
      </c>
      <c r="C2698" t="s">
        <v>40</v>
      </c>
      <c r="D2698">
        <v>5.3517780000000004</v>
      </c>
      <c r="E2698">
        <v>0.36351840000000002</v>
      </c>
      <c r="F2698" t="s">
        <v>59</v>
      </c>
      <c r="G2698">
        <v>-475.78269999999998</v>
      </c>
      <c r="H2698">
        <v>7.9999680000000004E-2</v>
      </c>
      <c r="I2698">
        <v>208.87790000000001</v>
      </c>
      <c r="J2698">
        <v>-493.68700000000001</v>
      </c>
      <c r="K2698">
        <v>1.111083</v>
      </c>
      <c r="L2698">
        <v>242.7432</v>
      </c>
      <c r="M2698">
        <v>0.1197797</v>
      </c>
      <c r="N2698">
        <v>0</v>
      </c>
      <c r="O2698">
        <v>-0.99271540000000003</v>
      </c>
      <c r="P2698">
        <v>0.12927239999999901</v>
      </c>
      <c r="Q2698">
        <v>-3.3288459999999999E-2</v>
      </c>
      <c r="R2698">
        <v>-0.9910504</v>
      </c>
      <c r="S2698">
        <v>1.4926759999999999</v>
      </c>
      <c r="T2698">
        <v>-8.5852150000000002E-2</v>
      </c>
      <c r="U2698">
        <v>-2.833237</v>
      </c>
      <c r="V2698">
        <v>-9.5835610000000009E-3</v>
      </c>
      <c r="W2698">
        <v>-2.0307869999999999E-2</v>
      </c>
      <c r="X2698">
        <v>0.99974779999999996</v>
      </c>
      <c r="Y2698">
        <v>-0.35660320000000001</v>
      </c>
      <c r="Z2698">
        <v>2.719821E-2</v>
      </c>
      <c r="AA2698">
        <v>0.93385989999999997</v>
      </c>
      <c r="AB2698">
        <v>13</v>
      </c>
      <c r="AC2698">
        <v>17.9042999999999</v>
      </c>
      <c r="AD2698">
        <v>-1.03108332</v>
      </c>
      <c r="AE2698">
        <v>-33.865299999999898</v>
      </c>
      <c r="AF2698">
        <v>-13.7087260159223</v>
      </c>
      <c r="AG2698">
        <v>-1.03108332</v>
      </c>
      <c r="AH2698">
        <v>35.740304649397601</v>
      </c>
      <c r="AI2698">
        <v>91.542937501290993</v>
      </c>
      <c r="AJ2698">
        <v>110.985059965904</v>
      </c>
      <c r="AK2698">
        <v>38.293102227740199</v>
      </c>
      <c r="AL2698">
        <v>91.1636352814497</v>
      </c>
      <c r="AM2698">
        <v>90.549219292999297</v>
      </c>
      <c r="AN2698">
        <v>0.99999995891510796</v>
      </c>
    </row>
    <row r="2699" spans="1:40" x14ac:dyDescent="0.25">
      <c r="A2699" t="str">
        <f>"20190312161011359"</f>
        <v>20190312161011359</v>
      </c>
      <c r="B2699" t="str">
        <f>"1552378211348929"</f>
        <v>1552378211348929</v>
      </c>
      <c r="C2699" t="s">
        <v>40</v>
      </c>
      <c r="D2699">
        <v>5.3632790000000004</v>
      </c>
      <c r="E2699">
        <v>0.36458839999999998</v>
      </c>
      <c r="F2699" t="s">
        <v>59</v>
      </c>
      <c r="G2699">
        <v>-477.93619999999999</v>
      </c>
      <c r="H2699" s="1">
        <v>2.341488E-6</v>
      </c>
      <c r="I2699">
        <v>212.38399999999999</v>
      </c>
      <c r="J2699">
        <v>-493.67399999999998</v>
      </c>
      <c r="K2699">
        <v>1.111089</v>
      </c>
      <c r="L2699">
        <v>242.6523</v>
      </c>
      <c r="M2699">
        <v>0.1215093</v>
      </c>
      <c r="N2699">
        <v>0</v>
      </c>
      <c r="O2699">
        <v>-0.99250570000000005</v>
      </c>
      <c r="P2699">
        <v>0.13147990000000001</v>
      </c>
      <c r="Q2699">
        <v>-3.2805069999999999E-2</v>
      </c>
      <c r="R2699">
        <v>-0.99077599999999999</v>
      </c>
      <c r="S2699">
        <v>1.4692689999999999</v>
      </c>
      <c r="T2699">
        <v>-0.103643899999999</v>
      </c>
      <c r="U2699">
        <v>-2.8319700000000001</v>
      </c>
      <c r="V2699">
        <v>-1.006752E-2</v>
      </c>
      <c r="W2699">
        <v>-1.9859620000000001E-2</v>
      </c>
      <c r="X2699">
        <v>0.99975210000000003</v>
      </c>
      <c r="Y2699">
        <v>-0.34899550000000001</v>
      </c>
      <c r="Z2699">
        <v>3.2939370000000003E-2</v>
      </c>
      <c r="AA2699">
        <v>0.93654530000000002</v>
      </c>
      <c r="AB2699">
        <v>13</v>
      </c>
      <c r="AC2699">
        <v>15.7378</v>
      </c>
      <c r="AD2699">
        <v>-1.1110866585120001</v>
      </c>
      <c r="AE2699">
        <v>-30.268299999999901</v>
      </c>
      <c r="AF2699">
        <v>-11.930324371287799</v>
      </c>
      <c r="AG2699">
        <v>-1.1110866585120001</v>
      </c>
      <c r="AH2699">
        <v>31.922571792697799</v>
      </c>
      <c r="AI2699">
        <v>91.867363993012802</v>
      </c>
      <c r="AJ2699">
        <v>110.49206912157101</v>
      </c>
      <c r="AK2699">
        <v>34.097180866265397</v>
      </c>
      <c r="AL2699">
        <v>91.137947207108397</v>
      </c>
      <c r="AM2699">
        <v>90.576949935500707</v>
      </c>
      <c r="AN2699">
        <v>1.00000001045995</v>
      </c>
    </row>
    <row r="2700" spans="1:40" x14ac:dyDescent="0.25">
      <c r="A2700" t="str">
        <f>"20190312161011381"</f>
        <v>20190312161011381</v>
      </c>
      <c r="B2700" t="str">
        <f>"1552378211378209"</f>
        <v>1552378211378209</v>
      </c>
      <c r="C2700" t="s">
        <v>40</v>
      </c>
      <c r="D2700">
        <v>5.3771459999999998</v>
      </c>
      <c r="E2700">
        <v>0.3664501</v>
      </c>
      <c r="F2700" t="s">
        <v>59</v>
      </c>
      <c r="G2700">
        <v>-478.52210000000002</v>
      </c>
      <c r="H2700" s="1">
        <v>2.127992E-6</v>
      </c>
      <c r="I2700">
        <v>213.4434</v>
      </c>
      <c r="J2700">
        <v>-493.65640000000002</v>
      </c>
      <c r="K2700">
        <v>1.111092</v>
      </c>
      <c r="L2700">
        <v>242.53120000000001</v>
      </c>
      <c r="M2700">
        <v>0.12382840000000001</v>
      </c>
      <c r="N2700">
        <v>0</v>
      </c>
      <c r="O2700">
        <v>-0.99221939999999997</v>
      </c>
      <c r="P2700">
        <v>0.13436979999999901</v>
      </c>
      <c r="Q2700">
        <v>-3.2352279999999997E-2</v>
      </c>
      <c r="R2700">
        <v>-0.99040289999999997</v>
      </c>
      <c r="S2700">
        <v>1.4678340000000001</v>
      </c>
      <c r="T2700">
        <v>-0.107636</v>
      </c>
      <c r="U2700">
        <v>-2.82959</v>
      </c>
      <c r="V2700">
        <v>-1.0646340000000001E-2</v>
      </c>
      <c r="W2700">
        <v>-1.9453160000000001E-2</v>
      </c>
      <c r="X2700">
        <v>0.99975409999999998</v>
      </c>
      <c r="Y2700">
        <v>-0.346732599999999</v>
      </c>
      <c r="Z2700">
        <v>3.4235670000000003E-2</v>
      </c>
      <c r="AA2700">
        <v>0.93733900000000003</v>
      </c>
      <c r="AB2700">
        <v>13</v>
      </c>
      <c r="AC2700">
        <v>15.1342999999999</v>
      </c>
      <c r="AD2700">
        <v>-1.111089872008</v>
      </c>
      <c r="AE2700">
        <v>-29.087800000000001</v>
      </c>
      <c r="AF2700">
        <v>-11.402511903140001</v>
      </c>
      <c r="AG2700">
        <v>-1.111089872008</v>
      </c>
      <c r="AH2700">
        <v>30.702851207611999</v>
      </c>
      <c r="AI2700">
        <v>91.942986267114406</v>
      </c>
      <c r="AJ2700">
        <v>110.374132334668</v>
      </c>
      <c r="AK2700">
        <v>32.770670891541002</v>
      </c>
      <c r="AL2700">
        <v>91.114654259010507</v>
      </c>
      <c r="AM2700">
        <v>90.610117320979199</v>
      </c>
      <c r="AN2700">
        <v>1.0000000152280899</v>
      </c>
    </row>
    <row r="2701" spans="1:40" x14ac:dyDescent="0.25">
      <c r="A2701" t="str">
        <f>"20190312161011403"</f>
        <v>20190312161011403</v>
      </c>
      <c r="B2701" t="str">
        <f>"1552378211398705"</f>
        <v>1552378211398705</v>
      </c>
      <c r="C2701" t="s">
        <v>40</v>
      </c>
      <c r="D2701">
        <v>5.3812800000000003</v>
      </c>
      <c r="E2701">
        <v>0.36739840000000001</v>
      </c>
      <c r="F2701" t="s">
        <v>59</v>
      </c>
      <c r="G2701">
        <v>-479.50709999999998</v>
      </c>
      <c r="H2701" s="1">
        <v>1.766241E-6</v>
      </c>
      <c r="I2701">
        <v>215.16130000000001</v>
      </c>
      <c r="J2701">
        <v>-493.6388</v>
      </c>
      <c r="K2701">
        <v>1.1110990000000001</v>
      </c>
      <c r="L2701">
        <v>242.4128</v>
      </c>
      <c r="M2701">
        <v>0.12611359999999999</v>
      </c>
      <c r="N2701">
        <v>0</v>
      </c>
      <c r="O2701">
        <v>-0.99193240000000005</v>
      </c>
      <c r="P2701">
        <v>0.13758010000000001</v>
      </c>
      <c r="Q2701">
        <v>-3.168551E-2</v>
      </c>
      <c r="R2701">
        <v>-0.98998410000000003</v>
      </c>
      <c r="S2701">
        <v>1.461487</v>
      </c>
      <c r="T2701">
        <v>-0.11476550000000001</v>
      </c>
      <c r="U2701">
        <v>-2.8270569999999999</v>
      </c>
      <c r="V2701">
        <v>-1.158227E-2</v>
      </c>
      <c r="W2701">
        <v>-1.882986E-2</v>
      </c>
      <c r="X2701">
        <v>0.99975559999999997</v>
      </c>
      <c r="Y2701">
        <v>-0.34321610000000002</v>
      </c>
      <c r="Z2701">
        <v>3.6555360000000002E-2</v>
      </c>
      <c r="AA2701">
        <v>0.93854479999999996</v>
      </c>
      <c r="AB2701">
        <v>13</v>
      </c>
      <c r="AC2701">
        <v>14.1317</v>
      </c>
      <c r="AD2701">
        <v>-1.1110972337589999</v>
      </c>
      <c r="AE2701">
        <v>-27.2515</v>
      </c>
      <c r="AF2701">
        <v>-10.5679372000562</v>
      </c>
      <c r="AG2701">
        <v>-1.1110972337589999</v>
      </c>
      <c r="AH2701">
        <v>28.7785279306216</v>
      </c>
      <c r="AI2701">
        <v>92.0756174204855</v>
      </c>
      <c r="AJ2701">
        <v>110.164045160569</v>
      </c>
      <c r="AK2701">
        <v>30.677671091215</v>
      </c>
      <c r="AL2701">
        <v>91.078935286687397</v>
      </c>
      <c r="AM2701">
        <v>90.663747721571298</v>
      </c>
      <c r="AN2701">
        <v>0.99999998616866603</v>
      </c>
    </row>
    <row r="2702" spans="1:40" x14ac:dyDescent="0.25">
      <c r="A2702" t="str">
        <f>"20190312161011427"</f>
        <v>20190312161011427</v>
      </c>
      <c r="B2702" t="str">
        <f>"1552378211418226"</f>
        <v>1552378211418226</v>
      </c>
      <c r="C2702" t="s">
        <v>40</v>
      </c>
      <c r="D2702">
        <v>5.3852320000000002</v>
      </c>
      <c r="E2702">
        <v>0.36838080000000001</v>
      </c>
      <c r="F2702" t="s">
        <v>59</v>
      </c>
      <c r="G2702">
        <v>-479.71859999999998</v>
      </c>
      <c r="H2702" s="1">
        <v>1.6895929999999999E-6</v>
      </c>
      <c r="I2702">
        <v>215.55340000000001</v>
      </c>
      <c r="J2702">
        <v>-493.6198</v>
      </c>
      <c r="K2702">
        <v>1.1111</v>
      </c>
      <c r="L2702">
        <v>242.2867</v>
      </c>
      <c r="M2702">
        <v>0.1285618</v>
      </c>
      <c r="N2702">
        <v>0</v>
      </c>
      <c r="O2702">
        <v>-0.99161840000000001</v>
      </c>
      <c r="P2702">
        <v>0.1407322</v>
      </c>
      <c r="Q2702">
        <v>-3.1293950000000001E-2</v>
      </c>
      <c r="R2702">
        <v>-0.98955309999999996</v>
      </c>
      <c r="S2702">
        <v>1.4631959999999999</v>
      </c>
      <c r="T2702">
        <v>-0.11679100000000001</v>
      </c>
      <c r="U2702">
        <v>-2.8232729999999999</v>
      </c>
      <c r="V2702">
        <v>-1.229791E-2</v>
      </c>
      <c r="W2702">
        <v>-1.8479720000000002E-2</v>
      </c>
      <c r="X2702">
        <v>0.99975360000000002</v>
      </c>
      <c r="Y2702">
        <v>-0.34184710000000001</v>
      </c>
      <c r="Z2702">
        <v>3.7230609999999997E-2</v>
      </c>
      <c r="AA2702">
        <v>0.93901780000000001</v>
      </c>
      <c r="AB2702">
        <v>12</v>
      </c>
      <c r="AC2702">
        <v>13.901199999999999</v>
      </c>
      <c r="AD2702">
        <v>-1.111098310407</v>
      </c>
      <c r="AE2702">
        <v>-26.7332999999999</v>
      </c>
      <c r="AF2702">
        <v>-10.3346048248</v>
      </c>
      <c r="AG2702">
        <v>-1.111098310407</v>
      </c>
      <c r="AH2702">
        <v>28.2603004484343</v>
      </c>
      <c r="AI2702">
        <v>92.114686270488207</v>
      </c>
      <c r="AJ2702">
        <v>110.087131620918</v>
      </c>
      <c r="AK2702">
        <v>30.111180278692999</v>
      </c>
      <c r="AL2702">
        <v>91.0588702361309</v>
      </c>
      <c r="AM2702">
        <v>90.704756455708804</v>
      </c>
      <c r="AN2702">
        <v>0.99999999967730302</v>
      </c>
    </row>
    <row r="2703" spans="1:40" x14ac:dyDescent="0.25">
      <c r="A2703" t="str">
        <f>"20190312161011449"</f>
        <v>20190312161011449</v>
      </c>
      <c r="B2703" t="str">
        <f>"1552378211438720"</f>
        <v>1552378211438720</v>
      </c>
      <c r="C2703" t="s">
        <v>40</v>
      </c>
      <c r="D2703">
        <v>5.3751540000000002</v>
      </c>
      <c r="E2703">
        <v>0.3690658</v>
      </c>
      <c r="F2703" t="s">
        <v>59</v>
      </c>
      <c r="G2703">
        <v>-480.21080000000001</v>
      </c>
      <c r="H2703" s="1">
        <v>1.66889E-6</v>
      </c>
      <c r="I2703">
        <v>216.47890000000001</v>
      </c>
      <c r="J2703">
        <v>-493.6001</v>
      </c>
      <c r="K2703">
        <v>1.1110960000000001</v>
      </c>
      <c r="L2703">
        <v>242.1585</v>
      </c>
      <c r="M2703">
        <v>0.13105810000000001</v>
      </c>
      <c r="N2703">
        <v>0</v>
      </c>
      <c r="O2703">
        <v>-0.9912919</v>
      </c>
      <c r="P2703">
        <v>0.14352590000000001</v>
      </c>
      <c r="Q2703">
        <v>-3.0748549999999999E-2</v>
      </c>
      <c r="R2703">
        <v>-0.98916879999999996</v>
      </c>
      <c r="S2703">
        <v>1.4649350000000001</v>
      </c>
      <c r="T2703">
        <v>-0.1213878</v>
      </c>
      <c r="U2703">
        <v>-2.8195039999999998</v>
      </c>
      <c r="V2703">
        <v>-1.260265E-2</v>
      </c>
      <c r="W2703">
        <v>-1.7975720000000001E-2</v>
      </c>
      <c r="X2703">
        <v>0.99975899999999995</v>
      </c>
      <c r="Y2703">
        <v>-0.34042349999999999</v>
      </c>
      <c r="Z2703">
        <v>3.8725299999999997E-2</v>
      </c>
      <c r="AA2703">
        <v>0.93947440000000004</v>
      </c>
      <c r="AB2703">
        <v>12</v>
      </c>
      <c r="AC2703">
        <v>13.389299999999899</v>
      </c>
      <c r="AD2703">
        <v>-1.1110943311100001</v>
      </c>
      <c r="AE2703">
        <v>-25.679599999999901</v>
      </c>
      <c r="AF2703">
        <v>-9.89343580039451</v>
      </c>
      <c r="AG2703">
        <v>-1.1110943311100001</v>
      </c>
      <c r="AH2703">
        <v>27.172992441748502</v>
      </c>
      <c r="AI2703">
        <v>92.200348699557594</v>
      </c>
      <c r="AJ2703">
        <v>110.006098191923</v>
      </c>
      <c r="AK2703">
        <v>28.9393524597298</v>
      </c>
      <c r="AL2703">
        <v>91.029988358352199</v>
      </c>
      <c r="AM2703">
        <v>90.722214466102599</v>
      </c>
      <c r="AN2703">
        <v>1.0000000056887699</v>
      </c>
    </row>
    <row r="2704" spans="1:40" x14ac:dyDescent="0.25">
      <c r="A2704" t="str">
        <f>"20190312161011471"</f>
        <v>20190312161011471</v>
      </c>
      <c r="B2704" t="str">
        <f>"1552378211468976"</f>
        <v>1552378211468976</v>
      </c>
      <c r="C2704" t="s">
        <v>40</v>
      </c>
      <c r="D2704">
        <v>5.3815119999999999</v>
      </c>
      <c r="E2704">
        <v>0.36976769999999998</v>
      </c>
      <c r="F2704" t="s">
        <v>59</v>
      </c>
      <c r="G2704">
        <v>-480.42149999999998</v>
      </c>
      <c r="H2704" s="1">
        <v>1.723557E-6</v>
      </c>
      <c r="I2704">
        <v>216.87469999999999</v>
      </c>
      <c r="J2704">
        <v>-493.5813</v>
      </c>
      <c r="K2704">
        <v>1.111092</v>
      </c>
      <c r="L2704">
        <v>242.03819999999999</v>
      </c>
      <c r="M2704">
        <v>0.13340759999999999</v>
      </c>
      <c r="N2704">
        <v>0</v>
      </c>
      <c r="O2704">
        <v>-0.99097939999999995</v>
      </c>
      <c r="P2704">
        <v>0.14610609999999999</v>
      </c>
      <c r="Q2704">
        <v>-3.012285E-2</v>
      </c>
      <c r="R2704">
        <v>-0.98881050000000004</v>
      </c>
      <c r="S2704">
        <v>1.4678040000000001</v>
      </c>
      <c r="T2704">
        <v>-0.123751</v>
      </c>
      <c r="U2704">
        <v>-2.816055</v>
      </c>
      <c r="V2704">
        <v>-1.2839710000000001E-2</v>
      </c>
      <c r="W2704">
        <v>-1.7390280000000001E-2</v>
      </c>
      <c r="X2704">
        <v>0.9997663</v>
      </c>
      <c r="Y2704">
        <v>-0.33940419999999999</v>
      </c>
      <c r="Z2704">
        <v>3.9500599999999997E-2</v>
      </c>
      <c r="AA2704">
        <v>0.9398109</v>
      </c>
      <c r="AB2704">
        <v>12</v>
      </c>
      <c r="AC2704">
        <v>13.159800000000001</v>
      </c>
      <c r="AD2704">
        <v>-1.111090276443</v>
      </c>
      <c r="AE2704">
        <v>-25.163499999999999</v>
      </c>
      <c r="AF2704">
        <v>-9.6700699540440596</v>
      </c>
      <c r="AG2704">
        <v>-1.111090276443</v>
      </c>
      <c r="AH2704">
        <v>26.653488149743598</v>
      </c>
      <c r="AI2704">
        <v>92.244108036095497</v>
      </c>
      <c r="AJ2704">
        <v>109.94112195039899</v>
      </c>
      <c r="AK2704">
        <v>28.375221674324099</v>
      </c>
      <c r="AL2704">
        <v>90.996439909634901</v>
      </c>
      <c r="AM2704">
        <v>90.735792706445594</v>
      </c>
      <c r="AN2704">
        <v>0.99999996730352503</v>
      </c>
    </row>
    <row r="2705" spans="1:40" x14ac:dyDescent="0.25">
      <c r="A2705" t="str">
        <f>"20190312161011492"</f>
        <v>20190312161011492</v>
      </c>
      <c r="B2705" t="str">
        <f>"1552378211488497"</f>
        <v>1552378211488497</v>
      </c>
      <c r="C2705" t="s">
        <v>40</v>
      </c>
      <c r="D2705">
        <v>5.3357250000000001</v>
      </c>
      <c r="E2705">
        <v>0.37026550000000003</v>
      </c>
      <c r="F2705" t="s">
        <v>59</v>
      </c>
      <c r="G2705">
        <v>-480.49579999999997</v>
      </c>
      <c r="H2705" s="1">
        <v>1.7415639999999901E-6</v>
      </c>
      <c r="I2705">
        <v>216.98500000000001</v>
      </c>
      <c r="J2705">
        <v>-493.56319999999999</v>
      </c>
      <c r="K2705">
        <v>1.1110819999999999</v>
      </c>
      <c r="L2705">
        <v>241.92420000000001</v>
      </c>
      <c r="M2705">
        <v>0.13563120000000001</v>
      </c>
      <c r="N2705">
        <v>0</v>
      </c>
      <c r="O2705">
        <v>-0.99067780000000005</v>
      </c>
      <c r="P2705">
        <v>0.14864920000000001</v>
      </c>
      <c r="Q2705">
        <v>-2.9369949999999999E-2</v>
      </c>
      <c r="R2705">
        <v>-0.98845400000000005</v>
      </c>
      <c r="S2705">
        <v>1.4692689999999999</v>
      </c>
      <c r="T2705">
        <v>-0.1247554</v>
      </c>
      <c r="U2705">
        <v>-2.8130190000000002</v>
      </c>
      <c r="V2705">
        <v>-1.316643E-2</v>
      </c>
      <c r="W2705">
        <v>-1.6674850000000001E-2</v>
      </c>
      <c r="X2705">
        <v>0.9997743</v>
      </c>
      <c r="Y2705">
        <v>-0.33808700000000003</v>
      </c>
      <c r="Z2705">
        <v>3.9845520000000002E-2</v>
      </c>
      <c r="AA2705">
        <v>0.94027099999999997</v>
      </c>
      <c r="AB2705">
        <v>12</v>
      </c>
      <c r="AC2705">
        <v>13.067399999999999</v>
      </c>
      <c r="AD2705">
        <v>-1.111080258436</v>
      </c>
      <c r="AE2705">
        <v>-24.9392</v>
      </c>
      <c r="AF2705">
        <v>-9.5489520747622798</v>
      </c>
      <c r="AG2705">
        <v>-1.111080258436</v>
      </c>
      <c r="AH2705">
        <v>26.440024782074602</v>
      </c>
      <c r="AI2705">
        <v>92.263381635259705</v>
      </c>
      <c r="AJ2705">
        <v>109.857448340855</v>
      </c>
      <c r="AK2705">
        <v>28.133465757768199</v>
      </c>
      <c r="AL2705">
        <v>90.955442782447605</v>
      </c>
      <c r="AM2705">
        <v>90.754507555595197</v>
      </c>
      <c r="AN2705">
        <v>1.00000002822097</v>
      </c>
    </row>
    <row r="2706" spans="1:40" x14ac:dyDescent="0.25">
      <c r="A2706" t="str">
        <f>"20190312161011514"</f>
        <v>20190312161011514</v>
      </c>
      <c r="B2706" t="str">
        <f>"1552378211508993"</f>
        <v>1552378211508993</v>
      </c>
      <c r="C2706" t="s">
        <v>40</v>
      </c>
      <c r="D2706">
        <v>5.3344300000000002</v>
      </c>
      <c r="E2706">
        <v>0.37066199999999999</v>
      </c>
      <c r="F2706" t="s">
        <v>59</v>
      </c>
      <c r="G2706">
        <v>-480.66309999999999</v>
      </c>
      <c r="H2706" s="1">
        <v>1.785887E-6</v>
      </c>
      <c r="I2706">
        <v>217.3201</v>
      </c>
      <c r="J2706">
        <v>-493.54349999999999</v>
      </c>
      <c r="K2706">
        <v>1.11107</v>
      </c>
      <c r="L2706">
        <v>241.8013</v>
      </c>
      <c r="M2706">
        <v>0.13802600000000001</v>
      </c>
      <c r="N2706">
        <v>0</v>
      </c>
      <c r="O2706">
        <v>-0.99034750000000005</v>
      </c>
      <c r="P2706">
        <v>0.1514364</v>
      </c>
      <c r="Q2706">
        <v>-2.9061590000000002E-2</v>
      </c>
      <c r="R2706">
        <v>-0.98804000000000003</v>
      </c>
      <c r="S2706">
        <v>1.4731749999999999</v>
      </c>
      <c r="T2706">
        <v>-0.12688350000000001</v>
      </c>
      <c r="U2706">
        <v>-2.8097530000000002</v>
      </c>
      <c r="V2706">
        <v>-1.356884E-2</v>
      </c>
      <c r="W2706">
        <v>-1.640374E-2</v>
      </c>
      <c r="X2706">
        <v>0.99977340000000003</v>
      </c>
      <c r="Y2706">
        <v>-0.33727309999999999</v>
      </c>
      <c r="Z2706">
        <v>4.0538970000000001E-2</v>
      </c>
      <c r="AA2706">
        <v>0.94053359999999997</v>
      </c>
      <c r="AB2706">
        <v>12</v>
      </c>
      <c r="AC2706">
        <v>12.8804</v>
      </c>
      <c r="AD2706">
        <v>-1.1110682141129999</v>
      </c>
      <c r="AE2706">
        <v>-24.481200000000001</v>
      </c>
      <c r="AF2706">
        <v>-9.3626792991045704</v>
      </c>
      <c r="AG2706">
        <v>-1.1110682141129999</v>
      </c>
      <c r="AH2706">
        <v>25.9829003443663</v>
      </c>
      <c r="AI2706">
        <v>92.303733199142997</v>
      </c>
      <c r="AJ2706">
        <v>109.81612195850801</v>
      </c>
      <c r="AK2706">
        <v>27.6406466375077</v>
      </c>
      <c r="AL2706">
        <v>90.939907203268305</v>
      </c>
      <c r="AM2706">
        <v>90.777565732716596</v>
      </c>
      <c r="AN2706">
        <v>1.0000000237262401</v>
      </c>
    </row>
    <row r="2707" spans="1:40" x14ac:dyDescent="0.25">
      <c r="A2707" t="str">
        <f>"20190312161011537"</f>
        <v>20190312161011537</v>
      </c>
      <c r="B2707" t="str">
        <f>"1552378211528513"</f>
        <v>1552378211528513</v>
      </c>
      <c r="C2707" t="s">
        <v>40</v>
      </c>
      <c r="D2707">
        <v>5.2962389999999999</v>
      </c>
      <c r="E2707">
        <v>0.3709614</v>
      </c>
      <c r="F2707" t="s">
        <v>59</v>
      </c>
      <c r="G2707">
        <v>-480.53410000000002</v>
      </c>
      <c r="H2707" s="1">
        <v>1.75335999999999E-6</v>
      </c>
      <c r="I2707">
        <v>217.0992</v>
      </c>
      <c r="J2707">
        <v>-493.52339999999998</v>
      </c>
      <c r="K2707">
        <v>1.1110530000000001</v>
      </c>
      <c r="L2707">
        <v>241.67789999999999</v>
      </c>
      <c r="M2707">
        <v>0.14042379999999999</v>
      </c>
      <c r="N2707">
        <v>0</v>
      </c>
      <c r="O2707">
        <v>-0.99001070000000002</v>
      </c>
      <c r="P2707">
        <v>0.15379329999999999</v>
      </c>
      <c r="Q2707">
        <v>-2.8472790000000001E-2</v>
      </c>
      <c r="R2707">
        <v>-0.98769280000000004</v>
      </c>
      <c r="S2707">
        <v>1.4778439999999999</v>
      </c>
      <c r="T2707">
        <v>-0.12621559999999901</v>
      </c>
      <c r="U2707">
        <v>-2.8061219999999998</v>
      </c>
      <c r="V2707">
        <v>-1.3532260000000001E-2</v>
      </c>
      <c r="W2707">
        <v>-1.5847090000000001E-2</v>
      </c>
      <c r="X2707">
        <v>0.99978290000000003</v>
      </c>
      <c r="Y2707">
        <v>-0.33672390000000002</v>
      </c>
      <c r="Z2707">
        <v>4.0340649999999999E-2</v>
      </c>
      <c r="AA2707">
        <v>0.94073890000000004</v>
      </c>
      <c r="AB2707">
        <v>12</v>
      </c>
      <c r="AC2707">
        <v>12.989299999999901</v>
      </c>
      <c r="AD2707">
        <v>-1.11105124664</v>
      </c>
      <c r="AE2707">
        <v>-24.578700000000001</v>
      </c>
      <c r="AF2707">
        <v>-9.3938594845334205</v>
      </c>
      <c r="AG2707">
        <v>-1.11105124664</v>
      </c>
      <c r="AH2707">
        <v>26.117558175881499</v>
      </c>
      <c r="AI2707">
        <v>92.292317804120003</v>
      </c>
      <c r="AJ2707">
        <v>109.782441893997</v>
      </c>
      <c r="AK2707">
        <v>27.7777946561345</v>
      </c>
      <c r="AL2707">
        <v>90.908009336884106</v>
      </c>
      <c r="AM2707">
        <v>90.775462395436605</v>
      </c>
      <c r="AN2707">
        <v>1.0000000497272901</v>
      </c>
    </row>
    <row r="2708" spans="1:40" x14ac:dyDescent="0.25">
      <c r="A2708" t="str">
        <f>"20190312161011559"</f>
        <v>20190312161011559</v>
      </c>
      <c r="B2708" t="str">
        <f>"1552378211549008"</f>
        <v>1552378211549008</v>
      </c>
      <c r="C2708" t="s">
        <v>40</v>
      </c>
      <c r="D2708">
        <v>5.2899479999999999</v>
      </c>
      <c r="E2708">
        <v>0.37110409999999999</v>
      </c>
      <c r="F2708" t="s">
        <v>59</v>
      </c>
      <c r="G2708">
        <v>-480.15550000000002</v>
      </c>
      <c r="H2708" s="1">
        <v>1.655521E-6</v>
      </c>
      <c r="I2708">
        <v>216.39769999999999</v>
      </c>
      <c r="J2708">
        <v>-493.5034</v>
      </c>
      <c r="K2708">
        <v>1.111049</v>
      </c>
      <c r="L2708">
        <v>241.55760000000001</v>
      </c>
      <c r="M2708">
        <v>0.14275660000000001</v>
      </c>
      <c r="N2708">
        <v>0</v>
      </c>
      <c r="O2708">
        <v>-0.98967740000000004</v>
      </c>
      <c r="P2708">
        <v>0.15608710000000001</v>
      </c>
      <c r="Q2708">
        <v>-2.7901599999999901E-2</v>
      </c>
      <c r="R2708">
        <v>-0.98734929999999999</v>
      </c>
      <c r="S2708">
        <v>1.482208</v>
      </c>
      <c r="T2708">
        <v>-0.1231911</v>
      </c>
      <c r="U2708">
        <v>-2.8030240000000002</v>
      </c>
      <c r="V2708">
        <v>-1.349709E-2</v>
      </c>
      <c r="W2708">
        <v>-1.5303840000000001E-2</v>
      </c>
      <c r="X2708">
        <v>0.99979180000000001</v>
      </c>
      <c r="Y2708">
        <v>-0.33609660000000002</v>
      </c>
      <c r="Z2708">
        <v>3.9384990000000002E-2</v>
      </c>
      <c r="AA2708">
        <v>0.9410037</v>
      </c>
      <c r="AB2708">
        <v>12</v>
      </c>
      <c r="AC2708">
        <v>13.3478999999999</v>
      </c>
      <c r="AD2708">
        <v>-1.1110473444790001</v>
      </c>
      <c r="AE2708">
        <v>-25.1599</v>
      </c>
      <c r="AF2708">
        <v>-9.6045231757034593</v>
      </c>
      <c r="AG2708">
        <v>-1.1110473444790001</v>
      </c>
      <c r="AH2708">
        <v>26.767086293551301</v>
      </c>
      <c r="AI2708">
        <v>92.2373517691465</v>
      </c>
      <c r="AJ2708">
        <v>109.738920653675</v>
      </c>
      <c r="AK2708">
        <v>28.4597645858275</v>
      </c>
      <c r="AL2708">
        <v>90.876879663470604</v>
      </c>
      <c r="AM2708">
        <v>90.773440349244296</v>
      </c>
      <c r="AN2708">
        <v>1.00000001115222</v>
      </c>
    </row>
    <row r="2709" spans="1:40" x14ac:dyDescent="0.25">
      <c r="A2709" t="str">
        <f>"20190312161011581"</f>
        <v>20190312161011581</v>
      </c>
      <c r="B2709" t="str">
        <f>"1552378211578289"</f>
        <v>1552378211578289</v>
      </c>
      <c r="C2709" t="s">
        <v>40</v>
      </c>
      <c r="D2709">
        <v>5.2185819999999996</v>
      </c>
      <c r="E2709">
        <v>0.37123469999999997</v>
      </c>
      <c r="F2709" t="s">
        <v>59</v>
      </c>
      <c r="G2709">
        <v>-479.90069999999997</v>
      </c>
      <c r="H2709" s="1">
        <v>1.6265400000000001E-6</v>
      </c>
      <c r="I2709">
        <v>215.95830000000001</v>
      </c>
      <c r="J2709">
        <v>-493.48410000000001</v>
      </c>
      <c r="K2709">
        <v>1.1110420000000001</v>
      </c>
      <c r="L2709">
        <v>241.44229999999999</v>
      </c>
      <c r="M2709">
        <v>0.14498949999999999</v>
      </c>
      <c r="N2709">
        <v>0</v>
      </c>
      <c r="O2709">
        <v>-0.98935309999999999</v>
      </c>
      <c r="P2709">
        <v>0.15905820000000001</v>
      </c>
      <c r="Q2709">
        <v>-2.76666E-2</v>
      </c>
      <c r="R2709">
        <v>-0.98688160000000003</v>
      </c>
      <c r="S2709">
        <v>1.4877320000000001</v>
      </c>
      <c r="T2709">
        <v>-0.12151579999999999</v>
      </c>
      <c r="U2709">
        <v>-2.7998050000000001</v>
      </c>
      <c r="V2709">
        <v>-1.424943E-2</v>
      </c>
      <c r="W2709">
        <v>-1.50977E-2</v>
      </c>
      <c r="X2709">
        <v>0.99978449999999996</v>
      </c>
      <c r="Y2709">
        <v>-0.33587719999999999</v>
      </c>
      <c r="Z2709">
        <v>3.8855010000000002E-2</v>
      </c>
      <c r="AA2709">
        <v>0.94110400000000005</v>
      </c>
      <c r="AB2709">
        <v>12</v>
      </c>
      <c r="AC2709">
        <v>13.583399999999999</v>
      </c>
      <c r="AD2709">
        <v>-1.1110403734600001</v>
      </c>
      <c r="AE2709">
        <v>-25.483999999999899</v>
      </c>
      <c r="AF2709">
        <v>-9.73023592562798</v>
      </c>
      <c r="AG2709">
        <v>-1.1110403734600001</v>
      </c>
      <c r="AH2709">
        <v>27.1441000906479</v>
      </c>
      <c r="AI2709">
        <v>92.206540377691795</v>
      </c>
      <c r="AJ2709">
        <v>109.72102853621899</v>
      </c>
      <c r="AK2709">
        <v>28.856785538430099</v>
      </c>
      <c r="AL2709">
        <v>90.865067342085894</v>
      </c>
      <c r="AM2709">
        <v>90.816552891694599</v>
      </c>
      <c r="AN2709">
        <v>1.0000000166204299</v>
      </c>
    </row>
    <row r="2710" spans="1:40" x14ac:dyDescent="0.25">
      <c r="A2710" t="str">
        <f>"20190312161012041"</f>
        <v>20190312161012041</v>
      </c>
      <c r="B2710" t="str">
        <f>"1552378212038961"</f>
        <v>1552378212038961</v>
      </c>
      <c r="C2710" t="s">
        <v>40</v>
      </c>
      <c r="D2710">
        <v>5.0833009999999996</v>
      </c>
      <c r="E2710">
        <v>0.37102800000000002</v>
      </c>
      <c r="F2710" t="s">
        <v>59</v>
      </c>
      <c r="G2710">
        <v>-479.67230000000001</v>
      </c>
      <c r="H2710" s="1">
        <v>1.7129970000000001E-6</v>
      </c>
      <c r="I2710">
        <v>215.6191</v>
      </c>
      <c r="J2710">
        <v>-493.00479999999999</v>
      </c>
      <c r="K2710">
        <v>1.11094</v>
      </c>
      <c r="L2710">
        <v>238.9718</v>
      </c>
      <c r="M2710">
        <v>0.192861</v>
      </c>
      <c r="N2710">
        <v>0</v>
      </c>
      <c r="O2710">
        <v>-0.98115229999999998</v>
      </c>
      <c r="P2710">
        <v>0.20645359999999999</v>
      </c>
      <c r="Q2710">
        <v>-3.0659470000000001E-2</v>
      </c>
      <c r="R2710">
        <v>-0.97797610000000001</v>
      </c>
      <c r="S2710">
        <v>1.495209</v>
      </c>
      <c r="T2710">
        <v>-0.1202767</v>
      </c>
      <c r="U2710">
        <v>-2.7955169999999998</v>
      </c>
      <c r="V2710">
        <v>-1.391536E-2</v>
      </c>
      <c r="W2710">
        <v>-1.8648769999999999E-2</v>
      </c>
      <c r="X2710">
        <v>0.99972930000000004</v>
      </c>
      <c r="Y2710">
        <v>-0.29235450000000002</v>
      </c>
      <c r="Z2710">
        <v>3.829362E-2</v>
      </c>
      <c r="AA2710">
        <v>0.95554300000000003</v>
      </c>
      <c r="AB2710">
        <v>12</v>
      </c>
      <c r="AC2710">
        <v>13.3324999999999</v>
      </c>
      <c r="AD2710">
        <v>-1.110938287003</v>
      </c>
      <c r="AE2710">
        <v>-23.352699999999999</v>
      </c>
      <c r="AF2710">
        <v>-8.5633931530459204</v>
      </c>
      <c r="AG2710">
        <v>-1.110938287003</v>
      </c>
      <c r="AH2710">
        <v>25.4422952699449</v>
      </c>
      <c r="AI2710">
        <v>92.369763530580201</v>
      </c>
      <c r="AJ2710">
        <v>108.60225511116801</v>
      </c>
      <c r="AK2710">
        <v>26.867755298391099</v>
      </c>
      <c r="AL2710">
        <v>91.068557710217107</v>
      </c>
      <c r="AM2710">
        <v>90.797455786028607</v>
      </c>
      <c r="AN2710">
        <v>1.0000000435724601</v>
      </c>
    </row>
    <row r="2711" spans="1:40" x14ac:dyDescent="0.25">
      <c r="A2711" t="str">
        <f>"20190312161012063"</f>
        <v>20190312161012063</v>
      </c>
      <c r="B2711" t="str">
        <f>"1552378212058481"</f>
        <v>1552378212058481</v>
      </c>
      <c r="C2711" t="s">
        <v>40</v>
      </c>
      <c r="D2711">
        <v>5.1635339999999896</v>
      </c>
      <c r="E2711">
        <v>0.37041970000000002</v>
      </c>
      <c r="F2711" t="s">
        <v>59</v>
      </c>
      <c r="G2711">
        <v>-479.35329999999999</v>
      </c>
      <c r="H2711" s="1">
        <v>1.8792309999999999E-6</v>
      </c>
      <c r="I2711">
        <v>216.18520000000001</v>
      </c>
      <c r="J2711">
        <v>-492.97919999999999</v>
      </c>
      <c r="K2711">
        <v>1.1109420000000001</v>
      </c>
      <c r="L2711">
        <v>238.85570000000001</v>
      </c>
      <c r="M2711">
        <v>0.19511410000000001</v>
      </c>
      <c r="N2711">
        <v>0</v>
      </c>
      <c r="O2711">
        <v>-0.9807072</v>
      </c>
      <c r="P2711">
        <v>0.2093931</v>
      </c>
      <c r="Q2711">
        <v>-3.053676E-2</v>
      </c>
      <c r="R2711">
        <v>-0.97735470000000002</v>
      </c>
      <c r="S2711">
        <v>1.6292420000000001</v>
      </c>
      <c r="T2711">
        <v>-0.13258529999999999</v>
      </c>
      <c r="U2711">
        <v>-2.7194820000000002</v>
      </c>
      <c r="V2711">
        <v>-1.462424E-2</v>
      </c>
      <c r="W2711">
        <v>-1.856294E-2</v>
      </c>
      <c r="X2711">
        <v>0.99972079999999997</v>
      </c>
      <c r="Y2711">
        <v>-0.33619539999999998</v>
      </c>
      <c r="Z2711">
        <v>4.2396080000000003E-2</v>
      </c>
      <c r="AA2711">
        <v>0.94083749999999999</v>
      </c>
      <c r="AB2711">
        <v>12</v>
      </c>
      <c r="AC2711">
        <v>13.6259</v>
      </c>
      <c r="AD2711">
        <v>-1.110940120769</v>
      </c>
      <c r="AE2711">
        <v>-22.670500000000001</v>
      </c>
      <c r="AF2711">
        <v>-8.92458342187075</v>
      </c>
      <c r="AG2711">
        <v>-1.110940120769</v>
      </c>
      <c r="AH2711">
        <v>24.849681531850301</v>
      </c>
      <c r="AI2711">
        <v>92.409309370621401</v>
      </c>
      <c r="AJ2711">
        <v>109.755383826985</v>
      </c>
      <c r="AK2711">
        <v>26.427051470798801</v>
      </c>
      <c r="AL2711">
        <v>91.063639139944897</v>
      </c>
      <c r="AM2711">
        <v>90.838081463275699</v>
      </c>
      <c r="AN2711">
        <v>1.0000000645448199</v>
      </c>
    </row>
    <row r="2712" spans="1:40" x14ac:dyDescent="0.25">
      <c r="A2712" t="str">
        <f>"20190312161012084"</f>
        <v>20190312161012084</v>
      </c>
      <c r="B2712" t="str">
        <f>"1552378212078977"</f>
        <v>1552378212078977</v>
      </c>
      <c r="C2712" t="s">
        <v>40</v>
      </c>
      <c r="D2712">
        <v>5.1840599999999997</v>
      </c>
      <c r="E2712">
        <v>0.37029390000000001</v>
      </c>
      <c r="F2712" t="s">
        <v>59</v>
      </c>
      <c r="G2712">
        <v>-479.36329999999998</v>
      </c>
      <c r="H2712" s="1">
        <v>1.882424E-6</v>
      </c>
      <c r="I2712">
        <v>216.35929999999999</v>
      </c>
      <c r="J2712">
        <v>-492.95350000000002</v>
      </c>
      <c r="K2712">
        <v>1.1109309999999999</v>
      </c>
      <c r="L2712">
        <v>238.7407</v>
      </c>
      <c r="M2712">
        <v>0.19734699999999999</v>
      </c>
      <c r="N2712">
        <v>0</v>
      </c>
      <c r="O2712">
        <v>-0.98026069999999998</v>
      </c>
      <c r="P2712">
        <v>0.21211389999999999</v>
      </c>
      <c r="Q2712">
        <v>-3.093953E-2</v>
      </c>
      <c r="R2712">
        <v>-0.97675509999999999</v>
      </c>
      <c r="S2712">
        <v>1.642334</v>
      </c>
      <c r="T2712">
        <v>-0.13400020000000001</v>
      </c>
      <c r="U2712">
        <v>-2.7134860000000001</v>
      </c>
      <c r="V2712">
        <v>-1.5133229999999999E-2</v>
      </c>
      <c r="W2712">
        <v>-1.9004210000000001E-2</v>
      </c>
      <c r="X2712">
        <v>0.99970490000000001</v>
      </c>
      <c r="Y2712">
        <v>-0.33828599999999998</v>
      </c>
      <c r="Z2712">
        <v>4.2832960000000003E-2</v>
      </c>
      <c r="AA2712">
        <v>0.94006809999999996</v>
      </c>
      <c r="AB2712">
        <v>12</v>
      </c>
      <c r="AC2712">
        <v>13.590199999999999</v>
      </c>
      <c r="AD2712">
        <v>-1.1109291175760001</v>
      </c>
      <c r="AE2712">
        <v>-22.381399999999999</v>
      </c>
      <c r="AF2712">
        <v>-8.8896721277137498</v>
      </c>
      <c r="AG2712">
        <v>-1.1109291175760001</v>
      </c>
      <c r="AH2712">
        <v>24.5791100983487</v>
      </c>
      <c r="AI2712">
        <v>92.433810656933204</v>
      </c>
      <c r="AJ2712">
        <v>109.88383696927001</v>
      </c>
      <c r="AK2712">
        <v>26.160907615548801</v>
      </c>
      <c r="AL2712">
        <v>91.088926545194099</v>
      </c>
      <c r="AM2712">
        <v>90.8672599172302</v>
      </c>
      <c r="AN2712">
        <v>1.00000003086598</v>
      </c>
    </row>
    <row r="2713" spans="1:40" x14ac:dyDescent="0.25">
      <c r="A2713" t="str">
        <f>"20190312161012107"</f>
        <v>20190312161012107</v>
      </c>
      <c r="B2713" t="str">
        <f>"1552378212098498"</f>
        <v>1552378212098498</v>
      </c>
      <c r="C2713" t="s">
        <v>40</v>
      </c>
      <c r="D2713">
        <v>5.2720469999999997</v>
      </c>
      <c r="E2713">
        <v>0.36996449999999997</v>
      </c>
      <c r="F2713" t="s">
        <v>59</v>
      </c>
      <c r="G2713">
        <v>-479.36520000000002</v>
      </c>
      <c r="H2713" s="1">
        <v>1.885448E-6</v>
      </c>
      <c r="I2713">
        <v>216.44820000000001</v>
      </c>
      <c r="J2713">
        <v>-492.92619999999999</v>
      </c>
      <c r="K2713">
        <v>1.1109260000000001</v>
      </c>
      <c r="L2713">
        <v>238.61949999999999</v>
      </c>
      <c r="M2713">
        <v>0.19970209999999999</v>
      </c>
      <c r="N2713">
        <v>0</v>
      </c>
      <c r="O2713">
        <v>-0.9797844</v>
      </c>
      <c r="P2713">
        <v>0.2145948</v>
      </c>
      <c r="Q2713">
        <v>-3.1817560000000002E-2</v>
      </c>
      <c r="R2713">
        <v>-0.97618530000000003</v>
      </c>
      <c r="S2713">
        <v>1.6510009999999999</v>
      </c>
      <c r="T2713">
        <v>-0.1349794</v>
      </c>
      <c r="U2713">
        <v>-2.7085720000000002</v>
      </c>
      <c r="V2713">
        <v>-1.527454E-2</v>
      </c>
      <c r="W2713">
        <v>-1.99306E-2</v>
      </c>
      <c r="X2713">
        <v>0.99968469999999998</v>
      </c>
      <c r="Y2713">
        <v>-0.33896920000000003</v>
      </c>
      <c r="Z2713">
        <v>4.314171E-2</v>
      </c>
      <c r="AA2713">
        <v>0.93980779999999997</v>
      </c>
      <c r="AB2713">
        <v>12</v>
      </c>
      <c r="AC2713">
        <v>13.5609999999999</v>
      </c>
      <c r="AD2713">
        <v>-1.1109241145519999</v>
      </c>
      <c r="AE2713">
        <v>-22.171299999999899</v>
      </c>
      <c r="AF2713">
        <v>-8.8436700301289992</v>
      </c>
      <c r="AG2713">
        <v>-1.1109241145519999</v>
      </c>
      <c r="AH2713">
        <v>24.388423660875102</v>
      </c>
      <c r="AI2713">
        <v>92.452067350212104</v>
      </c>
      <c r="AJ2713">
        <v>109.931532464735</v>
      </c>
      <c r="AK2713">
        <v>25.9661291041316</v>
      </c>
      <c r="AL2713">
        <v>91.142014855813699</v>
      </c>
      <c r="AM2713">
        <v>90.875374586037594</v>
      </c>
      <c r="AN2713">
        <v>1.0000000199013299</v>
      </c>
    </row>
    <row r="2714" spans="1:40" x14ac:dyDescent="0.25">
      <c r="A2714" t="str">
        <f>"20190312161012129"</f>
        <v>20190312161012129</v>
      </c>
      <c r="B2714" t="str">
        <f>"1552378212118993"</f>
        <v>1552378212118993</v>
      </c>
      <c r="C2714" t="s">
        <v>40</v>
      </c>
      <c r="D2714">
        <v>5.2980460000000003</v>
      </c>
      <c r="E2714">
        <v>0.36985400000000002</v>
      </c>
      <c r="F2714" t="s">
        <v>59</v>
      </c>
      <c r="G2714">
        <v>-479.23540000000003</v>
      </c>
      <c r="H2714" s="1">
        <v>1.9379129999999998E-6</v>
      </c>
      <c r="I2714">
        <v>216.33199999999999</v>
      </c>
      <c r="J2714">
        <v>-492.89960000000002</v>
      </c>
      <c r="K2714">
        <v>1.1109199999999999</v>
      </c>
      <c r="L2714">
        <v>238.50280000000001</v>
      </c>
      <c r="M2714">
        <v>0.20197109999999999</v>
      </c>
      <c r="N2714">
        <v>0</v>
      </c>
      <c r="O2714">
        <v>-0.97931970000000002</v>
      </c>
      <c r="P2714">
        <v>0.2167261</v>
      </c>
      <c r="Q2714">
        <v>-3.1614129999999997E-2</v>
      </c>
      <c r="R2714">
        <v>-0.97572040000000004</v>
      </c>
      <c r="S2714">
        <v>1.660828</v>
      </c>
      <c r="T2714">
        <v>-0.1347661</v>
      </c>
      <c r="U2714">
        <v>-2.7036899999999999</v>
      </c>
      <c r="V2714">
        <v>-1.514063E-2</v>
      </c>
      <c r="W2714">
        <v>-1.9781179999999999E-2</v>
      </c>
      <c r="X2714">
        <v>0.99968970000000001</v>
      </c>
      <c r="Y2714">
        <v>-0.3400299</v>
      </c>
      <c r="Z2714">
        <v>4.3062700000000002E-2</v>
      </c>
      <c r="AA2714">
        <v>0.93942820000000005</v>
      </c>
      <c r="AB2714">
        <v>12</v>
      </c>
      <c r="AC2714">
        <v>13.6641999999999</v>
      </c>
      <c r="AD2714">
        <v>-1.1109180620870001</v>
      </c>
      <c r="AE2714">
        <v>-22.1708</v>
      </c>
      <c r="AF2714">
        <v>-8.8882125646392893</v>
      </c>
      <c r="AG2714">
        <v>-1.1109180620870001</v>
      </c>
      <c r="AH2714">
        <v>24.429344124267399</v>
      </c>
      <c r="AI2714">
        <v>92.446997903452299</v>
      </c>
      <c r="AJ2714">
        <v>109.993079330432</v>
      </c>
      <c r="AK2714">
        <v>26.019748574434001</v>
      </c>
      <c r="AL2714">
        <v>91.133452037991702</v>
      </c>
      <c r="AM2714">
        <v>90.867697124816203</v>
      </c>
      <c r="AN2714">
        <v>1.0000000150225301</v>
      </c>
    </row>
    <row r="2715" spans="1:40" x14ac:dyDescent="0.25">
      <c r="A2715" t="str">
        <f>"20190312161012151"</f>
        <v>20190312161012151</v>
      </c>
      <c r="B2715" t="str">
        <f>"1552378212148274"</f>
        <v>1552378212148274</v>
      </c>
      <c r="C2715" t="s">
        <v>40</v>
      </c>
      <c r="D2715">
        <v>5.3760149999999998</v>
      </c>
      <c r="E2715">
        <v>0.36985709999999999</v>
      </c>
      <c r="F2715" t="s">
        <v>59</v>
      </c>
      <c r="G2715">
        <v>-479.09539999999998</v>
      </c>
      <c r="H2715" s="1">
        <v>1.9919560000000002E-6</v>
      </c>
      <c r="I2715">
        <v>216.1482</v>
      </c>
      <c r="J2715">
        <v>-492.87279999999998</v>
      </c>
      <c r="K2715">
        <v>1.110908</v>
      </c>
      <c r="L2715">
        <v>238.38650000000001</v>
      </c>
      <c r="M2715">
        <v>0.20423269999999999</v>
      </c>
      <c r="N2715">
        <v>0</v>
      </c>
      <c r="O2715">
        <v>-0.97885140000000004</v>
      </c>
      <c r="P2715">
        <v>0.21874189999999999</v>
      </c>
      <c r="Q2715">
        <v>-3.1381810000000003E-2</v>
      </c>
      <c r="R2715">
        <v>-0.97527830000000004</v>
      </c>
      <c r="S2715">
        <v>1.6672669999999901</v>
      </c>
      <c r="T2715">
        <v>-0.13417670000000001</v>
      </c>
      <c r="U2715">
        <v>-2.6999819999999999</v>
      </c>
      <c r="V2715">
        <v>-1.4896619999999999E-2</v>
      </c>
      <c r="W2715">
        <v>-1.9609379999999999E-2</v>
      </c>
      <c r="X2715">
        <v>0.99969669999999999</v>
      </c>
      <c r="Y2715">
        <v>-0.34006130000000001</v>
      </c>
      <c r="Z2715">
        <v>4.2868820000000002E-2</v>
      </c>
      <c r="AA2715">
        <v>0.93942559999999997</v>
      </c>
      <c r="AB2715">
        <v>12</v>
      </c>
      <c r="AC2715">
        <v>13.7774</v>
      </c>
      <c r="AD2715">
        <v>-1.1109060080439901</v>
      </c>
      <c r="AE2715">
        <v>-22.238299999999999</v>
      </c>
      <c r="AF2715">
        <v>-8.9287593146763093</v>
      </c>
      <c r="AG2715">
        <v>-1.1109060080439901</v>
      </c>
      <c r="AH2715">
        <v>24.5392426713452</v>
      </c>
      <c r="AI2715">
        <v>92.436007995866703</v>
      </c>
      <c r="AJ2715">
        <v>109.994238083377</v>
      </c>
      <c r="AK2715">
        <v>26.136780328519801</v>
      </c>
      <c r="AL2715">
        <v>91.123606770240997</v>
      </c>
      <c r="AM2715">
        <v>90.853709220929602</v>
      </c>
      <c r="AN2715">
        <v>0.99999996453114803</v>
      </c>
    </row>
    <row r="2716" spans="1:40" x14ac:dyDescent="0.25">
      <c r="A2716" t="str">
        <f>"20190312161012172"</f>
        <v>20190312161012172</v>
      </c>
      <c r="B2716" t="str">
        <f>"1552378212168770"</f>
        <v>1552378212168770</v>
      </c>
      <c r="C2716" t="s">
        <v>40</v>
      </c>
      <c r="D2716">
        <v>5.4376720000000001</v>
      </c>
      <c r="E2716">
        <v>0.36989149999999998</v>
      </c>
      <c r="F2716" t="s">
        <v>59</v>
      </c>
      <c r="G2716">
        <v>-479.02280000000002</v>
      </c>
      <c r="H2716" s="1">
        <v>2.0202090000000002E-6</v>
      </c>
      <c r="I2716">
        <v>216.05760000000001</v>
      </c>
      <c r="J2716">
        <v>-492.84629999999999</v>
      </c>
      <c r="K2716">
        <v>1.1108910000000001</v>
      </c>
      <c r="L2716">
        <v>238.2723</v>
      </c>
      <c r="M2716">
        <v>0.2064532</v>
      </c>
      <c r="N2716">
        <v>0</v>
      </c>
      <c r="O2716">
        <v>-0.97838599999999998</v>
      </c>
      <c r="P2716">
        <v>0.2208881</v>
      </c>
      <c r="Q2716">
        <v>-3.1716870000000001E-2</v>
      </c>
      <c r="R2716">
        <v>-0.97478319999999996</v>
      </c>
      <c r="S2716">
        <v>1.672607</v>
      </c>
      <c r="T2716">
        <v>-0.13415940000000001</v>
      </c>
      <c r="U2716">
        <v>-2.696564</v>
      </c>
      <c r="V2716">
        <v>-1.483024E-2</v>
      </c>
      <c r="W2716">
        <v>-2.0011060000000001E-2</v>
      </c>
      <c r="X2716">
        <v>0.99968979999999996</v>
      </c>
      <c r="Y2716">
        <v>-0.33980500000000002</v>
      </c>
      <c r="Z2716">
        <v>4.2860160000000001E-2</v>
      </c>
      <c r="AA2716">
        <v>0.93951879999999999</v>
      </c>
      <c r="AB2716">
        <v>12</v>
      </c>
      <c r="AC2716">
        <v>13.8234999999999</v>
      </c>
      <c r="AD2716">
        <v>-1.110888979791</v>
      </c>
      <c r="AE2716">
        <v>-22.214700000000001</v>
      </c>
      <c r="AF2716">
        <v>-8.9229542607265397</v>
      </c>
      <c r="AG2716">
        <v>-1.110888979791</v>
      </c>
      <c r="AH2716">
        <v>24.5459048483647</v>
      </c>
      <c r="AI2716">
        <v>92.435572277744697</v>
      </c>
      <c r="AJ2716">
        <v>109.977273325334</v>
      </c>
      <c r="AK2716">
        <v>26.141052616323901</v>
      </c>
      <c r="AL2716">
        <v>91.146625773687006</v>
      </c>
      <c r="AM2716">
        <v>90.8499114793145</v>
      </c>
      <c r="AN2716">
        <v>1.0000000373824001</v>
      </c>
    </row>
    <row r="2717" spans="1:40" x14ac:dyDescent="0.25">
      <c r="A2717" t="str">
        <f>"20190312161012196"</f>
        <v>20190312161012196</v>
      </c>
      <c r="B2717" t="str">
        <f>"1552378212188289"</f>
        <v>1552378212188289</v>
      </c>
      <c r="C2717" t="s">
        <v>40</v>
      </c>
      <c r="D2717">
        <v>5.4320940000000002</v>
      </c>
      <c r="E2717">
        <v>0.369952</v>
      </c>
      <c r="F2717" t="s">
        <v>59</v>
      </c>
      <c r="G2717">
        <v>-479.10899999999998</v>
      </c>
      <c r="H2717" s="1">
        <v>1.9896789999999998E-6</v>
      </c>
      <c r="I2717">
        <v>216.2338</v>
      </c>
      <c r="J2717">
        <v>-492.81630000000001</v>
      </c>
      <c r="K2717">
        <v>1.110878</v>
      </c>
      <c r="L2717">
        <v>238.1448</v>
      </c>
      <c r="M2717">
        <v>0.2089348</v>
      </c>
      <c r="N2717">
        <v>0</v>
      </c>
      <c r="O2717">
        <v>-0.97786030000000002</v>
      </c>
      <c r="P2717">
        <v>0.22308900000000001</v>
      </c>
      <c r="Q2717">
        <v>-3.2183419999999997E-2</v>
      </c>
      <c r="R2717">
        <v>-0.97426690000000005</v>
      </c>
      <c r="S2717">
        <v>1.67852799999999</v>
      </c>
      <c r="T2717">
        <v>-0.13573740000000001</v>
      </c>
      <c r="U2717">
        <v>-2.692841</v>
      </c>
      <c r="V2717">
        <v>-1.45536E-2</v>
      </c>
      <c r="W2717">
        <v>-2.0560109999999999E-2</v>
      </c>
      <c r="X2717">
        <v>0.99968270000000004</v>
      </c>
      <c r="Y2717">
        <v>-0.33947860000000002</v>
      </c>
      <c r="Z2717">
        <v>4.335837E-2</v>
      </c>
      <c r="AA2717">
        <v>0.9396139</v>
      </c>
      <c r="AB2717">
        <v>12</v>
      </c>
      <c r="AC2717">
        <v>13.707299999999901</v>
      </c>
      <c r="AD2717">
        <v>-1.110876010321</v>
      </c>
      <c r="AE2717">
        <v>-21.910999999999898</v>
      </c>
      <c r="AF2717">
        <v>-8.8101759005195603</v>
      </c>
      <c r="AG2717">
        <v>-1.110876010321</v>
      </c>
      <c r="AH2717">
        <v>24.246680731110299</v>
      </c>
      <c r="AI2717">
        <v>92.465694194054905</v>
      </c>
      <c r="AJ2717">
        <v>109.968915502659</v>
      </c>
      <c r="AK2717">
        <v>25.821595058880401</v>
      </c>
      <c r="AL2717">
        <v>91.178090523942899</v>
      </c>
      <c r="AM2717">
        <v>90.834065603321903</v>
      </c>
      <c r="AN2717">
        <v>1.00000001303773</v>
      </c>
    </row>
    <row r="2718" spans="1:40" x14ac:dyDescent="0.25">
      <c r="A2718" t="str">
        <f>"20190312161012220"</f>
        <v>20190312161012220</v>
      </c>
      <c r="B2718" t="str">
        <f>"1552378212218546"</f>
        <v>1552378212218546</v>
      </c>
      <c r="C2718" t="s">
        <v>40</v>
      </c>
      <c r="D2718">
        <v>5.4370390000000004</v>
      </c>
      <c r="E2718">
        <v>0.37008930000000001</v>
      </c>
      <c r="F2718" t="s">
        <v>59</v>
      </c>
      <c r="G2718">
        <v>-479.18540000000002</v>
      </c>
      <c r="H2718" s="1">
        <v>1.9619919999999998E-6</v>
      </c>
      <c r="I2718">
        <v>216.37569999999999</v>
      </c>
      <c r="J2718">
        <v>-492.78530000000001</v>
      </c>
      <c r="K2718">
        <v>1.11086</v>
      </c>
      <c r="L2718">
        <v>238.0146</v>
      </c>
      <c r="M2718">
        <v>0.21146690000000001</v>
      </c>
      <c r="N2718">
        <v>0</v>
      </c>
      <c r="O2718">
        <v>-0.97731699999999999</v>
      </c>
      <c r="P2718">
        <v>0.2255646</v>
      </c>
      <c r="Q2718">
        <v>-3.2994799999999998E-2</v>
      </c>
      <c r="R2718">
        <v>-0.97366960000000002</v>
      </c>
      <c r="S2718">
        <v>1.6838379999999999</v>
      </c>
      <c r="T2718">
        <v>-0.13722799999999999</v>
      </c>
      <c r="U2718">
        <v>-2.6891630000000002</v>
      </c>
      <c r="V2718">
        <v>-1.4509940000000001E-2</v>
      </c>
      <c r="W2718">
        <v>-2.1465439999999999E-2</v>
      </c>
      <c r="X2718">
        <v>0.99966429999999995</v>
      </c>
      <c r="Y2718">
        <v>-0.33894220000000003</v>
      </c>
      <c r="Z2718">
        <v>4.3830840000000003E-2</v>
      </c>
      <c r="AA2718">
        <v>0.93978569999999995</v>
      </c>
      <c r="AB2718">
        <v>12</v>
      </c>
      <c r="AC2718">
        <v>13.5998999999999</v>
      </c>
      <c r="AD2718">
        <v>-1.110858038008</v>
      </c>
      <c r="AE2718">
        <v>-21.6389</v>
      </c>
      <c r="AF2718">
        <v>-8.6996478860013209</v>
      </c>
      <c r="AG2718">
        <v>-1.110858038008</v>
      </c>
      <c r="AH2718">
        <v>23.980291176060099</v>
      </c>
      <c r="AI2718">
        <v>92.493467638454007</v>
      </c>
      <c r="AJ2718">
        <v>109.939923303654</v>
      </c>
      <c r="AK2718">
        <v>25.533747155669101</v>
      </c>
      <c r="AL2718">
        <v>91.229973574600706</v>
      </c>
      <c r="AM2718">
        <v>90.831579108009194</v>
      </c>
      <c r="AN2718">
        <v>1.00000000808384</v>
      </c>
    </row>
    <row r="2719" spans="1:40" x14ac:dyDescent="0.25">
      <c r="A2719" t="str">
        <f>"20190312161012240"</f>
        <v>20190312161012240</v>
      </c>
      <c r="B2719" t="str">
        <f>"1552378212238065"</f>
        <v>1552378212238065</v>
      </c>
      <c r="C2719" t="s">
        <v>40</v>
      </c>
      <c r="D2719">
        <v>5.4536670000000003</v>
      </c>
      <c r="E2719">
        <v>0.3701873</v>
      </c>
      <c r="F2719" t="s">
        <v>59</v>
      </c>
      <c r="G2719">
        <v>-479.40809999999999</v>
      </c>
      <c r="H2719" s="1">
        <v>1.880038E-6</v>
      </c>
      <c r="I2719">
        <v>216.76</v>
      </c>
      <c r="J2719">
        <v>-492.7593</v>
      </c>
      <c r="K2719">
        <v>1.110852</v>
      </c>
      <c r="L2719">
        <v>237.90629999999999</v>
      </c>
      <c r="M2719">
        <v>0.21357370000000001</v>
      </c>
      <c r="N2719">
        <v>0</v>
      </c>
      <c r="O2719">
        <v>-0.9768597</v>
      </c>
      <c r="P2719">
        <v>0.2279824</v>
      </c>
      <c r="Q2719">
        <v>-3.3320839999999997E-2</v>
      </c>
      <c r="R2719">
        <v>-0.97309509999999999</v>
      </c>
      <c r="S2719">
        <v>1.689819</v>
      </c>
      <c r="T2719">
        <v>-0.14032420000000001</v>
      </c>
      <c r="U2719">
        <v>-2.6848909999999999</v>
      </c>
      <c r="V2719">
        <v>-1.483872E-2</v>
      </c>
      <c r="W2719">
        <v>-2.18771E-2</v>
      </c>
      <c r="X2719">
        <v>0.9996505</v>
      </c>
      <c r="Y2719">
        <v>-0.33906380000000003</v>
      </c>
      <c r="Z2719">
        <v>4.4820800000000001E-2</v>
      </c>
      <c r="AA2719">
        <v>0.93969510000000001</v>
      </c>
      <c r="AB2719">
        <v>12</v>
      </c>
      <c r="AC2719">
        <v>13.3512</v>
      </c>
      <c r="AD2719">
        <v>-1.110850119962</v>
      </c>
      <c r="AE2719">
        <v>-21.1463</v>
      </c>
      <c r="AF2719">
        <v>-8.5097257684762404</v>
      </c>
      <c r="AG2719">
        <v>-1.110850119962</v>
      </c>
      <c r="AH2719">
        <v>23.4636830335936</v>
      </c>
      <c r="AI2719">
        <v>92.548364564923901</v>
      </c>
      <c r="AJ2719">
        <v>109.93451687734201</v>
      </c>
      <c r="AK2719">
        <v>24.983871640413099</v>
      </c>
      <c r="AL2719">
        <v>91.253565557722993</v>
      </c>
      <c r="AM2719">
        <v>90.850430818682995</v>
      </c>
      <c r="AN2719">
        <v>0.99999995863294799</v>
      </c>
    </row>
    <row r="2720" spans="1:40" x14ac:dyDescent="0.25">
      <c r="A2720" t="str">
        <f>"20190312161012264"</f>
        <v>20190312161012264</v>
      </c>
      <c r="B2720" t="str">
        <f>"1552378212258561"</f>
        <v>1552378212258561</v>
      </c>
      <c r="C2720" t="s">
        <v>40</v>
      </c>
      <c r="D2720">
        <v>5.480607</v>
      </c>
      <c r="E2720">
        <v>0.37034250000000002</v>
      </c>
      <c r="F2720" t="s">
        <v>59</v>
      </c>
      <c r="G2720">
        <v>-479.49419999999998</v>
      </c>
      <c r="H2720" s="1">
        <v>1.849569E-6</v>
      </c>
      <c r="I2720">
        <v>216.9366</v>
      </c>
      <c r="J2720">
        <v>-492.72899999999998</v>
      </c>
      <c r="K2720">
        <v>1.110841</v>
      </c>
      <c r="L2720">
        <v>237.78129999999999</v>
      </c>
      <c r="M2720">
        <v>0.21600820000000001</v>
      </c>
      <c r="N2720">
        <v>0</v>
      </c>
      <c r="O2720">
        <v>-0.97632540000000001</v>
      </c>
      <c r="P2720">
        <v>0.23028419999999999</v>
      </c>
      <c r="Q2720">
        <v>-3.3005060000000003E-2</v>
      </c>
      <c r="R2720">
        <v>-0.97256370000000003</v>
      </c>
      <c r="S2720">
        <v>1.6958009999999999</v>
      </c>
      <c r="T2720">
        <v>-0.1420102</v>
      </c>
      <c r="U2720">
        <v>-2.6807560000000001</v>
      </c>
      <c r="V2720">
        <v>-1.471008E-2</v>
      </c>
      <c r="W2720">
        <v>-2.1665199999999999E-2</v>
      </c>
      <c r="X2720">
        <v>0.99965700000000002</v>
      </c>
      <c r="Y2720">
        <v>-0.3388582</v>
      </c>
      <c r="Z2720">
        <v>4.5356670000000002E-2</v>
      </c>
      <c r="AA2720">
        <v>0.93974349999999995</v>
      </c>
      <c r="AB2720">
        <v>12</v>
      </c>
      <c r="AC2720">
        <v>13.2348</v>
      </c>
      <c r="AD2720">
        <v>-1.110839150431</v>
      </c>
      <c r="AE2720">
        <v>-20.8446999999999</v>
      </c>
      <c r="AF2720">
        <v>-8.40238252062667</v>
      </c>
      <c r="AG2720">
        <v>-1.110839150431</v>
      </c>
      <c r="AH2720">
        <v>23.164648980337301</v>
      </c>
      <c r="AI2720">
        <v>92.581152345306805</v>
      </c>
      <c r="AJ2720">
        <v>109.936941800342</v>
      </c>
      <c r="AK2720">
        <v>24.666474373596799</v>
      </c>
      <c r="AL2720">
        <v>91.241421723222601</v>
      </c>
      <c r="AM2720">
        <v>90.843053841938101</v>
      </c>
      <c r="AN2720">
        <v>0.999999942496821</v>
      </c>
    </row>
    <row r="2721" spans="1:40" x14ac:dyDescent="0.25">
      <c r="A2721" t="str">
        <f>"20190312161012286"</f>
        <v>20190312161012286</v>
      </c>
      <c r="B2721" t="str">
        <f>"1552378212278587"</f>
        <v>1552378212278587</v>
      </c>
      <c r="C2721" t="s">
        <v>40</v>
      </c>
      <c r="D2721">
        <v>8.8316389999999991</v>
      </c>
      <c r="E2721">
        <v>0.37027569999999999</v>
      </c>
      <c r="F2721" t="s">
        <v>59</v>
      </c>
      <c r="G2721">
        <v>-479.4461</v>
      </c>
      <c r="H2721" s="1">
        <v>1.868019E-6</v>
      </c>
      <c r="I2721">
        <v>216.87039999999999</v>
      </c>
      <c r="J2721">
        <v>-492.69959999999998</v>
      </c>
      <c r="K2721">
        <v>1.1108340000000001</v>
      </c>
      <c r="L2721">
        <v>237.6618</v>
      </c>
      <c r="M2721">
        <v>0.21833540000000001</v>
      </c>
      <c r="N2721">
        <v>0</v>
      </c>
      <c r="O2721">
        <v>-0.97580869999999997</v>
      </c>
      <c r="P2721">
        <v>0.2331329</v>
      </c>
      <c r="Q2721">
        <v>-3.2274160000000003E-2</v>
      </c>
      <c r="R2721">
        <v>-0.97190929999999998</v>
      </c>
      <c r="S2721">
        <v>1.7005619999999999</v>
      </c>
      <c r="T2721">
        <v>-0.14221689999999901</v>
      </c>
      <c r="U2721">
        <v>-2.677155</v>
      </c>
      <c r="V2721">
        <v>-1.525178E-2</v>
      </c>
      <c r="W2721">
        <v>-2.1040320000000001E-2</v>
      </c>
      <c r="X2721">
        <v>0.9996623</v>
      </c>
      <c r="Y2721">
        <v>-0.33837630000000002</v>
      </c>
      <c r="Z2721">
        <v>4.5422070000000002E-2</v>
      </c>
      <c r="AA2721">
        <v>0.93991400000000003</v>
      </c>
      <c r="AB2721">
        <v>12</v>
      </c>
      <c r="AC2721">
        <v>13.253499999999899</v>
      </c>
      <c r="AD2721">
        <v>-1.1108321319809999</v>
      </c>
      <c r="AE2721">
        <v>-20.791399999999999</v>
      </c>
      <c r="AF2721">
        <v>-8.3769122887285494</v>
      </c>
      <c r="AG2721">
        <v>-1.1108321319809999</v>
      </c>
      <c r="AH2721">
        <v>23.136648722757599</v>
      </c>
      <c r="AI2721">
        <v>92.584802776837194</v>
      </c>
      <c r="AJ2721">
        <v>109.90342073406499</v>
      </c>
      <c r="AK2721">
        <v>24.6315066863311</v>
      </c>
      <c r="AL2721">
        <v>91.205610484119404</v>
      </c>
      <c r="AM2721">
        <v>90.874090009565506</v>
      </c>
      <c r="AN2721">
        <v>1.0000000129500799</v>
      </c>
    </row>
    <row r="2722" spans="1:40" x14ac:dyDescent="0.25">
      <c r="A2722" t="str">
        <f>"20190312161012308"</f>
        <v>20190312161012308</v>
      </c>
      <c r="B2722" t="str">
        <f>"1552378212298107"</f>
        <v>1552378212298107</v>
      </c>
      <c r="C2722" t="s">
        <v>40</v>
      </c>
      <c r="D2722">
        <v>5.5005730000000002</v>
      </c>
      <c r="E2722">
        <v>0.37033890000000003</v>
      </c>
      <c r="F2722" t="s">
        <v>59</v>
      </c>
      <c r="G2722">
        <v>-479.08569999999997</v>
      </c>
      <c r="H2722" s="1">
        <v>2.0063050000000001E-6</v>
      </c>
      <c r="I2722">
        <v>216.3776</v>
      </c>
      <c r="J2722">
        <v>-492.6705</v>
      </c>
      <c r="K2722">
        <v>1.1108290000000001</v>
      </c>
      <c r="L2722">
        <v>237.54419999999999</v>
      </c>
      <c r="M2722">
        <v>0.22062519999999999</v>
      </c>
      <c r="N2722">
        <v>0</v>
      </c>
      <c r="O2722">
        <v>-0.97529480000000002</v>
      </c>
      <c r="P2722">
        <v>0.23571909999999999</v>
      </c>
      <c r="Q2722">
        <v>-3.2201939999999998E-2</v>
      </c>
      <c r="R2722">
        <v>-0.97128769999999998</v>
      </c>
      <c r="S2722">
        <v>1.7091369999999999</v>
      </c>
      <c r="T2722">
        <v>-0.13945750000000001</v>
      </c>
      <c r="U2722">
        <v>-2.6720890000000002</v>
      </c>
      <c r="V2722">
        <v>-1.556543E-2</v>
      </c>
      <c r="W2722">
        <v>-2.1072589999999999E-2</v>
      </c>
      <c r="X2722">
        <v>0.99965680000000001</v>
      </c>
      <c r="Y2722">
        <v>-0.33913959999999999</v>
      </c>
      <c r="Z2722">
        <v>4.4536640000000002E-2</v>
      </c>
      <c r="AA2722">
        <v>0.93968119999999999</v>
      </c>
      <c r="AB2722">
        <v>12</v>
      </c>
      <c r="AC2722">
        <v>13.5848</v>
      </c>
      <c r="AD2722">
        <v>-1.1108269936949999</v>
      </c>
      <c r="AE2722">
        <v>-21.166599999999899</v>
      </c>
      <c r="AF2722">
        <v>-8.5631300581863101</v>
      </c>
      <c r="AG2722">
        <v>-1.1108269936949999</v>
      </c>
      <c r="AH2722">
        <v>23.596268333115699</v>
      </c>
      <c r="AI2722">
        <v>92.533828694901899</v>
      </c>
      <c r="AJ2722">
        <v>109.945929552373</v>
      </c>
      <c r="AK2722">
        <v>25.126579796138898</v>
      </c>
      <c r="AL2722">
        <v>91.207459811684998</v>
      </c>
      <c r="AM2722">
        <v>90.892067538659504</v>
      </c>
      <c r="AN2722">
        <v>1.0000000272233101</v>
      </c>
    </row>
    <row r="2723" spans="1:40" x14ac:dyDescent="0.25">
      <c r="A2723" t="str">
        <f>"20190312161012330"</f>
        <v>20190312161012330</v>
      </c>
      <c r="B2723" t="str">
        <f>"1552378212318607"</f>
        <v>1552378212318607</v>
      </c>
      <c r="C2723" t="s">
        <v>40</v>
      </c>
      <c r="D2723">
        <v>5.4960750000000003</v>
      </c>
      <c r="E2723">
        <v>0.3703205</v>
      </c>
      <c r="F2723" t="s">
        <v>59</v>
      </c>
      <c r="G2723">
        <v>-478.92090000000002</v>
      </c>
      <c r="H2723" s="1">
        <v>2.0701790000000002E-6</v>
      </c>
      <c r="I2723">
        <v>216.1671</v>
      </c>
      <c r="J2723">
        <v>-492.64080000000001</v>
      </c>
      <c r="K2723">
        <v>1.1108209999999901</v>
      </c>
      <c r="L2723">
        <v>237.42580000000001</v>
      </c>
      <c r="M2723">
        <v>0.2229303</v>
      </c>
      <c r="N2723">
        <v>0</v>
      </c>
      <c r="O2723">
        <v>-0.97477199999999997</v>
      </c>
      <c r="P2723">
        <v>0.2382716</v>
      </c>
      <c r="Q2723">
        <v>-3.1427219999999999E-2</v>
      </c>
      <c r="R2723">
        <v>-0.97069039999999995</v>
      </c>
      <c r="S2723">
        <v>1.71585099999999</v>
      </c>
      <c r="T2723">
        <v>-0.13862349999999901</v>
      </c>
      <c r="U2723">
        <v>-2.6677089999999999</v>
      </c>
      <c r="V2723">
        <v>-1.5825909999999999E-2</v>
      </c>
      <c r="W2723">
        <v>-2.0401929999999999E-2</v>
      </c>
      <c r="X2723">
        <v>0.99966659999999996</v>
      </c>
      <c r="Y2723">
        <v>-0.33929740000000003</v>
      </c>
      <c r="Z2723">
        <v>4.42672E-2</v>
      </c>
      <c r="AA2723">
        <v>0.93963700000000006</v>
      </c>
      <c r="AB2723">
        <v>12</v>
      </c>
      <c r="AC2723">
        <v>13.7198999999999</v>
      </c>
      <c r="AD2723">
        <v>-1.1108189298209901</v>
      </c>
      <c r="AE2723">
        <v>-21.258700000000001</v>
      </c>
      <c r="AF2723">
        <v>-8.6184791005131203</v>
      </c>
      <c r="AG2723">
        <v>-1.1108189298209901</v>
      </c>
      <c r="AH2723">
        <v>23.736661077680498</v>
      </c>
      <c r="AI2723">
        <v>92.518693656198707</v>
      </c>
      <c r="AJ2723">
        <v>109.95531433588501</v>
      </c>
      <c r="AK2723">
        <v>25.277285847525299</v>
      </c>
      <c r="AL2723">
        <v>91.169025585991093</v>
      </c>
      <c r="AM2723">
        <v>90.906984497454005</v>
      </c>
      <c r="AN2723">
        <v>1.0000000046652999</v>
      </c>
    </row>
    <row r="2724" spans="1:40" x14ac:dyDescent="0.25">
      <c r="A2724" t="str">
        <f>"20190312161012363"</f>
        <v>20190312161012363</v>
      </c>
      <c r="B2724" t="str">
        <f>"1552378212358620"</f>
        <v>1552378212358620</v>
      </c>
      <c r="C2724" t="s">
        <v>40</v>
      </c>
      <c r="D2724">
        <v>5.3581949999999896</v>
      </c>
      <c r="E2724">
        <v>0.33732309999999999</v>
      </c>
      <c r="F2724" t="s">
        <v>59</v>
      </c>
      <c r="G2724">
        <v>-478.45740000000001</v>
      </c>
      <c r="H2724" s="1">
        <v>2.246647E-6</v>
      </c>
      <c r="I2724">
        <v>215.5017</v>
      </c>
      <c r="J2724">
        <v>-492.59649999999999</v>
      </c>
      <c r="K2724">
        <v>1.110819</v>
      </c>
      <c r="L2724">
        <v>237.25049999999999</v>
      </c>
      <c r="M2724">
        <v>0.2263452</v>
      </c>
      <c r="N2724">
        <v>0</v>
      </c>
      <c r="O2724">
        <v>-0.97398640000000003</v>
      </c>
      <c r="P2724">
        <v>0.2409396</v>
      </c>
      <c r="Q2724">
        <v>-3.1024550000000001E-2</v>
      </c>
      <c r="R2724">
        <v>-0.97004460000000003</v>
      </c>
      <c r="S2724">
        <v>1.722961</v>
      </c>
      <c r="T2724">
        <v>-0.13493869999999999</v>
      </c>
      <c r="U2724">
        <v>-2.6632690000000001</v>
      </c>
      <c r="V2724">
        <v>-1.506854E-2</v>
      </c>
      <c r="W2724">
        <v>-2.0154169999999999E-2</v>
      </c>
      <c r="X2724">
        <v>0.99968330000000005</v>
      </c>
      <c r="Y2724">
        <v>-0.33851290000000001</v>
      </c>
      <c r="Z2724">
        <v>4.3078739999999997E-2</v>
      </c>
      <c r="AA2724">
        <v>0.93997509999999995</v>
      </c>
      <c r="AB2724">
        <v>13</v>
      </c>
      <c r="AC2724">
        <v>14.1390999999999</v>
      </c>
      <c r="AD2724">
        <v>-1.110816753353</v>
      </c>
      <c r="AE2724">
        <v>-21.7487999999999</v>
      </c>
      <c r="AF2724">
        <v>-8.8328817598108103</v>
      </c>
      <c r="AG2724">
        <v>-1.110816753353</v>
      </c>
      <c r="AH2724">
        <v>24.3401642049113</v>
      </c>
      <c r="AI2724">
        <v>92.456469106319503</v>
      </c>
      <c r="AJ2724">
        <v>109.945493772872</v>
      </c>
      <c r="AK2724">
        <v>25.917123828935399</v>
      </c>
      <c r="AL2724">
        <v>91.154827097421105</v>
      </c>
      <c r="AM2724">
        <v>90.863571860752799</v>
      </c>
      <c r="AN2724">
        <v>0.999999975882505</v>
      </c>
    </row>
    <row r="2725" spans="1:40" x14ac:dyDescent="0.25">
      <c r="A2725" t="str">
        <f>"20190312161012386"</f>
        <v>20190312161012386</v>
      </c>
      <c r="B2725" t="str">
        <f>"1552378212378646"</f>
        <v>1552378212378646</v>
      </c>
      <c r="C2725" t="s">
        <v>40</v>
      </c>
      <c r="D2725">
        <v>5.3179679999999996</v>
      </c>
      <c r="E2725">
        <v>0.33805930000000001</v>
      </c>
      <c r="F2725" t="s">
        <v>43</v>
      </c>
      <c r="G2725">
        <v>-462.30889999999999</v>
      </c>
      <c r="H2725">
        <v>-0.05</v>
      </c>
      <c r="I2725">
        <v>197.58850000000001</v>
      </c>
      <c r="J2725">
        <v>-492.56450000000001</v>
      </c>
      <c r="K2725">
        <v>1.110811</v>
      </c>
      <c r="L2725">
        <v>237.12620000000001</v>
      </c>
      <c r="M2725">
        <v>0.22876750000000001</v>
      </c>
      <c r="N2725">
        <v>0</v>
      </c>
      <c r="O2725">
        <v>-0.9734216</v>
      </c>
      <c r="P2725">
        <v>0.2426546</v>
      </c>
      <c r="Q2725">
        <v>-3.063366E-2</v>
      </c>
      <c r="R2725">
        <v>-0.96962959999999998</v>
      </c>
      <c r="S2725">
        <v>1.983582</v>
      </c>
      <c r="T2725">
        <v>-7.6023939999999998E-2</v>
      </c>
      <c r="U2725">
        <v>-2.597534</v>
      </c>
      <c r="V2725">
        <v>-1.434739E-2</v>
      </c>
      <c r="W2725">
        <v>-1.987415E-2</v>
      </c>
      <c r="X2725">
        <v>0.99969949999999996</v>
      </c>
      <c r="Y2725">
        <v>-0.40881810000000002</v>
      </c>
      <c r="Z2725">
        <v>2.377551E-2</v>
      </c>
      <c r="AA2725">
        <v>0.91230610000000001</v>
      </c>
      <c r="AB2725">
        <v>13</v>
      </c>
      <c r="AC2725">
        <v>30.255600000000001</v>
      </c>
      <c r="AD2725">
        <v>-1.160811</v>
      </c>
      <c r="AE2725">
        <v>-39.537700000000001</v>
      </c>
      <c r="AF2725">
        <v>-20.396607211076599</v>
      </c>
      <c r="AG2725">
        <v>-1.160811</v>
      </c>
      <c r="AH2725">
        <v>45.386305187953397</v>
      </c>
      <c r="AI2725">
        <v>91.336396940710699</v>
      </c>
      <c r="AJ2725">
        <v>114.199152312216</v>
      </c>
      <c r="AK2725">
        <v>49.772339371529597</v>
      </c>
      <c r="AL2725">
        <v>91.138779936736498</v>
      </c>
      <c r="AM2725">
        <v>90.822235543545204</v>
      </c>
      <c r="AN2725">
        <v>0.99999995986914103</v>
      </c>
    </row>
    <row r="2726" spans="1:40" x14ac:dyDescent="0.25">
      <c r="A2726" t="str">
        <f>"20190312161012408"</f>
        <v>20190312161012408</v>
      </c>
      <c r="B2726" t="str">
        <f>"1552378212398166"</f>
        <v>1552378212398166</v>
      </c>
      <c r="C2726" t="s">
        <v>40</v>
      </c>
      <c r="D2726">
        <v>5.3204279999999997</v>
      </c>
      <c r="E2726">
        <v>0.33896490000000001</v>
      </c>
      <c r="F2726" t="s">
        <v>61</v>
      </c>
      <c r="G2726">
        <v>-469.3297</v>
      </c>
      <c r="H2726">
        <v>8.000053E-2</v>
      </c>
      <c r="I2726">
        <v>206.72059999999999</v>
      </c>
      <c r="J2726">
        <v>-492.53250000000003</v>
      </c>
      <c r="K2726">
        <v>1.1108009999999999</v>
      </c>
      <c r="L2726">
        <v>237.0025</v>
      </c>
      <c r="M2726">
        <v>0.2311791</v>
      </c>
      <c r="N2726">
        <v>0</v>
      </c>
      <c r="O2726">
        <v>-0.97285270000000001</v>
      </c>
      <c r="P2726">
        <v>0.24389079999999999</v>
      </c>
      <c r="Q2726">
        <v>-3.061755E-2</v>
      </c>
      <c r="R2726">
        <v>-0.96931940000000005</v>
      </c>
      <c r="S2726">
        <v>1.982971</v>
      </c>
      <c r="T2726">
        <v>-8.7974549999999999E-2</v>
      </c>
      <c r="U2726">
        <v>-2.5949710000000001</v>
      </c>
      <c r="V2726">
        <v>-1.3144660000000001E-2</v>
      </c>
      <c r="W2726">
        <v>-1.996945E-2</v>
      </c>
      <c r="X2726">
        <v>0.9997142</v>
      </c>
      <c r="Y2726">
        <v>-0.40679579999999999</v>
      </c>
      <c r="Z2726">
        <v>2.752214E-2</v>
      </c>
      <c r="AA2726">
        <v>0.91310440000000004</v>
      </c>
      <c r="AB2726">
        <v>13</v>
      </c>
      <c r="AC2726">
        <v>23.2028</v>
      </c>
      <c r="AD2726">
        <v>-1.03080047</v>
      </c>
      <c r="AE2726">
        <v>-30.2819</v>
      </c>
      <c r="AF2726">
        <v>-15.5618891394363</v>
      </c>
      <c r="AG2726">
        <v>-1.03080047</v>
      </c>
      <c r="AH2726">
        <v>34.800405567441501</v>
      </c>
      <c r="AI2726">
        <v>91.548897444874598</v>
      </c>
      <c r="AJ2726">
        <v>114.093024120995</v>
      </c>
      <c r="AK2726">
        <v>38.135327071568099</v>
      </c>
      <c r="AL2726">
        <v>91.144241238243296</v>
      </c>
      <c r="AM2726">
        <v>90.753305439531104</v>
      </c>
      <c r="AN2726">
        <v>1.0000000213507201</v>
      </c>
    </row>
    <row r="2727" spans="1:40" x14ac:dyDescent="0.25">
      <c r="A2727" t="str">
        <f>"20190312161012430"</f>
        <v>20190312161012430</v>
      </c>
      <c r="B2727" t="str">
        <f>"1552378212418665"</f>
        <v>1552378212418665</v>
      </c>
      <c r="C2727" t="s">
        <v>40</v>
      </c>
      <c r="D2727">
        <v>5.1627669999999997</v>
      </c>
      <c r="E2727">
        <v>0.33679550000000003</v>
      </c>
      <c r="F2727" t="s">
        <v>59</v>
      </c>
      <c r="G2727">
        <v>-471.61450000000002</v>
      </c>
      <c r="H2727">
        <v>6.6701109999999994E-2</v>
      </c>
      <c r="I2727">
        <v>209.59960000000001</v>
      </c>
      <c r="J2727">
        <v>-492.50189999999998</v>
      </c>
      <c r="K2727">
        <v>1.110781</v>
      </c>
      <c r="L2727">
        <v>236.88560000000001</v>
      </c>
      <c r="M2727">
        <v>0.23345740000000001</v>
      </c>
      <c r="N2727">
        <v>0</v>
      </c>
      <c r="O2727">
        <v>-0.97230989999999995</v>
      </c>
      <c r="P2727">
        <v>0.2450783</v>
      </c>
      <c r="Q2727">
        <v>-3.1608600000000001E-2</v>
      </c>
      <c r="R2727">
        <v>-0.96898839999999997</v>
      </c>
      <c r="S2727">
        <v>1.979889</v>
      </c>
      <c r="T2727">
        <v>-9.8824259999999997E-2</v>
      </c>
      <c r="U2727">
        <v>-2.5936889999999999</v>
      </c>
      <c r="V2727">
        <v>-1.2033189999999999E-2</v>
      </c>
      <c r="W2727">
        <v>-2.106601E-2</v>
      </c>
      <c r="X2727">
        <v>0.99970570000000003</v>
      </c>
      <c r="Y2727">
        <v>-0.40412589999999998</v>
      </c>
      <c r="Z2727">
        <v>3.0928379999999998E-2</v>
      </c>
      <c r="AA2727">
        <v>0.91418029999999995</v>
      </c>
      <c r="AB2727">
        <v>13</v>
      </c>
      <c r="AC2727">
        <v>20.8873999999999</v>
      </c>
      <c r="AD2727">
        <v>-1.0440798899999999</v>
      </c>
      <c r="AE2727">
        <v>-27.285999999999898</v>
      </c>
      <c r="AF2727">
        <v>-13.9268245599465</v>
      </c>
      <c r="AG2727">
        <v>-1.0440798899999999</v>
      </c>
      <c r="AH2727">
        <v>31.3795417777831</v>
      </c>
      <c r="AI2727">
        <v>91.741940818794205</v>
      </c>
      <c r="AJ2727">
        <v>113.932538933296</v>
      </c>
      <c r="AK2727">
        <v>34.347084116761202</v>
      </c>
      <c r="AL2727">
        <v>91.207082717771897</v>
      </c>
      <c r="AM2727">
        <v>90.689620662774502</v>
      </c>
      <c r="AN2727">
        <v>1.00000003052569</v>
      </c>
    </row>
    <row r="2728" spans="1:40" x14ac:dyDescent="0.25">
      <c r="A2728" t="str">
        <f>"20190312161012453"</f>
        <v>20190312161012453</v>
      </c>
      <c r="B2728" t="str">
        <f>"1552378212448918"</f>
        <v>1552378212448918</v>
      </c>
      <c r="C2728" t="s">
        <v>40</v>
      </c>
      <c r="D2728">
        <v>5.233206</v>
      </c>
      <c r="E2728">
        <v>0.33812340000000002</v>
      </c>
      <c r="F2728" t="s">
        <v>61</v>
      </c>
      <c r="G2728">
        <v>-468.49700000000001</v>
      </c>
      <c r="H2728">
        <v>8.000082E-2</v>
      </c>
      <c r="I2728">
        <v>205.81800000000001</v>
      </c>
      <c r="J2728">
        <v>-492.46800000000002</v>
      </c>
      <c r="K2728">
        <v>1.1107640000000001</v>
      </c>
      <c r="L2728">
        <v>236.75739999999999</v>
      </c>
      <c r="M2728">
        <v>0.23595540000000001</v>
      </c>
      <c r="N2728">
        <v>0</v>
      </c>
      <c r="O2728">
        <v>-0.97170780000000001</v>
      </c>
      <c r="P2728">
        <v>0.24712210000000001</v>
      </c>
      <c r="Q2728">
        <v>-3.2045070000000002E-2</v>
      </c>
      <c r="R2728">
        <v>-0.9684545</v>
      </c>
      <c r="S2728">
        <v>1.999298</v>
      </c>
      <c r="T2728">
        <v>-8.5850599999999999E-2</v>
      </c>
      <c r="U2728">
        <v>-2.5875240000000002</v>
      </c>
      <c r="V2728">
        <v>-1.1575419999999999E-2</v>
      </c>
      <c r="W2728">
        <v>-2.1614959999999999E-2</v>
      </c>
      <c r="X2728">
        <v>0.99969940000000002</v>
      </c>
      <c r="Y2728">
        <v>-0.40720580000000001</v>
      </c>
      <c r="Z2728">
        <v>2.6822929999999998E-2</v>
      </c>
      <c r="AA2728">
        <v>0.91294249999999999</v>
      </c>
      <c r="AB2728">
        <v>13</v>
      </c>
      <c r="AC2728">
        <v>23.971</v>
      </c>
      <c r="AD2728">
        <v>-1.0307631799999999</v>
      </c>
      <c r="AE2728">
        <v>-30.939399999999999</v>
      </c>
      <c r="AF2728">
        <v>-15.982275762230399</v>
      </c>
      <c r="AG2728">
        <v>-1.0307631799999999</v>
      </c>
      <c r="AH2728">
        <v>35.697330965467202</v>
      </c>
      <c r="AI2728">
        <v>91.509639516794493</v>
      </c>
      <c r="AJ2728">
        <v>114.118838852244</v>
      </c>
      <c r="AK2728">
        <v>39.125376027986299</v>
      </c>
      <c r="AL2728">
        <v>91.238542383614202</v>
      </c>
      <c r="AM2728">
        <v>90.663392490627302</v>
      </c>
      <c r="AN2728">
        <v>1.0000000436021601</v>
      </c>
    </row>
    <row r="2729" spans="1:40" x14ac:dyDescent="0.25">
      <c r="A2729" t="str">
        <f>"20190312161012476"</f>
        <v>20190312161012476</v>
      </c>
      <c r="B2729" t="str">
        <f>"1552378212468438"</f>
        <v>1552378212468438</v>
      </c>
      <c r="C2729" t="s">
        <v>40</v>
      </c>
      <c r="D2729">
        <v>5.1835139999999997</v>
      </c>
      <c r="E2729">
        <v>0.3386265</v>
      </c>
      <c r="F2729" t="s">
        <v>59</v>
      </c>
      <c r="G2729">
        <v>-471.12670000000003</v>
      </c>
      <c r="H2729">
        <v>8.000024E-2</v>
      </c>
      <c r="I2729">
        <v>209.0968</v>
      </c>
      <c r="J2729">
        <v>-492.43549999999999</v>
      </c>
      <c r="K2729">
        <v>1.1107560000000001</v>
      </c>
      <c r="L2729">
        <v>236.636</v>
      </c>
      <c r="M2729">
        <v>0.2383218</v>
      </c>
      <c r="N2729">
        <v>0</v>
      </c>
      <c r="O2729">
        <v>-0.97113110000000002</v>
      </c>
      <c r="P2729">
        <v>0.2496534</v>
      </c>
      <c r="Q2729">
        <v>-3.2829589999999999E-2</v>
      </c>
      <c r="R2729">
        <v>-0.9677789</v>
      </c>
      <c r="S2729">
        <v>1.9948429999999999</v>
      </c>
      <c r="T2729">
        <v>-9.6349359999999995E-2</v>
      </c>
      <c r="U2729">
        <v>-2.5855410000000001</v>
      </c>
      <c r="V2729">
        <v>-1.175824E-2</v>
      </c>
      <c r="W2729">
        <v>-2.2504280000000002E-2</v>
      </c>
      <c r="X2729">
        <v>0.99967760000000006</v>
      </c>
      <c r="Y2729">
        <v>-0.40427439999999998</v>
      </c>
      <c r="Z2729">
        <v>3.0126190000000001E-2</v>
      </c>
      <c r="AA2729">
        <v>0.91414150000000005</v>
      </c>
      <c r="AB2729">
        <v>13</v>
      </c>
      <c r="AC2729">
        <v>21.308799999999898</v>
      </c>
      <c r="AD2729">
        <v>-1.0307557599999999</v>
      </c>
      <c r="AE2729">
        <v>-27.539199999999902</v>
      </c>
      <c r="AF2729">
        <v>-14.1188315025697</v>
      </c>
      <c r="AG2729">
        <v>-1.0307557599999999</v>
      </c>
      <c r="AH2729">
        <v>31.796367181778699</v>
      </c>
      <c r="AI2729">
        <v>91.697054624954802</v>
      </c>
      <c r="AJ2729">
        <v>113.94309424133</v>
      </c>
      <c r="AK2729">
        <v>34.8053562888418</v>
      </c>
      <c r="AL2729">
        <v>91.2895091225475</v>
      </c>
      <c r="AM2729">
        <v>90.673883721541301</v>
      </c>
      <c r="AN2729">
        <v>1.00000000138398</v>
      </c>
    </row>
    <row r="2730" spans="1:40" x14ac:dyDescent="0.25">
      <c r="A2730" t="str">
        <f>"20190312161012498"</f>
        <v>20190312161012498</v>
      </c>
      <c r="B2730" t="str">
        <f>"1552378212488933"</f>
        <v>1552378212488933</v>
      </c>
      <c r="C2730" t="s">
        <v>40</v>
      </c>
      <c r="D2730">
        <v>5.0835480000000004</v>
      </c>
      <c r="E2730">
        <v>0.33846189999999998</v>
      </c>
      <c r="F2730" t="s">
        <v>59</v>
      </c>
      <c r="G2730">
        <v>-471.51589999999999</v>
      </c>
      <c r="H2730">
        <v>5.8943130000000003E-2</v>
      </c>
      <c r="I2730">
        <v>209.60740000000001</v>
      </c>
      <c r="J2730">
        <v>-492.40170000000001</v>
      </c>
      <c r="K2730">
        <v>1.110752</v>
      </c>
      <c r="L2730">
        <v>236.51050000000001</v>
      </c>
      <c r="M2730">
        <v>0.2407705</v>
      </c>
      <c r="N2730">
        <v>0</v>
      </c>
      <c r="O2730">
        <v>-0.97052819999999995</v>
      </c>
      <c r="P2730">
        <v>0.25335920000000001</v>
      </c>
      <c r="Q2730">
        <v>-3.3356150000000001E-2</v>
      </c>
      <c r="R2730">
        <v>-0.96679709999999996</v>
      </c>
      <c r="S2730">
        <v>1.9977419999999999</v>
      </c>
      <c r="T2730">
        <v>-0.10044400000000001</v>
      </c>
      <c r="U2730">
        <v>-2.5811310000000001</v>
      </c>
      <c r="V2730">
        <v>-1.30693999999999E-2</v>
      </c>
      <c r="W2730">
        <v>-2.3142570000000001E-2</v>
      </c>
      <c r="X2730">
        <v>0.9996467</v>
      </c>
      <c r="Y2730">
        <v>-0.40334049999999999</v>
      </c>
      <c r="Z2730">
        <v>3.1415249999999999E-2</v>
      </c>
      <c r="AA2730">
        <v>0.9145105</v>
      </c>
      <c r="AB2730">
        <v>13</v>
      </c>
      <c r="AC2730">
        <v>20.8858</v>
      </c>
      <c r="AD2730">
        <v>-1.0518088699999999</v>
      </c>
      <c r="AE2730">
        <v>-26.903099999999899</v>
      </c>
      <c r="AF2730">
        <v>-13.780363792755701</v>
      </c>
      <c r="AG2730">
        <v>-1.0518088699999999</v>
      </c>
      <c r="AH2730">
        <v>31.110859236890999</v>
      </c>
      <c r="AI2730">
        <v>91.770546842768894</v>
      </c>
      <c r="AJ2730">
        <v>113.890653209555</v>
      </c>
      <c r="AK2730">
        <v>34.042477739103397</v>
      </c>
      <c r="AL2730">
        <v>91.326090034915197</v>
      </c>
      <c r="AM2730">
        <v>90.749043436845298</v>
      </c>
      <c r="AN2730">
        <v>0.999999956291726</v>
      </c>
    </row>
    <row r="2731" spans="1:40" x14ac:dyDescent="0.25">
      <c r="A2731" t="str">
        <f>"20190312161012519"</f>
        <v>20190312161012519</v>
      </c>
      <c r="B2731" t="str">
        <f>"1552378212508458"</f>
        <v>1552378212508458</v>
      </c>
      <c r="C2731" t="s">
        <v>40</v>
      </c>
      <c r="D2731">
        <v>5.0348850000000001</v>
      </c>
      <c r="E2731">
        <v>0.33728219999999998</v>
      </c>
      <c r="F2731" t="s">
        <v>59</v>
      </c>
      <c r="G2731">
        <v>-471.39830000000001</v>
      </c>
      <c r="H2731">
        <v>6.1588740000000003E-2</v>
      </c>
      <c r="I2731">
        <v>209.60470000000001</v>
      </c>
      <c r="J2731">
        <v>-492.37040000000002</v>
      </c>
      <c r="K2731">
        <v>1.1107479999999901</v>
      </c>
      <c r="L2731">
        <v>236.3956</v>
      </c>
      <c r="M2731">
        <v>0.24301039999999999</v>
      </c>
      <c r="N2731">
        <v>0</v>
      </c>
      <c r="O2731">
        <v>-0.96997060000000002</v>
      </c>
      <c r="P2731">
        <v>0.25623390000000001</v>
      </c>
      <c r="Q2731">
        <v>-3.3247659999999998E-2</v>
      </c>
      <c r="R2731">
        <v>-0.96604290000000004</v>
      </c>
      <c r="S2731">
        <v>2.0086979999999999</v>
      </c>
      <c r="T2731">
        <v>-0.1003387</v>
      </c>
      <c r="U2731">
        <v>-2.5731809999999999</v>
      </c>
      <c r="V2731">
        <v>-1.3734349999999999E-2</v>
      </c>
      <c r="W2731">
        <v>-2.3138220000000001E-2</v>
      </c>
      <c r="X2731">
        <v>0.99963789999999997</v>
      </c>
      <c r="Y2731">
        <v>-0.40501870000000001</v>
      </c>
      <c r="Z2731">
        <v>3.1382569999999999E-2</v>
      </c>
      <c r="AA2731">
        <v>0.91376970000000002</v>
      </c>
      <c r="AB2731">
        <v>13</v>
      </c>
      <c r="AC2731">
        <v>20.972100000000001</v>
      </c>
      <c r="AD2731">
        <v>-1.0491592599999999</v>
      </c>
      <c r="AE2731">
        <v>-26.790899999999901</v>
      </c>
      <c r="AF2731">
        <v>-13.8194245718697</v>
      </c>
      <c r="AG2731">
        <v>-1.0491592599999999</v>
      </c>
      <c r="AH2731">
        <v>31.054894485122301</v>
      </c>
      <c r="AI2731">
        <v>91.767922444435797</v>
      </c>
      <c r="AJ2731">
        <v>113.989058659503</v>
      </c>
      <c r="AK2731">
        <v>34.007112522713797</v>
      </c>
      <c r="AL2731">
        <v>91.325840712856603</v>
      </c>
      <c r="AM2731">
        <v>90.7871558086823</v>
      </c>
      <c r="AN2731">
        <v>0.99999997035554999</v>
      </c>
    </row>
    <row r="2732" spans="1:40" x14ac:dyDescent="0.25">
      <c r="A2732" t="str">
        <f>"20190312161012541"</f>
        <v>20190312161012541</v>
      </c>
      <c r="B2732" t="str">
        <f>"1552378212538710"</f>
        <v>1552378212538710</v>
      </c>
      <c r="C2732" t="s">
        <v>40</v>
      </c>
      <c r="D2732">
        <v>5.014939</v>
      </c>
      <c r="E2732">
        <v>0.33582129999999999</v>
      </c>
      <c r="F2732" t="s">
        <v>61</v>
      </c>
      <c r="G2732">
        <v>-468.6635</v>
      </c>
      <c r="H2732">
        <v>8.0000740000000001E-2</v>
      </c>
      <c r="I2732">
        <v>206.35820000000001</v>
      </c>
      <c r="J2732">
        <v>-492.33730000000003</v>
      </c>
      <c r="K2732">
        <v>1.1107389999999999</v>
      </c>
      <c r="L2732">
        <v>236.27510000000001</v>
      </c>
      <c r="M2732">
        <v>0.24536160000000001</v>
      </c>
      <c r="N2732">
        <v>0</v>
      </c>
      <c r="O2732">
        <v>-0.96937989999999996</v>
      </c>
      <c r="P2732">
        <v>0.25925419999999999</v>
      </c>
      <c r="Q2732">
        <v>-3.3406669999999999E-2</v>
      </c>
      <c r="R2732">
        <v>-0.96523150000000002</v>
      </c>
      <c r="S2732">
        <v>2.0247190000000002</v>
      </c>
      <c r="T2732">
        <v>-8.8032250000000006E-2</v>
      </c>
      <c r="U2732">
        <v>-2.5653839999999999</v>
      </c>
      <c r="V2732">
        <v>-1.443733E-2</v>
      </c>
      <c r="W2732">
        <v>-2.3407319999999999E-2</v>
      </c>
      <c r="X2732">
        <v>0.99962169999999895</v>
      </c>
      <c r="Y2732">
        <v>-0.40774500000000002</v>
      </c>
      <c r="Z2732">
        <v>2.7512450000000001E-2</v>
      </c>
      <c r="AA2732">
        <v>0.91268119999999997</v>
      </c>
      <c r="AB2732">
        <v>13</v>
      </c>
      <c r="AC2732">
        <v>23.6738</v>
      </c>
      <c r="AD2732">
        <v>-1.0307382599999999</v>
      </c>
      <c r="AE2732">
        <v>-29.916899999999998</v>
      </c>
      <c r="AF2732">
        <v>-15.5978445469433</v>
      </c>
      <c r="AG2732">
        <v>-1.0307382599999999</v>
      </c>
      <c r="AH2732">
        <v>34.7858367601239</v>
      </c>
      <c r="AI2732">
        <v>91.548747253216504</v>
      </c>
      <c r="AJ2732">
        <v>114.151293190723</v>
      </c>
      <c r="AK2732">
        <v>38.136722656426898</v>
      </c>
      <c r="AL2732">
        <v>91.341263223987895</v>
      </c>
      <c r="AM2732">
        <v>90.827453593064106</v>
      </c>
      <c r="AN2732">
        <v>0.99999994111899804</v>
      </c>
    </row>
    <row r="2733" spans="1:40" x14ac:dyDescent="0.25">
      <c r="A2733" t="str">
        <f>"20190312161012565"</f>
        <v>20190312161012565</v>
      </c>
      <c r="B2733" t="str">
        <f>"1552378212558230"</f>
        <v>1552378212558230</v>
      </c>
      <c r="C2733" t="s">
        <v>40</v>
      </c>
      <c r="D2733">
        <v>4.9838199999999997</v>
      </c>
      <c r="E2733">
        <v>0.33512979999999998</v>
      </c>
      <c r="F2733" t="s">
        <v>43</v>
      </c>
      <c r="G2733">
        <v>-461.13040000000001</v>
      </c>
      <c r="H2733">
        <v>-0.05</v>
      </c>
      <c r="I2733">
        <v>197.22649999999999</v>
      </c>
      <c r="J2733">
        <v>-492.30270000000002</v>
      </c>
      <c r="K2733">
        <v>1.1107370000000001</v>
      </c>
      <c r="L2733">
        <v>236.15029999999999</v>
      </c>
      <c r="M2733">
        <v>0.24779599999999999</v>
      </c>
      <c r="N2733">
        <v>0</v>
      </c>
      <c r="O2733">
        <v>-0.96876169999999995</v>
      </c>
      <c r="P2733">
        <v>0.26212000000000002</v>
      </c>
      <c r="Q2733">
        <v>-3.3310579999999999E-2</v>
      </c>
      <c r="R2733">
        <v>-0.96446069999999995</v>
      </c>
      <c r="S2733">
        <v>2.0432130000000002</v>
      </c>
      <c r="T2733">
        <v>-7.5997110000000007E-2</v>
      </c>
      <c r="U2733">
        <v>-2.5566249999999999</v>
      </c>
      <c r="V2733">
        <v>-1.4893959999999999E-2</v>
      </c>
      <c r="W2733">
        <v>-2.3422450000000001E-2</v>
      </c>
      <c r="X2733">
        <v>0.99961469999999997</v>
      </c>
      <c r="Y2733">
        <v>-0.4110721</v>
      </c>
      <c r="Z2733">
        <v>2.3728160000000002E-2</v>
      </c>
      <c r="AA2733">
        <v>0.91129400000000005</v>
      </c>
      <c r="AB2733">
        <v>13</v>
      </c>
      <c r="AC2733">
        <v>31.1723</v>
      </c>
      <c r="AD2733">
        <v>-1.1607369999999999</v>
      </c>
      <c r="AE2733">
        <v>-38.9238</v>
      </c>
      <c r="AF2733">
        <v>-20.543244539084199</v>
      </c>
      <c r="AG2733">
        <v>-1.1607369999999999</v>
      </c>
      <c r="AH2733">
        <v>45.409879597609603</v>
      </c>
      <c r="AI2733">
        <v>91.334120300850202</v>
      </c>
      <c r="AJ2733">
        <v>114.341802120916</v>
      </c>
      <c r="AK2733">
        <v>49.854080792300103</v>
      </c>
      <c r="AL2733">
        <v>91.342130274815204</v>
      </c>
      <c r="AM2733">
        <v>90.853626810030306</v>
      </c>
      <c r="AN2733">
        <v>0.99999999483228696</v>
      </c>
    </row>
    <row r="2734" spans="1:40" x14ac:dyDescent="0.25">
      <c r="A2734" t="str">
        <f>"20190312161012588"</f>
        <v>20190312161012588</v>
      </c>
      <c r="B2734" t="str">
        <f>"1552378212578726"</f>
        <v>1552378212578726</v>
      </c>
      <c r="C2734" t="s">
        <v>40</v>
      </c>
      <c r="D2734">
        <v>5.0103559999999998</v>
      </c>
      <c r="E2734">
        <v>0.33466079999999998</v>
      </c>
      <c r="F2734" t="s">
        <v>43</v>
      </c>
      <c r="G2734">
        <v>-458.47059999999999</v>
      </c>
      <c r="H2734">
        <v>-0.05</v>
      </c>
      <c r="I2734">
        <v>194.1977</v>
      </c>
      <c r="J2734">
        <v>-492.2654</v>
      </c>
      <c r="K2734">
        <v>1.1107320000000001</v>
      </c>
      <c r="L2734">
        <v>236.0171</v>
      </c>
      <c r="M2734">
        <v>0.2503939</v>
      </c>
      <c r="N2734">
        <v>0</v>
      </c>
      <c r="O2734">
        <v>-0.96809420000000002</v>
      </c>
      <c r="P2734">
        <v>0.26491419999999999</v>
      </c>
      <c r="Q2734">
        <v>-3.3097460000000002E-2</v>
      </c>
      <c r="R2734">
        <v>-0.9637038</v>
      </c>
      <c r="S2734">
        <v>2.0558779999999999</v>
      </c>
      <c r="T2734">
        <v>-7.0534470000000002E-2</v>
      </c>
      <c r="U2734">
        <v>-2.5493320000000002</v>
      </c>
      <c r="V2734">
        <v>-1.5107539999999999E-2</v>
      </c>
      <c r="W2734">
        <v>-2.332186E-2</v>
      </c>
      <c r="X2734">
        <v>0.99961390000000006</v>
      </c>
      <c r="Y2734">
        <v>-0.41267140000000002</v>
      </c>
      <c r="Z2734">
        <v>2.2010890000000002E-2</v>
      </c>
      <c r="AA2734">
        <v>0.91061400000000003</v>
      </c>
      <c r="AB2734">
        <v>13</v>
      </c>
      <c r="AC2734">
        <v>33.794800000000002</v>
      </c>
      <c r="AD2734">
        <v>-1.1607319999999901</v>
      </c>
      <c r="AE2734">
        <v>-41.819400000000002</v>
      </c>
      <c r="AF2734">
        <v>-22.235937945402199</v>
      </c>
      <c r="AG2734">
        <v>-1.1607319999999901</v>
      </c>
      <c r="AH2734">
        <v>48.9266907940059</v>
      </c>
      <c r="AI2734">
        <v>91.237283101382005</v>
      </c>
      <c r="AJ2734">
        <v>114.440589898341</v>
      </c>
      <c r="AK2734">
        <v>53.755049131591903</v>
      </c>
      <c r="AL2734">
        <v>91.3363652464718</v>
      </c>
      <c r="AM2734">
        <v>90.865866696032796</v>
      </c>
      <c r="AN2734">
        <v>1.0000000479959501</v>
      </c>
    </row>
    <row r="2735" spans="1:40" x14ac:dyDescent="0.25">
      <c r="A2735" t="str">
        <f>"20190312161012609"</f>
        <v>20190312161012609</v>
      </c>
      <c r="B2735" t="str">
        <f>"1552378212598246"</f>
        <v>1552378212598246</v>
      </c>
      <c r="C2735" t="s">
        <v>40</v>
      </c>
      <c r="D2735">
        <v>4.9444629999999998</v>
      </c>
      <c r="E2735">
        <v>0.33425759999999899</v>
      </c>
      <c r="F2735" t="s">
        <v>81</v>
      </c>
      <c r="G2735">
        <v>-460.82909999999998</v>
      </c>
      <c r="H2735">
        <v>0.1229138</v>
      </c>
      <c r="I2735">
        <v>197.345</v>
      </c>
      <c r="J2735">
        <v>-492.23039999999997</v>
      </c>
      <c r="K2735">
        <v>1.110727</v>
      </c>
      <c r="L2735">
        <v>235.89349999999999</v>
      </c>
      <c r="M2735">
        <v>0.25280459999999999</v>
      </c>
      <c r="N2735">
        <v>0</v>
      </c>
      <c r="O2735">
        <v>-0.96746869999999996</v>
      </c>
      <c r="P2735">
        <v>0.267316</v>
      </c>
      <c r="Q2735">
        <v>-3.2848719999999998E-2</v>
      </c>
      <c r="R2735">
        <v>-0.96304909999999999</v>
      </c>
      <c r="S2735">
        <v>2.0668639999999998</v>
      </c>
      <c r="T2735">
        <v>-6.494403E-2</v>
      </c>
      <c r="U2735">
        <v>-2.5425870000000002</v>
      </c>
      <c r="V2735">
        <v>-1.5107590000000001E-2</v>
      </c>
      <c r="W2735">
        <v>-2.317373E-2</v>
      </c>
      <c r="X2735">
        <v>0.99961730000000004</v>
      </c>
      <c r="Y2735">
        <v>-0.4139795</v>
      </c>
      <c r="Z2735">
        <v>2.0258350000000001E-2</v>
      </c>
      <c r="AA2735">
        <v>0.9100608</v>
      </c>
      <c r="AB2735">
        <v>13</v>
      </c>
      <c r="AC2735">
        <v>31.4012999999999</v>
      </c>
      <c r="AD2735">
        <v>-0.98781319999999995</v>
      </c>
      <c r="AE2735">
        <v>-38.548499999999898</v>
      </c>
      <c r="AF2735">
        <v>-20.627366026597699</v>
      </c>
      <c r="AG2735">
        <v>-0.98781319999999995</v>
      </c>
      <c r="AH2735">
        <v>45.217141327079801</v>
      </c>
      <c r="AI2735">
        <v>91.138636069906994</v>
      </c>
      <c r="AJ2735">
        <v>114.521743909394</v>
      </c>
      <c r="AK2735">
        <v>49.709695974793902</v>
      </c>
      <c r="AL2735">
        <v>91.327875787385594</v>
      </c>
      <c r="AM2735">
        <v>90.865866616638598</v>
      </c>
      <c r="AN2735">
        <v>1.0000000037485</v>
      </c>
    </row>
    <row r="2736" spans="1:40" x14ac:dyDescent="0.25">
      <c r="A2736" t="str">
        <f>"20190312161012631"</f>
        <v>20190312161012631</v>
      </c>
      <c r="B2736" t="str">
        <f>"1552378212628502"</f>
        <v>1552378212628502</v>
      </c>
      <c r="C2736" t="s">
        <v>40</v>
      </c>
      <c r="D2736">
        <v>4.9730169999999996</v>
      </c>
      <c r="E2736">
        <v>0.33370080000000002</v>
      </c>
      <c r="F2736" t="s">
        <v>81</v>
      </c>
      <c r="G2736">
        <v>-460.68439999999998</v>
      </c>
      <c r="H2736">
        <v>0.1916938</v>
      </c>
      <c r="I2736">
        <v>197.345</v>
      </c>
      <c r="J2736">
        <v>-492.19709999999998</v>
      </c>
      <c r="K2736">
        <v>1.110724</v>
      </c>
      <c r="L2736">
        <v>235.77690000000001</v>
      </c>
      <c r="M2736">
        <v>0.25507679999999999</v>
      </c>
      <c r="N2736">
        <v>0</v>
      </c>
      <c r="O2736">
        <v>-0.96687310000000004</v>
      </c>
      <c r="P2736">
        <v>0.26948860000000002</v>
      </c>
      <c r="Q2736">
        <v>-3.2889050000000003E-2</v>
      </c>
      <c r="R2736">
        <v>-0.96244200000000002</v>
      </c>
      <c r="S2736">
        <v>2.0759889999999999</v>
      </c>
      <c r="T2736">
        <v>-6.0477610000000001E-2</v>
      </c>
      <c r="U2736">
        <v>-2.5368040000000001</v>
      </c>
      <c r="V2736">
        <v>-1.501508E-2</v>
      </c>
      <c r="W2736">
        <v>-2.3304789999999999E-2</v>
      </c>
      <c r="X2736">
        <v>0.9996157</v>
      </c>
      <c r="Y2736">
        <v>-0.41483720000000002</v>
      </c>
      <c r="Z2736">
        <v>1.885858E-2</v>
      </c>
      <c r="AA2736">
        <v>0.90970019999999996</v>
      </c>
      <c r="AB2736">
        <v>13</v>
      </c>
      <c r="AC2736">
        <v>31.512699999999899</v>
      </c>
      <c r="AD2736">
        <v>-0.91903020000000002</v>
      </c>
      <c r="AE2736">
        <v>-38.431899999999999</v>
      </c>
      <c r="AF2736">
        <v>-20.659584610464101</v>
      </c>
      <c r="AG2736">
        <v>-0.91903020000000002</v>
      </c>
      <c r="AH2736">
        <v>45.183563334907198</v>
      </c>
      <c r="AI2736">
        <v>91.059735562964406</v>
      </c>
      <c r="AJ2736">
        <v>114.571619825756</v>
      </c>
      <c r="AK2736">
        <v>49.6912210397875</v>
      </c>
      <c r="AL2736">
        <v>91.335386929940398</v>
      </c>
      <c r="AM2736">
        <v>90.860566735532899</v>
      </c>
      <c r="AN2736">
        <v>1.0000000567754099</v>
      </c>
    </row>
    <row r="2737" spans="1:40" x14ac:dyDescent="0.25">
      <c r="A2737" t="str">
        <f>"20190312161012655"</f>
        <v>20190312161012655</v>
      </c>
      <c r="B2737" t="str">
        <f>"1552378212649000"</f>
        <v>1552378212649000</v>
      </c>
      <c r="C2737" t="s">
        <v>40</v>
      </c>
      <c r="D2737">
        <v>4.9846940000000002</v>
      </c>
      <c r="E2737">
        <v>0.33347650000000001</v>
      </c>
      <c r="F2737" t="s">
        <v>81</v>
      </c>
      <c r="G2737">
        <v>-460.52859999999998</v>
      </c>
      <c r="H2737">
        <v>0.28642269999999997</v>
      </c>
      <c r="I2737">
        <v>197.345</v>
      </c>
      <c r="J2737">
        <v>-492.15879999999999</v>
      </c>
      <c r="K2737">
        <v>1.1107180000000001</v>
      </c>
      <c r="L2737">
        <v>235.64420000000001</v>
      </c>
      <c r="M2737">
        <v>0.25766670000000003</v>
      </c>
      <c r="N2737">
        <v>0</v>
      </c>
      <c r="O2737">
        <v>-0.96618709999999997</v>
      </c>
      <c r="P2737">
        <v>0.27165470000000003</v>
      </c>
      <c r="Q2737">
        <v>-3.3115249999999999E-2</v>
      </c>
      <c r="R2737">
        <v>-0.96182540000000005</v>
      </c>
      <c r="S2737">
        <v>2.0857540000000001</v>
      </c>
      <c r="T2737">
        <v>-5.4287670000000003E-2</v>
      </c>
      <c r="U2737">
        <v>-2.5312039999999998</v>
      </c>
      <c r="V2737">
        <v>-1.458836E-2</v>
      </c>
      <c r="W2737">
        <v>-2.3627329999999998E-2</v>
      </c>
      <c r="X2737">
        <v>0.99961440000000001</v>
      </c>
      <c r="Y2737">
        <v>-0.41550160000000003</v>
      </c>
      <c r="Z2737">
        <v>1.6918829999999999E-2</v>
      </c>
      <c r="AA2737">
        <v>0.90943510000000005</v>
      </c>
      <c r="AB2737">
        <v>13</v>
      </c>
      <c r="AC2737">
        <v>31.630199999999999</v>
      </c>
      <c r="AD2737">
        <v>-0.82429529999999995</v>
      </c>
      <c r="AE2737">
        <v>-38.299199999999999</v>
      </c>
      <c r="AF2737">
        <v>-20.687500592407901</v>
      </c>
      <c r="AG2737">
        <v>-0.82429529999999995</v>
      </c>
      <c r="AH2737">
        <v>45.143850384921798</v>
      </c>
      <c r="AI2737">
        <v>90.950986447326002</v>
      </c>
      <c r="AJ2737">
        <v>114.619966249366</v>
      </c>
      <c r="AK2737">
        <v>49.665071942751503</v>
      </c>
      <c r="AL2737">
        <v>91.353872263479502</v>
      </c>
      <c r="AM2737">
        <v>90.836114530235903</v>
      </c>
      <c r="AN2737">
        <v>1.0000000098288799</v>
      </c>
    </row>
    <row r="2738" spans="1:40" x14ac:dyDescent="0.25">
      <c r="A2738" t="str">
        <f>"20190312161012678"</f>
        <v>20190312161012678</v>
      </c>
      <c r="B2738" t="str">
        <f>"1552378212668518"</f>
        <v>1552378212668518</v>
      </c>
      <c r="C2738" t="s">
        <v>40</v>
      </c>
      <c r="D2738">
        <v>4.940874</v>
      </c>
      <c r="E2738">
        <v>0.3331942</v>
      </c>
      <c r="F2738" t="s">
        <v>81</v>
      </c>
      <c r="G2738">
        <v>-460.42430000000002</v>
      </c>
      <c r="H2738">
        <v>0.30182219999999998</v>
      </c>
      <c r="I2738">
        <v>197.345</v>
      </c>
      <c r="J2738">
        <v>-492.12079999999997</v>
      </c>
      <c r="K2738">
        <v>1.110714</v>
      </c>
      <c r="L2738">
        <v>235.5136</v>
      </c>
      <c r="M2738">
        <v>0.26021329999999998</v>
      </c>
      <c r="N2738">
        <v>0</v>
      </c>
      <c r="O2738">
        <v>-0.96550519999999995</v>
      </c>
      <c r="P2738">
        <v>0.27429019999999998</v>
      </c>
      <c r="Q2738">
        <v>-3.2945189999999999E-2</v>
      </c>
      <c r="R2738">
        <v>-0.96108260000000001</v>
      </c>
      <c r="S2738">
        <v>2.0930789999999999</v>
      </c>
      <c r="T2738">
        <v>-5.3348779999999998E-2</v>
      </c>
      <c r="U2738">
        <v>-2.5260470000000002</v>
      </c>
      <c r="V2738">
        <v>-1.4691340000000001E-2</v>
      </c>
      <c r="W2738">
        <v>-2.3548039999999999E-2</v>
      </c>
      <c r="X2738">
        <v>0.99961480000000003</v>
      </c>
      <c r="Y2738">
        <v>-0.41558299999999998</v>
      </c>
      <c r="Z2738">
        <v>1.6620909999999999E-2</v>
      </c>
      <c r="AA2738">
        <v>0.90940339999999997</v>
      </c>
      <c r="AB2738">
        <v>13</v>
      </c>
      <c r="AC2738">
        <v>31.696499999999901</v>
      </c>
      <c r="AD2738">
        <v>-0.80889179999999905</v>
      </c>
      <c r="AE2738">
        <v>-38.168599999999998</v>
      </c>
      <c r="AF2738">
        <v>-20.666582040598399</v>
      </c>
      <c r="AG2738">
        <v>-0.80889179999999905</v>
      </c>
      <c r="AH2738">
        <v>45.089848465800301</v>
      </c>
      <c r="AI2738">
        <v>90.934306092328896</v>
      </c>
      <c r="AJ2738">
        <v>114.62398639617101</v>
      </c>
      <c r="AK2738">
        <v>49.607019199441197</v>
      </c>
      <c r="AL2738">
        <v>91.349327966637205</v>
      </c>
      <c r="AM2738">
        <v>90.8420155229785</v>
      </c>
      <c r="AN2738">
        <v>1.0000000470189301</v>
      </c>
    </row>
    <row r="2739" spans="1:40" x14ac:dyDescent="0.25">
      <c r="A2739" t="str">
        <f>"20190312161012699"</f>
        <v>20190312161012699</v>
      </c>
      <c r="B2739" t="str">
        <f>"1552378212689019"</f>
        <v>1552378212689019</v>
      </c>
      <c r="C2739" t="s">
        <v>40</v>
      </c>
      <c r="D2739">
        <v>5.1053269999999999</v>
      </c>
      <c r="E2739">
        <v>0.33316800000000002</v>
      </c>
      <c r="F2739" t="s">
        <v>81</v>
      </c>
      <c r="G2739">
        <v>-460.28109999999998</v>
      </c>
      <c r="H2739">
        <v>0.33727220000000002</v>
      </c>
      <c r="I2739">
        <v>197.345</v>
      </c>
      <c r="J2739">
        <v>-492.0849</v>
      </c>
      <c r="K2739">
        <v>1.110708</v>
      </c>
      <c r="L2739">
        <v>235.3914</v>
      </c>
      <c r="M2739">
        <v>0.2625943</v>
      </c>
      <c r="N2739">
        <v>0</v>
      </c>
      <c r="O2739">
        <v>-0.96486119999999997</v>
      </c>
      <c r="P2739">
        <v>0.27684309999999901</v>
      </c>
      <c r="Q2739">
        <v>-3.308059E-2</v>
      </c>
      <c r="R2739">
        <v>-0.96034560000000002</v>
      </c>
      <c r="S2739">
        <v>2.10202</v>
      </c>
      <c r="T2739">
        <v>-5.105925E-2</v>
      </c>
      <c r="U2739">
        <v>-2.5198360000000002</v>
      </c>
      <c r="V2739">
        <v>-1.488193E-2</v>
      </c>
      <c r="W2739">
        <v>-2.3765789999999998E-2</v>
      </c>
      <c r="X2739">
        <v>0.99960680000000002</v>
      </c>
      <c r="Y2739">
        <v>-0.41635319999999998</v>
      </c>
      <c r="Z2739">
        <v>1.5903049999999998E-2</v>
      </c>
      <c r="AA2739">
        <v>0.90906390000000004</v>
      </c>
      <c r="AB2739">
        <v>13</v>
      </c>
      <c r="AC2739">
        <v>31.803799999999999</v>
      </c>
      <c r="AD2739">
        <v>-0.77343580000000001</v>
      </c>
      <c r="AE2739">
        <v>-38.046399999999998</v>
      </c>
      <c r="AF2739">
        <v>-20.691352605870801</v>
      </c>
      <c r="AG2739">
        <v>-0.77343580000000001</v>
      </c>
      <c r="AH2739">
        <v>45.051994465269203</v>
      </c>
      <c r="AI2739">
        <v>90.893793395182499</v>
      </c>
      <c r="AJ2739">
        <v>114.66823877517</v>
      </c>
      <c r="AK2739">
        <v>49.582380750583603</v>
      </c>
      <c r="AL2739">
        <v>91.361807651999797</v>
      </c>
      <c r="AM2739">
        <v>90.852944168905495</v>
      </c>
      <c r="AN2739">
        <v>1.0000000196105401</v>
      </c>
    </row>
    <row r="2740" spans="1:40" x14ac:dyDescent="0.25">
      <c r="A2740" t="str">
        <f>"20190312161012721"</f>
        <v>20190312161012721</v>
      </c>
      <c r="B2740" t="str">
        <f>"1552378212708542"</f>
        <v>1552378212708542</v>
      </c>
      <c r="C2740" t="s">
        <v>40</v>
      </c>
      <c r="D2740">
        <v>5.0883520000000004</v>
      </c>
      <c r="E2740">
        <v>0.3330361</v>
      </c>
      <c r="F2740" t="s">
        <v>81</v>
      </c>
      <c r="G2740">
        <v>-460.1696</v>
      </c>
      <c r="H2740">
        <v>0.2949214</v>
      </c>
      <c r="I2740">
        <v>197.345</v>
      </c>
      <c r="J2740">
        <v>-492.04899999999998</v>
      </c>
      <c r="K2740">
        <v>1.110706</v>
      </c>
      <c r="L2740">
        <v>235.27019999999999</v>
      </c>
      <c r="M2740">
        <v>0.26495879999999999</v>
      </c>
      <c r="N2740">
        <v>0</v>
      </c>
      <c r="O2740">
        <v>-0.96421520000000005</v>
      </c>
      <c r="P2740">
        <v>0.27923249999999999</v>
      </c>
      <c r="Q2740">
        <v>-3.367295E-2</v>
      </c>
      <c r="R2740">
        <v>-0.95963319999999996</v>
      </c>
      <c r="S2740">
        <v>2.1089479999999998</v>
      </c>
      <c r="T2740">
        <v>-5.3904180000000003E-2</v>
      </c>
      <c r="U2740">
        <v>-2.514084</v>
      </c>
      <c r="V2740">
        <v>-1.492315E-2</v>
      </c>
      <c r="W2740">
        <v>-2.4440509999999999E-2</v>
      </c>
      <c r="X2740">
        <v>0.99958990000000003</v>
      </c>
      <c r="Y2740">
        <v>-0.41660960000000002</v>
      </c>
      <c r="Z2740">
        <v>1.6787259999999998E-2</v>
      </c>
      <c r="AA2740">
        <v>0.90893049999999997</v>
      </c>
      <c r="AB2740">
        <v>13</v>
      </c>
      <c r="AC2740">
        <v>31.8794</v>
      </c>
      <c r="AD2740">
        <v>-0.81578459999999997</v>
      </c>
      <c r="AE2740">
        <v>-37.925199999999897</v>
      </c>
      <c r="AF2740">
        <v>-20.685266811679298</v>
      </c>
      <c r="AG2740">
        <v>-0.81578459999999997</v>
      </c>
      <c r="AH2740">
        <v>45.004513200441501</v>
      </c>
      <c r="AI2740">
        <v>90.943593058282701</v>
      </c>
      <c r="AJ2740">
        <v>114.684765071516</v>
      </c>
      <c r="AK2740">
        <v>49.537379583428397</v>
      </c>
      <c r="AL2740">
        <v>91.400477517297801</v>
      </c>
      <c r="AM2740">
        <v>90.855320763384199</v>
      </c>
      <c r="AN2740">
        <v>1.0000000035584899</v>
      </c>
    </row>
    <row r="2741" spans="1:40" x14ac:dyDescent="0.25">
      <c r="A2741" t="str">
        <f>"20190312161012743"</f>
        <v>20190312161012743</v>
      </c>
      <c r="B2741" t="str">
        <f>"1552378212738790"</f>
        <v>1552378212738790</v>
      </c>
      <c r="C2741" t="s">
        <v>40</v>
      </c>
      <c r="D2741">
        <v>5.1497650000000004</v>
      </c>
      <c r="E2741">
        <v>0.33298420000000001</v>
      </c>
      <c r="F2741" t="s">
        <v>81</v>
      </c>
      <c r="G2741">
        <v>-460.0462</v>
      </c>
      <c r="H2741">
        <v>0.25234509999999999</v>
      </c>
      <c r="I2741">
        <v>197.345</v>
      </c>
      <c r="J2741">
        <v>-492.01069999999999</v>
      </c>
      <c r="K2741">
        <v>1.1107009999999999</v>
      </c>
      <c r="L2741">
        <v>235.14230000000001</v>
      </c>
      <c r="M2741">
        <v>0.26745550000000001</v>
      </c>
      <c r="N2741">
        <v>0</v>
      </c>
      <c r="O2741">
        <v>-0.96352649999999995</v>
      </c>
      <c r="P2741">
        <v>0.2815356</v>
      </c>
      <c r="Q2741">
        <v>-3.3783390000000003E-2</v>
      </c>
      <c r="R2741">
        <v>-0.95895600000000003</v>
      </c>
      <c r="S2741">
        <v>2.1166079999999998</v>
      </c>
      <c r="T2741">
        <v>-5.6767819999999997E-2</v>
      </c>
      <c r="U2741">
        <v>-2.5083009999999999</v>
      </c>
      <c r="V2741">
        <v>-1.473385E-2</v>
      </c>
      <c r="W2741">
        <v>-2.464121E-2</v>
      </c>
      <c r="X2741">
        <v>0.99958780000000003</v>
      </c>
      <c r="Y2741">
        <v>-0.41689959999999998</v>
      </c>
      <c r="Z2741">
        <v>1.767438E-2</v>
      </c>
      <c r="AA2741">
        <v>0.9087807</v>
      </c>
      <c r="AB2741">
        <v>13</v>
      </c>
      <c r="AC2741">
        <v>31.964499999999902</v>
      </c>
      <c r="AD2741">
        <v>-0.85835589999999995</v>
      </c>
      <c r="AE2741">
        <v>-37.7973</v>
      </c>
      <c r="AF2741">
        <v>-20.684199213749601</v>
      </c>
      <c r="AG2741">
        <v>-0.85835589999999995</v>
      </c>
      <c r="AH2741">
        <v>44.9561582550932</v>
      </c>
      <c r="AI2741">
        <v>90.993714532670694</v>
      </c>
      <c r="AJ2741">
        <v>114.70702308886899</v>
      </c>
      <c r="AK2741">
        <v>49.493727249239598</v>
      </c>
      <c r="AL2741">
        <v>91.411980217440998</v>
      </c>
      <c r="AM2741">
        <v>90.844474383712296</v>
      </c>
      <c r="AN2741">
        <v>1.0000000227374599</v>
      </c>
    </row>
    <row r="2742" spans="1:40" x14ac:dyDescent="0.25">
      <c r="A2742" t="str">
        <f>"20190312161012767"</f>
        <v>20190312161012767</v>
      </c>
      <c r="B2742" t="str">
        <f>"1552378212758310"</f>
        <v>1552378212758310</v>
      </c>
      <c r="C2742" t="s">
        <v>40</v>
      </c>
      <c r="D2742">
        <v>5.1355309999999896</v>
      </c>
      <c r="E2742">
        <v>0.33289350000000001</v>
      </c>
      <c r="F2742" t="s">
        <v>81</v>
      </c>
      <c r="G2742">
        <v>-459.95100000000002</v>
      </c>
      <c r="H2742">
        <v>0.19915289999999999</v>
      </c>
      <c r="I2742">
        <v>197.345</v>
      </c>
      <c r="J2742">
        <v>-491.97030000000001</v>
      </c>
      <c r="K2742">
        <v>1.110692</v>
      </c>
      <c r="L2742">
        <v>235.00880000000001</v>
      </c>
      <c r="M2742">
        <v>0.2700612</v>
      </c>
      <c r="N2742">
        <v>0</v>
      </c>
      <c r="O2742">
        <v>-0.9628004</v>
      </c>
      <c r="P2742">
        <v>0.283879299999999</v>
      </c>
      <c r="Q2742">
        <v>-3.3692159999999999E-2</v>
      </c>
      <c r="R2742">
        <v>-0.95826820000000001</v>
      </c>
      <c r="S2742">
        <v>2.1230470000000001</v>
      </c>
      <c r="T2742">
        <v>-6.0361499999999998E-2</v>
      </c>
      <c r="U2742">
        <v>-2.5029910000000002</v>
      </c>
      <c r="V2742">
        <v>-1.447265E-2</v>
      </c>
      <c r="W2742">
        <v>-2.4649899999999999E-2</v>
      </c>
      <c r="X2742">
        <v>0.99959140000000002</v>
      </c>
      <c r="Y2742">
        <v>-0.4167382</v>
      </c>
      <c r="Z2742">
        <v>1.8788949999999999E-2</v>
      </c>
      <c r="AA2742">
        <v>0.90883239999999998</v>
      </c>
      <c r="AB2742">
        <v>13</v>
      </c>
      <c r="AC2742">
        <v>32.019300000000001</v>
      </c>
      <c r="AD2742">
        <v>-0.91153909999999905</v>
      </c>
      <c r="AE2742">
        <v>-37.663800000000002</v>
      </c>
      <c r="AF2742">
        <v>-20.650493017496402</v>
      </c>
      <c r="AG2742">
        <v>-0.91153909999999905</v>
      </c>
      <c r="AH2742">
        <v>44.896476266549897</v>
      </c>
      <c r="AI2742">
        <v>91.056729241866904</v>
      </c>
      <c r="AJ2742">
        <v>114.700443608149</v>
      </c>
      <c r="AK2742">
        <v>49.426383102037498</v>
      </c>
      <c r="AL2742">
        <v>91.412478271404197</v>
      </c>
      <c r="AM2742">
        <v>90.829502762544706</v>
      </c>
      <c r="AN2742">
        <v>1.0000000210609901</v>
      </c>
    </row>
    <row r="2743" spans="1:40" x14ac:dyDescent="0.25">
      <c r="A2743" t="str">
        <f>"20190312161012788"</f>
        <v>20190312161012788</v>
      </c>
      <c r="B2743" t="str">
        <f>"1552378212778810"</f>
        <v>1552378212778810</v>
      </c>
      <c r="C2743" t="s">
        <v>40</v>
      </c>
      <c r="D2743">
        <v>5.174671</v>
      </c>
      <c r="E2743">
        <v>0.3328776</v>
      </c>
      <c r="F2743" t="s">
        <v>81</v>
      </c>
      <c r="G2743">
        <v>-459.85129999999998</v>
      </c>
      <c r="H2743">
        <v>0.16532089999999999</v>
      </c>
      <c r="I2743">
        <v>197.345</v>
      </c>
      <c r="J2743">
        <v>-491.93119999999999</v>
      </c>
      <c r="K2743">
        <v>1.1106860000000001</v>
      </c>
      <c r="L2743">
        <v>234.88059999999999</v>
      </c>
      <c r="M2743">
        <v>0.27256429999999998</v>
      </c>
      <c r="N2743">
        <v>0</v>
      </c>
      <c r="O2743">
        <v>-0.9620957</v>
      </c>
      <c r="P2743">
        <v>0.28582960000000002</v>
      </c>
      <c r="Q2743">
        <v>-3.3838890000000003E-2</v>
      </c>
      <c r="R2743">
        <v>-0.95768299999999995</v>
      </c>
      <c r="S2743">
        <v>2.1298520000000001</v>
      </c>
      <c r="T2743">
        <v>-6.268609E-2</v>
      </c>
      <c r="U2743">
        <v>-2.497528</v>
      </c>
      <c r="V2743">
        <v>-1.39087E-2</v>
      </c>
      <c r="W2743">
        <v>-2.4896459999999999E-2</v>
      </c>
      <c r="X2743">
        <v>0.99959330000000002</v>
      </c>
      <c r="Y2743">
        <v>-0.4167807</v>
      </c>
      <c r="Z2743">
        <v>1.950791E-2</v>
      </c>
      <c r="AA2743">
        <v>0.90879770000000004</v>
      </c>
      <c r="AB2743">
        <v>13</v>
      </c>
      <c r="AC2743">
        <v>32.079900000000002</v>
      </c>
      <c r="AD2743">
        <v>-0.94536509999999996</v>
      </c>
      <c r="AE2743">
        <v>-37.535599999999903</v>
      </c>
      <c r="AF2743">
        <v>-20.626339506207</v>
      </c>
      <c r="AG2743">
        <v>-0.94536509999999996</v>
      </c>
      <c r="AH2743">
        <v>44.8420441321543</v>
      </c>
      <c r="AI2743">
        <v>91.097255449882297</v>
      </c>
      <c r="AJ2743">
        <v>114.701374804678</v>
      </c>
      <c r="AK2743">
        <v>49.3674844259629</v>
      </c>
      <c r="AL2743">
        <v>91.426609449054595</v>
      </c>
      <c r="AM2743">
        <v>90.797182598910595</v>
      </c>
      <c r="AN2743">
        <v>1.0000000255305499</v>
      </c>
    </row>
    <row r="2744" spans="1:40" x14ac:dyDescent="0.25">
      <c r="A2744" t="str">
        <f>"20190312161012811"</f>
        <v>20190312161012811</v>
      </c>
      <c r="B2744" t="str">
        <f>"1552378212798326"</f>
        <v>1552378212798326</v>
      </c>
      <c r="C2744" t="s">
        <v>40</v>
      </c>
      <c r="D2744">
        <v>5.1963809999999997</v>
      </c>
      <c r="E2744">
        <v>0.33280480000000001</v>
      </c>
      <c r="F2744" t="s">
        <v>81</v>
      </c>
      <c r="G2744">
        <v>-459.78339999999997</v>
      </c>
      <c r="H2744">
        <v>0.13822789999999999</v>
      </c>
      <c r="I2744">
        <v>197.345</v>
      </c>
      <c r="J2744">
        <v>-491.8922</v>
      </c>
      <c r="K2744">
        <v>1.1106799999999999</v>
      </c>
      <c r="L2744">
        <v>234.75389999999999</v>
      </c>
      <c r="M2744">
        <v>0.27503939999999999</v>
      </c>
      <c r="N2744">
        <v>0</v>
      </c>
      <c r="O2744">
        <v>-0.96139200000000002</v>
      </c>
      <c r="P2744">
        <v>0.28843550000000001</v>
      </c>
      <c r="Q2744">
        <v>-3.3834839999999998E-2</v>
      </c>
      <c r="R2744">
        <v>-0.95690169999999997</v>
      </c>
      <c r="S2744">
        <v>2.1351930000000001</v>
      </c>
      <c r="T2744">
        <v>-6.4585920000000005E-2</v>
      </c>
      <c r="U2744">
        <v>-2.4930270000000001</v>
      </c>
      <c r="V2744">
        <v>-1.4056900000000001E-2</v>
      </c>
      <c r="W2744">
        <v>-2.4993129999999999E-2</v>
      </c>
      <c r="X2744">
        <v>0.99958880000000006</v>
      </c>
      <c r="Y2744">
        <v>-0.4163676</v>
      </c>
      <c r="Z2744">
        <v>2.009412E-2</v>
      </c>
      <c r="AA2744">
        <v>0.90897430000000001</v>
      </c>
      <c r="AB2744">
        <v>14</v>
      </c>
      <c r="AC2744">
        <v>32.108800000000002</v>
      </c>
      <c r="AD2744">
        <v>-0.97245210000000004</v>
      </c>
      <c r="AE2744">
        <v>-37.408899999999903</v>
      </c>
      <c r="AF2744">
        <v>-20.573027525864202</v>
      </c>
      <c r="AG2744">
        <v>-0.97245210000000004</v>
      </c>
      <c r="AH2744">
        <v>44.780142386884997</v>
      </c>
      <c r="AI2744">
        <v>91.130484171659205</v>
      </c>
      <c r="AJ2744">
        <v>114.67513847436599</v>
      </c>
      <c r="AK2744">
        <v>49.289514877471198</v>
      </c>
      <c r="AL2744">
        <v>91.432149976723196</v>
      </c>
      <c r="AM2744">
        <v>90.805679252865602</v>
      </c>
      <c r="AN2744">
        <v>1.0000000110351199</v>
      </c>
    </row>
    <row r="2745" spans="1:40" x14ac:dyDescent="0.25">
      <c r="A2745" t="str">
        <f>"20190312161012833"</f>
        <v>20190312161012833</v>
      </c>
      <c r="B2745" t="str">
        <f>"1552378212828583"</f>
        <v>1552378212828583</v>
      </c>
      <c r="C2745" t="s">
        <v>40</v>
      </c>
      <c r="D2745">
        <v>5.2096339999999897</v>
      </c>
      <c r="E2745">
        <v>0.33274510000000002</v>
      </c>
      <c r="F2745" t="s">
        <v>81</v>
      </c>
      <c r="G2745">
        <v>-459.66219999999998</v>
      </c>
      <c r="H2745">
        <v>7.2395319999999999E-2</v>
      </c>
      <c r="I2745">
        <v>197.345</v>
      </c>
      <c r="J2745">
        <v>-491.85199999999998</v>
      </c>
      <c r="K2745">
        <v>1.1106769999999999</v>
      </c>
      <c r="L2745">
        <v>234.62459999999999</v>
      </c>
      <c r="M2745">
        <v>0.277563</v>
      </c>
      <c r="N2745">
        <v>0</v>
      </c>
      <c r="O2745">
        <v>-0.96066750000000001</v>
      </c>
      <c r="P2745">
        <v>0.29144579999999998</v>
      </c>
      <c r="Q2745">
        <v>-3.389967E-2</v>
      </c>
      <c r="R2745">
        <v>-0.95598700000000003</v>
      </c>
      <c r="S2745">
        <v>2.1425779999999999</v>
      </c>
      <c r="T2745">
        <v>-6.9020029999999996E-2</v>
      </c>
      <c r="U2745">
        <v>-2.486847</v>
      </c>
      <c r="V2745">
        <v>-1.4577329999999999E-2</v>
      </c>
      <c r="W2745">
        <v>-2.5160020000000002E-2</v>
      </c>
      <c r="X2745">
        <v>0.99957720000000005</v>
      </c>
      <c r="Y2745">
        <v>-0.4166279</v>
      </c>
      <c r="Z2745">
        <v>2.1469510000000001E-2</v>
      </c>
      <c r="AA2745">
        <v>0.90882359999999895</v>
      </c>
      <c r="AB2745">
        <v>14</v>
      </c>
      <c r="AC2745">
        <v>32.189799999999899</v>
      </c>
      <c r="AD2745">
        <v>-1.0382816800000001</v>
      </c>
      <c r="AE2745">
        <v>-37.279599999999903</v>
      </c>
      <c r="AF2745">
        <v>-20.567906752542299</v>
      </c>
      <c r="AG2745">
        <v>-1.0382816800000001</v>
      </c>
      <c r="AH2745">
        <v>44.729837811199403</v>
      </c>
      <c r="AI2745">
        <v>91.208162387925697</v>
      </c>
      <c r="AJ2745">
        <v>114.694163643171</v>
      </c>
      <c r="AK2745">
        <v>49.243021918282999</v>
      </c>
      <c r="AL2745">
        <v>91.441715018166093</v>
      </c>
      <c r="AM2745">
        <v>90.835513537212705</v>
      </c>
      <c r="AN2745">
        <v>1.0000000519580801</v>
      </c>
    </row>
    <row r="2746" spans="1:40" x14ac:dyDescent="0.25">
      <c r="A2746" t="str">
        <f>"20190312161012857"</f>
        <v>20190312161012857</v>
      </c>
      <c r="B2746" t="str">
        <f>"1552378212849079"</f>
        <v>1552378212849079</v>
      </c>
      <c r="C2746" t="s">
        <v>40</v>
      </c>
      <c r="D2746">
        <v>5.2169559999999997</v>
      </c>
      <c r="E2746">
        <v>0.33270110000000003</v>
      </c>
      <c r="F2746" t="s">
        <v>43</v>
      </c>
      <c r="G2746">
        <v>-457.6678</v>
      </c>
      <c r="H2746">
        <v>-0.05</v>
      </c>
      <c r="I2746">
        <v>195.21899999999999</v>
      </c>
      <c r="J2746">
        <v>-491.8075</v>
      </c>
      <c r="K2746">
        <v>1.110665</v>
      </c>
      <c r="L2746">
        <v>234.48269999999999</v>
      </c>
      <c r="M2746">
        <v>0.2803312</v>
      </c>
      <c r="N2746">
        <v>0</v>
      </c>
      <c r="O2746">
        <v>-0.9598643</v>
      </c>
      <c r="P2746">
        <v>0.29435070000000002</v>
      </c>
      <c r="Q2746">
        <v>-3.4404669999999998E-2</v>
      </c>
      <c r="R2746">
        <v>-0.95507839999999999</v>
      </c>
      <c r="S2746">
        <v>2.151154</v>
      </c>
      <c r="T2746">
        <v>-7.3039409999999999E-2</v>
      </c>
      <c r="U2746">
        <v>-2.4797210000000001</v>
      </c>
      <c r="V2746">
        <v>-1.4737719999999999E-2</v>
      </c>
      <c r="W2746">
        <v>-2.5770910000000001E-2</v>
      </c>
      <c r="X2746">
        <v>0.99955919999999998</v>
      </c>
      <c r="Y2746">
        <v>-0.41707519999999998</v>
      </c>
      <c r="Z2746">
        <v>2.27149E-2</v>
      </c>
      <c r="AA2746">
        <v>0.90858810000000001</v>
      </c>
      <c r="AB2746">
        <v>14</v>
      </c>
      <c r="AC2746">
        <v>34.139699999999998</v>
      </c>
      <c r="AD2746">
        <v>-1.1606650000000001</v>
      </c>
      <c r="AE2746">
        <v>-39.263699999999901</v>
      </c>
      <c r="AF2746">
        <v>-21.7526300343239</v>
      </c>
      <c r="AG2746">
        <v>-1.1606650000000001</v>
      </c>
      <c r="AH2746">
        <v>47.236511976007698</v>
      </c>
      <c r="AI2746">
        <v>91.278547141416198</v>
      </c>
      <c r="AJ2746">
        <v>114.726286843742</v>
      </c>
      <c r="AK2746">
        <v>52.017421315477698</v>
      </c>
      <c r="AL2746">
        <v>91.476727915314697</v>
      </c>
      <c r="AM2746">
        <v>90.844720327080296</v>
      </c>
      <c r="AN2746">
        <v>0.999999967248832</v>
      </c>
    </row>
    <row r="2747" spans="1:40" x14ac:dyDescent="0.25">
      <c r="A2747" t="str">
        <f>"20190312161012880"</f>
        <v>20190312161012880</v>
      </c>
      <c r="B2747" t="str">
        <f>"1552378212868599"</f>
        <v>1552378212868599</v>
      </c>
      <c r="C2747" t="s">
        <v>40</v>
      </c>
      <c r="D2747">
        <v>5.2644780000000004</v>
      </c>
      <c r="E2747">
        <v>0.3326421</v>
      </c>
      <c r="F2747" t="s">
        <v>43</v>
      </c>
      <c r="G2747">
        <v>-458.03590000000003</v>
      </c>
      <c r="H2747">
        <v>-0.05</v>
      </c>
      <c r="I2747">
        <v>195.79519999999999</v>
      </c>
      <c r="J2747">
        <v>-491.76679999999999</v>
      </c>
      <c r="K2747">
        <v>1.110663</v>
      </c>
      <c r="L2747">
        <v>234.35400000000001</v>
      </c>
      <c r="M2747">
        <v>0.28284340000000002</v>
      </c>
      <c r="N2747">
        <v>0</v>
      </c>
      <c r="O2747">
        <v>-0.95912779999999997</v>
      </c>
      <c r="P2747">
        <v>0.29713810000000002</v>
      </c>
      <c r="Q2747">
        <v>-3.4822499999999999E-2</v>
      </c>
      <c r="R2747">
        <v>-0.95419960000000004</v>
      </c>
      <c r="S2747">
        <v>2.1588440000000002</v>
      </c>
      <c r="T2747">
        <v>-7.4195499999999998E-2</v>
      </c>
      <c r="U2747">
        <v>-2.4730989999999999</v>
      </c>
      <c r="V2747">
        <v>-1.504161E-2</v>
      </c>
      <c r="W2747">
        <v>-2.6279710000000001E-2</v>
      </c>
      <c r="X2747">
        <v>0.99954149999999997</v>
      </c>
      <c r="Y2747">
        <v>-0.41749930000000002</v>
      </c>
      <c r="Z2747">
        <v>2.3071210000000002E-2</v>
      </c>
      <c r="AA2747">
        <v>0.90838430000000003</v>
      </c>
      <c r="AB2747">
        <v>14</v>
      </c>
      <c r="AC2747">
        <v>33.730899999999899</v>
      </c>
      <c r="AD2747">
        <v>-1.160663</v>
      </c>
      <c r="AE2747">
        <v>-38.558799999999998</v>
      </c>
      <c r="AF2747">
        <v>-21.435927039863099</v>
      </c>
      <c r="AG2747">
        <v>-1.160663</v>
      </c>
      <c r="AH2747">
        <v>46.501220413691499</v>
      </c>
      <c r="AI2747">
        <v>91.298522424961007</v>
      </c>
      <c r="AJ2747">
        <v>114.748547671583</v>
      </c>
      <c r="AK2747">
        <v>51.217278399194797</v>
      </c>
      <c r="AL2747">
        <v>91.505889774671004</v>
      </c>
      <c r="AM2747">
        <v>90.8621510198615</v>
      </c>
      <c r="AN2747">
        <v>1.00000004170566</v>
      </c>
    </row>
    <row r="2748" spans="1:40" x14ac:dyDescent="0.25">
      <c r="A2748" t="str">
        <f>"20190312161012903"</f>
        <v>20190312161012903</v>
      </c>
      <c r="B2748" t="str">
        <f>"1552378212898855"</f>
        <v>1552378212898855</v>
      </c>
      <c r="C2748" t="s">
        <v>40</v>
      </c>
      <c r="D2748">
        <v>5.2401109999999997</v>
      </c>
      <c r="E2748">
        <v>0.33259759999999999</v>
      </c>
      <c r="F2748" t="s">
        <v>43</v>
      </c>
      <c r="G2748">
        <v>-458.44869999999997</v>
      </c>
      <c r="H2748">
        <v>-0.05</v>
      </c>
      <c r="I2748">
        <v>196.4254</v>
      </c>
      <c r="J2748">
        <v>-491.72160000000002</v>
      </c>
      <c r="K2748">
        <v>1.110668</v>
      </c>
      <c r="L2748">
        <v>234.21270000000001</v>
      </c>
      <c r="M2748">
        <v>0.28559990000000002</v>
      </c>
      <c r="N2748">
        <v>0</v>
      </c>
      <c r="O2748">
        <v>-0.95831160000000004</v>
      </c>
      <c r="P2748">
        <v>0.30022359999999998</v>
      </c>
      <c r="Q2748">
        <v>-3.4221429999999997E-2</v>
      </c>
      <c r="R2748">
        <v>-0.95325510000000002</v>
      </c>
      <c r="S2748">
        <v>2.1667179999999999</v>
      </c>
      <c r="T2748">
        <v>-7.547951E-2</v>
      </c>
      <c r="U2748">
        <v>-2.4665530000000002</v>
      </c>
      <c r="V2748">
        <v>-1.5396419999999999E-2</v>
      </c>
      <c r="W2748">
        <v>-2.5773770000000001E-2</v>
      </c>
      <c r="X2748">
        <v>0.99954920000000003</v>
      </c>
      <c r="Y2748">
        <v>-0.417713</v>
      </c>
      <c r="Z2748">
        <v>2.3464289999999999E-2</v>
      </c>
      <c r="AA2748">
        <v>0.90827599999999997</v>
      </c>
      <c r="AB2748">
        <v>14</v>
      </c>
      <c r="AC2748">
        <v>33.2729</v>
      </c>
      <c r="AD2748">
        <v>-1.160668</v>
      </c>
      <c r="AE2748">
        <v>-37.787300000000002</v>
      </c>
      <c r="AF2748">
        <v>-21.083307615471998</v>
      </c>
      <c r="AG2748">
        <v>-1.160668</v>
      </c>
      <c r="AH2748">
        <v>45.692098895711602</v>
      </c>
      <c r="AI2748">
        <v>91.321290522479103</v>
      </c>
      <c r="AJ2748">
        <v>114.769606245831</v>
      </c>
      <c r="AK2748">
        <v>50.335086288893301</v>
      </c>
      <c r="AL2748">
        <v>91.476891831493603</v>
      </c>
      <c r="AM2748">
        <v>90.882477949242897</v>
      </c>
      <c r="AN2748">
        <v>0.99999997009473396</v>
      </c>
    </row>
    <row r="2749" spans="1:40" x14ac:dyDescent="0.25">
      <c r="A2749" t="str">
        <f>"20190312161012922"</f>
        <v>20190312161012922</v>
      </c>
      <c r="B2749" t="str">
        <f>"1552378212918375"</f>
        <v>1552378212918375</v>
      </c>
      <c r="C2749" t="s">
        <v>40</v>
      </c>
      <c r="D2749">
        <v>5.2911260000000002</v>
      </c>
      <c r="E2749">
        <v>0.33252310000000002</v>
      </c>
      <c r="F2749" t="s">
        <v>43</v>
      </c>
      <c r="G2749">
        <v>-459.41359999999997</v>
      </c>
      <c r="H2749">
        <v>-0.05</v>
      </c>
      <c r="I2749">
        <v>197.68600000000001</v>
      </c>
      <c r="J2749">
        <v>-491.68509999999998</v>
      </c>
      <c r="K2749">
        <v>1.1106689999999999</v>
      </c>
      <c r="L2749">
        <v>234.09960000000001</v>
      </c>
      <c r="M2749">
        <v>0.28780480000000003</v>
      </c>
      <c r="N2749">
        <v>0</v>
      </c>
      <c r="O2749">
        <v>-0.95765219999999995</v>
      </c>
      <c r="P2749">
        <v>0.30245699999999998</v>
      </c>
      <c r="Q2749">
        <v>-3.44584E-2</v>
      </c>
      <c r="R2749">
        <v>-0.95254030000000001</v>
      </c>
      <c r="S2749">
        <v>2.1752009999999999</v>
      </c>
      <c r="T2749">
        <v>-7.8144190000000002E-2</v>
      </c>
      <c r="U2749">
        <v>-2.4592290000000001</v>
      </c>
      <c r="V2749">
        <v>-1.544014E-2</v>
      </c>
      <c r="W2749">
        <v>-2.608135E-2</v>
      </c>
      <c r="X2749">
        <v>0.9995406</v>
      </c>
      <c r="Y2749">
        <v>-0.418709</v>
      </c>
      <c r="Z2749">
        <v>2.4291110000000001E-2</v>
      </c>
      <c r="AA2749">
        <v>0.90779549999999998</v>
      </c>
      <c r="AB2749">
        <v>14</v>
      </c>
      <c r="AC2749">
        <v>32.271500000000003</v>
      </c>
      <c r="AD2749">
        <v>-1.160669</v>
      </c>
      <c r="AE2749">
        <v>-36.413600000000002</v>
      </c>
      <c r="AF2749">
        <v>-20.413969337651999</v>
      </c>
      <c r="AG2749">
        <v>-1.160669</v>
      </c>
      <c r="AH2749">
        <v>44.135901781384597</v>
      </c>
      <c r="AI2749">
        <v>91.367287392048794</v>
      </c>
      <c r="AJ2749">
        <v>114.821733466933</v>
      </c>
      <c r="AK2749">
        <v>48.6421126463704</v>
      </c>
      <c r="AL2749">
        <v>91.494520715453405</v>
      </c>
      <c r="AM2749">
        <v>90.884991067463503</v>
      </c>
      <c r="AN2749">
        <v>1.0000000228946999</v>
      </c>
    </row>
    <row r="2750" spans="1:40" x14ac:dyDescent="0.25">
      <c r="A2750" t="str">
        <f>"20190312161012944"</f>
        <v>20190312161012944</v>
      </c>
      <c r="B2750" t="str">
        <f>"1552378212938871"</f>
        <v>1552378212938871</v>
      </c>
      <c r="C2750" t="s">
        <v>40</v>
      </c>
      <c r="D2750">
        <v>5.3002209999999996</v>
      </c>
      <c r="E2750">
        <v>0.33252619999999999</v>
      </c>
      <c r="F2750" t="s">
        <v>43</v>
      </c>
      <c r="G2750">
        <v>-460.63229999999999</v>
      </c>
      <c r="H2750">
        <v>-0.05</v>
      </c>
      <c r="I2750">
        <v>199.1737</v>
      </c>
      <c r="J2750">
        <v>-491.64210000000003</v>
      </c>
      <c r="K2750">
        <v>1.110668</v>
      </c>
      <c r="L2750">
        <v>233.96729999999999</v>
      </c>
      <c r="M2750">
        <v>0.29038530000000001</v>
      </c>
      <c r="N2750">
        <v>0</v>
      </c>
      <c r="O2750">
        <v>-0.95687350000000004</v>
      </c>
      <c r="P2750">
        <v>0.30412620000000001</v>
      </c>
      <c r="Q2750">
        <v>-3.5085989999999997E-2</v>
      </c>
      <c r="R2750">
        <v>-0.95198559999999999</v>
      </c>
      <c r="S2750">
        <v>2.1816710000000001</v>
      </c>
      <c r="T2750">
        <v>-8.1544759999999994E-2</v>
      </c>
      <c r="U2750">
        <v>-2.4537810000000002</v>
      </c>
      <c r="V2750">
        <v>-1.4501409999999999E-2</v>
      </c>
      <c r="W2750">
        <v>-2.6782110000000001E-2</v>
      </c>
      <c r="X2750">
        <v>0.99953610000000004</v>
      </c>
      <c r="Y2750">
        <v>-0.41858119999999999</v>
      </c>
      <c r="Z2750">
        <v>2.5340100000000001E-2</v>
      </c>
      <c r="AA2750">
        <v>0.90782580000000002</v>
      </c>
      <c r="AB2750">
        <v>14</v>
      </c>
      <c r="AC2750">
        <v>31.009799999999998</v>
      </c>
      <c r="AD2750">
        <v>-1.160668</v>
      </c>
      <c r="AE2750">
        <v>-34.793599999999998</v>
      </c>
      <c r="AF2750">
        <v>-19.557456682774799</v>
      </c>
      <c r="AG2750">
        <v>-1.160668</v>
      </c>
      <c r="AH2750">
        <v>42.273116623136097</v>
      </c>
      <c r="AI2750">
        <v>91.427446690525102</v>
      </c>
      <c r="AJ2750">
        <v>114.827396767869</v>
      </c>
      <c r="AK2750">
        <v>46.5924634585691</v>
      </c>
      <c r="AL2750">
        <v>91.534685383223206</v>
      </c>
      <c r="AM2750">
        <v>90.831196894079298</v>
      </c>
      <c r="AN2750">
        <v>0.99999999375562498</v>
      </c>
    </row>
    <row r="2751" spans="1:40" x14ac:dyDescent="0.25">
      <c r="A2751" t="str">
        <f>"20190312161012967"</f>
        <v>20190312161012967</v>
      </c>
      <c r="B2751" t="str">
        <f>"1552378212958391"</f>
        <v>1552378212958391</v>
      </c>
      <c r="C2751" t="s">
        <v>40</v>
      </c>
      <c r="D2751">
        <v>5.3165279999999999</v>
      </c>
      <c r="E2751">
        <v>0.33250249999999998</v>
      </c>
      <c r="F2751" t="s">
        <v>43</v>
      </c>
      <c r="G2751">
        <v>-461.64089999999999</v>
      </c>
      <c r="H2751">
        <v>-0.05</v>
      </c>
      <c r="I2751">
        <v>200.3407</v>
      </c>
      <c r="J2751">
        <v>-491.59780000000001</v>
      </c>
      <c r="K2751">
        <v>1.1106609999999999</v>
      </c>
      <c r="L2751">
        <v>233.83250000000001</v>
      </c>
      <c r="M2751">
        <v>0.293014099999999</v>
      </c>
      <c r="N2751">
        <v>0</v>
      </c>
      <c r="O2751">
        <v>-0.95607240000000004</v>
      </c>
      <c r="P2751">
        <v>0.305616</v>
      </c>
      <c r="Q2751">
        <v>-3.6113909999999999E-2</v>
      </c>
      <c r="R2751">
        <v>-0.95147009999999999</v>
      </c>
      <c r="S2751">
        <v>2.1857600000000001</v>
      </c>
      <c r="T2751">
        <v>-8.4561230000000001E-2</v>
      </c>
      <c r="U2751">
        <v>-2.4498899999999999</v>
      </c>
      <c r="V2751">
        <v>-1.3328049999999999E-2</v>
      </c>
      <c r="W2751">
        <v>-2.7874610000000001E-2</v>
      </c>
      <c r="X2751">
        <v>0.99952260000000004</v>
      </c>
      <c r="Y2751">
        <v>-0.41762870000000002</v>
      </c>
      <c r="Z2751">
        <v>2.6268469999999999E-2</v>
      </c>
      <c r="AA2751">
        <v>0.90823799999999999</v>
      </c>
      <c r="AB2751">
        <v>14</v>
      </c>
      <c r="AC2751">
        <v>29.956900000000001</v>
      </c>
      <c r="AD2751">
        <v>-1.1606609999999999</v>
      </c>
      <c r="AE2751">
        <v>-33.491799999999998</v>
      </c>
      <c r="AF2751">
        <v>-18.815485163579499</v>
      </c>
      <c r="AG2751">
        <v>-1.1606609999999999</v>
      </c>
      <c r="AH2751">
        <v>40.772570056114098</v>
      </c>
      <c r="AI2751">
        <v>91.480608731638398</v>
      </c>
      <c r="AJ2751">
        <v>114.772100543094</v>
      </c>
      <c r="AK2751">
        <v>44.919618040211901</v>
      </c>
      <c r="AL2751">
        <v>91.597304356519302</v>
      </c>
      <c r="AM2751">
        <v>90.763960473548096</v>
      </c>
      <c r="AN2751">
        <v>1.0000000293550999</v>
      </c>
    </row>
    <row r="2752" spans="1:40" x14ac:dyDescent="0.25">
      <c r="A2752" t="str">
        <f>"20190312161012991"</f>
        <v>20190312161012991</v>
      </c>
      <c r="B2752" t="str">
        <f>"1552378212988646"</f>
        <v>1552378212988646</v>
      </c>
      <c r="C2752" t="s">
        <v>40</v>
      </c>
      <c r="D2752">
        <v>5.3316160000000004</v>
      </c>
      <c r="E2752">
        <v>0.33251029999999998</v>
      </c>
      <c r="F2752" t="s">
        <v>61</v>
      </c>
      <c r="G2752">
        <v>-466.27170000000001</v>
      </c>
      <c r="H2752">
        <v>8.000148E-2</v>
      </c>
      <c r="I2752">
        <v>205.54499999999999</v>
      </c>
      <c r="J2752">
        <v>-491.55040000000002</v>
      </c>
      <c r="K2752">
        <v>1.110663</v>
      </c>
      <c r="L2752">
        <v>233.68950000000001</v>
      </c>
      <c r="M2752">
        <v>0.29580060000000002</v>
      </c>
      <c r="N2752">
        <v>0</v>
      </c>
      <c r="O2752">
        <v>-0.95521449999999997</v>
      </c>
      <c r="P2752">
        <v>0.30762859999999997</v>
      </c>
      <c r="Q2752">
        <v>-3.651095E-2</v>
      </c>
      <c r="R2752">
        <v>-0.95080609999999999</v>
      </c>
      <c r="S2752">
        <v>2.1900940000000002</v>
      </c>
      <c r="T2752">
        <v>-8.912718E-2</v>
      </c>
      <c r="U2752">
        <v>-2.4461819999999999</v>
      </c>
      <c r="V2752">
        <v>-1.2531469999999999E-2</v>
      </c>
      <c r="W2752">
        <v>-2.8332050000000001E-2</v>
      </c>
      <c r="X2752">
        <v>0.99951999999999996</v>
      </c>
      <c r="Y2752">
        <v>-0.41653069999999998</v>
      </c>
      <c r="Z2752">
        <v>2.7673070000000001E-2</v>
      </c>
      <c r="AA2752">
        <v>0.90870039999999996</v>
      </c>
      <c r="AB2752">
        <v>14</v>
      </c>
      <c r="AC2752">
        <v>25.278700000000001</v>
      </c>
      <c r="AD2752">
        <v>-1.03066152</v>
      </c>
      <c r="AE2752">
        <v>-28.144500000000001</v>
      </c>
      <c r="AF2752">
        <v>-15.810217680503399</v>
      </c>
      <c r="AG2752">
        <v>-1.03066152</v>
      </c>
      <c r="AH2752">
        <v>34.337157826120901</v>
      </c>
      <c r="AI2752">
        <v>91.5617606888339</v>
      </c>
      <c r="AJ2752">
        <v>114.723257101043</v>
      </c>
      <c r="AK2752">
        <v>37.816208877274399</v>
      </c>
      <c r="AL2752">
        <v>91.623524162975698</v>
      </c>
      <c r="AM2752">
        <v>90.718307512757804</v>
      </c>
      <c r="AN2752">
        <v>0.99999998659878098</v>
      </c>
    </row>
    <row r="2753" spans="1:40" x14ac:dyDescent="0.25">
      <c r="A2753" t="str">
        <f>"20190312161013012"</f>
        <v>20190312161013012</v>
      </c>
      <c r="B2753" t="str">
        <f>"1552378213009142"</f>
        <v>1552378213009142</v>
      </c>
      <c r="C2753" t="s">
        <v>40</v>
      </c>
      <c r="D2753">
        <v>5.3432500000000003</v>
      </c>
      <c r="E2753">
        <v>0.332451</v>
      </c>
      <c r="F2753" t="s">
        <v>61</v>
      </c>
      <c r="G2753">
        <v>-467.44380000000001</v>
      </c>
      <c r="H2753">
        <v>8.0001080000000002E-2</v>
      </c>
      <c r="I2753">
        <v>206.88409999999999</v>
      </c>
      <c r="J2753">
        <v>-491.50909999999999</v>
      </c>
      <c r="K2753">
        <v>1.1106670000000001</v>
      </c>
      <c r="L2753">
        <v>233.5659</v>
      </c>
      <c r="M2753">
        <v>0.29820930000000001</v>
      </c>
      <c r="N2753">
        <v>0</v>
      </c>
      <c r="O2753">
        <v>-0.95446560000000003</v>
      </c>
      <c r="P2753">
        <v>0.30987439999999999</v>
      </c>
      <c r="Q2753">
        <v>-3.6505179999999998E-2</v>
      </c>
      <c r="R2753">
        <v>-0.95007680000000005</v>
      </c>
      <c r="S2753">
        <v>2.195465</v>
      </c>
      <c r="T2753">
        <v>-9.3865749999999998E-2</v>
      </c>
      <c r="U2753">
        <v>-2.4412539999999998</v>
      </c>
      <c r="V2753">
        <v>-1.237036E-2</v>
      </c>
      <c r="W2753">
        <v>-2.8373410000000002E-2</v>
      </c>
      <c r="X2753">
        <v>0.99952079999999999</v>
      </c>
      <c r="Y2753">
        <v>-0.41622619999999999</v>
      </c>
      <c r="Z2753">
        <v>2.9136120000000001E-2</v>
      </c>
      <c r="AA2753">
        <v>0.9087942</v>
      </c>
      <c r="AB2753">
        <v>14</v>
      </c>
      <c r="AC2753">
        <v>24.065299999999901</v>
      </c>
      <c r="AD2753">
        <v>-1.0306659199999999</v>
      </c>
      <c r="AE2753">
        <v>-26.681799999999999</v>
      </c>
      <c r="AF2753">
        <v>-15.0008976633933</v>
      </c>
      <c r="AG2753">
        <v>-1.0306659199999999</v>
      </c>
      <c r="AH2753">
        <v>32.617606585411501</v>
      </c>
      <c r="AI2753">
        <v>91.644393468019501</v>
      </c>
      <c r="AJ2753">
        <v>114.697788680538</v>
      </c>
      <c r="AK2753">
        <v>35.916534664509697</v>
      </c>
      <c r="AL2753">
        <v>91.625894924296006</v>
      </c>
      <c r="AM2753">
        <v>90.709073022163494</v>
      </c>
      <c r="AN2753">
        <v>0.99999995291709698</v>
      </c>
    </row>
    <row r="2754" spans="1:40" x14ac:dyDescent="0.25">
      <c r="A2754" t="str">
        <f>"20190312161013034"</f>
        <v>20190312161013034</v>
      </c>
      <c r="B2754" t="str">
        <f>"1552378213028663"</f>
        <v>1552378213028663</v>
      </c>
      <c r="C2754" t="s">
        <v>40</v>
      </c>
      <c r="D2754">
        <v>5.3443250000000004</v>
      </c>
      <c r="E2754">
        <v>0.33236919999999998</v>
      </c>
      <c r="F2754" t="s">
        <v>61</v>
      </c>
      <c r="G2754">
        <v>-467.8741</v>
      </c>
      <c r="H2754">
        <v>8.0000940000000006E-2</v>
      </c>
      <c r="I2754">
        <v>207.41470000000001</v>
      </c>
      <c r="J2754">
        <v>-491.46159999999998</v>
      </c>
      <c r="K2754">
        <v>1.1106720000000001</v>
      </c>
      <c r="L2754">
        <v>233.4254</v>
      </c>
      <c r="M2754">
        <v>0.300948299999999</v>
      </c>
      <c r="N2754">
        <v>0</v>
      </c>
      <c r="O2754">
        <v>-0.95360610000000001</v>
      </c>
      <c r="P2754">
        <v>0.31244270000000002</v>
      </c>
      <c r="Q2754">
        <v>-3.6428700000000001E-2</v>
      </c>
      <c r="R2754">
        <v>-0.94923820000000003</v>
      </c>
      <c r="S2754">
        <v>2.2015380000000002</v>
      </c>
      <c r="T2754">
        <v>-9.6003770000000002E-2</v>
      </c>
      <c r="U2754">
        <v>-2.4359130000000002</v>
      </c>
      <c r="V2754">
        <v>-1.2202599999999999E-2</v>
      </c>
      <c r="W2754">
        <v>-2.8343900000000002E-2</v>
      </c>
      <c r="X2754">
        <v>0.99952379999999996</v>
      </c>
      <c r="Y2754">
        <v>-0.41584120000000002</v>
      </c>
      <c r="Z2754">
        <v>2.9788729999999999E-2</v>
      </c>
      <c r="AA2754">
        <v>0.90894929999999996</v>
      </c>
      <c r="AB2754">
        <v>14</v>
      </c>
      <c r="AC2754">
        <v>23.587499999999899</v>
      </c>
      <c r="AD2754">
        <v>-1.03067106</v>
      </c>
      <c r="AE2754">
        <v>-26.0106999999999</v>
      </c>
      <c r="AF2754">
        <v>-14.653163360778199</v>
      </c>
      <c r="AG2754">
        <v>-1.03067106</v>
      </c>
      <c r="AH2754">
        <v>31.876161174374499</v>
      </c>
      <c r="AI2754">
        <v>91.682764022435705</v>
      </c>
      <c r="AJ2754">
        <v>114.687784874458</v>
      </c>
      <c r="AK2754">
        <v>35.097964763306102</v>
      </c>
      <c r="AL2754">
        <v>91.624203282157495</v>
      </c>
      <c r="AM2754">
        <v>90.699455827663797</v>
      </c>
      <c r="AN2754">
        <v>1.0000000534402</v>
      </c>
    </row>
    <row r="2755" spans="1:40" x14ac:dyDescent="0.25">
      <c r="A2755" t="str">
        <f>"20190312161013058"</f>
        <v>20190312161013058</v>
      </c>
      <c r="B2755" t="str">
        <f>"1552378213049158"</f>
        <v>1552378213049158</v>
      </c>
      <c r="C2755" t="s">
        <v>40</v>
      </c>
      <c r="D2755">
        <v>5.3546680000000002</v>
      </c>
      <c r="E2755">
        <v>0.3322872</v>
      </c>
      <c r="F2755" t="s">
        <v>61</v>
      </c>
      <c r="G2755">
        <v>-467.66120000000001</v>
      </c>
      <c r="H2755">
        <v>8.0001000000000003E-2</v>
      </c>
      <c r="I2755">
        <v>207.2413</v>
      </c>
      <c r="J2755">
        <v>-491.41269999999997</v>
      </c>
      <c r="K2755">
        <v>1.1106849999999999</v>
      </c>
      <c r="L2755">
        <v>233.2817</v>
      </c>
      <c r="M2755">
        <v>0.30374859999999998</v>
      </c>
      <c r="N2755">
        <v>0</v>
      </c>
      <c r="O2755">
        <v>-0.95271799999999995</v>
      </c>
      <c r="P2755">
        <v>0.31589089999999997</v>
      </c>
      <c r="Q2755">
        <v>-3.6196159999999998E-2</v>
      </c>
      <c r="R2755">
        <v>-0.94810499999999998</v>
      </c>
      <c r="S2755">
        <v>2.2085880000000002</v>
      </c>
      <c r="T2755">
        <v>-9.5642210000000005E-2</v>
      </c>
      <c r="U2755">
        <v>-2.4297789999999999</v>
      </c>
      <c r="V2755">
        <v>-1.2896609999999999E-2</v>
      </c>
      <c r="W2755">
        <v>-2.8154930000000002E-2</v>
      </c>
      <c r="X2755">
        <v>0.99952039999999998</v>
      </c>
      <c r="Y2755">
        <v>-0.41575849999999998</v>
      </c>
      <c r="Z2755">
        <v>2.9666410000000001E-2</v>
      </c>
      <c r="AA2755">
        <v>0.90899110000000005</v>
      </c>
      <c r="AB2755">
        <v>14</v>
      </c>
      <c r="AC2755">
        <v>23.751499999999901</v>
      </c>
      <c r="AD2755">
        <v>-1.0306839999999999</v>
      </c>
      <c r="AE2755">
        <v>-26.040400000000002</v>
      </c>
      <c r="AF2755">
        <v>-14.706649867010499</v>
      </c>
      <c r="AG2755">
        <v>-1.0306839999999999</v>
      </c>
      <c r="AH2755">
        <v>31.997323908571701</v>
      </c>
      <c r="AI2755">
        <v>91.676460589159603</v>
      </c>
      <c r="AJ2755">
        <v>114.68451659656</v>
      </c>
      <c r="AK2755">
        <v>35.230336318700601</v>
      </c>
      <c r="AL2755">
        <v>91.613371820232203</v>
      </c>
      <c r="AM2755">
        <v>90.739234858410398</v>
      </c>
      <c r="AN2755">
        <v>1.0000000263244699</v>
      </c>
    </row>
    <row r="2756" spans="1:40" x14ac:dyDescent="0.25">
      <c r="A2756" t="str">
        <f>"20190312161013080"</f>
        <v>20190312161013080</v>
      </c>
      <c r="B2756" t="str">
        <f>"1552378213068679"</f>
        <v>1552378213068679</v>
      </c>
      <c r="C2756" t="s">
        <v>40</v>
      </c>
      <c r="D2756">
        <v>5.3427819999999997</v>
      </c>
      <c r="E2756">
        <v>0.33220850000000002</v>
      </c>
      <c r="F2756" t="s">
        <v>61</v>
      </c>
      <c r="G2756">
        <v>-467.38589999999999</v>
      </c>
      <c r="H2756">
        <v>8.0001089999999997E-2</v>
      </c>
      <c r="I2756">
        <v>207.05449999999999</v>
      </c>
      <c r="J2756">
        <v>-491.36660000000001</v>
      </c>
      <c r="K2756">
        <v>1.1106959999999999</v>
      </c>
      <c r="L2756">
        <v>233.14779999999999</v>
      </c>
      <c r="M2756">
        <v>0.30635759999999901</v>
      </c>
      <c r="N2756">
        <v>0</v>
      </c>
      <c r="O2756">
        <v>-0.95188269999999997</v>
      </c>
      <c r="P2756">
        <v>0.31937890000000002</v>
      </c>
      <c r="Q2756">
        <v>-3.6006690000000001E-2</v>
      </c>
      <c r="R2756">
        <v>-0.94694319999999998</v>
      </c>
      <c r="S2756">
        <v>2.2183229999999998</v>
      </c>
      <c r="T2756">
        <v>-9.5160129999999996E-2</v>
      </c>
      <c r="U2756">
        <v>-2.421478</v>
      </c>
      <c r="V2756">
        <v>-1.3834630000000001E-2</v>
      </c>
      <c r="W2756">
        <v>-2.8001330000000001E-2</v>
      </c>
      <c r="X2756">
        <v>0.99951210000000001</v>
      </c>
      <c r="Y2756">
        <v>-0.4168095</v>
      </c>
      <c r="Z2756">
        <v>2.951076E-2</v>
      </c>
      <c r="AA2756">
        <v>0.90851470000000001</v>
      </c>
      <c r="AB2756">
        <v>14</v>
      </c>
      <c r="AC2756">
        <v>23.980699999999999</v>
      </c>
      <c r="AD2756">
        <v>-1.03069490999999</v>
      </c>
      <c r="AE2756">
        <v>-26.093299999999999</v>
      </c>
      <c r="AF2756">
        <v>-14.8208737095802</v>
      </c>
      <c r="AG2756">
        <v>-1.03069490999999</v>
      </c>
      <c r="AH2756">
        <v>32.158265011551499</v>
      </c>
      <c r="AI2756">
        <v>91.667300529661802</v>
      </c>
      <c r="AJ2756">
        <v>114.743696676906</v>
      </c>
      <c r="AK2756">
        <v>35.424209773345801</v>
      </c>
      <c r="AL2756">
        <v>91.604567832406303</v>
      </c>
      <c r="AM2756">
        <v>90.793002201044303</v>
      </c>
      <c r="AN2756">
        <v>0.99999995475770598</v>
      </c>
    </row>
    <row r="2757" spans="1:40" x14ac:dyDescent="0.25">
      <c r="A2757" t="str">
        <f>"20190312161013102"</f>
        <v>20190312161013102</v>
      </c>
      <c r="B2757" t="str">
        <f>"1552378213098934"</f>
        <v>1552378213098934</v>
      </c>
      <c r="C2757" t="s">
        <v>40</v>
      </c>
      <c r="D2757">
        <v>5.2765630000000003</v>
      </c>
      <c r="E2757">
        <v>0.33216659999999998</v>
      </c>
      <c r="F2757" t="s">
        <v>61</v>
      </c>
      <c r="G2757">
        <v>-467.65600000000001</v>
      </c>
      <c r="H2757">
        <v>8.0000989999999994E-2</v>
      </c>
      <c r="I2757">
        <v>207.46340000000001</v>
      </c>
      <c r="J2757">
        <v>-491.32029999999997</v>
      </c>
      <c r="K2757">
        <v>1.1107049999999901</v>
      </c>
      <c r="L2757">
        <v>233.01410000000001</v>
      </c>
      <c r="M2757">
        <v>0.30896170000000001</v>
      </c>
      <c r="N2757">
        <v>0</v>
      </c>
      <c r="O2757">
        <v>-0.95104089999999997</v>
      </c>
      <c r="P2757">
        <v>0.32289000000000001</v>
      </c>
      <c r="Q2757">
        <v>-3.5253510000000002E-2</v>
      </c>
      <c r="R2757">
        <v>-0.94577990000000001</v>
      </c>
      <c r="S2757">
        <v>2.2276310000000001</v>
      </c>
      <c r="T2757">
        <v>-9.6834660000000003E-2</v>
      </c>
      <c r="U2757">
        <v>-2.413071</v>
      </c>
      <c r="V2757">
        <v>-1.479957E-2</v>
      </c>
      <c r="W2757">
        <v>-2.7279439999999999E-2</v>
      </c>
      <c r="X2757">
        <v>0.99951829999999997</v>
      </c>
      <c r="Y2757">
        <v>-0.4177807</v>
      </c>
      <c r="Z2757">
        <v>3.0025690000000001E-2</v>
      </c>
      <c r="AA2757">
        <v>0.90805159999999996</v>
      </c>
      <c r="AB2757">
        <v>14</v>
      </c>
      <c r="AC2757">
        <v>23.664299999999901</v>
      </c>
      <c r="AD2757">
        <v>-1.03070400999999</v>
      </c>
      <c r="AE2757">
        <v>-25.550699999999999</v>
      </c>
      <c r="AF2757">
        <v>-14.599208370118401</v>
      </c>
      <c r="AG2757">
        <v>-1.03070400999999</v>
      </c>
      <c r="AH2757">
        <v>31.5844671758983</v>
      </c>
      <c r="AI2757">
        <v>91.696713748240398</v>
      </c>
      <c r="AJ2757">
        <v>114.807676741679</v>
      </c>
      <c r="AK2757">
        <v>34.810598997658197</v>
      </c>
      <c r="AL2757">
        <v>91.563190678522602</v>
      </c>
      <c r="AM2757">
        <v>90.848299565703599</v>
      </c>
      <c r="AN2757">
        <v>1.0000000135768901</v>
      </c>
    </row>
    <row r="2758" spans="1:40" x14ac:dyDescent="0.25">
      <c r="A2758" t="str">
        <f>"20190312161013124"</f>
        <v>20190312161013124</v>
      </c>
      <c r="B2758" t="str">
        <f>"1552378213118454"</f>
        <v>1552378213118454</v>
      </c>
      <c r="C2758" t="s">
        <v>40</v>
      </c>
      <c r="D2758">
        <v>5.3778870000000003</v>
      </c>
      <c r="E2758">
        <v>0.37859510000000002</v>
      </c>
      <c r="F2758" t="s">
        <v>61</v>
      </c>
      <c r="G2758">
        <v>-466.91590000000002</v>
      </c>
      <c r="H2758">
        <v>8.0001240000000001E-2</v>
      </c>
      <c r="I2758">
        <v>206.78129999999999</v>
      </c>
      <c r="J2758">
        <v>-491.27379999999999</v>
      </c>
      <c r="K2758">
        <v>1.110708</v>
      </c>
      <c r="L2758">
        <v>232.88120000000001</v>
      </c>
      <c r="M2758">
        <v>0.31155050000000001</v>
      </c>
      <c r="N2758">
        <v>0</v>
      </c>
      <c r="O2758">
        <v>-0.95019600000000004</v>
      </c>
      <c r="P2758">
        <v>0.3255382</v>
      </c>
      <c r="Q2758">
        <v>-3.4625129999999997E-2</v>
      </c>
      <c r="R2758">
        <v>-0.94489480000000003</v>
      </c>
      <c r="S2758">
        <v>2.2371219999999998</v>
      </c>
      <c r="T2758">
        <v>-9.4483259999999999E-2</v>
      </c>
      <c r="U2758">
        <v>-2.4047239999999999</v>
      </c>
      <c r="V2758">
        <v>-1.4871779999999999E-2</v>
      </c>
      <c r="W2758">
        <v>-2.6675850000000001E-2</v>
      </c>
      <c r="X2758">
        <v>0.99953349999999996</v>
      </c>
      <c r="Y2758">
        <v>-0.4188151</v>
      </c>
      <c r="Z2758">
        <v>2.9291569999999999E-2</v>
      </c>
      <c r="AA2758">
        <v>0.90759900000000004</v>
      </c>
      <c r="AB2758">
        <v>15</v>
      </c>
      <c r="AC2758">
        <v>24.357899999999901</v>
      </c>
      <c r="AD2758">
        <v>-1.0307067599999999</v>
      </c>
      <c r="AE2758">
        <v>-26.099900000000002</v>
      </c>
      <c r="AF2758">
        <v>-15.001317365091801</v>
      </c>
      <c r="AG2758">
        <v>-1.0307067599999999</v>
      </c>
      <c r="AH2758">
        <v>32.362794849657099</v>
      </c>
      <c r="AI2758">
        <v>91.655109784874</v>
      </c>
      <c r="AJ2758">
        <v>114.869416192088</v>
      </c>
      <c r="AK2758">
        <v>35.685464402110703</v>
      </c>
      <c r="AL2758">
        <v>91.528594956938804</v>
      </c>
      <c r="AM2758">
        <v>90.852425014929295</v>
      </c>
      <c r="AN2758">
        <v>0.99999999421791996</v>
      </c>
    </row>
    <row r="2759" spans="1:40" x14ac:dyDescent="0.25">
      <c r="A2759" t="str">
        <f>"20190312161013146"</f>
        <v>20190312161013146</v>
      </c>
      <c r="B2759" t="str">
        <f>"1552378213138950"</f>
        <v>1552378213138950</v>
      </c>
      <c r="C2759" t="s">
        <v>40</v>
      </c>
      <c r="D2759">
        <v>5.3990239999999998</v>
      </c>
      <c r="E2759">
        <v>0.3859727</v>
      </c>
      <c r="F2759" t="s">
        <v>59</v>
      </c>
      <c r="G2759">
        <v>-479.20639999999997</v>
      </c>
      <c r="H2759" s="1">
        <v>1.9748070000000001E-6</v>
      </c>
      <c r="I2759">
        <v>216.88120000000001</v>
      </c>
      <c r="J2759">
        <v>-491.22449999999998</v>
      </c>
      <c r="K2759">
        <v>1.110717</v>
      </c>
      <c r="L2759">
        <v>232.7415</v>
      </c>
      <c r="M2759">
        <v>0.31427240000000001</v>
      </c>
      <c r="N2759">
        <v>0</v>
      </c>
      <c r="O2759">
        <v>-0.94929940000000002</v>
      </c>
      <c r="P2759">
        <v>0.32801049999999998</v>
      </c>
      <c r="Q2759">
        <v>-3.4146820000000001E-2</v>
      </c>
      <c r="R2759">
        <v>-0.94405689999999998</v>
      </c>
      <c r="S2759">
        <v>1.8968510000000001</v>
      </c>
      <c r="T2759">
        <v>-0.1745892</v>
      </c>
      <c r="U2759">
        <v>-2.514999</v>
      </c>
      <c r="V2759">
        <v>-1.461839E-2</v>
      </c>
      <c r="W2759">
        <v>-2.6218620000000002E-2</v>
      </c>
      <c r="X2759">
        <v>0.99954929999999997</v>
      </c>
      <c r="Y2759">
        <v>-0.31976199999999999</v>
      </c>
      <c r="Z2759">
        <v>5.539645E-2</v>
      </c>
      <c r="AA2759">
        <v>0.94587710000000003</v>
      </c>
      <c r="AB2759">
        <v>15</v>
      </c>
      <c r="AC2759">
        <v>12.0181</v>
      </c>
      <c r="AD2759">
        <v>-1.110715025193</v>
      </c>
      <c r="AE2759">
        <v>-15.860299999999899</v>
      </c>
      <c r="AF2759">
        <v>-6.4045711355924704</v>
      </c>
      <c r="AG2759">
        <v>-1.110715025193</v>
      </c>
      <c r="AH2759">
        <v>18.775234205935799</v>
      </c>
      <c r="AI2759">
        <v>93.204677069935698</v>
      </c>
      <c r="AJ2759">
        <v>108.83543485558999</v>
      </c>
      <c r="AK2759">
        <v>19.868609382284301</v>
      </c>
      <c r="AL2759">
        <v>91.502388494589397</v>
      </c>
      <c r="AM2759">
        <v>90.837889978833601</v>
      </c>
      <c r="AN2759">
        <v>0.99999995824569199</v>
      </c>
    </row>
    <row r="2760" spans="1:40" x14ac:dyDescent="0.25">
      <c r="A2760" t="str">
        <f>"20190312161013168"</f>
        <v>20190312161013168</v>
      </c>
      <c r="B2760" t="str">
        <f>"1552378213158474"</f>
        <v>1552378213158474</v>
      </c>
      <c r="C2760" t="s">
        <v>40</v>
      </c>
      <c r="D2760">
        <v>5.4314679999999997</v>
      </c>
      <c r="E2760">
        <v>0.38951059999999998</v>
      </c>
      <c r="F2760" t="s">
        <v>59</v>
      </c>
      <c r="G2760">
        <v>-479.25909999999999</v>
      </c>
      <c r="H2760" s="1">
        <v>1.9287069999999998E-6</v>
      </c>
      <c r="I2760">
        <v>216.36179999999999</v>
      </c>
      <c r="J2760">
        <v>-491.17590000000001</v>
      </c>
      <c r="K2760">
        <v>1.1107260000000001</v>
      </c>
      <c r="L2760">
        <v>232.6052</v>
      </c>
      <c r="M2760">
        <v>0.31692809999999999</v>
      </c>
      <c r="N2760">
        <v>0</v>
      </c>
      <c r="O2760">
        <v>-0.94841640000000005</v>
      </c>
      <c r="P2760">
        <v>0.33014019999999999</v>
      </c>
      <c r="Q2760">
        <v>-3.4165649999999999E-2</v>
      </c>
      <c r="R2760">
        <v>-0.94331379999999998</v>
      </c>
      <c r="S2760">
        <v>1.847839</v>
      </c>
      <c r="T2760">
        <v>-0.17153080000000001</v>
      </c>
      <c r="U2760">
        <v>-2.5295559999999999</v>
      </c>
      <c r="V2760">
        <v>-1.4076460000000001E-2</v>
      </c>
      <c r="W2760">
        <v>-2.6254119999999999E-2</v>
      </c>
      <c r="X2760">
        <v>0.99955620000000001</v>
      </c>
      <c r="Y2760">
        <v>-0.3026239</v>
      </c>
      <c r="Z2760">
        <v>5.4547560000000002E-2</v>
      </c>
      <c r="AA2760">
        <v>0.9515479</v>
      </c>
      <c r="AB2760">
        <v>15</v>
      </c>
      <c r="AC2760">
        <v>11.9168</v>
      </c>
      <c r="AD2760">
        <v>-1.110724071293</v>
      </c>
      <c r="AE2760">
        <v>-16.243400000000001</v>
      </c>
      <c r="AF2760">
        <v>-6.1356414222083897</v>
      </c>
      <c r="AG2760">
        <v>-1.110724071293</v>
      </c>
      <c r="AH2760">
        <v>19.124744685463401</v>
      </c>
      <c r="AI2760">
        <v>93.165320381567099</v>
      </c>
      <c r="AJ2760">
        <v>107.787390802237</v>
      </c>
      <c r="AK2760">
        <v>20.115557732974501</v>
      </c>
      <c r="AL2760">
        <v>91.504423115497502</v>
      </c>
      <c r="AM2760">
        <v>90.806826507236906</v>
      </c>
      <c r="AN2760">
        <v>1.0000000112507701</v>
      </c>
    </row>
    <row r="2761" spans="1:40" x14ac:dyDescent="0.25">
      <c r="A2761" t="str">
        <f>"20190312161013190"</f>
        <v>20190312161013190</v>
      </c>
      <c r="B2761" t="str">
        <f>"1552378213178967"</f>
        <v>1552378213178967</v>
      </c>
      <c r="C2761" t="s">
        <v>40</v>
      </c>
      <c r="D2761">
        <v>5.4243930000000002</v>
      </c>
      <c r="E2761">
        <v>0.39183000000000001</v>
      </c>
      <c r="F2761" t="s">
        <v>59</v>
      </c>
      <c r="G2761">
        <v>-479.3399</v>
      </c>
      <c r="H2761" s="1">
        <v>1.8850069999999999E-6</v>
      </c>
      <c r="I2761">
        <v>216.18190000000001</v>
      </c>
      <c r="J2761">
        <v>-491.12650000000002</v>
      </c>
      <c r="K2761">
        <v>1.1107359999999999</v>
      </c>
      <c r="L2761">
        <v>232.46780000000001</v>
      </c>
      <c r="M2761">
        <v>0.31960189999999999</v>
      </c>
      <c r="N2761">
        <v>0</v>
      </c>
      <c r="O2761">
        <v>-0.94751859999999999</v>
      </c>
      <c r="P2761">
        <v>0.33143729999999999</v>
      </c>
      <c r="Q2761">
        <v>-3.438397E-2</v>
      </c>
      <c r="R2761">
        <v>-0.94285050000000004</v>
      </c>
      <c r="S2761">
        <v>1.8267519999999999</v>
      </c>
      <c r="T2761">
        <v>-0.1714281</v>
      </c>
      <c r="U2761">
        <v>-2.5347439999999999</v>
      </c>
      <c r="V2761">
        <v>-1.2633149999999999E-2</v>
      </c>
      <c r="W2761">
        <v>-2.6483820000000002E-2</v>
      </c>
      <c r="X2761">
        <v>0.99956940000000005</v>
      </c>
      <c r="Y2761">
        <v>-0.29380400000000001</v>
      </c>
      <c r="Z2761">
        <v>5.4548119999999999E-2</v>
      </c>
      <c r="AA2761">
        <v>0.95430800000000005</v>
      </c>
      <c r="AB2761">
        <v>15</v>
      </c>
      <c r="AC2761">
        <v>11.7866</v>
      </c>
      <c r="AD2761">
        <v>-1.1107341149929999</v>
      </c>
      <c r="AE2761">
        <v>-16.285899999999899</v>
      </c>
      <c r="AF2761">
        <v>-5.9450583662150596</v>
      </c>
      <c r="AG2761">
        <v>-1.1107341149929999</v>
      </c>
      <c r="AH2761">
        <v>19.1403905750098</v>
      </c>
      <c r="AI2761">
        <v>93.172040611522704</v>
      </c>
      <c r="AJ2761">
        <v>107.25493914788299</v>
      </c>
      <c r="AK2761">
        <v>20.073166183137001</v>
      </c>
      <c r="AL2761">
        <v>91.517588570177693</v>
      </c>
      <c r="AM2761">
        <v>90.724099437980399</v>
      </c>
      <c r="AN2761">
        <v>0.99999998730853701</v>
      </c>
    </row>
    <row r="2762" spans="1:40" x14ac:dyDescent="0.25">
      <c r="A2762" t="str">
        <f>"20190312161013213"</f>
        <v>20190312161013213</v>
      </c>
      <c r="B2762" t="str">
        <f>"1552378213208247"</f>
        <v>1552378213208247</v>
      </c>
      <c r="C2762" t="s">
        <v>40</v>
      </c>
      <c r="D2762">
        <v>5.4361680000000003</v>
      </c>
      <c r="E2762">
        <v>0.39372819999999997</v>
      </c>
      <c r="F2762" t="s">
        <v>59</v>
      </c>
      <c r="G2762">
        <v>-479.73390000000001</v>
      </c>
      <c r="H2762" s="1">
        <v>1.725052E-6</v>
      </c>
      <c r="I2762">
        <v>216.51949999999999</v>
      </c>
      <c r="J2762">
        <v>-491.07729999999998</v>
      </c>
      <c r="K2762">
        <v>1.110741</v>
      </c>
      <c r="L2762">
        <v>232.33189999999999</v>
      </c>
      <c r="M2762">
        <v>0.3222487</v>
      </c>
      <c r="N2762">
        <v>0</v>
      </c>
      <c r="O2762">
        <v>-0.94662199999999996</v>
      </c>
      <c r="P2762">
        <v>0.33274979999999998</v>
      </c>
      <c r="Q2762">
        <v>-3.4273489999999997E-2</v>
      </c>
      <c r="R2762">
        <v>-0.94239229999999996</v>
      </c>
      <c r="S2762">
        <v>1.8130489999999999</v>
      </c>
      <c r="T2762">
        <v>-0.17676500000000001</v>
      </c>
      <c r="U2762">
        <v>-2.5380549999999999</v>
      </c>
      <c r="V2762">
        <v>-1.1229960000000001E-2</v>
      </c>
      <c r="W2762">
        <v>-2.6382139999999998E-2</v>
      </c>
      <c r="X2762">
        <v>0.99958880000000006</v>
      </c>
      <c r="Y2762">
        <v>-0.28707480000000002</v>
      </c>
      <c r="Z2762">
        <v>5.624287E-2</v>
      </c>
      <c r="AA2762">
        <v>0.95625559999999998</v>
      </c>
      <c r="AB2762">
        <v>15</v>
      </c>
      <c r="AC2762">
        <v>11.3433999999999</v>
      </c>
      <c r="AD2762">
        <v>-1.1107392749480001</v>
      </c>
      <c r="AE2762">
        <v>-15.812399999999901</v>
      </c>
      <c r="AF2762">
        <v>-5.62424055177926</v>
      </c>
      <c r="AG2762">
        <v>-1.1107392749480001</v>
      </c>
      <c r="AH2762">
        <v>18.563866992779701</v>
      </c>
      <c r="AI2762">
        <v>93.277350778531897</v>
      </c>
      <c r="AJ2762">
        <v>106.855080887824</v>
      </c>
      <c r="AK2762">
        <v>19.428921257929002</v>
      </c>
      <c r="AL2762">
        <v>91.511760756536404</v>
      </c>
      <c r="AM2762">
        <v>90.643666919677003</v>
      </c>
      <c r="AN2762">
        <v>0.99999994919900903</v>
      </c>
    </row>
    <row r="2763" spans="1:40" x14ac:dyDescent="0.25">
      <c r="A2763" t="str">
        <f>"20190312161013236"</f>
        <v>20190312161013236</v>
      </c>
      <c r="B2763" t="str">
        <f>"1552378213228743"</f>
        <v>1552378213228743</v>
      </c>
      <c r="C2763" t="s">
        <v>40</v>
      </c>
      <c r="D2763">
        <v>5.446415</v>
      </c>
      <c r="E2763">
        <v>0.39449669999999998</v>
      </c>
      <c r="F2763" t="s">
        <v>59</v>
      </c>
      <c r="G2763">
        <v>-479.87060000000002</v>
      </c>
      <c r="H2763" s="1">
        <v>1.6651839999999999E-6</v>
      </c>
      <c r="I2763">
        <v>216.53700000000001</v>
      </c>
      <c r="J2763">
        <v>-491.02260000000001</v>
      </c>
      <c r="K2763">
        <v>1.110754</v>
      </c>
      <c r="L2763">
        <v>232.1825</v>
      </c>
      <c r="M2763">
        <v>0.3251579</v>
      </c>
      <c r="N2763">
        <v>0</v>
      </c>
      <c r="O2763">
        <v>-0.94562670000000004</v>
      </c>
      <c r="P2763">
        <v>0.335229</v>
      </c>
      <c r="Q2763">
        <v>-3.4041769999999999E-2</v>
      </c>
      <c r="R2763">
        <v>-0.94152190000000002</v>
      </c>
      <c r="S2763">
        <v>1.80246</v>
      </c>
      <c r="T2763">
        <v>-0.17864969999999999</v>
      </c>
      <c r="U2763">
        <v>-2.5404360000000001</v>
      </c>
      <c r="V2763">
        <v>-1.078484E-2</v>
      </c>
      <c r="W2763">
        <v>-2.6160719999999998E-2</v>
      </c>
      <c r="X2763">
        <v>0.99959960000000003</v>
      </c>
      <c r="Y2763">
        <v>-0.28103319999999998</v>
      </c>
      <c r="Z2763">
        <v>5.6824769999999997E-2</v>
      </c>
      <c r="AA2763">
        <v>0.95801420000000004</v>
      </c>
      <c r="AB2763">
        <v>15</v>
      </c>
      <c r="AC2763">
        <v>11.1519999999999</v>
      </c>
      <c r="AD2763">
        <v>-1.110752334816</v>
      </c>
      <c r="AE2763">
        <v>-15.645499999999901</v>
      </c>
      <c r="AF2763">
        <v>-5.4403587808218097</v>
      </c>
      <c r="AG2763">
        <v>-1.110752334816</v>
      </c>
      <c r="AH2763">
        <v>18.360175509324701</v>
      </c>
      <c r="AI2763">
        <v>93.319723158732202</v>
      </c>
      <c r="AJ2763">
        <v>106.505241462387</v>
      </c>
      <c r="AK2763">
        <v>19.181431624009999</v>
      </c>
      <c r="AL2763">
        <v>91.4990698256576</v>
      </c>
      <c r="AM2763">
        <v>90.618149346644799</v>
      </c>
      <c r="AN2763">
        <v>1.0000000281824499</v>
      </c>
    </row>
    <row r="2764" spans="1:40" x14ac:dyDescent="0.25">
      <c r="A2764" t="str">
        <f>"20190312161013259"</f>
        <v>20190312161013259</v>
      </c>
      <c r="B2764" t="str">
        <f>"1552378213248263"</f>
        <v>1552378213248263</v>
      </c>
      <c r="C2764" t="s">
        <v>40</v>
      </c>
      <c r="D2764">
        <v>5.4845519999999999</v>
      </c>
      <c r="E2764">
        <v>0.39513290000000001</v>
      </c>
      <c r="F2764" t="s">
        <v>59</v>
      </c>
      <c r="G2764">
        <v>-479.8922</v>
      </c>
      <c r="H2764" s="1">
        <v>1.654814E-6</v>
      </c>
      <c r="I2764">
        <v>216.51910000000001</v>
      </c>
      <c r="J2764">
        <v>-490.96969999999999</v>
      </c>
      <c r="K2764">
        <v>1.1107560000000001</v>
      </c>
      <c r="L2764">
        <v>232.0393</v>
      </c>
      <c r="M2764">
        <v>0.32794649999999997</v>
      </c>
      <c r="N2764">
        <v>0</v>
      </c>
      <c r="O2764">
        <v>-0.94466320000000004</v>
      </c>
      <c r="P2764">
        <v>0.33842220000000001</v>
      </c>
      <c r="Q2764">
        <v>-3.4161869999999997E-2</v>
      </c>
      <c r="R2764">
        <v>-0.94037440000000005</v>
      </c>
      <c r="S2764">
        <v>1.8033140000000001</v>
      </c>
      <c r="T2764">
        <v>-0.17996189999999901</v>
      </c>
      <c r="U2764">
        <v>-2.537766</v>
      </c>
      <c r="V2764">
        <v>-1.122808E-2</v>
      </c>
      <c r="W2764">
        <v>-2.629128E-2</v>
      </c>
      <c r="X2764">
        <v>0.99959129999999996</v>
      </c>
      <c r="Y2764">
        <v>-0.27887709999999999</v>
      </c>
      <c r="Z2764">
        <v>5.7217610000000002E-2</v>
      </c>
      <c r="AA2764">
        <v>0.95862069999999999</v>
      </c>
      <c r="AB2764">
        <v>15</v>
      </c>
      <c r="AC2764">
        <v>11.077499999999899</v>
      </c>
      <c r="AD2764">
        <v>-1.11075434518599</v>
      </c>
      <c r="AE2764">
        <v>-15.5201999999999</v>
      </c>
      <c r="AF2764">
        <v>-5.3567022867521796</v>
      </c>
      <c r="AG2764">
        <v>-1.11075434518599</v>
      </c>
      <c r="AH2764">
        <v>18.2328908220404</v>
      </c>
      <c r="AI2764">
        <v>93.345133703795995</v>
      </c>
      <c r="AJ2764">
        <v>106.372437960746</v>
      </c>
      <c r="AK2764">
        <v>19.035922418750602</v>
      </c>
      <c r="AL2764">
        <v>91.506552927388796</v>
      </c>
      <c r="AM2764">
        <v>90.643557563477202</v>
      </c>
      <c r="AN2764">
        <v>1.0000000341101001</v>
      </c>
    </row>
    <row r="2765" spans="1:40" x14ac:dyDescent="0.25">
      <c r="A2765" t="str">
        <f>"20190312161013281"</f>
        <v>20190312161013281</v>
      </c>
      <c r="B2765" t="str">
        <f>"1552378213278519"</f>
        <v>1552378213278519</v>
      </c>
      <c r="C2765" t="s">
        <v>40</v>
      </c>
      <c r="D2765">
        <v>5.4796209999999999</v>
      </c>
      <c r="E2765">
        <v>0.39589940000000001</v>
      </c>
      <c r="F2765" t="s">
        <v>59</v>
      </c>
      <c r="G2765">
        <v>-479.87610000000001</v>
      </c>
      <c r="H2765" s="1">
        <v>1.66053E-6</v>
      </c>
      <c r="I2765">
        <v>216.4863</v>
      </c>
      <c r="J2765">
        <v>-490.91660000000002</v>
      </c>
      <c r="K2765">
        <v>1.1107659999999999</v>
      </c>
      <c r="L2765">
        <v>231.89680000000001</v>
      </c>
      <c r="M2765">
        <v>0.33072099999999999</v>
      </c>
      <c r="N2765">
        <v>0</v>
      </c>
      <c r="O2765">
        <v>-0.94369570000000003</v>
      </c>
      <c r="P2765">
        <v>0.34134530000000002</v>
      </c>
      <c r="Q2765">
        <v>-3.4646679999999999E-2</v>
      </c>
      <c r="R2765">
        <v>-0.93929929999999995</v>
      </c>
      <c r="S2765">
        <v>1.8069759999999999</v>
      </c>
      <c r="T2765">
        <v>-0.18092530000000001</v>
      </c>
      <c r="U2765">
        <v>-2.5333559999999999</v>
      </c>
      <c r="V2765">
        <v>-1.1402860000000001E-2</v>
      </c>
      <c r="W2765">
        <v>-2.6783999999999999E-2</v>
      </c>
      <c r="X2765">
        <v>0.99957620000000003</v>
      </c>
      <c r="Y2765">
        <v>-0.27775129999999998</v>
      </c>
      <c r="Z2765">
        <v>5.7505359999999998E-2</v>
      </c>
      <c r="AA2765">
        <v>0.95893030000000001</v>
      </c>
      <c r="AB2765">
        <v>15</v>
      </c>
      <c r="AC2765">
        <v>11.0405</v>
      </c>
      <c r="AD2765">
        <v>-1.11076433947</v>
      </c>
      <c r="AE2765">
        <v>-15.410500000000001</v>
      </c>
      <c r="AF2765">
        <v>-5.3042511601054603</v>
      </c>
      <c r="AG2765">
        <v>-1.11076433947</v>
      </c>
      <c r="AH2765">
        <v>18.1324605297375</v>
      </c>
      <c r="AI2765">
        <v>93.364795802879797</v>
      </c>
      <c r="AJ2765">
        <v>106.30567218645901</v>
      </c>
      <c r="AK2765">
        <v>18.924983557451402</v>
      </c>
      <c r="AL2765">
        <v>91.534793711132707</v>
      </c>
      <c r="AM2765">
        <v>90.653584402937199</v>
      </c>
      <c r="AN2765">
        <v>0.99999999373930903</v>
      </c>
    </row>
    <row r="2766" spans="1:40" x14ac:dyDescent="0.25">
      <c r="A2766" t="str">
        <f>"20190312161013304"</f>
        <v>20190312161013304</v>
      </c>
      <c r="B2766" t="str">
        <f>"1552378213299016"</f>
        <v>1552378213299016</v>
      </c>
      <c r="C2766" t="s">
        <v>40</v>
      </c>
      <c r="D2766">
        <v>5.4720110000000002</v>
      </c>
      <c r="E2766">
        <v>0.39639999999999997</v>
      </c>
      <c r="F2766" t="s">
        <v>59</v>
      </c>
      <c r="G2766">
        <v>-479.88400000000001</v>
      </c>
      <c r="H2766" s="1">
        <v>1.656441E-6</v>
      </c>
      <c r="I2766">
        <v>216.47239999999999</v>
      </c>
      <c r="J2766">
        <v>-490.86160000000001</v>
      </c>
      <c r="K2766">
        <v>1.110776</v>
      </c>
      <c r="L2766">
        <v>231.75030000000001</v>
      </c>
      <c r="M2766">
        <v>0.33357320000000001</v>
      </c>
      <c r="N2766">
        <v>0</v>
      </c>
      <c r="O2766">
        <v>-0.94269130000000001</v>
      </c>
      <c r="P2766">
        <v>0.3443909</v>
      </c>
      <c r="Q2766">
        <v>-3.4490989999999999E-2</v>
      </c>
      <c r="R2766">
        <v>-0.9381929</v>
      </c>
      <c r="S2766">
        <v>1.8093870000000001</v>
      </c>
      <c r="T2766">
        <v>-0.18216860000000001</v>
      </c>
      <c r="U2766">
        <v>-2.5296479999999999</v>
      </c>
      <c r="V2766">
        <v>-1.16212E-2</v>
      </c>
      <c r="W2766">
        <v>-2.663474E-2</v>
      </c>
      <c r="X2766">
        <v>0.99957770000000001</v>
      </c>
      <c r="Y2766">
        <v>-0.27610170000000001</v>
      </c>
      <c r="Z2766">
        <v>5.7877209999999998E-2</v>
      </c>
      <c r="AA2766">
        <v>0.95938420000000002</v>
      </c>
      <c r="AB2766">
        <v>15</v>
      </c>
      <c r="AC2766">
        <v>10.977599999999899</v>
      </c>
      <c r="AD2766">
        <v>-1.1107743435590001</v>
      </c>
      <c r="AE2766">
        <v>-15.277900000000001</v>
      </c>
      <c r="AF2766">
        <v>-5.23410613431526</v>
      </c>
      <c r="AG2766">
        <v>-1.1107743435590001</v>
      </c>
      <c r="AH2766">
        <v>18.001979555785798</v>
      </c>
      <c r="AI2766">
        <v>93.390772783829803</v>
      </c>
      <c r="AJ2766">
        <v>106.211879053281</v>
      </c>
      <c r="AK2766">
        <v>18.780334251405499</v>
      </c>
      <c r="AL2766">
        <v>91.526238650850999</v>
      </c>
      <c r="AM2766">
        <v>90.666097008081394</v>
      </c>
      <c r="AN2766">
        <v>1.0000000200007899</v>
      </c>
    </row>
    <row r="2767" spans="1:40" x14ac:dyDescent="0.25">
      <c r="A2767" t="str">
        <f>"20190312161013325"</f>
        <v>20190312161013325</v>
      </c>
      <c r="B2767" t="str">
        <f>"1552378213318535"</f>
        <v>1552378213318535</v>
      </c>
      <c r="C2767" t="s">
        <v>40</v>
      </c>
      <c r="D2767">
        <v>5.4745280000000003</v>
      </c>
      <c r="E2767">
        <v>0.39684520000000001</v>
      </c>
      <c r="F2767" t="s">
        <v>59</v>
      </c>
      <c r="G2767">
        <v>-479.88929999999999</v>
      </c>
      <c r="H2767" s="1">
        <v>1.6542099999999901E-6</v>
      </c>
      <c r="I2767">
        <v>216.476</v>
      </c>
      <c r="J2767">
        <v>-490.8125</v>
      </c>
      <c r="K2767">
        <v>1.1107910000000001</v>
      </c>
      <c r="L2767">
        <v>231.62100000000001</v>
      </c>
      <c r="M2767">
        <v>0.33609339999999999</v>
      </c>
      <c r="N2767">
        <v>0</v>
      </c>
      <c r="O2767">
        <v>-0.94179570000000001</v>
      </c>
      <c r="P2767">
        <v>0.34666950000000002</v>
      </c>
      <c r="Q2767">
        <v>-3.3976079999999999E-2</v>
      </c>
      <c r="R2767">
        <v>-0.93737199999999998</v>
      </c>
      <c r="S2767">
        <v>1.8138430000000001</v>
      </c>
      <c r="T2767">
        <v>-0.1836247</v>
      </c>
      <c r="U2767">
        <v>-2.5250400000000002</v>
      </c>
      <c r="V2767">
        <v>-1.137065E-2</v>
      </c>
      <c r="W2767">
        <v>-2.6122800000000002E-2</v>
      </c>
      <c r="X2767">
        <v>0.99959410000000004</v>
      </c>
      <c r="Y2767">
        <v>-0.27546039999999999</v>
      </c>
      <c r="Z2767">
        <v>5.8321339999999999E-2</v>
      </c>
      <c r="AA2767">
        <v>0.95954170000000005</v>
      </c>
      <c r="AB2767">
        <v>15</v>
      </c>
      <c r="AC2767">
        <v>10.9232</v>
      </c>
      <c r="AD2767">
        <v>-1.11078934579</v>
      </c>
      <c r="AE2767">
        <v>-15.1449999999999</v>
      </c>
      <c r="AF2767">
        <v>-5.1791229277279598</v>
      </c>
      <c r="AG2767">
        <v>-1.11078934579</v>
      </c>
      <c r="AH2767">
        <v>17.872026736797501</v>
      </c>
      <c r="AI2767">
        <v>93.416293926808095</v>
      </c>
      <c r="AJ2767">
        <v>106.16102507638401</v>
      </c>
      <c r="AK2767">
        <v>18.640453507145299</v>
      </c>
      <c r="AL2767">
        <v>91.496896426429203</v>
      </c>
      <c r="AM2767">
        <v>90.651726693135899</v>
      </c>
      <c r="AN2767">
        <v>1.0000000285580299</v>
      </c>
    </row>
    <row r="2768" spans="1:40" x14ac:dyDescent="0.25">
      <c r="A2768" t="str">
        <f>"20190312161013347"</f>
        <v>20190312161013347</v>
      </c>
      <c r="B2768" t="str">
        <f>"1552378213339031"</f>
        <v>1552378213339031</v>
      </c>
      <c r="C2768" t="s">
        <v>40</v>
      </c>
      <c r="D2768">
        <v>5.4736840000000004</v>
      </c>
      <c r="E2768">
        <v>0.3972792</v>
      </c>
      <c r="F2768" t="s">
        <v>59</v>
      </c>
      <c r="G2768">
        <v>-479.86520000000002</v>
      </c>
      <c r="H2768" s="1">
        <v>1.6626040000000001E-6</v>
      </c>
      <c r="I2768">
        <v>216.4229</v>
      </c>
      <c r="J2768">
        <v>-490.75700000000001</v>
      </c>
      <c r="K2768">
        <v>1.1108049999999901</v>
      </c>
      <c r="L2768">
        <v>231.4759</v>
      </c>
      <c r="M2768">
        <v>0.33892240000000001</v>
      </c>
      <c r="N2768">
        <v>0</v>
      </c>
      <c r="O2768">
        <v>-0.94078150000000005</v>
      </c>
      <c r="P2768">
        <v>0.3489468</v>
      </c>
      <c r="Q2768">
        <v>-3.345476E-2</v>
      </c>
      <c r="R2768">
        <v>-0.93654570000000004</v>
      </c>
      <c r="S2768">
        <v>1.816589</v>
      </c>
      <c r="T2768">
        <v>-0.18432390000000001</v>
      </c>
      <c r="U2768">
        <v>-2.521957</v>
      </c>
      <c r="V2768">
        <v>-1.079072E-2</v>
      </c>
      <c r="W2768">
        <v>-2.5602679999999999E-2</v>
      </c>
      <c r="X2768">
        <v>0.99961390000000006</v>
      </c>
      <c r="Y2768">
        <v>-0.27380789999999999</v>
      </c>
      <c r="Z2768">
        <v>5.8505540000000002E-2</v>
      </c>
      <c r="AA2768">
        <v>0.9600033</v>
      </c>
      <c r="AB2768">
        <v>15</v>
      </c>
      <c r="AC2768">
        <v>10.8917999999999</v>
      </c>
      <c r="AD2768">
        <v>-1.11080333739599</v>
      </c>
      <c r="AE2768">
        <v>-15.0529999999999</v>
      </c>
      <c r="AF2768">
        <v>-5.1268398671621096</v>
      </c>
      <c r="AG2768">
        <v>-1.11080333739599</v>
      </c>
      <c r="AH2768">
        <v>17.790026099268001</v>
      </c>
      <c r="AI2768">
        <v>93.433510715090094</v>
      </c>
      <c r="AJ2768">
        <v>106.07625095716099</v>
      </c>
      <c r="AK2768">
        <v>18.5473286402794</v>
      </c>
      <c r="AL2768">
        <v>91.467085900138301</v>
      </c>
      <c r="AM2768">
        <v>90.618477494443695</v>
      </c>
      <c r="AN2768">
        <v>0.99999994296725303</v>
      </c>
    </row>
    <row r="2769" spans="1:40" x14ac:dyDescent="0.25">
      <c r="A2769" t="str">
        <f>"20190312161013371"</f>
        <v>20190312161013371</v>
      </c>
      <c r="B2769" t="str">
        <f>"1552378213358553"</f>
        <v>1552378213358553</v>
      </c>
      <c r="C2769" t="s">
        <v>40</v>
      </c>
      <c r="D2769">
        <v>5.4120220000000003</v>
      </c>
      <c r="E2769">
        <v>0.39774229999999999</v>
      </c>
      <c r="F2769" t="s">
        <v>59</v>
      </c>
      <c r="G2769">
        <v>-479.84690000000001</v>
      </c>
      <c r="H2769" s="1">
        <v>1.668624E-6</v>
      </c>
      <c r="I2769">
        <v>216.3749</v>
      </c>
      <c r="J2769">
        <v>-490.69970000000001</v>
      </c>
      <c r="K2769">
        <v>1.1108180000000001</v>
      </c>
      <c r="L2769">
        <v>231.32749999999999</v>
      </c>
      <c r="M2769">
        <v>0.34182240000000003</v>
      </c>
      <c r="N2769">
        <v>0</v>
      </c>
      <c r="O2769">
        <v>-0.93973150000000005</v>
      </c>
      <c r="P2769">
        <v>0.35108149999999999</v>
      </c>
      <c r="Q2769">
        <v>-3.2745980000000001E-2</v>
      </c>
      <c r="R2769">
        <v>-0.93577250000000001</v>
      </c>
      <c r="S2769">
        <v>1.819672</v>
      </c>
      <c r="T2769">
        <v>-0.18526799999999999</v>
      </c>
      <c r="U2769">
        <v>-2.5186609999999998</v>
      </c>
      <c r="V2769">
        <v>-9.9801060000000007E-3</v>
      </c>
      <c r="W2769">
        <v>-2.4894240000000002E-2</v>
      </c>
      <c r="X2769">
        <v>0.99964030000000004</v>
      </c>
      <c r="Y2769">
        <v>-0.27219929999999998</v>
      </c>
      <c r="Z2769">
        <v>5.8765009999999999E-2</v>
      </c>
      <c r="AA2769">
        <v>0.96044479999999999</v>
      </c>
      <c r="AB2769">
        <v>15</v>
      </c>
      <c r="AC2769">
        <v>10.8528</v>
      </c>
      <c r="AD2769">
        <v>-1.110816331376</v>
      </c>
      <c r="AE2769">
        <v>-14.952599999999901</v>
      </c>
      <c r="AF2769">
        <v>-5.0694182993664798</v>
      </c>
      <c r="AG2769">
        <v>-1.110816331376</v>
      </c>
      <c r="AH2769">
        <v>17.697740058825399</v>
      </c>
      <c r="AI2769">
        <v>93.453004137026795</v>
      </c>
      <c r="AJ2769">
        <v>105.98406303981299</v>
      </c>
      <c r="AK2769">
        <v>18.442963915969599</v>
      </c>
      <c r="AL2769">
        <v>91.426482210121506</v>
      </c>
      <c r="AM2769">
        <v>90.572004705621296</v>
      </c>
      <c r="AN2769">
        <v>1.0000000275425101</v>
      </c>
    </row>
    <row r="2770" spans="1:40" x14ac:dyDescent="0.25">
      <c r="A2770" t="str">
        <f>"20190312161013402"</f>
        <v>20190312161013402</v>
      </c>
      <c r="B2770" t="str">
        <f>"1552378213398567"</f>
        <v>1552378213398567</v>
      </c>
      <c r="C2770" t="s">
        <v>40</v>
      </c>
      <c r="D2770">
        <v>5.3585079999999996</v>
      </c>
      <c r="E2770">
        <v>0.39853139999999998</v>
      </c>
      <c r="F2770" t="s">
        <v>59</v>
      </c>
      <c r="G2770">
        <v>-479.73680000000002</v>
      </c>
      <c r="H2770" s="1">
        <v>1.7094479999999999E-6</v>
      </c>
      <c r="I2770">
        <v>216.19139999999999</v>
      </c>
      <c r="J2770">
        <v>-490.61970000000002</v>
      </c>
      <c r="K2770">
        <v>1.110841</v>
      </c>
      <c r="L2770">
        <v>231.12260000000001</v>
      </c>
      <c r="M2770">
        <v>0.345850299999999</v>
      </c>
      <c r="N2770">
        <v>0</v>
      </c>
      <c r="O2770">
        <v>-0.9382568</v>
      </c>
      <c r="P2770">
        <v>0.35527740000000002</v>
      </c>
      <c r="Q2770">
        <v>-3.3057969999999999E-2</v>
      </c>
      <c r="R2770">
        <v>-0.93417669999999997</v>
      </c>
      <c r="S2770">
        <v>1.822174</v>
      </c>
      <c r="T2770">
        <v>-0.18463089999999999</v>
      </c>
      <c r="U2770">
        <v>-2.5157929999999999</v>
      </c>
      <c r="V2770">
        <v>-1.017879E-2</v>
      </c>
      <c r="W2770">
        <v>-2.5216990000000002E-2</v>
      </c>
      <c r="X2770">
        <v>0.99963020000000002</v>
      </c>
      <c r="Y2770">
        <v>-0.26922649999999998</v>
      </c>
      <c r="Z2770">
        <v>5.8493160000000002E-2</v>
      </c>
      <c r="AA2770">
        <v>0.96129889999999996</v>
      </c>
      <c r="AB2770">
        <v>15</v>
      </c>
      <c r="AC2770">
        <v>10.882899999999999</v>
      </c>
      <c r="AD2770">
        <v>-1.1108392905519999</v>
      </c>
      <c r="AE2770">
        <v>-14.9312</v>
      </c>
      <c r="AF2770">
        <v>-5.0289727636758403</v>
      </c>
      <c r="AG2770">
        <v>-1.1108392905519999</v>
      </c>
      <c r="AH2770">
        <v>17.7096885288123</v>
      </c>
      <c r="AI2770">
        <v>93.453000986486799</v>
      </c>
      <c r="AJ2770">
        <v>105.85281366459201</v>
      </c>
      <c r="AK2770">
        <v>18.443361916276899</v>
      </c>
      <c r="AL2770">
        <v>91.444980239925002</v>
      </c>
      <c r="AM2770">
        <v>90.583397292809195</v>
      </c>
      <c r="AN2770">
        <v>1.00000002055128</v>
      </c>
    </row>
    <row r="2771" spans="1:40" x14ac:dyDescent="0.25">
      <c r="A2771" t="str">
        <f>"20190312161013426"</f>
        <v>20190312161013426</v>
      </c>
      <c r="B2771" t="str">
        <f>"1552378213419063"</f>
        <v>1552378213419063</v>
      </c>
      <c r="C2771" t="s">
        <v>40</v>
      </c>
      <c r="D2771">
        <v>5.310651</v>
      </c>
      <c r="E2771">
        <v>0.39895130000000001</v>
      </c>
      <c r="F2771" t="s">
        <v>59</v>
      </c>
      <c r="G2771">
        <v>-479.78039999999999</v>
      </c>
      <c r="H2771" s="1">
        <v>1.692106E-6</v>
      </c>
      <c r="I2771">
        <v>216.2372</v>
      </c>
      <c r="J2771">
        <v>-490.55860000000001</v>
      </c>
      <c r="K2771">
        <v>1.110868</v>
      </c>
      <c r="L2771">
        <v>230.96780000000001</v>
      </c>
      <c r="M2771">
        <v>0.3489276</v>
      </c>
      <c r="N2771">
        <v>0</v>
      </c>
      <c r="O2771">
        <v>-0.93711699999999998</v>
      </c>
      <c r="P2771">
        <v>0.3585064</v>
      </c>
      <c r="Q2771">
        <v>-3.3024020000000001E-2</v>
      </c>
      <c r="R2771">
        <v>-0.93294339999999998</v>
      </c>
      <c r="S2771">
        <v>1.827545</v>
      </c>
      <c r="T2771">
        <v>-0.18729129999999999</v>
      </c>
      <c r="U2771">
        <v>-2.5097200000000002</v>
      </c>
      <c r="V2771">
        <v>-1.035373E-2</v>
      </c>
      <c r="W2771">
        <v>-2.5195430000000001E-2</v>
      </c>
      <c r="X2771">
        <v>0.99962890000000004</v>
      </c>
      <c r="Y2771">
        <v>-0.26848549999999999</v>
      </c>
      <c r="Z2771">
        <v>5.9315369999999999E-2</v>
      </c>
      <c r="AA2771">
        <v>0.96145579999999997</v>
      </c>
      <c r="AB2771">
        <v>16</v>
      </c>
      <c r="AC2771">
        <v>10.7782</v>
      </c>
      <c r="AD2771">
        <v>-1.110866307894</v>
      </c>
      <c r="AE2771">
        <v>-14.730600000000001</v>
      </c>
      <c r="AF2771">
        <v>-4.9423669806124604</v>
      </c>
      <c r="AG2771">
        <v>-1.110866307894</v>
      </c>
      <c r="AH2771">
        <v>17.500822191296599</v>
      </c>
      <c r="AI2771">
        <v>93.495620081587901</v>
      </c>
      <c r="AJ2771">
        <v>105.770088405045</v>
      </c>
      <c r="AK2771">
        <v>18.219214930848199</v>
      </c>
      <c r="AL2771">
        <v>91.443744618180602</v>
      </c>
      <c r="AM2771">
        <v>90.593424038648806</v>
      </c>
      <c r="AN2771">
        <v>0.99999997356650305</v>
      </c>
    </row>
    <row r="2772" spans="1:40" x14ac:dyDescent="0.25">
      <c r="A2772" t="str">
        <f>"20190312161013449"</f>
        <v>20190312161013449</v>
      </c>
      <c r="B2772" t="str">
        <f>"1552378213438584"</f>
        <v>1552378213438584</v>
      </c>
      <c r="C2772" t="s">
        <v>40</v>
      </c>
      <c r="D2772">
        <v>5.2793739999999998</v>
      </c>
      <c r="E2772">
        <v>0.39931369999999999</v>
      </c>
      <c r="F2772" t="s">
        <v>59</v>
      </c>
      <c r="G2772">
        <v>-479.68889999999999</v>
      </c>
      <c r="H2772" s="1">
        <v>1.7273500000000001E-6</v>
      </c>
      <c r="I2772">
        <v>216.1155</v>
      </c>
      <c r="J2772">
        <v>-490.49959999999999</v>
      </c>
      <c r="K2772">
        <v>1.1109039999999999</v>
      </c>
      <c r="L2772">
        <v>230.82</v>
      </c>
      <c r="M2772">
        <v>0.35190650000000001</v>
      </c>
      <c r="N2772">
        <v>0</v>
      </c>
      <c r="O2772">
        <v>-0.93600209999999995</v>
      </c>
      <c r="P2772">
        <v>0.36240349999999999</v>
      </c>
      <c r="Q2772">
        <v>-3.2393730000000003E-2</v>
      </c>
      <c r="R2772">
        <v>-0.93145829999999996</v>
      </c>
      <c r="S2772">
        <v>1.8330379999999999</v>
      </c>
      <c r="T2772">
        <v>-0.18733359999999999</v>
      </c>
      <c r="U2772">
        <v>-2.5046539999999999</v>
      </c>
      <c r="V2772">
        <v>-1.1344399999999999E-2</v>
      </c>
      <c r="W2772">
        <v>-2.4578989999999998E-2</v>
      </c>
      <c r="X2772">
        <v>0.99963360000000001</v>
      </c>
      <c r="Y2772">
        <v>-0.26772109999999999</v>
      </c>
      <c r="Z2772">
        <v>5.9293899999999997E-2</v>
      </c>
      <c r="AA2772">
        <v>0.96167020000000003</v>
      </c>
      <c r="AB2772">
        <v>16</v>
      </c>
      <c r="AC2772">
        <v>10.810699999999899</v>
      </c>
      <c r="AD2772">
        <v>-1.11090227265</v>
      </c>
      <c r="AE2772">
        <v>-14.7044999999999</v>
      </c>
      <c r="AF2772">
        <v>-4.9261305658097401</v>
      </c>
      <c r="AG2772">
        <v>-1.11090227265</v>
      </c>
      <c r="AH2772">
        <v>17.503492057271099</v>
      </c>
      <c r="AI2772">
        <v>93.496085059636499</v>
      </c>
      <c r="AJ2772">
        <v>105.71856708694</v>
      </c>
      <c r="AK2772">
        <v>18.217384565566402</v>
      </c>
      <c r="AL2772">
        <v>91.408414115926305</v>
      </c>
      <c r="AM2772">
        <v>90.650196571428197</v>
      </c>
      <c r="AN2772">
        <v>1.0000000782048599</v>
      </c>
    </row>
    <row r="2773" spans="1:40" x14ac:dyDescent="0.25">
      <c r="A2773" t="str">
        <f>"20190312161013473"</f>
        <v>20190312161013473</v>
      </c>
      <c r="B2773" t="str">
        <f>"1552378213468839"</f>
        <v>1552378213468839</v>
      </c>
      <c r="C2773" t="s">
        <v>40</v>
      </c>
      <c r="D2773">
        <v>5.2272970000000001</v>
      </c>
      <c r="E2773">
        <v>0.39969379999999999</v>
      </c>
      <c r="F2773" t="s">
        <v>59</v>
      </c>
      <c r="G2773">
        <v>-479.46589999999998</v>
      </c>
      <c r="H2773" s="1">
        <v>1.814616E-6</v>
      </c>
      <c r="I2773">
        <v>215.84909999999999</v>
      </c>
      <c r="J2773">
        <v>-490.43729999999999</v>
      </c>
      <c r="K2773">
        <v>1.110948</v>
      </c>
      <c r="L2773">
        <v>230.66550000000001</v>
      </c>
      <c r="M2773">
        <v>0.35506310000000002</v>
      </c>
      <c r="N2773">
        <v>0</v>
      </c>
      <c r="O2773">
        <v>-0.93480940000000001</v>
      </c>
      <c r="P2773">
        <v>0.36631950000000002</v>
      </c>
      <c r="Q2773">
        <v>-3.2137949999999998E-2</v>
      </c>
      <c r="R2773">
        <v>-0.92993409999999999</v>
      </c>
      <c r="S2773">
        <v>1.841064</v>
      </c>
      <c r="T2773">
        <v>-0.1853629</v>
      </c>
      <c r="U2773">
        <v>-2.4980159999999998</v>
      </c>
      <c r="V2773">
        <v>-1.217243E-2</v>
      </c>
      <c r="W2773">
        <v>-2.4335099999999998E-2</v>
      </c>
      <c r="X2773">
        <v>0.99962969999999896</v>
      </c>
      <c r="Y2773">
        <v>-0.26771590000000001</v>
      </c>
      <c r="Z2773">
        <v>5.8638089999999997E-2</v>
      </c>
      <c r="AA2773">
        <v>0.96171189999999995</v>
      </c>
      <c r="AB2773">
        <v>16</v>
      </c>
      <c r="AC2773">
        <v>10.971399999999999</v>
      </c>
      <c r="AD2773">
        <v>-1.1109461853839999</v>
      </c>
      <c r="AE2773">
        <v>-14.8164</v>
      </c>
      <c r="AF2773">
        <v>-4.9774909827837197</v>
      </c>
      <c r="AG2773">
        <v>-1.1109461853839999</v>
      </c>
      <c r="AH2773">
        <v>17.682389185701801</v>
      </c>
      <c r="AI2773">
        <v>93.460885633363105</v>
      </c>
      <c r="AJ2773">
        <v>105.721605959142</v>
      </c>
      <c r="AK2773">
        <v>18.403165630541299</v>
      </c>
      <c r="AL2773">
        <v>91.394436245458706</v>
      </c>
      <c r="AM2773">
        <v>90.697652738210394</v>
      </c>
      <c r="AN2773">
        <v>0.99999995113310103</v>
      </c>
    </row>
    <row r="2774" spans="1:40" x14ac:dyDescent="0.25">
      <c r="A2774" t="str">
        <f>"20190312161013494"</f>
        <v>20190312161013494</v>
      </c>
      <c r="B2774" t="str">
        <f>"1552378213488359"</f>
        <v>1552378213488359</v>
      </c>
      <c r="C2774" t="s">
        <v>40</v>
      </c>
      <c r="D2774">
        <v>5.1557459999999997</v>
      </c>
      <c r="E2774">
        <v>0.37194749999999999</v>
      </c>
      <c r="F2774" t="s">
        <v>59</v>
      </c>
      <c r="G2774">
        <v>-479.19839999999999</v>
      </c>
      <c r="H2774" s="1">
        <v>1.9187610000000001E-6</v>
      </c>
      <c r="I2774">
        <v>215.5181</v>
      </c>
      <c r="J2774">
        <v>-490.3809</v>
      </c>
      <c r="K2774">
        <v>1.1109819999999999</v>
      </c>
      <c r="L2774">
        <v>230.52709999999999</v>
      </c>
      <c r="M2774">
        <v>0.35793439999999999</v>
      </c>
      <c r="N2774">
        <v>0</v>
      </c>
      <c r="O2774">
        <v>-0.93371400000000004</v>
      </c>
      <c r="P2774">
        <v>0.36958999999999997</v>
      </c>
      <c r="Q2774">
        <v>-3.189231E-2</v>
      </c>
      <c r="R2774">
        <v>-0.92864780000000002</v>
      </c>
      <c r="S2774">
        <v>1.8486020000000001</v>
      </c>
      <c r="T2774">
        <v>-0.18273149999999999</v>
      </c>
      <c r="U2774">
        <v>-2.491501</v>
      </c>
      <c r="V2774">
        <v>-1.261341E-2</v>
      </c>
      <c r="W2774">
        <v>-2.409733E-2</v>
      </c>
      <c r="X2774">
        <v>0.99963000000000002</v>
      </c>
      <c r="Y2774">
        <v>-0.26786539999999998</v>
      </c>
      <c r="Z2774">
        <v>5.7782739999999999E-2</v>
      </c>
      <c r="AA2774">
        <v>0.96172199999999997</v>
      </c>
      <c r="AB2774">
        <v>16</v>
      </c>
      <c r="AC2774">
        <v>11.182499999999999</v>
      </c>
      <c r="AD2774">
        <v>-1.1109800812389901</v>
      </c>
      <c r="AE2774">
        <v>-15.008999999999901</v>
      </c>
      <c r="AF2774">
        <v>-5.0513768253906202</v>
      </c>
      <c r="AG2774">
        <v>-1.1109800812389901</v>
      </c>
      <c r="AH2774">
        <v>17.954008218188001</v>
      </c>
      <c r="AI2774">
        <v>93.408882537465303</v>
      </c>
      <c r="AJ2774">
        <v>105.71399640040801</v>
      </c>
      <c r="AK2774">
        <v>18.6841402176222</v>
      </c>
      <c r="AL2774">
        <v>91.380809021301502</v>
      </c>
      <c r="AM2774">
        <v>90.722924289062902</v>
      </c>
      <c r="AN2774">
        <v>0.999999958162477</v>
      </c>
    </row>
    <row r="2775" spans="1:40" x14ac:dyDescent="0.25">
      <c r="A2775" t="str">
        <f>"20190312161013515"</f>
        <v>20190312161013515</v>
      </c>
      <c r="B2775" t="str">
        <f>"1552378213508855"</f>
        <v>1552378213508855</v>
      </c>
      <c r="C2775" t="s">
        <v>40</v>
      </c>
      <c r="D2775">
        <v>5.1374649999999997</v>
      </c>
      <c r="E2775">
        <v>0.36502329999999999</v>
      </c>
      <c r="F2775" t="s">
        <v>59</v>
      </c>
      <c r="G2775">
        <v>-471.10140000000001</v>
      </c>
      <c r="H2775">
        <v>8.0000210000000002E-2</v>
      </c>
      <c r="I2775">
        <v>208.0034</v>
      </c>
      <c r="J2775">
        <v>-490.32209999999998</v>
      </c>
      <c r="K2775">
        <v>1.1110279999999999</v>
      </c>
      <c r="L2775">
        <v>230.38399999999999</v>
      </c>
      <c r="M2775">
        <v>0.36094769999999998</v>
      </c>
      <c r="N2775">
        <v>0</v>
      </c>
      <c r="O2775">
        <v>-0.93255319999999997</v>
      </c>
      <c r="P2775">
        <v>0.37309789999999998</v>
      </c>
      <c r="Q2775">
        <v>-3.1750859999999999E-2</v>
      </c>
      <c r="R2775">
        <v>-0.92724859999999998</v>
      </c>
      <c r="S2775">
        <v>2.0601500000000001</v>
      </c>
      <c r="T2775">
        <v>-0.11016769999999999</v>
      </c>
      <c r="U2775">
        <v>-2.4068149999999999</v>
      </c>
      <c r="V2775">
        <v>-1.3160659999999999E-2</v>
      </c>
      <c r="W2775">
        <v>-2.396291E-2</v>
      </c>
      <c r="X2775">
        <v>0.99962620000000002</v>
      </c>
      <c r="Y2775">
        <v>-0.33180539999999997</v>
      </c>
      <c r="Z2775">
        <v>3.4553840000000002E-2</v>
      </c>
      <c r="AA2775">
        <v>0.94271479999999996</v>
      </c>
      <c r="AB2775">
        <v>16</v>
      </c>
      <c r="AC2775">
        <v>19.220699999999901</v>
      </c>
      <c r="AD2775">
        <v>-1.03102779</v>
      </c>
      <c r="AE2775">
        <v>-22.380600000000001</v>
      </c>
      <c r="AF2775">
        <v>-9.8343891903999197</v>
      </c>
      <c r="AG2775">
        <v>-1.03102779</v>
      </c>
      <c r="AH2775">
        <v>27.775694523765001</v>
      </c>
      <c r="AI2775">
        <v>92.004032932065897</v>
      </c>
      <c r="AJ2775">
        <v>109.497250333868</v>
      </c>
      <c r="AK2775">
        <v>29.483341658121301</v>
      </c>
      <c r="AL2775">
        <v>91.373105065098798</v>
      </c>
      <c r="AM2775">
        <v>90.754288664092201</v>
      </c>
      <c r="AN2775">
        <v>0.999999981876871</v>
      </c>
    </row>
    <row r="2776" spans="1:40" x14ac:dyDescent="0.25">
      <c r="A2776" t="str">
        <f>"20190312161013539"</f>
        <v>20190312161013539</v>
      </c>
      <c r="B2776" t="str">
        <f>"1552378213528375"</f>
        <v>1552378213528375</v>
      </c>
      <c r="C2776" t="s">
        <v>40</v>
      </c>
      <c r="D2776">
        <v>5.0913690000000003</v>
      </c>
      <c r="E2776">
        <v>0.36268</v>
      </c>
      <c r="F2776" t="s">
        <v>59</v>
      </c>
      <c r="G2776">
        <v>-471.79790000000003</v>
      </c>
      <c r="H2776">
        <v>3.2874929999999997E-2</v>
      </c>
      <c r="I2776">
        <v>209.6163</v>
      </c>
      <c r="J2776">
        <v>-490.25850000000003</v>
      </c>
      <c r="K2776">
        <v>1.111076</v>
      </c>
      <c r="L2776">
        <v>230.2312</v>
      </c>
      <c r="M2776">
        <v>0.3642225</v>
      </c>
      <c r="N2776">
        <v>0</v>
      </c>
      <c r="O2776">
        <v>-0.93127899999999997</v>
      </c>
      <c r="P2776">
        <v>0.37680629999999998</v>
      </c>
      <c r="Q2776">
        <v>-3.1476009999999999E-2</v>
      </c>
      <c r="R2776">
        <v>-0.92575750000000001</v>
      </c>
      <c r="S2776">
        <v>2.1208800000000001</v>
      </c>
      <c r="T2776">
        <v>-0.12344040000000001</v>
      </c>
      <c r="U2776">
        <v>-2.3777469999999998</v>
      </c>
      <c r="V2776">
        <v>-1.3643600000000001E-2</v>
      </c>
      <c r="W2776">
        <v>-2.369365E-2</v>
      </c>
      <c r="X2776">
        <v>0.99962620000000002</v>
      </c>
      <c r="Y2776">
        <v>-0.3475839</v>
      </c>
      <c r="Z2776">
        <v>3.8586490000000001E-2</v>
      </c>
      <c r="AA2776">
        <v>0.93685459999999998</v>
      </c>
      <c r="AB2776">
        <v>16</v>
      </c>
      <c r="AC2776">
        <v>18.460599999999999</v>
      </c>
      <c r="AD2776">
        <v>-1.07820107</v>
      </c>
      <c r="AE2776">
        <v>-20.614899999999999</v>
      </c>
      <c r="AF2776">
        <v>-9.6691771196387695</v>
      </c>
      <c r="AG2776">
        <v>-1.07820107</v>
      </c>
      <c r="AH2776">
        <v>25.8834912035835</v>
      </c>
      <c r="AI2776">
        <v>92.234664551184096</v>
      </c>
      <c r="AJ2776">
        <v>110.48394927417699</v>
      </c>
      <c r="AK2776">
        <v>27.6515934550666</v>
      </c>
      <c r="AL2776">
        <v>91.357673144942098</v>
      </c>
      <c r="AM2776">
        <v>90.781964459620198</v>
      </c>
      <c r="AN2776">
        <v>1.0000000382988601</v>
      </c>
    </row>
    <row r="2777" spans="1:40" x14ac:dyDescent="0.25">
      <c r="A2777" t="str">
        <f>"20190312161013562"</f>
        <v>20190312161013562</v>
      </c>
      <c r="B2777" t="str">
        <f>"1552378213558631"</f>
        <v>1552378213558631</v>
      </c>
      <c r="C2777" t="s">
        <v>40</v>
      </c>
      <c r="D2777">
        <v>5.0355730000000003</v>
      </c>
      <c r="E2777">
        <v>0.3615855</v>
      </c>
      <c r="F2777" t="s">
        <v>59</v>
      </c>
      <c r="G2777">
        <v>-471.42219999999998</v>
      </c>
      <c r="H2777">
        <v>8.0000210000000002E-2</v>
      </c>
      <c r="I2777">
        <v>209.51249999999999</v>
      </c>
      <c r="J2777">
        <v>-490.19459999999998</v>
      </c>
      <c r="K2777">
        <v>1.1111249999999999</v>
      </c>
      <c r="L2777">
        <v>230.07919999999999</v>
      </c>
      <c r="M2777">
        <v>0.36752940000000001</v>
      </c>
      <c r="N2777">
        <v>0</v>
      </c>
      <c r="O2777">
        <v>-0.929979</v>
      </c>
      <c r="P2777">
        <v>0.38062200000000002</v>
      </c>
      <c r="Q2777">
        <v>-3.1331299999999999E-2</v>
      </c>
      <c r="R2777">
        <v>-0.92419989999999996</v>
      </c>
      <c r="S2777">
        <v>2.1477659999999998</v>
      </c>
      <c r="T2777">
        <v>-0.117566</v>
      </c>
      <c r="U2777">
        <v>-2.3623959999999999</v>
      </c>
      <c r="V2777">
        <v>-1.4211349999999999E-2</v>
      </c>
      <c r="W2777">
        <v>-2.35531E-2</v>
      </c>
      <c r="X2777">
        <v>0.9996216</v>
      </c>
      <c r="Y2777">
        <v>-0.35318290000000002</v>
      </c>
      <c r="Z2777">
        <v>3.6692580000000002E-2</v>
      </c>
      <c r="AA2777">
        <v>0.93483450000000001</v>
      </c>
      <c r="AB2777">
        <v>16</v>
      </c>
      <c r="AC2777">
        <v>18.772400000000001</v>
      </c>
      <c r="AD2777">
        <v>-1.03112479</v>
      </c>
      <c r="AE2777">
        <v>-20.566700000000001</v>
      </c>
      <c r="AF2777">
        <v>-9.8858183506107302</v>
      </c>
      <c r="AG2777">
        <v>-1.03112479</v>
      </c>
      <c r="AH2777">
        <v>25.991165329752999</v>
      </c>
      <c r="AI2777">
        <v>92.123583437882004</v>
      </c>
      <c r="AJ2777">
        <v>110.824463555786</v>
      </c>
      <c r="AK2777">
        <v>27.826844916238301</v>
      </c>
      <c r="AL2777">
        <v>91.349617990604301</v>
      </c>
      <c r="AM2777">
        <v>90.814503733533797</v>
      </c>
      <c r="AN2777">
        <v>1.00000002708749</v>
      </c>
    </row>
    <row r="2778" spans="1:40" x14ac:dyDescent="0.25">
      <c r="A2778" t="str">
        <f>"20190312161013582"</f>
        <v>20190312161013582</v>
      </c>
      <c r="B2778" t="str">
        <f>"1552378213579127"</f>
        <v>1552378213579127</v>
      </c>
      <c r="C2778" t="s">
        <v>40</v>
      </c>
      <c r="D2778">
        <v>5.0562760000000004</v>
      </c>
      <c r="E2778">
        <v>0.36106939999999998</v>
      </c>
      <c r="F2778" t="s">
        <v>61</v>
      </c>
      <c r="G2778">
        <v>-469.93759999999997</v>
      </c>
      <c r="H2778">
        <v>8.0000299999999996E-2</v>
      </c>
      <c r="I2778">
        <v>208.0847</v>
      </c>
      <c r="J2778">
        <v>-490.13929999999999</v>
      </c>
      <c r="K2778">
        <v>1.1111530000000001</v>
      </c>
      <c r="L2778">
        <v>229.94890000000001</v>
      </c>
      <c r="M2778">
        <v>0.37040329999999999</v>
      </c>
      <c r="N2778">
        <v>0</v>
      </c>
      <c r="O2778">
        <v>-0.92883819999999995</v>
      </c>
      <c r="P2778">
        <v>0.38309399999999999</v>
      </c>
      <c r="Q2778">
        <v>-3.1509479999999999E-2</v>
      </c>
      <c r="R2778">
        <v>-0.92317199999999999</v>
      </c>
      <c r="S2778">
        <v>2.1649780000000001</v>
      </c>
      <c r="T2778">
        <v>-0.1102016</v>
      </c>
      <c r="U2778">
        <v>-2.3506619999999998</v>
      </c>
      <c r="V2778">
        <v>-1.379564E-2</v>
      </c>
      <c r="W2778">
        <v>-2.3730029999999999E-2</v>
      </c>
      <c r="X2778">
        <v>0.99962320000000005</v>
      </c>
      <c r="Y2778">
        <v>-0.35638199999999998</v>
      </c>
      <c r="Z2778">
        <v>3.436616E-2</v>
      </c>
      <c r="AA2778">
        <v>0.93370810000000004</v>
      </c>
      <c r="AB2778">
        <v>16</v>
      </c>
      <c r="AC2778">
        <v>20.201699999999999</v>
      </c>
      <c r="AD2778">
        <v>-1.0311527</v>
      </c>
      <c r="AE2778">
        <v>-21.8642</v>
      </c>
      <c r="AF2778">
        <v>-10.6530816939087</v>
      </c>
      <c r="AG2778">
        <v>-1.0311527</v>
      </c>
      <c r="AH2778">
        <v>27.758621083683799</v>
      </c>
      <c r="AI2778">
        <v>91.986270009202499</v>
      </c>
      <c r="AJ2778">
        <v>110.995584069776</v>
      </c>
      <c r="AK2778">
        <v>29.750503692128401</v>
      </c>
      <c r="AL2778">
        <v>91.359758219969706</v>
      </c>
      <c r="AM2778">
        <v>90.790679698796495</v>
      </c>
      <c r="AN2778">
        <v>0.99999998799252499</v>
      </c>
    </row>
    <row r="2779" spans="1:40" x14ac:dyDescent="0.25">
      <c r="A2779" t="str">
        <f>"20190312161013604"</f>
        <v>20190312161013604</v>
      </c>
      <c r="B2779" t="str">
        <f>"1552378213598648"</f>
        <v>1552378213598648</v>
      </c>
      <c r="C2779" t="s">
        <v>40</v>
      </c>
      <c r="D2779">
        <v>5.1026569999999998</v>
      </c>
      <c r="E2779">
        <v>0.3611473</v>
      </c>
      <c r="F2779" t="s">
        <v>61</v>
      </c>
      <c r="G2779">
        <v>-469.12849999999997</v>
      </c>
      <c r="H2779">
        <v>8.0000559999999998E-2</v>
      </c>
      <c r="I2779">
        <v>207.30950000000001</v>
      </c>
      <c r="J2779">
        <v>-490.07560000000001</v>
      </c>
      <c r="K2779">
        <v>1.111178</v>
      </c>
      <c r="L2779">
        <v>229.8004</v>
      </c>
      <c r="M2779">
        <v>0.37371389999999999</v>
      </c>
      <c r="N2779">
        <v>0</v>
      </c>
      <c r="O2779">
        <v>-0.92751099999999997</v>
      </c>
      <c r="P2779">
        <v>0.38551770000000002</v>
      </c>
      <c r="Q2779">
        <v>-3.1787030000000001E-2</v>
      </c>
      <c r="R2779">
        <v>-0.92215309999999995</v>
      </c>
      <c r="S2779">
        <v>2.1749269999999998</v>
      </c>
      <c r="T2779">
        <v>-0.1067394</v>
      </c>
      <c r="U2779">
        <v>-2.3435060000000001</v>
      </c>
      <c r="V2779">
        <v>-1.285702E-2</v>
      </c>
      <c r="W2779">
        <v>-2.4003090000000001E-2</v>
      </c>
      <c r="X2779">
        <v>0.9996292</v>
      </c>
      <c r="Y2779">
        <v>-0.35662949999999999</v>
      </c>
      <c r="Z2779">
        <v>3.3249790000000001E-2</v>
      </c>
      <c r="AA2779">
        <v>0.93365399999999998</v>
      </c>
      <c r="AB2779">
        <v>16</v>
      </c>
      <c r="AC2779">
        <v>20.947099999999999</v>
      </c>
      <c r="AD2779">
        <v>-1.03117744</v>
      </c>
      <c r="AE2779">
        <v>-22.4908999999999</v>
      </c>
      <c r="AF2779">
        <v>-11.011446218816699</v>
      </c>
      <c r="AG2779">
        <v>-1.03117744</v>
      </c>
      <c r="AH2779">
        <v>28.6573998302452</v>
      </c>
      <c r="AI2779">
        <v>91.923766929363595</v>
      </c>
      <c r="AJ2779">
        <v>111.0189934484</v>
      </c>
      <c r="AK2779">
        <v>30.717451713532501</v>
      </c>
      <c r="AL2779">
        <v>91.3754078547083</v>
      </c>
      <c r="AM2779">
        <v>90.736885603903005</v>
      </c>
      <c r="AN2779">
        <v>0.99999999439273402</v>
      </c>
    </row>
    <row r="2780" spans="1:40" x14ac:dyDescent="0.25">
      <c r="A2780" t="str">
        <f>"20190312161013627"</f>
        <v>20190312161013627</v>
      </c>
      <c r="B2780" t="str">
        <f>"1552378213619144"</f>
        <v>1552378213619144</v>
      </c>
      <c r="C2780" t="s">
        <v>40</v>
      </c>
      <c r="D2780">
        <v>5.0403190000000002</v>
      </c>
      <c r="E2780">
        <v>0.36121140000000002</v>
      </c>
      <c r="F2780" t="s">
        <v>61</v>
      </c>
      <c r="G2780">
        <v>-469.41660000000002</v>
      </c>
      <c r="H2780">
        <v>8.0000470000000004E-2</v>
      </c>
      <c r="I2780">
        <v>207.6542</v>
      </c>
      <c r="J2780">
        <v>-490.00839999999999</v>
      </c>
      <c r="K2780">
        <v>1.111208</v>
      </c>
      <c r="L2780">
        <v>229.6454</v>
      </c>
      <c r="M2780">
        <v>0.37720779999999998</v>
      </c>
      <c r="N2780">
        <v>0</v>
      </c>
      <c r="O2780">
        <v>-0.92609549999999996</v>
      </c>
      <c r="P2780">
        <v>0.38835779999999998</v>
      </c>
      <c r="Q2780">
        <v>-3.144599E-2</v>
      </c>
      <c r="R2780">
        <v>-0.92097189999999995</v>
      </c>
      <c r="S2780">
        <v>2.1807859999999999</v>
      </c>
      <c r="T2780">
        <v>-0.108852</v>
      </c>
      <c r="U2780">
        <v>-2.3377690000000002</v>
      </c>
      <c r="V2780">
        <v>-1.2165E-2</v>
      </c>
      <c r="W2780">
        <v>-2.3657259999999999E-2</v>
      </c>
      <c r="X2780">
        <v>0.99964609999999998</v>
      </c>
      <c r="Y2780">
        <v>-0.35548610000000003</v>
      </c>
      <c r="Z2780">
        <v>3.3875089999999997E-2</v>
      </c>
      <c r="AA2780">
        <v>0.93406750000000005</v>
      </c>
      <c r="AB2780">
        <v>16</v>
      </c>
      <c r="AC2780">
        <v>20.5917999999999</v>
      </c>
      <c r="AD2780">
        <v>-1.0312075300000001</v>
      </c>
      <c r="AE2780">
        <v>-21.9911999999999</v>
      </c>
      <c r="AF2780">
        <v>-10.7624426259685</v>
      </c>
      <c r="AG2780">
        <v>-1.0312075300000001</v>
      </c>
      <c r="AH2780">
        <v>28.1012791033653</v>
      </c>
      <c r="AI2780">
        <v>91.962689823717696</v>
      </c>
      <c r="AJ2780">
        <v>110.95622237352499</v>
      </c>
      <c r="AK2780">
        <v>30.1093913504147</v>
      </c>
      <c r="AL2780">
        <v>91.355587633568007</v>
      </c>
      <c r="AM2780">
        <v>90.697215498528493</v>
      </c>
      <c r="AN2780">
        <v>0.99999998921045796</v>
      </c>
    </row>
    <row r="2781" spans="1:40" x14ac:dyDescent="0.25">
      <c r="A2781" t="str">
        <f>"20190312161013650"</f>
        <v>20190312161013650</v>
      </c>
      <c r="B2781" t="str">
        <f>"1552378213638663"</f>
        <v>1552378213638663</v>
      </c>
      <c r="C2781" t="s">
        <v>40</v>
      </c>
      <c r="D2781">
        <v>5.0032489999999896</v>
      </c>
      <c r="E2781">
        <v>0.36137279999999999</v>
      </c>
      <c r="F2781" t="s">
        <v>61</v>
      </c>
      <c r="G2781">
        <v>-468.7688</v>
      </c>
      <c r="H2781">
        <v>8.0000689999999999E-2</v>
      </c>
      <c r="I2781">
        <v>207.0093</v>
      </c>
      <c r="J2781">
        <v>-489.94290000000001</v>
      </c>
      <c r="K2781">
        <v>1.1112299999999999</v>
      </c>
      <c r="L2781">
        <v>229.49600000000001</v>
      </c>
      <c r="M2781">
        <v>0.3805982</v>
      </c>
      <c r="N2781">
        <v>0</v>
      </c>
      <c r="O2781">
        <v>-0.92470719999999995</v>
      </c>
      <c r="P2781">
        <v>0.39198519999999998</v>
      </c>
      <c r="Q2781">
        <v>-3.1317619999999997E-2</v>
      </c>
      <c r="R2781">
        <v>-0.91943819999999998</v>
      </c>
      <c r="S2781">
        <v>2.1875309999999999</v>
      </c>
      <c r="T2781">
        <v>-0.1062073</v>
      </c>
      <c r="U2781">
        <v>-2.3313600000000001</v>
      </c>
      <c r="V2781">
        <v>-1.244056E-2</v>
      </c>
      <c r="W2781">
        <v>-2.3527360000000001E-2</v>
      </c>
      <c r="X2781">
        <v>0.99964580000000003</v>
      </c>
      <c r="Y2781">
        <v>-0.35480050000000002</v>
      </c>
      <c r="Z2781">
        <v>3.3023419999999998E-2</v>
      </c>
      <c r="AA2781">
        <v>0.93435869999999999</v>
      </c>
      <c r="AB2781">
        <v>16</v>
      </c>
      <c r="AC2781">
        <v>21.174099999999999</v>
      </c>
      <c r="AD2781">
        <v>-1.0312293099999901</v>
      </c>
      <c r="AE2781">
        <v>-22.4866999999999</v>
      </c>
      <c r="AF2781">
        <v>-11.009512185717799</v>
      </c>
      <c r="AG2781">
        <v>-1.0312293099999901</v>
      </c>
      <c r="AH2781">
        <v>28.821199009744301</v>
      </c>
      <c r="AI2781">
        <v>91.9143758572894</v>
      </c>
      <c r="AJ2781">
        <v>110.906534499194</v>
      </c>
      <c r="AK2781">
        <v>30.869634024661799</v>
      </c>
      <c r="AL2781">
        <v>91.3481428050152</v>
      </c>
      <c r="AM2781">
        <v>90.713007335001507</v>
      </c>
      <c r="AN2781">
        <v>1.0000000148296599</v>
      </c>
    </row>
    <row r="2782" spans="1:40" x14ac:dyDescent="0.25">
      <c r="A2782" t="str">
        <f>"20190312161013673"</f>
        <v>20190312161013673</v>
      </c>
      <c r="B2782" t="str">
        <f>"1552378213668920"</f>
        <v>1552378213668920</v>
      </c>
      <c r="C2782" t="s">
        <v>40</v>
      </c>
      <c r="D2782">
        <v>5.0225179999999998</v>
      </c>
      <c r="E2782">
        <v>0.36166500000000001</v>
      </c>
      <c r="F2782" t="s">
        <v>61</v>
      </c>
      <c r="G2782">
        <v>-468.928</v>
      </c>
      <c r="H2782">
        <v>8.0000619999999995E-2</v>
      </c>
      <c r="I2782">
        <v>207.2518</v>
      </c>
      <c r="J2782">
        <v>-489.8741</v>
      </c>
      <c r="K2782">
        <v>1.111248</v>
      </c>
      <c r="L2782">
        <v>229.34049999999999</v>
      </c>
      <c r="M2782">
        <v>0.38414779999999998</v>
      </c>
      <c r="N2782">
        <v>0</v>
      </c>
      <c r="O2782">
        <v>-0.92323829999999996</v>
      </c>
      <c r="P2782">
        <v>0.39633020000000002</v>
      </c>
      <c r="Q2782">
        <v>-3.1323330000000003E-2</v>
      </c>
      <c r="R2782">
        <v>-0.91757350000000004</v>
      </c>
      <c r="S2782">
        <v>2.1950069999999999</v>
      </c>
      <c r="T2782">
        <v>-0.10771210000000001</v>
      </c>
      <c r="U2782">
        <v>-2.32341</v>
      </c>
      <c r="V2782">
        <v>-1.332763E-2</v>
      </c>
      <c r="W2782">
        <v>-2.35333E-2</v>
      </c>
      <c r="X2782">
        <v>0.99963420000000003</v>
      </c>
      <c r="Y2782">
        <v>-0.35438199999999997</v>
      </c>
      <c r="Z2782">
        <v>3.3467289999999997E-2</v>
      </c>
      <c r="AA2782">
        <v>0.93450160000000004</v>
      </c>
      <c r="AB2782">
        <v>16</v>
      </c>
      <c r="AC2782">
        <v>20.946099999999898</v>
      </c>
      <c r="AD2782">
        <v>-1.0312473799999999</v>
      </c>
      <c r="AE2782">
        <v>-22.0886999999999</v>
      </c>
      <c r="AF2782">
        <v>-10.840808566046499</v>
      </c>
      <c r="AG2782">
        <v>-1.0312473799999999</v>
      </c>
      <c r="AH2782">
        <v>28.407804492874501</v>
      </c>
      <c r="AI2782">
        <v>91.942492602458302</v>
      </c>
      <c r="AJ2782">
        <v>110.887541632642</v>
      </c>
      <c r="AK2782">
        <v>30.4235099492121</v>
      </c>
      <c r="AL2782">
        <v>91.348483272559307</v>
      </c>
      <c r="AM2782">
        <v>90.763851125712407</v>
      </c>
      <c r="AN2782">
        <v>0.99999998786997302</v>
      </c>
    </row>
    <row r="2783" spans="1:40" x14ac:dyDescent="0.25">
      <c r="A2783" t="str">
        <f>"20190312161013697"</f>
        <v>20190312161013697</v>
      </c>
      <c r="B2783" t="str">
        <f>"1552378213688439"</f>
        <v>1552378213688439</v>
      </c>
      <c r="C2783" t="s">
        <v>40</v>
      </c>
      <c r="D2783">
        <v>5.0104670000000002</v>
      </c>
      <c r="E2783">
        <v>0.3617262</v>
      </c>
      <c r="F2783" t="s">
        <v>61</v>
      </c>
      <c r="G2783">
        <v>-468.93209999999999</v>
      </c>
      <c r="H2783">
        <v>8.0000619999999995E-2</v>
      </c>
      <c r="I2783">
        <v>207.35380000000001</v>
      </c>
      <c r="J2783">
        <v>-489.80309999999997</v>
      </c>
      <c r="K2783">
        <v>1.1112679999999999</v>
      </c>
      <c r="L2783">
        <v>229.18199999999999</v>
      </c>
      <c r="M2783">
        <v>0.38779039999999998</v>
      </c>
      <c r="N2783">
        <v>0</v>
      </c>
      <c r="O2783">
        <v>-0.92171440000000004</v>
      </c>
      <c r="P2783">
        <v>0.40119339999999998</v>
      </c>
      <c r="Q2783">
        <v>-3.1927400000000002E-2</v>
      </c>
      <c r="R2783">
        <v>-0.91543719999999995</v>
      </c>
      <c r="S2783">
        <v>2.2038880000000001</v>
      </c>
      <c r="T2783">
        <v>-0.10852630000000001</v>
      </c>
      <c r="U2783">
        <v>-2.3138429999999999</v>
      </c>
      <c r="V2783">
        <v>-1.468827E-2</v>
      </c>
      <c r="W2783">
        <v>-2.4139020000000001E-2</v>
      </c>
      <c r="X2783">
        <v>0.99960070000000001</v>
      </c>
      <c r="Y2783">
        <v>-0.35449309999999901</v>
      </c>
      <c r="Z2783">
        <v>3.3700510000000003E-2</v>
      </c>
      <c r="AA2783">
        <v>0.93445109999999998</v>
      </c>
      <c r="AB2783">
        <v>16</v>
      </c>
      <c r="AC2783">
        <v>20.870999999999899</v>
      </c>
      <c r="AD2783">
        <v>-1.0312673799999901</v>
      </c>
      <c r="AE2783">
        <v>-21.828199999999999</v>
      </c>
      <c r="AF2783">
        <v>-10.760117553754201</v>
      </c>
      <c r="AG2783">
        <v>-1.0312673799999901</v>
      </c>
      <c r="AH2783">
        <v>28.1809424289182</v>
      </c>
      <c r="AI2783">
        <v>91.958019790985901</v>
      </c>
      <c r="AJ2783">
        <v>110.89798083455</v>
      </c>
      <c r="AK2783">
        <v>30.182928260221299</v>
      </c>
      <c r="AL2783">
        <v>91.383198321671102</v>
      </c>
      <c r="AM2783">
        <v>90.841851468117</v>
      </c>
      <c r="AN2783">
        <v>0.99999999850132104</v>
      </c>
    </row>
    <row r="2784" spans="1:40" x14ac:dyDescent="0.25">
      <c r="A2784" t="str">
        <f>"20190312161013717"</f>
        <v>20190312161013717</v>
      </c>
      <c r="B2784" t="str">
        <f>"1552378213708935"</f>
        <v>1552378213708935</v>
      </c>
      <c r="C2784" t="s">
        <v>40</v>
      </c>
      <c r="D2784">
        <v>4.9924429999999997</v>
      </c>
      <c r="E2784">
        <v>0.36186360000000001</v>
      </c>
      <c r="F2784" t="s">
        <v>61</v>
      </c>
      <c r="G2784">
        <v>-468.6549</v>
      </c>
      <c r="H2784">
        <v>8.0000710000000003E-2</v>
      </c>
      <c r="I2784">
        <v>207.21260000000001</v>
      </c>
      <c r="J2784">
        <v>-489.73939999999999</v>
      </c>
      <c r="K2784">
        <v>1.1112930000000001</v>
      </c>
      <c r="L2784">
        <v>229.04130000000001</v>
      </c>
      <c r="M2784">
        <v>0.39104729999999999</v>
      </c>
      <c r="N2784">
        <v>0</v>
      </c>
      <c r="O2784">
        <v>-0.92033719999999997</v>
      </c>
      <c r="P2784">
        <v>0.40524529999999997</v>
      </c>
      <c r="Q2784">
        <v>-3.1518850000000001E-2</v>
      </c>
      <c r="R2784">
        <v>-0.9136647</v>
      </c>
      <c r="S2784">
        <v>2.2160950000000001</v>
      </c>
      <c r="T2784">
        <v>-0.10806540000000001</v>
      </c>
      <c r="U2784">
        <v>-2.302155</v>
      </c>
      <c r="V2784">
        <v>-1.557737E-2</v>
      </c>
      <c r="W2784">
        <v>-2.3729750000000001E-2</v>
      </c>
      <c r="X2784">
        <v>0.99959699999999996</v>
      </c>
      <c r="Y2784">
        <v>-0.35613230000000001</v>
      </c>
      <c r="Z2784">
        <v>3.3543150000000001E-2</v>
      </c>
      <c r="AA2784">
        <v>0.93383329999999998</v>
      </c>
      <c r="AB2784">
        <v>17</v>
      </c>
      <c r="AC2784">
        <v>21.084499999999899</v>
      </c>
      <c r="AD2784">
        <v>-1.0312922899999999</v>
      </c>
      <c r="AE2784">
        <v>-21.828700000000001</v>
      </c>
      <c r="AF2784">
        <v>-10.856592987523999</v>
      </c>
      <c r="AG2784">
        <v>-1.0312922899999999</v>
      </c>
      <c r="AH2784">
        <v>28.302989661816198</v>
      </c>
      <c r="AI2784">
        <v>91.948484439894003</v>
      </c>
      <c r="AJ2784">
        <v>110.986047994111</v>
      </c>
      <c r="AK2784">
        <v>30.331310536820599</v>
      </c>
      <c r="AL2784">
        <v>91.359742212130001</v>
      </c>
      <c r="AM2784">
        <v>90.892805118560105</v>
      </c>
      <c r="AN2784">
        <v>0.99999995895008797</v>
      </c>
    </row>
    <row r="2785" spans="1:40" x14ac:dyDescent="0.25">
      <c r="A2785" t="str">
        <f>"20190312161013741"</f>
        <v>20190312161013741</v>
      </c>
      <c r="B2785" t="str">
        <f>"1552378213738216"</f>
        <v>1552378213738216</v>
      </c>
      <c r="C2785" t="s">
        <v>40</v>
      </c>
      <c r="D2785">
        <v>5.0130280000000003</v>
      </c>
      <c r="E2785">
        <v>0.36225760000000001</v>
      </c>
      <c r="F2785" t="s">
        <v>61</v>
      </c>
      <c r="G2785">
        <v>-468.44729999999998</v>
      </c>
      <c r="H2785">
        <v>8.0000769999999999E-2</v>
      </c>
      <c r="I2785">
        <v>207.09989999999999</v>
      </c>
      <c r="J2785">
        <v>-489.66789999999997</v>
      </c>
      <c r="K2785">
        <v>1.111318</v>
      </c>
      <c r="L2785">
        <v>228.88470000000001</v>
      </c>
      <c r="M2785">
        <v>0.39469710000000002</v>
      </c>
      <c r="N2785">
        <v>0</v>
      </c>
      <c r="O2785">
        <v>-0.91877770000000003</v>
      </c>
      <c r="P2785">
        <v>0.40970129999999999</v>
      </c>
      <c r="Q2785">
        <v>-3.1290220000000001E-2</v>
      </c>
      <c r="R2785">
        <v>-0.91168340000000003</v>
      </c>
      <c r="S2785">
        <v>2.2250369999999999</v>
      </c>
      <c r="T2785">
        <v>-0.1077703</v>
      </c>
      <c r="U2785">
        <v>-2.2928769999999998</v>
      </c>
      <c r="V2785">
        <v>-1.6485940000000001E-2</v>
      </c>
      <c r="W2785">
        <v>-2.3499320000000001E-2</v>
      </c>
      <c r="X2785">
        <v>0.99958789999999997</v>
      </c>
      <c r="Y2785">
        <v>-0.3561896</v>
      </c>
      <c r="Z2785">
        <v>3.3426959999999999E-2</v>
      </c>
      <c r="AA2785">
        <v>0.93381559999999997</v>
      </c>
      <c r="AB2785">
        <v>17</v>
      </c>
      <c r="AC2785">
        <v>21.220599999999902</v>
      </c>
      <c r="AD2785">
        <v>-1.03131723</v>
      </c>
      <c r="AE2785">
        <v>-21.784800000000001</v>
      </c>
      <c r="AF2785">
        <v>-10.886433834406899</v>
      </c>
      <c r="AG2785">
        <v>-1.03131723</v>
      </c>
      <c r="AH2785">
        <v>28.359361190469201</v>
      </c>
      <c r="AI2785">
        <v>91.944472969368604</v>
      </c>
      <c r="AJ2785">
        <v>111.00051948727</v>
      </c>
      <c r="AK2785">
        <v>30.394595308891802</v>
      </c>
      <c r="AL2785">
        <v>91.346535824501899</v>
      </c>
      <c r="AM2785">
        <v>90.944878537016294</v>
      </c>
      <c r="AN2785">
        <v>0.99999998704227699</v>
      </c>
    </row>
    <row r="2786" spans="1:40" x14ac:dyDescent="0.25">
      <c r="A2786" t="str">
        <f>"20190312161013762"</f>
        <v>20190312161013762</v>
      </c>
      <c r="B2786" t="str">
        <f>"1552378213758712"</f>
        <v>1552378213758712</v>
      </c>
      <c r="C2786" t="s">
        <v>40</v>
      </c>
      <c r="D2786">
        <v>5.0485110000000004</v>
      </c>
      <c r="E2786">
        <v>0.3625872</v>
      </c>
      <c r="F2786" t="s">
        <v>61</v>
      </c>
      <c r="G2786">
        <v>-468.75580000000002</v>
      </c>
      <c r="H2786">
        <v>8.0000680000000005E-2</v>
      </c>
      <c r="I2786">
        <v>207.50729999999999</v>
      </c>
      <c r="J2786">
        <v>-489.60169999999999</v>
      </c>
      <c r="K2786">
        <v>1.1113459999999999</v>
      </c>
      <c r="L2786">
        <v>228.7413</v>
      </c>
      <c r="M2786">
        <v>0.39806629999999998</v>
      </c>
      <c r="N2786">
        <v>0</v>
      </c>
      <c r="O2786">
        <v>-0.91732309999999995</v>
      </c>
      <c r="P2786">
        <v>0.41257290000000002</v>
      </c>
      <c r="Q2786">
        <v>-3.1523460000000003E-2</v>
      </c>
      <c r="R2786">
        <v>-0.91037920000000006</v>
      </c>
      <c r="S2786">
        <v>2.2334589999999999</v>
      </c>
      <c r="T2786">
        <v>-0.1101472</v>
      </c>
      <c r="U2786">
        <v>-2.2831570000000001</v>
      </c>
      <c r="V2786">
        <v>-1.5969170000000001E-2</v>
      </c>
      <c r="W2786">
        <v>-2.3724530000000001E-2</v>
      </c>
      <c r="X2786">
        <v>0.99959100000000001</v>
      </c>
      <c r="Y2786">
        <v>-0.35648849999999999</v>
      </c>
      <c r="Z2786">
        <v>3.4148579999999998E-2</v>
      </c>
      <c r="AA2786">
        <v>0.93367540000000004</v>
      </c>
      <c r="AB2786">
        <v>17</v>
      </c>
      <c r="AC2786">
        <v>20.845899999999901</v>
      </c>
      <c r="AD2786">
        <v>-1.03134532</v>
      </c>
      <c r="AE2786">
        <v>-21.234000000000002</v>
      </c>
      <c r="AF2786">
        <v>-10.657411422707</v>
      </c>
      <c r="AG2786">
        <v>-1.03134532</v>
      </c>
      <c r="AH2786">
        <v>27.744014948872501</v>
      </c>
      <c r="AI2786">
        <v>91.987447819464506</v>
      </c>
      <c r="AJ2786">
        <v>111.013465711181</v>
      </c>
      <c r="AK2786">
        <v>29.7384340018972</v>
      </c>
      <c r="AL2786">
        <v>91.359442964317495</v>
      </c>
      <c r="AM2786">
        <v>90.915262557467798</v>
      </c>
      <c r="AN2786">
        <v>1.0000000174976</v>
      </c>
    </row>
    <row r="2787" spans="1:40" x14ac:dyDescent="0.25">
      <c r="A2787" t="str">
        <f>"20190312161013786"</f>
        <v>20190312161013786</v>
      </c>
      <c r="B2787" t="str">
        <f>"1552378213778231"</f>
        <v>1552378213778231</v>
      </c>
      <c r="C2787" t="s">
        <v>40</v>
      </c>
      <c r="D2787">
        <v>5.0164080000000002</v>
      </c>
      <c r="E2787">
        <v>0.36293880000000001</v>
      </c>
      <c r="F2787" t="s">
        <v>61</v>
      </c>
      <c r="G2787">
        <v>-468.92090000000002</v>
      </c>
      <c r="H2787">
        <v>8.0000619999999995E-2</v>
      </c>
      <c r="I2787">
        <v>207.70169999999999</v>
      </c>
      <c r="J2787">
        <v>-489.5299</v>
      </c>
      <c r="K2787">
        <v>1.1113820000000001</v>
      </c>
      <c r="L2787">
        <v>228.58760000000001</v>
      </c>
      <c r="M2787">
        <v>0.40171010000000001</v>
      </c>
      <c r="N2787">
        <v>0</v>
      </c>
      <c r="O2787">
        <v>-0.91573300000000002</v>
      </c>
      <c r="P2787">
        <v>0.41561130000000002</v>
      </c>
      <c r="Q2787">
        <v>-3.1793250000000002E-2</v>
      </c>
      <c r="R2787">
        <v>-0.90898650000000003</v>
      </c>
      <c r="S2787">
        <v>2.2382810000000002</v>
      </c>
      <c r="T2787">
        <v>-0.1116226</v>
      </c>
      <c r="U2787">
        <v>-2.2771149999999998</v>
      </c>
      <c r="V2787">
        <v>-1.5334189999999999E-2</v>
      </c>
      <c r="W2787">
        <v>-2.398461E-2</v>
      </c>
      <c r="X2787">
        <v>0.99959469999999995</v>
      </c>
      <c r="Y2787">
        <v>-0.35500599999999999</v>
      </c>
      <c r="Z2787">
        <v>3.457209E-2</v>
      </c>
      <c r="AA2787">
        <v>0.93422450000000001</v>
      </c>
      <c r="AB2787">
        <v>17</v>
      </c>
      <c r="AC2787">
        <v>20.608999999999899</v>
      </c>
      <c r="AD2787">
        <v>-1.03138137999999</v>
      </c>
      <c r="AE2787">
        <v>-20.885899999999999</v>
      </c>
      <c r="AF2787">
        <v>-10.4696539776584</v>
      </c>
      <c r="AG2787">
        <v>-1.03138137999999</v>
      </c>
      <c r="AH2787">
        <v>27.3717826738682</v>
      </c>
      <c r="AI2787">
        <v>92.015624254699205</v>
      </c>
      <c r="AJ2787">
        <v>110.931755950355</v>
      </c>
      <c r="AK2787">
        <v>29.323913257073698</v>
      </c>
      <c r="AL2787">
        <v>91.374348741386697</v>
      </c>
      <c r="AM2787">
        <v>90.878871667137304</v>
      </c>
      <c r="AN2787">
        <v>0.99999998158394798</v>
      </c>
    </row>
    <row r="2788" spans="1:40" x14ac:dyDescent="0.25">
      <c r="A2788" t="str">
        <f>"20190312161013806"</f>
        <v>20190312161013806</v>
      </c>
      <c r="B2788" t="str">
        <f>"1552378213798729"</f>
        <v>1552378213798729</v>
      </c>
      <c r="C2788" t="s">
        <v>40</v>
      </c>
      <c r="D2788">
        <v>5.0550110000000004</v>
      </c>
      <c r="E2788">
        <v>0.36327700000000002</v>
      </c>
      <c r="F2788" t="s">
        <v>61</v>
      </c>
      <c r="G2788">
        <v>-469.07409999999999</v>
      </c>
      <c r="H2788">
        <v>8.0000559999999998E-2</v>
      </c>
      <c r="I2788">
        <v>207.8827</v>
      </c>
      <c r="J2788">
        <v>-489.45929999999998</v>
      </c>
      <c r="K2788">
        <v>1.111416</v>
      </c>
      <c r="L2788">
        <v>228.43799999999999</v>
      </c>
      <c r="M2788">
        <v>0.40529199999999999</v>
      </c>
      <c r="N2788">
        <v>0</v>
      </c>
      <c r="O2788">
        <v>-0.91415349999999995</v>
      </c>
      <c r="P2788">
        <v>0.4185604</v>
      </c>
      <c r="Q2788">
        <v>-3.1730399999999999E-2</v>
      </c>
      <c r="R2788">
        <v>-0.90763490000000002</v>
      </c>
      <c r="S2788">
        <v>2.2433779999999999</v>
      </c>
      <c r="T2788">
        <v>-0.113111</v>
      </c>
      <c r="U2788">
        <v>-2.2706909999999998</v>
      </c>
      <c r="V2788">
        <v>-1.466405E-2</v>
      </c>
      <c r="W2788">
        <v>-2.3911410000000001E-2</v>
      </c>
      <c r="X2788">
        <v>0.99960649999999995</v>
      </c>
      <c r="Y2788">
        <v>-0.35371629999999998</v>
      </c>
      <c r="Z2788">
        <v>3.5000669999999998E-2</v>
      </c>
      <c r="AA2788">
        <v>0.93469760000000002</v>
      </c>
      <c r="AB2788">
        <v>17</v>
      </c>
      <c r="AC2788">
        <v>20.385200000000001</v>
      </c>
      <c r="AD2788">
        <v>-1.03141544</v>
      </c>
      <c r="AE2788">
        <v>-20.5552999999999</v>
      </c>
      <c r="AF2788">
        <v>-10.2915579084013</v>
      </c>
      <c r="AG2788">
        <v>-1.03141544</v>
      </c>
      <c r="AH2788">
        <v>27.019196538269199</v>
      </c>
      <c r="AI2788">
        <v>92.043060226429901</v>
      </c>
      <c r="AJ2788">
        <v>110.851737037744</v>
      </c>
      <c r="AK2788">
        <v>28.931245454792698</v>
      </c>
      <c r="AL2788">
        <v>91.370153499703207</v>
      </c>
      <c r="AM2788">
        <v>90.840458633288904</v>
      </c>
      <c r="AN2788">
        <v>0.99999997236641902</v>
      </c>
    </row>
    <row r="2789" spans="1:40" x14ac:dyDescent="0.25">
      <c r="A2789" t="str">
        <f>"20190312161013830"</f>
        <v>20190312161013830</v>
      </c>
      <c r="B2789" t="str">
        <f>"1552378213819223"</f>
        <v>1552378213819223</v>
      </c>
      <c r="C2789" t="s">
        <v>40</v>
      </c>
      <c r="D2789">
        <v>5.0523699999999998</v>
      </c>
      <c r="E2789">
        <v>0.36360959999999998</v>
      </c>
      <c r="F2789" t="s">
        <v>61</v>
      </c>
      <c r="G2789">
        <v>-469.07799999999997</v>
      </c>
      <c r="H2789">
        <v>8.0000559999999998E-2</v>
      </c>
      <c r="I2789">
        <v>207.90960000000001</v>
      </c>
      <c r="J2789">
        <v>-489.38510000000002</v>
      </c>
      <c r="K2789">
        <v>1.1114459999999999</v>
      </c>
      <c r="L2789">
        <v>228.28270000000001</v>
      </c>
      <c r="M2789">
        <v>0.40904649999999998</v>
      </c>
      <c r="N2789">
        <v>0</v>
      </c>
      <c r="O2789">
        <v>-0.9124795</v>
      </c>
      <c r="P2789">
        <v>0.42190319999999998</v>
      </c>
      <c r="Q2789">
        <v>-3.174664E-2</v>
      </c>
      <c r="R2789">
        <v>-0.90608509999999998</v>
      </c>
      <c r="S2789">
        <v>2.2483219999999999</v>
      </c>
      <c r="T2789">
        <v>-0.1137787</v>
      </c>
      <c r="U2789">
        <v>-2.2645569999999999</v>
      </c>
      <c r="V2789">
        <v>-1.4237919999999999E-2</v>
      </c>
      <c r="W2789">
        <v>-2.3917580000000001E-2</v>
      </c>
      <c r="X2789">
        <v>0.99961259999999996</v>
      </c>
      <c r="Y2789">
        <v>-0.3521589</v>
      </c>
      <c r="Z2789">
        <v>3.516905E-2</v>
      </c>
      <c r="AA2789">
        <v>0.93527930000000004</v>
      </c>
      <c r="AB2789">
        <v>17</v>
      </c>
      <c r="AC2789">
        <v>20.307099999999899</v>
      </c>
      <c r="AD2789">
        <v>-1.0314454399999999</v>
      </c>
      <c r="AE2789">
        <v>-20.373099999999901</v>
      </c>
      <c r="AF2789">
        <v>-10.1834905477824</v>
      </c>
      <c r="AG2789">
        <v>-1.0314454399999999</v>
      </c>
      <c r="AH2789">
        <v>26.8628809234161</v>
      </c>
      <c r="AI2789">
        <v>92.056230362091696</v>
      </c>
      <c r="AJ2789">
        <v>110.761293488471</v>
      </c>
      <c r="AK2789">
        <v>28.746856018321399</v>
      </c>
      <c r="AL2789">
        <v>91.370506996310894</v>
      </c>
      <c r="AM2789">
        <v>90.816033696440201</v>
      </c>
      <c r="AN2789">
        <v>1.0000000595388601</v>
      </c>
    </row>
    <row r="2790" spans="1:40" x14ac:dyDescent="0.25">
      <c r="A2790" t="str">
        <f>"20190312161013853"</f>
        <v>20190312161013853</v>
      </c>
      <c r="B2790" t="str">
        <f>"1552378213848505"</f>
        <v>1552378213848505</v>
      </c>
      <c r="C2790" t="s">
        <v>40</v>
      </c>
      <c r="D2790">
        <v>5.0653699999999997</v>
      </c>
      <c r="E2790">
        <v>0.36408269999999998</v>
      </c>
      <c r="F2790" t="s">
        <v>61</v>
      </c>
      <c r="G2790">
        <v>-469.15410000000003</v>
      </c>
      <c r="H2790">
        <v>8.000053E-2</v>
      </c>
      <c r="I2790">
        <v>208.0222</v>
      </c>
      <c r="J2790">
        <v>-489.30829999999997</v>
      </c>
      <c r="K2790">
        <v>1.1114759999999999</v>
      </c>
      <c r="L2790">
        <v>228.12350000000001</v>
      </c>
      <c r="M2790">
        <v>0.4129293</v>
      </c>
      <c r="N2790">
        <v>0</v>
      </c>
      <c r="O2790">
        <v>-0.91072889999999995</v>
      </c>
      <c r="P2790">
        <v>0.4256103</v>
      </c>
      <c r="Q2790">
        <v>-3.19575E-2</v>
      </c>
      <c r="R2790">
        <v>-0.9043426</v>
      </c>
      <c r="S2790">
        <v>2.254089</v>
      </c>
      <c r="T2790">
        <v>-0.1149213</v>
      </c>
      <c r="U2790">
        <v>-2.2573699999999999</v>
      </c>
      <c r="V2790">
        <v>-1.407388E-2</v>
      </c>
      <c r="W2790">
        <v>-2.411889E-2</v>
      </c>
      <c r="X2790">
        <v>0.99961</v>
      </c>
      <c r="Y2790">
        <v>-0.3508481</v>
      </c>
      <c r="Z2790">
        <v>3.5484910000000001E-2</v>
      </c>
      <c r="AA2790">
        <v>0.93575980000000003</v>
      </c>
      <c r="AB2790">
        <v>17</v>
      </c>
      <c r="AC2790">
        <v>20.1541999999999</v>
      </c>
      <c r="AD2790">
        <v>-1.0314754699999999</v>
      </c>
      <c r="AE2790">
        <v>-20.101299999999998</v>
      </c>
      <c r="AF2790">
        <v>-10.0417239407933</v>
      </c>
      <c r="AG2790">
        <v>-1.0314754699999999</v>
      </c>
      <c r="AH2790">
        <v>26.595001789516299</v>
      </c>
      <c r="AI2790">
        <v>92.078022997801597</v>
      </c>
      <c r="AJ2790">
        <v>110.685501765247</v>
      </c>
      <c r="AK2790">
        <v>28.446340389102598</v>
      </c>
      <c r="AL2790">
        <v>91.382044656256099</v>
      </c>
      <c r="AM2790">
        <v>90.806635237304405</v>
      </c>
      <c r="AN2790">
        <v>0.99999997352654202</v>
      </c>
    </row>
    <row r="2791" spans="1:40" x14ac:dyDescent="0.25">
      <c r="A2791" t="str">
        <f>"20190312161013876"</f>
        <v>20190312161013876</v>
      </c>
      <c r="B2791" t="str">
        <f>"1552378213868999"</f>
        <v>1552378213868999</v>
      </c>
      <c r="C2791" t="s">
        <v>40</v>
      </c>
      <c r="D2791">
        <v>5.0914960000000002</v>
      </c>
      <c r="E2791">
        <v>0.36434430000000001</v>
      </c>
      <c r="F2791" t="s">
        <v>61</v>
      </c>
      <c r="G2791">
        <v>-469.3331</v>
      </c>
      <c r="H2791">
        <v>8.0000470000000004E-2</v>
      </c>
      <c r="I2791">
        <v>208.2424</v>
      </c>
      <c r="J2791">
        <v>-489.23219999999998</v>
      </c>
      <c r="K2791">
        <v>1.1115079999999999</v>
      </c>
      <c r="L2791">
        <v>227.96770000000001</v>
      </c>
      <c r="M2791">
        <v>0.41676669999999999</v>
      </c>
      <c r="N2791">
        <v>0</v>
      </c>
      <c r="O2791">
        <v>-0.90897919999999999</v>
      </c>
      <c r="P2791">
        <v>0.42965930000000002</v>
      </c>
      <c r="Q2791">
        <v>-3.2109989999999998E-2</v>
      </c>
      <c r="R2791">
        <v>-0.90242029999999995</v>
      </c>
      <c r="S2791">
        <v>2.2601619999999998</v>
      </c>
      <c r="T2791">
        <v>-0.1167097</v>
      </c>
      <c r="U2791">
        <v>-2.2495120000000002</v>
      </c>
      <c r="V2791">
        <v>-1.4337900000000001E-2</v>
      </c>
      <c r="W2791">
        <v>-2.4263799999999999E-2</v>
      </c>
      <c r="X2791">
        <v>0.99960280000000001</v>
      </c>
      <c r="Y2791">
        <v>-0.34977459999999999</v>
      </c>
      <c r="Z2791">
        <v>3.6003090000000001E-2</v>
      </c>
      <c r="AA2791">
        <v>0.93614180000000002</v>
      </c>
      <c r="AB2791">
        <v>17</v>
      </c>
      <c r="AC2791">
        <v>19.899099999999901</v>
      </c>
      <c r="AD2791">
        <v>-1.0315075299999901</v>
      </c>
      <c r="AE2791">
        <v>-19.725300000000001</v>
      </c>
      <c r="AF2791">
        <v>-9.8539720789830003</v>
      </c>
      <c r="AG2791">
        <v>-1.0315075299999901</v>
      </c>
      <c r="AH2791">
        <v>26.188493236500499</v>
      </c>
      <c r="AI2791">
        <v>92.111226098460804</v>
      </c>
      <c r="AJ2791">
        <v>110.619866243708</v>
      </c>
      <c r="AK2791">
        <v>28.000034848479299</v>
      </c>
      <c r="AL2791">
        <v>91.390349736323003</v>
      </c>
      <c r="AM2791">
        <v>90.821771233351996</v>
      </c>
      <c r="AN2791">
        <v>1.0000000325673399</v>
      </c>
    </row>
    <row r="2792" spans="1:40" x14ac:dyDescent="0.25">
      <c r="A2792" t="str">
        <f>"20190312161013898"</f>
        <v>20190312161013898</v>
      </c>
      <c r="B2792" t="str">
        <f>"1552378213889028"</f>
        <v>1552378213889028</v>
      </c>
      <c r="C2792" t="s">
        <v>40</v>
      </c>
      <c r="D2792">
        <v>5.1021559999999999</v>
      </c>
      <c r="E2792">
        <v>0.36468030000000001</v>
      </c>
      <c r="F2792" t="s">
        <v>61</v>
      </c>
      <c r="G2792">
        <v>-469.40100000000001</v>
      </c>
      <c r="H2792">
        <v>8.0000450000000001E-2</v>
      </c>
      <c r="I2792">
        <v>208.37909999999999</v>
      </c>
      <c r="J2792">
        <v>-489.15710000000001</v>
      </c>
      <c r="K2792">
        <v>1.1115379999999999</v>
      </c>
      <c r="L2792">
        <v>227.81540000000001</v>
      </c>
      <c r="M2792">
        <v>0.4205605</v>
      </c>
      <c r="N2792">
        <v>0</v>
      </c>
      <c r="O2792">
        <v>-0.90722999999999998</v>
      </c>
      <c r="P2792">
        <v>0.43392330000000001</v>
      </c>
      <c r="Q2792">
        <v>-3.1857749999999997E-2</v>
      </c>
      <c r="R2792">
        <v>-0.90038660000000004</v>
      </c>
      <c r="S2792">
        <v>2.2680660000000001</v>
      </c>
      <c r="T2792">
        <v>-0.1179719</v>
      </c>
      <c r="U2792">
        <v>-2.240326</v>
      </c>
      <c r="V2792">
        <v>-1.4886129999999999E-2</v>
      </c>
      <c r="W2792">
        <v>-2.4005149999999999E-2</v>
      </c>
      <c r="X2792">
        <v>0.99960099999999996</v>
      </c>
      <c r="Y2792">
        <v>-0.34939979999999998</v>
      </c>
      <c r="Z2792">
        <v>3.6359229999999999E-2</v>
      </c>
      <c r="AA2792">
        <v>0.93626799999999999</v>
      </c>
      <c r="AB2792">
        <v>17</v>
      </c>
      <c r="AC2792">
        <v>19.7561</v>
      </c>
      <c r="AD2792">
        <v>-1.0315375499999999</v>
      </c>
      <c r="AE2792">
        <v>-19.436299999999999</v>
      </c>
      <c r="AF2792">
        <v>-9.7360036671065995</v>
      </c>
      <c r="AG2792">
        <v>-1.0315375499999999</v>
      </c>
      <c r="AH2792">
        <v>25.9067510952828</v>
      </c>
      <c r="AI2792">
        <v>92.134551371925198</v>
      </c>
      <c r="AJ2792">
        <v>110.596698082239</v>
      </c>
      <c r="AK2792">
        <v>27.695010190211299</v>
      </c>
      <c r="AL2792">
        <v>91.375525908053206</v>
      </c>
      <c r="AM2792">
        <v>90.853189802191096</v>
      </c>
      <c r="AN2792">
        <v>1.0000000016469399</v>
      </c>
    </row>
    <row r="2793" spans="1:40" x14ac:dyDescent="0.25">
      <c r="A2793" t="str">
        <f>"20190312161014388"</f>
        <v>20190312161014388</v>
      </c>
      <c r="B2793" t="str">
        <f>"1552378214378330"</f>
        <v>1552378214378330</v>
      </c>
      <c r="C2793" t="s">
        <v>40</v>
      </c>
      <c r="D2793">
        <v>5.2665189999999997</v>
      </c>
      <c r="E2793">
        <v>0.36505789999999999</v>
      </c>
      <c r="F2793" t="s">
        <v>61</v>
      </c>
      <c r="G2793">
        <v>-469.37799999999999</v>
      </c>
      <c r="H2793">
        <v>8.0000440000000006E-2</v>
      </c>
      <c r="I2793">
        <v>208.43459999999999</v>
      </c>
      <c r="J2793">
        <v>-487.22399999999999</v>
      </c>
      <c r="K2793">
        <v>1.1125769999999999</v>
      </c>
      <c r="L2793">
        <v>224.4119</v>
      </c>
      <c r="M2793">
        <v>0.51704369999999999</v>
      </c>
      <c r="N2793">
        <v>0</v>
      </c>
      <c r="O2793">
        <v>-0.85591949999999895</v>
      </c>
      <c r="P2793">
        <v>0.53261729999999996</v>
      </c>
      <c r="Q2793">
        <v>-3.2798529999999999E-2</v>
      </c>
      <c r="R2793">
        <v>-0.84572069999999999</v>
      </c>
      <c r="S2793">
        <v>2.2764280000000001</v>
      </c>
      <c r="T2793">
        <v>-0.11872240000000001</v>
      </c>
      <c r="U2793">
        <v>-2.230591</v>
      </c>
      <c r="V2793">
        <v>-1.8423390000000001E-2</v>
      </c>
      <c r="W2793">
        <v>-2.4699209999999999E-2</v>
      </c>
      <c r="X2793">
        <v>0.99952510000000006</v>
      </c>
      <c r="Y2793">
        <v>-0.2490059</v>
      </c>
      <c r="Z2793">
        <v>3.4301459999999999E-2</v>
      </c>
      <c r="AA2793">
        <v>0.96789429999999999</v>
      </c>
      <c r="AB2793">
        <v>19</v>
      </c>
      <c r="AC2793">
        <v>17.845999999999901</v>
      </c>
      <c r="AD2793">
        <v>-1.0325765600000001</v>
      </c>
      <c r="AE2793">
        <v>-15.9773</v>
      </c>
      <c r="AF2793">
        <v>-7.0010041842646196</v>
      </c>
      <c r="AG2793">
        <v>-1.0325765600000001</v>
      </c>
      <c r="AH2793">
        <v>22.860736479483101</v>
      </c>
      <c r="AI2793">
        <v>92.472968590167497</v>
      </c>
      <c r="AJ2793">
        <v>107.02698653063</v>
      </c>
      <c r="AK2793">
        <v>23.931016408099399</v>
      </c>
      <c r="AL2793">
        <v>91.415304488828696</v>
      </c>
      <c r="AM2793">
        <v>91.055964450628693</v>
      </c>
      <c r="AN2793">
        <v>0.99999994890186095</v>
      </c>
    </row>
    <row r="2794" spans="1:40" x14ac:dyDescent="0.25">
      <c r="A2794" t="str">
        <f>"20190312161014409"</f>
        <v>20190312161014409</v>
      </c>
      <c r="B2794" t="str">
        <f>"1552378214398829"</f>
        <v>1552378214398829</v>
      </c>
      <c r="C2794" t="s">
        <v>40</v>
      </c>
      <c r="D2794">
        <v>5.2709580000000003</v>
      </c>
      <c r="E2794">
        <v>0.36631059999999999</v>
      </c>
      <c r="F2794" t="s">
        <v>61</v>
      </c>
      <c r="G2794">
        <v>-465.46089999999998</v>
      </c>
      <c r="H2794">
        <v>8.0001639999999999E-2</v>
      </c>
      <c r="I2794">
        <v>207.4102</v>
      </c>
      <c r="J2794">
        <v>-487.1241</v>
      </c>
      <c r="K2794">
        <v>1.1126339999999999</v>
      </c>
      <c r="L2794">
        <v>224.25970000000001</v>
      </c>
      <c r="M2794">
        <v>0.52197870000000002</v>
      </c>
      <c r="N2794">
        <v>0</v>
      </c>
      <c r="O2794">
        <v>-0.85291859999999997</v>
      </c>
      <c r="P2794">
        <v>0.53768590000000005</v>
      </c>
      <c r="Q2794">
        <v>-3.2776680000000002E-2</v>
      </c>
      <c r="R2794">
        <v>-0.84250829999999999</v>
      </c>
      <c r="S2794">
        <v>2.510742</v>
      </c>
      <c r="T2794">
        <v>-0.1191251</v>
      </c>
      <c r="U2794">
        <v>-1.961441</v>
      </c>
      <c r="V2794">
        <v>-1.8648850000000002E-2</v>
      </c>
      <c r="W2794">
        <v>-2.4664180000000001E-2</v>
      </c>
      <c r="X2794">
        <v>0.99952189999999996</v>
      </c>
      <c r="Y2794">
        <v>-0.35023110000000002</v>
      </c>
      <c r="Z2794">
        <v>3.5400710000000002E-2</v>
      </c>
      <c r="AA2794">
        <v>0.93599410000000005</v>
      </c>
      <c r="AB2794">
        <v>19</v>
      </c>
      <c r="AC2794">
        <v>21.6632</v>
      </c>
      <c r="AD2794">
        <v>-1.03263236</v>
      </c>
      <c r="AE2794">
        <v>-16.849499999999999</v>
      </c>
      <c r="AF2794">
        <v>-9.6685077659603191</v>
      </c>
      <c r="AG2794">
        <v>-1.03263236</v>
      </c>
      <c r="AH2794">
        <v>25.643550909856099</v>
      </c>
      <c r="AI2794">
        <v>92.157854948609497</v>
      </c>
      <c r="AJ2794">
        <v>110.658182183286</v>
      </c>
      <c r="AK2794">
        <v>27.425135829704399</v>
      </c>
      <c r="AL2794">
        <v>91.413296641863397</v>
      </c>
      <c r="AM2794">
        <v>91.068887472686995</v>
      </c>
      <c r="AN2794">
        <v>1.0000000649805001</v>
      </c>
    </row>
    <row r="2795" spans="1:40" x14ac:dyDescent="0.25">
      <c r="A2795" t="str">
        <f>"20190312161014432"</f>
        <v>20190312161014432</v>
      </c>
      <c r="B2795" t="str">
        <f>"1552378214429081"</f>
        <v>1552378214429081</v>
      </c>
      <c r="C2795" t="s">
        <v>40</v>
      </c>
      <c r="D2795">
        <v>5.4835140000000004</v>
      </c>
      <c r="E2795">
        <v>0.36796909999999999</v>
      </c>
      <c r="F2795" t="s">
        <v>61</v>
      </c>
      <c r="G2795">
        <v>-466.72280000000001</v>
      </c>
      <c r="H2795">
        <v>8.0001219999999998E-2</v>
      </c>
      <c r="I2795">
        <v>208.42609999999999</v>
      </c>
      <c r="J2795">
        <v>-487.01929999999999</v>
      </c>
      <c r="K2795">
        <v>1.1126910000000001</v>
      </c>
      <c r="L2795">
        <v>224.1018</v>
      </c>
      <c r="M2795">
        <v>0.52716589999999997</v>
      </c>
      <c r="N2795">
        <v>0</v>
      </c>
      <c r="O2795">
        <v>-0.84972219999999998</v>
      </c>
      <c r="P2795">
        <v>0.54297779999999995</v>
      </c>
      <c r="Q2795">
        <v>-3.2339729999999997E-2</v>
      </c>
      <c r="R2795">
        <v>-0.83912439999999999</v>
      </c>
      <c r="S2795">
        <v>2.5142519999999999</v>
      </c>
      <c r="T2795">
        <v>-0.12726119999999999</v>
      </c>
      <c r="U2795">
        <v>-1.9513240000000001</v>
      </c>
      <c r="V2795">
        <v>-1.884017E-2</v>
      </c>
      <c r="W2795">
        <v>-2.4213189999999999E-2</v>
      </c>
      <c r="X2795">
        <v>0.99952929999999995</v>
      </c>
      <c r="Y2795">
        <v>-0.34742400000000001</v>
      </c>
      <c r="Z2795">
        <v>3.7733669999999997E-2</v>
      </c>
      <c r="AA2795">
        <v>0.93694869999999997</v>
      </c>
      <c r="AB2795">
        <v>19</v>
      </c>
      <c r="AC2795">
        <v>20.296499999999899</v>
      </c>
      <c r="AD2795">
        <v>-1.0326897799999999</v>
      </c>
      <c r="AE2795">
        <v>-15.675700000000001</v>
      </c>
      <c r="AF2795">
        <v>-8.9684561683824509</v>
      </c>
      <c r="AG2795">
        <v>-1.0326897799999999</v>
      </c>
      <c r="AH2795">
        <v>23.981546176362301</v>
      </c>
      <c r="AI2795">
        <v>92.309696963155005</v>
      </c>
      <c r="AJ2795">
        <v>110.50445095006501</v>
      </c>
      <c r="AK2795">
        <v>25.624484604278599</v>
      </c>
      <c r="AL2795">
        <v>91.387449153855997</v>
      </c>
      <c r="AM2795">
        <v>91.079842696097103</v>
      </c>
      <c r="AN2795">
        <v>1.0000000260670401</v>
      </c>
    </row>
    <row r="2796" spans="1:40" x14ac:dyDescent="0.25">
      <c r="A2796" t="str">
        <f>"20190312161014454"</f>
        <v>20190312161014454</v>
      </c>
      <c r="B2796" t="str">
        <f>"1552378214448603"</f>
        <v>1552378214448603</v>
      </c>
      <c r="C2796" t="s">
        <v>40</v>
      </c>
      <c r="D2796">
        <v>5.5107609999999996</v>
      </c>
      <c r="E2796">
        <v>0.36940240000000002</v>
      </c>
      <c r="F2796" t="s">
        <v>61</v>
      </c>
      <c r="G2796">
        <v>-468.04750000000001</v>
      </c>
      <c r="H2796">
        <v>8.0000790000000002E-2</v>
      </c>
      <c r="I2796">
        <v>209.4589</v>
      </c>
      <c r="J2796">
        <v>-486.91590000000002</v>
      </c>
      <c r="K2796">
        <v>1.112751</v>
      </c>
      <c r="L2796">
        <v>223.94829999999999</v>
      </c>
      <c r="M2796">
        <v>0.53227720000000001</v>
      </c>
      <c r="N2796">
        <v>0</v>
      </c>
      <c r="O2796">
        <v>-0.84652939999999999</v>
      </c>
      <c r="P2796">
        <v>0.54802200000000001</v>
      </c>
      <c r="Q2796">
        <v>-3.164637E-2</v>
      </c>
      <c r="R2796">
        <v>-0.83586499999999997</v>
      </c>
      <c r="S2796">
        <v>2.51593</v>
      </c>
      <c r="T2796">
        <v>-0.13694979999999901</v>
      </c>
      <c r="U2796">
        <v>-1.941864</v>
      </c>
      <c r="V2796">
        <v>-1.882429E-2</v>
      </c>
      <c r="W2796">
        <v>-2.3502470000000001E-2</v>
      </c>
      <c r="X2796">
        <v>0.9995465</v>
      </c>
      <c r="Y2796">
        <v>-0.3441767</v>
      </c>
      <c r="Z2796">
        <v>4.0520380000000002E-2</v>
      </c>
      <c r="AA2796">
        <v>0.93803009999999998</v>
      </c>
      <c r="AB2796">
        <v>19</v>
      </c>
      <c r="AC2796">
        <v>18.868400000000001</v>
      </c>
      <c r="AD2796">
        <v>-1.0327502099999999</v>
      </c>
      <c r="AE2796">
        <v>-14.4893999999999</v>
      </c>
      <c r="AF2796">
        <v>-8.2450248054551203</v>
      </c>
      <c r="AG2796">
        <v>-1.0327502099999999</v>
      </c>
      <c r="AH2796">
        <v>22.267727000489</v>
      </c>
      <c r="AI2796">
        <v>92.490401708159197</v>
      </c>
      <c r="AJ2796">
        <v>110.317974413671</v>
      </c>
      <c r="AK2796">
        <v>23.767597118916601</v>
      </c>
      <c r="AL2796">
        <v>91.346716388687895</v>
      </c>
      <c r="AM2796">
        <v>91.078914171997795</v>
      </c>
      <c r="AN2796">
        <v>0.99999996282617598</v>
      </c>
    </row>
    <row r="2797" spans="1:40" x14ac:dyDescent="0.25">
      <c r="A2797" t="str">
        <f>"20190312161014476"</f>
        <v>20190312161014476</v>
      </c>
      <c r="B2797" t="str">
        <f>"1552378214469098"</f>
        <v>1552378214469098</v>
      </c>
      <c r="C2797" t="s">
        <v>40</v>
      </c>
      <c r="D2797">
        <v>5.6320560000000004</v>
      </c>
      <c r="E2797">
        <v>0.37077139999999997</v>
      </c>
      <c r="F2797" t="s">
        <v>61</v>
      </c>
      <c r="G2797">
        <v>-468.22489999999999</v>
      </c>
      <c r="H2797">
        <v>6.3533309999999996E-2</v>
      </c>
      <c r="I2797">
        <v>209.6028</v>
      </c>
      <c r="J2797">
        <v>-486.80770000000001</v>
      </c>
      <c r="K2797">
        <v>1.1128169999999999</v>
      </c>
      <c r="L2797">
        <v>223.7901</v>
      </c>
      <c r="M2797">
        <v>0.5376204</v>
      </c>
      <c r="N2797">
        <v>0</v>
      </c>
      <c r="O2797">
        <v>-0.84314609999999901</v>
      </c>
      <c r="P2797">
        <v>0.5531374</v>
      </c>
      <c r="Q2797">
        <v>-3.11892E-2</v>
      </c>
      <c r="R2797">
        <v>-0.83250639999999998</v>
      </c>
      <c r="S2797">
        <v>2.5181879999999999</v>
      </c>
      <c r="T2797">
        <v>-0.1413584</v>
      </c>
      <c r="U2797">
        <v>-1.932739</v>
      </c>
      <c r="V2797">
        <v>-1.862289E-2</v>
      </c>
      <c r="W2797">
        <v>-2.302059E-2</v>
      </c>
      <c r="X2797">
        <v>0.99956149999999999</v>
      </c>
      <c r="Y2797">
        <v>-0.34073189999999998</v>
      </c>
      <c r="Z2797">
        <v>4.1718970000000001E-2</v>
      </c>
      <c r="AA2797">
        <v>0.93923440000000002</v>
      </c>
      <c r="AB2797">
        <v>19</v>
      </c>
      <c r="AC2797">
        <v>18.582799999999999</v>
      </c>
      <c r="AD2797">
        <v>-1.04928369</v>
      </c>
      <c r="AE2797">
        <v>-14.187299999999899</v>
      </c>
      <c r="AF2797">
        <v>-8.0247467458919299</v>
      </c>
      <c r="AG2797">
        <v>-1.04928369</v>
      </c>
      <c r="AH2797">
        <v>21.909085319483001</v>
      </c>
      <c r="AI2797">
        <v>92.574910602495095</v>
      </c>
      <c r="AJ2797">
        <v>110.116511547618</v>
      </c>
      <c r="AK2797">
        <v>23.356060800875401</v>
      </c>
      <c r="AL2797">
        <v>91.319099207043294</v>
      </c>
      <c r="AM2797">
        <v>91.067357602119202</v>
      </c>
      <c r="AN2797">
        <v>0.99999997593907397</v>
      </c>
    </row>
    <row r="2798" spans="1:40" x14ac:dyDescent="0.25">
      <c r="A2798" t="str">
        <f>"20190312161014501"</f>
        <v>20190312161014501</v>
      </c>
      <c r="B2798" t="str">
        <f>"1552378214489594"</f>
        <v>1552378214489594</v>
      </c>
      <c r="C2798" t="s">
        <v>40</v>
      </c>
      <c r="D2798">
        <v>5.5167359999999999</v>
      </c>
      <c r="E2798">
        <v>0.3720927</v>
      </c>
      <c r="F2798" t="s">
        <v>61</v>
      </c>
      <c r="G2798">
        <v>-468.22399999999999</v>
      </c>
      <c r="H2798">
        <v>2.5625680000000001E-2</v>
      </c>
      <c r="I2798">
        <v>209.6163</v>
      </c>
      <c r="J2798">
        <v>-486.69459999999998</v>
      </c>
      <c r="K2798">
        <v>1.1128960000000001</v>
      </c>
      <c r="L2798">
        <v>223.6268</v>
      </c>
      <c r="M2798">
        <v>0.54320749999999995</v>
      </c>
      <c r="N2798">
        <v>0</v>
      </c>
      <c r="O2798">
        <v>-0.8395572</v>
      </c>
      <c r="P2798">
        <v>0.55876210000000004</v>
      </c>
      <c r="Q2798">
        <v>-3.0748339999999999E-2</v>
      </c>
      <c r="R2798">
        <v>-0.82875799999999999</v>
      </c>
      <c r="S2798">
        <v>2.5211790000000001</v>
      </c>
      <c r="T2798">
        <v>-0.14749499999999999</v>
      </c>
      <c r="U2798">
        <v>-1.9228970000000001</v>
      </c>
      <c r="V2798">
        <v>-1.8745100000000001E-2</v>
      </c>
      <c r="W2798">
        <v>-2.2552059999999999E-2</v>
      </c>
      <c r="X2798">
        <v>0.99956990000000001</v>
      </c>
      <c r="Y2798">
        <v>-0.33727030000000002</v>
      </c>
      <c r="Z2798">
        <v>4.3407510000000003E-2</v>
      </c>
      <c r="AA2798">
        <v>0.94040659999999998</v>
      </c>
      <c r="AB2798">
        <v>19</v>
      </c>
      <c r="AC2798">
        <v>18.470599999999902</v>
      </c>
      <c r="AD2798">
        <v>-1.08727031999999</v>
      </c>
      <c r="AE2798">
        <v>-14.0105</v>
      </c>
      <c r="AF2798">
        <v>-7.8794590875798303</v>
      </c>
      <c r="AG2798">
        <v>-1.08727031999999</v>
      </c>
      <c r="AH2798">
        <v>21.748902578675501</v>
      </c>
      <c r="AI2798">
        <v>92.6910571349176</v>
      </c>
      <c r="AJ2798">
        <v>109.915059799619</v>
      </c>
      <c r="AK2798">
        <v>23.157780455784501</v>
      </c>
      <c r="AL2798">
        <v>91.292247438017199</v>
      </c>
      <c r="AM2798">
        <v>91.074351317961899</v>
      </c>
      <c r="AN2798">
        <v>0.99999997958513098</v>
      </c>
    </row>
    <row r="2799" spans="1:40" x14ac:dyDescent="0.25">
      <c r="A2799" t="str">
        <f>"20190312161014526"</f>
        <v>20190312161014526</v>
      </c>
      <c r="B2799" t="str">
        <f>"1552378214518875"</f>
        <v>1552378214518875</v>
      </c>
      <c r="C2799" t="s">
        <v>40</v>
      </c>
      <c r="D2799">
        <v>5.5076000000000001</v>
      </c>
      <c r="E2799">
        <v>0.37395440000000002</v>
      </c>
      <c r="F2799" t="s">
        <v>61</v>
      </c>
      <c r="G2799">
        <v>-468.5258</v>
      </c>
      <c r="H2799" s="1">
        <v>3.2073959999999999E-6</v>
      </c>
      <c r="I2799">
        <v>209.87690000000001</v>
      </c>
      <c r="J2799">
        <v>-486.57130000000001</v>
      </c>
      <c r="K2799">
        <v>1.1129709999999999</v>
      </c>
      <c r="L2799">
        <v>223.45179999999999</v>
      </c>
      <c r="M2799">
        <v>0.54928949999999999</v>
      </c>
      <c r="N2799">
        <v>0</v>
      </c>
      <c r="O2799">
        <v>-0.8355899</v>
      </c>
      <c r="P2799">
        <v>0.56497849999999905</v>
      </c>
      <c r="Q2799">
        <v>-3.0510369999999998E-2</v>
      </c>
      <c r="R2799">
        <v>-0.82454159999999899</v>
      </c>
      <c r="S2799">
        <v>2.5255740000000002</v>
      </c>
      <c r="T2799">
        <v>-0.15469920000000001</v>
      </c>
      <c r="U2799">
        <v>-1.9113309999999999</v>
      </c>
      <c r="V2799">
        <v>-1.8995930000000001E-2</v>
      </c>
      <c r="W2799">
        <v>-2.2283620000000001E-2</v>
      </c>
      <c r="X2799">
        <v>0.99957119999999999</v>
      </c>
      <c r="Y2799">
        <v>-0.33387</v>
      </c>
      <c r="Z2799">
        <v>4.5382279999999997E-2</v>
      </c>
      <c r="AA2799">
        <v>0.94152610000000003</v>
      </c>
      <c r="AB2799">
        <v>19</v>
      </c>
      <c r="AC2799">
        <v>18.045500000000001</v>
      </c>
      <c r="AD2799">
        <v>-1.112967792604</v>
      </c>
      <c r="AE2799">
        <v>-13.5748999999999</v>
      </c>
      <c r="AF2799">
        <v>-7.6038850190824698</v>
      </c>
      <c r="AG2799">
        <v>-1.112967792604</v>
      </c>
      <c r="AH2799">
        <v>21.204492832310599</v>
      </c>
      <c r="AI2799">
        <v>92.828497358781405</v>
      </c>
      <c r="AJ2799">
        <v>109.72772323803601</v>
      </c>
      <c r="AK2799">
        <v>22.5541189357136</v>
      </c>
      <c r="AL2799">
        <v>91.276863073330404</v>
      </c>
      <c r="AM2799">
        <v>91.088722464074493</v>
      </c>
      <c r="AN2799">
        <v>0.99999999447315402</v>
      </c>
    </row>
    <row r="2800" spans="1:40" x14ac:dyDescent="0.25">
      <c r="A2800" t="str">
        <f>"20190312161014545"</f>
        <v>20190312161014545</v>
      </c>
      <c r="B2800" t="str">
        <f>"1552378214538394"</f>
        <v>1552378214538394</v>
      </c>
      <c r="C2800" t="s">
        <v>40</v>
      </c>
      <c r="D2800">
        <v>5.508197</v>
      </c>
      <c r="E2800">
        <v>0.37485600000000002</v>
      </c>
      <c r="F2800" t="s">
        <v>61</v>
      </c>
      <c r="G2800">
        <v>-469.34780000000001</v>
      </c>
      <c r="H2800" s="1">
        <v>3.617273E-6</v>
      </c>
      <c r="I2800">
        <v>210.5068</v>
      </c>
      <c r="J2800">
        <v>-486.47640000000001</v>
      </c>
      <c r="K2800">
        <v>1.113032</v>
      </c>
      <c r="L2800">
        <v>223.31899999999999</v>
      </c>
      <c r="M2800">
        <v>0.55396519999999905</v>
      </c>
      <c r="N2800">
        <v>0</v>
      </c>
      <c r="O2800">
        <v>-0.8324975</v>
      </c>
      <c r="P2800">
        <v>0.56964599999999999</v>
      </c>
      <c r="Q2800">
        <v>-3.079403E-2</v>
      </c>
      <c r="R2800">
        <v>-0.82131330000000002</v>
      </c>
      <c r="S2800">
        <v>2.5281370000000001</v>
      </c>
      <c r="T2800">
        <v>-0.16336609999999999</v>
      </c>
      <c r="U2800">
        <v>-1.9001159999999999</v>
      </c>
      <c r="V2800">
        <v>-1.9062059999999999E-2</v>
      </c>
      <c r="W2800">
        <v>-2.2543690000000002E-2</v>
      </c>
      <c r="X2800">
        <v>0.99956409999999996</v>
      </c>
      <c r="Y2800">
        <v>-0.33159850000000002</v>
      </c>
      <c r="Z2800">
        <v>4.7837339999999999E-2</v>
      </c>
      <c r="AA2800">
        <v>0.94220700000000002</v>
      </c>
      <c r="AB2800">
        <v>19</v>
      </c>
      <c r="AC2800">
        <v>17.128599999999999</v>
      </c>
      <c r="AD2800">
        <v>-1.113028382727</v>
      </c>
      <c r="AE2800">
        <v>-12.812200000000001</v>
      </c>
      <c r="AF2800">
        <v>-7.1429160571710897</v>
      </c>
      <c r="AG2800">
        <v>-1.113028382727</v>
      </c>
      <c r="AH2800">
        <v>20.101057662804301</v>
      </c>
      <c r="AI2800">
        <v>92.986718869597496</v>
      </c>
      <c r="AJ2800">
        <v>109.562682691143</v>
      </c>
      <c r="AK2800">
        <v>21.361474694971999</v>
      </c>
      <c r="AL2800">
        <v>91.291767743319298</v>
      </c>
      <c r="AM2800">
        <v>91.092519444449593</v>
      </c>
      <c r="AN2800">
        <v>0.99999998504953402</v>
      </c>
    </row>
    <row r="2801" spans="1:40" x14ac:dyDescent="0.25">
      <c r="A2801" t="str">
        <f>"20190312161014567"</f>
        <v>20190312161014567</v>
      </c>
      <c r="B2801" t="str">
        <f>"1552378214558891"</f>
        <v>1552378214558891</v>
      </c>
      <c r="C2801" t="s">
        <v>40</v>
      </c>
      <c r="D2801">
        <v>5.5124519999999997</v>
      </c>
      <c r="E2801">
        <v>0.37575750000000002</v>
      </c>
      <c r="F2801" t="s">
        <v>61</v>
      </c>
      <c r="G2801">
        <v>-469.63290000000001</v>
      </c>
      <c r="H2801" s="1">
        <v>3.7582299999999998E-6</v>
      </c>
      <c r="I2801">
        <v>210.75309999999999</v>
      </c>
      <c r="J2801">
        <v>-486.36720000000003</v>
      </c>
      <c r="K2801">
        <v>1.113097</v>
      </c>
      <c r="L2801">
        <v>223.16849999999999</v>
      </c>
      <c r="M2801">
        <v>0.55932190000000004</v>
      </c>
      <c r="N2801">
        <v>0</v>
      </c>
      <c r="O2801">
        <v>-0.82890739999999996</v>
      </c>
      <c r="P2801">
        <v>0.57485390000000003</v>
      </c>
      <c r="Q2801">
        <v>-3.0203770000000001E-2</v>
      </c>
      <c r="R2801">
        <v>-0.81769840000000005</v>
      </c>
      <c r="S2801">
        <v>2.5328979999999999</v>
      </c>
      <c r="T2801">
        <v>-0.16737569999999999</v>
      </c>
      <c r="U2801">
        <v>-1.889648</v>
      </c>
      <c r="V2801">
        <v>-1.8958900000000001E-2</v>
      </c>
      <c r="W2801">
        <v>-2.1925790000000001E-2</v>
      </c>
      <c r="X2801">
        <v>0.99957980000000002</v>
      </c>
      <c r="Y2801">
        <v>-0.32881189999999999</v>
      </c>
      <c r="Z2801">
        <v>4.8860689999999998E-2</v>
      </c>
      <c r="AA2801">
        <v>0.94313060000000004</v>
      </c>
      <c r="AB2801">
        <v>19</v>
      </c>
      <c r="AC2801">
        <v>16.734300000000001</v>
      </c>
      <c r="AD2801">
        <v>-1.1130932417699999</v>
      </c>
      <c r="AE2801">
        <v>-12.4154</v>
      </c>
      <c r="AF2801">
        <v>-6.9075164139859897</v>
      </c>
      <c r="AG2801">
        <v>-1.1130932417699999</v>
      </c>
      <c r="AH2801">
        <v>19.595861398735501</v>
      </c>
      <c r="AI2801">
        <v>93.066495900953001</v>
      </c>
      <c r="AJ2801">
        <v>109.417489828265</v>
      </c>
      <c r="AK2801">
        <v>20.807463649681399</v>
      </c>
      <c r="AL2801">
        <v>91.256355933872996</v>
      </c>
      <c r="AM2801">
        <v>91.086591309556098</v>
      </c>
      <c r="AN2801">
        <v>0.99999997836218601</v>
      </c>
    </row>
    <row r="2802" spans="1:40" x14ac:dyDescent="0.25">
      <c r="A2802" t="str">
        <f>"20190312161014589"</f>
        <v>20190312161014589</v>
      </c>
      <c r="B2802" t="str">
        <f>"1552378214578410"</f>
        <v>1552378214578410</v>
      </c>
      <c r="C2802" t="s">
        <v>40</v>
      </c>
      <c r="D2802">
        <v>5.6350709999999999</v>
      </c>
      <c r="E2802">
        <v>0.37615159999999997</v>
      </c>
      <c r="F2802" t="s">
        <v>61</v>
      </c>
      <c r="G2802">
        <v>-469.80790000000002</v>
      </c>
      <c r="H2802" s="1">
        <v>3.8438639999999996E-6</v>
      </c>
      <c r="I2802">
        <v>210.9248</v>
      </c>
      <c r="J2802">
        <v>-486.25529999999998</v>
      </c>
      <c r="K2802">
        <v>1.113156</v>
      </c>
      <c r="L2802">
        <v>223.0163</v>
      </c>
      <c r="M2802">
        <v>0.56479419999999902</v>
      </c>
      <c r="N2802">
        <v>0</v>
      </c>
      <c r="O2802">
        <v>-0.82518849999999999</v>
      </c>
      <c r="P2802">
        <v>0.57999440000000002</v>
      </c>
      <c r="Q2802">
        <v>-3.014039E-2</v>
      </c>
      <c r="R2802">
        <v>-0.81406350000000005</v>
      </c>
      <c r="S2802">
        <v>2.5391849999999998</v>
      </c>
      <c r="T2802">
        <v>-0.17068029999999901</v>
      </c>
      <c r="U2802">
        <v>-1.8774409999999999</v>
      </c>
      <c r="V2802">
        <v>-1.8638640000000001E-2</v>
      </c>
      <c r="W2802">
        <v>-2.1833849999999998E-2</v>
      </c>
      <c r="X2802">
        <v>0.99958780000000003</v>
      </c>
      <c r="Y2802">
        <v>-0.32656659999999998</v>
      </c>
      <c r="Z2802">
        <v>4.9670449999999998E-2</v>
      </c>
      <c r="AA2802">
        <v>0.94386820000000005</v>
      </c>
      <c r="AB2802">
        <v>19</v>
      </c>
      <c r="AC2802">
        <v>16.447399999999899</v>
      </c>
      <c r="AD2802">
        <v>-1.113152156136</v>
      </c>
      <c r="AE2802">
        <v>-12.0914999999999</v>
      </c>
      <c r="AF2802">
        <v>-6.7232458169940301</v>
      </c>
      <c r="AG2802">
        <v>-1.113152156136</v>
      </c>
      <c r="AH2802">
        <v>19.210728745460798</v>
      </c>
      <c r="AI2802">
        <v>93.130482512183704</v>
      </c>
      <c r="AJ2802">
        <v>109.288693144148</v>
      </c>
      <c r="AK2802">
        <v>20.383651315947098</v>
      </c>
      <c r="AL2802">
        <v>91.251086942787694</v>
      </c>
      <c r="AM2802">
        <v>91.068231992678804</v>
      </c>
      <c r="AN2802">
        <v>0.99999994290785399</v>
      </c>
    </row>
    <row r="2803" spans="1:40" x14ac:dyDescent="0.25">
      <c r="A2803" t="str">
        <f>"20190312161014611"</f>
        <v>20190312161014611</v>
      </c>
      <c r="B2803" t="str">
        <f>"1552378214608666"</f>
        <v>1552378214608666</v>
      </c>
      <c r="C2803" t="s">
        <v>40</v>
      </c>
      <c r="D2803">
        <v>5.4473830000000003</v>
      </c>
      <c r="E2803">
        <v>0.3747779</v>
      </c>
      <c r="F2803" t="s">
        <v>61</v>
      </c>
      <c r="G2803">
        <v>-469.88130000000001</v>
      </c>
      <c r="H2803" s="1">
        <v>3.8774859999999998E-6</v>
      </c>
      <c r="I2803">
        <v>211.04830000000001</v>
      </c>
      <c r="J2803">
        <v>-486.14120000000003</v>
      </c>
      <c r="K2803">
        <v>1.1132010000000001</v>
      </c>
      <c r="L2803">
        <v>222.86349999999999</v>
      </c>
      <c r="M2803">
        <v>0.57034189999999996</v>
      </c>
      <c r="N2803">
        <v>0</v>
      </c>
      <c r="O2803">
        <v>-0.82136359999999997</v>
      </c>
      <c r="P2803">
        <v>0.58553080000000002</v>
      </c>
      <c r="Q2803">
        <v>-3.0172600000000001E-2</v>
      </c>
      <c r="R2803">
        <v>-0.81008869999999999</v>
      </c>
      <c r="S2803">
        <v>2.5487669999999998</v>
      </c>
      <c r="T2803">
        <v>-0.17327239999999999</v>
      </c>
      <c r="U2803">
        <v>-1.86293</v>
      </c>
      <c r="V2803">
        <v>-1.8715840000000001E-2</v>
      </c>
      <c r="W2803">
        <v>-2.1842070000000002E-2</v>
      </c>
      <c r="X2803">
        <v>0.99958619999999998</v>
      </c>
      <c r="Y2803">
        <v>-0.32535829999999999</v>
      </c>
      <c r="Z2803">
        <v>5.025806E-2</v>
      </c>
      <c r="AA2803">
        <v>0.94425429999999999</v>
      </c>
      <c r="AB2803">
        <v>19</v>
      </c>
      <c r="AC2803">
        <v>16.259899999999998</v>
      </c>
      <c r="AD2803">
        <v>-1.113197122514</v>
      </c>
      <c r="AE2803">
        <v>-11.8151999999999</v>
      </c>
      <c r="AF2803">
        <v>-6.5965895795822203</v>
      </c>
      <c r="AG2803">
        <v>-1.113197122514</v>
      </c>
      <c r="AH2803">
        <v>18.920920869457401</v>
      </c>
      <c r="AI2803">
        <v>93.179779133060194</v>
      </c>
      <c r="AJ2803">
        <v>109.220597573674</v>
      </c>
      <c r="AK2803">
        <v>20.068767985685898</v>
      </c>
      <c r="AL2803">
        <v>91.251557998861202</v>
      </c>
      <c r="AM2803">
        <v>91.072657223053795</v>
      </c>
      <c r="AN2803">
        <v>0.99999996495961396</v>
      </c>
    </row>
    <row r="2804" spans="1:40" x14ac:dyDescent="0.25">
      <c r="A2804" t="str">
        <f>"20190312161014635"</f>
        <v>20190312161014635</v>
      </c>
      <c r="B2804" t="str">
        <f>"1552378214629162"</f>
        <v>1552378214629162</v>
      </c>
      <c r="C2804" t="s">
        <v>40</v>
      </c>
      <c r="D2804">
        <v>5.4676819999999999</v>
      </c>
      <c r="E2804">
        <v>0.37387789999999999</v>
      </c>
      <c r="F2804" t="s">
        <v>61</v>
      </c>
      <c r="G2804">
        <v>-469.39299999999997</v>
      </c>
      <c r="H2804" s="1">
        <v>3.6250820000000002E-6</v>
      </c>
      <c r="I2804">
        <v>210.87860000000001</v>
      </c>
      <c r="J2804">
        <v>-486.02050000000003</v>
      </c>
      <c r="K2804">
        <v>1.1132420000000001</v>
      </c>
      <c r="L2804">
        <v>222.70410000000001</v>
      </c>
      <c r="M2804">
        <v>0.57618059999999904</v>
      </c>
      <c r="N2804">
        <v>0</v>
      </c>
      <c r="O2804">
        <v>-0.81727799999999995</v>
      </c>
      <c r="P2804">
        <v>0.59161229999999998</v>
      </c>
      <c r="Q2804">
        <v>-3.0394589999999999E-2</v>
      </c>
      <c r="R2804">
        <v>-0.80564959999999997</v>
      </c>
      <c r="S2804">
        <v>2.5701900000000002</v>
      </c>
      <c r="T2804">
        <v>-0.17083229999999999</v>
      </c>
      <c r="U2804">
        <v>-1.839218</v>
      </c>
      <c r="V2804">
        <v>-1.9118039999999999E-2</v>
      </c>
      <c r="W2804">
        <v>-2.2043170000000001E-2</v>
      </c>
      <c r="X2804">
        <v>0.99957419999999997</v>
      </c>
      <c r="Y2804">
        <v>-0.32815549999999999</v>
      </c>
      <c r="Z2804">
        <v>4.9377560000000001E-2</v>
      </c>
      <c r="AA2804">
        <v>0.94333230000000001</v>
      </c>
      <c r="AB2804">
        <v>19</v>
      </c>
      <c r="AC2804">
        <v>16.627499999999898</v>
      </c>
      <c r="AD2804">
        <v>-1.1132383749179999</v>
      </c>
      <c r="AE2804">
        <v>-11.8255</v>
      </c>
      <c r="AF2804">
        <v>-6.7558013601848499</v>
      </c>
      <c r="AG2804">
        <v>-1.1132383749179999</v>
      </c>
      <c r="AH2804">
        <v>19.188740940595199</v>
      </c>
      <c r="AI2804">
        <v>93.132254864887699</v>
      </c>
      <c r="AJ2804">
        <v>109.39569366451499</v>
      </c>
      <c r="AK2804">
        <v>20.3737068444341</v>
      </c>
      <c r="AL2804">
        <v>91.263082922427202</v>
      </c>
      <c r="AM2804">
        <v>91.095716022067904</v>
      </c>
      <c r="AN2804">
        <v>0.99999999105136494</v>
      </c>
    </row>
    <row r="2805" spans="1:40" x14ac:dyDescent="0.25">
      <c r="A2805" t="str">
        <f>"20190312161014656"</f>
        <v>20190312161014656</v>
      </c>
      <c r="B2805" t="str">
        <f>"1552378214648683"</f>
        <v>1552378214648683</v>
      </c>
      <c r="C2805" t="s">
        <v>40</v>
      </c>
      <c r="D2805">
        <v>5.3659280000000003</v>
      </c>
      <c r="E2805">
        <v>0.37311549999999999</v>
      </c>
      <c r="F2805" t="s">
        <v>61</v>
      </c>
      <c r="G2805">
        <v>-468.94170000000003</v>
      </c>
      <c r="H2805" s="1">
        <v>3.3914420000000001E-6</v>
      </c>
      <c r="I2805">
        <v>210.72929999999999</v>
      </c>
      <c r="J2805">
        <v>-485.9033</v>
      </c>
      <c r="K2805">
        <v>1.1132879999999901</v>
      </c>
      <c r="L2805">
        <v>222.55170000000001</v>
      </c>
      <c r="M2805">
        <v>0.58181309999999997</v>
      </c>
      <c r="N2805">
        <v>0</v>
      </c>
      <c r="O2805">
        <v>-0.81327769999999899</v>
      </c>
      <c r="P2805">
        <v>0.59762130000000002</v>
      </c>
      <c r="Q2805">
        <v>-3.0692029999999999E-2</v>
      </c>
      <c r="R2805">
        <v>-0.80119090000000004</v>
      </c>
      <c r="S2805">
        <v>2.589661</v>
      </c>
      <c r="T2805">
        <v>-0.1688007</v>
      </c>
      <c r="U2805">
        <v>-1.81575</v>
      </c>
      <c r="V2805">
        <v>-1.9689399999999999E-2</v>
      </c>
      <c r="W2805">
        <v>-2.2323340000000001E-2</v>
      </c>
      <c r="X2805">
        <v>0.99955689999999997</v>
      </c>
      <c r="Y2805">
        <v>-0.33073350000000001</v>
      </c>
      <c r="Z2805">
        <v>4.8637180000000002E-2</v>
      </c>
      <c r="AA2805">
        <v>0.94247000000000003</v>
      </c>
      <c r="AB2805">
        <v>20</v>
      </c>
      <c r="AC2805">
        <v>16.961599999999901</v>
      </c>
      <c r="AD2805">
        <v>-1.1132846085579999</v>
      </c>
      <c r="AE2805">
        <v>-11.8224</v>
      </c>
      <c r="AF2805">
        <v>-6.8963205828235701</v>
      </c>
      <c r="AG2805">
        <v>-1.1132846085579999</v>
      </c>
      <c r="AH2805">
        <v>19.427756242984501</v>
      </c>
      <c r="AI2805">
        <v>93.091108795230298</v>
      </c>
      <c r="AJ2805">
        <v>109.54346663996</v>
      </c>
      <c r="AK2805">
        <v>20.645492312792001</v>
      </c>
      <c r="AL2805">
        <v>91.2791394206821</v>
      </c>
      <c r="AM2805">
        <v>91.128473672217694</v>
      </c>
      <c r="AN2805">
        <v>1.0000000001593601</v>
      </c>
    </row>
    <row r="2806" spans="1:40" x14ac:dyDescent="0.25">
      <c r="A2806" t="str">
        <f>"20190312161014678"</f>
        <v>20190312161014678</v>
      </c>
      <c r="B2806" t="str">
        <f>"1552378214669178"</f>
        <v>1552378214669178</v>
      </c>
      <c r="C2806" t="s">
        <v>40</v>
      </c>
      <c r="D2806">
        <v>5.3580030000000001</v>
      </c>
      <c r="E2806">
        <v>0.37243779999999999</v>
      </c>
      <c r="F2806" t="s">
        <v>61</v>
      </c>
      <c r="G2806">
        <v>-468.65839999999997</v>
      </c>
      <c r="H2806" s="1">
        <v>3.2420629999999999E-6</v>
      </c>
      <c r="I2806">
        <v>210.69720000000001</v>
      </c>
      <c r="J2806">
        <v>-485.78289999999998</v>
      </c>
      <c r="K2806">
        <v>1.1133390000000001</v>
      </c>
      <c r="L2806">
        <v>222.3974</v>
      </c>
      <c r="M2806">
        <v>0.58756209999999998</v>
      </c>
      <c r="N2806">
        <v>0</v>
      </c>
      <c r="O2806">
        <v>-0.80913359999999901</v>
      </c>
      <c r="P2806">
        <v>0.60435039999999995</v>
      </c>
      <c r="Q2806">
        <v>-3.0995399999999999E-2</v>
      </c>
      <c r="R2806">
        <v>-0.79611549999999998</v>
      </c>
      <c r="S2806">
        <v>2.6078489999999999</v>
      </c>
      <c r="T2806">
        <v>-0.16835510000000001</v>
      </c>
      <c r="U2806">
        <v>-1.79269399999999</v>
      </c>
      <c r="V2806">
        <v>-2.102857E-2</v>
      </c>
      <c r="W2806">
        <v>-2.261724E-2</v>
      </c>
      <c r="X2806">
        <v>0.99952300000000005</v>
      </c>
      <c r="Y2806">
        <v>-0.33278829999999998</v>
      </c>
      <c r="Z2806">
        <v>4.8348719999999998E-2</v>
      </c>
      <c r="AA2806">
        <v>0.94176130000000002</v>
      </c>
      <c r="AB2806">
        <v>20</v>
      </c>
      <c r="AC2806">
        <v>17.124500000000001</v>
      </c>
      <c r="AD2806">
        <v>-1.11333575793699</v>
      </c>
      <c r="AE2806">
        <v>-11.700199999999899</v>
      </c>
      <c r="AF2806">
        <v>-6.9616103330071404</v>
      </c>
      <c r="AG2806">
        <v>-1.11333575793699</v>
      </c>
      <c r="AH2806">
        <v>19.473335701116302</v>
      </c>
      <c r="AI2806">
        <v>93.081576172799998</v>
      </c>
      <c r="AJ2806">
        <v>109.67169037265199</v>
      </c>
      <c r="AK2806">
        <v>20.710247180246402</v>
      </c>
      <c r="AL2806">
        <v>91.295982924186106</v>
      </c>
      <c r="AM2806">
        <v>91.205245494999602</v>
      </c>
      <c r="AN2806">
        <v>0.99999998391523104</v>
      </c>
    </row>
    <row r="2807" spans="1:40" x14ac:dyDescent="0.25">
      <c r="A2807" t="str">
        <f>"20190312161014703"</f>
        <v>20190312161014703</v>
      </c>
      <c r="B2807" t="str">
        <f>"1552378214698458"</f>
        <v>1552378214698458</v>
      </c>
      <c r="C2807" t="s">
        <v>40</v>
      </c>
      <c r="D2807">
        <v>5.3085329999999997</v>
      </c>
      <c r="E2807">
        <v>0.37153389999999997</v>
      </c>
      <c r="F2807" t="s">
        <v>61</v>
      </c>
      <c r="G2807">
        <v>-468.47859999999997</v>
      </c>
      <c r="H2807" s="1">
        <v>3.1438279999999998E-6</v>
      </c>
      <c r="I2807">
        <v>210.75620000000001</v>
      </c>
      <c r="J2807">
        <v>-485.65710000000001</v>
      </c>
      <c r="K2807">
        <v>1.1133949999999999</v>
      </c>
      <c r="L2807">
        <v>222.23869999999999</v>
      </c>
      <c r="M2807">
        <v>0.59352499999999997</v>
      </c>
      <c r="N2807">
        <v>0</v>
      </c>
      <c r="O2807">
        <v>-0.80476990000000004</v>
      </c>
      <c r="P2807">
        <v>0.61102290000000004</v>
      </c>
      <c r="Q2807">
        <v>-3.0893179999999999E-2</v>
      </c>
      <c r="R2807">
        <v>-0.7910104</v>
      </c>
      <c r="S2807">
        <v>2.6271969999999998</v>
      </c>
      <c r="T2807">
        <v>-0.16903070000000001</v>
      </c>
      <c r="U2807">
        <v>-1.7674099999999999</v>
      </c>
      <c r="V2807">
        <v>-2.2041890000000001E-2</v>
      </c>
      <c r="W2807">
        <v>-2.2502899999999999E-2</v>
      </c>
      <c r="X2807">
        <v>0.99950380000000005</v>
      </c>
      <c r="Y2807">
        <v>-0.33527230000000002</v>
      </c>
      <c r="Z2807">
        <v>4.8380100000000002E-2</v>
      </c>
      <c r="AA2807">
        <v>0.9408782</v>
      </c>
      <c r="AB2807">
        <v>20</v>
      </c>
      <c r="AC2807">
        <v>17.1785</v>
      </c>
      <c r="AD2807">
        <v>-1.113391856172</v>
      </c>
      <c r="AE2807">
        <v>-11.4824999999999</v>
      </c>
      <c r="AF2807">
        <v>-6.9895523703807196</v>
      </c>
      <c r="AG2807">
        <v>-1.113391856172</v>
      </c>
      <c r="AH2807">
        <v>19.381080968863099</v>
      </c>
      <c r="AI2807">
        <v>93.093283680080603</v>
      </c>
      <c r="AJ2807">
        <v>109.831225534642</v>
      </c>
      <c r="AK2807">
        <v>20.632978051781901</v>
      </c>
      <c r="AL2807">
        <v>91.289429989934902</v>
      </c>
      <c r="AM2807">
        <v>91.2633294644762</v>
      </c>
      <c r="AN2807">
        <v>1.0000000358188099</v>
      </c>
    </row>
    <row r="2808" spans="1:40" x14ac:dyDescent="0.25">
      <c r="A2808" t="str">
        <f>"20190312161014726"</f>
        <v>20190312161014726</v>
      </c>
      <c r="B2808" t="str">
        <f>"1552378214718955"</f>
        <v>1552378214718955</v>
      </c>
      <c r="C2808" t="s">
        <v>40</v>
      </c>
      <c r="D2808">
        <v>5.2933349999999999</v>
      </c>
      <c r="E2808">
        <v>0.37104860000000001</v>
      </c>
      <c r="F2808" t="s">
        <v>61</v>
      </c>
      <c r="G2808">
        <v>-467.97149999999999</v>
      </c>
      <c r="H2808" s="1">
        <v>2.880361E-6</v>
      </c>
      <c r="I2808">
        <v>210.61009999999999</v>
      </c>
      <c r="J2808">
        <v>-485.52960000000002</v>
      </c>
      <c r="K2808">
        <v>1.1134489999999999</v>
      </c>
      <c r="L2808">
        <v>222.0804</v>
      </c>
      <c r="M2808">
        <v>0.59952649999999996</v>
      </c>
      <c r="N2808">
        <v>0</v>
      </c>
      <c r="O2808">
        <v>-0.80030849999999998</v>
      </c>
      <c r="P2808">
        <v>0.61698129999999995</v>
      </c>
      <c r="Q2808">
        <v>-3.0662399999999999E-2</v>
      </c>
      <c r="R2808">
        <v>-0.78638039999999998</v>
      </c>
      <c r="S2808">
        <v>2.6477360000000001</v>
      </c>
      <c r="T2808">
        <v>-0.1666871</v>
      </c>
      <c r="U2808">
        <v>-1.7409209999999999</v>
      </c>
      <c r="V2808">
        <v>-2.211254E-2</v>
      </c>
      <c r="W2808">
        <v>-2.2252069999999999E-2</v>
      </c>
      <c r="X2808">
        <v>0.99950779999999995</v>
      </c>
      <c r="Y2808">
        <v>-0.33819359999999998</v>
      </c>
      <c r="Z2808">
        <v>4.7544889999999999E-2</v>
      </c>
      <c r="AA2808">
        <v>0.93987480000000001</v>
      </c>
      <c r="AB2808">
        <v>20</v>
      </c>
      <c r="AC2808">
        <v>17.5581</v>
      </c>
      <c r="AD2808">
        <v>-1.113446119639</v>
      </c>
      <c r="AE2808">
        <v>-11.4703</v>
      </c>
      <c r="AF2808">
        <v>-7.1552467808638802</v>
      </c>
      <c r="AG2808">
        <v>-1.113446119639</v>
      </c>
      <c r="AH2808">
        <v>19.6516671176716</v>
      </c>
      <c r="AI2808">
        <v>93.047542558296598</v>
      </c>
      <c r="AJ2808">
        <v>110.006757536116</v>
      </c>
      <c r="AK2808">
        <v>20.943384140586701</v>
      </c>
      <c r="AL2808">
        <v>91.275054960758993</v>
      </c>
      <c r="AM2808">
        <v>91.267372375574098</v>
      </c>
      <c r="AN2808">
        <v>0.99999998065268803</v>
      </c>
    </row>
    <row r="2809" spans="1:40" x14ac:dyDescent="0.25">
      <c r="A2809" t="str">
        <f>"20190312161014768"</f>
        <v>20190312161014768</v>
      </c>
      <c r="B2809" t="str">
        <f>"1552378214758970"</f>
        <v>1552378214758970</v>
      </c>
      <c r="C2809" t="s">
        <v>40</v>
      </c>
      <c r="D2809">
        <v>5.2014469999999999</v>
      </c>
      <c r="E2809">
        <v>0.3703072</v>
      </c>
      <c r="F2809" t="s">
        <v>61</v>
      </c>
      <c r="G2809">
        <v>-467.52850000000001</v>
      </c>
      <c r="H2809" s="1">
        <v>2.6508609999999999E-6</v>
      </c>
      <c r="I2809">
        <v>210.46690000000001</v>
      </c>
      <c r="J2809">
        <v>-485.29570000000001</v>
      </c>
      <c r="K2809">
        <v>1.113553</v>
      </c>
      <c r="L2809">
        <v>221.79650000000001</v>
      </c>
      <c r="M2809">
        <v>0.61041369999999995</v>
      </c>
      <c r="N2809">
        <v>0</v>
      </c>
      <c r="O2809">
        <v>-0.7920353</v>
      </c>
      <c r="P2809">
        <v>0.62855399999999995</v>
      </c>
      <c r="Q2809">
        <v>-2.9891669999999999E-2</v>
      </c>
      <c r="R2809">
        <v>-0.77719130000000003</v>
      </c>
      <c r="S2809">
        <v>2.6637879999999998</v>
      </c>
      <c r="T2809">
        <v>-0.16476679999999999</v>
      </c>
      <c r="U2809">
        <v>-1.7185520000000001</v>
      </c>
      <c r="V2809">
        <v>-2.3224370000000001E-2</v>
      </c>
      <c r="W2809">
        <v>-2.1456449999999998E-2</v>
      </c>
      <c r="X2809">
        <v>0.99950000000000006</v>
      </c>
      <c r="Y2809">
        <v>-0.3335187</v>
      </c>
      <c r="Z2809">
        <v>4.6568209999999999E-2</v>
      </c>
      <c r="AA2809">
        <v>0.9415926</v>
      </c>
      <c r="AB2809">
        <v>20</v>
      </c>
      <c r="AC2809">
        <v>17.767199999999999</v>
      </c>
      <c r="AD2809">
        <v>-1.113550349139</v>
      </c>
      <c r="AE2809">
        <v>-11.329599999999999</v>
      </c>
      <c r="AF2809">
        <v>-7.1368454722045298</v>
      </c>
      <c r="AG2809">
        <v>-1.113550349139</v>
      </c>
      <c r="AH2809">
        <v>19.764337320477999</v>
      </c>
      <c r="AI2809">
        <v>93.0334010187959</v>
      </c>
      <c r="AJ2809">
        <v>109.85450568919801</v>
      </c>
      <c r="AK2809">
        <v>21.042898740236101</v>
      </c>
      <c r="AL2809">
        <v>91.229458376454403</v>
      </c>
      <c r="AM2809">
        <v>91.331084523566602</v>
      </c>
      <c r="AN2809">
        <v>1.00000000030424</v>
      </c>
    </row>
    <row r="2810" spans="1:40" x14ac:dyDescent="0.25">
      <c r="A2810" t="str">
        <f>"20190312161014790"</f>
        <v>20190312161014790</v>
      </c>
      <c r="B2810" t="str">
        <f>"1552378214778493"</f>
        <v>1552378214778493</v>
      </c>
      <c r="C2810" t="s">
        <v>40</v>
      </c>
      <c r="D2810">
        <v>5.194566</v>
      </c>
      <c r="E2810">
        <v>0.37000939999999999</v>
      </c>
      <c r="F2810" t="s">
        <v>61</v>
      </c>
      <c r="G2810">
        <v>-466.89440000000002</v>
      </c>
      <c r="H2810" s="1">
        <v>2.3185439999999999E-6</v>
      </c>
      <c r="I2810">
        <v>210.34979999999999</v>
      </c>
      <c r="J2810">
        <v>-485.16860000000003</v>
      </c>
      <c r="K2810">
        <v>1.113604</v>
      </c>
      <c r="L2810">
        <v>221.6456</v>
      </c>
      <c r="M2810">
        <v>0.61626000000000003</v>
      </c>
      <c r="N2810">
        <v>0</v>
      </c>
      <c r="O2810">
        <v>-0.78749480000000005</v>
      </c>
      <c r="P2810">
        <v>0.63454339999999998</v>
      </c>
      <c r="Q2810">
        <v>-2.9642290000000002E-2</v>
      </c>
      <c r="R2810">
        <v>-0.77231850000000002</v>
      </c>
      <c r="S2810">
        <v>2.69339</v>
      </c>
      <c r="T2810">
        <v>-0.1629891</v>
      </c>
      <c r="U2810">
        <v>-1.675446</v>
      </c>
      <c r="V2810">
        <v>-2.3546689999999999E-2</v>
      </c>
      <c r="W2810">
        <v>-2.119238E-2</v>
      </c>
      <c r="X2810">
        <v>0.99949809999999994</v>
      </c>
      <c r="Y2810">
        <v>-0.34206880000000001</v>
      </c>
      <c r="Z2810">
        <v>4.6005610000000002E-2</v>
      </c>
      <c r="AA2810">
        <v>0.93854800000000005</v>
      </c>
      <c r="AB2810">
        <v>20</v>
      </c>
      <c r="AC2810">
        <v>18.2742</v>
      </c>
      <c r="AD2810">
        <v>-1.1136016814559999</v>
      </c>
      <c r="AE2810">
        <v>-11.2958</v>
      </c>
      <c r="AF2810">
        <v>-7.4100584753126597</v>
      </c>
      <c r="AG2810">
        <v>-1.1136016814559999</v>
      </c>
      <c r="AH2810">
        <v>20.103787196901401</v>
      </c>
      <c r="AI2810">
        <v>92.975239091828897</v>
      </c>
      <c r="AJ2810">
        <v>110.233390973985</v>
      </c>
      <c r="AK2810">
        <v>21.4548673957867</v>
      </c>
      <c r="AL2810">
        <v>91.214324829652796</v>
      </c>
      <c r="AM2810">
        <v>91.349553792719007</v>
      </c>
      <c r="AN2810">
        <v>1.0000000077418101</v>
      </c>
    </row>
    <row r="2811" spans="1:40" x14ac:dyDescent="0.25">
      <c r="A2811" t="str">
        <f>"20190312161014813"</f>
        <v>20190312161014813</v>
      </c>
      <c r="B2811" t="str">
        <f>"1552378214808746"</f>
        <v>1552378214808746</v>
      </c>
      <c r="C2811" t="s">
        <v>40</v>
      </c>
      <c r="D2811">
        <v>5.1275690000000003</v>
      </c>
      <c r="E2811">
        <v>0.36964960000000002</v>
      </c>
      <c r="F2811" t="s">
        <v>61</v>
      </c>
      <c r="G2811">
        <v>-466.37650000000002</v>
      </c>
      <c r="H2811" s="1">
        <v>2.05062E-6</v>
      </c>
      <c r="I2811">
        <v>210.17410000000001</v>
      </c>
      <c r="J2811">
        <v>-485.03969999999998</v>
      </c>
      <c r="K2811">
        <v>1.1136440000000001</v>
      </c>
      <c r="L2811">
        <v>221.4949</v>
      </c>
      <c r="M2811">
        <v>0.62213079999999998</v>
      </c>
      <c r="N2811">
        <v>0</v>
      </c>
      <c r="O2811">
        <v>-0.78286519999999904</v>
      </c>
      <c r="P2811">
        <v>0.64025619999999905</v>
      </c>
      <c r="Q2811">
        <v>-2.9302450000000001E-2</v>
      </c>
      <c r="R2811">
        <v>-0.76760299999999904</v>
      </c>
      <c r="S2811">
        <v>2.7081909999999998</v>
      </c>
      <c r="T2811">
        <v>-0.16048470000000001</v>
      </c>
      <c r="U2811">
        <v>-1.6531979999999999</v>
      </c>
      <c r="V2811">
        <v>-2.348252E-2</v>
      </c>
      <c r="W2811">
        <v>-2.0834780000000001E-2</v>
      </c>
      <c r="X2811">
        <v>0.99950709999999998</v>
      </c>
      <c r="Y2811">
        <v>-0.34298319999999999</v>
      </c>
      <c r="Z2811">
        <v>4.51212E-2</v>
      </c>
      <c r="AA2811">
        <v>0.93825720000000001</v>
      </c>
      <c r="AB2811">
        <v>20</v>
      </c>
      <c r="AC2811">
        <v>18.6631999999999</v>
      </c>
      <c r="AD2811">
        <v>-1.1136419493799901</v>
      </c>
      <c r="AE2811">
        <v>-11.320799999999901</v>
      </c>
      <c r="AF2811">
        <v>-7.5483891688819504</v>
      </c>
      <c r="AG2811">
        <v>-1.1136419493799901</v>
      </c>
      <c r="AH2811">
        <v>20.4212296822455</v>
      </c>
      <c r="AI2811">
        <v>92.928184965433701</v>
      </c>
      <c r="AJ2811">
        <v>110.286047022226</v>
      </c>
      <c r="AK2811">
        <v>21.8001146595916</v>
      </c>
      <c r="AL2811">
        <v>91.193831367057498</v>
      </c>
      <c r="AM2811">
        <v>91.345865196793198</v>
      </c>
      <c r="AN2811">
        <v>0.999999979876804</v>
      </c>
    </row>
    <row r="2812" spans="1:40" x14ac:dyDescent="0.25">
      <c r="A2812" t="str">
        <f>"20190312161014836"</f>
        <v>20190312161014836</v>
      </c>
      <c r="B2812" t="str">
        <f>"1552378214829243"</f>
        <v>1552378214829243</v>
      </c>
      <c r="C2812" t="s">
        <v>40</v>
      </c>
      <c r="D2812">
        <v>5.1242869999999998</v>
      </c>
      <c r="E2812">
        <v>0.3694733</v>
      </c>
      <c r="F2812" t="s">
        <v>61</v>
      </c>
      <c r="G2812">
        <v>-465.93119999999999</v>
      </c>
      <c r="H2812" s="1">
        <v>1.8192840000000001E-6</v>
      </c>
      <c r="I2812">
        <v>210.04640000000001</v>
      </c>
      <c r="J2812">
        <v>-484.90769999999998</v>
      </c>
      <c r="K2812">
        <v>1.1136900000000001</v>
      </c>
      <c r="L2812">
        <v>221.34289999999999</v>
      </c>
      <c r="M2812">
        <v>0.62809559999999998</v>
      </c>
      <c r="N2812">
        <v>0</v>
      </c>
      <c r="O2812">
        <v>-0.77808750000000004</v>
      </c>
      <c r="P2812">
        <v>0.64607099999999995</v>
      </c>
      <c r="Q2812">
        <v>-2.9097339999999999E-2</v>
      </c>
      <c r="R2812">
        <v>-0.76272259999999903</v>
      </c>
      <c r="S2812">
        <v>2.7226560000000002</v>
      </c>
      <c r="T2812">
        <v>-0.1586766</v>
      </c>
      <c r="U2812">
        <v>-1.6312409999999999</v>
      </c>
      <c r="V2812">
        <v>-2.3434489999999999E-2</v>
      </c>
      <c r="W2812">
        <v>-2.0612109999999999E-2</v>
      </c>
      <c r="X2812">
        <v>0.99951290000000004</v>
      </c>
      <c r="Y2812">
        <v>-0.34360299999999999</v>
      </c>
      <c r="Z2812">
        <v>4.4424539999999998E-2</v>
      </c>
      <c r="AA2812">
        <v>0.93806369999999895</v>
      </c>
      <c r="AB2812">
        <v>20</v>
      </c>
      <c r="AC2812">
        <v>18.976499999999898</v>
      </c>
      <c r="AD2812">
        <v>-1.113688180716</v>
      </c>
      <c r="AE2812">
        <v>-11.296499999999901</v>
      </c>
      <c r="AF2812">
        <v>-7.65092922103194</v>
      </c>
      <c r="AG2812">
        <v>-1.113688180716</v>
      </c>
      <c r="AH2812">
        <v>20.656973988385602</v>
      </c>
      <c r="AI2812">
        <v>92.894243524097604</v>
      </c>
      <c r="AJ2812">
        <v>110.323620047798</v>
      </c>
      <c r="AK2812">
        <v>22.056463761581199</v>
      </c>
      <c r="AL2812">
        <v>91.181070509025602</v>
      </c>
      <c r="AM2812">
        <v>91.343105648205906</v>
      </c>
      <c r="AN2812">
        <v>1.0000000358333101</v>
      </c>
    </row>
    <row r="2813" spans="1:40" x14ac:dyDescent="0.25">
      <c r="A2813" t="str">
        <f>"20190312161014858"</f>
        <v>20190312161014858</v>
      </c>
      <c r="B2813" t="str">
        <f>"1552378214848762"</f>
        <v>1552378214848762</v>
      </c>
      <c r="C2813" t="s">
        <v>40</v>
      </c>
      <c r="D2813">
        <v>5.113836</v>
      </c>
      <c r="E2813">
        <v>0.36932999999999999</v>
      </c>
      <c r="F2813" t="s">
        <v>61</v>
      </c>
      <c r="G2813">
        <v>-465.60919999999999</v>
      </c>
      <c r="H2813" s="1">
        <v>1.650471E-6</v>
      </c>
      <c r="I2813">
        <v>209.9879</v>
      </c>
      <c r="J2813">
        <v>-484.77330000000001</v>
      </c>
      <c r="K2813">
        <v>1.1137410000000001</v>
      </c>
      <c r="L2813">
        <v>221.19069999999999</v>
      </c>
      <c r="M2813">
        <v>0.6341194</v>
      </c>
      <c r="N2813">
        <v>0</v>
      </c>
      <c r="O2813">
        <v>-0.77318589999999998</v>
      </c>
      <c r="P2813">
        <v>0.6519741</v>
      </c>
      <c r="Q2813">
        <v>-2.9296579999999999E-2</v>
      </c>
      <c r="R2813">
        <v>-0.75767530000000005</v>
      </c>
      <c r="S2813">
        <v>2.7359010000000001</v>
      </c>
      <c r="T2813">
        <v>-0.157885</v>
      </c>
      <c r="U2813">
        <v>-1.609772</v>
      </c>
      <c r="V2813">
        <v>-2.3433929999999999E-2</v>
      </c>
      <c r="W2813">
        <v>-2.0794179999999999E-2</v>
      </c>
      <c r="X2813">
        <v>0.99950910000000004</v>
      </c>
      <c r="Y2813">
        <v>-0.34378039999999999</v>
      </c>
      <c r="Z2813">
        <v>4.4010130000000001E-2</v>
      </c>
      <c r="AA2813">
        <v>0.93801820000000002</v>
      </c>
      <c r="AB2813">
        <v>20</v>
      </c>
      <c r="AC2813">
        <v>19.164100000000001</v>
      </c>
      <c r="AD2813">
        <v>-1.113739349529</v>
      </c>
      <c r="AE2813">
        <v>-11.2027999999999</v>
      </c>
      <c r="AF2813">
        <v>-7.6944239902768503</v>
      </c>
      <c r="AG2813">
        <v>-1.113739349529</v>
      </c>
      <c r="AH2813">
        <v>20.762702170166399</v>
      </c>
      <c r="AI2813">
        <v>92.879466817991698</v>
      </c>
      <c r="AJ2813">
        <v>110.33413931718</v>
      </c>
      <c r="AK2813">
        <v>22.170574581816101</v>
      </c>
      <c r="AL2813">
        <v>91.191504637473898</v>
      </c>
      <c r="AM2813">
        <v>91.343078668884999</v>
      </c>
      <c r="AN2813">
        <v>0.99999999398996298</v>
      </c>
    </row>
    <row r="2814" spans="1:40" x14ac:dyDescent="0.25">
      <c r="A2814" t="str">
        <f>"20190312161014881"</f>
        <v>20190312161014881</v>
      </c>
      <c r="B2814" t="str">
        <f>"1552378214869259"</f>
        <v>1552378214869259</v>
      </c>
      <c r="C2814" t="s">
        <v>40</v>
      </c>
      <c r="D2814">
        <v>5.1056939999999997</v>
      </c>
      <c r="E2814">
        <v>0.36921860000000001</v>
      </c>
      <c r="F2814" t="s">
        <v>61</v>
      </c>
      <c r="G2814">
        <v>-465.50380000000001</v>
      </c>
      <c r="H2814" s="1">
        <v>1.5910749999999901E-6</v>
      </c>
      <c r="I2814">
        <v>210.0634</v>
      </c>
      <c r="J2814">
        <v>-484.63940000000002</v>
      </c>
      <c r="K2814">
        <v>1.113796</v>
      </c>
      <c r="L2814">
        <v>221.04130000000001</v>
      </c>
      <c r="M2814">
        <v>0.640074699999999</v>
      </c>
      <c r="N2814">
        <v>0</v>
      </c>
      <c r="O2814">
        <v>-0.76826269999999997</v>
      </c>
      <c r="P2814">
        <v>0.65813929999999998</v>
      </c>
      <c r="Q2814">
        <v>-2.957864E-2</v>
      </c>
      <c r="R2814">
        <v>-0.75231490000000001</v>
      </c>
      <c r="S2814">
        <v>2.749298</v>
      </c>
      <c r="T2814">
        <v>-0.15890399999999999</v>
      </c>
      <c r="U2814">
        <v>-1.587601</v>
      </c>
      <c r="V2814">
        <v>-2.3873689999999999E-2</v>
      </c>
      <c r="W2814">
        <v>-2.1063689999999999E-2</v>
      </c>
      <c r="X2814">
        <v>0.99949310000000002</v>
      </c>
      <c r="Y2814">
        <v>-0.34417019999999998</v>
      </c>
      <c r="Z2814">
        <v>4.4101679999999997E-2</v>
      </c>
      <c r="AA2814">
        <v>0.93787100000000001</v>
      </c>
      <c r="AB2814">
        <v>20</v>
      </c>
      <c r="AC2814">
        <v>19.1356</v>
      </c>
      <c r="AD2814">
        <v>-1.113794408925</v>
      </c>
      <c r="AE2814">
        <v>-10.9779</v>
      </c>
      <c r="AF2814">
        <v>-7.6552734732142396</v>
      </c>
      <c r="AG2814">
        <v>-1.113794408925</v>
      </c>
      <c r="AH2814">
        <v>20.6303330542186</v>
      </c>
      <c r="AI2814">
        <v>92.897601043621805</v>
      </c>
      <c r="AJ2814">
        <v>110.35832006873299</v>
      </c>
      <c r="AK2814">
        <v>22.033029566154401</v>
      </c>
      <c r="AL2814">
        <v>91.206949745162206</v>
      </c>
      <c r="AM2814">
        <v>91.368295220281993</v>
      </c>
      <c r="AN2814">
        <v>1.0000000445291199</v>
      </c>
    </row>
    <row r="2815" spans="1:40" x14ac:dyDescent="0.25">
      <c r="A2815" t="str">
        <f>"20190312161014906"</f>
        <v>20190312161014906</v>
      </c>
      <c r="B2815" t="str">
        <f>"1552378214898539"</f>
        <v>1552378214898539</v>
      </c>
      <c r="C2815" t="s">
        <v>40</v>
      </c>
      <c r="D2815">
        <v>5.116358</v>
      </c>
      <c r="E2815">
        <v>0.36900640000000001</v>
      </c>
      <c r="F2815" t="s">
        <v>61</v>
      </c>
      <c r="G2815">
        <v>-465.33460000000002</v>
      </c>
      <c r="H2815" s="1">
        <v>1.4990890000000001E-6</v>
      </c>
      <c r="I2815">
        <v>210.1078</v>
      </c>
      <c r="J2815">
        <v>-484.48919999999998</v>
      </c>
      <c r="K2815">
        <v>1.113856</v>
      </c>
      <c r="L2815">
        <v>220.8766</v>
      </c>
      <c r="M2815">
        <v>0.6467001</v>
      </c>
      <c r="N2815">
        <v>0</v>
      </c>
      <c r="O2815">
        <v>-0.76269359999999997</v>
      </c>
      <c r="P2815">
        <v>0.66474239999999996</v>
      </c>
      <c r="Q2815">
        <v>-2.9342670000000001E-2</v>
      </c>
      <c r="R2815">
        <v>-0.7464963</v>
      </c>
      <c r="S2815">
        <v>2.7626339999999998</v>
      </c>
      <c r="T2815">
        <v>-0.1593907</v>
      </c>
      <c r="U2815">
        <v>-1.564651</v>
      </c>
      <c r="V2815">
        <v>-2.4022040000000001E-2</v>
      </c>
      <c r="W2815">
        <v>-2.081028E-2</v>
      </c>
      <c r="X2815">
        <v>0.99949480000000002</v>
      </c>
      <c r="Y2815">
        <v>-0.34388489999999999</v>
      </c>
      <c r="Z2815">
        <v>4.4008800000000001E-2</v>
      </c>
      <c r="AA2815">
        <v>0.93798000000000004</v>
      </c>
      <c r="AB2815">
        <v>20</v>
      </c>
      <c r="AC2815">
        <v>19.154599999999899</v>
      </c>
      <c r="AD2815">
        <v>-1.1138545009109999</v>
      </c>
      <c r="AE2815">
        <v>-10.768800000000001</v>
      </c>
      <c r="AF2815">
        <v>-7.6256096845436296</v>
      </c>
      <c r="AG2815">
        <v>-1.1138545009109999</v>
      </c>
      <c r="AH2815">
        <v>20.548577043272399</v>
      </c>
      <c r="AI2815">
        <v>92.909235522815493</v>
      </c>
      <c r="AJ2815">
        <v>110.359970251169</v>
      </c>
      <c r="AK2815">
        <v>21.946175370973201</v>
      </c>
      <c r="AL2815">
        <v>91.192427303115807</v>
      </c>
      <c r="AM2815">
        <v>91.376792139800102</v>
      </c>
      <c r="AN2815">
        <v>0.99999999069323997</v>
      </c>
    </row>
    <row r="2816" spans="1:40" x14ac:dyDescent="0.25">
      <c r="A2816" t="str">
        <f>"20190312161014926"</f>
        <v>20190312161014926</v>
      </c>
      <c r="B2816" t="str">
        <f>"1552378214919035"</f>
        <v>1552378214919035</v>
      </c>
      <c r="C2816" t="s">
        <v>40</v>
      </c>
      <c r="D2816">
        <v>5.0601050000000001</v>
      </c>
      <c r="E2816">
        <v>0.36893379999999998</v>
      </c>
      <c r="F2816" t="s">
        <v>61</v>
      </c>
      <c r="G2816">
        <v>-464.76740000000001</v>
      </c>
      <c r="H2816" s="1">
        <v>1.204313E-6</v>
      </c>
      <c r="I2816">
        <v>209.94640000000001</v>
      </c>
      <c r="J2816">
        <v>-484.36470000000003</v>
      </c>
      <c r="K2816">
        <v>1.1139129999999999</v>
      </c>
      <c r="L2816">
        <v>220.7424</v>
      </c>
      <c r="M2816">
        <v>0.65214719999999904</v>
      </c>
      <c r="N2816">
        <v>0</v>
      </c>
      <c r="O2816">
        <v>-0.75804139999999998</v>
      </c>
      <c r="P2816">
        <v>0.6705641</v>
      </c>
      <c r="Q2816">
        <v>-2.943581E-2</v>
      </c>
      <c r="R2816">
        <v>-0.74126789999999998</v>
      </c>
      <c r="S2816">
        <v>2.7774960000000002</v>
      </c>
      <c r="T2816">
        <v>-0.1568687</v>
      </c>
      <c r="U2816">
        <v>-1.5393520000000001</v>
      </c>
      <c r="V2816">
        <v>-2.4683030000000002E-2</v>
      </c>
      <c r="W2816">
        <v>-2.0895219999999999E-2</v>
      </c>
      <c r="X2816">
        <v>0.9994769</v>
      </c>
      <c r="Y2816">
        <v>-0.3458618</v>
      </c>
      <c r="Z2816">
        <v>4.3158799999999997E-2</v>
      </c>
      <c r="AA2816">
        <v>0.93729229999999997</v>
      </c>
      <c r="AB2816">
        <v>20</v>
      </c>
      <c r="AC2816">
        <v>19.597300000000001</v>
      </c>
      <c r="AD2816">
        <v>-1.1139117956869999</v>
      </c>
      <c r="AE2816">
        <v>-10.7959999999999</v>
      </c>
      <c r="AF2816">
        <v>-7.7959625242268098</v>
      </c>
      <c r="AG2816">
        <v>-1.1139117956869999</v>
      </c>
      <c r="AH2816">
        <v>20.913114271243799</v>
      </c>
      <c r="AI2816">
        <v>92.857192731199802</v>
      </c>
      <c r="AJ2816">
        <v>110.444381190031</v>
      </c>
      <c r="AK2816">
        <v>22.346726375239399</v>
      </c>
      <c r="AL2816">
        <v>91.197295092412205</v>
      </c>
      <c r="AM2816">
        <v>91.414686063153994</v>
      </c>
      <c r="AN2816">
        <v>0.99999996791121903</v>
      </c>
    </row>
    <row r="2817" spans="1:40" x14ac:dyDescent="0.25">
      <c r="A2817" t="str">
        <f>"20190312161014950"</f>
        <v>20190312161014950</v>
      </c>
      <c r="B2817" t="str">
        <f>"1552378214938555"</f>
        <v>1552378214938555</v>
      </c>
      <c r="C2817" t="s">
        <v>40</v>
      </c>
      <c r="D2817">
        <v>5.0545039999999997</v>
      </c>
      <c r="E2817">
        <v>0.36886999999999998</v>
      </c>
      <c r="F2817" t="s">
        <v>61</v>
      </c>
      <c r="G2817">
        <v>-464.47089999999997</v>
      </c>
      <c r="H2817" s="1">
        <v>1.047502E-6</v>
      </c>
      <c r="I2817">
        <v>209.9247</v>
      </c>
      <c r="J2817">
        <v>-484.22250000000003</v>
      </c>
      <c r="K2817">
        <v>1.1139699999999999</v>
      </c>
      <c r="L2817">
        <v>220.5917</v>
      </c>
      <c r="M2817">
        <v>0.65831669999999998</v>
      </c>
      <c r="N2817">
        <v>0</v>
      </c>
      <c r="O2817">
        <v>-0.75268930000000001</v>
      </c>
      <c r="P2817">
        <v>0.67648819999999998</v>
      </c>
      <c r="Q2817">
        <v>-2.9736889999999998E-2</v>
      </c>
      <c r="R2817">
        <v>-0.73585310000000004</v>
      </c>
      <c r="S2817">
        <v>2.7899479999999999</v>
      </c>
      <c r="T2817">
        <v>-0.15621769999999999</v>
      </c>
      <c r="U2817">
        <v>-1.5171049999999999</v>
      </c>
      <c r="V2817">
        <v>-2.4538000000000001E-2</v>
      </c>
      <c r="W2817">
        <v>-2.1177769999999999E-2</v>
      </c>
      <c r="X2817">
        <v>0.99947459999999999</v>
      </c>
      <c r="Y2817">
        <v>-0.3457382</v>
      </c>
      <c r="Z2817">
        <v>4.2766289999999998E-2</v>
      </c>
      <c r="AA2817">
        <v>0.93735590000000002</v>
      </c>
      <c r="AB2817">
        <v>20</v>
      </c>
      <c r="AC2817">
        <v>19.7516</v>
      </c>
      <c r="AD2817">
        <v>-1.1139689524979901</v>
      </c>
      <c r="AE2817">
        <v>-10.667</v>
      </c>
      <c r="AF2817">
        <v>-7.8255882189492603</v>
      </c>
      <c r="AG2817">
        <v>-1.1139689524979901</v>
      </c>
      <c r="AH2817">
        <v>20.980897135679399</v>
      </c>
      <c r="AI2817">
        <v>92.847929803429906</v>
      </c>
      <c r="AJ2817">
        <v>110.45482876297</v>
      </c>
      <c r="AK2817">
        <v>22.420499602320401</v>
      </c>
      <c r="AL2817">
        <v>91.213487506750596</v>
      </c>
      <c r="AM2817">
        <v>91.406380380096905</v>
      </c>
      <c r="AN2817">
        <v>1.00000004371566</v>
      </c>
    </row>
    <row r="2818" spans="1:40" x14ac:dyDescent="0.25">
      <c r="A2818" t="str">
        <f>"20190312161014969"</f>
        <v>20190312161014969</v>
      </c>
      <c r="B2818" t="str">
        <f>"1552378214959051"</f>
        <v>1552378214959051</v>
      </c>
      <c r="C2818" t="s">
        <v>40</v>
      </c>
      <c r="D2818">
        <v>5.039955</v>
      </c>
      <c r="E2818">
        <v>0.36884400000000001</v>
      </c>
      <c r="F2818" t="s">
        <v>61</v>
      </c>
      <c r="G2818">
        <v>-464.24470000000002</v>
      </c>
      <c r="H2818" s="1">
        <v>9.2646929999999996E-7</v>
      </c>
      <c r="I2818">
        <v>209.93969999999999</v>
      </c>
      <c r="J2818">
        <v>-484.09370000000001</v>
      </c>
      <c r="K2818">
        <v>1.114015</v>
      </c>
      <c r="L2818">
        <v>220.4572</v>
      </c>
      <c r="M2818">
        <v>0.66385780000000005</v>
      </c>
      <c r="N2818">
        <v>0</v>
      </c>
      <c r="O2818">
        <v>-0.74780649999999904</v>
      </c>
      <c r="P2818">
        <v>0.68175379999999997</v>
      </c>
      <c r="Q2818">
        <v>-3.0306110000000001E-2</v>
      </c>
      <c r="R2818">
        <v>-0.73095390000000005</v>
      </c>
      <c r="S2818">
        <v>2.8024290000000001</v>
      </c>
      <c r="T2818">
        <v>-0.15626470000000001</v>
      </c>
      <c r="U2818">
        <v>-1.494232</v>
      </c>
      <c r="V2818">
        <v>-2.433898E-2</v>
      </c>
      <c r="W2818">
        <v>-2.172982E-2</v>
      </c>
      <c r="X2818">
        <v>0.99946760000000001</v>
      </c>
      <c r="Y2818">
        <v>-0.34650350000000002</v>
      </c>
      <c r="Z2818">
        <v>4.2599669999999999E-2</v>
      </c>
      <c r="AA2818">
        <v>0.93708089999999999</v>
      </c>
      <c r="AB2818">
        <v>20</v>
      </c>
      <c r="AC2818">
        <v>19.848999999999901</v>
      </c>
      <c r="AD2818">
        <v>-1.11401407353069</v>
      </c>
      <c r="AE2818">
        <v>-10.5175</v>
      </c>
      <c r="AF2818">
        <v>-7.8421073541381299</v>
      </c>
      <c r="AG2818">
        <v>-1.11401407353069</v>
      </c>
      <c r="AH2818">
        <v>20.991165558171598</v>
      </c>
      <c r="AI2818">
        <v>92.846091247307001</v>
      </c>
      <c r="AJ2818">
        <v>110.48522807249201</v>
      </c>
      <c r="AK2818">
        <v>22.435879893608401</v>
      </c>
      <c r="AL2818">
        <v>91.245124943011305</v>
      </c>
      <c r="AM2818">
        <v>91.394987962994506</v>
      </c>
      <c r="AN2818">
        <v>1.00000002723721</v>
      </c>
    </row>
    <row r="2819" spans="1:40" x14ac:dyDescent="0.25">
      <c r="A2819" t="str">
        <f>"20190312161014994"</f>
        <v>20190312161014994</v>
      </c>
      <c r="B2819" t="str">
        <f>"1552378214988331"</f>
        <v>1552378214988331</v>
      </c>
      <c r="C2819" t="s">
        <v>40</v>
      </c>
      <c r="D2819">
        <v>5.0831629999999999</v>
      </c>
      <c r="E2819">
        <v>0.36862220000000001</v>
      </c>
      <c r="F2819" t="s">
        <v>61</v>
      </c>
      <c r="G2819">
        <v>-464.17540000000002</v>
      </c>
      <c r="H2819" s="1">
        <v>8.8589089999999998E-7</v>
      </c>
      <c r="I2819">
        <v>210.02330000000001</v>
      </c>
      <c r="J2819">
        <v>-483.94290000000001</v>
      </c>
      <c r="K2819">
        <v>1.11407099999999</v>
      </c>
      <c r="L2819">
        <v>220.30240000000001</v>
      </c>
      <c r="M2819">
        <v>0.67029090000000002</v>
      </c>
      <c r="N2819">
        <v>0</v>
      </c>
      <c r="O2819">
        <v>-0.74204550000000002</v>
      </c>
      <c r="P2819">
        <v>0.687693</v>
      </c>
      <c r="Q2819">
        <v>-3.0089040000000001E-2</v>
      </c>
      <c r="R2819">
        <v>-0.72537819999999997</v>
      </c>
      <c r="S2819">
        <v>2.8133539999999999</v>
      </c>
      <c r="T2819">
        <v>-0.1573483</v>
      </c>
      <c r="U2819">
        <v>-1.473724</v>
      </c>
      <c r="V2819">
        <v>-2.3852990000000001E-2</v>
      </c>
      <c r="W2819">
        <v>-2.1488199999999999E-2</v>
      </c>
      <c r="X2819">
        <v>0.9994845</v>
      </c>
      <c r="Y2819">
        <v>-0.3452519</v>
      </c>
      <c r="Z2819">
        <v>4.2642689999999997E-2</v>
      </c>
      <c r="AA2819">
        <v>0.93754079999999995</v>
      </c>
      <c r="AB2819">
        <v>20</v>
      </c>
      <c r="AC2819">
        <v>19.767499999999899</v>
      </c>
      <c r="AD2819">
        <v>-1.1140701141090901</v>
      </c>
      <c r="AE2819">
        <v>-10.2791</v>
      </c>
      <c r="AF2819">
        <v>-7.7593027919092101</v>
      </c>
      <c r="AG2819">
        <v>-1.1140701141090901</v>
      </c>
      <c r="AH2819">
        <v>20.826285011709199</v>
      </c>
      <c r="AI2819">
        <v>92.869685393302206</v>
      </c>
      <c r="AJ2819">
        <v>110.434014186757</v>
      </c>
      <c r="AK2819">
        <v>22.2526870158331</v>
      </c>
      <c r="AL2819">
        <v>91.231277953588801</v>
      </c>
      <c r="AM2819">
        <v>91.367121030919805</v>
      </c>
      <c r="AN2819">
        <v>0.999999986805715</v>
      </c>
    </row>
    <row r="2820" spans="1:40" x14ac:dyDescent="0.25">
      <c r="A2820" t="str">
        <f>"20190312161015016"</f>
        <v>20190312161015016</v>
      </c>
      <c r="B2820" t="str">
        <f>"1552378215008827"</f>
        <v>1552378215008827</v>
      </c>
      <c r="C2820" t="s">
        <v>40</v>
      </c>
      <c r="D2820">
        <v>5.0709619999999997</v>
      </c>
      <c r="E2820">
        <v>0.32965440000000001</v>
      </c>
      <c r="F2820" t="s">
        <v>61</v>
      </c>
      <c r="G2820">
        <v>-463.7253</v>
      </c>
      <c r="H2820" s="1">
        <v>6.5034340000000004E-7</v>
      </c>
      <c r="I2820">
        <v>209.9324</v>
      </c>
      <c r="J2820">
        <v>-483.80360000000002</v>
      </c>
      <c r="K2820">
        <v>1.1141319999999999</v>
      </c>
      <c r="L2820">
        <v>220.1618</v>
      </c>
      <c r="M2820">
        <v>0.6761857</v>
      </c>
      <c r="N2820">
        <v>0</v>
      </c>
      <c r="O2820">
        <v>-0.73667759999999904</v>
      </c>
      <c r="P2820">
        <v>0.69326669999999901</v>
      </c>
      <c r="Q2820">
        <v>-3.0178219999999999E-2</v>
      </c>
      <c r="R2820">
        <v>-0.7200491</v>
      </c>
      <c r="S2820">
        <v>2.8263850000000001</v>
      </c>
      <c r="T2820">
        <v>-0.15574440000000001</v>
      </c>
      <c r="U2820">
        <v>-1.4497070000000001</v>
      </c>
      <c r="V2820">
        <v>-2.359178E-2</v>
      </c>
      <c r="W2820">
        <v>-2.1551979999999998E-2</v>
      </c>
      <c r="X2820">
        <v>0.99948939999999997</v>
      </c>
      <c r="Y2820">
        <v>-0.34586129999999998</v>
      </c>
      <c r="Z2820">
        <v>4.2001719999999999E-2</v>
      </c>
      <c r="AA2820">
        <v>0.93734510000000004</v>
      </c>
      <c r="AB2820">
        <v>21</v>
      </c>
      <c r="AC2820">
        <v>20.078299999999999</v>
      </c>
      <c r="AD2820">
        <v>-1.1141313496566001</v>
      </c>
      <c r="AE2820">
        <v>-10.229399999999901</v>
      </c>
      <c r="AF2820">
        <v>-7.8553681475542101</v>
      </c>
      <c r="AG2820">
        <v>-1.1141313496566001</v>
      </c>
      <c r="AH2820">
        <v>21.061776818923601</v>
      </c>
      <c r="AI2820">
        <v>92.837441279137096</v>
      </c>
      <c r="AJ2820">
        <v>110.453904336848</v>
      </c>
      <c r="AK2820">
        <v>22.506588816789801</v>
      </c>
      <c r="AL2820">
        <v>91.234933034136105</v>
      </c>
      <c r="AM2820">
        <v>91.352148885440101</v>
      </c>
      <c r="AN2820">
        <v>1.0000000603189201</v>
      </c>
    </row>
    <row r="2821" spans="1:40" x14ac:dyDescent="0.25">
      <c r="A2821" t="str">
        <f>"20190312161015038"</f>
        <v>20190312161015038</v>
      </c>
      <c r="B2821" t="str">
        <f>"1552378215028347"</f>
        <v>1552378215028347</v>
      </c>
      <c r="C2821" t="s">
        <v>40</v>
      </c>
      <c r="D2821">
        <v>5.11496</v>
      </c>
      <c r="E2821">
        <v>0.32622719999999999</v>
      </c>
      <c r="F2821" t="s">
        <v>74</v>
      </c>
      <c r="G2821">
        <v>-434.69200000000001</v>
      </c>
      <c r="H2821">
        <v>8.0002359999999995E-2</v>
      </c>
      <c r="I2821">
        <v>200.6155</v>
      </c>
      <c r="J2821">
        <v>-483.65629999999999</v>
      </c>
      <c r="K2821">
        <v>1.1142110000000001</v>
      </c>
      <c r="L2821">
        <v>220.0154</v>
      </c>
      <c r="M2821">
        <v>0.68237239999999999</v>
      </c>
      <c r="N2821">
        <v>0</v>
      </c>
      <c r="O2821">
        <v>-0.73095030000000005</v>
      </c>
      <c r="P2821">
        <v>0.69950210000000002</v>
      </c>
      <c r="Q2821">
        <v>-2.9379309999999999E-2</v>
      </c>
      <c r="R2821">
        <v>-0.71402690000000002</v>
      </c>
      <c r="S2821">
        <v>3.059723</v>
      </c>
      <c r="T2821">
        <v>-6.4427730000000002E-2</v>
      </c>
      <c r="U2821">
        <v>-1.2177579999999999</v>
      </c>
      <c r="V2821">
        <v>-2.3839550000000001E-2</v>
      </c>
      <c r="W2821">
        <v>-2.0727410000000002E-2</v>
      </c>
      <c r="X2821">
        <v>0.99950090000000003</v>
      </c>
      <c r="Y2821">
        <v>-0.42664249999999998</v>
      </c>
      <c r="Z2821">
        <v>1.7289700000000002E-2</v>
      </c>
      <c r="AA2821">
        <v>0.90425509999999998</v>
      </c>
      <c r="AB2821">
        <v>21</v>
      </c>
      <c r="AC2821">
        <v>48.964300000000001</v>
      </c>
      <c r="AD2821">
        <v>-1.0342086399999999</v>
      </c>
      <c r="AE2821">
        <v>-19.399899999999999</v>
      </c>
      <c r="AF2821">
        <v>-22.544717577036199</v>
      </c>
      <c r="AG2821">
        <v>-1.0342086399999999</v>
      </c>
      <c r="AH2821">
        <v>47.575798106791602</v>
      </c>
      <c r="AI2821">
        <v>91.125382596705705</v>
      </c>
      <c r="AJ2821">
        <v>115.35484405379501</v>
      </c>
      <c r="AK2821">
        <v>52.6572924070121</v>
      </c>
      <c r="AL2821">
        <v>91.187678167131196</v>
      </c>
      <c r="AM2821">
        <v>91.366328605943593</v>
      </c>
      <c r="AN2821">
        <v>0.99999999938516004</v>
      </c>
    </row>
    <row r="2822" spans="1:40" x14ac:dyDescent="0.25">
      <c r="A2822" t="str">
        <f>"20190312161015060"</f>
        <v>20190312161015060</v>
      </c>
      <c r="B2822" t="str">
        <f>"1552378215048843"</f>
        <v>1552378215048843</v>
      </c>
      <c r="C2822" t="s">
        <v>40</v>
      </c>
      <c r="D2822">
        <v>5.0941809999999998</v>
      </c>
      <c r="E2822">
        <v>0.32597890000000002</v>
      </c>
      <c r="F2822" t="s">
        <v>74</v>
      </c>
      <c r="G2822">
        <v>-430.83499999999998</v>
      </c>
      <c r="H2822">
        <v>8.0002550000000006E-2</v>
      </c>
      <c r="I2822">
        <v>199.97489999999999</v>
      </c>
      <c r="J2822">
        <v>-483.51490000000001</v>
      </c>
      <c r="K2822">
        <v>1.114282</v>
      </c>
      <c r="L2822">
        <v>219.87739999999999</v>
      </c>
      <c r="M2822">
        <v>0.68825269999999905</v>
      </c>
      <c r="N2822">
        <v>0</v>
      </c>
      <c r="O2822">
        <v>-0.7254159</v>
      </c>
      <c r="P2822">
        <v>0.70607339999999996</v>
      </c>
      <c r="Q2822">
        <v>-2.85849E-2</v>
      </c>
      <c r="R2822">
        <v>-0.70756200000000002</v>
      </c>
      <c r="S2822">
        <v>3.089661</v>
      </c>
      <c r="T2822">
        <v>-6.0493709999999999E-2</v>
      </c>
      <c r="U2822">
        <v>-1.172226</v>
      </c>
      <c r="V2822">
        <v>-2.4992839999999999E-2</v>
      </c>
      <c r="W2822">
        <v>-1.9917629999999999E-2</v>
      </c>
      <c r="X2822">
        <v>0.99948919999999997</v>
      </c>
      <c r="Y2822">
        <v>-0.43395420000000001</v>
      </c>
      <c r="Z2822">
        <v>1.6154640000000001E-2</v>
      </c>
      <c r="AA2822">
        <v>0.90079010000000004</v>
      </c>
      <c r="AB2822">
        <v>21</v>
      </c>
      <c r="AC2822">
        <v>52.679900000000004</v>
      </c>
      <c r="AD2822">
        <v>-1.0342794500000001</v>
      </c>
      <c r="AE2822">
        <v>-19.9025</v>
      </c>
      <c r="AF2822">
        <v>-24.5096007987724</v>
      </c>
      <c r="AG2822">
        <v>-1.0342794500000001</v>
      </c>
      <c r="AH2822">
        <v>50.679605888582699</v>
      </c>
      <c r="AI2822">
        <v>91.052545196200995</v>
      </c>
      <c r="AJ2822">
        <v>115.80927507596</v>
      </c>
      <c r="AK2822">
        <v>56.3046420672217</v>
      </c>
      <c r="AL2822">
        <v>91.141271596206806</v>
      </c>
      <c r="AM2822">
        <v>91.432417576842198</v>
      </c>
      <c r="AN2822">
        <v>1.00000000747636</v>
      </c>
    </row>
    <row r="2823" spans="1:40" x14ac:dyDescent="0.25">
      <c r="A2823" t="str">
        <f>"20190312161015081"</f>
        <v>20190312161015081</v>
      </c>
      <c r="B2823" t="str">
        <f>"1552378215079098"</f>
        <v>1552378215079098</v>
      </c>
      <c r="C2823" t="s">
        <v>40</v>
      </c>
      <c r="D2823">
        <v>5.0936729999999999</v>
      </c>
      <c r="E2823">
        <v>0.32688899999999999</v>
      </c>
      <c r="F2823" t="s">
        <v>41</v>
      </c>
      <c r="G2823">
        <v>-423.9042</v>
      </c>
      <c r="H2823" s="1">
        <v>-4.7788129999999996E-6</v>
      </c>
      <c r="I2823">
        <v>197.92699999999999</v>
      </c>
      <c r="J2823">
        <v>-483.37830000000002</v>
      </c>
      <c r="K2823">
        <v>1.1143459999999901</v>
      </c>
      <c r="L2823">
        <v>219.74629999999999</v>
      </c>
      <c r="M2823">
        <v>0.6938877</v>
      </c>
      <c r="N2823">
        <v>0</v>
      </c>
      <c r="O2823">
        <v>-0.72002709999999903</v>
      </c>
      <c r="P2823">
        <v>0.71217489999999894</v>
      </c>
      <c r="Q2823">
        <v>-2.8076919999999998E-2</v>
      </c>
      <c r="R2823">
        <v>-0.70144079999999998</v>
      </c>
      <c r="S2823">
        <v>3.1018979999999998</v>
      </c>
      <c r="T2823">
        <v>-5.798292E-2</v>
      </c>
      <c r="U2823">
        <v>-1.142212</v>
      </c>
      <c r="V2823">
        <v>-2.584477E-2</v>
      </c>
      <c r="W2823">
        <v>-1.9392860000000001E-2</v>
      </c>
      <c r="X2823">
        <v>0.99947790000000003</v>
      </c>
      <c r="Y2823">
        <v>-0.43577290000000002</v>
      </c>
      <c r="Z2823">
        <v>1.542081E-2</v>
      </c>
      <c r="AA2823">
        <v>0.89992459999999996</v>
      </c>
      <c r="AB2823">
        <v>21</v>
      </c>
      <c r="AC2823">
        <v>59.4741</v>
      </c>
      <c r="AD2823">
        <v>-1.1143507788129901</v>
      </c>
      <c r="AE2823">
        <v>-21.819299999999899</v>
      </c>
      <c r="AF2823">
        <v>-27.675375495551101</v>
      </c>
      <c r="AG2823">
        <v>-1.1143507788129901</v>
      </c>
      <c r="AH2823">
        <v>56.9635112276166</v>
      </c>
      <c r="AI2823">
        <v>91.0080590359225</v>
      </c>
      <c r="AJ2823">
        <v>115.912517314084</v>
      </c>
      <c r="AK2823">
        <v>63.340427831336797</v>
      </c>
      <c r="AL2823">
        <v>91.1111986287343</v>
      </c>
      <c r="AM2823">
        <v>91.481239686193007</v>
      </c>
      <c r="AN2823">
        <v>1.0000000538718601</v>
      </c>
    </row>
    <row r="2824" spans="1:40" x14ac:dyDescent="0.25">
      <c r="A2824" t="str">
        <f>"20190312161015106"</f>
        <v>20190312161015106</v>
      </c>
      <c r="B2824" t="str">
        <f>"1552378215098619"</f>
        <v>1552378215098619</v>
      </c>
      <c r="C2824" t="s">
        <v>40</v>
      </c>
      <c r="D2824">
        <v>5.1255759999999997</v>
      </c>
      <c r="E2824">
        <v>0.32796629999999999</v>
      </c>
      <c r="F2824" t="s">
        <v>41</v>
      </c>
      <c r="G2824">
        <v>-419.35509999999999</v>
      </c>
      <c r="H2824" s="1">
        <v>-3.4301949999999999E-6</v>
      </c>
      <c r="I2824">
        <v>196.64580000000001</v>
      </c>
      <c r="J2824">
        <v>-483.21359999999999</v>
      </c>
      <c r="K2824">
        <v>1.114419</v>
      </c>
      <c r="L2824">
        <v>219.5909</v>
      </c>
      <c r="M2824">
        <v>0.70061049999999903</v>
      </c>
      <c r="N2824">
        <v>0</v>
      </c>
      <c r="O2824">
        <v>-0.71348710000000004</v>
      </c>
      <c r="P2824">
        <v>0.7188599</v>
      </c>
      <c r="Q2824">
        <v>-2.775101E-2</v>
      </c>
      <c r="R2824">
        <v>-0.69460109999999997</v>
      </c>
      <c r="S2824">
        <v>3.1063540000000001</v>
      </c>
      <c r="T2824">
        <v>-5.4067369999999997E-2</v>
      </c>
      <c r="U2824">
        <v>-1.120819</v>
      </c>
      <c r="V2824">
        <v>-2.6033669999999998E-2</v>
      </c>
      <c r="W2824">
        <v>-1.9038579999999999E-2</v>
      </c>
      <c r="X2824">
        <v>0.99947980000000003</v>
      </c>
      <c r="Y2824">
        <v>-0.43323970000000001</v>
      </c>
      <c r="Z2824">
        <v>1.429453E-2</v>
      </c>
      <c r="AA2824">
        <v>0.90116540000000001</v>
      </c>
      <c r="AB2824">
        <v>21</v>
      </c>
      <c r="AC2824">
        <v>63.8584999999999</v>
      </c>
      <c r="AD2824">
        <v>-1.1144224301950001</v>
      </c>
      <c r="AE2824">
        <v>-22.9451</v>
      </c>
      <c r="AF2824">
        <v>-29.479881947162401</v>
      </c>
      <c r="AG2824">
        <v>-1.1144224301950001</v>
      </c>
      <c r="AH2824">
        <v>61.096966590286698</v>
      </c>
      <c r="AI2824">
        <v>90.941162672215995</v>
      </c>
      <c r="AJ2824">
        <v>115.757762252674</v>
      </c>
      <c r="AK2824">
        <v>67.846478932264105</v>
      </c>
      <c r="AL2824">
        <v>91.090896141942906</v>
      </c>
      <c r="AM2824">
        <v>91.492058388725198</v>
      </c>
      <c r="AN2824">
        <v>1.0000000450550599</v>
      </c>
    </row>
    <row r="2825" spans="1:40" x14ac:dyDescent="0.25">
      <c r="A2825" t="str">
        <f>"20190312161015149"</f>
        <v>20190312161015149</v>
      </c>
      <c r="B2825" t="str">
        <f>"1552378215138635"</f>
        <v>1552378215138635</v>
      </c>
      <c r="C2825" t="s">
        <v>40</v>
      </c>
      <c r="D2825">
        <v>5.0860510000000003</v>
      </c>
      <c r="E2825">
        <v>0.32991479999999901</v>
      </c>
      <c r="F2825" t="s">
        <v>41</v>
      </c>
      <c r="G2825">
        <v>-420.41579999999999</v>
      </c>
      <c r="H2825" s="1">
        <v>-3.8245329999999998E-6</v>
      </c>
      <c r="I2825">
        <v>197.44829999999999</v>
      </c>
      <c r="J2825">
        <v>-482.92180000000002</v>
      </c>
      <c r="K2825">
        <v>1.114519</v>
      </c>
      <c r="L2825">
        <v>219.32310000000001</v>
      </c>
      <c r="M2825">
        <v>0.71232879999999998</v>
      </c>
      <c r="N2825">
        <v>0</v>
      </c>
      <c r="O2825">
        <v>-0.7017873</v>
      </c>
      <c r="P2825">
        <v>0.72973669999999902</v>
      </c>
      <c r="Q2825">
        <v>-2.6977999999999999E-2</v>
      </c>
      <c r="R2825">
        <v>-0.68319619999999903</v>
      </c>
      <c r="S2825">
        <v>3.1111149999999999</v>
      </c>
      <c r="T2825">
        <v>-5.5210469999999998E-2</v>
      </c>
      <c r="U2825">
        <v>-1.0969850000000001</v>
      </c>
      <c r="V2825">
        <v>-2.5246250000000001E-2</v>
      </c>
      <c r="W2825">
        <v>-1.8205969999999998E-2</v>
      </c>
      <c r="X2825">
        <v>0.9995155</v>
      </c>
      <c r="Y2825">
        <v>-0.42485879999999998</v>
      </c>
      <c r="Z2825">
        <v>1.440307E-2</v>
      </c>
      <c r="AA2825">
        <v>0.90514499999999998</v>
      </c>
      <c r="AB2825">
        <v>21</v>
      </c>
      <c r="AC2825">
        <v>62.506</v>
      </c>
      <c r="AD2825">
        <v>-1.1145228245329999</v>
      </c>
      <c r="AE2825">
        <v>-21.8748</v>
      </c>
      <c r="AF2825">
        <v>-28.277021166256802</v>
      </c>
      <c r="AG2825">
        <v>-1.1145228245329999</v>
      </c>
      <c r="AH2825">
        <v>59.861788461835602</v>
      </c>
      <c r="AI2825">
        <v>90.964458779599994</v>
      </c>
      <c r="AJ2825">
        <v>115.28472968102</v>
      </c>
      <c r="AK2825">
        <v>66.213788632073403</v>
      </c>
      <c r="AL2825">
        <v>91.0431828427688</v>
      </c>
      <c r="AM2825">
        <v>91.446897094023797</v>
      </c>
      <c r="AN2825">
        <v>1.00000003261147</v>
      </c>
    </row>
    <row r="2826" spans="1:40" x14ac:dyDescent="0.25">
      <c r="A2826" t="str">
        <f>"20190312161015170"</f>
        <v>20190312161015170</v>
      </c>
      <c r="B2826" t="str">
        <f>"1552378215159131"</f>
        <v>1552378215159131</v>
      </c>
      <c r="C2826" t="s">
        <v>40</v>
      </c>
      <c r="D2826">
        <v>5.1236610000000002</v>
      </c>
      <c r="E2826">
        <v>0.33124510000000001</v>
      </c>
      <c r="F2826" t="s">
        <v>41</v>
      </c>
      <c r="G2826">
        <v>-423.74110000000002</v>
      </c>
      <c r="H2826" s="1">
        <v>-5.2486580000000004E-6</v>
      </c>
      <c r="I2826">
        <v>199.2259</v>
      </c>
      <c r="J2826">
        <v>-482.77330000000001</v>
      </c>
      <c r="K2826">
        <v>1.1145609999999999</v>
      </c>
      <c r="L2826">
        <v>219.1902</v>
      </c>
      <c r="M2826">
        <v>0.718188099999999</v>
      </c>
      <c r="N2826">
        <v>0</v>
      </c>
      <c r="O2826">
        <v>-0.69578969999999996</v>
      </c>
      <c r="P2826">
        <v>0.73481839999999998</v>
      </c>
      <c r="Q2826">
        <v>-2.6307710000000002E-2</v>
      </c>
      <c r="R2826">
        <v>-0.67775399999999997</v>
      </c>
      <c r="S2826">
        <v>3.1177060000000001</v>
      </c>
      <c r="T2826">
        <v>-5.8714389999999998E-2</v>
      </c>
      <c r="U2826">
        <v>-1.058746</v>
      </c>
      <c r="V2826">
        <v>-2.4317640000000001E-2</v>
      </c>
      <c r="W2826">
        <v>-1.750117E-2</v>
      </c>
      <c r="X2826">
        <v>0.99955110000000003</v>
      </c>
      <c r="Y2826">
        <v>-0.42776530000000001</v>
      </c>
      <c r="Z2826">
        <v>1.528414E-2</v>
      </c>
      <c r="AA2826">
        <v>0.90376060000000003</v>
      </c>
      <c r="AB2826">
        <v>21</v>
      </c>
      <c r="AC2826">
        <v>59.032199999999897</v>
      </c>
      <c r="AD2826">
        <v>-1.1145662486579999</v>
      </c>
      <c r="AE2826">
        <v>-19.964300000000001</v>
      </c>
      <c r="AF2826">
        <v>-26.728427392708401</v>
      </c>
      <c r="AG2826">
        <v>-1.1145662486579999</v>
      </c>
      <c r="AH2826">
        <v>56.271500390979597</v>
      </c>
      <c r="AI2826">
        <v>91.024982589083393</v>
      </c>
      <c r="AJ2826">
        <v>115.40727340631901</v>
      </c>
      <c r="AK2826">
        <v>62.306764039403802</v>
      </c>
      <c r="AL2826">
        <v>91.002794353027596</v>
      </c>
      <c r="AM2826">
        <v>91.393648958398501</v>
      </c>
      <c r="AN2826">
        <v>1.0000000200388699</v>
      </c>
    </row>
    <row r="2827" spans="1:40" x14ac:dyDescent="0.25">
      <c r="A2827" t="str">
        <f>"20190312161015193"</f>
        <v>20190312161015193</v>
      </c>
      <c r="B2827" t="str">
        <f>"1552378215188410"</f>
        <v>1552378215188410</v>
      </c>
      <c r="C2827" t="s">
        <v>40</v>
      </c>
      <c r="D2827">
        <v>5.0176179999999997</v>
      </c>
      <c r="E2827">
        <v>0.33145289999999999</v>
      </c>
      <c r="F2827" t="s">
        <v>74</v>
      </c>
      <c r="G2827">
        <v>-431.40469999999999</v>
      </c>
      <c r="H2827">
        <v>8.0002050000000005E-2</v>
      </c>
      <c r="I2827">
        <v>202.0051</v>
      </c>
      <c r="J2827">
        <v>-482.61869999999999</v>
      </c>
      <c r="K2827">
        <v>1.1145940000000001</v>
      </c>
      <c r="L2827">
        <v>219.05430000000001</v>
      </c>
      <c r="M2827">
        <v>0.72420769999999901</v>
      </c>
      <c r="N2827">
        <v>0</v>
      </c>
      <c r="O2827">
        <v>-0.68952159999999996</v>
      </c>
      <c r="P2827">
        <v>0.740824699999999</v>
      </c>
      <c r="Q2827">
        <v>-2.567024E-2</v>
      </c>
      <c r="R2827">
        <v>-0.67120780000000002</v>
      </c>
      <c r="S2827">
        <v>3.1181640000000002</v>
      </c>
      <c r="T2827">
        <v>-6.2799569999999999E-2</v>
      </c>
      <c r="U2827">
        <v>-1.043167</v>
      </c>
      <c r="V2827">
        <v>-2.4520960000000001E-2</v>
      </c>
      <c r="W2827">
        <v>-1.6842300000000001E-2</v>
      </c>
      <c r="X2827">
        <v>0.99955740000000004</v>
      </c>
      <c r="Y2827">
        <v>-0.42398059999999999</v>
      </c>
      <c r="Z2827">
        <v>1.624567E-2</v>
      </c>
      <c r="AA2827">
        <v>0.90552560000000004</v>
      </c>
      <c r="AB2827">
        <v>21</v>
      </c>
      <c r="AC2827">
        <v>51.213999999999999</v>
      </c>
      <c r="AD2827">
        <v>-1.03459195</v>
      </c>
      <c r="AE2827">
        <v>-17.049199999999999</v>
      </c>
      <c r="AF2827">
        <v>-22.958517901536698</v>
      </c>
      <c r="AG2827">
        <v>-1.03459195</v>
      </c>
      <c r="AH2827">
        <v>48.829457200867203</v>
      </c>
      <c r="AI2827">
        <v>91.098466635786707</v>
      </c>
      <c r="AJ2827">
        <v>115.18185943902</v>
      </c>
      <c r="AK2827">
        <v>53.967395854066403</v>
      </c>
      <c r="AL2827">
        <v>90.965038365920094</v>
      </c>
      <c r="AM2827">
        <v>91.405287762502098</v>
      </c>
      <c r="AN2827">
        <v>0.99999996822168502</v>
      </c>
    </row>
    <row r="2828" spans="1:40" x14ac:dyDescent="0.25">
      <c r="A2828" t="str">
        <f>"20190312161015214"</f>
        <v>20190312161015214</v>
      </c>
      <c r="B2828" t="str">
        <f>"1552378215208907"</f>
        <v>1552378215208907</v>
      </c>
      <c r="C2828" t="s">
        <v>40</v>
      </c>
      <c r="D2828">
        <v>5.014608</v>
      </c>
      <c r="E2828">
        <v>0.3312426</v>
      </c>
      <c r="F2828" t="s">
        <v>74</v>
      </c>
      <c r="G2828">
        <v>-423.048</v>
      </c>
      <c r="H2828" s="1">
        <v>7.10111999999999E-6</v>
      </c>
      <c r="I2828">
        <v>199.67529999999999</v>
      </c>
      <c r="J2828">
        <v>-482.46159999999998</v>
      </c>
      <c r="K2828">
        <v>1.114635</v>
      </c>
      <c r="L2828">
        <v>218.9187</v>
      </c>
      <c r="M2828">
        <v>0.73023539999999998</v>
      </c>
      <c r="N2828">
        <v>0</v>
      </c>
      <c r="O2828">
        <v>-0.68313429999999997</v>
      </c>
      <c r="P2828">
        <v>0.74750969999999906</v>
      </c>
      <c r="Q2828">
        <v>-2.5074039999999999E-2</v>
      </c>
      <c r="R2828">
        <v>-0.66377739999999996</v>
      </c>
      <c r="S2828">
        <v>3.1261290000000002</v>
      </c>
      <c r="T2828">
        <v>-5.849087E-2</v>
      </c>
      <c r="U2828">
        <v>-1.0169680000000001</v>
      </c>
      <c r="V2828">
        <v>-2.5741839999999998E-2</v>
      </c>
      <c r="W2828">
        <v>-1.623227E-2</v>
      </c>
      <c r="X2828">
        <v>0.9995368</v>
      </c>
      <c r="Y2828">
        <v>-0.42359059999999998</v>
      </c>
      <c r="Z2828">
        <v>1.5041550000000001E-2</v>
      </c>
      <c r="AA2828">
        <v>0.90572889999999995</v>
      </c>
      <c r="AB2828">
        <v>21</v>
      </c>
      <c r="AC2828">
        <v>59.413599999999903</v>
      </c>
      <c r="AD2828">
        <v>-1.11462789888</v>
      </c>
      <c r="AE2828">
        <v>-19.243400000000001</v>
      </c>
      <c r="AF2828">
        <v>-26.5279177032902</v>
      </c>
      <c r="AG2828">
        <v>-1.11462789888</v>
      </c>
      <c r="AH2828">
        <v>56.516106437848102</v>
      </c>
      <c r="AI2828">
        <v>91.022813826701096</v>
      </c>
      <c r="AJ2828">
        <v>115.144743573767</v>
      </c>
      <c r="AK2828">
        <v>62.442318181820198</v>
      </c>
      <c r="AL2828">
        <v>90.930081436253801</v>
      </c>
      <c r="AM2828">
        <v>91.475256178468001</v>
      </c>
      <c r="AN2828">
        <v>0.99999997173508803</v>
      </c>
    </row>
    <row r="2829" spans="1:40" x14ac:dyDescent="0.25">
      <c r="A2829" t="str">
        <f>"20190312161015238"</f>
        <v>20190312161015238</v>
      </c>
      <c r="B2829" t="str">
        <f>"1552378215228427"</f>
        <v>1552378215228427</v>
      </c>
      <c r="C2829" t="s">
        <v>40</v>
      </c>
      <c r="D2829">
        <v>5.0473319999999999</v>
      </c>
      <c r="E2829">
        <v>0.33152369999999998</v>
      </c>
      <c r="F2829" t="s">
        <v>41</v>
      </c>
      <c r="G2829">
        <v>-412.6148</v>
      </c>
      <c r="H2829" s="1">
        <v>-4.7938970000000001E-6</v>
      </c>
      <c r="I2829">
        <v>197.00129999999999</v>
      </c>
      <c r="J2829">
        <v>-482.29719999999998</v>
      </c>
      <c r="K2829">
        <v>1.114681</v>
      </c>
      <c r="L2829">
        <v>218.7792</v>
      </c>
      <c r="M2829">
        <v>0.73645280000000002</v>
      </c>
      <c r="N2829">
        <v>0</v>
      </c>
      <c r="O2829">
        <v>-0.67642639999999998</v>
      </c>
      <c r="P2829">
        <v>0.75429489999999999</v>
      </c>
      <c r="Q2829">
        <v>-2.4268209999999998E-2</v>
      </c>
      <c r="R2829">
        <v>-0.65608730000000004</v>
      </c>
      <c r="S2829">
        <v>3.1374209999999998</v>
      </c>
      <c r="T2829">
        <v>-5.0068019999999998E-2</v>
      </c>
      <c r="U2829">
        <v>-0.98449710000000001</v>
      </c>
      <c r="V2829">
        <v>-2.6862710000000001E-2</v>
      </c>
      <c r="W2829">
        <v>-1.5397930000000001E-2</v>
      </c>
      <c r="X2829">
        <v>0.99952050000000003</v>
      </c>
      <c r="Y2829">
        <v>-0.42481350000000001</v>
      </c>
      <c r="Z2829">
        <v>1.2799319999999999E-2</v>
      </c>
      <c r="AA2829">
        <v>0.90519039999999995</v>
      </c>
      <c r="AB2829">
        <v>21</v>
      </c>
      <c r="AC2829">
        <v>69.682399999999902</v>
      </c>
      <c r="AD2829">
        <v>-1.1146857938970001</v>
      </c>
      <c r="AE2829">
        <v>-21.777899999999999</v>
      </c>
      <c r="AF2829">
        <v>-31.090687045392901</v>
      </c>
      <c r="AG2829">
        <v>-1.1146857938970001</v>
      </c>
      <c r="AH2829">
        <v>66.036344516406103</v>
      </c>
      <c r="AI2829">
        <v>90.874948473888196</v>
      </c>
      <c r="AJ2829">
        <v>115.211607427952</v>
      </c>
      <c r="AK2829">
        <v>72.997754365892405</v>
      </c>
      <c r="AL2829">
        <v>90.882271298731396</v>
      </c>
      <c r="AM2829">
        <v>91.539487686549606</v>
      </c>
      <c r="AN2829">
        <v>0.99999996567853899</v>
      </c>
    </row>
    <row r="2830" spans="1:40" x14ac:dyDescent="0.25">
      <c r="A2830" t="str">
        <f>"20190312161015260"</f>
        <v>20190312161015260</v>
      </c>
      <c r="B2830" t="str">
        <f>"1552378215248923"</f>
        <v>1552378215248923</v>
      </c>
      <c r="C2830" t="s">
        <v>40</v>
      </c>
      <c r="D2830">
        <v>5.0683109999999996</v>
      </c>
      <c r="E2830">
        <v>0.33180189999999998</v>
      </c>
      <c r="F2830" t="s">
        <v>41</v>
      </c>
      <c r="G2830">
        <v>-409.95780000000002</v>
      </c>
      <c r="H2830">
        <v>4.2439560000000001E-2</v>
      </c>
      <c r="I2830">
        <v>196.83580000000001</v>
      </c>
      <c r="J2830">
        <v>-482.13569999999999</v>
      </c>
      <c r="K2830">
        <v>1.114724</v>
      </c>
      <c r="L2830">
        <v>218.6446</v>
      </c>
      <c r="M2830">
        <v>0.74245930000000004</v>
      </c>
      <c r="N2830">
        <v>0</v>
      </c>
      <c r="O2830">
        <v>-0.66982710000000001</v>
      </c>
      <c r="P2830">
        <v>0.76048680000000002</v>
      </c>
      <c r="Q2830">
        <v>-2.4275100000000001E-2</v>
      </c>
      <c r="R2830">
        <v>-0.64889980000000003</v>
      </c>
      <c r="S2830">
        <v>3.1456909999999998</v>
      </c>
      <c r="T2830">
        <v>-4.6626569999999999E-2</v>
      </c>
      <c r="U2830">
        <v>-0.95420839999999996</v>
      </c>
      <c r="V2830">
        <v>-2.74275E-2</v>
      </c>
      <c r="W2830">
        <v>-1.534834E-2</v>
      </c>
      <c r="X2830">
        <v>0.99950589999999995</v>
      </c>
      <c r="Y2830">
        <v>-0.42538999999999999</v>
      </c>
      <c r="Z2830">
        <v>1.185232E-2</v>
      </c>
      <c r="AA2830">
        <v>0.90493259999999998</v>
      </c>
      <c r="AB2830">
        <v>21</v>
      </c>
      <c r="AC2830">
        <v>72.177899999999894</v>
      </c>
      <c r="AD2830">
        <v>-1.07228444</v>
      </c>
      <c r="AE2830">
        <v>-21.808799999999898</v>
      </c>
      <c r="AF2830">
        <v>-32.1494453574349</v>
      </c>
      <c r="AG2830">
        <v>-1.07228444</v>
      </c>
      <c r="AH2830">
        <v>68.186415645906195</v>
      </c>
      <c r="AI2830">
        <v>90.814921002486301</v>
      </c>
      <c r="AJ2830">
        <v>115.243568472212</v>
      </c>
      <c r="AK2830">
        <v>75.393129059266698</v>
      </c>
      <c r="AL2830">
        <v>90.879429686196403</v>
      </c>
      <c r="AM2830">
        <v>91.571862380309398</v>
      </c>
      <c r="AN2830">
        <v>0.999999941715906</v>
      </c>
    </row>
    <row r="2831" spans="1:40" x14ac:dyDescent="0.25">
      <c r="A2831" t="str">
        <f>"20190312161015306"</f>
        <v>20190312161015306</v>
      </c>
      <c r="B2831" t="str">
        <f>"1552378215298698"</f>
        <v>1552378215298698</v>
      </c>
      <c r="C2831" t="s">
        <v>40</v>
      </c>
      <c r="D2831">
        <v>5.1808880000000004</v>
      </c>
      <c r="E2831">
        <v>0.30729469999999998</v>
      </c>
      <c r="F2831" t="s">
        <v>41</v>
      </c>
      <c r="G2831">
        <v>-409.87169999999998</v>
      </c>
      <c r="H2831">
        <v>7.9985829999999994E-2</v>
      </c>
      <c r="I2831">
        <v>197.4205</v>
      </c>
      <c r="J2831">
        <v>-481.80680000000001</v>
      </c>
      <c r="K2831">
        <v>1.1148129999999901</v>
      </c>
      <c r="L2831">
        <v>218.37809999999999</v>
      </c>
      <c r="M2831">
        <v>0.7543609</v>
      </c>
      <c r="N2831">
        <v>0</v>
      </c>
      <c r="O2831">
        <v>-0.65639080000000005</v>
      </c>
      <c r="P2831">
        <v>0.77087680000000003</v>
      </c>
      <c r="Q2831">
        <v>-2.5315339999999999E-2</v>
      </c>
      <c r="R2831">
        <v>-0.63648070000000001</v>
      </c>
      <c r="S2831">
        <v>3.153168</v>
      </c>
      <c r="T2831">
        <v>-4.5149799999999997E-2</v>
      </c>
      <c r="U2831">
        <v>-0.92608639999999998</v>
      </c>
      <c r="V2831">
        <v>-2.5663729999999999E-2</v>
      </c>
      <c r="W2831">
        <v>-1.6115879999999999E-2</v>
      </c>
      <c r="X2831">
        <v>0.99954069999999995</v>
      </c>
      <c r="Y2831">
        <v>-0.41714319999999999</v>
      </c>
      <c r="Z2831">
        <v>1.128258E-2</v>
      </c>
      <c r="AA2831">
        <v>0.90877070000000004</v>
      </c>
      <c r="AB2831">
        <v>21</v>
      </c>
      <c r="AC2831">
        <v>71.935100000000006</v>
      </c>
      <c r="AD2831">
        <v>-1.03482716999999</v>
      </c>
      <c r="AE2831">
        <v>-20.9575999999999</v>
      </c>
      <c r="AF2831">
        <v>-31.4033787703531</v>
      </c>
      <c r="AG2831">
        <v>-1.03482716999999</v>
      </c>
      <c r="AH2831">
        <v>68.011515860855894</v>
      </c>
      <c r="AI2831">
        <v>90.791432937275204</v>
      </c>
      <c r="AJ2831">
        <v>114.78447977776</v>
      </c>
      <c r="AK2831">
        <v>74.918684953471299</v>
      </c>
      <c r="AL2831">
        <v>90.923411900410599</v>
      </c>
      <c r="AM2831">
        <v>91.470775953751101</v>
      </c>
      <c r="AN2831">
        <v>0.99999997979108801</v>
      </c>
    </row>
    <row r="2832" spans="1:40" x14ac:dyDescent="0.25">
      <c r="A2832" t="str">
        <f>"20190312161015327"</f>
        <v>20190312161015327</v>
      </c>
      <c r="B2832" t="str">
        <f>"1552378215319195"</f>
        <v>1552378215319195</v>
      </c>
      <c r="C2832" t="s">
        <v>40</v>
      </c>
      <c r="D2832">
        <v>5.2205339999999998</v>
      </c>
      <c r="E2832">
        <v>0.2976548</v>
      </c>
      <c r="F2832" t="s">
        <v>64</v>
      </c>
      <c r="G2832">
        <v>-366.4674</v>
      </c>
      <c r="H2832">
        <v>1.363213</v>
      </c>
      <c r="I2832">
        <v>192.8861</v>
      </c>
      <c r="J2832">
        <v>-481.64519999999999</v>
      </c>
      <c r="K2832">
        <v>1.114846</v>
      </c>
      <c r="L2832">
        <v>218.2508</v>
      </c>
      <c r="M2832">
        <v>0.76005239999999996</v>
      </c>
      <c r="N2832">
        <v>0</v>
      </c>
      <c r="O2832">
        <v>-0.64978939999999996</v>
      </c>
      <c r="P2832">
        <v>0.77568369999999998</v>
      </c>
      <c r="Q2832">
        <v>-2.523945E-2</v>
      </c>
      <c r="R2832">
        <v>-0.63061719999999999</v>
      </c>
      <c r="S2832">
        <v>3.29129</v>
      </c>
      <c r="T2832">
        <v>7.0886609999999996E-3</v>
      </c>
      <c r="U2832">
        <v>-0.72743230000000003</v>
      </c>
      <c r="V2832">
        <v>-2.4535660000000001E-2</v>
      </c>
      <c r="W2832">
        <v>-1.5843360000000001E-2</v>
      </c>
      <c r="X2832">
        <v>0.99957339999999995</v>
      </c>
      <c r="Y2832">
        <v>-0.47047109999999898</v>
      </c>
      <c r="Z2832">
        <v>-1.766082E-3</v>
      </c>
      <c r="AA2832">
        <v>0.88241360000000002</v>
      </c>
      <c r="AB2832">
        <v>21</v>
      </c>
      <c r="AC2832">
        <v>115.1778</v>
      </c>
      <c r="AD2832">
        <v>0.248367</v>
      </c>
      <c r="AE2832">
        <v>-25.364699999999999</v>
      </c>
      <c r="AF2832">
        <v>-55.5651800149937</v>
      </c>
      <c r="AG2832">
        <v>0.248367</v>
      </c>
      <c r="AH2832">
        <v>104.02730899777499</v>
      </c>
      <c r="AI2832">
        <v>89.879339458367696</v>
      </c>
      <c r="AJ2832">
        <v>118.108472439374</v>
      </c>
      <c r="AK2832">
        <v>117.937406846106</v>
      </c>
      <c r="AL2832">
        <v>90.9077956452835</v>
      </c>
      <c r="AM2832">
        <v>91.406107377664796</v>
      </c>
      <c r="AN2832">
        <v>0.99999999632764203</v>
      </c>
    </row>
    <row r="2833" spans="1:40" x14ac:dyDescent="0.25">
      <c r="A2833" t="str">
        <f>"20190312161015373"</f>
        <v>20190312161015373</v>
      </c>
      <c r="B2833" t="str">
        <f>"1552378215368971"</f>
        <v>1552378215368971</v>
      </c>
      <c r="C2833" t="s">
        <v>40</v>
      </c>
      <c r="D2833">
        <v>5.2432460000000001</v>
      </c>
      <c r="E2833">
        <v>0.29700280000000001</v>
      </c>
      <c r="F2833" t="s">
        <v>64</v>
      </c>
      <c r="G2833">
        <v>-349.98500000000001</v>
      </c>
      <c r="H2833">
        <v>2.6833629999999999</v>
      </c>
      <c r="I2833">
        <v>192.87049999999999</v>
      </c>
      <c r="J2833">
        <v>-481.30529999999999</v>
      </c>
      <c r="K2833">
        <v>1.114938</v>
      </c>
      <c r="L2833">
        <v>217.99039999999999</v>
      </c>
      <c r="M2833">
        <v>0.77169529999999997</v>
      </c>
      <c r="N2833">
        <v>0</v>
      </c>
      <c r="O2833">
        <v>-0.63591119999999901</v>
      </c>
      <c r="P2833">
        <v>0.78706750000000003</v>
      </c>
      <c r="Q2833">
        <v>-2.6313079999999999E-2</v>
      </c>
      <c r="R2833">
        <v>-0.61630560000000001</v>
      </c>
      <c r="S2833">
        <v>3.3446959999999999</v>
      </c>
      <c r="T2833">
        <v>3.9846180000000002E-2</v>
      </c>
      <c r="U2833">
        <v>-0.64476009999999995</v>
      </c>
      <c r="V2833">
        <v>-2.4704150000000001E-2</v>
      </c>
      <c r="W2833">
        <v>-1.643702E-2</v>
      </c>
      <c r="X2833">
        <v>0.99955959999999999</v>
      </c>
      <c r="Y2833">
        <v>-0.47830030000000001</v>
      </c>
      <c r="Z2833">
        <v>-9.7377990000000001E-3</v>
      </c>
      <c r="AA2833">
        <v>0.87814239999999999</v>
      </c>
      <c r="AB2833">
        <v>21</v>
      </c>
      <c r="AC2833">
        <v>131.32029999999901</v>
      </c>
      <c r="AD2833">
        <v>1.568425</v>
      </c>
      <c r="AE2833">
        <v>-25.119900000000001</v>
      </c>
      <c r="AF2833">
        <v>-64.117629960221805</v>
      </c>
      <c r="AG2833">
        <v>1.568425</v>
      </c>
      <c r="AH2833">
        <v>117.303201992936</v>
      </c>
      <c r="AI2833">
        <v>89.327812118430799</v>
      </c>
      <c r="AJ2833">
        <v>118.660903250817</v>
      </c>
      <c r="AK2833">
        <v>133.692077650443</v>
      </c>
      <c r="AL2833">
        <v>90.941814349993606</v>
      </c>
      <c r="AM2833">
        <v>91.415778946245098</v>
      </c>
      <c r="AN2833">
        <v>0.99999993230292905</v>
      </c>
    </row>
    <row r="2834" spans="1:40" x14ac:dyDescent="0.25">
      <c r="A2834" t="str">
        <f>"20190312161015396"</f>
        <v>20190312161015396</v>
      </c>
      <c r="B2834" t="str">
        <f>"1552378215388491"</f>
        <v>1552378215388491</v>
      </c>
      <c r="C2834" t="s">
        <v>40</v>
      </c>
      <c r="D2834">
        <v>5.2716989999999999</v>
      </c>
      <c r="E2834">
        <v>0.29803099999999999</v>
      </c>
      <c r="F2834" t="s">
        <v>82</v>
      </c>
      <c r="G2834">
        <v>-362.71629999999999</v>
      </c>
      <c r="H2834">
        <v>2.1895519999999999</v>
      </c>
      <c r="I2834">
        <v>197.5504</v>
      </c>
      <c r="J2834">
        <v>-481.13420000000002</v>
      </c>
      <c r="K2834">
        <v>1.1149800000000001</v>
      </c>
      <c r="L2834">
        <v>217.8629</v>
      </c>
      <c r="M2834">
        <v>0.77737449999999997</v>
      </c>
      <c r="N2834">
        <v>0</v>
      </c>
      <c r="O2834">
        <v>-0.6289498</v>
      </c>
      <c r="P2834">
        <v>0.79221529999999996</v>
      </c>
      <c r="Q2834">
        <v>-2.7493940000000001E-2</v>
      </c>
      <c r="R2834">
        <v>-0.60962240000000001</v>
      </c>
      <c r="S2834">
        <v>3.3592219999999999</v>
      </c>
      <c r="T2834">
        <v>3.0442710000000001E-2</v>
      </c>
      <c r="U2834">
        <v>-0.57899480000000003</v>
      </c>
      <c r="V2834">
        <v>-2.4148550000000001E-2</v>
      </c>
      <c r="W2834">
        <v>-1.725457E-2</v>
      </c>
      <c r="X2834">
        <v>0.99955950000000005</v>
      </c>
      <c r="Y2834">
        <v>-0.48775619999999997</v>
      </c>
      <c r="Z2834">
        <v>-7.4251930000000001E-3</v>
      </c>
      <c r="AA2834">
        <v>0.87294830000000001</v>
      </c>
      <c r="AB2834">
        <v>21</v>
      </c>
      <c r="AC2834">
        <v>118.4179</v>
      </c>
      <c r="AD2834">
        <v>1.0745719999999901</v>
      </c>
      <c r="AE2834">
        <v>-20.3125</v>
      </c>
      <c r="AF2834">
        <v>-58.687059074986898</v>
      </c>
      <c r="AG2834">
        <v>1.0745719999999901</v>
      </c>
      <c r="AH2834">
        <v>104.828033754773</v>
      </c>
      <c r="AI2834">
        <v>89.487531768857494</v>
      </c>
      <c r="AJ2834">
        <v>119.241902285436</v>
      </c>
      <c r="AK2834">
        <v>120.142591401825</v>
      </c>
      <c r="AL2834">
        <v>90.988663066973601</v>
      </c>
      <c r="AM2834">
        <v>91.383950531836305</v>
      </c>
      <c r="AN2834">
        <v>1.0000000333466099</v>
      </c>
    </row>
    <row r="2835" spans="1:40" x14ac:dyDescent="0.25">
      <c r="A2835" t="str">
        <f>"20190312161015417"</f>
        <v>20190312161015417</v>
      </c>
      <c r="B2835" t="str">
        <f>"1552378215408986"</f>
        <v>1552378215408986</v>
      </c>
      <c r="C2835" t="s">
        <v>40</v>
      </c>
      <c r="D2835">
        <v>5.3192199999999996</v>
      </c>
      <c r="E2835">
        <v>0.29891180000000001</v>
      </c>
      <c r="F2835" t="s">
        <v>51</v>
      </c>
      <c r="G2835">
        <v>-408.44639999999998</v>
      </c>
      <c r="H2835">
        <v>1.69761899999999</v>
      </c>
      <c r="I2835">
        <v>205.8073</v>
      </c>
      <c r="J2835">
        <v>-480.97449999999998</v>
      </c>
      <c r="K2835">
        <v>1.115022</v>
      </c>
      <c r="L2835">
        <v>217.74610000000001</v>
      </c>
      <c r="M2835">
        <v>0.78257849999999995</v>
      </c>
      <c r="N2835">
        <v>0</v>
      </c>
      <c r="O2835">
        <v>-0.62245600000000001</v>
      </c>
      <c r="P2835">
        <v>0.79701390000000005</v>
      </c>
      <c r="Q2835">
        <v>-2.8446679999999998E-2</v>
      </c>
      <c r="R2835">
        <v>-0.60329080000000002</v>
      </c>
      <c r="S2835">
        <v>3.3590390000000001</v>
      </c>
      <c r="T2835">
        <v>2.692485E-2</v>
      </c>
      <c r="U2835">
        <v>-0.55711359999999999</v>
      </c>
      <c r="V2835">
        <v>-2.3767480000000001E-2</v>
      </c>
      <c r="W2835">
        <v>-1.781454E-2</v>
      </c>
      <c r="X2835">
        <v>0.99955879999999997</v>
      </c>
      <c r="Y2835">
        <v>-0.4860197</v>
      </c>
      <c r="Z2835">
        <v>-6.5274030000000002E-3</v>
      </c>
      <c r="AA2835">
        <v>0.87392349999999996</v>
      </c>
      <c r="AB2835">
        <v>21</v>
      </c>
      <c r="AC2835">
        <v>72.528099999999995</v>
      </c>
      <c r="AD2835">
        <v>0.58259699999999903</v>
      </c>
      <c r="AE2835">
        <v>-11.938800000000001</v>
      </c>
      <c r="AF2835">
        <v>-35.802391583015797</v>
      </c>
      <c r="AG2835">
        <v>0.58259699999999903</v>
      </c>
      <c r="AH2835">
        <v>64.190109965798896</v>
      </c>
      <c r="AI2835">
        <v>89.545852218549996</v>
      </c>
      <c r="AJ2835">
        <v>119.150836679023</v>
      </c>
      <c r="AK2835">
        <v>73.501842696284598</v>
      </c>
      <c r="AL2835">
        <v>91.020751928152606</v>
      </c>
      <c r="AM2835">
        <v>91.362120702582899</v>
      </c>
      <c r="AN2835">
        <v>1.0000000227992001</v>
      </c>
    </row>
    <row r="2836" spans="1:40" x14ac:dyDescent="0.25">
      <c r="A2836" t="str">
        <f>"20190312161015438"</f>
        <v>20190312161015438</v>
      </c>
      <c r="B2836" t="str">
        <f>"1552378215428508"</f>
        <v>1552378215428508</v>
      </c>
      <c r="C2836" t="s">
        <v>40</v>
      </c>
      <c r="D2836">
        <v>5.2991659999999996</v>
      </c>
      <c r="E2836">
        <v>0.2998091</v>
      </c>
      <c r="F2836" t="s">
        <v>55</v>
      </c>
      <c r="G2836">
        <v>-162.39230000000001</v>
      </c>
      <c r="H2836">
        <v>3.2001309999999998</v>
      </c>
      <c r="I2836">
        <v>166.93299999999999</v>
      </c>
      <c r="J2836">
        <v>-480.81420000000003</v>
      </c>
      <c r="K2836">
        <v>1.115062</v>
      </c>
      <c r="L2836">
        <v>217.6309</v>
      </c>
      <c r="M2836">
        <v>0.78771429999999998</v>
      </c>
      <c r="N2836">
        <v>0</v>
      </c>
      <c r="O2836">
        <v>-0.61593640000000005</v>
      </c>
      <c r="P2836">
        <v>0.80217299999999903</v>
      </c>
      <c r="Q2836">
        <v>-2.9367290000000001E-2</v>
      </c>
      <c r="R2836">
        <v>-0.59636909999999999</v>
      </c>
      <c r="S2836">
        <v>3.359283</v>
      </c>
      <c r="T2836">
        <v>2.1986720000000001E-2</v>
      </c>
      <c r="U2836">
        <v>-0.53579709999999903</v>
      </c>
      <c r="V2836">
        <v>-2.4098040000000001E-2</v>
      </c>
      <c r="W2836">
        <v>-1.8328210000000001E-2</v>
      </c>
      <c r="X2836">
        <v>0.99954160000000003</v>
      </c>
      <c r="Y2836">
        <v>-0.48418830000000002</v>
      </c>
      <c r="Z2836">
        <v>-5.2960709999999899E-3</v>
      </c>
      <c r="AA2836">
        <v>0.87494780000000005</v>
      </c>
      <c r="AB2836">
        <v>21</v>
      </c>
      <c r="AC2836">
        <v>318.42189999999999</v>
      </c>
      <c r="AD2836">
        <v>2.0850689999999998</v>
      </c>
      <c r="AE2836">
        <v>-50.697899999999997</v>
      </c>
      <c r="AF2836">
        <v>-156.19568504177099</v>
      </c>
      <c r="AG2836">
        <v>2.0850689999999998</v>
      </c>
      <c r="AH2836">
        <v>282.05849917750101</v>
      </c>
      <c r="AI2836">
        <v>89.629476104576895</v>
      </c>
      <c r="AJ2836">
        <v>118.976391847835</v>
      </c>
      <c r="AK2836">
        <v>322.42586201585499</v>
      </c>
      <c r="AL2836">
        <v>91.050187856016706</v>
      </c>
      <c r="AM2836">
        <v>91.381081654684905</v>
      </c>
      <c r="AN2836">
        <v>1.0000000244720999</v>
      </c>
    </row>
    <row r="2837" spans="1:40" x14ac:dyDescent="0.25">
      <c r="A2837" t="str">
        <f>"20190312161015461"</f>
        <v>20190312161015461</v>
      </c>
      <c r="B2837" t="str">
        <f>"1552378215458763"</f>
        <v>1552378215458763</v>
      </c>
      <c r="C2837" t="s">
        <v>40</v>
      </c>
      <c r="D2837">
        <v>5.3479739999999998</v>
      </c>
      <c r="E2837">
        <v>0.30134919999999998</v>
      </c>
      <c r="F2837" t="s">
        <v>83</v>
      </c>
      <c r="G2837">
        <v>-232.79040000000001</v>
      </c>
      <c r="H2837">
        <v>2.2464439999999999</v>
      </c>
      <c r="I2837">
        <v>179.7963</v>
      </c>
      <c r="J2837">
        <v>-480.63889999999998</v>
      </c>
      <c r="K2837">
        <v>1.1150949999999999</v>
      </c>
      <c r="L2837">
        <v>217.50710000000001</v>
      </c>
      <c r="M2837">
        <v>0.79323399999999999</v>
      </c>
      <c r="N2837">
        <v>0</v>
      </c>
      <c r="O2837">
        <v>-0.60880299999999998</v>
      </c>
      <c r="P2837">
        <v>0.80779019999999901</v>
      </c>
      <c r="Q2837">
        <v>-3.1005209999999998E-2</v>
      </c>
      <c r="R2837">
        <v>-0.58865419999999902</v>
      </c>
      <c r="S2837">
        <v>3.359467</v>
      </c>
      <c r="T2837">
        <v>1.532507E-2</v>
      </c>
      <c r="U2837">
        <v>-0.51246639999999999</v>
      </c>
      <c r="V2837">
        <v>-2.460936E-2</v>
      </c>
      <c r="W2837">
        <v>-1.9532319999999999E-2</v>
      </c>
      <c r="X2837">
        <v>0.99950629999999996</v>
      </c>
      <c r="Y2837">
        <v>-0.48224489999999998</v>
      </c>
      <c r="Z2837">
        <v>-3.665214E-3</v>
      </c>
      <c r="AA2837">
        <v>0.87602880000000005</v>
      </c>
      <c r="AB2837">
        <v>21</v>
      </c>
      <c r="AC2837">
        <v>247.8485</v>
      </c>
      <c r="AD2837">
        <v>1.1313489999999899</v>
      </c>
      <c r="AE2837">
        <v>-37.710799999999999</v>
      </c>
      <c r="AF2837">
        <v>-120.983350188469</v>
      </c>
      <c r="AG2837">
        <v>1.1313489999999899</v>
      </c>
      <c r="AH2837">
        <v>219.571064904145</v>
      </c>
      <c r="AI2837">
        <v>89.741435387094199</v>
      </c>
      <c r="AJ2837">
        <v>118.854702881856</v>
      </c>
      <c r="AK2837">
        <v>250.69843142015401</v>
      </c>
      <c r="AL2837">
        <v>91.119190685324298</v>
      </c>
      <c r="AM2837">
        <v>91.410423968958995</v>
      </c>
      <c r="AN2837">
        <v>0.99999998793194</v>
      </c>
    </row>
    <row r="2838" spans="1:40" x14ac:dyDescent="0.25">
      <c r="A2838" t="str">
        <f>"20190312161015486"</f>
        <v>20190312161015486</v>
      </c>
      <c r="B2838" t="str">
        <f>"1552378215479259"</f>
        <v>1552378215479259</v>
      </c>
      <c r="C2838" t="s">
        <v>40</v>
      </c>
      <c r="D2838">
        <v>5.3496169999999896</v>
      </c>
      <c r="E2838">
        <v>0.30238130000000002</v>
      </c>
      <c r="F2838" t="s">
        <v>55</v>
      </c>
      <c r="G2838">
        <v>-167.23349999999999</v>
      </c>
      <c r="H2838">
        <v>1.71069</v>
      </c>
      <c r="I2838">
        <v>171.77010000000001</v>
      </c>
      <c r="J2838">
        <v>-480.45600000000002</v>
      </c>
      <c r="K2838">
        <v>1.11513</v>
      </c>
      <c r="L2838">
        <v>217.38059999999999</v>
      </c>
      <c r="M2838">
        <v>0.79888300000000001</v>
      </c>
      <c r="N2838">
        <v>0</v>
      </c>
      <c r="O2838">
        <v>-0.60136250000000002</v>
      </c>
      <c r="P2838">
        <v>0.81319090000000005</v>
      </c>
      <c r="Q2838">
        <v>-3.3391490000000003E-2</v>
      </c>
      <c r="R2838">
        <v>-0.58103850000000001</v>
      </c>
      <c r="S2838">
        <v>3.357056</v>
      </c>
      <c r="T2838">
        <v>6.3800810000000001E-3</v>
      </c>
      <c r="U2838">
        <v>-0.48991390000000001</v>
      </c>
      <c r="V2838">
        <v>-2.4582159999999999E-2</v>
      </c>
      <c r="W2838">
        <v>-2.1495009999999998E-2</v>
      </c>
      <c r="X2838">
        <v>0.99946670000000004</v>
      </c>
      <c r="Y2838">
        <v>-0.47972989999999999</v>
      </c>
      <c r="Z2838">
        <v>-1.5149149999999999E-3</v>
      </c>
      <c r="AA2838">
        <v>0.8774149</v>
      </c>
      <c r="AB2838">
        <v>21</v>
      </c>
      <c r="AC2838">
        <v>313.22250000000003</v>
      </c>
      <c r="AD2838">
        <v>0.59555999999999998</v>
      </c>
      <c r="AE2838">
        <v>-45.610499999999902</v>
      </c>
      <c r="AF2838">
        <v>-151.93360150477699</v>
      </c>
      <c r="AG2838">
        <v>0.59555999999999998</v>
      </c>
      <c r="AH2838">
        <v>277.676292777448</v>
      </c>
      <c r="AI2838">
        <v>89.892194749887494</v>
      </c>
      <c r="AJ2838">
        <v>118.685753243596</v>
      </c>
      <c r="AK2838">
        <v>316.52535053065401</v>
      </c>
      <c r="AL2838">
        <v>91.2316682102296</v>
      </c>
      <c r="AM2838">
        <v>91.4089214959332</v>
      </c>
      <c r="AN2838">
        <v>1.00000000122702</v>
      </c>
    </row>
    <row r="2839" spans="1:40" x14ac:dyDescent="0.25">
      <c r="A2839" t="str">
        <f>"20190312161015510"</f>
        <v>20190312161015510</v>
      </c>
      <c r="B2839" t="str">
        <f>"1552378215498779"</f>
        <v>1552378215498779</v>
      </c>
      <c r="C2839" t="s">
        <v>40</v>
      </c>
      <c r="D2839">
        <v>5.3826879999999999</v>
      </c>
      <c r="E2839">
        <v>0.30345719999999998</v>
      </c>
      <c r="F2839" t="s">
        <v>55</v>
      </c>
      <c r="G2839">
        <v>-169.4041</v>
      </c>
      <c r="H2839">
        <v>0.99950700000000003</v>
      </c>
      <c r="I2839">
        <v>174.27599999999899</v>
      </c>
      <c r="J2839">
        <v>-480.27420000000001</v>
      </c>
      <c r="K2839">
        <v>1.1151489999999999</v>
      </c>
      <c r="L2839">
        <v>217.25749999999999</v>
      </c>
      <c r="M2839">
        <v>0.80438929999999997</v>
      </c>
      <c r="N2839">
        <v>0</v>
      </c>
      <c r="O2839">
        <v>-0.59396949999999904</v>
      </c>
      <c r="P2839">
        <v>0.81863710000000001</v>
      </c>
      <c r="Q2839">
        <v>-3.5535869999999997E-2</v>
      </c>
      <c r="R2839">
        <v>-0.57321099999999903</v>
      </c>
      <c r="S2839">
        <v>3.3567200000000001</v>
      </c>
      <c r="T2839">
        <v>-1.2474059999999999E-3</v>
      </c>
      <c r="U2839">
        <v>-0.46516420000000003</v>
      </c>
      <c r="V2839">
        <v>-2.4880940000000001E-2</v>
      </c>
      <c r="W2839">
        <v>-2.3267980000000001E-2</v>
      </c>
      <c r="X2839">
        <v>0.99941959999999996</v>
      </c>
      <c r="Y2839">
        <v>-0.47797020000000001</v>
      </c>
      <c r="Z2839">
        <v>2.9400530000000001E-4</v>
      </c>
      <c r="AA2839">
        <v>0.87837600000000005</v>
      </c>
      <c r="AB2839">
        <v>21</v>
      </c>
      <c r="AC2839">
        <v>310.87009999999998</v>
      </c>
      <c r="AD2839">
        <v>-0.11564199999999999</v>
      </c>
      <c r="AE2839">
        <v>-42.981499999999997</v>
      </c>
      <c r="AF2839">
        <v>-150.08534253469699</v>
      </c>
      <c r="AG2839">
        <v>-0.11564199999999999</v>
      </c>
      <c r="AH2839">
        <v>275.61203098987397</v>
      </c>
      <c r="AI2839">
        <v>90.0211128774054</v>
      </c>
      <c r="AJ2839">
        <v>118.570631700726</v>
      </c>
      <c r="AK2839">
        <v>313.82736503242199</v>
      </c>
      <c r="AL2839">
        <v>91.333277378115497</v>
      </c>
      <c r="AM2839">
        <v>91.426106159764103</v>
      </c>
      <c r="AN2839">
        <v>0.99999999846636101</v>
      </c>
    </row>
    <row r="2840" spans="1:40" x14ac:dyDescent="0.25">
      <c r="A2840" t="str">
        <f>"20190312161015532"</f>
        <v>20190312161015532</v>
      </c>
      <c r="B2840" t="str">
        <f>"1552378215529035"</f>
        <v>1552378215529035</v>
      </c>
      <c r="C2840" t="s">
        <v>40</v>
      </c>
      <c r="D2840">
        <v>5.3864140000000003</v>
      </c>
      <c r="E2840">
        <v>0.3199052</v>
      </c>
      <c r="F2840" t="s">
        <v>60</v>
      </c>
      <c r="G2840">
        <v>-276.46719999999999</v>
      </c>
      <c r="H2840">
        <v>0.55799709999999902</v>
      </c>
      <c r="I2840">
        <v>190.53440000000001</v>
      </c>
      <c r="J2840">
        <v>-480.09710000000001</v>
      </c>
      <c r="K2840">
        <v>1.115143</v>
      </c>
      <c r="L2840">
        <v>217.14</v>
      </c>
      <c r="M2840">
        <v>0.80965909999999996</v>
      </c>
      <c r="N2840">
        <v>0</v>
      </c>
      <c r="O2840">
        <v>-0.58675869999999997</v>
      </c>
      <c r="P2840">
        <v>0.82393430000000001</v>
      </c>
      <c r="Q2840">
        <v>-3.677942E-2</v>
      </c>
      <c r="R2840">
        <v>-0.56549069999999901</v>
      </c>
      <c r="S2840">
        <v>3.3560789999999998</v>
      </c>
      <c r="T2840">
        <v>-9.1745850000000007E-3</v>
      </c>
      <c r="U2840">
        <v>-0.4400482</v>
      </c>
      <c r="V2840">
        <v>-2.5305950000000001E-2</v>
      </c>
      <c r="W2840">
        <v>-2.4191520000000001E-2</v>
      </c>
      <c r="X2840">
        <v>0.99938700000000003</v>
      </c>
      <c r="Y2840">
        <v>-0.47655370000000002</v>
      </c>
      <c r="Z2840">
        <v>2.1471490000000001E-3</v>
      </c>
      <c r="AA2840">
        <v>0.8791428</v>
      </c>
      <c r="AB2840">
        <v>21</v>
      </c>
      <c r="AC2840">
        <v>203.62989999999999</v>
      </c>
      <c r="AD2840">
        <v>-0.55714589999999997</v>
      </c>
      <c r="AE2840">
        <v>-26.6055999999999</v>
      </c>
      <c r="AF2840">
        <v>-97.947576473820803</v>
      </c>
      <c r="AG2840">
        <v>-0.55714589999999997</v>
      </c>
      <c r="AH2840">
        <v>180.495555546449</v>
      </c>
      <c r="AI2840">
        <v>90.155444902451507</v>
      </c>
      <c r="AJ2840">
        <v>118.486878728848</v>
      </c>
      <c r="AK2840">
        <v>205.359888295329</v>
      </c>
      <c r="AL2840">
        <v>91.386207229108393</v>
      </c>
      <c r="AM2840">
        <v>91.450503523413204</v>
      </c>
      <c r="AN2840">
        <v>0.99999999825715602</v>
      </c>
    </row>
    <row r="2841" spans="1:40" x14ac:dyDescent="0.25">
      <c r="A2841" t="str">
        <f>"20190312161015577"</f>
        <v>20190312161015577</v>
      </c>
      <c r="B2841" t="str">
        <f>"1552378215569051"</f>
        <v>1552378215569051</v>
      </c>
      <c r="C2841" t="s">
        <v>40</v>
      </c>
      <c r="D2841">
        <v>5.4528860000000003</v>
      </c>
      <c r="E2841">
        <v>0.32331259999999901</v>
      </c>
      <c r="F2841" t="s">
        <v>74</v>
      </c>
      <c r="G2841">
        <v>-409.67829999999998</v>
      </c>
      <c r="H2841">
        <v>8.0001500000000003E-2</v>
      </c>
      <c r="I2841">
        <v>206.11770000000001</v>
      </c>
      <c r="J2841">
        <v>-479.75720000000001</v>
      </c>
      <c r="K2841">
        <v>1.115116</v>
      </c>
      <c r="L2841">
        <v>216.92060000000001</v>
      </c>
      <c r="M2841">
        <v>0.81954470000000001</v>
      </c>
      <c r="N2841">
        <v>0</v>
      </c>
      <c r="O2841">
        <v>-0.57285819999999998</v>
      </c>
      <c r="P2841">
        <v>0.83258770000000004</v>
      </c>
      <c r="Q2841">
        <v>-3.8813489999999999E-2</v>
      </c>
      <c r="R2841">
        <v>-0.55253180000000002</v>
      </c>
      <c r="S2841">
        <v>3.2859189999999998</v>
      </c>
      <c r="T2841">
        <v>-4.8302289999999998E-2</v>
      </c>
      <c r="U2841">
        <v>-0.51432800000000001</v>
      </c>
      <c r="V2841">
        <v>-2.3825840000000001E-2</v>
      </c>
      <c r="W2841">
        <v>-2.568788E-2</v>
      </c>
      <c r="X2841">
        <v>0.99938610000000005</v>
      </c>
      <c r="Y2841">
        <v>-0.43917210000000001</v>
      </c>
      <c r="Z2841">
        <v>1.1073380000000001E-2</v>
      </c>
      <c r="AA2841">
        <v>0.89833469999999904</v>
      </c>
      <c r="AB2841">
        <v>21</v>
      </c>
      <c r="AC2841">
        <v>70.078900000000004</v>
      </c>
      <c r="AD2841">
        <v>-1.0351144999999999</v>
      </c>
      <c r="AE2841">
        <v>-10.8028999999999</v>
      </c>
      <c r="AF2841">
        <v>-31.2879614455432</v>
      </c>
      <c r="AG2841">
        <v>-1.0351144999999999</v>
      </c>
      <c r="AH2841">
        <v>63.613489944880499</v>
      </c>
      <c r="AI2841">
        <v>90.836537970119394</v>
      </c>
      <c r="AJ2841">
        <v>116.19002429531</v>
      </c>
      <c r="AK2841">
        <v>70.899112098906599</v>
      </c>
      <c r="AL2841">
        <v>91.471968938483897</v>
      </c>
      <c r="AM2841">
        <v>91.365699936390996</v>
      </c>
      <c r="AN2841">
        <v>1.0000000573518999</v>
      </c>
    </row>
    <row r="2842" spans="1:40" x14ac:dyDescent="0.25">
      <c r="A2842" t="str">
        <f>"20190312161015619"</f>
        <v>20190312161015619</v>
      </c>
      <c r="B2842" t="str">
        <f>"1552378215609067"</f>
        <v>1552378215609067</v>
      </c>
      <c r="C2842" t="s">
        <v>40</v>
      </c>
      <c r="D2842">
        <v>5.4552889999999996</v>
      </c>
      <c r="E2842">
        <v>0.32594499999999998</v>
      </c>
      <c r="F2842" t="s">
        <v>74</v>
      </c>
      <c r="G2842">
        <v>-429.60590000000002</v>
      </c>
      <c r="H2842" s="1">
        <v>2.7259509999999999E-6</v>
      </c>
      <c r="I2842">
        <v>209.51</v>
      </c>
      <c r="J2842">
        <v>-479.4264</v>
      </c>
      <c r="K2842">
        <v>1.115059</v>
      </c>
      <c r="L2842">
        <v>216.7149</v>
      </c>
      <c r="M2842">
        <v>0.828858599999999</v>
      </c>
      <c r="N2842">
        <v>0</v>
      </c>
      <c r="O2842">
        <v>-0.5592878</v>
      </c>
      <c r="P2842">
        <v>0.84079669999999895</v>
      </c>
      <c r="Q2842">
        <v>-3.9911790000000003E-2</v>
      </c>
      <c r="R2842">
        <v>-0.53987769999999902</v>
      </c>
      <c r="S2842">
        <v>3.2784119999999999</v>
      </c>
      <c r="T2842">
        <v>-7.2895409999999994E-2</v>
      </c>
      <c r="U2842">
        <v>-0.48443599999999998</v>
      </c>
      <c r="V2842">
        <v>-2.2456770000000001E-2</v>
      </c>
      <c r="W2842">
        <v>-2.6381689999999999E-2</v>
      </c>
      <c r="X2842">
        <v>0.9993997</v>
      </c>
      <c r="Y2842">
        <v>-0.43193779999999998</v>
      </c>
      <c r="Z2842">
        <v>1.6442160000000001E-2</v>
      </c>
      <c r="AA2842">
        <v>0.90175349999999999</v>
      </c>
      <c r="AB2842">
        <v>21</v>
      </c>
      <c r="AC2842">
        <v>49.820499999999903</v>
      </c>
      <c r="AD2842">
        <v>-1.115056274049</v>
      </c>
      <c r="AE2842">
        <v>-7.2049000000000003</v>
      </c>
      <c r="AF2842">
        <v>-21.883503346081</v>
      </c>
      <c r="AG2842">
        <v>-1.115056274049</v>
      </c>
      <c r="AH2842">
        <v>45.305851869219502</v>
      </c>
      <c r="AI2842">
        <v>91.269575946570995</v>
      </c>
      <c r="AJ2842">
        <v>115.78133925337799</v>
      </c>
      <c r="AK2842">
        <v>50.326447150458499</v>
      </c>
      <c r="AL2842">
        <v>91.511734841941703</v>
      </c>
      <c r="AM2842">
        <v>91.287234381568297</v>
      </c>
      <c r="AN2842">
        <v>1.00000003022308</v>
      </c>
    </row>
    <row r="2843" spans="1:40" x14ac:dyDescent="0.25">
      <c r="A2843" t="str">
        <f>"20190312161015642"</f>
        <v>20190312161015642</v>
      </c>
      <c r="B2843" t="str">
        <f>"1552378215638347"</f>
        <v>1552378215638347</v>
      </c>
      <c r="C2843" t="s">
        <v>40</v>
      </c>
      <c r="D2843">
        <v>5.4727629999999996</v>
      </c>
      <c r="E2843">
        <v>0.32739990000000002</v>
      </c>
      <c r="F2843" t="s">
        <v>74</v>
      </c>
      <c r="G2843">
        <v>-435.89729999999997</v>
      </c>
      <c r="H2843" s="1">
        <v>5.1739929999999999E-6</v>
      </c>
      <c r="I2843">
        <v>210.70650000000001</v>
      </c>
      <c r="J2843">
        <v>-479.25069999999999</v>
      </c>
      <c r="K2843">
        <v>1.115043</v>
      </c>
      <c r="L2843">
        <v>216.6086</v>
      </c>
      <c r="M2843">
        <v>0.8336768</v>
      </c>
      <c r="N2843">
        <v>0</v>
      </c>
      <c r="O2843">
        <v>-0.55207589999999995</v>
      </c>
      <c r="P2843">
        <v>0.84521139999999995</v>
      </c>
      <c r="Q2843">
        <v>-4.0721779999999999E-2</v>
      </c>
      <c r="R2843">
        <v>-0.53287850000000003</v>
      </c>
      <c r="S2843">
        <v>3.273895</v>
      </c>
      <c r="T2843">
        <v>-8.3864930000000004E-2</v>
      </c>
      <c r="U2843">
        <v>-0.45190429999999998</v>
      </c>
      <c r="V2843">
        <v>-2.2058000000000001E-2</v>
      </c>
      <c r="W2843">
        <v>-2.7020559999999999E-2</v>
      </c>
      <c r="X2843">
        <v>0.99939149999999999</v>
      </c>
      <c r="Y2843">
        <v>-0.43264380000000002</v>
      </c>
      <c r="Z2843">
        <v>1.8821089999999999E-2</v>
      </c>
      <c r="AA2843">
        <v>0.90136839999999996</v>
      </c>
      <c r="AB2843">
        <v>21</v>
      </c>
      <c r="AC2843">
        <v>43.353400000000001</v>
      </c>
      <c r="AD2843">
        <v>-1.115037826007</v>
      </c>
      <c r="AE2843">
        <v>-5.9020999999999901</v>
      </c>
      <c r="AF2843">
        <v>-19.003437339384501</v>
      </c>
      <c r="AG2843">
        <v>-1.115037826007</v>
      </c>
      <c r="AH2843">
        <v>39.379401302229503</v>
      </c>
      <c r="AI2843">
        <v>91.460794681268396</v>
      </c>
      <c r="AJ2843">
        <v>115.760703643178</v>
      </c>
      <c r="AK2843">
        <v>43.739126500049998</v>
      </c>
      <c r="AL2843">
        <v>91.5483524704064</v>
      </c>
      <c r="AM2843">
        <v>91.264394524378403</v>
      </c>
      <c r="AN2843">
        <v>1.0000000181494799</v>
      </c>
    </row>
    <row r="2844" spans="1:40" x14ac:dyDescent="0.25">
      <c r="A2844" t="str">
        <f>"20190312161015666"</f>
        <v>20190312161015666</v>
      </c>
      <c r="B2844" t="str">
        <f>"1552378215658843"</f>
        <v>1552378215658843</v>
      </c>
      <c r="C2844" t="s">
        <v>40</v>
      </c>
      <c r="D2844">
        <v>5.4875499999999997</v>
      </c>
      <c r="E2844">
        <v>0.32932820000000002</v>
      </c>
      <c r="F2844" t="s">
        <v>74</v>
      </c>
      <c r="G2844">
        <v>-435.80399999999997</v>
      </c>
      <c r="H2844" s="1">
        <v>5.1216500000000003E-6</v>
      </c>
      <c r="I2844">
        <v>210.8323</v>
      </c>
      <c r="J2844">
        <v>-479.0641</v>
      </c>
      <c r="K2844">
        <v>1.1150310000000001</v>
      </c>
      <c r="L2844">
        <v>216.49799999999999</v>
      </c>
      <c r="M2844">
        <v>0.83869719999999903</v>
      </c>
      <c r="N2844">
        <v>0</v>
      </c>
      <c r="O2844">
        <v>-0.54441470000000003</v>
      </c>
      <c r="P2844">
        <v>0.85012480000000001</v>
      </c>
      <c r="Q2844">
        <v>-4.0885280000000003E-2</v>
      </c>
      <c r="R2844">
        <v>-0.52499149999999895</v>
      </c>
      <c r="S2844">
        <v>3.2711489999999999</v>
      </c>
      <c r="T2844">
        <v>-8.3952429999999995E-2</v>
      </c>
      <c r="U2844">
        <v>-0.43490600000000001</v>
      </c>
      <c r="V2844">
        <v>-2.2199050000000001E-2</v>
      </c>
      <c r="W2844">
        <v>-2.7035119999999999E-2</v>
      </c>
      <c r="X2844">
        <v>0.99938800000000005</v>
      </c>
      <c r="Y2844">
        <v>-0.42888090000000001</v>
      </c>
      <c r="Z2844">
        <v>1.865675E-2</v>
      </c>
      <c r="AA2844">
        <v>0.90316839999999998</v>
      </c>
      <c r="AB2844">
        <v>21</v>
      </c>
      <c r="AC2844">
        <v>43.260099999999902</v>
      </c>
      <c r="AD2844">
        <v>-1.11502587834999</v>
      </c>
      <c r="AE2844">
        <v>-5.6656999999999798</v>
      </c>
      <c r="AF2844">
        <v>-18.789232440195601</v>
      </c>
      <c r="AG2844">
        <v>-1.11502587834999</v>
      </c>
      <c r="AH2844">
        <v>39.344847456767802</v>
      </c>
      <c r="AI2844">
        <v>91.464926719993898</v>
      </c>
      <c r="AJ2844">
        <v>115.526927407629</v>
      </c>
      <c r="AK2844">
        <v>43.615313363512797</v>
      </c>
      <c r="AL2844">
        <v>91.549186975639401</v>
      </c>
      <c r="AM2844">
        <v>91.272481507020998</v>
      </c>
      <c r="AN2844">
        <v>1.00000003503915</v>
      </c>
    </row>
    <row r="2845" spans="1:40" x14ac:dyDescent="0.25">
      <c r="A2845" t="str">
        <f>"20190312161015709"</f>
        <v>20190312161015709</v>
      </c>
      <c r="B2845" t="str">
        <f>"1552378215698859"</f>
        <v>1552378215698859</v>
      </c>
      <c r="C2845" t="s">
        <v>40</v>
      </c>
      <c r="D2845">
        <v>5.4512790000000004</v>
      </c>
      <c r="E2845">
        <v>0.32621480000000003</v>
      </c>
      <c r="F2845" t="s">
        <v>74</v>
      </c>
      <c r="G2845">
        <v>-439.64789999999999</v>
      </c>
      <c r="H2845" s="1">
        <v>6.770639E-6</v>
      </c>
      <c r="I2845">
        <v>211.46809999999999</v>
      </c>
      <c r="J2845">
        <v>-478.72669999999999</v>
      </c>
      <c r="K2845">
        <v>1.1149929999999999</v>
      </c>
      <c r="L2845">
        <v>216.304</v>
      </c>
      <c r="M2845">
        <v>0.84752769999999999</v>
      </c>
      <c r="N2845">
        <v>0</v>
      </c>
      <c r="O2845">
        <v>-0.53055769999999902</v>
      </c>
      <c r="P2845">
        <v>0.8584735</v>
      </c>
      <c r="Q2845">
        <v>-3.9647740000000001E-2</v>
      </c>
      <c r="R2845">
        <v>-0.51132330000000004</v>
      </c>
      <c r="S2845">
        <v>3.2669980000000001</v>
      </c>
      <c r="T2845">
        <v>-9.2418189999999997E-2</v>
      </c>
      <c r="U2845">
        <v>-0.41690060000000001</v>
      </c>
      <c r="V2845">
        <v>-2.1816749999999999E-2</v>
      </c>
      <c r="W2845">
        <v>-2.5576450000000001E-2</v>
      </c>
      <c r="X2845">
        <v>0.99943479999999996</v>
      </c>
      <c r="Y2845">
        <v>-0.41869970000000001</v>
      </c>
      <c r="Z2845">
        <v>2.010435E-2</v>
      </c>
      <c r="AA2845">
        <v>0.90790219999999999</v>
      </c>
      <c r="AB2845">
        <v>21</v>
      </c>
      <c r="AC2845">
        <v>39.078800000000001</v>
      </c>
      <c r="AD2845">
        <v>-1.114986229361</v>
      </c>
      <c r="AE2845">
        <v>-4.8358999999999996</v>
      </c>
      <c r="AF2845">
        <v>-16.623378763310701</v>
      </c>
      <c r="AG2845">
        <v>-1.114986229361</v>
      </c>
      <c r="AH2845">
        <v>35.661161159978903</v>
      </c>
      <c r="AI2845">
        <v>91.623239895200399</v>
      </c>
      <c r="AJ2845">
        <v>114.992485395256</v>
      </c>
      <c r="AK2845">
        <v>39.3611271571095</v>
      </c>
      <c r="AL2845">
        <v>91.465582422995695</v>
      </c>
      <c r="AM2845">
        <v>91.250515999410894</v>
      </c>
      <c r="AN2845">
        <v>1.0000000224131</v>
      </c>
    </row>
    <row r="2846" spans="1:40" x14ac:dyDescent="0.25">
      <c r="A2846" t="str">
        <f>"20190312161015732"</f>
        <v>20190312161015732</v>
      </c>
      <c r="B2846" t="str">
        <f>"1552378215718379"</f>
        <v>1552378215718379</v>
      </c>
      <c r="C2846" t="s">
        <v>40</v>
      </c>
      <c r="D2846">
        <v>5.4530349999999999</v>
      </c>
      <c r="E2846">
        <v>0.32812170000000002</v>
      </c>
      <c r="F2846" t="s">
        <v>64</v>
      </c>
      <c r="G2846">
        <v>-256.4674</v>
      </c>
      <c r="H2846">
        <v>1.4031419999999999</v>
      </c>
      <c r="I2846">
        <v>192.62729999999999</v>
      </c>
      <c r="J2846">
        <v>-478.54910000000001</v>
      </c>
      <c r="K2846">
        <v>1.1149819999999999</v>
      </c>
      <c r="L2846">
        <v>216.20480000000001</v>
      </c>
      <c r="M2846">
        <v>0.85205259999999905</v>
      </c>
      <c r="N2846">
        <v>0</v>
      </c>
      <c r="O2846">
        <v>-0.52325790000000005</v>
      </c>
      <c r="P2846">
        <v>0.86257830000000002</v>
      </c>
      <c r="Q2846">
        <v>-3.8850179999999998E-2</v>
      </c>
      <c r="R2846">
        <v>-0.50443039999999995</v>
      </c>
      <c r="S2846">
        <v>3.2863159999999998</v>
      </c>
      <c r="T2846">
        <v>4.2605400000000002E-3</v>
      </c>
      <c r="U2846">
        <v>-0.35008240000000002</v>
      </c>
      <c r="V2846">
        <v>-2.126917E-2</v>
      </c>
      <c r="W2846">
        <v>-2.4682079999999999E-2</v>
      </c>
      <c r="X2846">
        <v>0.99946900000000005</v>
      </c>
      <c r="Y2846">
        <v>-0.43010169999999998</v>
      </c>
      <c r="Z2846">
        <v>-9.2294269999999997E-4</v>
      </c>
      <c r="AA2846">
        <v>0.90278000000000003</v>
      </c>
      <c r="AB2846">
        <v>21</v>
      </c>
      <c r="AC2846">
        <v>222.08170000000001</v>
      </c>
      <c r="AD2846">
        <v>0.28816000000000003</v>
      </c>
      <c r="AE2846">
        <v>-23.577500000000001</v>
      </c>
      <c r="AF2846">
        <v>-96.126549196193906</v>
      </c>
      <c r="AG2846">
        <v>0.28816000000000003</v>
      </c>
      <c r="AH2846">
        <v>201.58298650633901</v>
      </c>
      <c r="AI2846">
        <v>89.926071785354395</v>
      </c>
      <c r="AJ2846">
        <v>115.49453443014301</v>
      </c>
      <c r="AK2846">
        <v>223.32957024399801</v>
      </c>
      <c r="AL2846">
        <v>91.414322736237096</v>
      </c>
      <c r="AM2846">
        <v>91.219097109113093</v>
      </c>
      <c r="AN2846">
        <v>0.99999993231330497</v>
      </c>
    </row>
    <row r="2847" spans="1:40" x14ac:dyDescent="0.25">
      <c r="A2847" t="str">
        <f>"20190312161015756"</f>
        <v>20190312161015756</v>
      </c>
      <c r="B2847" t="str">
        <f>"1552378215748635"</f>
        <v>1552378215748635</v>
      </c>
      <c r="C2847" t="s">
        <v>40</v>
      </c>
      <c r="D2847">
        <v>5.4847340000000004</v>
      </c>
      <c r="E2847">
        <v>0.3296675</v>
      </c>
      <c r="F2847" t="s">
        <v>64</v>
      </c>
      <c r="G2847">
        <v>-256.4674</v>
      </c>
      <c r="H2847">
        <v>1.0676680000000001</v>
      </c>
      <c r="I2847">
        <v>193.42660000000001</v>
      </c>
      <c r="J2847">
        <v>-478.34960000000001</v>
      </c>
      <c r="K2847">
        <v>1.1149690000000001</v>
      </c>
      <c r="L2847">
        <v>216.09569999999999</v>
      </c>
      <c r="M2847">
        <v>0.85703850000000004</v>
      </c>
      <c r="N2847">
        <v>0</v>
      </c>
      <c r="O2847">
        <v>-0.51504830000000001</v>
      </c>
      <c r="P2847">
        <v>0.86673809999999996</v>
      </c>
      <c r="Q2847">
        <v>-3.7810490000000002E-2</v>
      </c>
      <c r="R2847">
        <v>-0.4973284</v>
      </c>
      <c r="S2847">
        <v>3.2810969999999999</v>
      </c>
      <c r="T2847">
        <v>-6.9904329999999999E-4</v>
      </c>
      <c r="U2847">
        <v>-0.33653260000000002</v>
      </c>
      <c r="V2847">
        <v>-1.9915720000000001E-2</v>
      </c>
      <c r="W2847">
        <v>-2.3540459999999999E-2</v>
      </c>
      <c r="X2847">
        <v>0.99952450000000004</v>
      </c>
      <c r="Y2847">
        <v>-0.4249598</v>
      </c>
      <c r="Z2847">
        <v>1.4969009999999999E-4</v>
      </c>
      <c r="AA2847">
        <v>0.90521220000000002</v>
      </c>
      <c r="AB2847">
        <v>21</v>
      </c>
      <c r="AC2847">
        <v>221.88220000000001</v>
      </c>
      <c r="AD2847">
        <v>-4.7301000000000003E-2</v>
      </c>
      <c r="AE2847">
        <v>-22.669099999999901</v>
      </c>
      <c r="AF2847">
        <v>-94.861727435385504</v>
      </c>
      <c r="AG2847">
        <v>-4.7301000000000003E-2</v>
      </c>
      <c r="AH2847">
        <v>201.85848251895601</v>
      </c>
      <c r="AI2847">
        <v>90.012151101159105</v>
      </c>
      <c r="AJ2847">
        <v>115.170790587319</v>
      </c>
      <c r="AK2847">
        <v>223.037208855979</v>
      </c>
      <c r="AL2847">
        <v>91.3488935973662</v>
      </c>
      <c r="AM2847">
        <v>91.141478502059798</v>
      </c>
      <c r="AN2847">
        <v>1.00000000763019</v>
      </c>
    </row>
    <row r="2848" spans="1:40" x14ac:dyDescent="0.25">
      <c r="A2848" t="str">
        <f>"20190312161015796"</f>
        <v>20190312161015796</v>
      </c>
      <c r="B2848" t="str">
        <f>"1552378215788651"</f>
        <v>1552378215788651</v>
      </c>
      <c r="C2848" t="s">
        <v>40</v>
      </c>
      <c r="D2848">
        <v>5.5157210000000001</v>
      </c>
      <c r="E2848">
        <v>0.33910069999999998</v>
      </c>
      <c r="F2848" t="s">
        <v>65</v>
      </c>
      <c r="G2848">
        <v>-258.65269999999998</v>
      </c>
      <c r="H2848">
        <v>0.91700289999999995</v>
      </c>
      <c r="I2848">
        <v>194.6626</v>
      </c>
      <c r="J2848">
        <v>-478.03579999999999</v>
      </c>
      <c r="K2848">
        <v>1.1149560000000001</v>
      </c>
      <c r="L2848">
        <v>215.92920000000001</v>
      </c>
      <c r="M2848">
        <v>0.86467150000000004</v>
      </c>
      <c r="N2848">
        <v>0</v>
      </c>
      <c r="O2848">
        <v>-0.50212539999999894</v>
      </c>
      <c r="P2848">
        <v>0.87278739999999999</v>
      </c>
      <c r="Q2848">
        <v>-3.6126720000000001E-2</v>
      </c>
      <c r="R2848">
        <v>-0.48676180000000002</v>
      </c>
      <c r="S2848">
        <v>3.277679</v>
      </c>
      <c r="T2848">
        <v>-2.9535289999999999E-3</v>
      </c>
      <c r="U2848">
        <v>-0.31976320000000003</v>
      </c>
      <c r="V2848">
        <v>-1.7115789999999999E-2</v>
      </c>
      <c r="W2848">
        <v>-2.1717380000000001E-2</v>
      </c>
      <c r="X2848">
        <v>0.9996176</v>
      </c>
      <c r="Y2848">
        <v>-0.41584009999999999</v>
      </c>
      <c r="Z2848">
        <v>6.1927970000000005E-4</v>
      </c>
      <c r="AA2848">
        <v>0.90943759999999996</v>
      </c>
      <c r="AB2848">
        <v>20</v>
      </c>
      <c r="AC2848">
        <v>219.38310000000001</v>
      </c>
      <c r="AD2848">
        <v>-0.19795309999999999</v>
      </c>
      <c r="AE2848">
        <v>-21.2666</v>
      </c>
      <c r="AF2848">
        <v>-91.778917712997</v>
      </c>
      <c r="AG2848">
        <v>-0.19795309999999999</v>
      </c>
      <c r="AH2848">
        <v>200.394023697904</v>
      </c>
      <c r="AI2848">
        <v>90.051457774187895</v>
      </c>
      <c r="AJ2848">
        <v>114.60741455855199</v>
      </c>
      <c r="AK2848">
        <v>220.41137369889699</v>
      </c>
      <c r="AL2848">
        <v>91.244412085852105</v>
      </c>
      <c r="AM2848">
        <v>90.980941823975897</v>
      </c>
      <c r="AN2848">
        <v>0.99999997054557299</v>
      </c>
    </row>
    <row r="2849" spans="1:40" x14ac:dyDescent="0.25">
      <c r="A2849" t="str">
        <f>"20190312161015819"</f>
        <v>20190312161015819</v>
      </c>
      <c r="B2849" t="str">
        <f>"1552378215809147"</f>
        <v>1552378215809147</v>
      </c>
      <c r="C2849" t="s">
        <v>40</v>
      </c>
      <c r="D2849">
        <v>5.5373219999999996</v>
      </c>
      <c r="E2849">
        <v>0.34035989999999999</v>
      </c>
      <c r="F2849" t="s">
        <v>61</v>
      </c>
      <c r="G2849">
        <v>-392.44540000000001</v>
      </c>
      <c r="H2849">
        <v>8.0000740000000001E-2</v>
      </c>
      <c r="I2849">
        <v>206.9025</v>
      </c>
      <c r="J2849">
        <v>-477.8528</v>
      </c>
      <c r="K2849">
        <v>1.1149439999999999</v>
      </c>
      <c r="L2849">
        <v>215.8347</v>
      </c>
      <c r="M2849">
        <v>0.86900829999999996</v>
      </c>
      <c r="N2849">
        <v>0</v>
      </c>
      <c r="O2849">
        <v>-0.49458039999999998</v>
      </c>
      <c r="P2849">
        <v>0.87655989999999995</v>
      </c>
      <c r="Q2849">
        <v>-3.5261359999999999E-2</v>
      </c>
      <c r="R2849">
        <v>-0.47999930000000002</v>
      </c>
      <c r="S2849">
        <v>3.244812</v>
      </c>
      <c r="T2849">
        <v>-3.9236069999999998E-2</v>
      </c>
      <c r="U2849">
        <v>-0.34220889999999998</v>
      </c>
      <c r="V2849">
        <v>-1.61727999999999E-2</v>
      </c>
      <c r="W2849">
        <v>-2.0792060000000001E-2</v>
      </c>
      <c r="X2849">
        <v>0.99965300000000001</v>
      </c>
      <c r="Y2849">
        <v>-0.40069120000000003</v>
      </c>
      <c r="Z2849">
        <v>8.1331849999999994E-3</v>
      </c>
      <c r="AA2849">
        <v>0.91617700000000002</v>
      </c>
      <c r="AB2849">
        <v>20</v>
      </c>
      <c r="AC2849">
        <v>85.407399999999996</v>
      </c>
      <c r="AD2849">
        <v>-1.0349432599999999</v>
      </c>
      <c r="AE2849">
        <v>-8.9321999999999893</v>
      </c>
      <c r="AF2849">
        <v>-34.477365910841598</v>
      </c>
      <c r="AG2849">
        <v>-1.0349432599999999</v>
      </c>
      <c r="AH2849">
        <v>78.634455952804103</v>
      </c>
      <c r="AI2849">
        <v>90.690595145581199</v>
      </c>
      <c r="AJ2849">
        <v>113.67510233616601</v>
      </c>
      <c r="AK2849">
        <v>85.866975786357898</v>
      </c>
      <c r="AL2849">
        <v>91.191383143171905</v>
      </c>
      <c r="AM2849">
        <v>90.926873974883506</v>
      </c>
      <c r="AN2849">
        <v>0.99999999481394097</v>
      </c>
    </row>
    <row r="2850" spans="1:40" x14ac:dyDescent="0.25">
      <c r="A2850" t="str">
        <f>"20190312161015843"</f>
        <v>20190312161015843</v>
      </c>
      <c r="B2850" t="str">
        <f>"1552378215838428"</f>
        <v>1552378215838428</v>
      </c>
      <c r="C2850" t="s">
        <v>40</v>
      </c>
      <c r="D2850">
        <v>5.5805280000000002</v>
      </c>
      <c r="E2850">
        <v>0.34234680000000001</v>
      </c>
      <c r="F2850" t="s">
        <v>61</v>
      </c>
      <c r="G2850">
        <v>-395.83949999999999</v>
      </c>
      <c r="H2850">
        <v>8.0001219999999998E-2</v>
      </c>
      <c r="I2850">
        <v>207.59469999999999</v>
      </c>
      <c r="J2850">
        <v>-477.66609999999997</v>
      </c>
      <c r="K2850">
        <v>1.1149359999999999</v>
      </c>
      <c r="L2850">
        <v>215.74039999999999</v>
      </c>
      <c r="M2850">
        <v>0.87334940000000005</v>
      </c>
      <c r="N2850">
        <v>0</v>
      </c>
      <c r="O2850">
        <v>-0.48687229999999998</v>
      </c>
      <c r="P2850">
        <v>0.88022299999999998</v>
      </c>
      <c r="Q2850">
        <v>-3.4576700000000002E-2</v>
      </c>
      <c r="R2850">
        <v>-0.47329870000000002</v>
      </c>
      <c r="S2850">
        <v>3.2424620000000002</v>
      </c>
      <c r="T2850">
        <v>-4.091728E-2</v>
      </c>
      <c r="U2850">
        <v>-0.32577509999999998</v>
      </c>
      <c r="V2850">
        <v>-1.4977519999999999E-2</v>
      </c>
      <c r="W2850">
        <v>-2.0051960000000001E-2</v>
      </c>
      <c r="X2850">
        <v>0.99968670000000004</v>
      </c>
      <c r="Y2850">
        <v>-0.39710279999999998</v>
      </c>
      <c r="Z2850">
        <v>8.3843459999999904E-3</v>
      </c>
      <c r="AA2850">
        <v>0.91773579999999999</v>
      </c>
      <c r="AB2850">
        <v>20</v>
      </c>
      <c r="AC2850">
        <v>81.8265999999999</v>
      </c>
      <c r="AD2850">
        <v>-1.0349347799999999</v>
      </c>
      <c r="AE2850">
        <v>-8.1456999999999997</v>
      </c>
      <c r="AF2850">
        <v>-32.723417329484803</v>
      </c>
      <c r="AG2850">
        <v>-1.0349347799999999</v>
      </c>
      <c r="AH2850">
        <v>75.425335154748595</v>
      </c>
      <c r="AI2850">
        <v>90.721183282774504</v>
      </c>
      <c r="AJ2850">
        <v>113.453697706149</v>
      </c>
      <c r="AK2850">
        <v>82.224535966611796</v>
      </c>
      <c r="AL2850">
        <v>91.148969738613005</v>
      </c>
      <c r="AM2850">
        <v>90.858353405730199</v>
      </c>
      <c r="AN2850">
        <v>0.99999995268103903</v>
      </c>
    </row>
    <row r="2851" spans="1:40" x14ac:dyDescent="0.25">
      <c r="A2851" t="str">
        <f>"20190312161015865"</f>
        <v>20190312161015865</v>
      </c>
      <c r="B2851" t="str">
        <f>"1552378215858924"</f>
        <v>1552378215858924</v>
      </c>
      <c r="C2851" t="s">
        <v>40</v>
      </c>
      <c r="D2851">
        <v>5.5808929999999997</v>
      </c>
      <c r="E2851">
        <v>0.35259380000000001</v>
      </c>
      <c r="F2851" t="s">
        <v>74</v>
      </c>
      <c r="G2851">
        <v>-403.15170000000001</v>
      </c>
      <c r="H2851">
        <v>8.0001370000000002E-2</v>
      </c>
      <c r="I2851">
        <v>208.50299999999999</v>
      </c>
      <c r="J2851">
        <v>-477.48320000000001</v>
      </c>
      <c r="K2851">
        <v>1.1149230000000001</v>
      </c>
      <c r="L2851">
        <v>215.65010000000001</v>
      </c>
      <c r="M2851">
        <v>0.87751630000000003</v>
      </c>
      <c r="N2851">
        <v>0</v>
      </c>
      <c r="O2851">
        <v>-0.47932039999999998</v>
      </c>
      <c r="P2851">
        <v>0.88372090000000003</v>
      </c>
      <c r="Q2851">
        <v>-3.4002009999999999E-2</v>
      </c>
      <c r="R2851">
        <v>-0.46677770000000002</v>
      </c>
      <c r="S2851">
        <v>3.2373660000000002</v>
      </c>
      <c r="T2851">
        <v>-4.4963959999999997E-2</v>
      </c>
      <c r="U2851">
        <v>-0.31443789999999999</v>
      </c>
      <c r="V2851">
        <v>-1.376499E-2</v>
      </c>
      <c r="W2851">
        <v>-1.9429869999999998E-2</v>
      </c>
      <c r="X2851">
        <v>0.99971650000000001</v>
      </c>
      <c r="Y2851">
        <v>-0.39220670000000002</v>
      </c>
      <c r="Z2851">
        <v>9.1048350000000004E-3</v>
      </c>
      <c r="AA2851">
        <v>0.91983210000000004</v>
      </c>
      <c r="AB2851">
        <v>20</v>
      </c>
      <c r="AC2851">
        <v>74.331500000000005</v>
      </c>
      <c r="AD2851">
        <v>-1.0349216299999999</v>
      </c>
      <c r="AE2851">
        <v>-7.1471000000000204</v>
      </c>
      <c r="AF2851">
        <v>-29.354456459382199</v>
      </c>
      <c r="AG2851">
        <v>-1.0349216299999999</v>
      </c>
      <c r="AH2851">
        <v>68.647121630052197</v>
      </c>
      <c r="AI2851">
        <v>90.794171795390298</v>
      </c>
      <c r="AJ2851">
        <v>113.15222032581001</v>
      </c>
      <c r="AK2851">
        <v>74.667144614597305</v>
      </c>
      <c r="AL2851">
        <v>91.113319563174002</v>
      </c>
      <c r="AM2851">
        <v>90.788849636887306</v>
      </c>
      <c r="AN2851">
        <v>1.0000000375850799</v>
      </c>
    </row>
    <row r="2852" spans="1:40" x14ac:dyDescent="0.25">
      <c r="A2852" t="str">
        <f>"20190312161015889"</f>
        <v>20190312161015889</v>
      </c>
      <c r="B2852" t="str">
        <f>"1552378215878445"</f>
        <v>1552378215878445</v>
      </c>
      <c r="C2852" t="s">
        <v>40</v>
      </c>
      <c r="D2852">
        <v>5.5871110000000002</v>
      </c>
      <c r="E2852">
        <v>0.35270980000000002</v>
      </c>
      <c r="F2852" t="s">
        <v>74</v>
      </c>
      <c r="G2852">
        <v>-437.7944</v>
      </c>
      <c r="H2852" s="1">
        <v>5.9724550000000002E-6</v>
      </c>
      <c r="I2852">
        <v>211.19669999999999</v>
      </c>
      <c r="J2852">
        <v>-477.29259999999999</v>
      </c>
      <c r="K2852">
        <v>1.114911</v>
      </c>
      <c r="L2852">
        <v>215.5582</v>
      </c>
      <c r="M2852">
        <v>0.88177169999999905</v>
      </c>
      <c r="N2852">
        <v>0</v>
      </c>
      <c r="O2852">
        <v>-0.47144550000000002</v>
      </c>
      <c r="P2852">
        <v>0.887665699999999</v>
      </c>
      <c r="Q2852">
        <v>-3.3106169999999997E-2</v>
      </c>
      <c r="R2852">
        <v>-0.45929730000000002</v>
      </c>
      <c r="S2852">
        <v>3.201508</v>
      </c>
      <c r="T2852">
        <v>-8.9935180000000003E-2</v>
      </c>
      <c r="U2852">
        <v>-0.35923769999999999</v>
      </c>
      <c r="V2852">
        <v>-1.328614E-2</v>
      </c>
      <c r="W2852">
        <v>-1.8499959999999999E-2</v>
      </c>
      <c r="X2852">
        <v>0.99974059999999998</v>
      </c>
      <c r="Y2852">
        <v>-0.36990800000000001</v>
      </c>
      <c r="Z2852">
        <v>1.7879530000000001E-2</v>
      </c>
      <c r="AA2852">
        <v>0.92889639999999996</v>
      </c>
      <c r="AB2852">
        <v>20</v>
      </c>
      <c r="AC2852">
        <v>39.498199999999997</v>
      </c>
      <c r="AD2852">
        <v>-1.1149050275450001</v>
      </c>
      <c r="AE2852">
        <v>-4.3615000000000004</v>
      </c>
      <c r="AF2852">
        <v>-14.7653881721956</v>
      </c>
      <c r="AG2852">
        <v>-1.1149050275450001</v>
      </c>
      <c r="AH2852">
        <v>36.859608020310397</v>
      </c>
      <c r="AI2852">
        <v>91.608344676100302</v>
      </c>
      <c r="AJ2852">
        <v>111.830274524917</v>
      </c>
      <c r="AK2852">
        <v>39.7226686478513</v>
      </c>
      <c r="AL2852">
        <v>91.060030080862603</v>
      </c>
      <c r="AM2852">
        <v>90.761392442989504</v>
      </c>
      <c r="AN2852">
        <v>1.00000001866223</v>
      </c>
    </row>
    <row r="2853" spans="1:40" x14ac:dyDescent="0.25">
      <c r="A2853" t="str">
        <f>"20190312161015955"</f>
        <v>20190312161015955</v>
      </c>
      <c r="B2853" t="str">
        <f>"1552378215949223"</f>
        <v>1552378215949223</v>
      </c>
      <c r="C2853" t="s">
        <v>40</v>
      </c>
      <c r="D2853">
        <v>7.2095039999999901</v>
      </c>
      <c r="E2853">
        <v>0.35370949999999901</v>
      </c>
      <c r="F2853" t="s">
        <v>74</v>
      </c>
      <c r="G2853">
        <v>-435.25450000000001</v>
      </c>
      <c r="H2853" s="1">
        <v>4.8469470000000004E-6</v>
      </c>
      <c r="I2853">
        <v>211.18719999999999</v>
      </c>
      <c r="J2853">
        <v>-476.7697</v>
      </c>
      <c r="K2853">
        <v>1.114886</v>
      </c>
      <c r="L2853">
        <v>215.31649999999999</v>
      </c>
      <c r="M2853">
        <v>0.89300040000000003</v>
      </c>
      <c r="N2853">
        <v>0</v>
      </c>
      <c r="O2853">
        <v>-0.4498122</v>
      </c>
      <c r="P2853">
        <v>0.89847889999999997</v>
      </c>
      <c r="Q2853">
        <v>-3.0466210000000001E-2</v>
      </c>
      <c r="R2853">
        <v>-0.43795899999999999</v>
      </c>
      <c r="S2853">
        <v>3.2040410000000001</v>
      </c>
      <c r="T2853">
        <v>-8.4975480000000006E-2</v>
      </c>
      <c r="U2853">
        <v>-0.33314510000000003</v>
      </c>
      <c r="V2853">
        <v>-1.287723E-2</v>
      </c>
      <c r="W2853">
        <v>-1.580107E-2</v>
      </c>
      <c r="X2853">
        <v>0.99979220000000002</v>
      </c>
      <c r="Y2853">
        <v>-0.35481810000000003</v>
      </c>
      <c r="Z2853">
        <v>1.6184199999999999E-2</v>
      </c>
      <c r="AA2853">
        <v>0.9347953</v>
      </c>
      <c r="AB2853">
        <v>20</v>
      </c>
      <c r="AC2853">
        <v>41.515199999999901</v>
      </c>
      <c r="AD2853">
        <v>-1.1148811530530001</v>
      </c>
      <c r="AE2853">
        <v>-4.1292999999999997</v>
      </c>
      <c r="AF2853">
        <v>-14.977524563146901</v>
      </c>
      <c r="AG2853">
        <v>-1.1148811530530001</v>
      </c>
      <c r="AH2853">
        <v>38.906984563582498</v>
      </c>
      <c r="AI2853">
        <v>91.531838109024307</v>
      </c>
      <c r="AJ2853">
        <v>111.054570794209</v>
      </c>
      <c r="AK2853">
        <v>41.705187325510799</v>
      </c>
      <c r="AL2853">
        <v>90.905372327224399</v>
      </c>
      <c r="AM2853">
        <v>90.737923476403495</v>
      </c>
      <c r="AN2853">
        <v>0.99999997002322805</v>
      </c>
    </row>
    <row r="2854" spans="1:40" x14ac:dyDescent="0.25">
      <c r="A2854" t="str">
        <f>"20190312161015978"</f>
        <v>20190312161015978</v>
      </c>
      <c r="B2854" t="str">
        <f>"1552378215968744"</f>
        <v>1552378215968744</v>
      </c>
      <c r="C2854" t="s">
        <v>40</v>
      </c>
      <c r="D2854">
        <v>5.6569520000000004</v>
      </c>
      <c r="E2854">
        <v>0.3556916</v>
      </c>
      <c r="F2854" t="s">
        <v>74</v>
      </c>
      <c r="G2854">
        <v>-429.55829999999997</v>
      </c>
      <c r="H2854" s="1">
        <v>2.5471780000000002E-6</v>
      </c>
      <c r="I2854">
        <v>211.4357</v>
      </c>
      <c r="J2854">
        <v>-476.57600000000002</v>
      </c>
      <c r="K2854">
        <v>1.1148720000000001</v>
      </c>
      <c r="L2854">
        <v>215.23079999999999</v>
      </c>
      <c r="M2854">
        <v>0.89699519999999899</v>
      </c>
      <c r="N2854">
        <v>0</v>
      </c>
      <c r="O2854">
        <v>-0.44179190000000002</v>
      </c>
      <c r="P2854">
        <v>0.90227040000000003</v>
      </c>
      <c r="Q2854">
        <v>-2.9505130000000001E-2</v>
      </c>
      <c r="R2854">
        <v>-0.4301605</v>
      </c>
      <c r="S2854">
        <v>3.2078549999999999</v>
      </c>
      <c r="T2854">
        <v>-7.57525E-2</v>
      </c>
      <c r="U2854">
        <v>-0.26368709999999901</v>
      </c>
      <c r="V2854">
        <v>-1.260377E-2</v>
      </c>
      <c r="W2854">
        <v>-1.482404E-2</v>
      </c>
      <c r="X2854">
        <v>0.99981070000000005</v>
      </c>
      <c r="Y2854">
        <v>-0.36664629999999998</v>
      </c>
      <c r="Z2854">
        <v>1.440702E-2</v>
      </c>
      <c r="AA2854">
        <v>0.93024890000000005</v>
      </c>
      <c r="AB2854">
        <v>20</v>
      </c>
      <c r="AC2854">
        <v>47.017699999999898</v>
      </c>
      <c r="AD2854">
        <v>-1.11486945282199</v>
      </c>
      <c r="AE2854">
        <v>-3.7950999999999899</v>
      </c>
      <c r="AF2854">
        <v>-17.360061793905299</v>
      </c>
      <c r="AG2854">
        <v>-1.11486945282199</v>
      </c>
      <c r="AH2854">
        <v>43.831625174019699</v>
      </c>
      <c r="AI2854">
        <v>91.354679960359306</v>
      </c>
      <c r="AJ2854">
        <v>111.606659803577</v>
      </c>
      <c r="AK2854">
        <v>47.1574601180005</v>
      </c>
      <c r="AL2854">
        <v>90.849386020070597</v>
      </c>
      <c r="AM2854">
        <v>90.722241297726299</v>
      </c>
      <c r="AN2854">
        <v>1.0000000215073099</v>
      </c>
    </row>
    <row r="2855" spans="1:40" x14ac:dyDescent="0.25">
      <c r="A2855" t="str">
        <f>"20190312161016002"</f>
        <v>20190312161016002</v>
      </c>
      <c r="B2855" t="str">
        <f>"1552378215999508"</f>
        <v>1552378215999508</v>
      </c>
      <c r="C2855" t="s">
        <v>40</v>
      </c>
      <c r="D2855">
        <v>5.6855339999999996</v>
      </c>
      <c r="E2855">
        <v>0.35859940000000001</v>
      </c>
      <c r="F2855" t="s">
        <v>74</v>
      </c>
      <c r="G2855">
        <v>-430.34739999999999</v>
      </c>
      <c r="H2855" s="1">
        <v>2.6323850000000002E-6</v>
      </c>
      <c r="I2855">
        <v>211.62719999999999</v>
      </c>
      <c r="J2855">
        <v>-476.38670000000002</v>
      </c>
      <c r="K2855">
        <v>1.1148559999999901</v>
      </c>
      <c r="L2855">
        <v>215.149</v>
      </c>
      <c r="M2855">
        <v>0.90081</v>
      </c>
      <c r="N2855">
        <v>0</v>
      </c>
      <c r="O2855">
        <v>-0.43396000000000001</v>
      </c>
      <c r="P2855">
        <v>0.90560759999999996</v>
      </c>
      <c r="Q2855">
        <v>-2.8686340000000001E-2</v>
      </c>
      <c r="R2855">
        <v>-0.4231451</v>
      </c>
      <c r="S2855">
        <v>3.2033689999999999</v>
      </c>
      <c r="T2855">
        <v>-7.7254059999999999E-2</v>
      </c>
      <c r="U2855">
        <v>-0.24971009999999999</v>
      </c>
      <c r="V2855">
        <v>-1.1673299999999999E-2</v>
      </c>
      <c r="W2855">
        <v>-1.3985650000000001E-2</v>
      </c>
      <c r="X2855">
        <v>0.99983409999999995</v>
      </c>
      <c r="Y2855">
        <v>-0.3624578</v>
      </c>
      <c r="Z2855">
        <v>1.4496739999999999E-2</v>
      </c>
      <c r="AA2855">
        <v>0.93188740000000003</v>
      </c>
      <c r="AB2855">
        <v>20</v>
      </c>
      <c r="AC2855">
        <v>46.039299999999997</v>
      </c>
      <c r="AD2855">
        <v>-1.1148533676150001</v>
      </c>
      <c r="AE2855">
        <v>-3.52180000000001</v>
      </c>
      <c r="AF2855">
        <v>-16.7987983905901</v>
      </c>
      <c r="AG2855">
        <v>-1.1148533676150001</v>
      </c>
      <c r="AH2855">
        <v>42.980658072184397</v>
      </c>
      <c r="AI2855">
        <v>91.383927560856506</v>
      </c>
      <c r="AJ2855">
        <v>111.34782149484499</v>
      </c>
      <c r="AK2855">
        <v>46.160367131523202</v>
      </c>
      <c r="AL2855">
        <v>90.801344807015198</v>
      </c>
      <c r="AM2855">
        <v>90.668911408176697</v>
      </c>
      <c r="AN2855">
        <v>1.00000004593081</v>
      </c>
    </row>
    <row r="2856" spans="1:40" x14ac:dyDescent="0.25">
      <c r="A2856" t="str">
        <f>"20190312161016021"</f>
        <v>20190312161016021</v>
      </c>
      <c r="B2856" t="str">
        <f>"1552378216019029"</f>
        <v>1552378216019029</v>
      </c>
      <c r="C2856" t="s">
        <v>40</v>
      </c>
      <c r="D2856">
        <v>5.695773</v>
      </c>
      <c r="E2856">
        <v>0.35998560000000002</v>
      </c>
      <c r="F2856" t="s">
        <v>74</v>
      </c>
      <c r="G2856">
        <v>-435.3023</v>
      </c>
      <c r="H2856" s="1">
        <v>4.7973029999999997E-6</v>
      </c>
      <c r="I2856">
        <v>211.9973</v>
      </c>
      <c r="J2856">
        <v>-476.22719999999998</v>
      </c>
      <c r="K2856">
        <v>1.114827</v>
      </c>
      <c r="L2856">
        <v>215.08170000000001</v>
      </c>
      <c r="M2856">
        <v>0.90395230000000004</v>
      </c>
      <c r="N2856">
        <v>0</v>
      </c>
      <c r="O2856">
        <v>-0.42737609999999898</v>
      </c>
      <c r="P2856">
        <v>0.90821949999999996</v>
      </c>
      <c r="Q2856">
        <v>-2.8219580000000001E-2</v>
      </c>
      <c r="R2856">
        <v>-0.41754219999999997</v>
      </c>
      <c r="S2856">
        <v>3.1953740000000002</v>
      </c>
      <c r="T2856">
        <v>-8.6708549999999995E-2</v>
      </c>
      <c r="U2856">
        <v>-0.2451324</v>
      </c>
      <c r="V2856">
        <v>-1.0569189999999999E-2</v>
      </c>
      <c r="W2856">
        <v>-1.3501350000000001E-2</v>
      </c>
      <c r="X2856">
        <v>0.99985299999999999</v>
      </c>
      <c r="Y2856">
        <v>-0.35674309999999998</v>
      </c>
      <c r="Z2856">
        <v>1.607285E-2</v>
      </c>
      <c r="AA2856">
        <v>0.93406420000000001</v>
      </c>
      <c r="AB2856">
        <v>20</v>
      </c>
      <c r="AC2856">
        <v>40.924899999999901</v>
      </c>
      <c r="AD2856">
        <v>-1.1148222026970001</v>
      </c>
      <c r="AE2856">
        <v>-3.0844000000000098</v>
      </c>
      <c r="AF2856">
        <v>-14.692949122269599</v>
      </c>
      <c r="AG2856">
        <v>-1.1148222026970001</v>
      </c>
      <c r="AH2856">
        <v>38.288318072000003</v>
      </c>
      <c r="AI2856">
        <v>91.557127052163807</v>
      </c>
      <c r="AJ2856">
        <v>110.994053508966</v>
      </c>
      <c r="AK2856">
        <v>41.025856276693098</v>
      </c>
      <c r="AL2856">
        <v>90.773593870430204</v>
      </c>
      <c r="AM2856">
        <v>90.605636454353103</v>
      </c>
      <c r="AN2856">
        <v>1.0000000079190301</v>
      </c>
    </row>
    <row r="2857" spans="1:40" x14ac:dyDescent="0.25">
      <c r="A2857" t="str">
        <f>"20190312161016046"</f>
        <v>20190312161016046</v>
      </c>
      <c r="B2857" t="str">
        <f>"1552378216038549"</f>
        <v>1552378216038549</v>
      </c>
      <c r="C2857" t="s">
        <v>40</v>
      </c>
      <c r="D2857">
        <v>5.7314369999999997</v>
      </c>
      <c r="E2857">
        <v>0.36070079999999999</v>
      </c>
      <c r="F2857" t="s">
        <v>74</v>
      </c>
      <c r="G2857">
        <v>-436.86040000000003</v>
      </c>
      <c r="H2857" s="1">
        <v>5.4718300000000003E-6</v>
      </c>
      <c r="I2857">
        <v>212.18530000000001</v>
      </c>
      <c r="J2857">
        <v>-476.03789999999998</v>
      </c>
      <c r="K2857">
        <v>1.1147899999999999</v>
      </c>
      <c r="L2857">
        <v>215.0035</v>
      </c>
      <c r="M2857">
        <v>0.90759800000000002</v>
      </c>
      <c r="N2857">
        <v>0</v>
      </c>
      <c r="O2857">
        <v>-0.41957840000000002</v>
      </c>
      <c r="P2857">
        <v>0.91133929999999996</v>
      </c>
      <c r="Q2857">
        <v>-2.7531320000000001E-2</v>
      </c>
      <c r="R2857">
        <v>-0.41073549999999998</v>
      </c>
      <c r="S2857">
        <v>3.192383</v>
      </c>
      <c r="T2857">
        <v>-9.0404509999999993E-2</v>
      </c>
      <c r="U2857">
        <v>-0.23487849999999999</v>
      </c>
      <c r="V2857">
        <v>-9.4598370000000005E-3</v>
      </c>
      <c r="W2857">
        <v>-1.279752E-2</v>
      </c>
      <c r="X2857">
        <v>0.99987329999999996</v>
      </c>
      <c r="Y2857">
        <v>-0.35159269999999998</v>
      </c>
      <c r="Z2857">
        <v>1.6503159999999999E-2</v>
      </c>
      <c r="AA2857">
        <v>0.93600760000000005</v>
      </c>
      <c r="AB2857">
        <v>20</v>
      </c>
      <c r="AC2857">
        <v>39.177499999999903</v>
      </c>
      <c r="AD2857">
        <v>-1.11478452817</v>
      </c>
      <c r="AE2857">
        <v>-2.8181999999999898</v>
      </c>
      <c r="AF2857">
        <v>-13.870593227613</v>
      </c>
      <c r="AG2857">
        <v>-1.11478452817</v>
      </c>
      <c r="AH2857">
        <v>36.714342044975297</v>
      </c>
      <c r="AI2857">
        <v>91.627005566526407</v>
      </c>
      <c r="AJ2857">
        <v>110.69644859795299</v>
      </c>
      <c r="AK2857">
        <v>39.262947072597498</v>
      </c>
      <c r="AL2857">
        <v>90.7332639439975</v>
      </c>
      <c r="AM2857">
        <v>90.542061243059507</v>
      </c>
      <c r="AN2857">
        <v>0.99999994054355101</v>
      </c>
    </row>
    <row r="2858" spans="1:40" x14ac:dyDescent="0.25">
      <c r="A2858" t="str">
        <f>"20190312161016088"</f>
        <v>20190312161016088</v>
      </c>
      <c r="B2858" t="str">
        <f>"1552378216078565"</f>
        <v>1552378216078565</v>
      </c>
      <c r="C2858" t="s">
        <v>40</v>
      </c>
      <c r="D2858">
        <v>5.7488400000000004</v>
      </c>
      <c r="E2858">
        <v>0.3759961</v>
      </c>
      <c r="F2858" t="s">
        <v>74</v>
      </c>
      <c r="G2858">
        <v>-437.04820000000001</v>
      </c>
      <c r="H2858" s="1">
        <v>5.5393999999999999E-6</v>
      </c>
      <c r="I2858">
        <v>212.36490000000001</v>
      </c>
      <c r="J2858">
        <v>-475.68990000000002</v>
      </c>
      <c r="K2858">
        <v>1.1147180000000001</v>
      </c>
      <c r="L2858">
        <v>214.8647</v>
      </c>
      <c r="M2858">
        <v>0.91405190000000003</v>
      </c>
      <c r="N2858">
        <v>0</v>
      </c>
      <c r="O2858">
        <v>-0.40532570000000001</v>
      </c>
      <c r="P2858">
        <v>0.91685430000000001</v>
      </c>
      <c r="Q2858">
        <v>-2.7552779999999999E-2</v>
      </c>
      <c r="R2858">
        <v>-0.39827020000000002</v>
      </c>
      <c r="S2858">
        <v>3.1917719999999998</v>
      </c>
      <c r="T2858">
        <v>-9.1258409999999998E-2</v>
      </c>
      <c r="U2858">
        <v>-0.21600340000000001</v>
      </c>
      <c r="V2858">
        <v>-7.451633E-3</v>
      </c>
      <c r="W2858">
        <v>-1.279865E-2</v>
      </c>
      <c r="X2858">
        <v>0.99989030000000001</v>
      </c>
      <c r="Y2858">
        <v>-0.34242630000000002</v>
      </c>
      <c r="Z2858">
        <v>1.616447E-2</v>
      </c>
      <c r="AA2858">
        <v>0.93940559999999995</v>
      </c>
      <c r="AB2858">
        <v>20</v>
      </c>
      <c r="AC2858">
        <v>38.6417</v>
      </c>
      <c r="AD2858">
        <v>-1.1147124606000001</v>
      </c>
      <c r="AE2858">
        <v>-2.4997999999999898</v>
      </c>
      <c r="AF2858">
        <v>-13.3679222251276</v>
      </c>
      <c r="AG2858">
        <v>-1.1147124606000001</v>
      </c>
      <c r="AH2858">
        <v>36.307665201259397</v>
      </c>
      <c r="AI2858">
        <v>91.650296668969602</v>
      </c>
      <c r="AJ2858">
        <v>110.21292855879901</v>
      </c>
      <c r="AK2858">
        <v>38.706465620792898</v>
      </c>
      <c r="AL2858">
        <v>90.733328670352094</v>
      </c>
      <c r="AM2858">
        <v>90.426986057939601</v>
      </c>
      <c r="AN2858">
        <v>0.99999997215513903</v>
      </c>
    </row>
    <row r="2859" spans="1:40" x14ac:dyDescent="0.25">
      <c r="A2859" t="str">
        <f>"20190312161016111"</f>
        <v>20190312161016111</v>
      </c>
      <c r="B2859" t="str">
        <f>"1552378216098591"</f>
        <v>1552378216098591</v>
      </c>
      <c r="C2859" t="s">
        <v>40</v>
      </c>
      <c r="D2859">
        <v>5.7523</v>
      </c>
      <c r="E2859">
        <v>0.37706079999999997</v>
      </c>
      <c r="F2859" t="s">
        <v>61</v>
      </c>
      <c r="G2859">
        <v>-451.12380000000002</v>
      </c>
      <c r="H2859" s="1">
        <v>-8.5382430000000004E-7</v>
      </c>
      <c r="I2859">
        <v>212.67330000000001</v>
      </c>
      <c r="J2859">
        <v>-475.50749999999999</v>
      </c>
      <c r="K2859">
        <v>1.1146830000000001</v>
      </c>
      <c r="L2859">
        <v>214.79429999999999</v>
      </c>
      <c r="M2859">
        <v>0.91731359999999995</v>
      </c>
      <c r="N2859">
        <v>0</v>
      </c>
      <c r="O2859">
        <v>-0.3978893</v>
      </c>
      <c r="P2859">
        <v>0.91967730000000003</v>
      </c>
      <c r="Q2859">
        <v>-2.709986E-2</v>
      </c>
      <c r="R2859">
        <v>-0.39173910000000001</v>
      </c>
      <c r="S2859">
        <v>3.1458740000000001</v>
      </c>
      <c r="T2859">
        <v>-0.14274790000000001</v>
      </c>
      <c r="U2859">
        <v>-0.2806244</v>
      </c>
      <c r="V2859">
        <v>-6.4547099999999998E-3</v>
      </c>
      <c r="W2859">
        <v>-1.2338129999999999E-2</v>
      </c>
      <c r="X2859">
        <v>0.99990299999999999</v>
      </c>
      <c r="Y2859">
        <v>-0.3141428</v>
      </c>
      <c r="Z2859">
        <v>2.4654329999999999E-2</v>
      </c>
      <c r="AA2859">
        <v>0.9490556</v>
      </c>
      <c r="AB2859">
        <v>20</v>
      </c>
      <c r="AC2859">
        <v>24.383699999999902</v>
      </c>
      <c r="AD2859">
        <v>-1.1146838538243</v>
      </c>
      <c r="AE2859">
        <v>-2.12099999999998</v>
      </c>
      <c r="AF2859">
        <v>-7.7411879648043902</v>
      </c>
      <c r="AG2859">
        <v>-1.1146838538243</v>
      </c>
      <c r="AH2859">
        <v>23.165926388097901</v>
      </c>
      <c r="AI2859">
        <v>92.612982685338906</v>
      </c>
      <c r="AJ2859">
        <v>108.477704252769</v>
      </c>
      <c r="AK2859">
        <v>24.450534894336801</v>
      </c>
      <c r="AL2859">
        <v>90.706940747648602</v>
      </c>
      <c r="AM2859">
        <v>90.369858380297998</v>
      </c>
      <c r="AN2859">
        <v>0.99999995107103901</v>
      </c>
    </row>
    <row r="2860" spans="1:40" x14ac:dyDescent="0.25">
      <c r="A2860" t="str">
        <f>"20190312161016135"</f>
        <v>20190312161016135</v>
      </c>
      <c r="B2860" t="str">
        <f>"1552378216128848"</f>
        <v>1552378216128848</v>
      </c>
      <c r="C2860" t="s">
        <v>40</v>
      </c>
      <c r="D2860">
        <v>5.7745790000000001</v>
      </c>
      <c r="E2860">
        <v>0.37638509999999997</v>
      </c>
      <c r="F2860" t="s">
        <v>61</v>
      </c>
      <c r="G2860">
        <v>-451.77269999999999</v>
      </c>
      <c r="H2860" s="1">
        <v>-5.1368809999999998E-7</v>
      </c>
      <c r="I2860">
        <v>212.79179999999999</v>
      </c>
      <c r="J2860">
        <v>-475.31020000000001</v>
      </c>
      <c r="K2860">
        <v>1.1146450000000001</v>
      </c>
      <c r="L2860">
        <v>214.7201</v>
      </c>
      <c r="M2860">
        <v>0.92074610000000001</v>
      </c>
      <c r="N2860">
        <v>0</v>
      </c>
      <c r="O2860">
        <v>-0.38988050000000002</v>
      </c>
      <c r="P2860">
        <v>0.92260059999999999</v>
      </c>
      <c r="Q2860">
        <v>-2.6192489999999999E-2</v>
      </c>
      <c r="R2860">
        <v>-0.38486609999999899</v>
      </c>
      <c r="S2860">
        <v>3.1446230000000002</v>
      </c>
      <c r="T2860">
        <v>-0.1476846</v>
      </c>
      <c r="U2860">
        <v>-0.26531979999999999</v>
      </c>
      <c r="V2860">
        <v>-5.2232119999999996E-3</v>
      </c>
      <c r="W2860">
        <v>-1.142232E-2</v>
      </c>
      <c r="X2860">
        <v>0.99992110000000001</v>
      </c>
      <c r="Y2860">
        <v>-0.31038100000000002</v>
      </c>
      <c r="Z2860">
        <v>2.5090600000000001E-2</v>
      </c>
      <c r="AA2860">
        <v>0.95028100000000004</v>
      </c>
      <c r="AB2860">
        <v>20</v>
      </c>
      <c r="AC2860">
        <v>23.537500000000001</v>
      </c>
      <c r="AD2860">
        <v>-1.1146455136880999</v>
      </c>
      <c r="AE2860">
        <v>-1.9282999999999999</v>
      </c>
      <c r="AF2860">
        <v>-7.3856983784424903</v>
      </c>
      <c r="AG2860">
        <v>-1.1146455136880999</v>
      </c>
      <c r="AH2860">
        <v>22.376485781085201</v>
      </c>
      <c r="AI2860">
        <v>92.708253408233901</v>
      </c>
      <c r="AJ2860">
        <v>108.266256674012</v>
      </c>
      <c r="AK2860">
        <v>23.5902117639842</v>
      </c>
      <c r="AL2860">
        <v>90.654464973935802</v>
      </c>
      <c r="AM2860">
        <v>90.299288895073303</v>
      </c>
      <c r="AN2860">
        <v>0.99999997878149405</v>
      </c>
    </row>
    <row r="2861" spans="1:40" x14ac:dyDescent="0.25">
      <c r="A2861" t="str">
        <f>"20190312161016179"</f>
        <v>20190312161016179</v>
      </c>
      <c r="B2861" t="str">
        <f>"1552378216168863"</f>
        <v>1552378216168863</v>
      </c>
      <c r="C2861" t="s">
        <v>40</v>
      </c>
      <c r="D2861">
        <v>5.8416189999999997</v>
      </c>
      <c r="E2861">
        <v>0.37708979999999998</v>
      </c>
      <c r="F2861" t="s">
        <v>61</v>
      </c>
      <c r="G2861">
        <v>-448.43639999999999</v>
      </c>
      <c r="H2861" s="1">
        <v>3.0369320000000001E-6</v>
      </c>
      <c r="I2861">
        <v>212.6876</v>
      </c>
      <c r="J2861">
        <v>-474.9538</v>
      </c>
      <c r="K2861">
        <v>1.1145769999999999</v>
      </c>
      <c r="L2861">
        <v>214.5908</v>
      </c>
      <c r="M2861">
        <v>0.92669460000000003</v>
      </c>
      <c r="N2861">
        <v>0</v>
      </c>
      <c r="O2861">
        <v>-0.37552340000000001</v>
      </c>
      <c r="P2861">
        <v>0.92807910000000005</v>
      </c>
      <c r="Q2861">
        <v>-2.5364870000000001E-2</v>
      </c>
      <c r="R2861">
        <v>-0.37151830000000002</v>
      </c>
      <c r="S2861">
        <v>3.1486209999999999</v>
      </c>
      <c r="T2861">
        <v>-0.13059499999999999</v>
      </c>
      <c r="U2861">
        <v>-0.23814389999999999</v>
      </c>
      <c r="V2861">
        <v>-4.1251769999999998E-3</v>
      </c>
      <c r="W2861">
        <v>-1.0595530000000001E-2</v>
      </c>
      <c r="X2861">
        <v>0.99993529999999997</v>
      </c>
      <c r="Y2861">
        <v>-0.30403229999999998</v>
      </c>
      <c r="Z2861">
        <v>2.149175E-2</v>
      </c>
      <c r="AA2861">
        <v>0.95241929999999997</v>
      </c>
      <c r="AB2861">
        <v>20</v>
      </c>
      <c r="AC2861">
        <v>26.517399999999999</v>
      </c>
      <c r="AD2861">
        <v>-1.1145739630679901</v>
      </c>
      <c r="AE2861">
        <v>-1.90319999999999</v>
      </c>
      <c r="AF2861">
        <v>-8.1807390502164399</v>
      </c>
      <c r="AG2861">
        <v>-1.1145739630679901</v>
      </c>
      <c r="AH2861">
        <v>25.246626831573298</v>
      </c>
      <c r="AI2861">
        <v>92.404874428258196</v>
      </c>
      <c r="AJ2861">
        <v>107.95403299826199</v>
      </c>
      <c r="AK2861">
        <v>26.5623593247965</v>
      </c>
      <c r="AL2861">
        <v>90.607090544706196</v>
      </c>
      <c r="AM2861">
        <v>90.236369184078399</v>
      </c>
      <c r="AN2861">
        <v>0.99999994326367403</v>
      </c>
    </row>
    <row r="2862" spans="1:40" x14ac:dyDescent="0.25">
      <c r="A2862" t="str">
        <f>"20190312161016201"</f>
        <v>20190312161016201</v>
      </c>
      <c r="B2862" t="str">
        <f>"1552378216188383"</f>
        <v>1552378216188383</v>
      </c>
      <c r="C2862" t="s">
        <v>40</v>
      </c>
      <c r="D2862">
        <v>5.8098660000000004</v>
      </c>
      <c r="E2862">
        <v>0.362014</v>
      </c>
      <c r="F2862" t="s">
        <v>61</v>
      </c>
      <c r="G2862">
        <v>-447.13499999999999</v>
      </c>
      <c r="H2862" s="1">
        <v>2.3377320000000001E-6</v>
      </c>
      <c r="I2862">
        <v>212.8409</v>
      </c>
      <c r="J2862">
        <v>-474.77890000000002</v>
      </c>
      <c r="K2862">
        <v>1.1145430000000001</v>
      </c>
      <c r="L2862">
        <v>214.52959999999999</v>
      </c>
      <c r="M2862">
        <v>0.92949939999999998</v>
      </c>
      <c r="N2862">
        <v>0</v>
      </c>
      <c r="O2862">
        <v>-0.36852629999999997</v>
      </c>
      <c r="P2862">
        <v>0.9307976</v>
      </c>
      <c r="Q2862">
        <v>-2.467331E-2</v>
      </c>
      <c r="R2862">
        <v>-0.3647012</v>
      </c>
      <c r="S2862">
        <v>3.149689</v>
      </c>
      <c r="T2862">
        <v>-0.126194</v>
      </c>
      <c r="U2862">
        <v>-0.19813539999999999</v>
      </c>
      <c r="V2862">
        <v>-3.9354359999999996E-3</v>
      </c>
      <c r="W2862">
        <v>-9.9096119999999999E-3</v>
      </c>
      <c r="X2862">
        <v>0.99994309999999997</v>
      </c>
      <c r="Y2862">
        <v>-0.30894959999999999</v>
      </c>
      <c r="Z2862">
        <v>2.0615419999999999E-2</v>
      </c>
      <c r="AA2862">
        <v>0.95085500000000001</v>
      </c>
      <c r="AB2862">
        <v>20</v>
      </c>
      <c r="AC2862">
        <v>27.643899999999999</v>
      </c>
      <c r="AD2862">
        <v>-1.1145406622679901</v>
      </c>
      <c r="AE2862">
        <v>-1.6886999999999801</v>
      </c>
      <c r="AF2862">
        <v>-8.6048679457124297</v>
      </c>
      <c r="AG2862">
        <v>-1.1145406622679901</v>
      </c>
      <c r="AH2862">
        <v>26.277647971497402</v>
      </c>
      <c r="AI2862">
        <v>92.308225004329799</v>
      </c>
      <c r="AJ2862">
        <v>108.131530587076</v>
      </c>
      <c r="AK2862">
        <v>27.673104924546099</v>
      </c>
      <c r="AL2862">
        <v>90.567788268169494</v>
      </c>
      <c r="AM2862">
        <v>90.225495539846094</v>
      </c>
      <c r="AN2862">
        <v>0.99999994565205297</v>
      </c>
    </row>
    <row r="2863" spans="1:40" x14ac:dyDescent="0.25">
      <c r="A2863" t="str">
        <f>"20190312161016246"</f>
        <v>20190312161016246</v>
      </c>
      <c r="B2863" t="str">
        <f>"1552378216239135"</f>
        <v>1552378216239135</v>
      </c>
      <c r="C2863" t="s">
        <v>40</v>
      </c>
      <c r="D2863">
        <v>5.828525</v>
      </c>
      <c r="E2863">
        <v>0.36239539999999998</v>
      </c>
      <c r="F2863" t="s">
        <v>61</v>
      </c>
      <c r="G2863">
        <v>-369.71820000000002</v>
      </c>
      <c r="H2863" s="1">
        <v>3.6347399999999999E-6</v>
      </c>
      <c r="I2863">
        <v>212.2354</v>
      </c>
      <c r="J2863">
        <v>-474.41070000000002</v>
      </c>
      <c r="K2863">
        <v>1.1144540000000001</v>
      </c>
      <c r="L2863">
        <v>214.40520000000001</v>
      </c>
      <c r="M2863">
        <v>0.93515859999999995</v>
      </c>
      <c r="N2863">
        <v>0</v>
      </c>
      <c r="O2863">
        <v>-0.35392079999999998</v>
      </c>
      <c r="P2863">
        <v>0.93603630000000004</v>
      </c>
      <c r="Q2863">
        <v>-2.3756719999999999E-2</v>
      </c>
      <c r="R2863">
        <v>-0.35110059999999998</v>
      </c>
      <c r="S2863">
        <v>3.1948240000000001</v>
      </c>
      <c r="T2863">
        <v>-3.3892390000000001E-2</v>
      </c>
      <c r="U2863">
        <v>-6.9763179999999994E-2</v>
      </c>
      <c r="V2863">
        <v>-2.8602520000000002E-3</v>
      </c>
      <c r="W2863">
        <v>-9.0011569999999992E-3</v>
      </c>
      <c r="X2863">
        <v>0.99995540000000005</v>
      </c>
      <c r="Y2863">
        <v>-0.33341939999999998</v>
      </c>
      <c r="Z2863">
        <v>5.4563069999999997E-3</v>
      </c>
      <c r="AA2863">
        <v>0.94276289999999996</v>
      </c>
      <c r="AB2863">
        <v>20</v>
      </c>
      <c r="AC2863">
        <v>104.6925</v>
      </c>
      <c r="AD2863">
        <v>-1.11445036526</v>
      </c>
      <c r="AE2863">
        <v>-2.1698</v>
      </c>
      <c r="AF2863">
        <v>-35.0236054749831</v>
      </c>
      <c r="AG2863">
        <v>-1.11445036526</v>
      </c>
      <c r="AH2863">
        <v>98.671632552415204</v>
      </c>
      <c r="AI2863">
        <v>90.609827951993196</v>
      </c>
      <c r="AJ2863">
        <v>109.542374594688</v>
      </c>
      <c r="AK2863">
        <v>104.70905410060099</v>
      </c>
      <c r="AL2863">
        <v>90.515735270215998</v>
      </c>
      <c r="AM2863">
        <v>90.163887230372595</v>
      </c>
      <c r="AN2863">
        <v>1.0000000019290001</v>
      </c>
    </row>
    <row r="2864" spans="1:40" x14ac:dyDescent="0.25">
      <c r="A2864" t="str">
        <f>"20190312161016267"</f>
        <v>20190312161016267</v>
      </c>
      <c r="B2864" t="str">
        <f>"1552378216258656"</f>
        <v>1552378216258656</v>
      </c>
      <c r="C2864" t="s">
        <v>40</v>
      </c>
      <c r="D2864">
        <v>5.8351930000000003</v>
      </c>
      <c r="E2864">
        <v>0.3636528</v>
      </c>
      <c r="F2864" t="s">
        <v>61</v>
      </c>
      <c r="G2864">
        <v>-326.71080000000001</v>
      </c>
      <c r="H2864" s="1">
        <v>2.034365E-6</v>
      </c>
      <c r="I2864">
        <v>213.172</v>
      </c>
      <c r="J2864">
        <v>-474.23160000000001</v>
      </c>
      <c r="K2864">
        <v>1.1144069999999999</v>
      </c>
      <c r="L2864">
        <v>214.34700000000001</v>
      </c>
      <c r="M2864">
        <v>0.93779210000000002</v>
      </c>
      <c r="N2864">
        <v>0</v>
      </c>
      <c r="O2864">
        <v>-0.34688279999999999</v>
      </c>
      <c r="P2864">
        <v>0.938392</v>
      </c>
      <c r="Q2864">
        <v>-2.325632E-2</v>
      </c>
      <c r="R2864">
        <v>-0.34478959999999997</v>
      </c>
      <c r="S2864">
        <v>3.1944270000000001</v>
      </c>
      <c r="T2864">
        <v>-2.4103159999999998E-2</v>
      </c>
      <c r="U2864">
        <v>-2.6672359999999999E-2</v>
      </c>
      <c r="V2864">
        <v>-2.0897250000000002E-3</v>
      </c>
      <c r="W2864">
        <v>-8.5034350000000002E-3</v>
      </c>
      <c r="X2864">
        <v>0.99996169999999995</v>
      </c>
      <c r="Y2864">
        <v>-0.33905859999999999</v>
      </c>
      <c r="Z2864">
        <v>3.853797E-3</v>
      </c>
      <c r="AA2864">
        <v>0.94075739999999997</v>
      </c>
      <c r="AB2864">
        <v>19</v>
      </c>
      <c r="AC2864">
        <v>147.52080000000001</v>
      </c>
      <c r="AD2864">
        <v>-1.1144049656349999</v>
      </c>
      <c r="AE2864">
        <v>-1.17500000000001</v>
      </c>
      <c r="AF2864">
        <v>-50.073131237237099</v>
      </c>
      <c r="AG2864">
        <v>-1.1144049656349999</v>
      </c>
      <c r="AH2864">
        <v>138.758657392846</v>
      </c>
      <c r="AI2864">
        <v>90.432827809188694</v>
      </c>
      <c r="AJ2864">
        <v>109.84273468283899</v>
      </c>
      <c r="AK2864">
        <v>147.521270913026</v>
      </c>
      <c r="AL2864">
        <v>90.487216789913802</v>
      </c>
      <c r="AM2864">
        <v>90.119736834462302</v>
      </c>
      <c r="AN2864">
        <v>1.0000000384121299</v>
      </c>
    </row>
    <row r="2865" spans="1:40" x14ac:dyDescent="0.25">
      <c r="A2865" t="str">
        <f>"20190312161016288"</f>
        <v>20190312161016288</v>
      </c>
      <c r="B2865" t="str">
        <f>"1552378216279151"</f>
        <v>1552378216279151</v>
      </c>
      <c r="C2865" t="s">
        <v>40</v>
      </c>
      <c r="D2865">
        <v>5.819401</v>
      </c>
      <c r="E2865">
        <v>0.3758939</v>
      </c>
      <c r="F2865" t="s">
        <v>61</v>
      </c>
      <c r="G2865">
        <v>-347.51060000000001</v>
      </c>
      <c r="H2865" s="1">
        <v>2.4599919999999999E-6</v>
      </c>
      <c r="I2865">
        <v>213.78899999999999</v>
      </c>
      <c r="J2865">
        <v>-474.05709999999999</v>
      </c>
      <c r="K2865">
        <v>1.1143719999999999</v>
      </c>
      <c r="L2865">
        <v>214.29169999999999</v>
      </c>
      <c r="M2865">
        <v>0.94028920000000005</v>
      </c>
      <c r="N2865">
        <v>0</v>
      </c>
      <c r="O2865">
        <v>-0.34005619999999998</v>
      </c>
      <c r="P2865">
        <v>0.94053290000000001</v>
      </c>
      <c r="Q2865">
        <v>-2.3820750000000002E-2</v>
      </c>
      <c r="R2865">
        <v>-0.33886670000000002</v>
      </c>
      <c r="S2865">
        <v>3.1911010000000002</v>
      </c>
      <c r="T2865">
        <v>-2.8063060000000001E-2</v>
      </c>
      <c r="U2865">
        <v>-1.4053339999999999E-2</v>
      </c>
      <c r="V2865">
        <v>-1.1146249999999999E-3</v>
      </c>
      <c r="W2865">
        <v>-9.0688969999999994E-3</v>
      </c>
      <c r="X2865">
        <v>0.99995829999999997</v>
      </c>
      <c r="Y2865">
        <v>-0.33592280000000002</v>
      </c>
      <c r="Z2865">
        <v>4.421309E-3</v>
      </c>
      <c r="AA2865">
        <v>0.94187920000000003</v>
      </c>
      <c r="AB2865">
        <v>19</v>
      </c>
      <c r="AC2865">
        <v>126.546499999999</v>
      </c>
      <c r="AD2865">
        <v>-1.11436954000799</v>
      </c>
      <c r="AE2865">
        <v>-0.50269999999997494</v>
      </c>
      <c r="AF2865">
        <v>-42.561577963898998</v>
      </c>
      <c r="AG2865">
        <v>-1.11436954000799</v>
      </c>
      <c r="AH2865">
        <v>119.16500367422699</v>
      </c>
      <c r="AI2865">
        <v>90.504569214476305</v>
      </c>
      <c r="AJ2865">
        <v>109.65495324483101</v>
      </c>
      <c r="AK2865">
        <v>126.542592983261</v>
      </c>
      <c r="AL2865">
        <v>90.519616622611807</v>
      </c>
      <c r="AM2865">
        <v>90.063865944999804</v>
      </c>
      <c r="AN2865">
        <v>1.0000000445102799</v>
      </c>
    </row>
    <row r="2866" spans="1:40" x14ac:dyDescent="0.25">
      <c r="A2866" t="str">
        <f>"20190312161016313"</f>
        <v>20190312161016313</v>
      </c>
      <c r="B2866" t="str">
        <f>"1552378216308433"</f>
        <v>1552378216308433</v>
      </c>
      <c r="C2866" t="s">
        <v>40</v>
      </c>
      <c r="D2866">
        <v>5.840992</v>
      </c>
      <c r="E2866">
        <v>0.37814379999999997</v>
      </c>
      <c r="F2866" t="s">
        <v>74</v>
      </c>
      <c r="G2866">
        <v>-438.9982</v>
      </c>
      <c r="H2866" s="1">
        <v>6.3138070000000004E-6</v>
      </c>
      <c r="I2866">
        <v>213.39830000000001</v>
      </c>
      <c r="J2866">
        <v>-473.86829999999998</v>
      </c>
      <c r="K2866">
        <v>1.114331</v>
      </c>
      <c r="L2866">
        <v>214.23339999999999</v>
      </c>
      <c r="M2866">
        <v>0.9429092</v>
      </c>
      <c r="N2866">
        <v>0</v>
      </c>
      <c r="O2866">
        <v>-0.33272299999999999</v>
      </c>
      <c r="P2866">
        <v>0.94285459999999999</v>
      </c>
      <c r="Q2866">
        <v>-2.384729E-2</v>
      </c>
      <c r="R2866">
        <v>-0.33235039999999999</v>
      </c>
      <c r="S2866">
        <v>3.1581730000000001</v>
      </c>
      <c r="T2866">
        <v>-0.10038420000000001</v>
      </c>
      <c r="U2866">
        <v>-8.0474850000000001E-2</v>
      </c>
      <c r="V2866">
        <v>-2.472935E-4</v>
      </c>
      <c r="W2866">
        <v>-9.0986980000000005E-3</v>
      </c>
      <c r="X2866">
        <v>0.99995860000000003</v>
      </c>
      <c r="Y2866">
        <v>-0.30831180000000002</v>
      </c>
      <c r="Z2866">
        <v>1.53042E-2</v>
      </c>
      <c r="AA2866">
        <v>0.95116219999999996</v>
      </c>
      <c r="AB2866">
        <v>19</v>
      </c>
      <c r="AC2866">
        <v>34.870099999999901</v>
      </c>
      <c r="AD2866">
        <v>-1.1143246861929901</v>
      </c>
      <c r="AE2866">
        <v>-0.83509999999998197</v>
      </c>
      <c r="AF2866">
        <v>-10.8048101768363</v>
      </c>
      <c r="AG2866">
        <v>-1.1143246861929901</v>
      </c>
      <c r="AH2866">
        <v>33.126993538339903</v>
      </c>
      <c r="AI2866">
        <v>91.831688938388695</v>
      </c>
      <c r="AJ2866">
        <v>108.06442660253801</v>
      </c>
      <c r="AK2866">
        <v>34.862348505987597</v>
      </c>
      <c r="AL2866">
        <v>90.521324174898695</v>
      </c>
      <c r="AM2866">
        <v>90.014169460177797</v>
      </c>
      <c r="AN2866">
        <v>1.00000002458666</v>
      </c>
    </row>
    <row r="2867" spans="1:40" x14ac:dyDescent="0.25">
      <c r="A2867" t="str">
        <f>"20190312161016337"</f>
        <v>20190312161016337</v>
      </c>
      <c r="B2867" t="str">
        <f>"1552378216328927"</f>
        <v>1552378216328927</v>
      </c>
      <c r="C2867" t="s">
        <v>40</v>
      </c>
      <c r="D2867">
        <v>5.8563549999999998</v>
      </c>
      <c r="E2867">
        <v>0.37931179999999998</v>
      </c>
      <c r="F2867" t="s">
        <v>61</v>
      </c>
      <c r="G2867">
        <v>-444.6465</v>
      </c>
      <c r="H2867" s="1">
        <v>9.8252200000000009E-7</v>
      </c>
      <c r="I2867">
        <v>213.5479</v>
      </c>
      <c r="J2867">
        <v>-473.6635</v>
      </c>
      <c r="K2867">
        <v>1.114271</v>
      </c>
      <c r="L2867">
        <v>214.17169999999999</v>
      </c>
      <c r="M2867">
        <v>0.94565569999999999</v>
      </c>
      <c r="N2867">
        <v>0</v>
      </c>
      <c r="O2867">
        <v>-0.3248357</v>
      </c>
      <c r="P2867">
        <v>0.94547219999999998</v>
      </c>
      <c r="Q2867">
        <v>-2.3338899999999999E-2</v>
      </c>
      <c r="R2867">
        <v>-0.3248664</v>
      </c>
      <c r="S2867">
        <v>3.152679</v>
      </c>
      <c r="T2867">
        <v>-0.1202223</v>
      </c>
      <c r="U2867">
        <v>-7.3959349999999993E-2</v>
      </c>
      <c r="V2867">
        <v>1.6863140000000001E-4</v>
      </c>
      <c r="W2867">
        <v>-8.5998769999999902E-3</v>
      </c>
      <c r="X2867">
        <v>0.99996300000000005</v>
      </c>
      <c r="Y2867">
        <v>-0.3021529</v>
      </c>
      <c r="Z2867">
        <v>1.7955990000000002E-2</v>
      </c>
      <c r="AA2867">
        <v>0.9530904</v>
      </c>
      <c r="AB2867">
        <v>19</v>
      </c>
      <c r="AC2867">
        <v>29.016999999999999</v>
      </c>
      <c r="AD2867">
        <v>-1.114270017478</v>
      </c>
      <c r="AE2867">
        <v>-0.62379999999998803</v>
      </c>
      <c r="AF2867">
        <v>-8.8238109851297999</v>
      </c>
      <c r="AG2867">
        <v>-1.114270017478</v>
      </c>
      <c r="AH2867">
        <v>27.6050368427371</v>
      </c>
      <c r="AI2867">
        <v>92.201841314799594</v>
      </c>
      <c r="AJ2867">
        <v>107.726217155352</v>
      </c>
      <c r="AK2867">
        <v>29.002401574042398</v>
      </c>
      <c r="AL2867">
        <v>90.492742733293397</v>
      </c>
      <c r="AM2867">
        <v>89.990337775075901</v>
      </c>
      <c r="AN2867">
        <v>0.99999999384498195</v>
      </c>
    </row>
    <row r="2868" spans="1:40" x14ac:dyDescent="0.25">
      <c r="A2868" t="str">
        <f>"20190312161016379"</f>
        <v>20190312161016379</v>
      </c>
      <c r="B2868" t="str">
        <f>"1552378216368943"</f>
        <v>1552378216368943</v>
      </c>
      <c r="C2868" t="s">
        <v>40</v>
      </c>
      <c r="D2868">
        <v>5.8186059999999999</v>
      </c>
      <c r="E2868">
        <v>0.38079289999999999</v>
      </c>
      <c r="F2868" t="s">
        <v>61</v>
      </c>
      <c r="G2868">
        <v>-445.39429999999999</v>
      </c>
      <c r="H2868" s="1">
        <v>1.3757109999999999E-6</v>
      </c>
      <c r="I2868">
        <v>213.65729999999999</v>
      </c>
      <c r="J2868">
        <v>-473.32310000000001</v>
      </c>
      <c r="K2868">
        <v>1.1141540000000001</v>
      </c>
      <c r="L2868">
        <v>214.07320000000001</v>
      </c>
      <c r="M2868">
        <v>0.94999639999999996</v>
      </c>
      <c r="N2868">
        <v>0</v>
      </c>
      <c r="O2868">
        <v>-0.31191439999999998</v>
      </c>
      <c r="P2868">
        <v>0.94972100000000004</v>
      </c>
      <c r="Q2868">
        <v>-2.4091970000000001E-2</v>
      </c>
      <c r="R2868">
        <v>-0.31217030000000001</v>
      </c>
      <c r="S2868">
        <v>3.1502379999999999</v>
      </c>
      <c r="T2868">
        <v>-0.1241713</v>
      </c>
      <c r="U2868">
        <v>-5.732727E-2</v>
      </c>
      <c r="V2868">
        <v>4.137077E-4</v>
      </c>
      <c r="W2868">
        <v>-9.3771970000000003E-3</v>
      </c>
      <c r="X2868">
        <v>0.99995599999999996</v>
      </c>
      <c r="Y2868">
        <v>-0.29414600000000002</v>
      </c>
      <c r="Z2868">
        <v>1.7918469999999999E-2</v>
      </c>
      <c r="AA2868">
        <v>0.95559249999999996</v>
      </c>
      <c r="AB2868">
        <v>19</v>
      </c>
      <c r="AC2868">
        <v>27.928799999999999</v>
      </c>
      <c r="AD2868">
        <v>-1.1141526242890001</v>
      </c>
      <c r="AE2868">
        <v>-0.41590000000002098</v>
      </c>
      <c r="AF2868">
        <v>-8.3039785366015604</v>
      </c>
      <c r="AG2868">
        <v>-1.1141526242890001</v>
      </c>
      <c r="AH2868">
        <v>26.622509708436901</v>
      </c>
      <c r="AI2868">
        <v>92.287844136070603</v>
      </c>
      <c r="AJ2868">
        <v>107.323519682352</v>
      </c>
      <c r="AK2868">
        <v>27.909772818537402</v>
      </c>
      <c r="AL2868">
        <v>90.537281657800406</v>
      </c>
      <c r="AM2868">
        <v>89.976295253181505</v>
      </c>
      <c r="AN2868">
        <v>1.00000005245681</v>
      </c>
    </row>
    <row r="2869" spans="1:40" x14ac:dyDescent="0.25">
      <c r="A2869" t="str">
        <f>"20190312161016401"</f>
        <v>20190312161016401</v>
      </c>
      <c r="B2869" t="str">
        <f>"1552378216399199"</f>
        <v>1552378216399199</v>
      </c>
      <c r="C2869" t="s">
        <v>40</v>
      </c>
      <c r="D2869">
        <v>5.8779649999999997</v>
      </c>
      <c r="E2869">
        <v>0.38039190000000001</v>
      </c>
      <c r="F2869" t="s">
        <v>61</v>
      </c>
      <c r="G2869">
        <v>-445.87400000000002</v>
      </c>
      <c r="H2869" s="1">
        <v>1.622834E-6</v>
      </c>
      <c r="I2869">
        <v>213.84379999999999</v>
      </c>
      <c r="J2869">
        <v>-473.14800000000002</v>
      </c>
      <c r="K2869">
        <v>1.1140939999999999</v>
      </c>
      <c r="L2869">
        <v>214.02430000000001</v>
      </c>
      <c r="M2869">
        <v>0.95212410000000003</v>
      </c>
      <c r="N2869">
        <v>0</v>
      </c>
      <c r="O2869">
        <v>-0.30535839999999997</v>
      </c>
      <c r="P2869">
        <v>0.95173240000000003</v>
      </c>
      <c r="Q2869">
        <v>-2.463721E-2</v>
      </c>
      <c r="R2869">
        <v>-0.3059385</v>
      </c>
      <c r="S2869">
        <v>3.146973</v>
      </c>
      <c r="T2869">
        <v>-0.12773509999999999</v>
      </c>
      <c r="U2869">
        <v>-2.630615E-2</v>
      </c>
      <c r="V2869">
        <v>7.6032729999999998E-4</v>
      </c>
      <c r="W2869">
        <v>-9.9338889999999996E-3</v>
      </c>
      <c r="X2869">
        <v>0.99995029999999996</v>
      </c>
      <c r="Y2869">
        <v>-0.29693170000000002</v>
      </c>
      <c r="Z2869">
        <v>1.8258480000000001E-2</v>
      </c>
      <c r="AA2869">
        <v>0.95472409999999996</v>
      </c>
      <c r="AB2869">
        <v>19</v>
      </c>
      <c r="AC2869">
        <v>27.274000000000001</v>
      </c>
      <c r="AD2869">
        <v>-1.1140923771660001</v>
      </c>
      <c r="AE2869">
        <v>-0.180500000000023</v>
      </c>
      <c r="AF2869">
        <v>-8.1437795429516093</v>
      </c>
      <c r="AG2869">
        <v>-1.1140923771660001</v>
      </c>
      <c r="AH2869">
        <v>25.982807900455899</v>
      </c>
      <c r="AI2869">
        <v>92.342973266355799</v>
      </c>
      <c r="AJ2869">
        <v>107.402532216167</v>
      </c>
      <c r="AK2869">
        <v>27.251947700321299</v>
      </c>
      <c r="AL2869">
        <v>90.569179314489205</v>
      </c>
      <c r="AM2869">
        <v>89.956434297841497</v>
      </c>
      <c r="AN2869">
        <v>0.99999993135917598</v>
      </c>
    </row>
    <row r="2870" spans="1:40" x14ac:dyDescent="0.25">
      <c r="A2870" t="str">
        <f>"20190312161016424"</f>
        <v>20190312161016424</v>
      </c>
      <c r="B2870" t="str">
        <f>"1552378216418719"</f>
        <v>1552378216418719</v>
      </c>
      <c r="C2870" t="s">
        <v>40</v>
      </c>
      <c r="D2870">
        <v>5.8377030000000003</v>
      </c>
      <c r="E2870">
        <v>0.38163459999999899</v>
      </c>
      <c r="F2870" t="s">
        <v>61</v>
      </c>
      <c r="G2870">
        <v>-443.34210000000002</v>
      </c>
      <c r="H2870" s="1">
        <v>2.690039E-7</v>
      </c>
      <c r="I2870">
        <v>213.99209999999999</v>
      </c>
      <c r="J2870">
        <v>-472.96140000000003</v>
      </c>
      <c r="K2870">
        <v>1.1140330000000001</v>
      </c>
      <c r="L2870">
        <v>213.9735</v>
      </c>
      <c r="M2870">
        <v>0.95431480000000002</v>
      </c>
      <c r="N2870">
        <v>0</v>
      </c>
      <c r="O2870">
        <v>-0.2984425</v>
      </c>
      <c r="P2870">
        <v>0.95383560000000001</v>
      </c>
      <c r="Q2870">
        <v>-2.423931E-2</v>
      </c>
      <c r="R2870">
        <v>-0.29934959999999899</v>
      </c>
      <c r="S2870">
        <v>3.1479490000000001</v>
      </c>
      <c r="T2870">
        <v>-0.1176649</v>
      </c>
      <c r="U2870">
        <v>-3.4027100000000002E-3</v>
      </c>
      <c r="V2870">
        <v>1.0922779999999999E-3</v>
      </c>
      <c r="W2870">
        <v>-9.5484590000000005E-3</v>
      </c>
      <c r="X2870">
        <v>0.9999538</v>
      </c>
      <c r="Y2870">
        <v>-0.29703180000000001</v>
      </c>
      <c r="Z2870">
        <v>1.6571349999999999E-2</v>
      </c>
      <c r="AA2870">
        <v>0.95472380000000001</v>
      </c>
      <c r="AB2870">
        <v>19</v>
      </c>
      <c r="AC2870">
        <v>29.619299999999999</v>
      </c>
      <c r="AD2870">
        <v>-1.1140327309961</v>
      </c>
      <c r="AE2870">
        <v>1.8599999999992099E-2</v>
      </c>
      <c r="AF2870">
        <v>-8.8458483150082898</v>
      </c>
      <c r="AG2870">
        <v>-1.1140327309961</v>
      </c>
      <c r="AH2870">
        <v>28.223702189281202</v>
      </c>
      <c r="AI2870">
        <v>92.157021131514199</v>
      </c>
      <c r="AJ2870">
        <v>107.40198932781701</v>
      </c>
      <c r="AK2870">
        <v>29.598436894658899</v>
      </c>
      <c r="AL2870">
        <v>90.547094723831094</v>
      </c>
      <c r="AM2870">
        <v>89.937414213972602</v>
      </c>
      <c r="AN2870">
        <v>0.99999998413747104</v>
      </c>
    </row>
    <row r="2871" spans="1:40" x14ac:dyDescent="0.25">
      <c r="A2871" t="str">
        <f>"20190312161016447"</f>
        <v>20190312161016447</v>
      </c>
      <c r="B2871" t="str">
        <f>"1552378216439216"</f>
        <v>1552378216439216</v>
      </c>
      <c r="C2871" t="s">
        <v>40</v>
      </c>
      <c r="D2871">
        <v>5.8825450000000004</v>
      </c>
      <c r="E2871">
        <v>0.38281520000000002</v>
      </c>
      <c r="F2871" t="s">
        <v>61</v>
      </c>
      <c r="G2871">
        <v>-444.05990000000003</v>
      </c>
      <c r="H2871" s="1">
        <v>6.4815380000000001E-7</v>
      </c>
      <c r="I2871">
        <v>214.05680000000001</v>
      </c>
      <c r="J2871">
        <v>-472.7722</v>
      </c>
      <c r="K2871">
        <v>1.113972</v>
      </c>
      <c r="L2871">
        <v>213.92349999999999</v>
      </c>
      <c r="M2871">
        <v>0.95644830000000003</v>
      </c>
      <c r="N2871">
        <v>0</v>
      </c>
      <c r="O2871">
        <v>-0.2915333</v>
      </c>
      <c r="P2871">
        <v>0.95570750000000004</v>
      </c>
      <c r="Q2871">
        <v>-2.445373E-2</v>
      </c>
      <c r="R2871">
        <v>-0.29330119999999998</v>
      </c>
      <c r="S2871">
        <v>3.1449889999999998</v>
      </c>
      <c r="T2871">
        <v>-0.12122620000000001</v>
      </c>
      <c r="U2871">
        <v>9.0637210000000003E-3</v>
      </c>
      <c r="V2871">
        <v>1.9905489999999999E-3</v>
      </c>
      <c r="W2871">
        <v>-9.7716250000000008E-3</v>
      </c>
      <c r="X2871">
        <v>0.99995029999999996</v>
      </c>
      <c r="Y2871">
        <v>-0.29389009999999999</v>
      </c>
      <c r="Z2871">
        <v>1.67727999999999E-2</v>
      </c>
      <c r="AA2871">
        <v>0.95569210000000004</v>
      </c>
      <c r="AB2871">
        <v>19</v>
      </c>
      <c r="AC2871">
        <v>28.7122999999999</v>
      </c>
      <c r="AD2871">
        <v>-1.1139713518462</v>
      </c>
      <c r="AE2871">
        <v>0.13330000000001899</v>
      </c>
      <c r="AF2871">
        <v>-8.4862260356779604</v>
      </c>
      <c r="AG2871">
        <v>-1.1139713518462</v>
      </c>
      <c r="AH2871">
        <v>27.384697112506601</v>
      </c>
      <c r="AI2871">
        <v>92.225147448673795</v>
      </c>
      <c r="AJ2871">
        <v>107.217652159636</v>
      </c>
      <c r="AK2871">
        <v>28.691089216777399</v>
      </c>
      <c r="AL2871">
        <v>90.559881767912898</v>
      </c>
      <c r="AM2871">
        <v>89.885944425471493</v>
      </c>
      <c r="AN2871">
        <v>1.0000000247052701</v>
      </c>
    </row>
    <row r="2872" spans="1:40" x14ac:dyDescent="0.25">
      <c r="A2872" t="str">
        <f>"20190312161016468"</f>
        <v>20190312161016468</v>
      </c>
      <c r="B2872" t="str">
        <f>"1552378216458736"</f>
        <v>1552378216458736</v>
      </c>
      <c r="C2872" t="s">
        <v>40</v>
      </c>
      <c r="D2872">
        <v>5.8328579999999999</v>
      </c>
      <c r="E2872">
        <v>0.38392809999999999</v>
      </c>
      <c r="F2872" t="s">
        <v>61</v>
      </c>
      <c r="G2872">
        <v>-445.39850000000001</v>
      </c>
      <c r="H2872" s="1">
        <v>1.358507E-6</v>
      </c>
      <c r="I2872">
        <v>214.10159999999999</v>
      </c>
      <c r="J2872">
        <v>-472.60169999999999</v>
      </c>
      <c r="K2872">
        <v>1.11391</v>
      </c>
      <c r="L2872">
        <v>213.87960000000001</v>
      </c>
      <c r="M2872">
        <v>0.95829980000000003</v>
      </c>
      <c r="N2872">
        <v>0</v>
      </c>
      <c r="O2872">
        <v>-0.28538930000000001</v>
      </c>
      <c r="P2872">
        <v>0.95731060000000001</v>
      </c>
      <c r="Q2872">
        <v>-2.413015E-2</v>
      </c>
      <c r="R2872">
        <v>-0.28805350000000002</v>
      </c>
      <c r="S2872">
        <v>3.1420590000000002</v>
      </c>
      <c r="T2872">
        <v>-0.12786589999999901</v>
      </c>
      <c r="U2872">
        <v>2.0446780000000001E-2</v>
      </c>
      <c r="V2872">
        <v>2.915113E-3</v>
      </c>
      <c r="W2872">
        <v>-9.4556729999999995E-3</v>
      </c>
      <c r="X2872">
        <v>0.99995109999999998</v>
      </c>
      <c r="Y2872">
        <v>-0.2911781</v>
      </c>
      <c r="Z2872">
        <v>1.741179E-2</v>
      </c>
      <c r="AA2872">
        <v>0.95651039999999998</v>
      </c>
      <c r="AB2872">
        <v>19</v>
      </c>
      <c r="AC2872">
        <v>27.203199999999899</v>
      </c>
      <c r="AD2872">
        <v>-1.113908641493</v>
      </c>
      <c r="AE2872">
        <v>0.22199999999997999</v>
      </c>
      <c r="AF2872">
        <v>-7.9637480711656696</v>
      </c>
      <c r="AG2872">
        <v>-1.113908641493</v>
      </c>
      <c r="AH2872">
        <v>25.964720930573598</v>
      </c>
      <c r="AI2872">
        <v>92.348669614168998</v>
      </c>
      <c r="AJ2872">
        <v>107.051519205145</v>
      </c>
      <c r="AK2872">
        <v>27.1814055708154</v>
      </c>
      <c r="AL2872">
        <v>90.541778199130505</v>
      </c>
      <c r="AM2872">
        <v>89.832968633622201</v>
      </c>
      <c r="AN2872">
        <v>1.00000005501344</v>
      </c>
    </row>
    <row r="2873" spans="1:40" x14ac:dyDescent="0.25">
      <c r="A2873" t="str">
        <f>"20190312161016492"</f>
        <v>20190312161016492</v>
      </c>
      <c r="B2873" t="str">
        <f>"1552378216488991"</f>
        <v>1552378216488991</v>
      </c>
      <c r="C2873" t="s">
        <v>40</v>
      </c>
      <c r="D2873">
        <v>5.8840009999999996</v>
      </c>
      <c r="E2873">
        <v>0.38470189999999999</v>
      </c>
      <c r="F2873" t="s">
        <v>61</v>
      </c>
      <c r="G2873">
        <v>-445.6463</v>
      </c>
      <c r="H2873" s="1">
        <v>1.4890930000000001E-6</v>
      </c>
      <c r="I2873">
        <v>214.13149999999999</v>
      </c>
      <c r="J2873">
        <v>-472.40410000000003</v>
      </c>
      <c r="K2873">
        <v>1.113847</v>
      </c>
      <c r="L2873">
        <v>213.83</v>
      </c>
      <c r="M2873">
        <v>0.9603699</v>
      </c>
      <c r="N2873">
        <v>0</v>
      </c>
      <c r="O2873">
        <v>-0.27834429999999999</v>
      </c>
      <c r="P2873">
        <v>0.95926639999999996</v>
      </c>
      <c r="Q2873">
        <v>-2.4196680000000002E-2</v>
      </c>
      <c r="R2873">
        <v>-0.28146539999999998</v>
      </c>
      <c r="S2873">
        <v>3.1393740000000001</v>
      </c>
      <c r="T2873">
        <v>-0.12973180000000001</v>
      </c>
      <c r="U2873">
        <v>2.9342650000000001E-2</v>
      </c>
      <c r="V2873">
        <v>3.3835750000000002E-3</v>
      </c>
      <c r="W2873">
        <v>-9.5366740000000002E-3</v>
      </c>
      <c r="X2873">
        <v>0.99994879999999997</v>
      </c>
      <c r="Y2873">
        <v>-0.28686089999999997</v>
      </c>
      <c r="Z2873">
        <v>1.731065E-2</v>
      </c>
      <c r="AA2873">
        <v>0.95781579999999999</v>
      </c>
      <c r="AB2873">
        <v>19</v>
      </c>
      <c r="AC2873">
        <v>26.7578</v>
      </c>
      <c r="AD2873">
        <v>-1.113845510907</v>
      </c>
      <c r="AE2873">
        <v>0.30149999999997501</v>
      </c>
      <c r="AF2873">
        <v>-7.7248770946687699</v>
      </c>
      <c r="AG2873">
        <v>-1.113845510907</v>
      </c>
      <c r="AH2873">
        <v>25.571901905193499</v>
      </c>
      <c r="AI2873">
        <v>92.387645920030394</v>
      </c>
      <c r="AJ2873">
        <v>106.80875676939</v>
      </c>
      <c r="AK2873">
        <v>26.7364273043117</v>
      </c>
      <c r="AL2873">
        <v>90.546419453822395</v>
      </c>
      <c r="AM2873">
        <v>89.806126246393106</v>
      </c>
      <c r="AN2873">
        <v>0.99999999967610098</v>
      </c>
    </row>
    <row r="2874" spans="1:40" x14ac:dyDescent="0.25">
      <c r="A2874" t="str">
        <f>"20190312161016512"</f>
        <v>20190312161016512</v>
      </c>
      <c r="B2874" t="str">
        <f>"1552378216508512"</f>
        <v>1552378216508512</v>
      </c>
      <c r="C2874" t="s">
        <v>40</v>
      </c>
      <c r="D2874">
        <v>5.8803789999999996</v>
      </c>
      <c r="E2874">
        <v>0.38500089999999998</v>
      </c>
      <c r="F2874" t="s">
        <v>61</v>
      </c>
      <c r="G2874">
        <v>-444.41149999999999</v>
      </c>
      <c r="H2874" s="1">
        <v>8.2772140000000005E-7</v>
      </c>
      <c r="I2874">
        <v>214.2287</v>
      </c>
      <c r="J2874">
        <v>-472.2448</v>
      </c>
      <c r="K2874">
        <v>1.1137980000000001</v>
      </c>
      <c r="L2874">
        <v>213.791</v>
      </c>
      <c r="M2874">
        <v>0.96198019999999995</v>
      </c>
      <c r="N2874">
        <v>0</v>
      </c>
      <c r="O2874">
        <v>-0.27272750000000001</v>
      </c>
      <c r="P2874">
        <v>0.96074409999999999</v>
      </c>
      <c r="Q2874">
        <v>-2.3042380000000001E-2</v>
      </c>
      <c r="R2874">
        <v>-0.2764779</v>
      </c>
      <c r="S2874">
        <v>3.1373289999999998</v>
      </c>
      <c r="T2874">
        <v>-0.1248368</v>
      </c>
      <c r="U2874">
        <v>4.4692990000000002E-2</v>
      </c>
      <c r="V2874">
        <v>4.0135889999999997E-3</v>
      </c>
      <c r="W2874">
        <v>-8.3912989999999996E-3</v>
      </c>
      <c r="X2874">
        <v>0.99995670000000003</v>
      </c>
      <c r="Y2874">
        <v>-0.28599459999999999</v>
      </c>
      <c r="Z2874">
        <v>1.6436199999999901E-2</v>
      </c>
      <c r="AA2874">
        <v>0.9580902</v>
      </c>
      <c r="AB2874">
        <v>19</v>
      </c>
      <c r="AC2874">
        <v>27.833300000000001</v>
      </c>
      <c r="AD2874">
        <v>-1.1137971722786</v>
      </c>
      <c r="AE2874">
        <v>0.43770000000000597</v>
      </c>
      <c r="AF2874">
        <v>-8.0000141441939494</v>
      </c>
      <c r="AG2874">
        <v>-1.1137971722786</v>
      </c>
      <c r="AH2874">
        <v>26.6159501241907</v>
      </c>
      <c r="AI2874">
        <v>92.294947378587807</v>
      </c>
      <c r="AJ2874">
        <v>106.72931608557001</v>
      </c>
      <c r="AK2874">
        <v>27.814556826627399</v>
      </c>
      <c r="AL2874">
        <v>90.480791677956802</v>
      </c>
      <c r="AM2874">
        <v>89.770029566784899</v>
      </c>
      <c r="AN2874">
        <v>0.99999996233522803</v>
      </c>
    </row>
    <row r="2875" spans="1:40" x14ac:dyDescent="0.25">
      <c r="A2875" t="str">
        <f>"20190312161016539"</f>
        <v>20190312161016539</v>
      </c>
      <c r="B2875" t="str">
        <f>"1552378216529007"</f>
        <v>1552378216529007</v>
      </c>
      <c r="C2875" t="s">
        <v>40</v>
      </c>
      <c r="D2875">
        <v>5.8818849999999996</v>
      </c>
      <c r="E2875">
        <v>0.38557469999999999</v>
      </c>
      <c r="F2875" t="s">
        <v>61</v>
      </c>
      <c r="G2875">
        <v>-443.19310000000002</v>
      </c>
      <c r="H2875" s="1">
        <v>1.747128E-7</v>
      </c>
      <c r="I2875">
        <v>214.33439999999999</v>
      </c>
      <c r="J2875">
        <v>-472.02670000000001</v>
      </c>
      <c r="K2875">
        <v>1.1137239999999999</v>
      </c>
      <c r="L2875">
        <v>213.73910000000001</v>
      </c>
      <c r="M2875">
        <v>0.96409979999999995</v>
      </c>
      <c r="N2875">
        <v>0</v>
      </c>
      <c r="O2875">
        <v>-0.2651385</v>
      </c>
      <c r="P2875">
        <v>0.96276799999999996</v>
      </c>
      <c r="Q2875">
        <v>-2.3212159999999999E-2</v>
      </c>
      <c r="R2875">
        <v>-0.26933040000000003</v>
      </c>
      <c r="S2875">
        <v>3.1365050000000001</v>
      </c>
      <c r="T2875">
        <v>-0.1202488</v>
      </c>
      <c r="U2875">
        <v>5.867004E-2</v>
      </c>
      <c r="V2875">
        <v>4.4634920000000003E-3</v>
      </c>
      <c r="W2875">
        <v>-8.57692E-3</v>
      </c>
      <c r="X2875">
        <v>0.99995330000000004</v>
      </c>
      <c r="Y2875">
        <v>-0.2827539</v>
      </c>
      <c r="Z2875">
        <v>1.5492850000000001E-2</v>
      </c>
      <c r="AA2875">
        <v>0.95906740000000001</v>
      </c>
      <c r="AB2875">
        <v>19</v>
      </c>
      <c r="AC2875">
        <v>28.833599999999901</v>
      </c>
      <c r="AD2875">
        <v>-1.1137238252871999</v>
      </c>
      <c r="AE2875">
        <v>0.59529999999997996</v>
      </c>
      <c r="AF2875">
        <v>-8.2074621412793505</v>
      </c>
      <c r="AG2875">
        <v>-1.1137238252871999</v>
      </c>
      <c r="AH2875">
        <v>27.602413176179802</v>
      </c>
      <c r="AI2875">
        <v>92.2148255670634</v>
      </c>
      <c r="AJ2875">
        <v>106.559625644043</v>
      </c>
      <c r="AK2875">
        <v>28.81832799987</v>
      </c>
      <c r="AL2875">
        <v>90.491427320791601</v>
      </c>
      <c r="AM2875">
        <v>89.744250501490299</v>
      </c>
      <c r="AN2875">
        <v>1.0000000442492001</v>
      </c>
    </row>
    <row r="2876" spans="1:40" x14ac:dyDescent="0.25">
      <c r="A2876" t="str">
        <f>"20190312161016563"</f>
        <v>20190312161016563</v>
      </c>
      <c r="B2876" t="str">
        <f>"1552378216558288"</f>
        <v>1552378216558288</v>
      </c>
      <c r="C2876" t="s">
        <v>40</v>
      </c>
      <c r="D2876">
        <v>5.8764890000000003</v>
      </c>
      <c r="E2876">
        <v>0.3867892</v>
      </c>
      <c r="F2876" t="s">
        <v>61</v>
      </c>
      <c r="G2876">
        <v>-442.80720000000002</v>
      </c>
      <c r="H2876" s="1">
        <v>-3.61122699999999E-8</v>
      </c>
      <c r="I2876">
        <v>214.46010000000001</v>
      </c>
      <c r="J2876">
        <v>-471.83659999999998</v>
      </c>
      <c r="K2876">
        <v>1.1136539999999999</v>
      </c>
      <c r="L2876">
        <v>213.6952</v>
      </c>
      <c r="M2876">
        <v>0.96586689999999997</v>
      </c>
      <c r="N2876">
        <v>0</v>
      </c>
      <c r="O2876">
        <v>-0.25862849999999998</v>
      </c>
      <c r="P2876">
        <v>0.9643659</v>
      </c>
      <c r="Q2876">
        <v>-2.3906960000000001E-2</v>
      </c>
      <c r="R2876">
        <v>-0.26349020000000001</v>
      </c>
      <c r="S2876">
        <v>3.134735</v>
      </c>
      <c r="T2876">
        <v>-0.11948300000000001</v>
      </c>
      <c r="U2876">
        <v>7.7346799999999993E-2</v>
      </c>
      <c r="V2876">
        <v>5.1569179999999999E-3</v>
      </c>
      <c r="W2876">
        <v>-9.2840619999999992E-3</v>
      </c>
      <c r="X2876">
        <v>0.99994360000000004</v>
      </c>
      <c r="Y2876">
        <v>-0.28201479999999901</v>
      </c>
      <c r="Z2876">
        <v>1.514821E-2</v>
      </c>
      <c r="AA2876">
        <v>0.95929050000000005</v>
      </c>
      <c r="AB2876">
        <v>19</v>
      </c>
      <c r="AC2876">
        <v>29.0293999999999</v>
      </c>
      <c r="AD2876">
        <v>-1.11365403611227</v>
      </c>
      <c r="AE2876">
        <v>0.76490000000001102</v>
      </c>
      <c r="AF2876">
        <v>-8.2353860727963504</v>
      </c>
      <c r="AG2876">
        <v>-1.11365403611227</v>
      </c>
      <c r="AH2876">
        <v>27.802779775630999</v>
      </c>
      <c r="AI2876">
        <v>92.199424257986095</v>
      </c>
      <c r="AJ2876">
        <v>106.49967319884399</v>
      </c>
      <c r="AK2876">
        <v>29.0182076002705</v>
      </c>
      <c r="AL2876">
        <v>90.531945213704205</v>
      </c>
      <c r="AM2876">
        <v>89.704516317499397</v>
      </c>
      <c r="AN2876">
        <v>0.99999999539571904</v>
      </c>
    </row>
    <row r="2877" spans="1:40" x14ac:dyDescent="0.25">
      <c r="A2877" t="str">
        <f>"20190312161016602"</f>
        <v>20190312161016602</v>
      </c>
      <c r="B2877" t="str">
        <f>"1552378216589519"</f>
        <v>1552378216589519</v>
      </c>
      <c r="C2877" t="s">
        <v>40</v>
      </c>
      <c r="D2877">
        <v>5.8808819999999997</v>
      </c>
      <c r="E2877">
        <v>0.40181899999999998</v>
      </c>
      <c r="F2877" t="s">
        <v>61</v>
      </c>
      <c r="G2877">
        <v>-443.66149999999999</v>
      </c>
      <c r="H2877" s="1">
        <v>4.1763929999999997E-7</v>
      </c>
      <c r="I2877">
        <v>214.4795</v>
      </c>
      <c r="J2877">
        <v>-471.52190000000002</v>
      </c>
      <c r="K2877">
        <v>1.113504</v>
      </c>
      <c r="L2877">
        <v>213.62530000000001</v>
      </c>
      <c r="M2877">
        <v>0.9686169</v>
      </c>
      <c r="N2877">
        <v>0</v>
      </c>
      <c r="O2877">
        <v>-0.2481323</v>
      </c>
      <c r="P2877">
        <v>0.96666439999999998</v>
      </c>
      <c r="Q2877">
        <v>-2.418261E-2</v>
      </c>
      <c r="R2877">
        <v>-0.25490259999999998</v>
      </c>
      <c r="S2877">
        <v>3.1315919999999999</v>
      </c>
      <c r="T2877">
        <v>-0.1237798</v>
      </c>
      <c r="U2877">
        <v>8.7173459999999994E-2</v>
      </c>
      <c r="V2877">
        <v>7.1143880000000001E-3</v>
      </c>
      <c r="W2877">
        <v>-9.5781040000000005E-3</v>
      </c>
      <c r="X2877">
        <v>0.99992879999999995</v>
      </c>
      <c r="Y2877">
        <v>-0.27461259999999998</v>
      </c>
      <c r="Z2877">
        <v>1.515762E-2</v>
      </c>
      <c r="AA2877">
        <v>0.9614355</v>
      </c>
      <c r="AB2877">
        <v>19</v>
      </c>
      <c r="AC2877">
        <v>27.860399999999998</v>
      </c>
      <c r="AD2877">
        <v>-1.1135035823607</v>
      </c>
      <c r="AE2877">
        <v>0.85419999999999097</v>
      </c>
      <c r="AF2877">
        <v>-7.7289425282816504</v>
      </c>
      <c r="AG2877">
        <v>-1.1135035823607</v>
      </c>
      <c r="AH2877">
        <v>26.7342689498719</v>
      </c>
      <c r="AI2877">
        <v>92.291309724578596</v>
      </c>
      <c r="AJ2877">
        <v>106.12471096544201</v>
      </c>
      <c r="AK2877">
        <v>27.851347886906499</v>
      </c>
      <c r="AL2877">
        <v>90.548793337281296</v>
      </c>
      <c r="AM2877">
        <v>89.592353447354796</v>
      </c>
      <c r="AN2877">
        <v>0.99999997983114397</v>
      </c>
    </row>
    <row r="2878" spans="1:40" x14ac:dyDescent="0.25">
      <c r="A2878" t="str">
        <f>"20190312161016626"</f>
        <v>20190312161016626</v>
      </c>
      <c r="B2878" t="str">
        <f>"1552378216618800"</f>
        <v>1552378216618800</v>
      </c>
      <c r="C2878" t="s">
        <v>40</v>
      </c>
      <c r="D2878">
        <v>5.8456809999999999</v>
      </c>
      <c r="E2878">
        <v>0.40333020000000003</v>
      </c>
      <c r="F2878" t="s">
        <v>61</v>
      </c>
      <c r="G2878">
        <v>-448.07279999999997</v>
      </c>
      <c r="H2878" s="1">
        <v>2.8022699999999999E-6</v>
      </c>
      <c r="I2878">
        <v>213.6302</v>
      </c>
      <c r="J2878">
        <v>-471.32139999999998</v>
      </c>
      <c r="K2878">
        <v>1.113405</v>
      </c>
      <c r="L2878">
        <v>213.5823</v>
      </c>
      <c r="M2878">
        <v>0.9702636</v>
      </c>
      <c r="N2878">
        <v>0</v>
      </c>
      <c r="O2878">
        <v>-0.24161460000000001</v>
      </c>
      <c r="P2878">
        <v>0.96827719999999995</v>
      </c>
      <c r="Q2878">
        <v>-2.413525E-2</v>
      </c>
      <c r="R2878">
        <v>-0.24871019999999999</v>
      </c>
      <c r="S2878">
        <v>3.0999150000000002</v>
      </c>
      <c r="T2878">
        <v>-0.147202</v>
      </c>
      <c r="U2878">
        <v>6.5612789999999895E-4</v>
      </c>
      <c r="V2878">
        <v>7.4344519999999898E-3</v>
      </c>
      <c r="W2878">
        <v>-9.5509930000000007E-3</v>
      </c>
      <c r="X2878">
        <v>0.99992669999999995</v>
      </c>
      <c r="Y2878">
        <v>-0.2413054</v>
      </c>
      <c r="Z2878">
        <v>1.7107870000000001E-2</v>
      </c>
      <c r="AA2878">
        <v>0.97029840000000001</v>
      </c>
      <c r="AB2878">
        <v>19</v>
      </c>
      <c r="AC2878">
        <v>23.2486</v>
      </c>
      <c r="AD2878">
        <v>-1.1134021977299999</v>
      </c>
      <c r="AE2878">
        <v>4.7899999999998499E-2</v>
      </c>
      <c r="AF2878">
        <v>-5.6513126521544299</v>
      </c>
      <c r="AG2878">
        <v>-1.1134021977299999</v>
      </c>
      <c r="AH2878">
        <v>22.4964783125404</v>
      </c>
      <c r="AI2878">
        <v>92.748139017504101</v>
      </c>
      <c r="AJ2878">
        <v>104.101408373612</v>
      </c>
      <c r="AK2878">
        <v>23.222156136175499</v>
      </c>
      <c r="AL2878">
        <v>90.547239937211501</v>
      </c>
      <c r="AM2878">
        <v>89.574013901322701</v>
      </c>
      <c r="AN2878">
        <v>0.99999994895835598</v>
      </c>
    </row>
    <row r="2879" spans="1:40" x14ac:dyDescent="0.25">
      <c r="A2879" t="str">
        <f>"20190312161016649"</f>
        <v>20190312161016649</v>
      </c>
      <c r="B2879" t="str">
        <f>"1552378216638321"</f>
        <v>1552378216638321</v>
      </c>
      <c r="C2879" t="s">
        <v>40</v>
      </c>
      <c r="D2879">
        <v>5.8367440000000004</v>
      </c>
      <c r="E2879">
        <v>0.40381600000000001</v>
      </c>
      <c r="F2879" t="s">
        <v>61</v>
      </c>
      <c r="G2879">
        <v>-447.40949999999998</v>
      </c>
      <c r="H2879" s="1">
        <v>2.4484839999999999E-6</v>
      </c>
      <c r="I2879">
        <v>213.648</v>
      </c>
      <c r="J2879">
        <v>-471.13639999999998</v>
      </c>
      <c r="K2879">
        <v>1.113302</v>
      </c>
      <c r="L2879">
        <v>213.5438</v>
      </c>
      <c r="M2879">
        <v>0.97170480000000004</v>
      </c>
      <c r="N2879">
        <v>0</v>
      </c>
      <c r="O2879">
        <v>-0.2357523</v>
      </c>
      <c r="P2879">
        <v>0.96964349999999999</v>
      </c>
      <c r="Q2879">
        <v>-2.4196840000000001E-2</v>
      </c>
      <c r="R2879">
        <v>-0.24332300000000001</v>
      </c>
      <c r="S2879">
        <v>3.0969540000000002</v>
      </c>
      <c r="T2879">
        <v>-0.14420259999999999</v>
      </c>
      <c r="U2879">
        <v>8.5144039999999997E-3</v>
      </c>
      <c r="V2879">
        <v>7.910673E-3</v>
      </c>
      <c r="W2879">
        <v>-9.6305209999999995E-3</v>
      </c>
      <c r="X2879">
        <v>0.99992230000000004</v>
      </c>
      <c r="Y2879">
        <v>-0.23793829999999999</v>
      </c>
      <c r="Z2879">
        <v>1.6431379999999999E-2</v>
      </c>
      <c r="AA2879">
        <v>0.97114129999999999</v>
      </c>
      <c r="AB2879">
        <v>19</v>
      </c>
      <c r="AC2879">
        <v>23.726900000000001</v>
      </c>
      <c r="AD2879">
        <v>-1.113299551516</v>
      </c>
      <c r="AE2879">
        <v>0.10419999999999099</v>
      </c>
      <c r="AF2879">
        <v>-5.6830111746808498</v>
      </c>
      <c r="AG2879">
        <v>-1.113299551516</v>
      </c>
      <c r="AH2879">
        <v>22.982804781593899</v>
      </c>
      <c r="AI2879">
        <v>92.692308056100003</v>
      </c>
      <c r="AJ2879">
        <v>103.889057317197</v>
      </c>
      <c r="AK2879">
        <v>23.701168062604101</v>
      </c>
      <c r="AL2879">
        <v>90.551796756451296</v>
      </c>
      <c r="AM2879">
        <v>89.546726060288805</v>
      </c>
      <c r="AN2879">
        <v>0.999999965859666</v>
      </c>
    </row>
    <row r="2880" spans="1:40" x14ac:dyDescent="0.25">
      <c r="A2880" t="str">
        <f>"20190312161016692"</f>
        <v>20190312161016692</v>
      </c>
      <c r="B2880" t="str">
        <f>"1552378216689071"</f>
        <v>1552378216689071</v>
      </c>
      <c r="C2880" t="s">
        <v>40</v>
      </c>
      <c r="D2880">
        <v>5.8940890000000001</v>
      </c>
      <c r="E2880">
        <v>0.4063233</v>
      </c>
      <c r="F2880" t="s">
        <v>61</v>
      </c>
      <c r="G2880">
        <v>-447.72989999999999</v>
      </c>
      <c r="H2880" s="1">
        <v>2.6161930000000001E-6</v>
      </c>
      <c r="I2880">
        <v>213.71170000000001</v>
      </c>
      <c r="J2880">
        <v>-470.79640000000001</v>
      </c>
      <c r="K2880">
        <v>1.113135</v>
      </c>
      <c r="L2880">
        <v>213.47550000000001</v>
      </c>
      <c r="M2880">
        <v>0.97417089999999995</v>
      </c>
      <c r="N2880">
        <v>0</v>
      </c>
      <c r="O2880">
        <v>-0.22534770000000001</v>
      </c>
      <c r="P2880">
        <v>0.97171099999999999</v>
      </c>
      <c r="Q2880">
        <v>-2.550678E-2</v>
      </c>
      <c r="R2880">
        <v>-0.23479259999999999</v>
      </c>
      <c r="S2880">
        <v>3.095825</v>
      </c>
      <c r="T2880">
        <v>-0.14724889999999999</v>
      </c>
      <c r="U2880">
        <v>2.2201539999999999E-2</v>
      </c>
      <c r="V2880">
        <v>9.8283880000000004E-3</v>
      </c>
      <c r="W2880">
        <v>-1.096773E-2</v>
      </c>
      <c r="X2880">
        <v>0.99989159999999999</v>
      </c>
      <c r="Y2880">
        <v>-0.2318385</v>
      </c>
      <c r="Z2880">
        <v>1.615598E-2</v>
      </c>
      <c r="AA2880">
        <v>0.97262009999999999</v>
      </c>
      <c r="AB2880">
        <v>19</v>
      </c>
      <c r="AC2880">
        <v>23.066500000000001</v>
      </c>
      <c r="AD2880">
        <v>-1.113132383807</v>
      </c>
      <c r="AE2880">
        <v>0.236199999999996</v>
      </c>
      <c r="AF2880">
        <v>-5.4160390004436101</v>
      </c>
      <c r="AG2880">
        <v>-1.113132383807</v>
      </c>
      <c r="AH2880">
        <v>22.367749902045698</v>
      </c>
      <c r="AI2880">
        <v>92.769088006556203</v>
      </c>
      <c r="AJ2880">
        <v>103.61139911882999</v>
      </c>
      <c r="AK2880">
        <v>23.041023801877198</v>
      </c>
      <c r="AL2880">
        <v>90.628417207660306</v>
      </c>
      <c r="AM2880">
        <v>89.436831935751499</v>
      </c>
      <c r="AN2880">
        <v>1.00000005003129</v>
      </c>
    </row>
    <row r="2881" spans="1:40" x14ac:dyDescent="0.25">
      <c r="A2881" t="str">
        <f>"20190312161016715"</f>
        <v>20190312161016715</v>
      </c>
      <c r="B2881" t="str">
        <f>"1552378216708592"</f>
        <v>1552378216708592</v>
      </c>
      <c r="C2881" t="s">
        <v>40</v>
      </c>
      <c r="D2881">
        <v>5.8554510000000004</v>
      </c>
      <c r="E2881">
        <v>0.40663529999999998</v>
      </c>
      <c r="F2881" t="s">
        <v>61</v>
      </c>
      <c r="G2881">
        <v>-448.67809999999997</v>
      </c>
      <c r="H2881" s="1">
        <v>3.1216119999999998E-6</v>
      </c>
      <c r="I2881">
        <v>213.69309999999999</v>
      </c>
      <c r="J2881">
        <v>-470.60340000000002</v>
      </c>
      <c r="K2881">
        <v>1.1130389999999999</v>
      </c>
      <c r="L2881">
        <v>213.43809999999999</v>
      </c>
      <c r="M2881">
        <v>0.9754661</v>
      </c>
      <c r="N2881">
        <v>0</v>
      </c>
      <c r="O2881">
        <v>-0.21967439999999999</v>
      </c>
      <c r="P2881">
        <v>0.97288070000000004</v>
      </c>
      <c r="Q2881">
        <v>-2.544503E-2</v>
      </c>
      <c r="R2881">
        <v>-0.22990379999999999</v>
      </c>
      <c r="S2881">
        <v>3.0906069999999999</v>
      </c>
      <c r="T2881">
        <v>-0.1555388</v>
      </c>
      <c r="U2881">
        <v>3.041077E-2</v>
      </c>
      <c r="V2881">
        <v>1.061662E-2</v>
      </c>
      <c r="W2881">
        <v>-1.092445E-2</v>
      </c>
      <c r="X2881">
        <v>0.99988390000000005</v>
      </c>
      <c r="Y2881">
        <v>-0.22872129999999999</v>
      </c>
      <c r="Z2881">
        <v>1.6735489999999999E-2</v>
      </c>
      <c r="AA2881">
        <v>0.97334810000000005</v>
      </c>
      <c r="AB2881">
        <v>19</v>
      </c>
      <c r="AC2881">
        <v>21.9253</v>
      </c>
      <c r="AD2881">
        <v>-1.1130358783880001</v>
      </c>
      <c r="AE2881">
        <v>0.25499999999999501</v>
      </c>
      <c r="AF2881">
        <v>-5.0526811045336197</v>
      </c>
      <c r="AG2881">
        <v>-1.1130358783880001</v>
      </c>
      <c r="AH2881">
        <v>21.278770282721801</v>
      </c>
      <c r="AI2881">
        <v>92.913399063319403</v>
      </c>
      <c r="AJ2881">
        <v>103.3576011561</v>
      </c>
      <c r="AK2881">
        <v>21.8987328390374</v>
      </c>
      <c r="AL2881">
        <v>90.625937369971695</v>
      </c>
      <c r="AM2881">
        <v>89.391664711233602</v>
      </c>
      <c r="AN2881">
        <v>0.99999993485361605</v>
      </c>
    </row>
    <row r="2882" spans="1:40" x14ac:dyDescent="0.25">
      <c r="A2882" t="str">
        <f>"20190312161016737"</f>
        <v>20190312161016737</v>
      </c>
      <c r="B2882" t="str">
        <f>"1552378216729088"</f>
        <v>1552378216729088</v>
      </c>
      <c r="C2882" t="s">
        <v>40</v>
      </c>
      <c r="D2882">
        <v>5.8542259999999997</v>
      </c>
      <c r="E2882">
        <v>0.41671520000000001</v>
      </c>
      <c r="F2882" t="s">
        <v>61</v>
      </c>
      <c r="G2882">
        <v>-448.45389999999998</v>
      </c>
      <c r="H2882" s="1">
        <v>2.999867E-6</v>
      </c>
      <c r="I2882">
        <v>213.74889999999999</v>
      </c>
      <c r="J2882">
        <v>-470.4187</v>
      </c>
      <c r="K2882">
        <v>1.112935</v>
      </c>
      <c r="L2882">
        <v>213.4032</v>
      </c>
      <c r="M2882">
        <v>0.97663820000000001</v>
      </c>
      <c r="N2882">
        <v>0</v>
      </c>
      <c r="O2882">
        <v>-0.2144055</v>
      </c>
      <c r="P2882">
        <v>0.97400609999999999</v>
      </c>
      <c r="Q2882">
        <v>-2.5278220000000001E-2</v>
      </c>
      <c r="R2882">
        <v>-0.22510820000000001</v>
      </c>
      <c r="S2882">
        <v>3.0898439999999998</v>
      </c>
      <c r="T2882">
        <v>-0.15526779999999901</v>
      </c>
      <c r="U2882">
        <v>4.3350220000000002E-2</v>
      </c>
      <c r="V2882">
        <v>1.1083859999999999E-2</v>
      </c>
      <c r="W2882">
        <v>-1.0777780000000001E-2</v>
      </c>
      <c r="X2882">
        <v>0.99988049999999995</v>
      </c>
      <c r="Y2882">
        <v>-0.22755410000000001</v>
      </c>
      <c r="Z2882">
        <v>1.6422079999999999E-2</v>
      </c>
      <c r="AA2882">
        <v>0.97362700000000002</v>
      </c>
      <c r="AB2882">
        <v>19</v>
      </c>
      <c r="AC2882">
        <v>21.9648</v>
      </c>
      <c r="AD2882">
        <v>-1.1129320001330001</v>
      </c>
      <c r="AE2882">
        <v>0.34569999999999301</v>
      </c>
      <c r="AF2882">
        <v>-5.0346006822410496</v>
      </c>
      <c r="AG2882">
        <v>-1.1129320001330001</v>
      </c>
      <c r="AH2882">
        <v>21.325032547981699</v>
      </c>
      <c r="AI2882">
        <v>92.907705654015004</v>
      </c>
      <c r="AJ2882">
        <v>103.283653963614</v>
      </c>
      <c r="AK2882">
        <v>21.939526768802999</v>
      </c>
      <c r="AL2882">
        <v>90.617533254146295</v>
      </c>
      <c r="AM2882">
        <v>89.364891716199807</v>
      </c>
      <c r="AN2882">
        <v>1.00000001338723</v>
      </c>
    </row>
    <row r="2883" spans="1:40" x14ac:dyDescent="0.25">
      <c r="A2883" t="str">
        <f>"20190312161016781"</f>
        <v>20190312161016781</v>
      </c>
      <c r="B2883" t="str">
        <f>"1552378216769104"</f>
        <v>1552378216769104</v>
      </c>
      <c r="C2883" t="s">
        <v>40</v>
      </c>
      <c r="D2883">
        <v>5.8356909999999997</v>
      </c>
      <c r="E2883">
        <v>0.41672979999999998</v>
      </c>
      <c r="F2883" t="s">
        <v>61</v>
      </c>
      <c r="G2883">
        <v>-455.63029999999998</v>
      </c>
      <c r="H2883" s="1">
        <v>1.5153149999999999E-6</v>
      </c>
      <c r="I2883">
        <v>213.3365</v>
      </c>
      <c r="J2883">
        <v>-470.07150000000001</v>
      </c>
      <c r="K2883">
        <v>1.112703</v>
      </c>
      <c r="L2883">
        <v>213.33969999999999</v>
      </c>
      <c r="M2883">
        <v>0.97864379999999995</v>
      </c>
      <c r="N2883">
        <v>0</v>
      </c>
      <c r="O2883">
        <v>-0.2050594</v>
      </c>
      <c r="P2883">
        <v>0.97585120000000003</v>
      </c>
      <c r="Q2883">
        <v>-2.4961649999999998E-2</v>
      </c>
      <c r="R2883">
        <v>-0.21700659999999999</v>
      </c>
      <c r="S2883">
        <v>3.070862</v>
      </c>
      <c r="T2883">
        <v>-0.23110439999999999</v>
      </c>
      <c r="U2883">
        <v>-1.383972E-2</v>
      </c>
      <c r="V2883">
        <v>1.232376E-2</v>
      </c>
      <c r="W2883">
        <v>-1.05021E-2</v>
      </c>
      <c r="X2883">
        <v>0.99986889999999995</v>
      </c>
      <c r="Y2883">
        <v>-0.19953000000000001</v>
      </c>
      <c r="Z2883">
        <v>2.282464E-2</v>
      </c>
      <c r="AA2883">
        <v>0.97962590000000005</v>
      </c>
      <c r="AB2883">
        <v>19</v>
      </c>
      <c r="AC2883">
        <v>14.4412</v>
      </c>
      <c r="AD2883">
        <v>-1.1127014846850001</v>
      </c>
      <c r="AE2883">
        <v>-3.19999999999254E-3</v>
      </c>
      <c r="AF2883">
        <v>-2.94101812990005</v>
      </c>
      <c r="AG2883">
        <v>-1.1127014846850001</v>
      </c>
      <c r="AH2883">
        <v>14.051489196572399</v>
      </c>
      <c r="AI2883">
        <v>94.432015567321301</v>
      </c>
      <c r="AJ2883">
        <v>101.821522573321</v>
      </c>
      <c r="AK2883">
        <v>14.3990291643504</v>
      </c>
      <c r="AL2883">
        <v>90.601737071818206</v>
      </c>
      <c r="AM2883">
        <v>89.293843739595999</v>
      </c>
      <c r="AN2883">
        <v>0.99999999317607802</v>
      </c>
    </row>
    <row r="2884" spans="1:40" x14ac:dyDescent="0.25">
      <c r="A2884" t="str">
        <f>"20190312161016803"</f>
        <v>20190312161016803</v>
      </c>
      <c r="B2884" t="str">
        <f>"1552378216799360"</f>
        <v>1552378216799360</v>
      </c>
      <c r="C2884" t="s">
        <v>40</v>
      </c>
      <c r="D2884">
        <v>5.8400990000000004</v>
      </c>
      <c r="E2884">
        <v>0.4180835</v>
      </c>
      <c r="F2884" t="s">
        <v>61</v>
      </c>
      <c r="G2884">
        <v>-455.12200000000001</v>
      </c>
      <c r="H2884" s="1">
        <v>1.2422350000000001E-6</v>
      </c>
      <c r="I2884">
        <v>213.3955</v>
      </c>
      <c r="J2884">
        <v>-469.89370000000002</v>
      </c>
      <c r="K2884">
        <v>1.112573</v>
      </c>
      <c r="L2884">
        <v>213.3082</v>
      </c>
      <c r="M2884">
        <v>0.97957879999999997</v>
      </c>
      <c r="N2884">
        <v>0</v>
      </c>
      <c r="O2884">
        <v>-0.20054649999999999</v>
      </c>
      <c r="P2884">
        <v>0.97667619999999999</v>
      </c>
      <c r="Q2884">
        <v>-2.4381949999999999E-2</v>
      </c>
      <c r="R2884">
        <v>-0.2133293</v>
      </c>
      <c r="S2884">
        <v>3.0709529999999998</v>
      </c>
      <c r="T2884">
        <v>-0.22857279999999999</v>
      </c>
      <c r="U2884">
        <v>1.145935E-2</v>
      </c>
      <c r="V2884">
        <v>1.315684E-2</v>
      </c>
      <c r="W2884">
        <v>-9.9439569999999998E-3</v>
      </c>
      <c r="X2884">
        <v>0.99986399999999998</v>
      </c>
      <c r="Y2884">
        <v>-0.2031104</v>
      </c>
      <c r="Z2884">
        <v>2.2380790000000001E-2</v>
      </c>
      <c r="AA2884">
        <v>0.97889999999999999</v>
      </c>
      <c r="AB2884">
        <v>18</v>
      </c>
      <c r="AC2884">
        <v>14.771699999999999</v>
      </c>
      <c r="AD2884">
        <v>-1.1125717577650001</v>
      </c>
      <c r="AE2884">
        <v>8.7299999999999003E-2</v>
      </c>
      <c r="AF2884">
        <v>-3.0310508232746098</v>
      </c>
      <c r="AG2884">
        <v>-1.1125717577650001</v>
      </c>
      <c r="AH2884">
        <v>14.372499707781699</v>
      </c>
      <c r="AI2884">
        <v>94.331524064947303</v>
      </c>
      <c r="AJ2884">
        <v>101.90874093597</v>
      </c>
      <c r="AK2884">
        <v>14.730710534785301</v>
      </c>
      <c r="AL2884">
        <v>90.569756156904603</v>
      </c>
      <c r="AM2884">
        <v>89.246109571171502</v>
      </c>
      <c r="AN2884">
        <v>1.0000000016077999</v>
      </c>
    </row>
    <row r="2885" spans="1:40" x14ac:dyDescent="0.25">
      <c r="A2885" t="str">
        <f>"20190312161016827"</f>
        <v>20190312161016827</v>
      </c>
      <c r="B2885" t="str">
        <f>"1552378216818880"</f>
        <v>1552378216818880</v>
      </c>
      <c r="C2885" t="s">
        <v>40</v>
      </c>
      <c r="D2885">
        <v>5.8183550000000004</v>
      </c>
      <c r="E2885">
        <v>0.41896830000000002</v>
      </c>
      <c r="F2885" t="s">
        <v>61</v>
      </c>
      <c r="G2885">
        <v>-455.29349999999999</v>
      </c>
      <c r="H2885" s="1">
        <v>1.334626E-6</v>
      </c>
      <c r="I2885">
        <v>213.36930000000001</v>
      </c>
      <c r="J2885">
        <v>-469.70609999999999</v>
      </c>
      <c r="K2885">
        <v>1.1124229999999999</v>
      </c>
      <c r="L2885">
        <v>213.27549999999999</v>
      </c>
      <c r="M2885">
        <v>0.98049410000000004</v>
      </c>
      <c r="N2885">
        <v>0</v>
      </c>
      <c r="O2885">
        <v>-0.19602449999999999</v>
      </c>
      <c r="P2885">
        <v>0.9773811</v>
      </c>
      <c r="Q2885">
        <v>-2.4298050000000002E-2</v>
      </c>
      <c r="R2885">
        <v>-0.2100862</v>
      </c>
      <c r="S2885">
        <v>3.0686040000000001</v>
      </c>
      <c r="T2885">
        <v>-0.23383470000000001</v>
      </c>
      <c r="U2885">
        <v>1.2847900000000001E-2</v>
      </c>
      <c r="V2885">
        <v>1.444699E-2</v>
      </c>
      <c r="W2885">
        <v>-9.8818810000000003E-3</v>
      </c>
      <c r="X2885">
        <v>0.99984680000000004</v>
      </c>
      <c r="Y2885">
        <v>-0.19900860000000001</v>
      </c>
      <c r="Z2885">
        <v>2.241717E-2</v>
      </c>
      <c r="AA2885">
        <v>0.97974130000000004</v>
      </c>
      <c r="AB2885">
        <v>18</v>
      </c>
      <c r="AC2885">
        <v>14.4125999999999</v>
      </c>
      <c r="AD2885">
        <v>-1.112421665374</v>
      </c>
      <c r="AE2885">
        <v>9.3800000000015801E-2</v>
      </c>
      <c r="AF2885">
        <v>-2.9002162422000599</v>
      </c>
      <c r="AG2885">
        <v>-1.112421665374</v>
      </c>
      <c r="AH2885">
        <v>14.0309500791447</v>
      </c>
      <c r="AI2885">
        <v>94.439658765630696</v>
      </c>
      <c r="AJ2885">
        <v>101.67864331025</v>
      </c>
      <c r="AK2885">
        <v>14.3706748740818</v>
      </c>
      <c r="AL2885">
        <v>90.566199292919094</v>
      </c>
      <c r="AM2885">
        <v>89.172179222821896</v>
      </c>
      <c r="AN2885">
        <v>0.99999999528119898</v>
      </c>
    </row>
    <row r="2886" spans="1:40" x14ac:dyDescent="0.25">
      <c r="A2886" t="str">
        <f>"20190312161016872"</f>
        <v>20190312161016872</v>
      </c>
      <c r="B2886" t="str">
        <f>"1552378216858896"</f>
        <v>1552378216858896</v>
      </c>
      <c r="C2886" t="s">
        <v>40</v>
      </c>
      <c r="D2886">
        <v>5.7911609999999998</v>
      </c>
      <c r="E2886">
        <v>0.42022660000000001</v>
      </c>
      <c r="F2886" t="s">
        <v>61</v>
      </c>
      <c r="G2886">
        <v>-455.38679999999999</v>
      </c>
      <c r="H2886" s="1">
        <v>1.385106E-6</v>
      </c>
      <c r="I2886">
        <v>213.351</v>
      </c>
      <c r="J2886">
        <v>-469.34429999999998</v>
      </c>
      <c r="K2886">
        <v>1.1121540000000001</v>
      </c>
      <c r="L2886">
        <v>213.21420000000001</v>
      </c>
      <c r="M2886">
        <v>0.98206230000000005</v>
      </c>
      <c r="N2886">
        <v>0</v>
      </c>
      <c r="O2886">
        <v>-0.18801329999999999</v>
      </c>
      <c r="P2886">
        <v>0.97862119999999997</v>
      </c>
      <c r="Q2886">
        <v>-2.557885E-2</v>
      </c>
      <c r="R2886">
        <v>-0.20407400000000001</v>
      </c>
      <c r="S2886">
        <v>3.066986</v>
      </c>
      <c r="T2886">
        <v>-0.23826530000000001</v>
      </c>
      <c r="U2886">
        <v>1.6159059999999999E-2</v>
      </c>
      <c r="V2886">
        <v>1.646823E-2</v>
      </c>
      <c r="W2886">
        <v>-1.1207989999999999E-2</v>
      </c>
      <c r="X2886">
        <v>0.99980159999999996</v>
      </c>
      <c r="Y2886">
        <v>-0.19206419999999999</v>
      </c>
      <c r="Z2886">
        <v>2.197089E-2</v>
      </c>
      <c r="AA2886">
        <v>0.98113640000000002</v>
      </c>
      <c r="AB2886">
        <v>18</v>
      </c>
      <c r="AC2886">
        <v>13.9574999999999</v>
      </c>
      <c r="AD2886">
        <v>-1.112152614894</v>
      </c>
      <c r="AE2886">
        <v>0.13679999999999301</v>
      </c>
      <c r="AF2886">
        <v>-2.74142011979432</v>
      </c>
      <c r="AG2886">
        <v>-1.112152614894</v>
      </c>
      <c r="AH2886">
        <v>13.5964969240468</v>
      </c>
      <c r="AI2886">
        <v>94.584360564773306</v>
      </c>
      <c r="AJ2886">
        <v>101.399536104205</v>
      </c>
      <c r="AK2886">
        <v>13.9146324535592</v>
      </c>
      <c r="AL2886">
        <v>90.642183949804306</v>
      </c>
      <c r="AM2886">
        <v>89.056338021029305</v>
      </c>
      <c r="AN2886">
        <v>1.0000000305008601</v>
      </c>
    </row>
    <row r="2887" spans="1:40" x14ac:dyDescent="0.25">
      <c r="A2887" t="str">
        <f>"20190312161016915"</f>
        <v>20190312161016915</v>
      </c>
      <c r="B2887" t="str">
        <f>"1552378216908672"</f>
        <v>1552378216908672</v>
      </c>
      <c r="C2887" t="s">
        <v>40</v>
      </c>
      <c r="D2887">
        <v>5.7221840000000004</v>
      </c>
      <c r="E2887">
        <v>0.42071330000000001</v>
      </c>
      <c r="F2887" t="s">
        <v>61</v>
      </c>
      <c r="G2887">
        <v>-455.654</v>
      </c>
      <c r="H2887" s="1">
        <v>1.528259E-6</v>
      </c>
      <c r="I2887">
        <v>213.32910000000001</v>
      </c>
      <c r="J2887">
        <v>-468.99709999999999</v>
      </c>
      <c r="K2887">
        <v>1.1119730000000001</v>
      </c>
      <c r="L2887">
        <v>213.15719999999999</v>
      </c>
      <c r="M2887">
        <v>0.98337439999999998</v>
      </c>
      <c r="N2887">
        <v>0</v>
      </c>
      <c r="O2887">
        <v>-0.18102850000000001</v>
      </c>
      <c r="P2887">
        <v>0.97950150000000002</v>
      </c>
      <c r="Q2887">
        <v>-2.6394839999999999E-2</v>
      </c>
      <c r="R2887">
        <v>-0.1996995</v>
      </c>
      <c r="S2887">
        <v>3.0643919999999998</v>
      </c>
      <c r="T2887">
        <v>-0.24894069999999999</v>
      </c>
      <c r="U2887">
        <v>2.5711060000000001E-2</v>
      </c>
      <c r="V2887">
        <v>1.9109069999999999E-2</v>
      </c>
      <c r="W2887">
        <v>-1.205968E-2</v>
      </c>
      <c r="X2887">
        <v>0.99974470000000004</v>
      </c>
      <c r="Y2887">
        <v>-0.18808050000000001</v>
      </c>
      <c r="Z2887">
        <v>2.2251509999999999E-2</v>
      </c>
      <c r="AA2887">
        <v>0.98190149999999998</v>
      </c>
      <c r="AB2887">
        <v>18</v>
      </c>
      <c r="AC2887">
        <v>13.3430999999999</v>
      </c>
      <c r="AD2887">
        <v>-1.1119714717410001</v>
      </c>
      <c r="AE2887">
        <v>0.17190000000002201</v>
      </c>
      <c r="AF2887">
        <v>-2.5669617614122999</v>
      </c>
      <c r="AG2887">
        <v>-1.1119714717410001</v>
      </c>
      <c r="AH2887">
        <v>13.001197440648401</v>
      </c>
      <c r="AI2887">
        <v>94.796369378014205</v>
      </c>
      <c r="AJ2887">
        <v>101.16885017197301</v>
      </c>
      <c r="AK2887">
        <v>13.2987558865197</v>
      </c>
      <c r="AL2887">
        <v>90.690985496076294</v>
      </c>
      <c r="AM2887">
        <v>88.904984686227394</v>
      </c>
      <c r="AN2887">
        <v>1.00000002880802</v>
      </c>
    </row>
    <row r="2888" spans="1:40" x14ac:dyDescent="0.25">
      <c r="A2888" t="str">
        <f>"20190312161016938"</f>
        <v>20190312161016938</v>
      </c>
      <c r="B2888" t="str">
        <f>"1552378216929168"</f>
        <v>1552378216929168</v>
      </c>
      <c r="C2888" t="s">
        <v>40</v>
      </c>
      <c r="D2888">
        <v>5.7198310000000001</v>
      </c>
      <c r="E2888">
        <v>0.42114590000000002</v>
      </c>
      <c r="F2888" t="s">
        <v>61</v>
      </c>
      <c r="G2888">
        <v>-455.01420000000002</v>
      </c>
      <c r="H2888" s="1">
        <v>1.1883539999999999E-6</v>
      </c>
      <c r="I2888">
        <v>213.31540000000001</v>
      </c>
      <c r="J2888">
        <v>-468.80689999999998</v>
      </c>
      <c r="K2888">
        <v>1.1118859999999999</v>
      </c>
      <c r="L2888">
        <v>213.1267</v>
      </c>
      <c r="M2888">
        <v>0.98401939999999999</v>
      </c>
      <c r="N2888">
        <v>0</v>
      </c>
      <c r="O2888">
        <v>-0.17749110000000001</v>
      </c>
      <c r="P2888">
        <v>0.97991539999999999</v>
      </c>
      <c r="Q2888">
        <v>-2.692141E-2</v>
      </c>
      <c r="R2888">
        <v>-0.1975894</v>
      </c>
      <c r="S2888">
        <v>3.0632929999999998</v>
      </c>
      <c r="T2888">
        <v>-0.24360390000000001</v>
      </c>
      <c r="U2888">
        <v>3.4652710000000003E-2</v>
      </c>
      <c r="V2888">
        <v>2.0552029999999999E-2</v>
      </c>
      <c r="W2888">
        <v>-1.260443E-2</v>
      </c>
      <c r="X2888">
        <v>0.99970930000000002</v>
      </c>
      <c r="Y2888">
        <v>-0.18748139999999999</v>
      </c>
      <c r="Z2888">
        <v>2.148311E-2</v>
      </c>
      <c r="AA2888">
        <v>0.98203320000000005</v>
      </c>
      <c r="AB2888">
        <v>18</v>
      </c>
      <c r="AC2888">
        <v>13.7926999999999</v>
      </c>
      <c r="AD2888">
        <v>-1.1118848116460001</v>
      </c>
      <c r="AE2888">
        <v>0.188700000000011</v>
      </c>
      <c r="AF2888">
        <v>-2.6170290779980898</v>
      </c>
      <c r="AG2888">
        <v>-1.1118848116460001</v>
      </c>
      <c r="AH2888">
        <v>13.4527564093717</v>
      </c>
      <c r="AI2888">
        <v>94.638259116242494</v>
      </c>
      <c r="AJ2888">
        <v>101.00852833621801</v>
      </c>
      <c r="AK2888">
        <v>13.749973965042599</v>
      </c>
      <c r="AL2888">
        <v>90.722199786783406</v>
      </c>
      <c r="AM2888">
        <v>88.822278904188707</v>
      </c>
      <c r="AN2888">
        <v>0.99999997104961702</v>
      </c>
    </row>
    <row r="2889" spans="1:40" x14ac:dyDescent="0.25">
      <c r="A2889" t="str">
        <f>"20190312161016961"</f>
        <v>20190312161016961</v>
      </c>
      <c r="B2889" t="str">
        <f>"1552378216949664"</f>
        <v>1552378216949664</v>
      </c>
      <c r="C2889" t="s">
        <v>40</v>
      </c>
      <c r="D2889">
        <v>5.6799819999999999</v>
      </c>
      <c r="E2889">
        <v>0.42158879999999999</v>
      </c>
      <c r="F2889" t="s">
        <v>61</v>
      </c>
      <c r="G2889">
        <v>-454.69060000000002</v>
      </c>
      <c r="H2889" s="1">
        <v>1.0168459999999999E-6</v>
      </c>
      <c r="I2889">
        <v>213.30009999999999</v>
      </c>
      <c r="J2889">
        <v>-468.63290000000001</v>
      </c>
      <c r="K2889">
        <v>1.111783</v>
      </c>
      <c r="L2889">
        <v>213.0992</v>
      </c>
      <c r="M2889">
        <v>0.98456390000000005</v>
      </c>
      <c r="N2889">
        <v>0</v>
      </c>
      <c r="O2889">
        <v>-0.17444609999999999</v>
      </c>
      <c r="P2889">
        <v>0.98024199999999995</v>
      </c>
      <c r="Q2889">
        <v>-2.792449E-2</v>
      </c>
      <c r="R2889">
        <v>-0.1958222</v>
      </c>
      <c r="S2889">
        <v>3.0624389999999999</v>
      </c>
      <c r="T2889">
        <v>-0.24121519999999999</v>
      </c>
      <c r="U2889">
        <v>3.7612920000000001E-2</v>
      </c>
      <c r="V2889">
        <v>2.1847209999999999E-2</v>
      </c>
      <c r="W2889">
        <v>-1.362536E-2</v>
      </c>
      <c r="X2889">
        <v>0.99966849999999996</v>
      </c>
      <c r="Y2889">
        <v>-0.1854324</v>
      </c>
      <c r="Z2889">
        <v>2.0961870000000001E-2</v>
      </c>
      <c r="AA2889">
        <v>0.98243340000000001</v>
      </c>
      <c r="AB2889">
        <v>18</v>
      </c>
      <c r="AC2889">
        <v>13.9422999999999</v>
      </c>
      <c r="AD2889">
        <v>-1.1117819831539999</v>
      </c>
      <c r="AE2889">
        <v>0.20089999999999</v>
      </c>
      <c r="AF2889">
        <v>-2.61362914032778</v>
      </c>
      <c r="AG2889">
        <v>-1.1117819831539999</v>
      </c>
      <c r="AH2889">
        <v>13.606920688158</v>
      </c>
      <c r="AI2889">
        <v>94.587599851447607</v>
      </c>
      <c r="AJ2889">
        <v>100.872993950758</v>
      </c>
      <c r="AK2889">
        <v>13.900194497742</v>
      </c>
      <c r="AL2889">
        <v>90.780699756047497</v>
      </c>
      <c r="AM2889">
        <v>88.748031274380907</v>
      </c>
      <c r="AN2889">
        <v>1.0000000304560801</v>
      </c>
    </row>
    <row r="2890" spans="1:40" x14ac:dyDescent="0.25">
      <c r="A2890" t="str">
        <f>"20190312161017007"</f>
        <v>20190312161017007</v>
      </c>
      <c r="B2890" t="str">
        <f>"1552378216998465"</f>
        <v>1552378216998465</v>
      </c>
      <c r="C2890" t="s">
        <v>40</v>
      </c>
      <c r="D2890">
        <v>6.0339029999999996</v>
      </c>
      <c r="E2890">
        <v>0.4224</v>
      </c>
      <c r="F2890" t="s">
        <v>61</v>
      </c>
      <c r="G2890">
        <v>-454.4649</v>
      </c>
      <c r="H2890" s="1">
        <v>8.9755150000000003E-7</v>
      </c>
      <c r="I2890">
        <v>213.28200000000001</v>
      </c>
      <c r="J2890">
        <v>-468.27089999999998</v>
      </c>
      <c r="K2890">
        <v>1.111523</v>
      </c>
      <c r="L2890">
        <v>213.04300000000001</v>
      </c>
      <c r="M2890">
        <v>0.98555789999999999</v>
      </c>
      <c r="N2890">
        <v>0</v>
      </c>
      <c r="O2890">
        <v>-0.168742</v>
      </c>
      <c r="P2890">
        <v>0.9808789</v>
      </c>
      <c r="Q2890">
        <v>-2.9234110000000001E-2</v>
      </c>
      <c r="R2890">
        <v>-0.19241059999999999</v>
      </c>
      <c r="S2890">
        <v>3.0615540000000001</v>
      </c>
      <c r="T2890">
        <v>-0.2402444</v>
      </c>
      <c r="U2890">
        <v>3.9504999999999998E-2</v>
      </c>
      <c r="V2890">
        <v>2.4158869999999999E-2</v>
      </c>
      <c r="W2890">
        <v>-1.49777E-2</v>
      </c>
      <c r="X2890">
        <v>0.99959589999999998</v>
      </c>
      <c r="Y2890">
        <v>-0.18039250000000001</v>
      </c>
      <c r="Z2890">
        <v>2.0244330000000001E-2</v>
      </c>
      <c r="AA2890">
        <v>0.98338630000000005</v>
      </c>
      <c r="AB2890">
        <v>18</v>
      </c>
      <c r="AC2890">
        <v>13.8059999999999</v>
      </c>
      <c r="AD2890">
        <v>-1.1115221024485</v>
      </c>
      <c r="AE2890">
        <v>0.23900000000000399</v>
      </c>
      <c r="AF2890">
        <v>-2.5489422425861301</v>
      </c>
      <c r="AG2890">
        <v>-1.1115221024485</v>
      </c>
      <c r="AH2890">
        <v>13.480300417063599</v>
      </c>
      <c r="AI2890">
        <v>94.631965862061307</v>
      </c>
      <c r="AJ2890">
        <v>100.70744018385901</v>
      </c>
      <c r="AK2890">
        <v>13.764123193090001</v>
      </c>
      <c r="AL2890">
        <v>90.858191108662595</v>
      </c>
      <c r="AM2890">
        <v>88.615508658424901</v>
      </c>
      <c r="AN2890">
        <v>0.99999997289688802</v>
      </c>
    </row>
    <row r="2891" spans="1:40" x14ac:dyDescent="0.25">
      <c r="A2891" t="str">
        <f>"20190312161017049"</f>
        <v>20190312161017049</v>
      </c>
      <c r="B2891" t="str">
        <f>"1552378217038480"</f>
        <v>1552378217038480</v>
      </c>
      <c r="C2891" t="s">
        <v>40</v>
      </c>
      <c r="D2891">
        <v>5.647246</v>
      </c>
      <c r="E2891">
        <v>0.43177500000000002</v>
      </c>
      <c r="F2891" t="s">
        <v>61</v>
      </c>
      <c r="G2891">
        <v>-454.017</v>
      </c>
      <c r="H2891" s="1">
        <v>6.6077150000000005E-7</v>
      </c>
      <c r="I2891">
        <v>213.24529999999999</v>
      </c>
      <c r="J2891">
        <v>-467.9357</v>
      </c>
      <c r="K2891">
        <v>1.111348</v>
      </c>
      <c r="L2891">
        <v>212.99189999999999</v>
      </c>
      <c r="M2891">
        <v>0.98635320000000004</v>
      </c>
      <c r="N2891">
        <v>0</v>
      </c>
      <c r="O2891">
        <v>-0.1640334</v>
      </c>
      <c r="P2891">
        <v>0.98154330000000001</v>
      </c>
      <c r="Q2891">
        <v>-2.9898049999999999E-2</v>
      </c>
      <c r="R2891">
        <v>-0.18889020000000001</v>
      </c>
      <c r="S2891">
        <v>3.0598450000000001</v>
      </c>
      <c r="T2891">
        <v>-0.23860629999999999</v>
      </c>
      <c r="U2891">
        <v>4.3426510000000001E-2</v>
      </c>
      <c r="V2891">
        <v>2.5344740000000001E-2</v>
      </c>
      <c r="W2891">
        <v>-1.567644E-2</v>
      </c>
      <c r="X2891">
        <v>0.99955579999999999</v>
      </c>
      <c r="Y2891">
        <v>-0.17699960000000001</v>
      </c>
      <c r="Z2891">
        <v>1.962305E-2</v>
      </c>
      <c r="AA2891">
        <v>0.98401530000000004</v>
      </c>
      <c r="AB2891">
        <v>18</v>
      </c>
      <c r="AC2891">
        <v>13.918699999999999</v>
      </c>
      <c r="AD2891">
        <v>-1.1113473392285</v>
      </c>
      <c r="AE2891">
        <v>0.25339999999999901</v>
      </c>
      <c r="AF2891">
        <v>-2.51728426242529</v>
      </c>
      <c r="AG2891">
        <v>-1.1113473392285</v>
      </c>
      <c r="AH2891">
        <v>13.601872327772901</v>
      </c>
      <c r="AI2891">
        <v>94.593345020595805</v>
      </c>
      <c r="AJ2891">
        <v>100.485038041123</v>
      </c>
      <c r="AK2891">
        <v>13.8774184842607</v>
      </c>
      <c r="AL2891">
        <v>90.898230685647405</v>
      </c>
      <c r="AM2891">
        <v>88.547519261246507</v>
      </c>
      <c r="AN2891">
        <v>0.99999995196518898</v>
      </c>
    </row>
    <row r="2892" spans="1:40" x14ac:dyDescent="0.25">
      <c r="A2892" t="str">
        <f>"20190312161017071"</f>
        <v>20190312161017071</v>
      </c>
      <c r="B2892" t="str">
        <f>"1552378217068736"</f>
        <v>1552378217068736</v>
      </c>
      <c r="C2892" t="s">
        <v>40</v>
      </c>
      <c r="D2892">
        <v>5.6358889999999997</v>
      </c>
      <c r="E2892">
        <v>0.4320292</v>
      </c>
      <c r="F2892" t="s">
        <v>61</v>
      </c>
      <c r="G2892">
        <v>-452.79739999999998</v>
      </c>
      <c r="H2892" s="1">
        <v>2.7283689999999998E-8</v>
      </c>
      <c r="I2892">
        <v>212.89009999999999</v>
      </c>
      <c r="J2892">
        <v>-467.75900000000001</v>
      </c>
      <c r="K2892">
        <v>1.1113120000000001</v>
      </c>
      <c r="L2892">
        <v>212.96530000000001</v>
      </c>
      <c r="M2892">
        <v>0.98673299999999997</v>
      </c>
      <c r="N2892">
        <v>0</v>
      </c>
      <c r="O2892">
        <v>-0.16173390000000001</v>
      </c>
      <c r="P2892">
        <v>0.98197389999999996</v>
      </c>
      <c r="Q2892">
        <v>-2.960964E-2</v>
      </c>
      <c r="R2892">
        <v>-0.18668409999999999</v>
      </c>
      <c r="S2892">
        <v>3.0456850000000002</v>
      </c>
      <c r="T2892">
        <v>-0.22359229999999999</v>
      </c>
      <c r="U2892">
        <v>-2.0477289999999999E-2</v>
      </c>
      <c r="V2892">
        <v>2.5425E-2</v>
      </c>
      <c r="W2892">
        <v>-1.540206E-2</v>
      </c>
      <c r="X2892">
        <v>0.9995581</v>
      </c>
      <c r="Y2892">
        <v>-0.1542645</v>
      </c>
      <c r="Z2892">
        <v>1.74723E-2</v>
      </c>
      <c r="AA2892">
        <v>0.98787510000000001</v>
      </c>
      <c r="AB2892">
        <v>18</v>
      </c>
      <c r="AC2892">
        <v>14.961600000000001</v>
      </c>
      <c r="AD2892">
        <v>-1.1113119727163101</v>
      </c>
      <c r="AE2892">
        <v>-7.5200000000023595E-2</v>
      </c>
      <c r="AF2892">
        <v>-2.3329593520063199</v>
      </c>
      <c r="AG2892">
        <v>-1.1113119727163101</v>
      </c>
      <c r="AH2892">
        <v>14.695669196769099</v>
      </c>
      <c r="AI2892">
        <v>94.271289083583497</v>
      </c>
      <c r="AJ2892">
        <v>99.020514470222906</v>
      </c>
      <c r="AK2892">
        <v>14.921139593867601</v>
      </c>
      <c r="AL2892">
        <v>90.882507906303402</v>
      </c>
      <c r="AM2892">
        <v>88.542924975026807</v>
      </c>
      <c r="AN2892">
        <v>1.00000002467642</v>
      </c>
    </row>
    <row r="2893" spans="1:40" x14ac:dyDescent="0.25">
      <c r="A2893" t="str">
        <f>"20190312161017093"</f>
        <v>20190312161017093</v>
      </c>
      <c r="B2893" t="str">
        <f>"1552378217089232"</f>
        <v>1552378217089232</v>
      </c>
      <c r="C2893" t="s">
        <v>40</v>
      </c>
      <c r="D2893">
        <v>5.6178089999999896</v>
      </c>
      <c r="E2893">
        <v>0.43243520000000002</v>
      </c>
      <c r="F2893" t="s">
        <v>61</v>
      </c>
      <c r="G2893">
        <v>-452.19420000000002</v>
      </c>
      <c r="H2893" s="1">
        <v>-2.9335099999999999E-7</v>
      </c>
      <c r="I2893">
        <v>212.8828</v>
      </c>
      <c r="J2893">
        <v>-467.5874</v>
      </c>
      <c r="K2893">
        <v>1.1113010000000001</v>
      </c>
      <c r="L2893">
        <v>212.93989999999999</v>
      </c>
      <c r="M2893">
        <v>0.98707849999999997</v>
      </c>
      <c r="N2893">
        <v>0</v>
      </c>
      <c r="O2893">
        <v>-0.15961239999999999</v>
      </c>
      <c r="P2893">
        <v>0.98239180000000004</v>
      </c>
      <c r="Q2893">
        <v>-2.8299970000000001E-2</v>
      </c>
      <c r="R2893">
        <v>-0.18467720000000001</v>
      </c>
      <c r="S2893">
        <v>3.0454409999999998</v>
      </c>
      <c r="T2893">
        <v>-0.21744260000000001</v>
      </c>
      <c r="U2893">
        <v>-1.61438E-2</v>
      </c>
      <c r="V2893">
        <v>2.552194E-2</v>
      </c>
      <c r="W2893">
        <v>-1.410345E-2</v>
      </c>
      <c r="X2893">
        <v>0.99957479999999999</v>
      </c>
      <c r="Y2893">
        <v>-0.1535987</v>
      </c>
      <c r="Z2893">
        <v>1.6821249999999999E-2</v>
      </c>
      <c r="AA2893">
        <v>0.98799009999999998</v>
      </c>
      <c r="AB2893">
        <v>18</v>
      </c>
      <c r="AC2893">
        <v>15.393199999999901</v>
      </c>
      <c r="AD2893">
        <v>-1.111301293351</v>
      </c>
      <c r="AE2893">
        <v>-5.7099999999991199E-2</v>
      </c>
      <c r="AF2893">
        <v>-2.3883753262722598</v>
      </c>
      <c r="AG2893">
        <v>-1.111301293351</v>
      </c>
      <c r="AH2893">
        <v>15.1260941954248</v>
      </c>
      <c r="AI2893">
        <v>94.150682706033294</v>
      </c>
      <c r="AJ2893">
        <v>98.972791680711097</v>
      </c>
      <c r="AK2893">
        <v>15.353763475858701</v>
      </c>
      <c r="AL2893">
        <v>90.808094929173095</v>
      </c>
      <c r="AM2893">
        <v>88.537396298902905</v>
      </c>
      <c r="AN2893">
        <v>1.00000002875915</v>
      </c>
    </row>
    <row r="2894" spans="1:40" x14ac:dyDescent="0.25">
      <c r="A2894" t="str">
        <f>"20190312161017117"</f>
        <v>20190312161017117</v>
      </c>
      <c r="B2894" t="str">
        <f>"1552378217108753"</f>
        <v>1552378217108753</v>
      </c>
      <c r="C2894" t="s">
        <v>40</v>
      </c>
      <c r="D2894">
        <v>5.6335889999999997</v>
      </c>
      <c r="E2894">
        <v>0.4329674</v>
      </c>
      <c r="F2894" t="s">
        <v>61</v>
      </c>
      <c r="G2894">
        <v>-451.44740000000002</v>
      </c>
      <c r="H2894" s="1">
        <v>-6.902031E-7</v>
      </c>
      <c r="I2894">
        <v>212.869</v>
      </c>
      <c r="J2894">
        <v>-467.39789999999999</v>
      </c>
      <c r="K2894">
        <v>1.1112850000000001</v>
      </c>
      <c r="L2894">
        <v>212.91210000000001</v>
      </c>
      <c r="M2894">
        <v>0.98743809999999999</v>
      </c>
      <c r="N2894">
        <v>0</v>
      </c>
      <c r="O2894">
        <v>-0.15737290000000001</v>
      </c>
      <c r="P2894">
        <v>0.98289839999999995</v>
      </c>
      <c r="Q2894">
        <v>-2.8803430000000001E-2</v>
      </c>
      <c r="R2894">
        <v>-0.1818825</v>
      </c>
      <c r="S2894">
        <v>3.045258</v>
      </c>
      <c r="T2894">
        <v>-0.20967720000000001</v>
      </c>
      <c r="U2894">
        <v>-1.338196E-2</v>
      </c>
      <c r="V2894">
        <v>2.4949470000000001E-2</v>
      </c>
      <c r="W2894">
        <v>-1.462011E-2</v>
      </c>
      <c r="X2894">
        <v>0.99958179999999996</v>
      </c>
      <c r="Y2894">
        <v>-0.1523168</v>
      </c>
      <c r="Z2894">
        <v>1.602657E-2</v>
      </c>
      <c r="AA2894">
        <v>0.98820180000000002</v>
      </c>
      <c r="AB2894">
        <v>18</v>
      </c>
      <c r="AC2894">
        <v>15.9504999999999</v>
      </c>
      <c r="AD2894">
        <v>-1.1112856902031001</v>
      </c>
      <c r="AE2894">
        <v>-4.3099999999981202E-2</v>
      </c>
      <c r="AF2894">
        <v>-2.4559432274330701</v>
      </c>
      <c r="AG2894">
        <v>-1.1112856902031001</v>
      </c>
      <c r="AH2894">
        <v>15.6823661062329</v>
      </c>
      <c r="AI2894">
        <v>94.004676216927805</v>
      </c>
      <c r="AJ2894">
        <v>98.900535735841999</v>
      </c>
      <c r="AK2894">
        <v>15.912360595196001</v>
      </c>
      <c r="AL2894">
        <v>90.837700444172796</v>
      </c>
      <c r="AM2894">
        <v>88.570199472356293</v>
      </c>
      <c r="AN2894">
        <v>0.99999999928046601</v>
      </c>
    </row>
    <row r="2895" spans="1:40" x14ac:dyDescent="0.25">
      <c r="A2895" t="str">
        <f>"20190312161017139"</f>
        <v>20190312161017139</v>
      </c>
      <c r="B2895" t="str">
        <f>"1552378217129249"</f>
        <v>1552378217129249</v>
      </c>
      <c r="C2895" t="s">
        <v>40</v>
      </c>
      <c r="D2895">
        <v>5.6120929999999998</v>
      </c>
      <c r="E2895">
        <v>0.43346240000000003</v>
      </c>
      <c r="F2895" t="s">
        <v>61</v>
      </c>
      <c r="G2895">
        <v>-451.387</v>
      </c>
      <c r="H2895" s="1">
        <v>-7.2217510000000004E-7</v>
      </c>
      <c r="I2895">
        <v>212.8657</v>
      </c>
      <c r="J2895">
        <v>-467.22800000000001</v>
      </c>
      <c r="K2895">
        <v>1.111267</v>
      </c>
      <c r="L2895">
        <v>212.88749999999999</v>
      </c>
      <c r="M2895">
        <v>0.98774700000000004</v>
      </c>
      <c r="N2895">
        <v>0</v>
      </c>
      <c r="O2895">
        <v>-0.155422799999999</v>
      </c>
      <c r="P2895">
        <v>0.98319100000000004</v>
      </c>
      <c r="Q2895">
        <v>-2.8722930000000001E-2</v>
      </c>
      <c r="R2895">
        <v>-0.18030669999999999</v>
      </c>
      <c r="S2895">
        <v>3.0443730000000002</v>
      </c>
      <c r="T2895">
        <v>-0.21130409999999999</v>
      </c>
      <c r="U2895">
        <v>-8.8348390000000006E-3</v>
      </c>
      <c r="V2895">
        <v>2.5319660000000001E-2</v>
      </c>
      <c r="W2895">
        <v>-1.454952E-2</v>
      </c>
      <c r="X2895">
        <v>0.9995735</v>
      </c>
      <c r="Y2895">
        <v>-0.151834</v>
      </c>
      <c r="Z2895">
        <v>1.600501E-2</v>
      </c>
      <c r="AA2895">
        <v>0.98827640000000005</v>
      </c>
      <c r="AB2895">
        <v>18</v>
      </c>
      <c r="AC2895">
        <v>15.840999999999999</v>
      </c>
      <c r="AD2895">
        <v>-1.1112677221750999</v>
      </c>
      <c r="AE2895">
        <v>-2.17999999999847E-2</v>
      </c>
      <c r="AF2895">
        <v>-2.4288106383503401</v>
      </c>
      <c r="AG2895">
        <v>-1.1112677221750999</v>
      </c>
      <c r="AH2895">
        <v>15.5752019616037</v>
      </c>
      <c r="AI2895">
        <v>94.032481982264599</v>
      </c>
      <c r="AJ2895">
        <v>98.863368941758296</v>
      </c>
      <c r="AK2895">
        <v>15.802561602855899</v>
      </c>
      <c r="AL2895">
        <v>90.833655522758505</v>
      </c>
      <c r="AM2895">
        <v>88.548981638663903</v>
      </c>
      <c r="AN2895">
        <v>0.99999997780849703</v>
      </c>
    </row>
    <row r="2896" spans="1:40" x14ac:dyDescent="0.25">
      <c r="A2896" t="str">
        <f>"20190312161017183"</f>
        <v>20190312161017183</v>
      </c>
      <c r="B2896" t="str">
        <f>"1552378217179024"</f>
        <v>1552378217179024</v>
      </c>
      <c r="C2896" t="s">
        <v>40</v>
      </c>
      <c r="D2896">
        <v>5.6105080000000003</v>
      </c>
      <c r="E2896">
        <v>0.43361729999999998</v>
      </c>
      <c r="F2896" t="s">
        <v>61</v>
      </c>
      <c r="G2896">
        <v>-451.35730000000001</v>
      </c>
      <c r="H2896" s="1">
        <v>-7.3721409999999896E-7</v>
      </c>
      <c r="I2896">
        <v>212.84809999999999</v>
      </c>
      <c r="J2896">
        <v>-466.87970000000001</v>
      </c>
      <c r="K2896">
        <v>1.111221</v>
      </c>
      <c r="L2896">
        <v>212.83789999999999</v>
      </c>
      <c r="M2896">
        <v>0.98835600000000001</v>
      </c>
      <c r="N2896">
        <v>0</v>
      </c>
      <c r="O2896">
        <v>-0.15150420000000001</v>
      </c>
      <c r="P2896">
        <v>0.98348930000000001</v>
      </c>
      <c r="Q2896">
        <v>-2.8397019999999999E-2</v>
      </c>
      <c r="R2896">
        <v>-0.17872499999999999</v>
      </c>
      <c r="S2896">
        <v>3.0436709999999998</v>
      </c>
      <c r="T2896">
        <v>-0.213118</v>
      </c>
      <c r="U2896">
        <v>-7.55310099999999E-3</v>
      </c>
      <c r="V2896">
        <v>2.7671640000000001E-2</v>
      </c>
      <c r="W2896">
        <v>-1.423877E-2</v>
      </c>
      <c r="X2896">
        <v>0.99951570000000001</v>
      </c>
      <c r="Y2896">
        <v>-0.14833399999999999</v>
      </c>
      <c r="Z2896">
        <v>1.5751930000000001E-2</v>
      </c>
      <c r="AA2896">
        <v>0.98881189999999997</v>
      </c>
      <c r="AB2896">
        <v>18</v>
      </c>
      <c r="AC2896">
        <v>15.522399999999999</v>
      </c>
      <c r="AD2896">
        <v>-1.1112217372141</v>
      </c>
      <c r="AE2896">
        <v>1.0199999999997499E-2</v>
      </c>
      <c r="AF2896">
        <v>-2.3499815652929499</v>
      </c>
      <c r="AG2896">
        <v>-1.1112217372141</v>
      </c>
      <c r="AH2896">
        <v>15.2634144559166</v>
      </c>
      <c r="AI2896">
        <v>94.115632320237097</v>
      </c>
      <c r="AJ2896">
        <v>98.752630588703298</v>
      </c>
      <c r="AK2896">
        <v>15.483185975746601</v>
      </c>
      <c r="AL2896">
        <v>90.815848956447695</v>
      </c>
      <c r="AM2896">
        <v>88.414168678479101</v>
      </c>
      <c r="AN2896">
        <v>1.00000004838894</v>
      </c>
    </row>
    <row r="2897" spans="1:40" x14ac:dyDescent="0.25">
      <c r="A2897" t="str">
        <f>"20190312161017206"</f>
        <v>20190312161017206</v>
      </c>
      <c r="B2897" t="str">
        <f>"1552378217198544"</f>
        <v>1552378217198544</v>
      </c>
      <c r="C2897" t="s">
        <v>40</v>
      </c>
      <c r="D2897">
        <v>5.5795949999999896</v>
      </c>
      <c r="E2897">
        <v>0.43331999999999998</v>
      </c>
      <c r="F2897" t="s">
        <v>61</v>
      </c>
      <c r="G2897">
        <v>-451.41860000000003</v>
      </c>
      <c r="H2897" s="1">
        <v>-7.033603E-7</v>
      </c>
      <c r="I2897">
        <v>212.82050000000001</v>
      </c>
      <c r="J2897">
        <v>-466.69979999999998</v>
      </c>
      <c r="K2897">
        <v>1.1112219999999999</v>
      </c>
      <c r="L2897">
        <v>212.81280000000001</v>
      </c>
      <c r="M2897">
        <v>0.98865899999999995</v>
      </c>
      <c r="N2897">
        <v>0</v>
      </c>
      <c r="O2897">
        <v>-0.14951449999999999</v>
      </c>
      <c r="P2897">
        <v>0.98375599999999996</v>
      </c>
      <c r="Q2897">
        <v>-2.7683329999999999E-2</v>
      </c>
      <c r="R2897">
        <v>-0.17736360000000001</v>
      </c>
      <c r="S2897">
        <v>3.0434269999999999</v>
      </c>
      <c r="T2897">
        <v>-0.2187376</v>
      </c>
      <c r="U2897">
        <v>-3.4179689999999999E-3</v>
      </c>
      <c r="V2897">
        <v>2.8295440000000002E-2</v>
      </c>
      <c r="W2897">
        <v>-1.353128E-2</v>
      </c>
      <c r="X2897">
        <v>0.99950799999999995</v>
      </c>
      <c r="Y2897">
        <v>-0.14765449999999999</v>
      </c>
      <c r="Z2897">
        <v>1.600184E-2</v>
      </c>
      <c r="AA2897">
        <v>0.9889095</v>
      </c>
      <c r="AB2897">
        <v>18</v>
      </c>
      <c r="AC2897">
        <v>15.281199999999901</v>
      </c>
      <c r="AD2897">
        <v>-1.1112227033602999</v>
      </c>
      <c r="AE2897">
        <v>7.6999999999998103E-3</v>
      </c>
      <c r="AF2897">
        <v>-2.28054215454998</v>
      </c>
      <c r="AG2897">
        <v>-1.1112227033602999</v>
      </c>
      <c r="AH2897">
        <v>15.028775071140799</v>
      </c>
      <c r="AI2897">
        <v>94.181045163654602</v>
      </c>
      <c r="AJ2897">
        <v>98.628524091098498</v>
      </c>
      <c r="AK2897">
        <v>15.2413834199552</v>
      </c>
      <c r="AL2897">
        <v>90.775308907717502</v>
      </c>
      <c r="AM2897">
        <v>88.3784257759105</v>
      </c>
      <c r="AN2897">
        <v>0.99999998476361496</v>
      </c>
    </row>
    <row r="2898" spans="1:40" x14ac:dyDescent="0.25">
      <c r="A2898" t="str">
        <f>"20190312161017227"</f>
        <v>20190312161017227</v>
      </c>
      <c r="B2898" t="str">
        <f>"1552378217219041"</f>
        <v>1552378217219041</v>
      </c>
      <c r="C2898" t="s">
        <v>40</v>
      </c>
      <c r="D2898">
        <v>5.538589</v>
      </c>
      <c r="E2898">
        <v>0.43330239999999998</v>
      </c>
      <c r="F2898" t="s">
        <v>61</v>
      </c>
      <c r="G2898">
        <v>-451.27550000000002</v>
      </c>
      <c r="H2898" s="1">
        <v>-7.7994080000000002E-7</v>
      </c>
      <c r="I2898">
        <v>212.8297</v>
      </c>
      <c r="J2898">
        <v>-466.53190000000001</v>
      </c>
      <c r="K2898">
        <v>1.1112310000000001</v>
      </c>
      <c r="L2898">
        <v>212.78960000000001</v>
      </c>
      <c r="M2898">
        <v>0.98893540000000002</v>
      </c>
      <c r="N2898">
        <v>0</v>
      </c>
      <c r="O2898">
        <v>-0.14767620000000001</v>
      </c>
      <c r="P2898">
        <v>0.98405770000000004</v>
      </c>
      <c r="Q2898">
        <v>-2.7454079999999999E-2</v>
      </c>
      <c r="R2898">
        <v>-0.17571829999999999</v>
      </c>
      <c r="S2898">
        <v>3.0439449999999999</v>
      </c>
      <c r="T2898">
        <v>-0.21929679999999999</v>
      </c>
      <c r="U2898">
        <v>3.3416750000000001E-3</v>
      </c>
      <c r="V2898">
        <v>2.8481099999999999E-2</v>
      </c>
      <c r="W2898">
        <v>-1.330683E-2</v>
      </c>
      <c r="X2898">
        <v>0.9995058</v>
      </c>
      <c r="Y2898">
        <v>-0.14801230000000001</v>
      </c>
      <c r="Z2898">
        <v>1.5922059999999998E-2</v>
      </c>
      <c r="AA2898">
        <v>0.98885730000000005</v>
      </c>
      <c r="AB2898">
        <v>18</v>
      </c>
      <c r="AC2898">
        <v>15.2563999999999</v>
      </c>
      <c r="AD2898">
        <v>-1.11123177994079</v>
      </c>
      <c r="AE2898">
        <v>4.0099999999995299E-2</v>
      </c>
      <c r="AF2898">
        <v>-2.2807910206782198</v>
      </c>
      <c r="AG2898">
        <v>-1.11123177994079</v>
      </c>
      <c r="AH2898">
        <v>15.003572382112701</v>
      </c>
      <c r="AI2898">
        <v>94.187909323329706</v>
      </c>
      <c r="AJ2898">
        <v>98.643728324955205</v>
      </c>
      <c r="AK2898">
        <v>15.2165708349171</v>
      </c>
      <c r="AL2898">
        <v>90.762447666211699</v>
      </c>
      <c r="AM2898">
        <v>88.367787993052303</v>
      </c>
      <c r="AN2898">
        <v>1.0000000445077399</v>
      </c>
    </row>
    <row r="2899" spans="1:40" x14ac:dyDescent="0.25">
      <c r="A2899" t="str">
        <f>"20190312161017251"</f>
        <v>20190312161017251</v>
      </c>
      <c r="B2899" t="str">
        <f>"1552378217238560"</f>
        <v>1552378217238560</v>
      </c>
      <c r="C2899" t="s">
        <v>40</v>
      </c>
      <c r="D2899">
        <v>5.5519910000000001</v>
      </c>
      <c r="E2899">
        <v>0.43337690000000001</v>
      </c>
      <c r="F2899" t="s">
        <v>61</v>
      </c>
      <c r="G2899">
        <v>-450.95499999999998</v>
      </c>
      <c r="H2899" s="1">
        <v>-9.5065350000000005E-7</v>
      </c>
      <c r="I2899">
        <v>212.83269999999999</v>
      </c>
      <c r="J2899">
        <v>-466.35359999999997</v>
      </c>
      <c r="K2899">
        <v>1.111246</v>
      </c>
      <c r="L2899">
        <v>212.7654</v>
      </c>
      <c r="M2899">
        <v>0.98922370000000004</v>
      </c>
      <c r="N2899">
        <v>0</v>
      </c>
      <c r="O2899">
        <v>-0.145733</v>
      </c>
      <c r="P2899">
        <v>0.98458540000000005</v>
      </c>
      <c r="Q2899">
        <v>-2.7234379999999999E-2</v>
      </c>
      <c r="R2899">
        <v>-0.17277190000000001</v>
      </c>
      <c r="S2899">
        <v>3.0440670000000001</v>
      </c>
      <c r="T2899">
        <v>-0.21715799999999999</v>
      </c>
      <c r="U2899">
        <v>8.4228519999999998E-3</v>
      </c>
      <c r="V2899">
        <v>2.7452609999999999E-2</v>
      </c>
      <c r="W2899">
        <v>-1.309304E-2</v>
      </c>
      <c r="X2899">
        <v>0.99953729999999996</v>
      </c>
      <c r="Y2899">
        <v>-0.14774039999999999</v>
      </c>
      <c r="Z2899">
        <v>1.561981E-2</v>
      </c>
      <c r="AA2899">
        <v>0.98890279999999997</v>
      </c>
      <c r="AB2899">
        <v>18</v>
      </c>
      <c r="AC2899">
        <v>15.398599999999901</v>
      </c>
      <c r="AD2899">
        <v>-1.1112469506535001</v>
      </c>
      <c r="AE2899">
        <v>6.7299999999988799E-2</v>
      </c>
      <c r="AF2899">
        <v>-2.2989159518878002</v>
      </c>
      <c r="AG2899">
        <v>-1.1112469506535001</v>
      </c>
      <c r="AH2899">
        <v>15.1454883289117</v>
      </c>
      <c r="AI2899">
        <v>94.149001750445606</v>
      </c>
      <c r="AJ2899">
        <v>98.630976280584093</v>
      </c>
      <c r="AK2899">
        <v>15.359222020023701</v>
      </c>
      <c r="AL2899">
        <v>90.750197410307905</v>
      </c>
      <c r="AM2899">
        <v>88.426748695193496</v>
      </c>
      <c r="AN2899">
        <v>0.99999994379177004</v>
      </c>
    </row>
    <row r="2900" spans="1:40" x14ac:dyDescent="0.25">
      <c r="A2900" t="str">
        <f>"20190312161017271"</f>
        <v>20190312161017271</v>
      </c>
      <c r="B2900" t="str">
        <f>"1552378217268816"</f>
        <v>1552378217268816</v>
      </c>
      <c r="C2900" t="s">
        <v>40</v>
      </c>
      <c r="D2900">
        <v>5.5739020000000004</v>
      </c>
      <c r="E2900">
        <v>0.4335347</v>
      </c>
      <c r="F2900" t="s">
        <v>61</v>
      </c>
      <c r="G2900">
        <v>-451.14780000000002</v>
      </c>
      <c r="H2900" s="1">
        <v>-8.4887369999999897E-7</v>
      </c>
      <c r="I2900">
        <v>212.85220000000001</v>
      </c>
      <c r="J2900">
        <v>-466.19220000000001</v>
      </c>
      <c r="K2900">
        <v>1.111262</v>
      </c>
      <c r="L2900">
        <v>212.74379999999999</v>
      </c>
      <c r="M2900">
        <v>0.98948250000000004</v>
      </c>
      <c r="N2900">
        <v>0</v>
      </c>
      <c r="O2900">
        <v>-0.14396619999999999</v>
      </c>
      <c r="P2900">
        <v>0.98500299999999996</v>
      </c>
      <c r="Q2900">
        <v>-2.7336389999999999E-2</v>
      </c>
      <c r="R2900">
        <v>-0.17035919999999999</v>
      </c>
      <c r="S2900">
        <v>3.0438839999999998</v>
      </c>
      <c r="T2900">
        <v>-0.22244800000000001</v>
      </c>
      <c r="U2900">
        <v>1.7379760000000001E-2</v>
      </c>
      <c r="V2900">
        <v>2.6790230000000002E-2</v>
      </c>
      <c r="W2900">
        <v>-1.3199850000000001E-2</v>
      </c>
      <c r="X2900">
        <v>0.9995539</v>
      </c>
      <c r="Y2900">
        <v>-0.14884919999999999</v>
      </c>
      <c r="Z2900">
        <v>1.591325E-2</v>
      </c>
      <c r="AA2900">
        <v>0.9887319</v>
      </c>
      <c r="AB2900">
        <v>18</v>
      </c>
      <c r="AC2900">
        <v>15.0443999999999</v>
      </c>
      <c r="AD2900">
        <v>-1.1112628488737</v>
      </c>
      <c r="AE2900">
        <v>0.108400000000017</v>
      </c>
      <c r="AF2900">
        <v>-2.26103437576056</v>
      </c>
      <c r="AG2900">
        <v>-1.1112628488737</v>
      </c>
      <c r="AH2900">
        <v>14.7913387330193</v>
      </c>
      <c r="AI2900">
        <v>94.247366418230698</v>
      </c>
      <c r="AJ2900">
        <v>98.691072890137804</v>
      </c>
      <c r="AK2900">
        <v>15.004362135145101</v>
      </c>
      <c r="AL2900">
        <v>90.756317677609303</v>
      </c>
      <c r="AM2900">
        <v>88.464715391570707</v>
      </c>
      <c r="AN2900">
        <v>0.99999997573434196</v>
      </c>
    </row>
    <row r="2901" spans="1:40" x14ac:dyDescent="0.25">
      <c r="A2901" t="str">
        <f>"20190312161017316"</f>
        <v>20190312161017316</v>
      </c>
      <c r="B2901" t="str">
        <f>"1552378217308832"</f>
        <v>1552378217308832</v>
      </c>
      <c r="C2901" t="s">
        <v>40</v>
      </c>
      <c r="D2901">
        <v>5.6356029999999997</v>
      </c>
      <c r="E2901">
        <v>0.43439860000000002</v>
      </c>
      <c r="F2901" t="s">
        <v>61</v>
      </c>
      <c r="G2901">
        <v>-450.25</v>
      </c>
      <c r="H2901" s="1">
        <v>-1.3270749999999999E-6</v>
      </c>
      <c r="I2901">
        <v>212.86259999999999</v>
      </c>
      <c r="J2901">
        <v>-465.84269999999998</v>
      </c>
      <c r="K2901">
        <v>1.1113010000000001</v>
      </c>
      <c r="L2901">
        <v>212.69800000000001</v>
      </c>
      <c r="M2901">
        <v>0.99003850000000004</v>
      </c>
      <c r="N2901">
        <v>0</v>
      </c>
      <c r="O2901">
        <v>-0.140092299999999</v>
      </c>
      <c r="P2901">
        <v>0.98568330000000004</v>
      </c>
      <c r="Q2901">
        <v>-2.590582E-2</v>
      </c>
      <c r="R2901">
        <v>-0.1666068</v>
      </c>
      <c r="S2901">
        <v>3.043701</v>
      </c>
      <c r="T2901">
        <v>-0.2121644</v>
      </c>
      <c r="U2901">
        <v>2.2689819999999999E-2</v>
      </c>
      <c r="V2901">
        <v>2.6888459999999999E-2</v>
      </c>
      <c r="W2901">
        <v>-1.177631E-2</v>
      </c>
      <c r="X2901">
        <v>0.99956909999999999</v>
      </c>
      <c r="Y2901">
        <v>-0.14678859999999999</v>
      </c>
      <c r="Z2901">
        <v>1.4841099999999999E-2</v>
      </c>
      <c r="AA2901">
        <v>0.98905650000000001</v>
      </c>
      <c r="AB2901">
        <v>18</v>
      </c>
      <c r="AC2901">
        <v>15.592699999999899</v>
      </c>
      <c r="AD2901">
        <v>-1.111302327075</v>
      </c>
      <c r="AE2901">
        <v>0.16460000000000699</v>
      </c>
      <c r="AF2901">
        <v>-2.3357467431044001</v>
      </c>
      <c r="AG2901">
        <v>-1.111302327075</v>
      </c>
      <c r="AH2901">
        <v>15.337939191106001</v>
      </c>
      <c r="AI2901">
        <v>94.097023146914395</v>
      </c>
      <c r="AJ2901">
        <v>98.658794114157701</v>
      </c>
      <c r="AK2901">
        <v>15.554519739939</v>
      </c>
      <c r="AL2901">
        <v>90.674748438662704</v>
      </c>
      <c r="AM2901">
        <v>88.459112192716105</v>
      </c>
      <c r="AN2901">
        <v>1.00000002821659</v>
      </c>
    </row>
    <row r="2902" spans="1:40" x14ac:dyDescent="0.25">
      <c r="A2902" t="str">
        <f>"20190312161017341"</f>
        <v>20190312161017341</v>
      </c>
      <c r="B2902" t="str">
        <f>"1552378217329328"</f>
        <v>1552378217329328</v>
      </c>
      <c r="C2902" t="s">
        <v>40</v>
      </c>
      <c r="D2902">
        <v>5.6134639999999996</v>
      </c>
      <c r="E2902">
        <v>0.4347647</v>
      </c>
      <c r="F2902" t="s">
        <v>61</v>
      </c>
      <c r="G2902">
        <v>-450.14030000000002</v>
      </c>
      <c r="H2902" s="1">
        <v>-1.3845809999999999E-6</v>
      </c>
      <c r="I2902">
        <v>212.84200000000001</v>
      </c>
      <c r="J2902">
        <v>-465.65980000000002</v>
      </c>
      <c r="K2902">
        <v>1.1113109999999999</v>
      </c>
      <c r="L2902">
        <v>212.6746</v>
      </c>
      <c r="M2902">
        <v>0.99032690000000001</v>
      </c>
      <c r="N2902">
        <v>0</v>
      </c>
      <c r="O2902">
        <v>-0.1380372</v>
      </c>
      <c r="P2902">
        <v>0.98607250000000002</v>
      </c>
      <c r="Q2902">
        <v>-2.5482540000000001E-2</v>
      </c>
      <c r="R2902">
        <v>-0.1643512</v>
      </c>
      <c r="S2902">
        <v>3.0426030000000002</v>
      </c>
      <c r="T2902">
        <v>-0.21533260000000001</v>
      </c>
      <c r="U2902">
        <v>2.7908329999999999E-2</v>
      </c>
      <c r="V2902">
        <v>2.6674130000000001E-2</v>
      </c>
      <c r="W2902">
        <v>-1.135745E-2</v>
      </c>
      <c r="X2902">
        <v>0.99957969999999896</v>
      </c>
      <c r="Y2902">
        <v>-0.14641940000000001</v>
      </c>
      <c r="Z2902">
        <v>1.49104999999999E-2</v>
      </c>
      <c r="AA2902">
        <v>0.98911020000000005</v>
      </c>
      <c r="AB2902">
        <v>18</v>
      </c>
      <c r="AC2902">
        <v>15.519499999999899</v>
      </c>
      <c r="AD2902">
        <v>-1.111312384581</v>
      </c>
      <c r="AE2902">
        <v>0.16740000000001401</v>
      </c>
      <c r="AF2902">
        <v>-2.2965037413636198</v>
      </c>
      <c r="AG2902">
        <v>-1.111312384581</v>
      </c>
      <c r="AH2902">
        <v>15.269505886399999</v>
      </c>
      <c r="AI2902">
        <v>94.116504420677401</v>
      </c>
      <c r="AJ2902">
        <v>98.5530684171204</v>
      </c>
      <c r="AK2902">
        <v>15.481174201752999</v>
      </c>
      <c r="AL2902">
        <v>90.6507479164909</v>
      </c>
      <c r="AM2902">
        <v>88.471405080417995</v>
      </c>
      <c r="AN2902">
        <v>1.0000000387669199</v>
      </c>
    </row>
    <row r="2903" spans="1:40" x14ac:dyDescent="0.25">
      <c r="A2903" t="str">
        <f>"20190312161017364"</f>
        <v>20190312161017364</v>
      </c>
      <c r="B2903" t="str">
        <f>"1552378217358608"</f>
        <v>1552378217358608</v>
      </c>
      <c r="C2903" t="s">
        <v>40</v>
      </c>
      <c r="D2903">
        <v>5.5648720000000003</v>
      </c>
      <c r="E2903">
        <v>0.43543490000000001</v>
      </c>
      <c r="F2903" t="s">
        <v>61</v>
      </c>
      <c r="G2903">
        <v>-450.11529999999999</v>
      </c>
      <c r="H2903" s="1">
        <v>-1.3977829999999999E-6</v>
      </c>
      <c r="I2903">
        <v>212.83959999999999</v>
      </c>
      <c r="J2903">
        <v>-465.4821</v>
      </c>
      <c r="K2903">
        <v>1.1113170000000001</v>
      </c>
      <c r="L2903">
        <v>212.6523</v>
      </c>
      <c r="M2903">
        <v>0.9906045</v>
      </c>
      <c r="N2903">
        <v>0</v>
      </c>
      <c r="O2903">
        <v>-0.1360324</v>
      </c>
      <c r="P2903">
        <v>0.98646080000000003</v>
      </c>
      <c r="Q2903">
        <v>-2.441925E-2</v>
      </c>
      <c r="R2903">
        <v>-0.1621696</v>
      </c>
      <c r="S2903">
        <v>3.0421450000000001</v>
      </c>
      <c r="T2903">
        <v>-0.21748980000000001</v>
      </c>
      <c r="U2903">
        <v>3.22876E-2</v>
      </c>
      <c r="V2903">
        <v>2.6480320000000002E-2</v>
      </c>
      <c r="W2903">
        <v>-1.02985E-2</v>
      </c>
      <c r="X2903">
        <v>0.99959629999999999</v>
      </c>
      <c r="Y2903">
        <v>-0.1458344</v>
      </c>
      <c r="Z2903">
        <v>1.489883E-2</v>
      </c>
      <c r="AA2903">
        <v>0.98919679999999999</v>
      </c>
      <c r="AB2903">
        <v>17</v>
      </c>
      <c r="AC2903">
        <v>15.3668</v>
      </c>
      <c r="AD2903">
        <v>-1.1113183977829999</v>
      </c>
      <c r="AE2903">
        <v>0.187299999999993</v>
      </c>
      <c r="AF2903">
        <v>-2.2643073568225298</v>
      </c>
      <c r="AG2903">
        <v>-1.1113183977829999</v>
      </c>
      <c r="AH2903">
        <v>15.119382244125999</v>
      </c>
      <c r="AI2903">
        <v>94.157644719089802</v>
      </c>
      <c r="AJ2903">
        <v>98.517423009087395</v>
      </c>
      <c r="AK2903">
        <v>15.328334411520499</v>
      </c>
      <c r="AL2903">
        <v>90.590071007348101</v>
      </c>
      <c r="AM2903">
        <v>88.482531585378794</v>
      </c>
      <c r="AN2903">
        <v>1.0000000147116199</v>
      </c>
    </row>
    <row r="2904" spans="1:40" x14ac:dyDescent="0.25">
      <c r="A2904" t="str">
        <f>"20190312161017410"</f>
        <v>20190312161017410</v>
      </c>
      <c r="B2904" t="str">
        <f>"1552378217398624"</f>
        <v>1552378217398624</v>
      </c>
      <c r="C2904" t="s">
        <v>40</v>
      </c>
      <c r="D2904">
        <v>5.5719370000000001</v>
      </c>
      <c r="E2904">
        <v>0.43667660000000003</v>
      </c>
      <c r="F2904" t="s">
        <v>61</v>
      </c>
      <c r="G2904">
        <v>-449.9085</v>
      </c>
      <c r="H2904" s="1">
        <v>3.8144010000000001E-6</v>
      </c>
      <c r="I2904">
        <v>212.8237</v>
      </c>
      <c r="J2904">
        <v>-465.13060000000002</v>
      </c>
      <c r="K2904">
        <v>1.111326</v>
      </c>
      <c r="L2904">
        <v>212.60929999999999</v>
      </c>
      <c r="M2904">
        <v>0.99114219999999997</v>
      </c>
      <c r="N2904">
        <v>0</v>
      </c>
      <c r="O2904">
        <v>-0.13205919999999999</v>
      </c>
      <c r="P2904">
        <v>0.98704020000000003</v>
      </c>
      <c r="Q2904">
        <v>-2.1938269999999999E-2</v>
      </c>
      <c r="R2904">
        <v>-0.158967</v>
      </c>
      <c r="S2904">
        <v>3.0412599999999999</v>
      </c>
      <c r="T2904">
        <v>-0.21702089999999999</v>
      </c>
      <c r="U2904">
        <v>3.3462520000000003E-2</v>
      </c>
      <c r="V2904">
        <v>2.7230959999999998E-2</v>
      </c>
      <c r="W2904">
        <v>-7.8247119999999993E-3</v>
      </c>
      <c r="X2904">
        <v>0.9995986</v>
      </c>
      <c r="Y2904">
        <v>-0.14227379999999901</v>
      </c>
      <c r="Z2904">
        <v>1.4462910000000001E-2</v>
      </c>
      <c r="AA2904">
        <v>0.98972170000000004</v>
      </c>
      <c r="AB2904">
        <v>17</v>
      </c>
      <c r="AC2904">
        <v>15.222099999999999</v>
      </c>
      <c r="AD2904">
        <v>-1.1113221855990001</v>
      </c>
      <c r="AE2904">
        <v>0.214400000000011</v>
      </c>
      <c r="AF2904">
        <v>-2.2111555502012301</v>
      </c>
      <c r="AG2904">
        <v>-1.1113221855990001</v>
      </c>
      <c r="AH2904">
        <v>14.980608066075501</v>
      </c>
      <c r="AI2904">
        <v>94.197351087363501</v>
      </c>
      <c r="AJ2904">
        <v>98.396301136512406</v>
      </c>
      <c r="AK2904">
        <v>15.183638032328</v>
      </c>
      <c r="AL2904">
        <v>90.448327523275694</v>
      </c>
      <c r="AM2904">
        <v>88.439540336666695</v>
      </c>
      <c r="AN2904">
        <v>1.0000000562111799</v>
      </c>
    </row>
    <row r="2905" spans="1:40" x14ac:dyDescent="0.25">
      <c r="A2905" t="str">
        <f>"20190312161017430"</f>
        <v>20190312161017430</v>
      </c>
      <c r="B2905" t="str">
        <f>"1552378217419121"</f>
        <v>1552378217419121</v>
      </c>
      <c r="C2905" t="s">
        <v>40</v>
      </c>
      <c r="D2905">
        <v>5.6153789999999999</v>
      </c>
      <c r="E2905">
        <v>0.43701489999999998</v>
      </c>
      <c r="F2905" t="s">
        <v>61</v>
      </c>
      <c r="G2905">
        <v>-449.29289999999997</v>
      </c>
      <c r="H2905" s="1">
        <v>3.4884969999999998E-6</v>
      </c>
      <c r="I2905">
        <v>212.78479999999999</v>
      </c>
      <c r="J2905">
        <v>-464.97019999999998</v>
      </c>
      <c r="K2905">
        <v>1.1113249999999999</v>
      </c>
      <c r="L2905">
        <v>212.59010000000001</v>
      </c>
      <c r="M2905">
        <v>0.99138170000000003</v>
      </c>
      <c r="N2905">
        <v>0</v>
      </c>
      <c r="O2905">
        <v>-0.13024910000000001</v>
      </c>
      <c r="P2905">
        <v>0.98743740000000002</v>
      </c>
      <c r="Q2905">
        <v>-2.094184E-2</v>
      </c>
      <c r="R2905">
        <v>-0.15661749999999999</v>
      </c>
      <c r="S2905">
        <v>3.0400999999999998</v>
      </c>
      <c r="T2905">
        <v>-0.21332300000000001</v>
      </c>
      <c r="U2905">
        <v>3.3691409999999998E-2</v>
      </c>
      <c r="V2905">
        <v>2.6672319999999999E-2</v>
      </c>
      <c r="W2905">
        <v>-6.833408E-3</v>
      </c>
      <c r="X2905">
        <v>0.99962090000000003</v>
      </c>
      <c r="Y2905">
        <v>-0.14057649999999999</v>
      </c>
      <c r="Z2905">
        <v>1.4036939999999999E-2</v>
      </c>
      <c r="AA2905">
        <v>0.98997029999999997</v>
      </c>
      <c r="AB2905">
        <v>17</v>
      </c>
      <c r="AC2905">
        <v>15.677300000000001</v>
      </c>
      <c r="AD2905">
        <v>-1.111321511503</v>
      </c>
      <c r="AE2905">
        <v>0.194699999999983</v>
      </c>
      <c r="AF2905">
        <v>-2.2240229520637</v>
      </c>
      <c r="AG2905">
        <v>-1.111321511503</v>
      </c>
      <c r="AH2905">
        <v>15.440783195309599</v>
      </c>
      <c r="AI2905">
        <v>94.074751048001104</v>
      </c>
      <c r="AJ2905">
        <v>98.196263362870894</v>
      </c>
      <c r="AK2905">
        <v>15.639664295559299</v>
      </c>
      <c r="AL2905">
        <v>90.391528475084201</v>
      </c>
      <c r="AM2905">
        <v>88.471571723400402</v>
      </c>
      <c r="AN2905">
        <v>1.00000002591794</v>
      </c>
    </row>
    <row r="2906" spans="1:40" x14ac:dyDescent="0.25">
      <c r="A2906" t="str">
        <f>"20190312161017474"</f>
        <v>20190312161017474</v>
      </c>
      <c r="B2906" t="str">
        <f>"1552378217468896"</f>
        <v>1552378217468896</v>
      </c>
      <c r="C2906" t="s">
        <v>40</v>
      </c>
      <c r="D2906">
        <v>5.5943009999999997</v>
      </c>
      <c r="E2906">
        <v>0.44773879999999999</v>
      </c>
      <c r="F2906" t="s">
        <v>61</v>
      </c>
      <c r="G2906">
        <v>-449.0077</v>
      </c>
      <c r="H2906" s="1">
        <v>3.3364689999999999E-6</v>
      </c>
      <c r="I2906">
        <v>212.79069999999999</v>
      </c>
      <c r="J2906">
        <v>-464.6397</v>
      </c>
      <c r="K2906">
        <v>1.1113280000000001</v>
      </c>
      <c r="L2906">
        <v>212.5515</v>
      </c>
      <c r="M2906">
        <v>0.99186430000000003</v>
      </c>
      <c r="N2906">
        <v>0</v>
      </c>
      <c r="O2906">
        <v>-0.126523</v>
      </c>
      <c r="P2906">
        <v>0.98808459999999998</v>
      </c>
      <c r="Q2906">
        <v>-1.8373799999999999E-2</v>
      </c>
      <c r="R2906">
        <v>-0.15281220000000001</v>
      </c>
      <c r="S2906">
        <v>3.0397639999999999</v>
      </c>
      <c r="T2906">
        <v>-0.21163119999999999</v>
      </c>
      <c r="U2906">
        <v>3.8208010000000001E-2</v>
      </c>
      <c r="V2906">
        <v>2.656536E-2</v>
      </c>
      <c r="W2906">
        <v>-4.2741860000000001E-3</v>
      </c>
      <c r="X2906">
        <v>0.99963800000000003</v>
      </c>
      <c r="Y2906">
        <v>-0.138352799999999</v>
      </c>
      <c r="Z2906">
        <v>1.359261E-2</v>
      </c>
      <c r="AA2906">
        <v>0.99028970000000005</v>
      </c>
      <c r="AB2906">
        <v>17</v>
      </c>
      <c r="AC2906">
        <v>15.632</v>
      </c>
      <c r="AD2906">
        <v>-1.1113246635309999</v>
      </c>
      <c r="AE2906">
        <v>0.23919999999998201</v>
      </c>
      <c r="AF2906">
        <v>-2.2041422704165399</v>
      </c>
      <c r="AG2906">
        <v>-1.1113246635309999</v>
      </c>
      <c r="AH2906">
        <v>15.398276176871001</v>
      </c>
      <c r="AI2906">
        <v>94.086484834154504</v>
      </c>
      <c r="AJ2906">
        <v>98.1461045072502</v>
      </c>
      <c r="AK2906">
        <v>15.594877199747501</v>
      </c>
      <c r="AL2906">
        <v>90.244893549847802</v>
      </c>
      <c r="AM2906">
        <v>88.477724088462793</v>
      </c>
      <c r="AN2906">
        <v>1.0000000590309399</v>
      </c>
    </row>
    <row r="2907" spans="1:40" x14ac:dyDescent="0.25">
      <c r="A2907" t="str">
        <f>"20190312161017496"</f>
        <v>20190312161017496</v>
      </c>
      <c r="B2907" t="str">
        <f>"1552378217489392"</f>
        <v>1552378217489392</v>
      </c>
      <c r="C2907" t="s">
        <v>40</v>
      </c>
      <c r="D2907">
        <v>5.540305</v>
      </c>
      <c r="E2907">
        <v>0.4480671</v>
      </c>
      <c r="F2907" t="s">
        <v>61</v>
      </c>
      <c r="G2907">
        <v>-452.8125</v>
      </c>
      <c r="H2907" s="1">
        <v>5.5158490000000001E-8</v>
      </c>
      <c r="I2907">
        <v>212.43690000000001</v>
      </c>
      <c r="J2907">
        <v>-464.4701</v>
      </c>
      <c r="K2907">
        <v>1.1113309999999901</v>
      </c>
      <c r="L2907">
        <v>212.53219999999999</v>
      </c>
      <c r="M2907">
        <v>0.99210589999999999</v>
      </c>
      <c r="N2907">
        <v>0</v>
      </c>
      <c r="O2907">
        <v>-0.1246153</v>
      </c>
      <c r="P2907">
        <v>0.98846420000000002</v>
      </c>
      <c r="Q2907">
        <v>-1.70467999999999E-2</v>
      </c>
      <c r="R2907">
        <v>-0.15049270000000001</v>
      </c>
      <c r="S2907">
        <v>3.026367</v>
      </c>
      <c r="T2907">
        <v>-0.28436980000000001</v>
      </c>
      <c r="U2907">
        <v>-2.9327389999999998E-2</v>
      </c>
      <c r="V2907">
        <v>2.6136059999999999E-2</v>
      </c>
      <c r="W2907">
        <v>-2.9524830000000001E-3</v>
      </c>
      <c r="X2907">
        <v>0.99965409999999999</v>
      </c>
      <c r="Y2907">
        <v>-0.1139587</v>
      </c>
      <c r="Z2907">
        <v>1.7001949999999998E-2</v>
      </c>
      <c r="AA2907">
        <v>0.99334</v>
      </c>
      <c r="AB2907">
        <v>17</v>
      </c>
      <c r="AC2907">
        <v>11.6576</v>
      </c>
      <c r="AD2907">
        <v>-1.1113309448415001</v>
      </c>
      <c r="AE2907">
        <v>-9.52999999999804E-2</v>
      </c>
      <c r="AF2907">
        <v>-1.34606910319316</v>
      </c>
      <c r="AG2907">
        <v>-1.1113309448415001</v>
      </c>
      <c r="AH2907">
        <v>11.4743179249439</v>
      </c>
      <c r="AI2907">
        <v>95.494610962336694</v>
      </c>
      <c r="AJ2907">
        <v>96.690870743353102</v>
      </c>
      <c r="AK2907">
        <v>11.606331476492601</v>
      </c>
      <c r="AL2907">
        <v>90.169165049725194</v>
      </c>
      <c r="AM2907">
        <v>88.502337097802197</v>
      </c>
      <c r="AN2907">
        <v>1.0000000652174901</v>
      </c>
    </row>
    <row r="2908" spans="1:40" x14ac:dyDescent="0.25">
      <c r="A2908" t="str">
        <f>"20190312161017519"</f>
        <v>20190312161017519</v>
      </c>
      <c r="B2908" t="str">
        <f>"1552378217508912"</f>
        <v>1552378217508912</v>
      </c>
      <c r="C2908" t="s">
        <v>40</v>
      </c>
      <c r="D2908">
        <v>5.5423960000000001</v>
      </c>
      <c r="E2908">
        <v>0.44842340000000003</v>
      </c>
      <c r="F2908" t="s">
        <v>61</v>
      </c>
      <c r="G2908">
        <v>-452.06909999999999</v>
      </c>
      <c r="H2908" s="1">
        <v>-3.4001510000000001E-7</v>
      </c>
      <c r="I2908">
        <v>212.4271</v>
      </c>
      <c r="J2908">
        <v>-464.28969999999998</v>
      </c>
      <c r="K2908">
        <v>1.111326</v>
      </c>
      <c r="L2908">
        <v>212.512</v>
      </c>
      <c r="M2908">
        <v>0.99235839999999997</v>
      </c>
      <c r="N2908">
        <v>0</v>
      </c>
      <c r="O2908">
        <v>-0.1225875</v>
      </c>
      <c r="P2908">
        <v>0.98878659999999996</v>
      </c>
      <c r="Q2908">
        <v>-1.6354319999999999E-2</v>
      </c>
      <c r="R2908">
        <v>-0.14843809999999999</v>
      </c>
      <c r="S2908">
        <v>3.0263979999999999</v>
      </c>
      <c r="T2908">
        <v>-0.27121499999999998</v>
      </c>
      <c r="U2908">
        <v>-2.5650019999999999E-2</v>
      </c>
      <c r="V2908">
        <v>2.6098329999999999E-2</v>
      </c>
      <c r="W2908">
        <v>-2.2649670000000001E-3</v>
      </c>
      <c r="X2908">
        <v>0.99965680000000001</v>
      </c>
      <c r="Y2908">
        <v>-0.1132411</v>
      </c>
      <c r="Z2908">
        <v>1.6006449999999998E-2</v>
      </c>
      <c r="AA2908">
        <v>0.99343859999999995</v>
      </c>
      <c r="AB2908">
        <v>17</v>
      </c>
      <c r="AC2908">
        <v>12.2205999999999</v>
      </c>
      <c r="AD2908">
        <v>-1.1113263400150999</v>
      </c>
      <c r="AE2908">
        <v>-8.4900000000004597E-2</v>
      </c>
      <c r="AF2908">
        <v>-1.40238397722857</v>
      </c>
      <c r="AG2908">
        <v>-1.1113263400150999</v>
      </c>
      <c r="AH2908">
        <v>12.0392609495002</v>
      </c>
      <c r="AI2908">
        <v>95.238720721537305</v>
      </c>
      <c r="AJ2908">
        <v>96.644112041295202</v>
      </c>
      <c r="AK2908">
        <v>12.1715048890332</v>
      </c>
      <c r="AL2908">
        <v>90.129773162695997</v>
      </c>
      <c r="AM2908">
        <v>88.504502177900306</v>
      </c>
      <c r="AN2908">
        <v>0.99999998534526902</v>
      </c>
    </row>
    <row r="2909" spans="1:40" x14ac:dyDescent="0.25">
      <c r="A2909" t="str">
        <f>"20190312161017546"</f>
        <v>20190312161017546</v>
      </c>
      <c r="B2909" t="str">
        <f>"1552378217539168"</f>
        <v>1552378217539168</v>
      </c>
      <c r="C2909" t="s">
        <v>40</v>
      </c>
      <c r="D2909">
        <v>5.5593839999999997</v>
      </c>
      <c r="E2909">
        <v>0.44829360000000001</v>
      </c>
      <c r="F2909" t="s">
        <v>61</v>
      </c>
      <c r="G2909">
        <v>-451.60329999999999</v>
      </c>
      <c r="H2909" s="1">
        <v>-5.8752780000000003E-7</v>
      </c>
      <c r="I2909">
        <v>212.4186</v>
      </c>
      <c r="J2909">
        <v>-464.10079999999999</v>
      </c>
      <c r="K2909">
        <v>1.1113150000000001</v>
      </c>
      <c r="L2909">
        <v>212.4913</v>
      </c>
      <c r="M2909">
        <v>0.99261860000000002</v>
      </c>
      <c r="N2909">
        <v>0</v>
      </c>
      <c r="O2909">
        <v>-0.1204643</v>
      </c>
      <c r="P2909">
        <v>0.98903890000000005</v>
      </c>
      <c r="Q2909">
        <v>-1.5807459999999999E-2</v>
      </c>
      <c r="R2909">
        <v>-0.14680699999999999</v>
      </c>
      <c r="S2909">
        <v>3.0263059999999999</v>
      </c>
      <c r="T2909">
        <v>-0.2651038</v>
      </c>
      <c r="U2909">
        <v>-2.2293090000000002E-2</v>
      </c>
      <c r="V2909">
        <v>2.6585839999999999E-2</v>
      </c>
      <c r="W2909">
        <v>-1.722494E-3</v>
      </c>
      <c r="X2909">
        <v>0.99964509999999995</v>
      </c>
      <c r="Y2909">
        <v>-0.11227089999999899</v>
      </c>
      <c r="Z2909">
        <v>1.5420919999999999E-2</v>
      </c>
      <c r="AA2909">
        <v>0.99355800000000005</v>
      </c>
      <c r="AB2909">
        <v>17</v>
      </c>
      <c r="AC2909">
        <v>12.4975</v>
      </c>
      <c r="AD2909">
        <v>-1.1113155875278</v>
      </c>
      <c r="AE2909">
        <v>-7.2699999999997503E-2</v>
      </c>
      <c r="AF2909">
        <v>-1.4222345209671901</v>
      </c>
      <c r="AG2909">
        <v>-1.1113155875278</v>
      </c>
      <c r="AH2909">
        <v>12.3178320375865</v>
      </c>
      <c r="AI2909">
        <v>95.121429704888399</v>
      </c>
      <c r="AJ2909">
        <v>96.586288034161001</v>
      </c>
      <c r="AK2909">
        <v>12.4493678343081</v>
      </c>
      <c r="AL2909">
        <v>90.098691680313294</v>
      </c>
      <c r="AM2909">
        <v>88.476561890251403</v>
      </c>
      <c r="AN2909">
        <v>1.00000004991404</v>
      </c>
    </row>
    <row r="2910" spans="1:40" x14ac:dyDescent="0.25">
      <c r="A2910" t="str">
        <f>"20190312161017570"</f>
        <v>20190312161017570</v>
      </c>
      <c r="B2910" t="str">
        <f>"1552378217558688"</f>
        <v>1552378217558688</v>
      </c>
      <c r="C2910" t="s">
        <v>40</v>
      </c>
      <c r="D2910">
        <v>5.5147550000000001</v>
      </c>
      <c r="E2910">
        <v>0.43537550000000003</v>
      </c>
      <c r="F2910" t="s">
        <v>61</v>
      </c>
      <c r="G2910">
        <v>-451.11130000000003</v>
      </c>
      <c r="H2910" s="1">
        <v>-8.4944710000000004E-7</v>
      </c>
      <c r="I2910">
        <v>212.42099999999999</v>
      </c>
      <c r="J2910">
        <v>-463.90789999999998</v>
      </c>
      <c r="K2910">
        <v>1.1113170000000001</v>
      </c>
      <c r="L2910">
        <v>212.47059999999999</v>
      </c>
      <c r="M2910">
        <v>0.99287959999999997</v>
      </c>
      <c r="N2910">
        <v>0</v>
      </c>
      <c r="O2910">
        <v>-0.1182932</v>
      </c>
      <c r="P2910">
        <v>0.98929020000000001</v>
      </c>
      <c r="Q2910">
        <v>-1.561337E-2</v>
      </c>
      <c r="R2910">
        <v>-0.14512459999999999</v>
      </c>
      <c r="S2910">
        <v>3.0266419999999998</v>
      </c>
      <c r="T2910">
        <v>-0.2589437</v>
      </c>
      <c r="U2910">
        <v>-1.6372680000000001E-2</v>
      </c>
      <c r="V2910">
        <v>2.7071000000000001E-2</v>
      </c>
      <c r="W2910">
        <v>-1.5326490000000001E-3</v>
      </c>
      <c r="X2910">
        <v>0.99963239999999998</v>
      </c>
      <c r="Y2910">
        <v>-0.1120916</v>
      </c>
      <c r="Z2910">
        <v>1.487058E-2</v>
      </c>
      <c r="AA2910">
        <v>0.99358659999999999</v>
      </c>
      <c r="AB2910">
        <v>17</v>
      </c>
      <c r="AC2910">
        <v>12.7965999999999</v>
      </c>
      <c r="AD2910">
        <v>-1.1113178494471001</v>
      </c>
      <c r="AE2910">
        <v>-4.9599999999998E-2</v>
      </c>
      <c r="AF2910">
        <v>-1.45368453136382</v>
      </c>
      <c r="AG2910">
        <v>-1.1113178494471001</v>
      </c>
      <c r="AH2910">
        <v>12.6174420257629</v>
      </c>
      <c r="AI2910">
        <v>95.000593003061894</v>
      </c>
      <c r="AJ2910">
        <v>96.572201306605507</v>
      </c>
      <c r="AK2910">
        <v>12.749434079703899</v>
      </c>
      <c r="AL2910">
        <v>90.087814348145798</v>
      </c>
      <c r="AM2910">
        <v>88.448754717979298</v>
      </c>
      <c r="AN2910">
        <v>1.0000000615918501</v>
      </c>
    </row>
    <row r="2911" spans="1:40" x14ac:dyDescent="0.25">
      <c r="A2911" t="str">
        <f>"20190312161017608"</f>
        <v>20190312161017608</v>
      </c>
      <c r="B2911" t="str">
        <f>"1552378217598706"</f>
        <v>1552378217598706</v>
      </c>
      <c r="C2911" t="s">
        <v>40</v>
      </c>
      <c r="D2911">
        <v>5.4968539999999999</v>
      </c>
      <c r="E2911">
        <v>0.43923200000000001</v>
      </c>
      <c r="F2911" t="s">
        <v>61</v>
      </c>
      <c r="G2911">
        <v>-440.99200000000002</v>
      </c>
      <c r="H2911" s="1">
        <v>-9.423353E-7</v>
      </c>
      <c r="I2911">
        <v>213.0934</v>
      </c>
      <c r="J2911">
        <v>-463.62740000000002</v>
      </c>
      <c r="K2911">
        <v>1.111308</v>
      </c>
      <c r="L2911">
        <v>212.44120000000001</v>
      </c>
      <c r="M2911">
        <v>0.99325079999999999</v>
      </c>
      <c r="N2911">
        <v>0</v>
      </c>
      <c r="O2911">
        <v>-0.1151356</v>
      </c>
      <c r="P2911">
        <v>0.98952499999999999</v>
      </c>
      <c r="Q2911">
        <v>-1.5775460000000002E-2</v>
      </c>
      <c r="R2911">
        <v>-0.14349770000000001</v>
      </c>
      <c r="S2911">
        <v>3.042297</v>
      </c>
      <c r="T2911">
        <v>-0.1475378</v>
      </c>
      <c r="U2911">
        <v>8.2687380000000005E-2</v>
      </c>
      <c r="V2911">
        <v>2.86059E-2</v>
      </c>
      <c r="W2911">
        <v>-1.6997570000000001E-3</v>
      </c>
      <c r="X2911">
        <v>0.99958930000000001</v>
      </c>
      <c r="Y2911">
        <v>-0.14179140000000001</v>
      </c>
      <c r="Z2911">
        <v>9.0081439999999992E-3</v>
      </c>
      <c r="AA2911">
        <v>0.98985559999999995</v>
      </c>
      <c r="AB2911">
        <v>17</v>
      </c>
      <c r="AC2911">
        <v>22.635400000000001</v>
      </c>
      <c r="AD2911">
        <v>-1.1113089423353</v>
      </c>
      <c r="AE2911">
        <v>0.65219999999999301</v>
      </c>
      <c r="AF2911">
        <v>-3.24643970765693</v>
      </c>
      <c r="AG2911">
        <v>-1.1113089423353</v>
      </c>
      <c r="AH2911">
        <v>22.355898702338699</v>
      </c>
      <c r="AI2911">
        <v>92.816331702468204</v>
      </c>
      <c r="AJ2911">
        <v>98.262521759620896</v>
      </c>
      <c r="AK2911">
        <v>22.617705125188799</v>
      </c>
      <c r="AL2911">
        <v>90.097388951366995</v>
      </c>
      <c r="AM2911">
        <v>88.360776641989702</v>
      </c>
      <c r="AN2911">
        <v>0.999999977681579</v>
      </c>
    </row>
    <row r="2912" spans="1:40" x14ac:dyDescent="0.25">
      <c r="A2912" t="str">
        <f>"20190312161017629"</f>
        <v>20190312161017629</v>
      </c>
      <c r="B2912" t="str">
        <f>"1552378217619201"</f>
        <v>1552378217619201</v>
      </c>
      <c r="C2912" t="s">
        <v>40</v>
      </c>
      <c r="D2912">
        <v>5.5362660000000004</v>
      </c>
      <c r="E2912">
        <v>0.4398803</v>
      </c>
      <c r="F2912" t="s">
        <v>74</v>
      </c>
      <c r="G2912">
        <v>-433.14980000000003</v>
      </c>
      <c r="H2912" s="1">
        <v>3.756026E-6</v>
      </c>
      <c r="I2912">
        <v>212.98920000000001</v>
      </c>
      <c r="J2912">
        <v>-463.46319999999997</v>
      </c>
      <c r="K2912">
        <v>1.1113</v>
      </c>
      <c r="L2912">
        <v>212.42439999999999</v>
      </c>
      <c r="M2912">
        <v>0.99346380000000001</v>
      </c>
      <c r="N2912">
        <v>0</v>
      </c>
      <c r="O2912">
        <v>-0.1132841</v>
      </c>
      <c r="P2912">
        <v>0.98959059999999999</v>
      </c>
      <c r="Q2912">
        <v>-1.5841899999999999E-2</v>
      </c>
      <c r="R2912">
        <v>-0.143038</v>
      </c>
      <c r="S2912">
        <v>3.0378720000000001</v>
      </c>
      <c r="T2912">
        <v>-0.1107696</v>
      </c>
      <c r="U2912">
        <v>5.4626460000000002E-2</v>
      </c>
      <c r="V2912">
        <v>3.0004820000000001E-2</v>
      </c>
      <c r="W2912">
        <v>-1.768124E-3</v>
      </c>
      <c r="X2912">
        <v>0.9995482</v>
      </c>
      <c r="Y2912">
        <v>-0.13097790000000001</v>
      </c>
      <c r="Z2912">
        <v>6.5106779999999998E-3</v>
      </c>
      <c r="AA2912">
        <v>0.99136389999999996</v>
      </c>
      <c r="AB2912">
        <v>17</v>
      </c>
      <c r="AC2912">
        <v>30.313399999999898</v>
      </c>
      <c r="AD2912">
        <v>-1.111296243974</v>
      </c>
      <c r="AE2912">
        <v>0.56480000000001895</v>
      </c>
      <c r="AF2912">
        <v>-3.9901661400975801</v>
      </c>
      <c r="AG2912">
        <v>-1.111296243974</v>
      </c>
      <c r="AH2912">
        <v>30.013910155059399</v>
      </c>
      <c r="AI2912">
        <v>92.101989985555207</v>
      </c>
      <c r="AJ2912">
        <v>97.572718865312794</v>
      </c>
      <c r="AK2912">
        <v>30.2983697245153</v>
      </c>
      <c r="AL2912">
        <v>90.101306094647498</v>
      </c>
      <c r="AM2912">
        <v>88.280589717476303</v>
      </c>
      <c r="AN2912">
        <v>1.0000000098044699</v>
      </c>
    </row>
    <row r="2913" spans="1:40" x14ac:dyDescent="0.25">
      <c r="A2913" t="str">
        <f>"20190312161017652"</f>
        <v>20190312161017652</v>
      </c>
      <c r="B2913" t="str">
        <f>"1552378217648480"</f>
        <v>1552378217648480</v>
      </c>
      <c r="C2913" t="s">
        <v>40</v>
      </c>
      <c r="D2913">
        <v>5.5533080000000004</v>
      </c>
      <c r="E2913">
        <v>0.44031720000000002</v>
      </c>
      <c r="F2913" t="s">
        <v>74</v>
      </c>
      <c r="G2913">
        <v>-432.26049999999998</v>
      </c>
      <c r="H2913" s="1">
        <v>3.3654980000000002E-6</v>
      </c>
      <c r="I2913">
        <v>212.94560000000001</v>
      </c>
      <c r="J2913">
        <v>-463.29660000000001</v>
      </c>
      <c r="K2913">
        <v>1.1112979999999999</v>
      </c>
      <c r="L2913">
        <v>212.4076</v>
      </c>
      <c r="M2913">
        <v>0.99367669999999997</v>
      </c>
      <c r="N2913">
        <v>0</v>
      </c>
      <c r="O2913">
        <v>-0.1114029</v>
      </c>
      <c r="P2913">
        <v>0.98970130000000001</v>
      </c>
      <c r="Q2913">
        <v>-1.5314619999999999E-2</v>
      </c>
      <c r="R2913">
        <v>-0.1423275</v>
      </c>
      <c r="S2913">
        <v>3.0371700000000001</v>
      </c>
      <c r="T2913">
        <v>-0.10817019999999999</v>
      </c>
      <c r="U2913">
        <v>5.0735469999999998E-2</v>
      </c>
      <c r="V2913">
        <v>3.1177509999999999E-2</v>
      </c>
      <c r="W2913">
        <v>-1.2433430000000001E-3</v>
      </c>
      <c r="X2913">
        <v>0.99951310000000004</v>
      </c>
      <c r="Y2913">
        <v>-0.1278453</v>
      </c>
      <c r="Z2913">
        <v>6.2370000000000004E-3</v>
      </c>
      <c r="AA2913">
        <v>0.9917745</v>
      </c>
      <c r="AB2913">
        <v>17</v>
      </c>
      <c r="AC2913">
        <v>31.036100000000001</v>
      </c>
      <c r="AD2913">
        <v>-1.1112946345019901</v>
      </c>
      <c r="AE2913">
        <v>0.53800000000001003</v>
      </c>
      <c r="AF2913">
        <v>-3.9873901892933499</v>
      </c>
      <c r="AG2913">
        <v>-1.1112946345019901</v>
      </c>
      <c r="AH2913">
        <v>30.7435270543508</v>
      </c>
      <c r="AI2913">
        <v>92.053004182334803</v>
      </c>
      <c r="AJ2913">
        <v>97.389925436818402</v>
      </c>
      <c r="AK2913">
        <v>31.0209398959468</v>
      </c>
      <c r="AL2913">
        <v>90.0712383240256</v>
      </c>
      <c r="AM2913">
        <v>88.213369373058399</v>
      </c>
      <c r="AN2913">
        <v>1.00000001005161</v>
      </c>
    </row>
    <row r="2914" spans="1:40" x14ac:dyDescent="0.25">
      <c r="A2914" t="str">
        <f>"20190312161017677"</f>
        <v>20190312161017677</v>
      </c>
      <c r="B2914" t="str">
        <f>"1552378217668976"</f>
        <v>1552378217668976</v>
      </c>
      <c r="C2914" t="s">
        <v>40</v>
      </c>
      <c r="D2914">
        <v>5.5044719999999998</v>
      </c>
      <c r="E2914">
        <v>0.4405906</v>
      </c>
      <c r="F2914" t="s">
        <v>74</v>
      </c>
      <c r="G2914">
        <v>-431.60539999999997</v>
      </c>
      <c r="H2914" s="1">
        <v>3.0769569999999998E-6</v>
      </c>
      <c r="I2914">
        <v>212.9228</v>
      </c>
      <c r="J2914">
        <v>-463.10379999999998</v>
      </c>
      <c r="K2914">
        <v>1.111299</v>
      </c>
      <c r="L2914">
        <v>212.3887</v>
      </c>
      <c r="M2914">
        <v>0.9939192</v>
      </c>
      <c r="N2914">
        <v>0</v>
      </c>
      <c r="O2914">
        <v>-0.10921839999999999</v>
      </c>
      <c r="P2914">
        <v>0.98981419999999998</v>
      </c>
      <c r="Q2914">
        <v>-1.438646E-2</v>
      </c>
      <c r="R2914">
        <v>-0.14163789999999901</v>
      </c>
      <c r="S2914">
        <v>3.0367130000000002</v>
      </c>
      <c r="T2914">
        <v>-0.10648639999999999</v>
      </c>
      <c r="U2914">
        <v>4.9362179999999999E-2</v>
      </c>
      <c r="V2914">
        <v>3.2674479999999999E-2</v>
      </c>
      <c r="W2914">
        <v>-3.1750460000000002E-4</v>
      </c>
      <c r="X2914">
        <v>0.99946599999999997</v>
      </c>
      <c r="Y2914">
        <v>-0.12522649999999999</v>
      </c>
      <c r="Z2914">
        <v>6.0187390000000004E-3</v>
      </c>
      <c r="AA2914">
        <v>0.99211000000000005</v>
      </c>
      <c r="AB2914">
        <v>17</v>
      </c>
      <c r="AC2914">
        <v>31.4984</v>
      </c>
      <c r="AD2914">
        <v>-1.111295923043</v>
      </c>
      <c r="AE2914">
        <v>0.53409999999999502</v>
      </c>
      <c r="AF2914">
        <v>-3.96651034830469</v>
      </c>
      <c r="AG2914">
        <v>-1.111295923043</v>
      </c>
      <c r="AH2914">
        <v>31.212752306209001</v>
      </c>
      <c r="AI2914">
        <v>92.022837686236699</v>
      </c>
      <c r="AJ2914">
        <v>97.242316682761995</v>
      </c>
      <c r="AK2914">
        <v>31.483393868840299</v>
      </c>
      <c r="AL2914">
        <v>90.018191673792401</v>
      </c>
      <c r="AM2914">
        <v>88.127556833295898</v>
      </c>
      <c r="AN2914">
        <v>1.0000000038042201</v>
      </c>
    </row>
    <row r="2915" spans="1:40" x14ac:dyDescent="0.25">
      <c r="A2915" t="str">
        <f>"20190312161017718"</f>
        <v>20190312161017718</v>
      </c>
      <c r="B2915" t="str">
        <f>"1552378217708993"</f>
        <v>1552378217708993</v>
      </c>
      <c r="C2915" t="s">
        <v>40</v>
      </c>
      <c r="D2915">
        <v>5.5657489999999896</v>
      </c>
      <c r="E2915">
        <v>0.44123659999999998</v>
      </c>
      <c r="F2915" t="s">
        <v>74</v>
      </c>
      <c r="G2915">
        <v>-432.60309999999998</v>
      </c>
      <c r="H2915" s="1">
        <v>3.5223140000000001E-6</v>
      </c>
      <c r="I2915">
        <v>212.88929999999999</v>
      </c>
      <c r="J2915">
        <v>-462.79539999999997</v>
      </c>
      <c r="K2915">
        <v>1.111313</v>
      </c>
      <c r="L2915">
        <v>212.35929999999999</v>
      </c>
      <c r="M2915">
        <v>0.99430160000000001</v>
      </c>
      <c r="N2915">
        <v>0</v>
      </c>
      <c r="O2915">
        <v>-0.1056817</v>
      </c>
      <c r="P2915">
        <v>0.98987670000000005</v>
      </c>
      <c r="Q2915">
        <v>-1.332084E-2</v>
      </c>
      <c r="R2915">
        <v>-0.1413056</v>
      </c>
      <c r="S2915">
        <v>3.036438</v>
      </c>
      <c r="T2915">
        <v>-0.1106327</v>
      </c>
      <c r="U2915">
        <v>4.9835209999999998E-2</v>
      </c>
      <c r="V2915">
        <v>3.5890430000000001E-2</v>
      </c>
      <c r="W2915">
        <v>7.4750589999999996E-4</v>
      </c>
      <c r="X2915">
        <v>0.9993554</v>
      </c>
      <c r="Y2915">
        <v>-0.1218452</v>
      </c>
      <c r="Z2915">
        <v>6.0636120000000003E-3</v>
      </c>
      <c r="AA2915">
        <v>0.99253060000000004</v>
      </c>
      <c r="AB2915">
        <v>17</v>
      </c>
      <c r="AC2915">
        <v>30.1922999999999</v>
      </c>
      <c r="AD2915">
        <v>-1.111309477686</v>
      </c>
      <c r="AE2915">
        <v>0.53000000000000103</v>
      </c>
      <c r="AF2915">
        <v>-3.7130883158280601</v>
      </c>
      <c r="AG2915">
        <v>-1.111309477686</v>
      </c>
      <c r="AH2915">
        <v>29.926641073524099</v>
      </c>
      <c r="AI2915">
        <v>92.110502503346893</v>
      </c>
      <c r="AJ2915">
        <v>97.072714669981707</v>
      </c>
      <c r="AK2915">
        <v>30.176578327237099</v>
      </c>
      <c r="AL2915">
        <v>89.957171060579697</v>
      </c>
      <c r="AM2915">
        <v>87.943187423108199</v>
      </c>
      <c r="AN2915">
        <v>0.99999994861990604</v>
      </c>
    </row>
    <row r="2916" spans="1:40" x14ac:dyDescent="0.25">
      <c r="A2916" t="str">
        <f>"20190312161017741"</f>
        <v>20190312161017741</v>
      </c>
      <c r="B2916" t="str">
        <f>"1552378217728513"</f>
        <v>1552378217728513</v>
      </c>
      <c r="C2916" t="s">
        <v>40</v>
      </c>
      <c r="D2916">
        <v>5.5027839999999903</v>
      </c>
      <c r="E2916">
        <v>0.44149919999999998</v>
      </c>
      <c r="F2916" t="s">
        <v>74</v>
      </c>
      <c r="G2916">
        <v>-432.72039999999998</v>
      </c>
      <c r="H2916" s="1">
        <v>3.580605E-6</v>
      </c>
      <c r="I2916">
        <v>212.81800000000001</v>
      </c>
      <c r="J2916">
        <v>-462.63049999999998</v>
      </c>
      <c r="K2916">
        <v>1.111334</v>
      </c>
      <c r="L2916">
        <v>212.3441</v>
      </c>
      <c r="M2916">
        <v>0.99450380000000005</v>
      </c>
      <c r="N2916">
        <v>0</v>
      </c>
      <c r="O2916">
        <v>-0.10376050000000001</v>
      </c>
      <c r="P2916">
        <v>0.99006939999999999</v>
      </c>
      <c r="Q2916">
        <v>-1.2787110000000001E-2</v>
      </c>
      <c r="R2916">
        <v>-0.1399966</v>
      </c>
      <c r="S2916">
        <v>3.035736</v>
      </c>
      <c r="T2916">
        <v>-0.1121743</v>
      </c>
      <c r="U2916">
        <v>4.6295169999999997E-2</v>
      </c>
      <c r="V2916">
        <v>3.6497960000000003E-2</v>
      </c>
      <c r="W2916">
        <v>1.2796559999999999E-3</v>
      </c>
      <c r="X2916">
        <v>0.99933289999999997</v>
      </c>
      <c r="Y2916">
        <v>-0.1187729</v>
      </c>
      <c r="Z2916">
        <v>6.0220229999999996E-3</v>
      </c>
      <c r="AA2916">
        <v>0.99290319999999999</v>
      </c>
      <c r="AB2916">
        <v>17</v>
      </c>
      <c r="AC2916">
        <v>29.9101</v>
      </c>
      <c r="AD2916">
        <v>-1.111330419395</v>
      </c>
      <c r="AE2916">
        <v>0.473899999999986</v>
      </c>
      <c r="AF2916">
        <v>-3.5702049805679001</v>
      </c>
      <c r="AG2916">
        <v>-1.111330419395</v>
      </c>
      <c r="AH2916">
        <v>29.6585113160737</v>
      </c>
      <c r="AI2916">
        <v>92.130552437713703</v>
      </c>
      <c r="AJ2916">
        <v>96.8640708404983</v>
      </c>
      <c r="AK2916">
        <v>29.893288751658201</v>
      </c>
      <c r="AL2916">
        <v>89.926681091360905</v>
      </c>
      <c r="AM2916">
        <v>87.908354645200205</v>
      </c>
      <c r="AN2916">
        <v>0.99999999181302401</v>
      </c>
    </row>
    <row r="2917" spans="1:40" x14ac:dyDescent="0.25">
      <c r="A2917" t="str">
        <f>"20190312161017767"</f>
        <v>20190312161017767</v>
      </c>
      <c r="B2917" t="str">
        <f>"1552378217758768"</f>
        <v>1552378217758768</v>
      </c>
      <c r="C2917" t="s">
        <v>40</v>
      </c>
      <c r="D2917">
        <v>5.452731</v>
      </c>
      <c r="E2917">
        <v>0.44160120000000003</v>
      </c>
      <c r="F2917" t="s">
        <v>74</v>
      </c>
      <c r="G2917">
        <v>-430.82040000000001</v>
      </c>
      <c r="H2917" s="1">
        <v>2.735541E-6</v>
      </c>
      <c r="I2917">
        <v>212.84639999999999</v>
      </c>
      <c r="J2917">
        <v>-462.43950000000001</v>
      </c>
      <c r="K2917">
        <v>1.1113550000000001</v>
      </c>
      <c r="L2917">
        <v>212.327</v>
      </c>
      <c r="M2917">
        <v>0.99473670000000003</v>
      </c>
      <c r="N2917">
        <v>0</v>
      </c>
      <c r="O2917">
        <v>-0.1015066</v>
      </c>
      <c r="P2917">
        <v>0.99038119999999996</v>
      </c>
      <c r="Q2917">
        <v>-1.1432060000000001E-2</v>
      </c>
      <c r="R2917">
        <v>-0.1378963</v>
      </c>
      <c r="S2917">
        <v>3.0355219999999998</v>
      </c>
      <c r="T2917">
        <v>-0.10605050000000001</v>
      </c>
      <c r="U2917">
        <v>4.7927860000000003E-2</v>
      </c>
      <c r="V2917">
        <v>3.663785E-2</v>
      </c>
      <c r="W2917">
        <v>2.6324400000000002E-3</v>
      </c>
      <c r="X2917">
        <v>0.99932520000000002</v>
      </c>
      <c r="Y2917">
        <v>-0.1170761</v>
      </c>
      <c r="Z2917">
        <v>5.5858080000000003E-3</v>
      </c>
      <c r="AA2917">
        <v>0.99310730000000003</v>
      </c>
      <c r="AB2917">
        <v>17</v>
      </c>
      <c r="AC2917">
        <v>31.6191</v>
      </c>
      <c r="AD2917">
        <v>-1.1113522644589999</v>
      </c>
      <c r="AE2917">
        <v>0.51939999999998998</v>
      </c>
      <c r="AF2917">
        <v>-3.72198064932675</v>
      </c>
      <c r="AG2917">
        <v>-1.1113522644589999</v>
      </c>
      <c r="AH2917">
        <v>31.364286732753101</v>
      </c>
      <c r="AI2917">
        <v>92.015223362197702</v>
      </c>
      <c r="AJ2917">
        <v>96.767605309105406</v>
      </c>
      <c r="AK2917">
        <v>31.603903652302701</v>
      </c>
      <c r="AL2917">
        <v>89.849172132813194</v>
      </c>
      <c r="AM2917">
        <v>87.900328749400998</v>
      </c>
      <c r="AN2917">
        <v>1.0000000585740001</v>
      </c>
    </row>
    <row r="2918" spans="1:40" x14ac:dyDescent="0.25">
      <c r="A2918" t="str">
        <f>"20190312161017790"</f>
        <v>20190312161017790</v>
      </c>
      <c r="B2918" t="str">
        <f>"1552378217779264"</f>
        <v>1552378217779264</v>
      </c>
      <c r="C2918" t="s">
        <v>40</v>
      </c>
      <c r="D2918">
        <v>5.7387980000000001</v>
      </c>
      <c r="E2918">
        <v>0.44166830000000001</v>
      </c>
      <c r="F2918" t="s">
        <v>74</v>
      </c>
      <c r="G2918">
        <v>-428.38799999999998</v>
      </c>
      <c r="H2918" s="1">
        <v>2.6246069999999998E-6</v>
      </c>
      <c r="I2918">
        <v>212.92449999999999</v>
      </c>
      <c r="J2918">
        <v>-462.26690000000002</v>
      </c>
      <c r="K2918">
        <v>1.11137</v>
      </c>
      <c r="L2918">
        <v>212.31180000000001</v>
      </c>
      <c r="M2918">
        <v>0.99494570000000004</v>
      </c>
      <c r="N2918">
        <v>0</v>
      </c>
      <c r="O2918">
        <v>-9.9436650000000001E-2</v>
      </c>
      <c r="P2918">
        <v>0.99056860000000002</v>
      </c>
      <c r="Q2918">
        <v>-1.072566E-2</v>
      </c>
      <c r="R2918">
        <v>-0.1365989</v>
      </c>
      <c r="S2918">
        <v>3.0354000000000001</v>
      </c>
      <c r="T2918">
        <v>-9.9067450000000001E-2</v>
      </c>
      <c r="U2918">
        <v>5.3268429999999999E-2</v>
      </c>
      <c r="V2918">
        <v>3.740595E-2</v>
      </c>
      <c r="W2918">
        <v>3.3376790000000001E-3</v>
      </c>
      <c r="X2918">
        <v>0.99929460000000003</v>
      </c>
      <c r="Y2918">
        <v>-0.1167754</v>
      </c>
      <c r="Z2918">
        <v>5.1461959999999996E-3</v>
      </c>
      <c r="AA2918">
        <v>0.99314499999999994</v>
      </c>
      <c r="AB2918">
        <v>17</v>
      </c>
      <c r="AC2918">
        <v>33.878899999999902</v>
      </c>
      <c r="AD2918">
        <v>-1.111367375393</v>
      </c>
      <c r="AE2918">
        <v>0.61269999999998903</v>
      </c>
      <c r="AF2918">
        <v>-3.9745206895491401</v>
      </c>
      <c r="AG2918">
        <v>-1.111367375393</v>
      </c>
      <c r="AH2918">
        <v>33.613868526548103</v>
      </c>
      <c r="AI2918">
        <v>91.880576113183594</v>
      </c>
      <c r="AJ2918">
        <v>96.743372097062604</v>
      </c>
      <c r="AK2918">
        <v>33.8662680181151</v>
      </c>
      <c r="AL2918">
        <v>89.808764728957101</v>
      </c>
      <c r="AM2918">
        <v>87.856284924264898</v>
      </c>
      <c r="AN2918">
        <v>1.00000002139283</v>
      </c>
    </row>
    <row r="2919" spans="1:40" x14ac:dyDescent="0.25">
      <c r="A2919" t="str">
        <f>"20190312161017833"</f>
        <v>20190312161017833</v>
      </c>
      <c r="B2919" t="str">
        <f>"1552378217829368"</f>
        <v>1552378217829368</v>
      </c>
      <c r="C2919" t="s">
        <v>40</v>
      </c>
      <c r="D2919">
        <v>5.3173940000000002</v>
      </c>
      <c r="E2919">
        <v>0.44145879999999998</v>
      </c>
      <c r="F2919" t="s">
        <v>74</v>
      </c>
      <c r="G2919">
        <v>-426.70519999999999</v>
      </c>
      <c r="H2919" s="1">
        <v>2.9186290000000001E-6</v>
      </c>
      <c r="I2919">
        <v>212.97579999999999</v>
      </c>
      <c r="J2919">
        <v>-461.95920000000001</v>
      </c>
      <c r="K2919">
        <v>1.1113729999999999</v>
      </c>
      <c r="L2919">
        <v>212.2859</v>
      </c>
      <c r="M2919">
        <v>0.9953128</v>
      </c>
      <c r="N2919">
        <v>0</v>
      </c>
      <c r="O2919">
        <v>-9.5691700000000005E-2</v>
      </c>
      <c r="P2919">
        <v>0.99085239999999997</v>
      </c>
      <c r="Q2919">
        <v>-1.1319620000000001E-2</v>
      </c>
      <c r="R2919">
        <v>-0.13447410000000001</v>
      </c>
      <c r="S2919">
        <v>3.0353699999999999</v>
      </c>
      <c r="T2919">
        <v>-9.4860669999999994E-2</v>
      </c>
      <c r="U2919">
        <v>5.6671140000000002E-2</v>
      </c>
      <c r="V2919">
        <v>3.9025360000000002E-2</v>
      </c>
      <c r="W2919">
        <v>2.7402049999999999E-3</v>
      </c>
      <c r="X2919">
        <v>0.99923439999999997</v>
      </c>
      <c r="Y2919">
        <v>-0.1141633</v>
      </c>
      <c r="Z2919">
        <v>4.7703779999999996E-3</v>
      </c>
      <c r="AA2919">
        <v>0.99345050000000001</v>
      </c>
      <c r="AB2919">
        <v>17</v>
      </c>
      <c r="AC2919">
        <v>35.253999999999998</v>
      </c>
      <c r="AD2919">
        <v>-1.1113700813709999</v>
      </c>
      <c r="AE2919">
        <v>0.68989999999999396</v>
      </c>
      <c r="AF2919">
        <v>-4.0565486220829197</v>
      </c>
      <c r="AG2919">
        <v>-1.1113700813709999</v>
      </c>
      <c r="AH2919">
        <v>34.991402952182902</v>
      </c>
      <c r="AI2919">
        <v>91.807078329233804</v>
      </c>
      <c r="AJ2919">
        <v>96.612772783485894</v>
      </c>
      <c r="AK2919">
        <v>35.2432832003933</v>
      </c>
      <c r="AL2919">
        <v>89.842997612094294</v>
      </c>
      <c r="AM2919">
        <v>87.763435085639301</v>
      </c>
      <c r="AN2919">
        <v>0.99999993679496302</v>
      </c>
    </row>
    <row r="2920" spans="1:40" x14ac:dyDescent="0.25">
      <c r="A2920" t="str">
        <f>"20190312161017878"</f>
        <v>20190312161017878</v>
      </c>
      <c r="B2920" t="str">
        <f>"1552378217869383"</f>
        <v>1552378217869383</v>
      </c>
      <c r="C2920" t="s">
        <v>40</v>
      </c>
      <c r="D2920">
        <v>5.4515310000000001</v>
      </c>
      <c r="E2920">
        <v>0.44138569999999999</v>
      </c>
      <c r="F2920" t="s">
        <v>74</v>
      </c>
      <c r="G2920">
        <v>-425.02460000000002</v>
      </c>
      <c r="H2920" s="1">
        <v>3.2082609999999998E-6</v>
      </c>
      <c r="I2920">
        <v>213.0728</v>
      </c>
      <c r="J2920">
        <v>-461.62709999999998</v>
      </c>
      <c r="K2920">
        <v>1.1113660000000001</v>
      </c>
      <c r="L2920">
        <v>212.25919999999999</v>
      </c>
      <c r="M2920">
        <v>0.9956969</v>
      </c>
      <c r="N2920">
        <v>0</v>
      </c>
      <c r="O2920">
        <v>-9.1611590000000007E-2</v>
      </c>
      <c r="P2920">
        <v>0.99135450000000003</v>
      </c>
      <c r="Q2920">
        <v>-1.03751E-2</v>
      </c>
      <c r="R2920">
        <v>-0.1308021</v>
      </c>
      <c r="S2920">
        <v>3.0354000000000001</v>
      </c>
      <c r="T2920">
        <v>-9.1335890000000003E-2</v>
      </c>
      <c r="U2920">
        <v>6.4666749999999995E-2</v>
      </c>
      <c r="V2920">
        <v>3.9415459999999999E-2</v>
      </c>
      <c r="W2920">
        <v>3.6767079999999999E-3</v>
      </c>
      <c r="X2920">
        <v>0.99921610000000005</v>
      </c>
      <c r="Y2920">
        <v>-0.1127171</v>
      </c>
      <c r="Z2920">
        <v>4.4489799999999999E-3</v>
      </c>
      <c r="AA2920">
        <v>0.99361719999999998</v>
      </c>
      <c r="AB2920">
        <v>17</v>
      </c>
      <c r="AC2920">
        <v>36.6024999999999</v>
      </c>
      <c r="AD2920">
        <v>-1.1113627917389901</v>
      </c>
      <c r="AE2920">
        <v>0.81360000000000798</v>
      </c>
      <c r="AF2920">
        <v>-4.1598850423813198</v>
      </c>
      <c r="AG2920">
        <v>-1.1113627917389901</v>
      </c>
      <c r="AH2920">
        <v>36.340520955251897</v>
      </c>
      <c r="AI2920">
        <v>91.740311083254696</v>
      </c>
      <c r="AJ2920">
        <v>96.530201799321404</v>
      </c>
      <c r="AK2920">
        <v>36.594715931672297</v>
      </c>
      <c r="AL2920">
        <v>89.789339665115307</v>
      </c>
      <c r="AM2920">
        <v>87.741059957236104</v>
      </c>
      <c r="AN2920">
        <v>0.99999995558396804</v>
      </c>
    </row>
    <row r="2921" spans="1:40" x14ac:dyDescent="0.25">
      <c r="A2921" t="str">
        <f>"20190312161017899"</f>
        <v>20190312161017899</v>
      </c>
      <c r="B2921" t="str">
        <f>"1552378217888904"</f>
        <v>1552378217888904</v>
      </c>
      <c r="C2921" t="s">
        <v>40</v>
      </c>
      <c r="D2921">
        <v>5.2333429999999996</v>
      </c>
      <c r="E2921">
        <v>0.44140089999999998</v>
      </c>
      <c r="F2921" t="s">
        <v>74</v>
      </c>
      <c r="G2921">
        <v>-422.43650000000002</v>
      </c>
      <c r="H2921" s="1">
        <v>3.6524789999999998E-6</v>
      </c>
      <c r="I2921">
        <v>213.24289999999999</v>
      </c>
      <c r="J2921">
        <v>-461.4631</v>
      </c>
      <c r="K2921">
        <v>1.1113519999999999</v>
      </c>
      <c r="L2921">
        <v>212.2466</v>
      </c>
      <c r="M2921">
        <v>0.99588019999999999</v>
      </c>
      <c r="N2921">
        <v>0</v>
      </c>
      <c r="O2921">
        <v>-8.9595620000000001E-2</v>
      </c>
      <c r="P2921">
        <v>0.9915697</v>
      </c>
      <c r="Q2921">
        <v>-1.040748E-2</v>
      </c>
      <c r="R2921">
        <v>-0.12915599999999999</v>
      </c>
      <c r="S2921">
        <v>3.035339</v>
      </c>
      <c r="T2921">
        <v>-8.6075659999999998E-2</v>
      </c>
      <c r="U2921">
        <v>7.6187130000000006E-2</v>
      </c>
      <c r="V2921">
        <v>3.9779660000000001E-2</v>
      </c>
      <c r="W2921">
        <v>3.6399919999999999E-3</v>
      </c>
      <c r="X2921">
        <v>0.99920180000000003</v>
      </c>
      <c r="Y2921">
        <v>-0.1144854</v>
      </c>
      <c r="Z2921">
        <v>4.1609280000000004E-3</v>
      </c>
      <c r="AA2921">
        <v>0.99341619999999997</v>
      </c>
      <c r="AB2921">
        <v>17</v>
      </c>
      <c r="AC2921">
        <v>39.026599999999902</v>
      </c>
      <c r="AD2921">
        <v>-1.111348347521</v>
      </c>
      <c r="AE2921">
        <v>0.99629999999998997</v>
      </c>
      <c r="AF2921">
        <v>-4.4856110448009296</v>
      </c>
      <c r="AG2921">
        <v>-1.111348347521</v>
      </c>
      <c r="AH2921">
        <v>38.748938359705797</v>
      </c>
      <c r="AI2921">
        <v>91.631943025248702</v>
      </c>
      <c r="AJ2921">
        <v>96.6032186367582</v>
      </c>
      <c r="AK2921">
        <v>39.023531690494899</v>
      </c>
      <c r="AL2921">
        <v>89.791443350798104</v>
      </c>
      <c r="AM2921">
        <v>87.720176615969905</v>
      </c>
      <c r="AN2921">
        <v>0.99999995400735597</v>
      </c>
    </row>
    <row r="2922" spans="1:40" x14ac:dyDescent="0.25">
      <c r="A2922" t="str">
        <f>"20190312161017921"</f>
        <v>20190312161017921</v>
      </c>
      <c r="B2922" t="str">
        <f>"1552378217909399"</f>
        <v>1552378217909399</v>
      </c>
      <c r="C2922" t="s">
        <v>40</v>
      </c>
      <c r="D2922">
        <v>5.4106399999999999</v>
      </c>
      <c r="E2922">
        <v>0.44140489999999999</v>
      </c>
      <c r="F2922" t="s">
        <v>74</v>
      </c>
      <c r="G2922">
        <v>-421.81049999999999</v>
      </c>
      <c r="H2922" s="1">
        <v>3.7583699999999999E-6</v>
      </c>
      <c r="I2922">
        <v>213.30179999999999</v>
      </c>
      <c r="J2922">
        <v>-461.30489999999998</v>
      </c>
      <c r="K2922">
        <v>1.1113420000000001</v>
      </c>
      <c r="L2922">
        <v>212.2347</v>
      </c>
      <c r="M2922">
        <v>0.99605279999999996</v>
      </c>
      <c r="N2922">
        <v>0</v>
      </c>
      <c r="O2922">
        <v>-8.7656769999999995E-2</v>
      </c>
      <c r="P2922">
        <v>0.99182459999999995</v>
      </c>
      <c r="Q2922">
        <v>-1.090175E-2</v>
      </c>
      <c r="R2922">
        <v>-0.1271427</v>
      </c>
      <c r="S2922">
        <v>3.0350950000000001</v>
      </c>
      <c r="T2922">
        <v>-8.5065009999999996E-2</v>
      </c>
      <c r="U2922">
        <v>8.076477E-2</v>
      </c>
      <c r="V2922">
        <v>3.9697830000000003E-2</v>
      </c>
      <c r="W2922">
        <v>3.1402700000000001E-3</v>
      </c>
      <c r="X2922">
        <v>0.99920679999999995</v>
      </c>
      <c r="Y2922">
        <v>-0.1140536</v>
      </c>
      <c r="Z2922">
        <v>4.0521389999999997E-3</v>
      </c>
      <c r="AA2922">
        <v>0.99346630000000002</v>
      </c>
      <c r="AB2922">
        <v>17</v>
      </c>
      <c r="AC2922">
        <v>39.494399999999899</v>
      </c>
      <c r="AD2922">
        <v>-1.1113382416299999</v>
      </c>
      <c r="AE2922">
        <v>1.06709999999998</v>
      </c>
      <c r="AF2922">
        <v>-4.5217032438458098</v>
      </c>
      <c r="AG2922">
        <v>-1.1113382416299999</v>
      </c>
      <c r="AH2922">
        <v>39.217767870851603</v>
      </c>
      <c r="AI2922">
        <v>91.612514813225403</v>
      </c>
      <c r="AJ2922">
        <v>96.577008248915405</v>
      </c>
      <c r="AK2922">
        <v>39.4932170085536</v>
      </c>
      <c r="AL2922">
        <v>89.820075487487699</v>
      </c>
      <c r="AM2922">
        <v>87.724872837737905</v>
      </c>
      <c r="AN2922">
        <v>1.00000000408431</v>
      </c>
    </row>
    <row r="2923" spans="1:40" x14ac:dyDescent="0.25">
      <c r="A2923" t="str">
        <f>"20190312161017942"</f>
        <v>20190312161017942</v>
      </c>
      <c r="B2923" t="str">
        <f>"1552378217938681"</f>
        <v>1552378217938681</v>
      </c>
      <c r="C2923" t="s">
        <v>40</v>
      </c>
      <c r="D2923">
        <v>5.442183</v>
      </c>
      <c r="E2923">
        <v>0.4605765</v>
      </c>
      <c r="F2923" t="s">
        <v>74</v>
      </c>
      <c r="G2923">
        <v>-422.20370000000003</v>
      </c>
      <c r="H2923" s="1">
        <v>3.6838600000000002E-6</v>
      </c>
      <c r="I2923">
        <v>213.3563</v>
      </c>
      <c r="J2923">
        <v>-461.15519999999998</v>
      </c>
      <c r="K2923">
        <v>1.1113329999999999</v>
      </c>
      <c r="L2923">
        <v>212.22370000000001</v>
      </c>
      <c r="M2923">
        <v>0.99621219999999999</v>
      </c>
      <c r="N2923">
        <v>0</v>
      </c>
      <c r="O2923">
        <v>-8.5828280000000007E-2</v>
      </c>
      <c r="P2923">
        <v>0.99208160000000001</v>
      </c>
      <c r="Q2923">
        <v>-1.1568709999999999E-2</v>
      </c>
      <c r="R2923">
        <v>-0.12506159999999999</v>
      </c>
      <c r="S2923">
        <v>3.0349430000000002</v>
      </c>
      <c r="T2923">
        <v>-8.6259479999999999E-2</v>
      </c>
      <c r="U2923">
        <v>8.7051390000000006E-2</v>
      </c>
      <c r="V2923">
        <v>3.943779E-2</v>
      </c>
      <c r="W2923">
        <v>2.468409E-3</v>
      </c>
      <c r="X2923">
        <v>0.99921899999999997</v>
      </c>
      <c r="Y2923">
        <v>-0.1142861</v>
      </c>
      <c r="Z2923">
        <v>4.0606260000000003E-3</v>
      </c>
      <c r="AA2923">
        <v>0.99343959999999998</v>
      </c>
      <c r="AB2923">
        <v>16</v>
      </c>
      <c r="AC2923">
        <v>38.951499999999903</v>
      </c>
      <c r="AD2923">
        <v>-1.11132931614</v>
      </c>
      <c r="AE2923">
        <v>1.1325999999999901</v>
      </c>
      <c r="AF2923">
        <v>-4.4682514862076896</v>
      </c>
      <c r="AG2923">
        <v>-1.11132931614</v>
      </c>
      <c r="AH2923">
        <v>38.679061108605801</v>
      </c>
      <c r="AI2923">
        <v>91.634906390057594</v>
      </c>
      <c r="AJ2923">
        <v>96.589667338020803</v>
      </c>
      <c r="AK2923">
        <v>38.952151319743201</v>
      </c>
      <c r="AL2923">
        <v>89.858570441555003</v>
      </c>
      <c r="AM2923">
        <v>87.739788082096098</v>
      </c>
      <c r="AN2923">
        <v>1.0000000211420299</v>
      </c>
    </row>
    <row r="2924" spans="1:40" x14ac:dyDescent="0.25">
      <c r="A2924" t="str">
        <f>"20190312161017968"</f>
        <v>20190312161017968</v>
      </c>
      <c r="B2924" t="str">
        <f>"1552378217959175"</f>
        <v>1552378217959175</v>
      </c>
      <c r="C2924" t="s">
        <v>40</v>
      </c>
      <c r="D2924">
        <v>4.9357689999999996</v>
      </c>
      <c r="E2924">
        <v>0.47263709999999998</v>
      </c>
      <c r="F2924" t="s">
        <v>74</v>
      </c>
      <c r="G2924">
        <v>-429.67239999999998</v>
      </c>
      <c r="H2924" s="1">
        <v>2.5101930000000001E-6</v>
      </c>
      <c r="I2924">
        <v>211.62729999999999</v>
      </c>
      <c r="J2924">
        <v>-460.9615</v>
      </c>
      <c r="K2924">
        <v>1.111324</v>
      </c>
      <c r="L2924">
        <v>212.21</v>
      </c>
      <c r="M2924">
        <v>0.99641259999999998</v>
      </c>
      <c r="N2924">
        <v>0</v>
      </c>
      <c r="O2924">
        <v>-8.3470409999999995E-2</v>
      </c>
      <c r="P2924">
        <v>0.99243749999999997</v>
      </c>
      <c r="Q2924">
        <v>-1.215344E-2</v>
      </c>
      <c r="R2924">
        <v>-0.12214990000000001</v>
      </c>
      <c r="S2924">
        <v>3.0155029999999998</v>
      </c>
      <c r="T2924">
        <v>-0.10644579999999999</v>
      </c>
      <c r="U2924">
        <v>-5.7128909999999998E-2</v>
      </c>
      <c r="V2924">
        <v>3.887239E-2</v>
      </c>
      <c r="W2924">
        <v>1.8766550000000001E-3</v>
      </c>
      <c r="X2924">
        <v>0.99924239999999998</v>
      </c>
      <c r="Y2924">
        <v>-6.4495999999999998E-2</v>
      </c>
      <c r="Z2924">
        <v>4.0802959999999997E-3</v>
      </c>
      <c r="AA2924">
        <v>0.99790959999999995</v>
      </c>
      <c r="AB2924">
        <v>16</v>
      </c>
      <c r="AC2924">
        <v>31.289100000000001</v>
      </c>
      <c r="AD2924">
        <v>-1.1113214898070001</v>
      </c>
      <c r="AE2924">
        <v>-0.58270000000001598</v>
      </c>
      <c r="AF2924">
        <v>-2.0287436520375102</v>
      </c>
      <c r="AG2924">
        <v>-1.1113214898070001</v>
      </c>
      <c r="AH2924">
        <v>31.1891986267505</v>
      </c>
      <c r="AI2924">
        <v>92.036377970433307</v>
      </c>
      <c r="AJ2924">
        <v>93.7216386747169</v>
      </c>
      <c r="AK2924">
        <v>31.274861266491399</v>
      </c>
      <c r="AL2924">
        <v>89.892475523552505</v>
      </c>
      <c r="AM2924">
        <v>87.772210847982393</v>
      </c>
      <c r="AN2924">
        <v>0.99999997924802997</v>
      </c>
    </row>
    <row r="2925" spans="1:40" x14ac:dyDescent="0.25">
      <c r="A2925" t="str">
        <f>"20190312161017993"</f>
        <v>20190312161017993</v>
      </c>
      <c r="B2925" t="str">
        <f>"1552378217978696"</f>
        <v>1552378217978696</v>
      </c>
      <c r="C2925" t="s">
        <v>40</v>
      </c>
      <c r="D2925">
        <v>5.332395</v>
      </c>
      <c r="E2925">
        <v>0.47630610000000001</v>
      </c>
      <c r="F2925" t="s">
        <v>74</v>
      </c>
      <c r="G2925">
        <v>-434.16309999999999</v>
      </c>
      <c r="H2925" s="1">
        <v>4.3850539999999997E-6</v>
      </c>
      <c r="I2925">
        <v>210.93430000000001</v>
      </c>
      <c r="J2925">
        <v>-460.78570000000002</v>
      </c>
      <c r="K2925">
        <v>1.1113200000000001</v>
      </c>
      <c r="L2925">
        <v>212.1979</v>
      </c>
      <c r="M2925">
        <v>0.99658899999999995</v>
      </c>
      <c r="N2925">
        <v>0</v>
      </c>
      <c r="O2925">
        <v>-8.1336859999999997E-2</v>
      </c>
      <c r="P2925">
        <v>0.99279010000000001</v>
      </c>
      <c r="Q2925">
        <v>-1.129553E-2</v>
      </c>
      <c r="R2925">
        <v>-0.1193322</v>
      </c>
      <c r="S2925">
        <v>3.003784</v>
      </c>
      <c r="T2925">
        <v>-0.1245658</v>
      </c>
      <c r="U2925">
        <v>-0.14299010000000001</v>
      </c>
      <c r="V2925">
        <v>3.8172789999999998E-2</v>
      </c>
      <c r="W2925">
        <v>2.7282840000000001E-3</v>
      </c>
      <c r="X2925">
        <v>0.99926740000000003</v>
      </c>
      <c r="Y2925">
        <v>-3.376237E-2</v>
      </c>
      <c r="Z2925">
        <v>4.0649179999999998E-3</v>
      </c>
      <c r="AA2925">
        <v>0.99942160000000002</v>
      </c>
      <c r="AB2925">
        <v>16</v>
      </c>
      <c r="AC2925">
        <v>26.622599999999998</v>
      </c>
      <c r="AD2925">
        <v>-1.111315614946</v>
      </c>
      <c r="AE2925">
        <v>-1.2635999999999901</v>
      </c>
      <c r="AF2925">
        <v>-0.90462427354227504</v>
      </c>
      <c r="AG2925">
        <v>-1.111315614946</v>
      </c>
      <c r="AH2925">
        <v>26.590929892283999</v>
      </c>
      <c r="AI2925">
        <v>92.391789636097698</v>
      </c>
      <c r="AJ2925">
        <v>91.948452769091404</v>
      </c>
      <c r="AK2925">
        <v>26.629512199975998</v>
      </c>
      <c r="AL2925">
        <v>89.843680643035498</v>
      </c>
      <c r="AM2925">
        <v>87.812320513369698</v>
      </c>
      <c r="AN2925">
        <v>0.99999997106636396</v>
      </c>
    </row>
    <row r="2926" spans="1:40" x14ac:dyDescent="0.25">
      <c r="A2926" t="str">
        <f>"20190312161018032"</f>
        <v>20190312161018032</v>
      </c>
      <c r="B2926" t="str">
        <f>"1552378218028979"</f>
        <v>1552378218028979</v>
      </c>
      <c r="C2926" t="s">
        <v>40</v>
      </c>
      <c r="D2926">
        <v>5.2970059999999997</v>
      </c>
      <c r="E2926">
        <v>0.48151680000000002</v>
      </c>
      <c r="F2926" t="s">
        <v>74</v>
      </c>
      <c r="G2926">
        <v>-435.60969999999998</v>
      </c>
      <c r="H2926" s="1">
        <v>5.035665E-6</v>
      </c>
      <c r="I2926">
        <v>210.83</v>
      </c>
      <c r="J2926">
        <v>-460.50060000000002</v>
      </c>
      <c r="K2926">
        <v>1.1113139999999999</v>
      </c>
      <c r="L2926">
        <v>212.179</v>
      </c>
      <c r="M2926">
        <v>0.99686520000000001</v>
      </c>
      <c r="N2926">
        <v>0</v>
      </c>
      <c r="O2926">
        <v>-7.7881489999999998E-2</v>
      </c>
      <c r="P2926">
        <v>0.99347410000000003</v>
      </c>
      <c r="Q2926">
        <v>-1.110741E-2</v>
      </c>
      <c r="R2926">
        <v>-0.1135162</v>
      </c>
      <c r="S2926">
        <v>3.0006710000000001</v>
      </c>
      <c r="T2926">
        <v>-0.13245499999999999</v>
      </c>
      <c r="U2926">
        <v>-0.1630402</v>
      </c>
      <c r="V2926">
        <v>3.5784740000000002E-2</v>
      </c>
      <c r="W2926">
        <v>2.90376E-3</v>
      </c>
      <c r="X2926">
        <v>0.99935529999999995</v>
      </c>
      <c r="Y2926">
        <v>-2.3586320000000001E-2</v>
      </c>
      <c r="Z2926">
        <v>3.9494689999999997E-3</v>
      </c>
      <c r="AA2926">
        <v>0.99971399999999999</v>
      </c>
      <c r="AB2926">
        <v>16</v>
      </c>
      <c r="AC2926">
        <v>24.890899999999998</v>
      </c>
      <c r="AD2926">
        <v>-1.11130896433499</v>
      </c>
      <c r="AE2926">
        <v>-1.34899999999998</v>
      </c>
      <c r="AF2926">
        <v>-0.59264899155783402</v>
      </c>
      <c r="AG2926">
        <v>-1.11130896433499</v>
      </c>
      <c r="AH2926">
        <v>24.870922784423801</v>
      </c>
      <c r="AI2926">
        <v>92.557723917497597</v>
      </c>
      <c r="AJ2926">
        <v>91.365042278624998</v>
      </c>
      <c r="AK2926">
        <v>24.902791823210901</v>
      </c>
      <c r="AL2926">
        <v>89.8336265730658</v>
      </c>
      <c r="AM2926">
        <v>87.949238932514504</v>
      </c>
      <c r="AN2926">
        <v>0.99999999753854696</v>
      </c>
    </row>
    <row r="2927" spans="1:40" x14ac:dyDescent="0.25">
      <c r="A2927" t="str">
        <f>"20190312161018056"</f>
        <v>20190312161018056</v>
      </c>
      <c r="B2927" t="str">
        <f>"1552378218049475"</f>
        <v>1552378218049475</v>
      </c>
      <c r="C2927" t="s">
        <v>40</v>
      </c>
      <c r="D2927">
        <v>5.4144769999999998</v>
      </c>
      <c r="E2927">
        <v>0.4817379</v>
      </c>
      <c r="F2927" t="s">
        <v>74</v>
      </c>
      <c r="G2927">
        <v>-438.83670000000001</v>
      </c>
      <c r="H2927" s="1">
        <v>6.4659619999999998E-6</v>
      </c>
      <c r="I2927">
        <v>210.83869999999999</v>
      </c>
      <c r="J2927">
        <v>-460.33100000000002</v>
      </c>
      <c r="K2927">
        <v>1.1113090000000001</v>
      </c>
      <c r="L2927">
        <v>212.16829999999999</v>
      </c>
      <c r="M2927">
        <v>0.99702360000000001</v>
      </c>
      <c r="N2927">
        <v>0</v>
      </c>
      <c r="O2927">
        <v>-7.582622E-2</v>
      </c>
      <c r="P2927">
        <v>0.99380900000000005</v>
      </c>
      <c r="Q2927">
        <v>-1.1478830000000001E-2</v>
      </c>
      <c r="R2927">
        <v>-0.1105087</v>
      </c>
      <c r="S2927">
        <v>2.9967350000000001</v>
      </c>
      <c r="T2927">
        <v>-0.1537259</v>
      </c>
      <c r="U2927">
        <v>-0.1854095</v>
      </c>
      <c r="V2927">
        <v>3.4821079999999997E-2</v>
      </c>
      <c r="W2927">
        <v>2.5256290000000002E-3</v>
      </c>
      <c r="X2927">
        <v>0.99939040000000001</v>
      </c>
      <c r="Y2927">
        <v>-1.399685E-2</v>
      </c>
      <c r="Z2927">
        <v>4.2371869999999999E-3</v>
      </c>
      <c r="AA2927">
        <v>0.99989309999999998</v>
      </c>
      <c r="AB2927">
        <v>16</v>
      </c>
      <c r="AC2927">
        <v>21.4942999999999</v>
      </c>
      <c r="AD2927">
        <v>-1.1113025340380001</v>
      </c>
      <c r="AE2927">
        <v>-1.3295999999999899</v>
      </c>
      <c r="AF2927">
        <v>-0.30341054179712601</v>
      </c>
      <c r="AG2927">
        <v>-1.1113025340380001</v>
      </c>
      <c r="AH2927">
        <v>21.476046079954301</v>
      </c>
      <c r="AI2927">
        <v>92.961898468679294</v>
      </c>
      <c r="AJ2927">
        <v>90.809412820890998</v>
      </c>
      <c r="AK2927">
        <v>21.5069199679394</v>
      </c>
      <c r="AL2927">
        <v>89.855291968038301</v>
      </c>
      <c r="AM2927">
        <v>88.004489369443206</v>
      </c>
      <c r="AN2927">
        <v>1.0000000290131801</v>
      </c>
    </row>
    <row r="2928" spans="1:40" x14ac:dyDescent="0.25">
      <c r="A2928" t="str">
        <f>"20190312161018075"</f>
        <v>20190312161018075</v>
      </c>
      <c r="B2928" t="str">
        <f>"1552378218068994"</f>
        <v>1552378218068994</v>
      </c>
      <c r="C2928" t="s">
        <v>40</v>
      </c>
      <c r="D2928">
        <v>4.7178440000000004</v>
      </c>
      <c r="E2928">
        <v>0.50170009999999998</v>
      </c>
      <c r="F2928" t="s">
        <v>61</v>
      </c>
      <c r="G2928">
        <v>-440.23770000000002</v>
      </c>
      <c r="H2928" s="1">
        <v>-1.2512810000000001E-6</v>
      </c>
      <c r="I2928">
        <v>210.97900000000001</v>
      </c>
      <c r="J2928">
        <v>-460.18979999999999</v>
      </c>
      <c r="K2928">
        <v>1.1113029999999999</v>
      </c>
      <c r="L2928">
        <v>212.15969999999999</v>
      </c>
      <c r="M2928">
        <v>0.99715240000000005</v>
      </c>
      <c r="N2928">
        <v>0</v>
      </c>
      <c r="O2928">
        <v>-7.4113180000000001E-2</v>
      </c>
      <c r="P2928">
        <v>0.9940215</v>
      </c>
      <c r="Q2928">
        <v>-1.1937089999999999E-2</v>
      </c>
      <c r="R2928">
        <v>-0.10852970000000001</v>
      </c>
      <c r="S2928">
        <v>2.9970400000000001</v>
      </c>
      <c r="T2928">
        <v>-0.1657592</v>
      </c>
      <c r="U2928">
        <v>-0.17739869999999999</v>
      </c>
      <c r="V2928">
        <v>3.4549780000000002E-2</v>
      </c>
      <c r="W2928">
        <v>2.0630980000000002E-3</v>
      </c>
      <c r="X2928">
        <v>0.99940090000000004</v>
      </c>
      <c r="Y2928">
        <v>-1.4930219999999999E-2</v>
      </c>
      <c r="Z2928">
        <v>4.4998640000000001E-3</v>
      </c>
      <c r="AA2928">
        <v>0.99987839999999995</v>
      </c>
      <c r="AB2928">
        <v>16</v>
      </c>
      <c r="AC2928">
        <v>19.952099999999898</v>
      </c>
      <c r="AD2928">
        <v>-1.1113042512809901</v>
      </c>
      <c r="AE2928">
        <v>-1.1806999999999701</v>
      </c>
      <c r="AF2928">
        <v>-0.30047610248386802</v>
      </c>
      <c r="AG2928">
        <v>-1.1113042512809901</v>
      </c>
      <c r="AH2928">
        <v>19.923139153179999</v>
      </c>
      <c r="AI2928">
        <v>93.192263599922398</v>
      </c>
      <c r="AJ2928">
        <v>90.864055972638099</v>
      </c>
      <c r="AK2928">
        <v>19.9563713320848</v>
      </c>
      <c r="AL2928">
        <v>89.881793114086094</v>
      </c>
      <c r="AM2928">
        <v>88.020045268813803</v>
      </c>
      <c r="AN2928">
        <v>1.0000000512961</v>
      </c>
    </row>
    <row r="2929" spans="1:40" x14ac:dyDescent="0.25">
      <c r="A2929" t="str">
        <f>"20190312161018098"</f>
        <v>20190312161018098</v>
      </c>
      <c r="B2929" t="str">
        <f>"1552378218088515"</f>
        <v>1552378218088515</v>
      </c>
      <c r="C2929" t="s">
        <v>40</v>
      </c>
      <c r="D2929">
        <v>5.0823689999999999</v>
      </c>
      <c r="E2929">
        <v>0.50627179999999905</v>
      </c>
      <c r="F2929" t="s">
        <v>42</v>
      </c>
      <c r="G2929">
        <v>-459.4461</v>
      </c>
      <c r="H2929">
        <v>0.95463989999999999</v>
      </c>
      <c r="I2929">
        <v>212.08439999999999</v>
      </c>
      <c r="J2929">
        <v>-460.03160000000003</v>
      </c>
      <c r="K2929">
        <v>1.1112959999999901</v>
      </c>
      <c r="L2929">
        <v>212.15020000000001</v>
      </c>
      <c r="M2929">
        <v>0.99729330000000005</v>
      </c>
      <c r="N2929">
        <v>0</v>
      </c>
      <c r="O2929">
        <v>-7.2194030000000006E-2</v>
      </c>
      <c r="P2929">
        <v>0.99428709999999998</v>
      </c>
      <c r="Q2929">
        <v>-1.183086E-2</v>
      </c>
      <c r="R2929">
        <v>-0.106082</v>
      </c>
      <c r="S2929">
        <v>2.977875</v>
      </c>
      <c r="T2929">
        <v>-0.62806640000000002</v>
      </c>
      <c r="U2929">
        <v>-0.29888920000000002</v>
      </c>
      <c r="V2929">
        <v>3.4012260000000002E-2</v>
      </c>
      <c r="W2929">
        <v>2.163711E-3</v>
      </c>
      <c r="X2929">
        <v>0.9994191</v>
      </c>
      <c r="Y2929">
        <v>2.8710969999999999E-2</v>
      </c>
      <c r="Z2929">
        <v>1.201492E-2</v>
      </c>
      <c r="AA2929">
        <v>0.9995155</v>
      </c>
      <c r="AB2929">
        <v>16</v>
      </c>
      <c r="AC2929">
        <v>0.585500000000024</v>
      </c>
      <c r="AD2929">
        <v>-0.15665609999999899</v>
      </c>
      <c r="AE2929">
        <v>-6.58000000000242E-2</v>
      </c>
      <c r="AF2929">
        <v>2.1812520113787301E-2</v>
      </c>
      <c r="AG2929">
        <v>-0.15665609999999899</v>
      </c>
      <c r="AH2929">
        <v>0.54985089688879496</v>
      </c>
      <c r="AI2929">
        <v>105.89073077149899</v>
      </c>
      <c r="AJ2929">
        <v>87.728274367813498</v>
      </c>
      <c r="AK2929">
        <v>0.57214764572646504</v>
      </c>
      <c r="AL2929">
        <v>89.876028398162305</v>
      </c>
      <c r="AM2929">
        <v>88.0508606100924</v>
      </c>
      <c r="AN2929">
        <v>1.0000000264602</v>
      </c>
    </row>
    <row r="2930" spans="1:40" x14ac:dyDescent="0.25">
      <c r="A2930" t="str">
        <f>"20190312161018121"</f>
        <v>20190312161018121</v>
      </c>
      <c r="B2930" t="str">
        <f>"1552378218118771"</f>
        <v>1552378218118771</v>
      </c>
      <c r="C2930" t="s">
        <v>40</v>
      </c>
      <c r="D2930">
        <v>5.8303529999999997</v>
      </c>
      <c r="E2930">
        <v>0.50660369999999999</v>
      </c>
      <c r="F2930" t="s">
        <v>74</v>
      </c>
      <c r="G2930">
        <v>-432.80560000000003</v>
      </c>
      <c r="H2930">
        <v>8.0001269999999999E-2</v>
      </c>
      <c r="I2930">
        <v>208.8321</v>
      </c>
      <c r="J2930">
        <v>-459.86349999999999</v>
      </c>
      <c r="K2930">
        <v>1.1112919999999999</v>
      </c>
      <c r="L2930">
        <v>212.1405</v>
      </c>
      <c r="M2930">
        <v>0.99743899999999996</v>
      </c>
      <c r="N2930">
        <v>0</v>
      </c>
      <c r="O2930">
        <v>-7.015354E-2</v>
      </c>
      <c r="P2930">
        <v>0.99451440000000002</v>
      </c>
      <c r="Q2930">
        <v>-1.137762E-2</v>
      </c>
      <c r="R2930">
        <v>-0.1039803</v>
      </c>
      <c r="S2930">
        <v>2.9771420000000002</v>
      </c>
      <c r="T2930">
        <v>-0.1127716</v>
      </c>
      <c r="U2930">
        <v>-0.36283870000000001</v>
      </c>
      <c r="V2930">
        <v>3.3943269999999998E-2</v>
      </c>
      <c r="W2930">
        <v>2.6114599999999999E-3</v>
      </c>
      <c r="X2930">
        <v>0.99942030000000004</v>
      </c>
      <c r="Y2930">
        <v>5.1049940000000002E-2</v>
      </c>
      <c r="Z2930">
        <v>1.6794760000000001E-3</v>
      </c>
      <c r="AA2930">
        <v>0.99869470000000005</v>
      </c>
      <c r="AB2930">
        <v>16</v>
      </c>
      <c r="AC2930">
        <v>27.057899999999901</v>
      </c>
      <c r="AD2930">
        <v>-1.03129073</v>
      </c>
      <c r="AE2930">
        <v>-3.3083999999999998</v>
      </c>
      <c r="AF2930">
        <v>1.3998520476801899</v>
      </c>
      <c r="AG2930">
        <v>-1.03129073</v>
      </c>
      <c r="AH2930">
        <v>27.1844314669944</v>
      </c>
      <c r="AI2930">
        <v>92.1697054490932</v>
      </c>
      <c r="AJ2930">
        <v>87.052179174268502</v>
      </c>
      <c r="AK2930">
        <v>27.239979084222799</v>
      </c>
      <c r="AL2930">
        <v>89.850374186184595</v>
      </c>
      <c r="AM2930">
        <v>88.054813511054803</v>
      </c>
      <c r="AN2930">
        <v>0.99999995067685599</v>
      </c>
    </row>
    <row r="2931" spans="1:40" x14ac:dyDescent="0.25">
      <c r="A2931" t="str">
        <f>"20190312161018143"</f>
        <v>20190312161018143</v>
      </c>
      <c r="B2931" t="str">
        <f>"1552378218139269"</f>
        <v>1552378218139269</v>
      </c>
      <c r="C2931" t="s">
        <v>40</v>
      </c>
      <c r="D2931">
        <v>5.3346910000000003</v>
      </c>
      <c r="E2931">
        <v>0.50610069999999996</v>
      </c>
      <c r="F2931" t="s">
        <v>61</v>
      </c>
      <c r="G2931">
        <v>-440.22680000000003</v>
      </c>
      <c r="H2931" s="1">
        <v>-1.205349E-6</v>
      </c>
      <c r="I2931">
        <v>209.7955</v>
      </c>
      <c r="J2931">
        <v>-459.71039999999999</v>
      </c>
      <c r="K2931">
        <v>1.111286</v>
      </c>
      <c r="L2931">
        <v>212.13200000000001</v>
      </c>
      <c r="M2931">
        <v>0.99756809999999996</v>
      </c>
      <c r="N2931">
        <v>0</v>
      </c>
      <c r="O2931">
        <v>-6.8293870000000007E-2</v>
      </c>
      <c r="P2931">
        <v>0.99471270000000001</v>
      </c>
      <c r="Q2931">
        <v>-1.148616E-2</v>
      </c>
      <c r="R2931">
        <v>-0.1020527</v>
      </c>
      <c r="S2931">
        <v>2.9774479999999999</v>
      </c>
      <c r="T2931">
        <v>-0.16850209999999999</v>
      </c>
      <c r="U2931">
        <v>-0.35557559999999999</v>
      </c>
      <c r="V2931">
        <v>3.3870020000000001E-2</v>
      </c>
      <c r="W2931">
        <v>2.4984489999999998E-3</v>
      </c>
      <c r="X2931">
        <v>0.99942310000000001</v>
      </c>
      <c r="Y2931">
        <v>5.0512729999999999E-2</v>
      </c>
      <c r="Z2931">
        <v>2.4192939999999998E-3</v>
      </c>
      <c r="AA2931">
        <v>0.99872050000000001</v>
      </c>
      <c r="AB2931">
        <v>16</v>
      </c>
      <c r="AC2931">
        <v>19.4835999999999</v>
      </c>
      <c r="AD2931">
        <v>-1.1112872053489999</v>
      </c>
      <c r="AE2931">
        <v>-2.3365</v>
      </c>
      <c r="AF2931">
        <v>0.997106546429123</v>
      </c>
      <c r="AG2931">
        <v>-1.1112872053489999</v>
      </c>
      <c r="AH2931">
        <v>19.535035002841401</v>
      </c>
      <c r="AI2931">
        <v>93.251645203500999</v>
      </c>
      <c r="AJ2931">
        <v>87.078046648750799</v>
      </c>
      <c r="AK2931">
        <v>19.5920078930145</v>
      </c>
      <c r="AL2931">
        <v>89.856849264699207</v>
      </c>
      <c r="AM2931">
        <v>88.059013467147906</v>
      </c>
      <c r="AN2931">
        <v>0.99999997665790696</v>
      </c>
    </row>
    <row r="2932" spans="1:40" x14ac:dyDescent="0.25">
      <c r="A2932" t="str">
        <f>"20190312161018170"</f>
        <v>20190312161018170</v>
      </c>
      <c r="B2932" t="str">
        <f>"1552378218158787"</f>
        <v>1552378218158787</v>
      </c>
      <c r="C2932" t="s">
        <v>40</v>
      </c>
      <c r="D2932">
        <v>5.3274900000000001</v>
      </c>
      <c r="E2932">
        <v>0.50453499999999996</v>
      </c>
      <c r="F2932" t="s">
        <v>74</v>
      </c>
      <c r="G2932">
        <v>-435.31639999999999</v>
      </c>
      <c r="H2932">
        <v>8.0001420000000004E-2</v>
      </c>
      <c r="I2932">
        <v>209.27670000000001</v>
      </c>
      <c r="J2932">
        <v>-459.51780000000002</v>
      </c>
      <c r="K2932">
        <v>1.111275</v>
      </c>
      <c r="L2932">
        <v>212.1217</v>
      </c>
      <c r="M2932">
        <v>0.99772570000000005</v>
      </c>
      <c r="N2932">
        <v>0</v>
      </c>
      <c r="O2932">
        <v>-6.5952150000000001E-2</v>
      </c>
      <c r="P2932">
        <v>0.99496079999999998</v>
      </c>
      <c r="Q2932">
        <v>-1.203079E-2</v>
      </c>
      <c r="R2932">
        <v>-9.9541279999999996E-2</v>
      </c>
      <c r="S2932">
        <v>2.978729</v>
      </c>
      <c r="T2932">
        <v>-0.12592909999999999</v>
      </c>
      <c r="U2932">
        <v>-0.34866329999999901</v>
      </c>
      <c r="V2932">
        <v>3.3694479999999999E-2</v>
      </c>
      <c r="W2932">
        <v>1.948181E-3</v>
      </c>
      <c r="X2932">
        <v>0.99943029999999999</v>
      </c>
      <c r="Y2932">
        <v>5.05064E-2</v>
      </c>
      <c r="Z2932">
        <v>1.710072E-3</v>
      </c>
      <c r="AA2932">
        <v>0.99872229999999995</v>
      </c>
      <c r="AB2932">
        <v>16</v>
      </c>
      <c r="AC2932">
        <v>24.2014</v>
      </c>
      <c r="AD2932">
        <v>-1.0312735799999999</v>
      </c>
      <c r="AE2932">
        <v>-2.84499999999999</v>
      </c>
      <c r="AF2932">
        <v>1.24029420109056</v>
      </c>
      <c r="AG2932">
        <v>-1.0312735799999999</v>
      </c>
      <c r="AH2932">
        <v>24.292840667710799</v>
      </c>
      <c r="AI2932">
        <v>92.427688223441393</v>
      </c>
      <c r="AJ2932">
        <v>87.077247037120401</v>
      </c>
      <c r="AK2932">
        <v>24.346333658455599</v>
      </c>
      <c r="AL2932">
        <v>89.888377382481394</v>
      </c>
      <c r="AM2932">
        <v>88.069079388996997</v>
      </c>
      <c r="AN2932">
        <v>1.0000000189748799</v>
      </c>
    </row>
    <row r="2933" spans="1:40" x14ac:dyDescent="0.25">
      <c r="A2933" t="str">
        <f>"20190312161018232"</f>
        <v>20190312161018232</v>
      </c>
      <c r="B2933" t="str">
        <f>"1552378218229060"</f>
        <v>1552378218229060</v>
      </c>
      <c r="C2933" t="s">
        <v>40</v>
      </c>
      <c r="D2933">
        <v>5.2884229999999999</v>
      </c>
      <c r="E2933">
        <v>0.50583159999999905</v>
      </c>
      <c r="F2933" t="s">
        <v>74</v>
      </c>
      <c r="G2933">
        <v>-423.98160000000001</v>
      </c>
      <c r="H2933" s="1">
        <v>4.0773209999999999E-6</v>
      </c>
      <c r="I2933">
        <v>208.17420000000001</v>
      </c>
      <c r="J2933">
        <v>-459.07159999999999</v>
      </c>
      <c r="K2933">
        <v>1.1112789999999999</v>
      </c>
      <c r="L2933">
        <v>212.09960000000001</v>
      </c>
      <c r="M2933">
        <v>0.99806980000000001</v>
      </c>
      <c r="N2933">
        <v>0</v>
      </c>
      <c r="O2933">
        <v>-6.0525919999999997E-2</v>
      </c>
      <c r="P2933">
        <v>0.99554089999999995</v>
      </c>
      <c r="Q2933">
        <v>-1.152598E-2</v>
      </c>
      <c r="R2933">
        <v>-9.3624260000000001E-2</v>
      </c>
      <c r="S2933">
        <v>2.980896</v>
      </c>
      <c r="T2933">
        <v>-9.3217369999999994E-2</v>
      </c>
      <c r="U2933">
        <v>-0.33113100000000001</v>
      </c>
      <c r="V2933">
        <v>3.3185859999999998E-2</v>
      </c>
      <c r="W2933">
        <v>2.4350299999999999E-3</v>
      </c>
      <c r="X2933">
        <v>0.99944619999999995</v>
      </c>
      <c r="Y2933">
        <v>5.0046130000000001E-2</v>
      </c>
      <c r="Z2933">
        <v>1.1042980000000001E-3</v>
      </c>
      <c r="AA2933">
        <v>0.99874629999999998</v>
      </c>
      <c r="AB2933">
        <v>16</v>
      </c>
      <c r="AC2933">
        <v>35.089999999999897</v>
      </c>
      <c r="AD2933">
        <v>-1.111274922679</v>
      </c>
      <c r="AE2933">
        <v>-3.92539999999999</v>
      </c>
      <c r="AF2933">
        <v>1.7923666371381</v>
      </c>
      <c r="AG2933">
        <v>-1.111274922679</v>
      </c>
      <c r="AH2933">
        <v>35.228370499145399</v>
      </c>
      <c r="AI2933">
        <v>91.804457204819897</v>
      </c>
      <c r="AJ2933">
        <v>87.087388184648503</v>
      </c>
      <c r="AK2933">
        <v>35.291438028801799</v>
      </c>
      <c r="AL2933">
        <v>89.860482915768202</v>
      </c>
      <c r="AM2933">
        <v>88.098235405455995</v>
      </c>
      <c r="AN2933">
        <v>0.99999996868473895</v>
      </c>
    </row>
    <row r="2934" spans="1:40" x14ac:dyDescent="0.25">
      <c r="A2934" t="str">
        <f>"20190312161018256"</f>
        <v>20190312161018256</v>
      </c>
      <c r="B2934" t="str">
        <f>"1552378218248579"</f>
        <v>1552378218248579</v>
      </c>
      <c r="C2934" t="s">
        <v>40</v>
      </c>
      <c r="D2934">
        <v>5.268605</v>
      </c>
      <c r="E2934">
        <v>0.50670519999999997</v>
      </c>
      <c r="F2934" t="s">
        <v>74</v>
      </c>
      <c r="G2934">
        <v>-431.76280000000003</v>
      </c>
      <c r="H2934">
        <v>8.0001009999999997E-2</v>
      </c>
      <c r="I2934">
        <v>209.14779999999999</v>
      </c>
      <c r="J2934">
        <v>-458.90499999999997</v>
      </c>
      <c r="K2934">
        <v>1.1112770000000001</v>
      </c>
      <c r="L2934">
        <v>212.09190000000001</v>
      </c>
      <c r="M2934">
        <v>0.99819089999999999</v>
      </c>
      <c r="N2934">
        <v>0</v>
      </c>
      <c r="O2934">
        <v>-5.8498109999999999E-2</v>
      </c>
      <c r="P2934">
        <v>0.99574169999999995</v>
      </c>
      <c r="Q2934">
        <v>-1.0629609999999999E-2</v>
      </c>
      <c r="R2934">
        <v>-9.1572870000000001E-2</v>
      </c>
      <c r="S2934">
        <v>2.9818120000000001</v>
      </c>
      <c r="T2934">
        <v>-0.1126038</v>
      </c>
      <c r="U2934">
        <v>-0.32229609999999997</v>
      </c>
      <c r="V2934">
        <v>3.3154830000000003E-2</v>
      </c>
      <c r="W2934">
        <v>3.3157450000000002E-3</v>
      </c>
      <c r="X2934">
        <v>0.99944469999999996</v>
      </c>
      <c r="Y2934">
        <v>4.9118990000000001E-2</v>
      </c>
      <c r="Z2934">
        <v>1.275006E-3</v>
      </c>
      <c r="AA2934">
        <v>0.99879209999999996</v>
      </c>
      <c r="AB2934">
        <v>16</v>
      </c>
      <c r="AC2934">
        <v>27.1421999999999</v>
      </c>
      <c r="AD2934">
        <v>-1.0312759899999999</v>
      </c>
      <c r="AE2934">
        <v>-2.9441000000000201</v>
      </c>
      <c r="AF2934">
        <v>1.34921162054778</v>
      </c>
      <c r="AG2934">
        <v>-1.0312759899999999</v>
      </c>
      <c r="AH2934">
        <v>27.229099455946901</v>
      </c>
      <c r="AI2934">
        <v>92.166330659571997</v>
      </c>
      <c r="AJ2934">
        <v>87.163293703093899</v>
      </c>
      <c r="AK2934">
        <v>27.282004313217499</v>
      </c>
      <c r="AL2934">
        <v>89.810021452249799</v>
      </c>
      <c r="AM2934">
        <v>88.100009471901501</v>
      </c>
      <c r="AN2934">
        <v>0.99999997263766105</v>
      </c>
    </row>
    <row r="2935" spans="1:40" x14ac:dyDescent="0.25">
      <c r="A2935" t="str">
        <f>"20190312161018276"</f>
        <v>20190312161018276</v>
      </c>
      <c r="B2935" t="str">
        <f>"1552378218269075"</f>
        <v>1552378218269075</v>
      </c>
      <c r="C2935" t="s">
        <v>40</v>
      </c>
      <c r="D2935">
        <v>5.2400580000000003</v>
      </c>
      <c r="E2935">
        <v>0.50697530000000002</v>
      </c>
      <c r="F2935" t="s">
        <v>74</v>
      </c>
      <c r="G2935">
        <v>-433.2371</v>
      </c>
      <c r="H2935">
        <v>8.0001219999999998E-2</v>
      </c>
      <c r="I2935">
        <v>209.31489999999999</v>
      </c>
      <c r="J2935">
        <v>-458.75549999999998</v>
      </c>
      <c r="K2935">
        <v>1.111273</v>
      </c>
      <c r="L2935">
        <v>212.08529999999999</v>
      </c>
      <c r="M2935">
        <v>0.99829630000000003</v>
      </c>
      <c r="N2935">
        <v>0</v>
      </c>
      <c r="O2935">
        <v>-5.6678270000000003E-2</v>
      </c>
      <c r="P2935">
        <v>0.99595829999999996</v>
      </c>
      <c r="Q2935">
        <v>-1.00997E-2</v>
      </c>
      <c r="R2935">
        <v>-8.9250449999999995E-2</v>
      </c>
      <c r="S2935">
        <v>2.9818419999999999</v>
      </c>
      <c r="T2935">
        <v>-0.1198032</v>
      </c>
      <c r="U2935">
        <v>-0.32260129999999998</v>
      </c>
      <c r="V2935">
        <v>3.2644720000000002E-2</v>
      </c>
      <c r="W2935">
        <v>3.8250039999999999E-3</v>
      </c>
      <c r="X2935">
        <v>0.99945969999999995</v>
      </c>
      <c r="Y2935">
        <v>5.1037609999999997E-2</v>
      </c>
      <c r="Z2935">
        <v>1.245344E-3</v>
      </c>
      <c r="AA2935">
        <v>0.99869600000000003</v>
      </c>
      <c r="AB2935">
        <v>16</v>
      </c>
      <c r="AC2935">
        <v>25.5183999999999</v>
      </c>
      <c r="AD2935">
        <v>-1.03127178</v>
      </c>
      <c r="AE2935">
        <v>-2.7703999999999902</v>
      </c>
      <c r="AF2935">
        <v>1.31734160655456</v>
      </c>
      <c r="AG2935">
        <v>-1.03127178</v>
      </c>
      <c r="AH2935">
        <v>25.593095981342799</v>
      </c>
      <c r="AI2935">
        <v>92.304433183799404</v>
      </c>
      <c r="AJ2935">
        <v>87.053441199386697</v>
      </c>
      <c r="AK2935">
        <v>25.6477186568866</v>
      </c>
      <c r="AL2935">
        <v>89.780842879810507</v>
      </c>
      <c r="AM2935">
        <v>88.129249263326699</v>
      </c>
      <c r="AN2935">
        <v>1.0000000001617799</v>
      </c>
    </row>
    <row r="2936" spans="1:40" x14ac:dyDescent="0.25">
      <c r="A2936" t="str">
        <f>"20190312161018299"</f>
        <v>20190312161018299</v>
      </c>
      <c r="B2936" t="str">
        <f>"1552378218288595"</f>
        <v>1552378218288595</v>
      </c>
      <c r="C2936" t="s">
        <v>40</v>
      </c>
      <c r="D2936">
        <v>5.2613510000000003</v>
      </c>
      <c r="E2936">
        <v>0.50661339999999999</v>
      </c>
      <c r="F2936" t="s">
        <v>74</v>
      </c>
      <c r="G2936">
        <v>-433.30579999999998</v>
      </c>
      <c r="H2936">
        <v>8.0001260000000005E-2</v>
      </c>
      <c r="I2936">
        <v>209.3768</v>
      </c>
      <c r="J2936">
        <v>-458.60169999999999</v>
      </c>
      <c r="K2936">
        <v>1.111267</v>
      </c>
      <c r="L2936">
        <v>212.0788</v>
      </c>
      <c r="M2936">
        <v>0.99840090000000004</v>
      </c>
      <c r="N2936">
        <v>0</v>
      </c>
      <c r="O2936">
        <v>-5.4808000000000003E-2</v>
      </c>
      <c r="P2936">
        <v>0.99612489999999998</v>
      </c>
      <c r="Q2936">
        <v>-9.9198450000000001E-3</v>
      </c>
      <c r="R2936">
        <v>-8.7390419999999996E-2</v>
      </c>
      <c r="S2936">
        <v>2.9824830000000002</v>
      </c>
      <c r="T2936">
        <v>-0.12085600000000001</v>
      </c>
      <c r="U2936">
        <v>-0.31741329999999901</v>
      </c>
      <c r="V2936">
        <v>3.2650390000000001E-2</v>
      </c>
      <c r="W2936">
        <v>3.9828349999999997E-3</v>
      </c>
      <c r="X2936">
        <v>0.99945890000000004</v>
      </c>
      <c r="Y2936">
        <v>5.1166610000000001E-2</v>
      </c>
      <c r="Z2936">
        <v>1.178199E-3</v>
      </c>
      <c r="AA2936">
        <v>0.99868939999999995</v>
      </c>
      <c r="AB2936">
        <v>16</v>
      </c>
      <c r="AC2936">
        <v>25.2959</v>
      </c>
      <c r="AD2936">
        <v>-1.03126574</v>
      </c>
      <c r="AE2936">
        <v>-2.7019999999999902</v>
      </c>
      <c r="AF2936">
        <v>1.30923581189422</v>
      </c>
      <c r="AG2936">
        <v>-1.03126574</v>
      </c>
      <c r="AH2936">
        <v>25.364295295523899</v>
      </c>
      <c r="AI2936">
        <v>92.325166911028305</v>
      </c>
      <c r="AJ2936">
        <v>87.045170342758595</v>
      </c>
      <c r="AK2936">
        <v>25.418990603015299</v>
      </c>
      <c r="AL2936">
        <v>89.771799761103495</v>
      </c>
      <c r="AM2936">
        <v>88.128923070485996</v>
      </c>
      <c r="AN2936">
        <v>1.00000000186549</v>
      </c>
    </row>
    <row r="2937" spans="1:40" x14ac:dyDescent="0.25">
      <c r="A2937" t="str">
        <f>"20190312161018320"</f>
        <v>20190312161018320</v>
      </c>
      <c r="B2937" t="str">
        <f>"1552378218309091"</f>
        <v>1552378218309091</v>
      </c>
      <c r="C2937" t="s">
        <v>40</v>
      </c>
      <c r="D2937">
        <v>5.5295339999999999</v>
      </c>
      <c r="E2937">
        <v>0.45032499999999998</v>
      </c>
      <c r="F2937" t="s">
        <v>74</v>
      </c>
      <c r="G2937">
        <v>-433.32260000000002</v>
      </c>
      <c r="H2937">
        <v>8.0001290000000003E-2</v>
      </c>
      <c r="I2937">
        <v>209.4605</v>
      </c>
      <c r="J2937">
        <v>-458.4513</v>
      </c>
      <c r="K2937">
        <v>1.111262</v>
      </c>
      <c r="L2937">
        <v>212.0728</v>
      </c>
      <c r="M2937">
        <v>0.99850000000000005</v>
      </c>
      <c r="N2937">
        <v>0</v>
      </c>
      <c r="O2937">
        <v>-5.2978369999999997E-2</v>
      </c>
      <c r="P2937">
        <v>0.99626680000000001</v>
      </c>
      <c r="Q2937">
        <v>-1.058889E-2</v>
      </c>
      <c r="R2937">
        <v>-8.5677199999999995E-2</v>
      </c>
      <c r="S2937">
        <v>2.9833370000000001</v>
      </c>
      <c r="T2937">
        <v>-0.1217058</v>
      </c>
      <c r="U2937">
        <v>-0.30900569999999999</v>
      </c>
      <c r="V2937">
        <v>3.2764630000000003E-2</v>
      </c>
      <c r="W2937">
        <v>3.29095E-3</v>
      </c>
      <c r="X2937">
        <v>0.9994577</v>
      </c>
      <c r="Y2937">
        <v>5.01821E-2</v>
      </c>
      <c r="Z2937">
        <v>1.132142E-3</v>
      </c>
      <c r="AA2937">
        <v>0.99873940000000005</v>
      </c>
      <c r="AB2937">
        <v>16</v>
      </c>
      <c r="AC2937">
        <v>25.128699999999899</v>
      </c>
      <c r="AD2937">
        <v>-1.03126071</v>
      </c>
      <c r="AE2937">
        <v>-2.6122999999999998</v>
      </c>
      <c r="AF2937">
        <v>1.2751014103056699</v>
      </c>
      <c r="AG2937">
        <v>-1.03126071</v>
      </c>
      <c r="AH2937">
        <v>25.189841172719898</v>
      </c>
      <c r="AI2937">
        <v>92.341359716625902</v>
      </c>
      <c r="AJ2937">
        <v>87.102180021506101</v>
      </c>
      <c r="AK2937">
        <v>25.243167007438</v>
      </c>
      <c r="AL2937">
        <v>89.811442118334497</v>
      </c>
      <c r="AM2937">
        <v>88.122378810315297</v>
      </c>
      <c r="AN2937">
        <v>1.00000002271011</v>
      </c>
    </row>
    <row r="2938" spans="1:40" x14ac:dyDescent="0.25">
      <c r="A2938" t="str">
        <f>"20190312161018345"</f>
        <v>20190312161018345</v>
      </c>
      <c r="B2938" t="str">
        <f>"1552378218339346"</f>
        <v>1552378218339346</v>
      </c>
      <c r="C2938" t="s">
        <v>40</v>
      </c>
      <c r="D2938">
        <v>5.4696949999999998</v>
      </c>
      <c r="E2938">
        <v>0.39216380000000001</v>
      </c>
      <c r="F2938" t="s">
        <v>74</v>
      </c>
      <c r="G2938">
        <v>-429.69170000000003</v>
      </c>
      <c r="H2938" s="1">
        <v>2.3481489999999999E-6</v>
      </c>
      <c r="I2938">
        <v>213.4417</v>
      </c>
      <c r="J2938">
        <v>-458.2833</v>
      </c>
      <c r="K2938">
        <v>1.111253</v>
      </c>
      <c r="L2938">
        <v>212.06630000000001</v>
      </c>
      <c r="M2938">
        <v>0.99860689999999996</v>
      </c>
      <c r="N2938">
        <v>0</v>
      </c>
      <c r="O2938">
        <v>-5.0932470000000001E-2</v>
      </c>
      <c r="P2938">
        <v>0.99641539999999995</v>
      </c>
      <c r="Q2938">
        <v>-1.106912E-2</v>
      </c>
      <c r="R2938">
        <v>-8.3868180000000001E-2</v>
      </c>
      <c r="S2938">
        <v>3.0224000000000002</v>
      </c>
      <c r="T2938">
        <v>-0.11678429999999999</v>
      </c>
      <c r="U2938">
        <v>0.14385990000000001</v>
      </c>
      <c r="V2938">
        <v>3.2999199999999999E-2</v>
      </c>
      <c r="W2938">
        <v>2.777875E-3</v>
      </c>
      <c r="X2938">
        <v>0.99945150000000005</v>
      </c>
      <c r="Y2938">
        <v>-9.8250950000000004E-2</v>
      </c>
      <c r="Z2938">
        <v>3.8627169999999999E-3</v>
      </c>
      <c r="AA2938">
        <v>0.99515419999999999</v>
      </c>
      <c r="AB2938">
        <v>16</v>
      </c>
      <c r="AC2938">
        <v>28.5915999999999</v>
      </c>
      <c r="AD2938">
        <v>-1.1112506518509999</v>
      </c>
      <c r="AE2938">
        <v>1.37539999999998</v>
      </c>
      <c r="AF2938">
        <v>-2.8257351262525199</v>
      </c>
      <c r="AG2938">
        <v>-1.1112506518509999</v>
      </c>
      <c r="AH2938">
        <v>28.441560308204501</v>
      </c>
      <c r="AI2938">
        <v>92.226535514496803</v>
      </c>
      <c r="AJ2938">
        <v>95.673849124661899</v>
      </c>
      <c r="AK2938">
        <v>28.603181812172799</v>
      </c>
      <c r="AL2938">
        <v>89.840839278974499</v>
      </c>
      <c r="AM2938">
        <v>88.108934463920306</v>
      </c>
      <c r="AN2938">
        <v>0.99999998232120202</v>
      </c>
    </row>
    <row r="2939" spans="1:40" x14ac:dyDescent="0.25">
      <c r="A2939" t="str">
        <f>"20190312161018369"</f>
        <v>20190312161018369</v>
      </c>
      <c r="B2939" t="str">
        <f>"1552378218358867"</f>
        <v>1552378218358867</v>
      </c>
      <c r="C2939" t="s">
        <v>40</v>
      </c>
      <c r="D2939">
        <v>5.4518459999999997</v>
      </c>
      <c r="E2939">
        <v>0.39189230000000003</v>
      </c>
      <c r="F2939" t="s">
        <v>74</v>
      </c>
      <c r="G2939">
        <v>-417.17669999999998</v>
      </c>
      <c r="H2939" s="1">
        <v>2.9279470000000002E-6</v>
      </c>
      <c r="I2939">
        <v>220.262</v>
      </c>
      <c r="J2939">
        <v>-458.11189999999999</v>
      </c>
      <c r="K2939">
        <v>1.1112299999999999</v>
      </c>
      <c r="L2939">
        <v>212.06010000000001</v>
      </c>
      <c r="M2939">
        <v>0.99871209999999999</v>
      </c>
      <c r="N2939">
        <v>0</v>
      </c>
      <c r="O2939">
        <v>-4.884235E-2</v>
      </c>
      <c r="P2939">
        <v>0.99652050000000003</v>
      </c>
      <c r="Q2939">
        <v>-1.108049E-2</v>
      </c>
      <c r="R2939">
        <v>-8.2609829999999995E-2</v>
      </c>
      <c r="S2939">
        <v>3.0612180000000002</v>
      </c>
      <c r="T2939">
        <v>-8.2755090000000003E-2</v>
      </c>
      <c r="U2939">
        <v>0.61033630000000005</v>
      </c>
      <c r="V2939">
        <v>3.3828940000000002E-2</v>
      </c>
      <c r="W2939">
        <v>2.7168399999999999E-3</v>
      </c>
      <c r="X2939">
        <v>0.99942390000000003</v>
      </c>
      <c r="Y2939">
        <v>-0.24309649999999999</v>
      </c>
      <c r="Z2939">
        <v>4.5618489999999998E-3</v>
      </c>
      <c r="AA2939">
        <v>0.96999139999999995</v>
      </c>
      <c r="AB2939">
        <v>16</v>
      </c>
      <c r="AC2939">
        <v>40.935200000000002</v>
      </c>
      <c r="AD2939">
        <v>-1.111227072053</v>
      </c>
      <c r="AE2939">
        <v>8.2018999999999895</v>
      </c>
      <c r="AF2939">
        <v>-10.184453767441299</v>
      </c>
      <c r="AG2939">
        <v>-1.111227072053</v>
      </c>
      <c r="AH2939">
        <v>40.457034430478402</v>
      </c>
      <c r="AI2939">
        <v>91.525760665429104</v>
      </c>
      <c r="AJ2939">
        <v>104.12976878006999</v>
      </c>
      <c r="AK2939">
        <v>41.734033582386097</v>
      </c>
      <c r="AL2939">
        <v>89.844336335907201</v>
      </c>
      <c r="AM2939">
        <v>88.061367388597503</v>
      </c>
      <c r="AN2939">
        <v>0.99999995514615803</v>
      </c>
    </row>
    <row r="2940" spans="1:40" x14ac:dyDescent="0.25">
      <c r="A2940" t="str">
        <f>"20190312161018391"</f>
        <v>20190312161018391</v>
      </c>
      <c r="B2940" t="str">
        <f>"1552378218379362"</f>
        <v>1552378218379362</v>
      </c>
      <c r="C2940" t="s">
        <v>40</v>
      </c>
      <c r="D2940">
        <v>5.4558839999999904</v>
      </c>
      <c r="E2940">
        <v>0.39186130000000002</v>
      </c>
      <c r="F2940" t="s">
        <v>74</v>
      </c>
      <c r="G2940">
        <v>-417.50839999999999</v>
      </c>
      <c r="H2940" s="1">
        <v>2.9914339999999999E-6</v>
      </c>
      <c r="I2940">
        <v>220.23560000000001</v>
      </c>
      <c r="J2940">
        <v>-457.95979999999997</v>
      </c>
      <c r="K2940">
        <v>1.1112200000000001</v>
      </c>
      <c r="L2940">
        <v>212.0549</v>
      </c>
      <c r="M2940">
        <v>0.99880159999999996</v>
      </c>
      <c r="N2940">
        <v>0</v>
      </c>
      <c r="O2940">
        <v>-4.6987979999999999E-2</v>
      </c>
      <c r="P2940">
        <v>0.99664750000000002</v>
      </c>
      <c r="Q2940">
        <v>-1.084165E-2</v>
      </c>
      <c r="R2940">
        <v>-8.1095230000000004E-2</v>
      </c>
      <c r="S2940">
        <v>3.060638</v>
      </c>
      <c r="T2940">
        <v>-8.3762879999999998E-2</v>
      </c>
      <c r="U2940">
        <v>0.61625669999999899</v>
      </c>
      <c r="V2940">
        <v>3.416516E-2</v>
      </c>
      <c r="W2940">
        <v>2.9051900000000002E-3</v>
      </c>
      <c r="X2940">
        <v>0.99941199999999997</v>
      </c>
      <c r="Y2940">
        <v>-0.24313280000000001</v>
      </c>
      <c r="Z2940">
        <v>4.5675619999999998E-3</v>
      </c>
      <c r="AA2940">
        <v>0.96998229999999996</v>
      </c>
      <c r="AB2940">
        <v>16</v>
      </c>
      <c r="AC2940">
        <v>40.4513999999999</v>
      </c>
      <c r="AD2940">
        <v>-1.111217008566</v>
      </c>
      <c r="AE2940">
        <v>8.1806999999999999</v>
      </c>
      <c r="AF2940">
        <v>-10.065273084418701</v>
      </c>
      <c r="AG2940">
        <v>-1.111217008566</v>
      </c>
      <c r="AH2940">
        <v>39.993286545498002</v>
      </c>
      <c r="AI2940">
        <v>91.543452632697097</v>
      </c>
      <c r="AJ2940">
        <v>104.126482656222</v>
      </c>
      <c r="AK2940">
        <v>41.2553935166587</v>
      </c>
      <c r="AL2940">
        <v>89.833544643829597</v>
      </c>
      <c r="AM2940">
        <v>88.042091281061303</v>
      </c>
      <c r="AN2940">
        <v>1.00000002201538</v>
      </c>
    </row>
    <row r="2941" spans="1:40" x14ac:dyDescent="0.25">
      <c r="A2941" t="str">
        <f>"20190312161018411"</f>
        <v>20190312161018411</v>
      </c>
      <c r="B2941" t="str">
        <f>"1552378218408643"</f>
        <v>1552378218408643</v>
      </c>
      <c r="C2941" t="s">
        <v>40</v>
      </c>
      <c r="D2941">
        <v>5.4934629999999904</v>
      </c>
      <c r="E2941">
        <v>0.39288830000000002</v>
      </c>
      <c r="F2941" t="s">
        <v>74</v>
      </c>
      <c r="G2941">
        <v>-419.09679999999997</v>
      </c>
      <c r="H2941" s="1">
        <v>3.3234600000000002E-6</v>
      </c>
      <c r="I2941">
        <v>219.9502</v>
      </c>
      <c r="J2941">
        <v>-457.81380000000001</v>
      </c>
      <c r="K2941">
        <v>1.1112089999999999</v>
      </c>
      <c r="L2941">
        <v>212.05019999999999</v>
      </c>
      <c r="M2941">
        <v>0.99888440000000001</v>
      </c>
      <c r="N2941">
        <v>0</v>
      </c>
      <c r="O2941">
        <v>-4.5210640000000003E-2</v>
      </c>
      <c r="P2941">
        <v>0.99677819999999995</v>
      </c>
      <c r="Q2941">
        <v>-1.091865E-2</v>
      </c>
      <c r="R2941">
        <v>-7.946251E-2</v>
      </c>
      <c r="S2941">
        <v>3.0596920000000001</v>
      </c>
      <c r="T2941">
        <v>-8.7486389999999997E-2</v>
      </c>
      <c r="U2941">
        <v>0.62159730000000002</v>
      </c>
      <c r="V2941">
        <v>3.4306660000000003E-2</v>
      </c>
      <c r="W2941">
        <v>2.778352E-3</v>
      </c>
      <c r="X2941">
        <v>0.9994075</v>
      </c>
      <c r="Y2941">
        <v>-0.24308260000000001</v>
      </c>
      <c r="Z2941">
        <v>4.7200769999999996E-3</v>
      </c>
      <c r="AA2941">
        <v>0.96999409999999997</v>
      </c>
      <c r="AB2941">
        <v>16</v>
      </c>
      <c r="AC2941">
        <v>38.716999999999999</v>
      </c>
      <c r="AD2941">
        <v>-1.11120567654</v>
      </c>
      <c r="AE2941">
        <v>7.9</v>
      </c>
      <c r="AF2941">
        <v>-9.6348843494986909</v>
      </c>
      <c r="AG2941">
        <v>-1.11120567654</v>
      </c>
      <c r="AH2941">
        <v>38.289926387844801</v>
      </c>
      <c r="AI2941">
        <v>91.612079454673705</v>
      </c>
      <c r="AJ2941">
        <v>104.124094336943</v>
      </c>
      <c r="AK2941">
        <v>39.499167551612601</v>
      </c>
      <c r="AL2941">
        <v>89.840811952966305</v>
      </c>
      <c r="AM2941">
        <v>88.033979821229295</v>
      </c>
      <c r="AN2941">
        <v>1.0000000086082199</v>
      </c>
    </row>
    <row r="2942" spans="1:40" x14ac:dyDescent="0.25">
      <c r="A2942" t="str">
        <f>"20190312161018434"</f>
        <v>20190312161018434</v>
      </c>
      <c r="B2942" t="str">
        <f>"1552378218429139"</f>
        <v>1552378218429139</v>
      </c>
      <c r="C2942" t="s">
        <v>40</v>
      </c>
      <c r="D2942">
        <v>5.5419739999999997</v>
      </c>
      <c r="E2942">
        <v>0.39335599999999998</v>
      </c>
      <c r="F2942" t="s">
        <v>74</v>
      </c>
      <c r="G2942">
        <v>-417.78550000000001</v>
      </c>
      <c r="H2942" s="1">
        <v>3.056904E-6</v>
      </c>
      <c r="I2942">
        <v>220.1429</v>
      </c>
      <c r="J2942">
        <v>-457.6549</v>
      </c>
      <c r="K2942">
        <v>1.111197</v>
      </c>
      <c r="L2942">
        <v>212.0453</v>
      </c>
      <c r="M2942">
        <v>0.99897060000000004</v>
      </c>
      <c r="N2942">
        <v>0</v>
      </c>
      <c r="O2942">
        <v>-4.3284780000000002E-2</v>
      </c>
      <c r="P2942">
        <v>0.99693430000000005</v>
      </c>
      <c r="Q2942">
        <v>-1.1171550000000001E-2</v>
      </c>
      <c r="R2942">
        <v>-7.7443369999999997E-2</v>
      </c>
      <c r="S2942">
        <v>3.0580750000000001</v>
      </c>
      <c r="T2942">
        <v>-8.4893700000000002E-2</v>
      </c>
      <c r="U2942">
        <v>0.61827089999999996</v>
      </c>
      <c r="V2942">
        <v>3.42101E-2</v>
      </c>
      <c r="W2942">
        <v>2.4679319999999999E-3</v>
      </c>
      <c r="X2942">
        <v>0.99941159999999996</v>
      </c>
      <c r="Y2942">
        <v>-0.2403063</v>
      </c>
      <c r="Z2942">
        <v>4.4919620000000004E-3</v>
      </c>
      <c r="AA2942">
        <v>0.97068670000000001</v>
      </c>
      <c r="AB2942">
        <v>16</v>
      </c>
      <c r="AC2942">
        <v>39.869399999999899</v>
      </c>
      <c r="AD2942">
        <v>-1.1111939430960001</v>
      </c>
      <c r="AE2942">
        <v>8.0975999999999999</v>
      </c>
      <c r="AF2942">
        <v>-9.80858915796329</v>
      </c>
      <c r="AG2942">
        <v>-1.1111939430960001</v>
      </c>
      <c r="AH2942">
        <v>39.452059737859798</v>
      </c>
      <c r="AI2942">
        <v>91.5657082932414</v>
      </c>
      <c r="AJ2942">
        <v>103.96182694132899</v>
      </c>
      <c r="AK2942">
        <v>40.668270073960002</v>
      </c>
      <c r="AL2942">
        <v>89.8585977664615</v>
      </c>
      <c r="AM2942">
        <v>88.039517121059205</v>
      </c>
      <c r="AN2942">
        <v>0.99999998392246303</v>
      </c>
    </row>
    <row r="2943" spans="1:40" x14ac:dyDescent="0.25">
      <c r="A2943" t="str">
        <f>"20190312161018457"</f>
        <v>20190312161018457</v>
      </c>
      <c r="B2943" t="str">
        <f>"1552378218448658"</f>
        <v>1552378218448658</v>
      </c>
      <c r="C2943" t="s">
        <v>40</v>
      </c>
      <c r="D2943">
        <v>5.5686309999999999</v>
      </c>
      <c r="E2943">
        <v>0.3942502</v>
      </c>
      <c r="F2943" t="s">
        <v>74</v>
      </c>
      <c r="G2943">
        <v>-419.66309999999999</v>
      </c>
      <c r="H2943" s="1">
        <v>3.4559919999999998E-6</v>
      </c>
      <c r="I2943">
        <v>219.76580000000001</v>
      </c>
      <c r="J2943">
        <v>-457.49770000000001</v>
      </c>
      <c r="K2943">
        <v>1.1111789999999999</v>
      </c>
      <c r="L2943">
        <v>212.04079999999999</v>
      </c>
      <c r="M2943">
        <v>0.99905169999999999</v>
      </c>
      <c r="N2943">
        <v>0</v>
      </c>
      <c r="O2943">
        <v>-4.1389830000000002E-2</v>
      </c>
      <c r="P2943">
        <v>0.99708370000000002</v>
      </c>
      <c r="Q2943">
        <v>-1.1495409999999999E-2</v>
      </c>
      <c r="R2943">
        <v>-7.5445490000000004E-2</v>
      </c>
      <c r="S2943">
        <v>3.0564879999999999</v>
      </c>
      <c r="T2943">
        <v>-8.9396829999999997E-2</v>
      </c>
      <c r="U2943">
        <v>0.62112429999999996</v>
      </c>
      <c r="V2943">
        <v>3.4104139999999998E-2</v>
      </c>
      <c r="W2943">
        <v>2.0807410000000001E-3</v>
      </c>
      <c r="X2943">
        <v>0.99941610000000003</v>
      </c>
      <c r="Y2943">
        <v>-0.23942289999999999</v>
      </c>
      <c r="Z2943">
        <v>4.6643939999999997E-3</v>
      </c>
      <c r="AA2943">
        <v>0.9709042</v>
      </c>
      <c r="AB2943">
        <v>16</v>
      </c>
      <c r="AC2943">
        <v>37.834600000000002</v>
      </c>
      <c r="AD2943">
        <v>-1.111175544008</v>
      </c>
      <c r="AE2943">
        <v>7.7250000000000201</v>
      </c>
      <c r="AF2943">
        <v>-9.2768081480909199</v>
      </c>
      <c r="AG2943">
        <v>-1.111175544008</v>
      </c>
      <c r="AH2943">
        <v>37.4513958930279</v>
      </c>
      <c r="AI2943">
        <v>91.649630256173396</v>
      </c>
      <c r="AJ2943">
        <v>103.91228836759301</v>
      </c>
      <c r="AK2943">
        <v>38.599234899702203</v>
      </c>
      <c r="AL2943">
        <v>89.880782234196602</v>
      </c>
      <c r="AM2943">
        <v>88.045593461949196</v>
      </c>
      <c r="AN2943">
        <v>0.99999998139372903</v>
      </c>
    </row>
    <row r="2944" spans="1:40" x14ac:dyDescent="0.25">
      <c r="A2944" t="str">
        <f>"20190312161018477"</f>
        <v>20190312161018477</v>
      </c>
      <c r="B2944" t="str">
        <f>"1552378218469155"</f>
        <v>1552378218469155</v>
      </c>
      <c r="C2944" t="s">
        <v>40</v>
      </c>
      <c r="D2944">
        <v>5.5785450000000001</v>
      </c>
      <c r="E2944">
        <v>0.39476600000000001</v>
      </c>
      <c r="F2944" t="s">
        <v>74</v>
      </c>
      <c r="G2944">
        <v>-422.96100000000001</v>
      </c>
      <c r="H2944" s="1">
        <v>3.0510760000000001E-6</v>
      </c>
      <c r="I2944">
        <v>219.05779999999999</v>
      </c>
      <c r="J2944">
        <v>-457.35160000000002</v>
      </c>
      <c r="K2944">
        <v>1.1111599999999999</v>
      </c>
      <c r="L2944">
        <v>212.0369</v>
      </c>
      <c r="M2944">
        <v>0.99912350000000005</v>
      </c>
      <c r="N2944">
        <v>0</v>
      </c>
      <c r="O2944">
        <v>-3.9643459999999998E-2</v>
      </c>
      <c r="P2944">
        <v>0.99722650000000002</v>
      </c>
      <c r="Q2944">
        <v>-1.1559160000000001E-2</v>
      </c>
      <c r="R2944">
        <v>-7.3526220000000003E-2</v>
      </c>
      <c r="S2944">
        <v>3.0545960000000001</v>
      </c>
      <c r="T2944">
        <v>-9.8277929999999999E-2</v>
      </c>
      <c r="U2944">
        <v>0.62062069999999903</v>
      </c>
      <c r="V2944">
        <v>3.3927819999999997E-2</v>
      </c>
      <c r="W2944">
        <v>1.952472E-3</v>
      </c>
      <c r="X2944">
        <v>0.99942240000000004</v>
      </c>
      <c r="Y2944">
        <v>-0.2376665</v>
      </c>
      <c r="Z2944">
        <v>5.0470949999999997E-3</v>
      </c>
      <c r="AA2944">
        <v>0.97133369999999997</v>
      </c>
      <c r="AB2944">
        <v>16</v>
      </c>
      <c r="AC2944">
        <v>34.390599999999999</v>
      </c>
      <c r="AD2944">
        <v>-1.1111569489240001</v>
      </c>
      <c r="AE2944">
        <v>7.0208999999999797</v>
      </c>
      <c r="AF2944">
        <v>-8.3704767468167791</v>
      </c>
      <c r="AG2944">
        <v>-1.1111569489240001</v>
      </c>
      <c r="AH2944">
        <v>34.051077688283399</v>
      </c>
      <c r="AI2944">
        <v>91.815019377658402</v>
      </c>
      <c r="AJ2944">
        <v>103.81067916948901</v>
      </c>
      <c r="AK2944">
        <v>35.082409302493097</v>
      </c>
      <c r="AL2944">
        <v>89.888131526096402</v>
      </c>
      <c r="AM2944">
        <v>88.0557023065289</v>
      </c>
      <c r="AN2944">
        <v>1.0000000213693101</v>
      </c>
    </row>
    <row r="2945" spans="1:40" x14ac:dyDescent="0.25">
      <c r="A2945" t="str">
        <f>"20190312161018500"</f>
        <v>20190312161018500</v>
      </c>
      <c r="B2945" t="str">
        <f>"1552378218488675"</f>
        <v>1552378218488675</v>
      </c>
      <c r="C2945" t="s">
        <v>40</v>
      </c>
      <c r="D2945">
        <v>7.1660779999999997</v>
      </c>
      <c r="E2945">
        <v>0.39505570000000001</v>
      </c>
      <c r="F2945" t="s">
        <v>74</v>
      </c>
      <c r="G2945">
        <v>-423.6275</v>
      </c>
      <c r="H2945" s="1">
        <v>2.945355E-6</v>
      </c>
      <c r="I2945">
        <v>218.91480000000001</v>
      </c>
      <c r="J2945">
        <v>-457.19970000000001</v>
      </c>
      <c r="K2945">
        <v>1.1111249999999999</v>
      </c>
      <c r="L2945">
        <v>212.03299999999999</v>
      </c>
      <c r="M2945">
        <v>0.99919380000000002</v>
      </c>
      <c r="N2945">
        <v>0</v>
      </c>
      <c r="O2945">
        <v>-3.7850519999999999E-2</v>
      </c>
      <c r="P2945">
        <v>0.99734940000000005</v>
      </c>
      <c r="Q2945">
        <v>-1.121603E-2</v>
      </c>
      <c r="R2945">
        <v>-7.1893600000000002E-2</v>
      </c>
      <c r="S2945">
        <v>3.05307</v>
      </c>
      <c r="T2945">
        <v>-0.1005939</v>
      </c>
      <c r="U2945">
        <v>0.62266540000000004</v>
      </c>
      <c r="V2945">
        <v>3.4084620000000003E-2</v>
      </c>
      <c r="W2945">
        <v>2.2256989999999998E-3</v>
      </c>
      <c r="X2945">
        <v>0.99941650000000004</v>
      </c>
      <c r="Y2945">
        <v>-0.2366375</v>
      </c>
      <c r="Z2945">
        <v>5.092844E-3</v>
      </c>
      <c r="AA2945">
        <v>0.97158469999999997</v>
      </c>
      <c r="AB2945">
        <v>16</v>
      </c>
      <c r="AC2945">
        <v>33.572200000000002</v>
      </c>
      <c r="AD2945">
        <v>-1.111122054645</v>
      </c>
      <c r="AE2945">
        <v>6.8818000000000197</v>
      </c>
      <c r="AF2945">
        <v>-8.1391507977665807</v>
      </c>
      <c r="AG2945">
        <v>-1.111122054645</v>
      </c>
      <c r="AH2945">
        <v>33.252679770471197</v>
      </c>
      <c r="AI2945">
        <v>91.858962674282694</v>
      </c>
      <c r="AJ2945">
        <v>103.753693247</v>
      </c>
      <c r="AK2945">
        <v>34.252314956023199</v>
      </c>
      <c r="AL2945">
        <v>89.872476739087801</v>
      </c>
      <c r="AM2945">
        <v>88.046712009314604</v>
      </c>
      <c r="AN2945">
        <v>1.0000000277644101</v>
      </c>
    </row>
    <row r="2946" spans="1:40" x14ac:dyDescent="0.25">
      <c r="A2946" t="str">
        <f>"20190312161018523"</f>
        <v>20190312161018523</v>
      </c>
      <c r="B2946" t="str">
        <f>"1552378218518931"</f>
        <v>1552378218518931</v>
      </c>
      <c r="C2946" t="s">
        <v>40</v>
      </c>
      <c r="D2946">
        <v>5.5466009999999999</v>
      </c>
      <c r="E2946">
        <v>0.39540209999999998</v>
      </c>
      <c r="F2946" t="s">
        <v>74</v>
      </c>
      <c r="G2946">
        <v>-423.06799999999998</v>
      </c>
      <c r="H2946" s="1">
        <v>3.0352409999999998E-6</v>
      </c>
      <c r="I2946">
        <v>219.02189999999999</v>
      </c>
      <c r="J2946">
        <v>-457.036</v>
      </c>
      <c r="K2946">
        <v>1.1110899999999999</v>
      </c>
      <c r="L2946">
        <v>212.0291</v>
      </c>
      <c r="M2946">
        <v>0.99926470000000001</v>
      </c>
      <c r="N2946">
        <v>0</v>
      </c>
      <c r="O2946">
        <v>-3.5955349999999997E-2</v>
      </c>
      <c r="P2946">
        <v>0.9974208</v>
      </c>
      <c r="Q2946">
        <v>-1.1089430000000001E-2</v>
      </c>
      <c r="R2946">
        <v>-7.0913459999999998E-2</v>
      </c>
      <c r="S2946">
        <v>3.0518800000000001</v>
      </c>
      <c r="T2946">
        <v>-9.9350809999999998E-2</v>
      </c>
      <c r="U2946">
        <v>0.62490840000000003</v>
      </c>
      <c r="V2946">
        <v>3.499799E-2</v>
      </c>
      <c r="W2946">
        <v>2.2757670000000002E-3</v>
      </c>
      <c r="X2946">
        <v>0.99938479999999996</v>
      </c>
      <c r="Y2946">
        <v>-0.2355593</v>
      </c>
      <c r="Z2946">
        <v>4.9529980000000001E-3</v>
      </c>
      <c r="AA2946">
        <v>0.97184740000000003</v>
      </c>
      <c r="AB2946">
        <v>16</v>
      </c>
      <c r="AC2946">
        <v>33.967999999999897</v>
      </c>
      <c r="AD2946">
        <v>-1.11108696475899</v>
      </c>
      <c r="AE2946">
        <v>6.9927999999999804</v>
      </c>
      <c r="AF2946">
        <v>-8.2012991593904605</v>
      </c>
      <c r="AG2946">
        <v>-1.11108696475899</v>
      </c>
      <c r="AH2946">
        <v>33.660031724423497</v>
      </c>
      <c r="AI2946">
        <v>91.836895124146494</v>
      </c>
      <c r="AJ2946">
        <v>103.69336073907</v>
      </c>
      <c r="AK2946">
        <v>34.662567098157503</v>
      </c>
      <c r="AL2946">
        <v>89.869608044293301</v>
      </c>
      <c r="AM2946">
        <v>87.994348121270804</v>
      </c>
      <c r="AN2946">
        <v>1.0000000084452501</v>
      </c>
    </row>
    <row r="2947" spans="1:40" x14ac:dyDescent="0.25">
      <c r="A2947" t="str">
        <f>"20190312161018546"</f>
        <v>20190312161018546</v>
      </c>
      <c r="B2947" t="str">
        <f>"1552378218538451"</f>
        <v>1552378218538451</v>
      </c>
      <c r="C2947" t="s">
        <v>40</v>
      </c>
      <c r="D2947">
        <v>5.8532299999999999</v>
      </c>
      <c r="E2947">
        <v>0.39593909999999999</v>
      </c>
      <c r="F2947" t="s">
        <v>74</v>
      </c>
      <c r="G2947">
        <v>-421.18669999999997</v>
      </c>
      <c r="H2947" s="1">
        <v>3.3383950000000002E-6</v>
      </c>
      <c r="I2947">
        <v>219.37139999999999</v>
      </c>
      <c r="J2947">
        <v>-456.88529999999997</v>
      </c>
      <c r="K2947">
        <v>1.1110530000000001</v>
      </c>
      <c r="L2947">
        <v>212.0257</v>
      </c>
      <c r="M2947">
        <v>0.99932529999999997</v>
      </c>
      <c r="N2947">
        <v>0</v>
      </c>
      <c r="O2947">
        <v>-3.4257530000000001E-2</v>
      </c>
      <c r="P2947">
        <v>0.99745470000000003</v>
      </c>
      <c r="Q2947">
        <v>-1.023955E-2</v>
      </c>
      <c r="R2947">
        <v>-7.0563169999999995E-2</v>
      </c>
      <c r="S2947">
        <v>3.0511780000000002</v>
      </c>
      <c r="T2947">
        <v>-9.4565990000000003E-2</v>
      </c>
      <c r="U2947">
        <v>0.62490840000000003</v>
      </c>
      <c r="V2947">
        <v>3.6343399999999998E-2</v>
      </c>
      <c r="W2947">
        <v>3.054916E-3</v>
      </c>
      <c r="X2947">
        <v>0.99933470000000002</v>
      </c>
      <c r="Y2947">
        <v>-0.23396620000000001</v>
      </c>
      <c r="Z2947">
        <v>4.6390629999999997E-3</v>
      </c>
      <c r="AA2947">
        <v>0.97223369999999998</v>
      </c>
      <c r="AB2947">
        <v>16</v>
      </c>
      <c r="AC2947">
        <v>35.698599999999999</v>
      </c>
      <c r="AD2947">
        <v>-1.1110496616050001</v>
      </c>
      <c r="AE2947">
        <v>7.3456999999999901</v>
      </c>
      <c r="AF2947">
        <v>-8.5564891856778402</v>
      </c>
      <c r="AG2947">
        <v>-1.1110496616050001</v>
      </c>
      <c r="AH2947">
        <v>35.393084321175998</v>
      </c>
      <c r="AI2947">
        <v>91.747707000668697</v>
      </c>
      <c r="AJ2947">
        <v>103.590825097368</v>
      </c>
      <c r="AK2947">
        <v>36.429635687185403</v>
      </c>
      <c r="AL2947">
        <v>89.824965935744004</v>
      </c>
      <c r="AM2947">
        <v>87.917208185999996</v>
      </c>
      <c r="AN2947">
        <v>1.0000000089297001</v>
      </c>
    </row>
    <row r="2948" spans="1:40" x14ac:dyDescent="0.25">
      <c r="A2948" t="str">
        <f>"20190312161018593"</f>
        <v>20190312161018593</v>
      </c>
      <c r="B2948" t="str">
        <f>"1552378218578466"</f>
        <v>1552378218578466</v>
      </c>
      <c r="C2948" t="s">
        <v>40</v>
      </c>
      <c r="D2948">
        <v>5.712872</v>
      </c>
      <c r="E2948">
        <v>0.4642887</v>
      </c>
      <c r="F2948" t="s">
        <v>74</v>
      </c>
      <c r="G2948">
        <v>-420.1173</v>
      </c>
      <c r="H2948" s="1">
        <v>3.5152190000000001E-6</v>
      </c>
      <c r="I2948">
        <v>219.51849999999999</v>
      </c>
      <c r="J2948">
        <v>-456.5643</v>
      </c>
      <c r="K2948">
        <v>1.110981</v>
      </c>
      <c r="L2948">
        <v>212.01920000000001</v>
      </c>
      <c r="M2948">
        <v>0.99944</v>
      </c>
      <c r="N2948">
        <v>0</v>
      </c>
      <c r="O2948">
        <v>-3.0800660000000001E-2</v>
      </c>
      <c r="P2948">
        <v>0.99753400000000003</v>
      </c>
      <c r="Q2948">
        <v>-1.032108E-2</v>
      </c>
      <c r="R2948">
        <v>-6.9423879999999993E-2</v>
      </c>
      <c r="S2948">
        <v>3.0506899999999999</v>
      </c>
      <c r="T2948">
        <v>-9.2185379999999997E-2</v>
      </c>
      <c r="U2948">
        <v>0.62168880000000004</v>
      </c>
      <c r="V2948">
        <v>3.8659359999999997E-2</v>
      </c>
      <c r="W2948">
        <v>2.8164980000000002E-3</v>
      </c>
      <c r="X2948">
        <v>0.99924849999999998</v>
      </c>
      <c r="Y2948">
        <v>-0.2296561</v>
      </c>
      <c r="Z2948">
        <v>4.355551E-3</v>
      </c>
      <c r="AA2948">
        <v>0.97326210000000002</v>
      </c>
      <c r="AB2948">
        <v>16</v>
      </c>
      <c r="AC2948">
        <v>36.446999999999903</v>
      </c>
      <c r="AD2948">
        <v>-1.1109774847809999</v>
      </c>
      <c r="AE2948">
        <v>7.4992999999999697</v>
      </c>
      <c r="AF2948">
        <v>-8.6107532431063696</v>
      </c>
      <c r="AG2948">
        <v>-1.1109774847809999</v>
      </c>
      <c r="AH2948">
        <v>36.166462267536403</v>
      </c>
      <c r="AI2948">
        <v>91.711669091899296</v>
      </c>
      <c r="AJ2948">
        <v>103.39203418754499</v>
      </c>
      <c r="AK2948">
        <v>37.193982515112502</v>
      </c>
      <c r="AL2948">
        <v>89.838626341750896</v>
      </c>
      <c r="AM2948">
        <v>87.784420976914902</v>
      </c>
      <c r="AN2948">
        <v>1.00000002176442</v>
      </c>
    </row>
    <row r="2949" spans="1:40" x14ac:dyDescent="0.25">
      <c r="A2949" t="str">
        <f>"20190312161018658"</f>
        <v>20190312161018658</v>
      </c>
      <c r="B2949" t="str">
        <f>"1552378218648740"</f>
        <v>1552378218648740</v>
      </c>
      <c r="C2949" t="s">
        <v>40</v>
      </c>
      <c r="D2949">
        <v>5.3644179999999997</v>
      </c>
      <c r="E2949">
        <v>0.47610920000000001</v>
      </c>
      <c r="F2949" t="s">
        <v>74</v>
      </c>
      <c r="G2949">
        <v>-435.03359999999998</v>
      </c>
      <c r="H2949" s="1">
        <v>4.623511E-6</v>
      </c>
      <c r="I2949">
        <v>212.62209999999999</v>
      </c>
      <c r="J2949">
        <v>-456.10270000000003</v>
      </c>
      <c r="K2949">
        <v>1.1109070000000001</v>
      </c>
      <c r="L2949">
        <v>212.01140000000001</v>
      </c>
      <c r="M2949">
        <v>0.99957470000000004</v>
      </c>
      <c r="N2949">
        <v>0</v>
      </c>
      <c r="O2949">
        <v>-2.61668E-2</v>
      </c>
      <c r="P2949">
        <v>0.99758899999999995</v>
      </c>
      <c r="Q2949">
        <v>-9.4010810000000004E-3</v>
      </c>
      <c r="R2949">
        <v>-6.8760840000000004E-2</v>
      </c>
      <c r="S2949">
        <v>3.0116580000000002</v>
      </c>
      <c r="T2949">
        <v>-0.15540029999999999</v>
      </c>
      <c r="U2949">
        <v>8.4320069999999997E-2</v>
      </c>
      <c r="V2949">
        <v>4.2626690000000002E-2</v>
      </c>
      <c r="W2949">
        <v>3.5231669999999998E-3</v>
      </c>
      <c r="X2949">
        <v>0.9990848</v>
      </c>
      <c r="Y2949">
        <v>-5.4029439999999998E-2</v>
      </c>
      <c r="Z2949">
        <v>2.7419039999999999E-3</v>
      </c>
      <c r="AA2949">
        <v>0.99853559999999997</v>
      </c>
      <c r="AB2949">
        <v>16</v>
      </c>
      <c r="AC2949">
        <v>21.069099999999999</v>
      </c>
      <c r="AD2949">
        <v>-1.11090237648899</v>
      </c>
      <c r="AE2949">
        <v>0.61069999999997904</v>
      </c>
      <c r="AF2949">
        <v>-1.1586290722108099</v>
      </c>
      <c r="AG2949">
        <v>-1.11090237648899</v>
      </c>
      <c r="AH2949">
        <v>20.987604579354301</v>
      </c>
      <c r="AI2949">
        <v>93.025317815635503</v>
      </c>
      <c r="AJ2949">
        <v>93.159828936313303</v>
      </c>
      <c r="AK2949">
        <v>21.048897153922201</v>
      </c>
      <c r="AL2949">
        <v>89.798136971160204</v>
      </c>
      <c r="AM2949">
        <v>87.556915017614799</v>
      </c>
      <c r="AN2949">
        <v>0.99999994249855095</v>
      </c>
    </row>
    <row r="2950" spans="1:40" x14ac:dyDescent="0.25">
      <c r="A2950" t="str">
        <f>"20190312161018679"</f>
        <v>20190312161018679</v>
      </c>
      <c r="B2950" t="str">
        <f>"1552378218669235"</f>
        <v>1552378218669235</v>
      </c>
      <c r="C2950" t="s">
        <v>40</v>
      </c>
      <c r="D2950">
        <v>5.4003199999999998</v>
      </c>
      <c r="E2950">
        <v>0.47758709999999999</v>
      </c>
      <c r="F2950" t="s">
        <v>74</v>
      </c>
      <c r="G2950">
        <v>-433.09089999999998</v>
      </c>
      <c r="H2950" s="1">
        <v>3.8213049999999997E-6</v>
      </c>
      <c r="I2950">
        <v>211.94380000000001</v>
      </c>
      <c r="J2950">
        <v>-455.95830000000001</v>
      </c>
      <c r="K2950">
        <v>1.1108750000000001</v>
      </c>
      <c r="L2950">
        <v>212.0093</v>
      </c>
      <c r="M2950">
        <v>0.99961029999999995</v>
      </c>
      <c r="N2950">
        <v>0</v>
      </c>
      <c r="O2950">
        <v>-2.4812870000000001E-2</v>
      </c>
      <c r="P2950">
        <v>0.9976389</v>
      </c>
      <c r="Q2950">
        <v>-9.5929039999999993E-3</v>
      </c>
      <c r="R2950">
        <v>-6.8005940000000001E-2</v>
      </c>
      <c r="S2950">
        <v>3.00528</v>
      </c>
      <c r="T2950">
        <v>-0.14508080000000001</v>
      </c>
      <c r="U2950">
        <v>-8.8195800000000005E-3</v>
      </c>
      <c r="V2950">
        <v>4.322455E-2</v>
      </c>
      <c r="W2950">
        <v>3.249942E-3</v>
      </c>
      <c r="X2950">
        <v>0.99906010000000001</v>
      </c>
      <c r="Y2950">
        <v>-2.1826700000000001E-2</v>
      </c>
      <c r="Z2950">
        <v>1.723682E-3</v>
      </c>
      <c r="AA2950">
        <v>0.99976030000000005</v>
      </c>
      <c r="AB2950">
        <v>16</v>
      </c>
      <c r="AC2950">
        <v>22.8674</v>
      </c>
      <c r="AD2950">
        <v>-1.1108711786950001</v>
      </c>
      <c r="AE2950">
        <v>-6.5499999999985903E-2</v>
      </c>
      <c r="AF2950">
        <v>-0.50079059754705502</v>
      </c>
      <c r="AG2950">
        <v>-1.1108711786950001</v>
      </c>
      <c r="AH2950">
        <v>22.808159096169099</v>
      </c>
      <c r="AI2950">
        <v>92.787716128523797</v>
      </c>
      <c r="AJ2950">
        <v>91.257820849646706</v>
      </c>
      <c r="AK2950">
        <v>22.840686227747302</v>
      </c>
      <c r="AL2950">
        <v>89.813791712619903</v>
      </c>
      <c r="AM2950">
        <v>87.522630789651203</v>
      </c>
      <c r="AN2950">
        <v>1.0000000036288501</v>
      </c>
    </row>
    <row r="2951" spans="1:40" x14ac:dyDescent="0.25">
      <c r="A2951" t="str">
        <f>"20190312161018747"</f>
        <v>20190312161018747</v>
      </c>
      <c r="B2951" t="str">
        <f>"1552378218738531"</f>
        <v>1552378218738531</v>
      </c>
      <c r="C2951" t="s">
        <v>40</v>
      </c>
      <c r="D2951">
        <v>5.4298419999999998</v>
      </c>
      <c r="E2951">
        <v>0.4804406</v>
      </c>
      <c r="F2951" t="s">
        <v>74</v>
      </c>
      <c r="G2951">
        <v>-432.28739999999999</v>
      </c>
      <c r="H2951" s="1">
        <v>3.4721420000000001E-6</v>
      </c>
      <c r="I2951">
        <v>211.86189999999999</v>
      </c>
      <c r="J2951">
        <v>-455.49239999999998</v>
      </c>
      <c r="K2951">
        <v>1.1107279999999999</v>
      </c>
      <c r="L2951">
        <v>212.0033</v>
      </c>
      <c r="M2951">
        <v>0.99970650000000005</v>
      </c>
      <c r="N2951">
        <v>0</v>
      </c>
      <c r="O2951">
        <v>-2.0751760000000001E-2</v>
      </c>
      <c r="P2951">
        <v>0.99787190000000003</v>
      </c>
      <c r="Q2951">
        <v>-1.066277E-2</v>
      </c>
      <c r="R2951">
        <v>-6.4326880000000003E-2</v>
      </c>
      <c r="S2951">
        <v>3.004486</v>
      </c>
      <c r="T2951">
        <v>-0.14099990000000001</v>
      </c>
      <c r="U2951">
        <v>-1.870728E-2</v>
      </c>
      <c r="V2951">
        <v>4.3601710000000002E-2</v>
      </c>
      <c r="W2951">
        <v>1.869026E-3</v>
      </c>
      <c r="X2951">
        <v>0.99904720000000002</v>
      </c>
      <c r="Y2951">
        <v>-1.4489210000000001E-2</v>
      </c>
      <c r="Z2951">
        <v>1.3131359999999999E-3</v>
      </c>
      <c r="AA2951">
        <v>0.99989410000000001</v>
      </c>
      <c r="AB2951">
        <v>16</v>
      </c>
      <c r="AC2951">
        <v>23.204999999999899</v>
      </c>
      <c r="AD2951">
        <v>-1.110724527858</v>
      </c>
      <c r="AE2951">
        <v>-0.14140000000000399</v>
      </c>
      <c r="AF2951">
        <v>-0.33943501607093302</v>
      </c>
      <c r="AG2951">
        <v>-1.110724527858</v>
      </c>
      <c r="AH2951">
        <v>23.149899319284401</v>
      </c>
      <c r="AI2951">
        <v>92.746631249407201</v>
      </c>
      <c r="AJ2951">
        <v>90.840038223890105</v>
      </c>
      <c r="AK2951">
        <v>23.179015587378199</v>
      </c>
      <c r="AL2951">
        <v>89.892912631244201</v>
      </c>
      <c r="AM2951">
        <v>87.501009323092802</v>
      </c>
      <c r="AN2951">
        <v>0.99999995510047501</v>
      </c>
    </row>
    <row r="2952" spans="1:40" x14ac:dyDescent="0.25">
      <c r="A2952" t="str">
        <f>"20190312161018768"</f>
        <v>20190312161018768</v>
      </c>
      <c r="B2952" t="str">
        <f>"1552378218759028"</f>
        <v>1552378218759028</v>
      </c>
      <c r="C2952" t="s">
        <v>40</v>
      </c>
      <c r="D2952">
        <v>5.4111200000000004</v>
      </c>
      <c r="E2952">
        <v>0.48129660000000002</v>
      </c>
      <c r="F2952" t="s">
        <v>74</v>
      </c>
      <c r="G2952">
        <v>-431.50069999999999</v>
      </c>
      <c r="H2952" s="1">
        <v>3.132282E-6</v>
      </c>
      <c r="I2952">
        <v>211.75919999999999</v>
      </c>
      <c r="J2952">
        <v>-455.33969999999999</v>
      </c>
      <c r="K2952">
        <v>1.110697</v>
      </c>
      <c r="L2952">
        <v>212.0016</v>
      </c>
      <c r="M2952">
        <v>0.99973310000000004</v>
      </c>
      <c r="N2952">
        <v>0</v>
      </c>
      <c r="O2952">
        <v>-1.949451E-2</v>
      </c>
      <c r="P2952">
        <v>0.99793390000000004</v>
      </c>
      <c r="Q2952">
        <v>-1.044202E-2</v>
      </c>
      <c r="R2952">
        <v>-6.3395670000000001E-2</v>
      </c>
      <c r="S2952">
        <v>3.0029300000000001</v>
      </c>
      <c r="T2952">
        <v>-0.13902439999999999</v>
      </c>
      <c r="U2952">
        <v>-3.0548100000000002E-2</v>
      </c>
      <c r="V2952">
        <v>4.3925720000000001E-2</v>
      </c>
      <c r="W2952">
        <v>1.991573E-3</v>
      </c>
      <c r="X2952">
        <v>0.99903280000000005</v>
      </c>
      <c r="Y2952">
        <v>-9.2938640000000006E-3</v>
      </c>
      <c r="Z2952">
        <v>1.1170349999999999E-3</v>
      </c>
      <c r="AA2952">
        <v>0.99995619999999996</v>
      </c>
      <c r="AB2952">
        <v>16</v>
      </c>
      <c r="AC2952">
        <v>23.838999999999999</v>
      </c>
      <c r="AD2952">
        <v>-1.110693867718</v>
      </c>
      <c r="AE2952">
        <v>-0.242400000000003</v>
      </c>
      <c r="AF2952">
        <v>-0.22192970534016099</v>
      </c>
      <c r="AG2952">
        <v>-1.110693867718</v>
      </c>
      <c r="AH2952">
        <v>23.787563011910098</v>
      </c>
      <c r="AI2952">
        <v>92.673208718801405</v>
      </c>
      <c r="AJ2952">
        <v>90.534534224638094</v>
      </c>
      <c r="AK2952">
        <v>23.8145133838064</v>
      </c>
      <c r="AL2952">
        <v>89.885891195404099</v>
      </c>
      <c r="AM2952">
        <v>87.482426561002896</v>
      </c>
      <c r="AN2952">
        <v>0.99999998535818602</v>
      </c>
    </row>
    <row r="2953" spans="1:40" x14ac:dyDescent="0.25">
      <c r="A2953" t="str">
        <f>"20190312161018792"</f>
        <v>20190312161018792</v>
      </c>
      <c r="B2953" t="str">
        <f>"1552378218778547"</f>
        <v>1552378218778547</v>
      </c>
      <c r="C2953" t="s">
        <v>40</v>
      </c>
      <c r="D2953">
        <v>5.4129149999999999</v>
      </c>
      <c r="E2953">
        <v>0.48207319999999998</v>
      </c>
      <c r="F2953" t="s">
        <v>74</v>
      </c>
      <c r="G2953">
        <v>-431.54579999999999</v>
      </c>
      <c r="H2953" s="1">
        <v>3.1549340000000002E-6</v>
      </c>
      <c r="I2953">
        <v>211.7287</v>
      </c>
      <c r="J2953">
        <v>-455.17910000000001</v>
      </c>
      <c r="K2953">
        <v>1.110687</v>
      </c>
      <c r="L2953">
        <v>212</v>
      </c>
      <c r="M2953">
        <v>0.99975849999999999</v>
      </c>
      <c r="N2953">
        <v>0</v>
      </c>
      <c r="O2953">
        <v>-1.8216030000000001E-2</v>
      </c>
      <c r="P2953">
        <v>0.99804479999999995</v>
      </c>
      <c r="Q2953">
        <v>-9.7128730000000003E-3</v>
      </c>
      <c r="R2953">
        <v>-6.1747469999999999E-2</v>
      </c>
      <c r="S2953">
        <v>3.0025629999999999</v>
      </c>
      <c r="T2953">
        <v>-0.14015920000000001</v>
      </c>
      <c r="U2953">
        <v>-3.4439089999999999E-2</v>
      </c>
      <c r="V2953">
        <v>4.3552639999999997E-2</v>
      </c>
      <c r="W2953">
        <v>2.620996E-3</v>
      </c>
      <c r="X2953">
        <v>0.99904769999999998</v>
      </c>
      <c r="Y2953">
        <v>-6.7218260000000002E-3</v>
      </c>
      <c r="Z2953">
        <v>1.0066350000000001E-3</v>
      </c>
      <c r="AA2953">
        <v>0.99997689999999995</v>
      </c>
      <c r="AB2953">
        <v>16</v>
      </c>
      <c r="AC2953">
        <v>23.633299999999998</v>
      </c>
      <c r="AD2953">
        <v>-1.1106838450659999</v>
      </c>
      <c r="AE2953">
        <v>-0.27129999999999599</v>
      </c>
      <c r="AF2953">
        <v>-0.15893147440938801</v>
      </c>
      <c r="AG2953">
        <v>-1.1106838450659999</v>
      </c>
      <c r="AH2953">
        <v>23.582241731385</v>
      </c>
      <c r="AI2953">
        <v>92.696480823486397</v>
      </c>
      <c r="AJ2953">
        <v>90.386136524073194</v>
      </c>
      <c r="AK2953">
        <v>23.6089178679313</v>
      </c>
      <c r="AL2953">
        <v>89.8498278198131</v>
      </c>
      <c r="AM2953">
        <v>87.503819411964599</v>
      </c>
      <c r="AN2953">
        <v>1.0000000044731401</v>
      </c>
    </row>
    <row r="2954" spans="1:40" x14ac:dyDescent="0.25">
      <c r="A2954" t="str">
        <f>"20190312161018838"</f>
        <v>20190312161018838</v>
      </c>
      <c r="B2954" t="str">
        <f>"1552378218829298"</f>
        <v>1552378218829298</v>
      </c>
      <c r="C2954" t="s">
        <v>40</v>
      </c>
      <c r="D2954">
        <v>5.3701919999999896</v>
      </c>
      <c r="E2954">
        <v>0.49410749999999998</v>
      </c>
      <c r="F2954" t="s">
        <v>74</v>
      </c>
      <c r="G2954">
        <v>-431.32060000000001</v>
      </c>
      <c r="H2954" s="1">
        <v>3.0562539999999999E-6</v>
      </c>
      <c r="I2954">
        <v>211.7149</v>
      </c>
      <c r="J2954">
        <v>-454.8657</v>
      </c>
      <c r="K2954">
        <v>1.110662</v>
      </c>
      <c r="L2954">
        <v>211.9974</v>
      </c>
      <c r="M2954">
        <v>0.9998013</v>
      </c>
      <c r="N2954">
        <v>0</v>
      </c>
      <c r="O2954">
        <v>-1.584257E-2</v>
      </c>
      <c r="P2954">
        <v>0.99822869999999997</v>
      </c>
      <c r="Q2954">
        <v>-9.5471549999999999E-3</v>
      </c>
      <c r="R2954">
        <v>-5.872728E-2</v>
      </c>
      <c r="S2954">
        <v>3.0022890000000002</v>
      </c>
      <c r="T2954">
        <v>-0.13976529999999901</v>
      </c>
      <c r="U2954">
        <v>-3.5873410000000001E-2</v>
      </c>
      <c r="V2954">
        <v>4.2901549999999997E-2</v>
      </c>
      <c r="W2954">
        <v>2.5919089999999999E-3</v>
      </c>
      <c r="X2954">
        <v>0.99907590000000002</v>
      </c>
      <c r="Y2954">
        <v>-3.8749090000000002E-3</v>
      </c>
      <c r="Z2954">
        <v>8.2724759999999904E-4</v>
      </c>
      <c r="AA2954">
        <v>0.99999210000000005</v>
      </c>
      <c r="AB2954">
        <v>16</v>
      </c>
      <c r="AC2954">
        <v>23.545099999999898</v>
      </c>
      <c r="AD2954">
        <v>-1.1106589437459999</v>
      </c>
      <c r="AE2954">
        <v>-0.28249999999999797</v>
      </c>
      <c r="AF2954">
        <v>-9.0376583980678604E-2</v>
      </c>
      <c r="AG2954">
        <v>-1.1106589437459999</v>
      </c>
      <c r="AH2954">
        <v>23.494349423279001</v>
      </c>
      <c r="AI2954">
        <v>92.706534167733295</v>
      </c>
      <c r="AJ2954">
        <v>90.220400709744197</v>
      </c>
      <c r="AK2954">
        <v>23.520760745337</v>
      </c>
      <c r="AL2954">
        <v>89.8514943808255</v>
      </c>
      <c r="AM2954">
        <v>87.541159223302202</v>
      </c>
      <c r="AN2954">
        <v>0.99999995747273696</v>
      </c>
    </row>
    <row r="2955" spans="1:40" x14ac:dyDescent="0.25">
      <c r="A2955" t="str">
        <f>"20190312161018882"</f>
        <v>20190312161018882</v>
      </c>
      <c r="B2955" t="str">
        <f>"1552378218869315"</f>
        <v>1552378218869315</v>
      </c>
      <c r="C2955" t="s">
        <v>40</v>
      </c>
      <c r="D2955">
        <v>5.3071830000000002</v>
      </c>
      <c r="E2955">
        <v>0.4926545</v>
      </c>
      <c r="F2955" t="s">
        <v>74</v>
      </c>
      <c r="G2955">
        <v>-438.83699999999999</v>
      </c>
      <c r="H2955" s="1">
        <v>6.4202129999999997E-6</v>
      </c>
      <c r="I2955">
        <v>211.36340000000001</v>
      </c>
      <c r="J2955">
        <v>-454.56290000000001</v>
      </c>
      <c r="K2955">
        <v>1.1106389999999999</v>
      </c>
      <c r="L2955">
        <v>211.99539999999999</v>
      </c>
      <c r="M2955">
        <v>0.99983569999999999</v>
      </c>
      <c r="N2955">
        <v>0</v>
      </c>
      <c r="O2955">
        <v>-1.3648469999999999E-2</v>
      </c>
      <c r="P2955">
        <v>0.99827900000000003</v>
      </c>
      <c r="Q2955">
        <v>-8.7552649999999999E-3</v>
      </c>
      <c r="R2955">
        <v>-5.798909E-2</v>
      </c>
      <c r="S2955">
        <v>2.9963679999999999</v>
      </c>
      <c r="T2955">
        <v>-0.2076231</v>
      </c>
      <c r="U2955">
        <v>-0.118515</v>
      </c>
      <c r="V2955">
        <v>4.4354640000000001E-2</v>
      </c>
      <c r="W2955">
        <v>3.217517E-3</v>
      </c>
      <c r="X2955">
        <v>0.99901070000000003</v>
      </c>
      <c r="Y2955">
        <v>2.585032E-2</v>
      </c>
      <c r="Z2955" s="1">
        <v>5.0021629999999998E-5</v>
      </c>
      <c r="AA2955">
        <v>0.99966580000000005</v>
      </c>
      <c r="AB2955">
        <v>16</v>
      </c>
      <c r="AC2955">
        <v>15.725899999999999</v>
      </c>
      <c r="AD2955">
        <v>-1.110632579787</v>
      </c>
      <c r="AE2955">
        <v>-0.63199999999997603</v>
      </c>
      <c r="AF2955">
        <v>0.41522366111095899</v>
      </c>
      <c r="AG2955">
        <v>-1.110632579787</v>
      </c>
      <c r="AH2955">
        <v>15.655102706916001</v>
      </c>
      <c r="AI2955">
        <v>94.056560004538994</v>
      </c>
      <c r="AJ2955">
        <v>88.480687901038905</v>
      </c>
      <c r="AK2955">
        <v>15.699941279511799</v>
      </c>
      <c r="AL2955">
        <v>89.815649543320305</v>
      </c>
      <c r="AM2955">
        <v>87.457819227642005</v>
      </c>
      <c r="AN2955">
        <v>1.0000000326098299</v>
      </c>
    </row>
    <row r="2956" spans="1:40" x14ac:dyDescent="0.25">
      <c r="A2956" t="str">
        <f>"20190312161018903"</f>
        <v>20190312161018903</v>
      </c>
      <c r="B2956" t="str">
        <f>"1552378218888835"</f>
        <v>1552378218888835</v>
      </c>
      <c r="C2956" t="s">
        <v>40</v>
      </c>
      <c r="D2956">
        <v>5.3063349999999998</v>
      </c>
      <c r="E2956">
        <v>0.49273020000000001</v>
      </c>
      <c r="F2956" t="s">
        <v>74</v>
      </c>
      <c r="G2956">
        <v>-433.60669999999999</v>
      </c>
      <c r="H2956" s="1">
        <v>4.1113029999999998E-6</v>
      </c>
      <c r="I2956">
        <v>211.2433</v>
      </c>
      <c r="J2956">
        <v>-454.41460000000001</v>
      </c>
      <c r="K2956">
        <v>1.1106320000000001</v>
      </c>
      <c r="L2956">
        <v>211.99459999999999</v>
      </c>
      <c r="M2956">
        <v>0.99985020000000002</v>
      </c>
      <c r="N2956">
        <v>0</v>
      </c>
      <c r="O2956">
        <v>-1.260707E-2</v>
      </c>
      <c r="P2956">
        <v>0.99826839999999994</v>
      </c>
      <c r="Q2956">
        <v>-8.0736539999999996E-3</v>
      </c>
      <c r="R2956">
        <v>-5.8267230000000003E-2</v>
      </c>
      <c r="S2956">
        <v>2.997528</v>
      </c>
      <c r="T2956">
        <v>-0.15886330000000001</v>
      </c>
      <c r="U2956">
        <v>-0.1075745</v>
      </c>
      <c r="V2956">
        <v>4.567297E-2</v>
      </c>
      <c r="W2956">
        <v>3.8245269999999999E-3</v>
      </c>
      <c r="X2956">
        <v>0.99894910000000003</v>
      </c>
      <c r="Y2956">
        <v>2.3247029999999998E-2</v>
      </c>
      <c r="Z2956" s="1">
        <v>5.20696E-5</v>
      </c>
      <c r="AA2956">
        <v>0.9997298</v>
      </c>
      <c r="AB2956">
        <v>16</v>
      </c>
      <c r="AC2956">
        <v>20.8079</v>
      </c>
      <c r="AD2956">
        <v>-1.110627888697</v>
      </c>
      <c r="AE2956">
        <v>-0.75129999999998598</v>
      </c>
      <c r="AF2956">
        <v>0.48750811896881502</v>
      </c>
      <c r="AG2956">
        <v>-1.110627888697</v>
      </c>
      <c r="AH2956">
        <v>20.756661344802101</v>
      </c>
      <c r="AI2956">
        <v>93.061965084371394</v>
      </c>
      <c r="AJ2956">
        <v>88.6545512860298</v>
      </c>
      <c r="AK2956">
        <v>20.792069369257401</v>
      </c>
      <c r="AL2956">
        <v>89.780870204757306</v>
      </c>
      <c r="AM2956">
        <v>87.382201697247993</v>
      </c>
      <c r="AN2956">
        <v>0.99999997579310196</v>
      </c>
    </row>
    <row r="2957" spans="1:40" x14ac:dyDescent="0.25">
      <c r="A2957" t="str">
        <f>"20190312161018927"</f>
        <v>20190312161018927</v>
      </c>
      <c r="B2957" t="str">
        <f>"1552378218919091"</f>
        <v>1552378218919091</v>
      </c>
      <c r="C2957" t="s">
        <v>40</v>
      </c>
      <c r="D2957">
        <v>5.2353209999999999</v>
      </c>
      <c r="E2957">
        <v>0.492919</v>
      </c>
      <c r="F2957" t="s">
        <v>74</v>
      </c>
      <c r="G2957">
        <v>-431.91919999999999</v>
      </c>
      <c r="H2957" s="1">
        <v>3.369073E-6</v>
      </c>
      <c r="I2957">
        <v>211.17320000000001</v>
      </c>
      <c r="J2957">
        <v>-454.2457</v>
      </c>
      <c r="K2957">
        <v>1.1106199999999999</v>
      </c>
      <c r="L2957">
        <v>211.99379999999999</v>
      </c>
      <c r="M2957">
        <v>0.999865</v>
      </c>
      <c r="N2957">
        <v>0</v>
      </c>
      <c r="O2957">
        <v>-1.145382E-2</v>
      </c>
      <c r="P2957">
        <v>0.99828309999999998</v>
      </c>
      <c r="Q2957">
        <v>-6.8905470000000003E-3</v>
      </c>
      <c r="R2957">
        <v>-5.8169190000000003E-2</v>
      </c>
      <c r="S2957">
        <v>2.99762</v>
      </c>
      <c r="T2957">
        <v>-0.14799619999999999</v>
      </c>
      <c r="U2957">
        <v>-0.1094513</v>
      </c>
      <c r="V2957">
        <v>4.6725790000000003E-2</v>
      </c>
      <c r="W2957">
        <v>4.9269639999999998E-3</v>
      </c>
      <c r="X2957">
        <v>0.99889559999999999</v>
      </c>
      <c r="Y2957">
        <v>2.5022530000000001E-2</v>
      </c>
      <c r="Z2957" s="1">
        <v>-5.2157670000000002E-5</v>
      </c>
      <c r="AA2957">
        <v>0.99968690000000004</v>
      </c>
      <c r="AB2957">
        <v>16</v>
      </c>
      <c r="AC2957">
        <v>22.326499999999999</v>
      </c>
      <c r="AD2957">
        <v>-1.110616630927</v>
      </c>
      <c r="AE2957">
        <v>-0.82059999999998401</v>
      </c>
      <c r="AF2957">
        <v>0.56341242135007397</v>
      </c>
      <c r="AG2957">
        <v>-1.110616630927</v>
      </c>
      <c r="AH2957">
        <v>22.279379001958802</v>
      </c>
      <c r="AI2957">
        <v>92.852894943795206</v>
      </c>
      <c r="AJ2957">
        <v>88.551383539819795</v>
      </c>
      <c r="AK2957">
        <v>22.3141576486845</v>
      </c>
      <c r="AL2957">
        <v>89.717704614031106</v>
      </c>
      <c r="AM2957">
        <v>87.321801757074596</v>
      </c>
      <c r="AN2957">
        <v>0.99999999706236997</v>
      </c>
    </row>
    <row r="2958" spans="1:40" x14ac:dyDescent="0.25">
      <c r="A2958" t="str">
        <f>"20190312161018947"</f>
        <v>20190312161018947</v>
      </c>
      <c r="B2958" t="str">
        <f>"1552378218938612"</f>
        <v>1552378218938612</v>
      </c>
      <c r="C2958" t="s">
        <v>40</v>
      </c>
      <c r="D2958">
        <v>5.2451109999999996</v>
      </c>
      <c r="E2958">
        <v>0.49313469999999998</v>
      </c>
      <c r="F2958" t="s">
        <v>74</v>
      </c>
      <c r="G2958">
        <v>-429.2928</v>
      </c>
      <c r="H2958" s="1">
        <v>2.626607E-6</v>
      </c>
      <c r="I2958">
        <v>211.06569999999999</v>
      </c>
      <c r="J2958">
        <v>-454.10160000000002</v>
      </c>
      <c r="K2958">
        <v>1.1106119999999999</v>
      </c>
      <c r="L2958">
        <v>211.9933</v>
      </c>
      <c r="M2958">
        <v>0.99987630000000005</v>
      </c>
      <c r="N2958">
        <v>0</v>
      </c>
      <c r="O2958">
        <v>-1.0498250000000001E-2</v>
      </c>
      <c r="P2958">
        <v>0.99826320000000002</v>
      </c>
      <c r="Q2958">
        <v>-5.8263280000000004E-3</v>
      </c>
      <c r="R2958">
        <v>-5.8627449999999998E-2</v>
      </c>
      <c r="S2958">
        <v>2.9977719999999999</v>
      </c>
      <c r="T2958">
        <v>-0.13342679999999901</v>
      </c>
      <c r="U2958">
        <v>-0.111496</v>
      </c>
      <c r="V2958">
        <v>4.8138060000000003E-2</v>
      </c>
      <c r="W2958">
        <v>5.924492E-3</v>
      </c>
      <c r="X2958">
        <v>0.99882309999999996</v>
      </c>
      <c r="Y2958">
        <v>2.6657509999999999E-2</v>
      </c>
      <c r="Z2958">
        <v>-1.2587349999999999E-4</v>
      </c>
      <c r="AA2958">
        <v>0.99964459999999999</v>
      </c>
      <c r="AB2958">
        <v>16</v>
      </c>
      <c r="AC2958">
        <v>24.808800000000002</v>
      </c>
      <c r="AD2958">
        <v>-1.110609373393</v>
      </c>
      <c r="AE2958">
        <v>-0.92760000000001197</v>
      </c>
      <c r="AF2958">
        <v>0.665749684133497</v>
      </c>
      <c r="AG2958">
        <v>-1.110609373393</v>
      </c>
      <c r="AH2958">
        <v>24.767604968663601</v>
      </c>
      <c r="AI2958">
        <v>92.566566351228403</v>
      </c>
      <c r="AJ2958">
        <v>88.460268390925194</v>
      </c>
      <c r="AK2958">
        <v>24.8014300334872</v>
      </c>
      <c r="AL2958">
        <v>89.660549619648805</v>
      </c>
      <c r="AM2958">
        <v>87.240777480727004</v>
      </c>
      <c r="AN2958">
        <v>0.99999997875981494</v>
      </c>
    </row>
    <row r="2959" spans="1:40" x14ac:dyDescent="0.25">
      <c r="A2959" t="str">
        <f>"20190312161018969"</f>
        <v>20190312161018969</v>
      </c>
      <c r="B2959" t="str">
        <f>"1552378218959107"</f>
        <v>1552378218959107</v>
      </c>
      <c r="C2959" t="s">
        <v>40</v>
      </c>
      <c r="D2959">
        <v>5.2038669999999998</v>
      </c>
      <c r="E2959">
        <v>0.47707870000000002</v>
      </c>
      <c r="F2959" t="s">
        <v>74</v>
      </c>
      <c r="G2959">
        <v>-427.82900000000001</v>
      </c>
      <c r="H2959" s="1">
        <v>2.8931089999999999E-6</v>
      </c>
      <c r="I2959">
        <v>210.98750000000001</v>
      </c>
      <c r="J2959">
        <v>-453.9452</v>
      </c>
      <c r="K2959">
        <v>1.110608</v>
      </c>
      <c r="L2959">
        <v>211.99289999999999</v>
      </c>
      <c r="M2959">
        <v>0.99988719999999998</v>
      </c>
      <c r="N2959">
        <v>0</v>
      </c>
      <c r="O2959">
        <v>-9.4831480000000003E-3</v>
      </c>
      <c r="P2959">
        <v>0.99829690000000004</v>
      </c>
      <c r="Q2959">
        <v>-5.5974220000000003E-3</v>
      </c>
      <c r="R2959">
        <v>-5.8070589999999998E-2</v>
      </c>
      <c r="S2959">
        <v>2.9977420000000001</v>
      </c>
      <c r="T2959">
        <v>-0.12672220000000001</v>
      </c>
      <c r="U2959">
        <v>-0.1147614</v>
      </c>
      <c r="V2959">
        <v>4.8594999999999999E-2</v>
      </c>
      <c r="W2959">
        <v>6.0837529999999999E-3</v>
      </c>
      <c r="X2959">
        <v>0.99880000000000002</v>
      </c>
      <c r="Y2959">
        <v>2.8758820000000001E-2</v>
      </c>
      <c r="Z2959">
        <v>-2.0680500000000001E-4</v>
      </c>
      <c r="AA2959">
        <v>0.99958630000000004</v>
      </c>
      <c r="AB2959">
        <v>16</v>
      </c>
      <c r="AC2959">
        <v>26.1161999999999</v>
      </c>
      <c r="AD2959">
        <v>-1.1106051068909999</v>
      </c>
      <c r="AE2959">
        <v>-1.0053999999999801</v>
      </c>
      <c r="AF2959">
        <v>0.75630849521365395</v>
      </c>
      <c r="AG2959">
        <v>-1.1106051068909999</v>
      </c>
      <c r="AH2959">
        <v>26.077471262619699</v>
      </c>
      <c r="AI2959">
        <v>92.437654223425298</v>
      </c>
      <c r="AJ2959">
        <v>88.338752223064105</v>
      </c>
      <c r="AK2959">
        <v>26.112065289749498</v>
      </c>
      <c r="AL2959">
        <v>89.651424466343997</v>
      </c>
      <c r="AM2959">
        <v>87.214562899425502</v>
      </c>
      <c r="AN2959">
        <v>0.99999996303778105</v>
      </c>
    </row>
    <row r="2960" spans="1:40" x14ac:dyDescent="0.25">
      <c r="A2960" t="str">
        <f>"20190312161018996"</f>
        <v>20190312161018996</v>
      </c>
      <c r="B2960" t="str">
        <f>"1552378218989363"</f>
        <v>1552378218989363</v>
      </c>
      <c r="C2960" t="s">
        <v>40</v>
      </c>
      <c r="D2960">
        <v>5.259493</v>
      </c>
      <c r="E2960">
        <v>0.47395369999999998</v>
      </c>
      <c r="F2960" t="s">
        <v>74</v>
      </c>
      <c r="G2960">
        <v>-404.93200000000002</v>
      </c>
      <c r="H2960" s="1">
        <v>6.7183149999999999E-6</v>
      </c>
      <c r="I2960">
        <v>212.18100000000001</v>
      </c>
      <c r="J2960">
        <v>-453.76029999999997</v>
      </c>
      <c r="K2960">
        <v>1.1105969999999901</v>
      </c>
      <c r="L2960">
        <v>211.99260000000001</v>
      </c>
      <c r="M2960">
        <v>0.99989859999999997</v>
      </c>
      <c r="N2960">
        <v>0</v>
      </c>
      <c r="O2960">
        <v>-8.3075559999999903E-3</v>
      </c>
      <c r="P2960">
        <v>0.99834449999999997</v>
      </c>
      <c r="Q2960">
        <v>-4.8250089999999999E-3</v>
      </c>
      <c r="R2960">
        <v>-5.7316270000000002E-2</v>
      </c>
      <c r="S2960">
        <v>3.0054319999999999</v>
      </c>
      <c r="T2960">
        <v>-6.8100809999999998E-2</v>
      </c>
      <c r="U2960">
        <v>1.153564E-2</v>
      </c>
      <c r="V2960">
        <v>4.901407E-2</v>
      </c>
      <c r="W2960">
        <v>6.780398E-3</v>
      </c>
      <c r="X2960">
        <v>0.99877510000000003</v>
      </c>
      <c r="Y2960">
        <v>-1.214091E-2</v>
      </c>
      <c r="Z2960">
        <v>3.2576350000000003E-4</v>
      </c>
      <c r="AA2960">
        <v>0.99992630000000005</v>
      </c>
      <c r="AB2960">
        <v>16</v>
      </c>
      <c r="AC2960">
        <v>48.828299999999999</v>
      </c>
      <c r="AD2960">
        <v>-1.11059028168499</v>
      </c>
      <c r="AE2960">
        <v>0.18839999999997301</v>
      </c>
      <c r="AF2960">
        <v>-0.59375730778452196</v>
      </c>
      <c r="AG2960">
        <v>-1.11059028168499</v>
      </c>
      <c r="AH2960">
        <v>48.799804497982301</v>
      </c>
      <c r="AI2960">
        <v>91.303620930037795</v>
      </c>
      <c r="AJ2960">
        <v>90.697095193651094</v>
      </c>
      <c r="AK2960">
        <v>48.816051433474399</v>
      </c>
      <c r="AL2960">
        <v>89.611508844747405</v>
      </c>
      <c r="AM2960">
        <v>87.190510442492197</v>
      </c>
      <c r="AN2960">
        <v>1.0000000266175</v>
      </c>
    </row>
    <row r="2961" spans="1:40" x14ac:dyDescent="0.25">
      <c r="A2961" t="str">
        <f>"20190312161019038"</f>
        <v>20190312161019038</v>
      </c>
      <c r="B2961" t="str">
        <f>"1552378219028589"</f>
        <v>1552378219028589</v>
      </c>
      <c r="C2961" t="s">
        <v>40</v>
      </c>
      <c r="D2961">
        <v>5.3216330000000003</v>
      </c>
      <c r="E2961">
        <v>0.47258850000000002</v>
      </c>
      <c r="F2961" t="s">
        <v>74</v>
      </c>
      <c r="G2961">
        <v>-408.13499999999999</v>
      </c>
      <c r="H2961" s="1">
        <v>5.2141209999999997E-6</v>
      </c>
      <c r="I2961">
        <v>212.58670000000001</v>
      </c>
      <c r="J2961">
        <v>-453.46969999999999</v>
      </c>
      <c r="K2961">
        <v>1.1105849999999999</v>
      </c>
      <c r="L2961">
        <v>211.9924</v>
      </c>
      <c r="M2961">
        <v>0.99991289999999999</v>
      </c>
      <c r="N2961">
        <v>0</v>
      </c>
      <c r="O2961">
        <v>-6.5208610000000002E-3</v>
      </c>
      <c r="P2961">
        <v>0.99839409999999895</v>
      </c>
      <c r="Q2961">
        <v>-3.4895759999999999E-3</v>
      </c>
      <c r="R2961">
        <v>-5.6542120000000001E-2</v>
      </c>
      <c r="S2961">
        <v>3.0068969999999999</v>
      </c>
      <c r="T2961">
        <v>-7.3192480000000004E-2</v>
      </c>
      <c r="U2961">
        <v>3.9154050000000003E-2</v>
      </c>
      <c r="V2961">
        <v>5.0023239999999997E-2</v>
      </c>
      <c r="W2961">
        <v>8.0129889999999999E-3</v>
      </c>
      <c r="X2961">
        <v>0.99871589999999999</v>
      </c>
      <c r="Y2961">
        <v>-1.9533060000000001E-2</v>
      </c>
      <c r="Z2961">
        <v>3.963959E-4</v>
      </c>
      <c r="AA2961">
        <v>0.99980910000000001</v>
      </c>
      <c r="AB2961">
        <v>16</v>
      </c>
      <c r="AC2961">
        <v>45.334699999999998</v>
      </c>
      <c r="AD2961">
        <v>-1.1105797858790001</v>
      </c>
      <c r="AE2961">
        <v>0.59430000000000405</v>
      </c>
      <c r="AF2961">
        <v>-0.88939445272951101</v>
      </c>
      <c r="AG2961">
        <v>-1.1105797858790001</v>
      </c>
      <c r="AH2961">
        <v>45.302678039499902</v>
      </c>
      <c r="AI2961">
        <v>91.404034889727001</v>
      </c>
      <c r="AJ2961">
        <v>91.124701789490501</v>
      </c>
      <c r="AK2961">
        <v>45.325015692263499</v>
      </c>
      <c r="AL2961">
        <v>89.540884631520399</v>
      </c>
      <c r="AM2961">
        <v>87.132590634808906</v>
      </c>
      <c r="AN2961">
        <v>0.99999999072280998</v>
      </c>
    </row>
    <row r="2962" spans="1:40" x14ac:dyDescent="0.25">
      <c r="A2962" t="str">
        <f>"20190312161019058"</f>
        <v>20190312161019058</v>
      </c>
      <c r="B2962" t="str">
        <f>"1552378219049085"</f>
        <v>1552378219049085</v>
      </c>
      <c r="C2962" t="s">
        <v>40</v>
      </c>
      <c r="D2962">
        <v>5.2574860000000001</v>
      </c>
      <c r="E2962">
        <v>0.47250530000000002</v>
      </c>
      <c r="F2962" t="s">
        <v>74</v>
      </c>
      <c r="G2962">
        <v>-409.91199999999998</v>
      </c>
      <c r="H2962" s="1">
        <v>4.3909760000000002E-6</v>
      </c>
      <c r="I2962">
        <v>212.75659999999999</v>
      </c>
      <c r="J2962">
        <v>-453.32010000000002</v>
      </c>
      <c r="K2962">
        <v>1.1105780000000001</v>
      </c>
      <c r="L2962">
        <v>211.9924</v>
      </c>
      <c r="M2962">
        <v>0.99991890000000005</v>
      </c>
      <c r="N2962">
        <v>0</v>
      </c>
      <c r="O2962">
        <v>-5.6354889999999996E-3</v>
      </c>
      <c r="P2962">
        <v>0.99843349999999997</v>
      </c>
      <c r="Q2962">
        <v>-2.5834590000000002E-3</v>
      </c>
      <c r="R2962">
        <v>-5.5891749999999997E-2</v>
      </c>
      <c r="S2962">
        <v>3.0075379999999998</v>
      </c>
      <c r="T2962">
        <v>-7.6682570000000005E-2</v>
      </c>
      <c r="U2962">
        <v>5.2764890000000002E-2</v>
      </c>
      <c r="V2962">
        <v>5.0256530000000001E-2</v>
      </c>
      <c r="W2962">
        <v>8.8679269999999994E-3</v>
      </c>
      <c r="X2962">
        <v>0.99869699999999995</v>
      </c>
      <c r="Y2962">
        <v>-2.3166869999999999E-2</v>
      </c>
      <c r="Z2962">
        <v>4.3893280000000001E-4</v>
      </c>
      <c r="AA2962">
        <v>0.9997315</v>
      </c>
      <c r="AB2962">
        <v>16</v>
      </c>
      <c r="AC2962">
        <v>43.408099999999997</v>
      </c>
      <c r="AD2962">
        <v>-1.1105736090239999</v>
      </c>
      <c r="AE2962">
        <v>0.764199999999988</v>
      </c>
      <c r="AF2962">
        <v>-1.00816997990956</v>
      </c>
      <c r="AG2962">
        <v>-1.1105736090239999</v>
      </c>
      <c r="AH2962">
        <v>43.374720888672002</v>
      </c>
      <c r="AI2962">
        <v>91.466294415210299</v>
      </c>
      <c r="AJ2962">
        <v>91.331501039552805</v>
      </c>
      <c r="AK2962">
        <v>43.400647375582402</v>
      </c>
      <c r="AL2962">
        <v>89.491898564610906</v>
      </c>
      <c r="AM2962">
        <v>87.119186139422496</v>
      </c>
      <c r="AN2962">
        <v>1.00000002837295</v>
      </c>
    </row>
    <row r="2963" spans="1:40" x14ac:dyDescent="0.25">
      <c r="A2963" t="str">
        <f>"20190312161019084"</f>
        <v>20190312161019084</v>
      </c>
      <c r="B2963" t="str">
        <f>"1552378219079341"</f>
        <v>1552378219079341</v>
      </c>
      <c r="C2963" t="s">
        <v>40</v>
      </c>
      <c r="D2963">
        <v>5.2691689999999998</v>
      </c>
      <c r="E2963">
        <v>0.47250389999999998</v>
      </c>
      <c r="F2963" t="s">
        <v>74</v>
      </c>
      <c r="G2963">
        <v>-412.27949999999998</v>
      </c>
      <c r="H2963" s="1">
        <v>2.7728099999999998E-6</v>
      </c>
      <c r="I2963">
        <v>212.7551</v>
      </c>
      <c r="J2963">
        <v>-453.15499999999997</v>
      </c>
      <c r="K2963">
        <v>1.1105560000000001</v>
      </c>
      <c r="L2963">
        <v>211.99260000000001</v>
      </c>
      <c r="M2963">
        <v>0.99992440000000005</v>
      </c>
      <c r="N2963">
        <v>0</v>
      </c>
      <c r="O2963">
        <v>-4.6885349999999998E-3</v>
      </c>
      <c r="P2963">
        <v>0.99848389999999998</v>
      </c>
      <c r="Q2963">
        <v>-1.8976240000000001E-3</v>
      </c>
      <c r="R2963">
        <v>-5.5014E-2</v>
      </c>
      <c r="S2963">
        <v>3.0076290000000001</v>
      </c>
      <c r="T2963">
        <v>-8.1387639999999997E-2</v>
      </c>
      <c r="U2963">
        <v>5.5892940000000002E-2</v>
      </c>
      <c r="V2963">
        <v>5.0323960000000001E-2</v>
      </c>
      <c r="W2963">
        <v>9.4978019999999996E-3</v>
      </c>
      <c r="X2963">
        <v>0.99868780000000001</v>
      </c>
      <c r="Y2963">
        <v>-2.3258109999999999E-2</v>
      </c>
      <c r="Z2963">
        <v>4.4145080000000003E-4</v>
      </c>
      <c r="AA2963">
        <v>0.99972939999999999</v>
      </c>
      <c r="AB2963">
        <v>16</v>
      </c>
      <c r="AC2963">
        <v>40.875499999999903</v>
      </c>
      <c r="AD2963">
        <v>-1.1105532271899901</v>
      </c>
      <c r="AE2963">
        <v>0.76249999999998797</v>
      </c>
      <c r="AF2963">
        <v>-0.95344665842152698</v>
      </c>
      <c r="AG2963">
        <v>-1.1105532271899901</v>
      </c>
      <c r="AH2963">
        <v>40.8413383300459</v>
      </c>
      <c r="AI2963">
        <v>91.557172722412204</v>
      </c>
      <c r="AJ2963">
        <v>91.3373349382409</v>
      </c>
      <c r="AK2963">
        <v>40.867558106524498</v>
      </c>
      <c r="AL2963">
        <v>89.455807857222297</v>
      </c>
      <c r="AM2963">
        <v>87.115300899969398</v>
      </c>
      <c r="AN2963">
        <v>1.0000000155308699</v>
      </c>
    </row>
    <row r="2964" spans="1:40" x14ac:dyDescent="0.25">
      <c r="A2964" t="str">
        <f>"20190312161019116"</f>
        <v>20190312161019116</v>
      </c>
      <c r="B2964" t="str">
        <f>"1552378219108623"</f>
        <v>1552378219108623</v>
      </c>
      <c r="C2964" t="s">
        <v>40</v>
      </c>
      <c r="D2964">
        <v>5.2135009999999999</v>
      </c>
      <c r="E2964">
        <v>0.47247240000000001</v>
      </c>
      <c r="F2964" t="s">
        <v>74</v>
      </c>
      <c r="G2964">
        <v>-414.38060000000002</v>
      </c>
      <c r="H2964" s="1">
        <v>3.1458329999999999E-6</v>
      </c>
      <c r="I2964">
        <v>212.75139999999999</v>
      </c>
      <c r="J2964">
        <v>-452.92160000000001</v>
      </c>
      <c r="K2964">
        <v>1.1105160000000001</v>
      </c>
      <c r="L2964">
        <v>211.9931</v>
      </c>
      <c r="M2964">
        <v>0.9999304</v>
      </c>
      <c r="N2964">
        <v>0</v>
      </c>
      <c r="O2964">
        <v>-3.428324E-3</v>
      </c>
      <c r="P2964">
        <v>0.99847030000000003</v>
      </c>
      <c r="Q2964">
        <v>-2.3940279999999999E-3</v>
      </c>
      <c r="R2964">
        <v>-5.5243109999999998E-2</v>
      </c>
      <c r="S2964">
        <v>3.00766</v>
      </c>
      <c r="T2964">
        <v>-8.6143490000000003E-2</v>
      </c>
      <c r="U2964">
        <v>5.885315E-2</v>
      </c>
      <c r="V2964">
        <v>5.1812980000000002E-2</v>
      </c>
      <c r="W2964">
        <v>8.9303890000000004E-3</v>
      </c>
      <c r="X2964">
        <v>0.99861690000000003</v>
      </c>
      <c r="Y2964">
        <v>-2.2980960000000002E-2</v>
      </c>
      <c r="Z2964">
        <v>4.2717340000000001E-4</v>
      </c>
      <c r="AA2964">
        <v>0.99973579999999995</v>
      </c>
      <c r="AB2964">
        <v>16</v>
      </c>
      <c r="AC2964">
        <v>38.540999999999997</v>
      </c>
      <c r="AD2964">
        <v>-1.110512854167</v>
      </c>
      <c r="AE2964">
        <v>0.75829999999999098</v>
      </c>
      <c r="AF2964">
        <v>-0.88969662694919005</v>
      </c>
      <c r="AG2964">
        <v>-1.110512854167</v>
      </c>
      <c r="AH2964">
        <v>38.506216761142703</v>
      </c>
      <c r="AI2964">
        <v>91.651502283722706</v>
      </c>
      <c r="AJ2964">
        <v>91.323599089879394</v>
      </c>
      <c r="AK2964">
        <v>38.532499635286797</v>
      </c>
      <c r="AL2964">
        <v>89.488319612211399</v>
      </c>
      <c r="AM2964">
        <v>87.029886571875494</v>
      </c>
      <c r="AN2964">
        <v>1.0000000248548899</v>
      </c>
    </row>
    <row r="2965" spans="1:40" x14ac:dyDescent="0.25">
      <c r="A2965" t="str">
        <f>"20190312161019136"</f>
        <v>20190312161019136</v>
      </c>
      <c r="B2965" t="str">
        <f>"1552378219129117"</f>
        <v>1552378219129117</v>
      </c>
      <c r="C2965" t="s">
        <v>40</v>
      </c>
      <c r="D2965">
        <v>5.2302619999999997</v>
      </c>
      <c r="E2965">
        <v>0.4723425</v>
      </c>
      <c r="F2965" t="s">
        <v>74</v>
      </c>
      <c r="G2965">
        <v>-417.37700000000001</v>
      </c>
      <c r="H2965" s="1">
        <v>3.682665E-6</v>
      </c>
      <c r="I2965">
        <v>212.69059999999999</v>
      </c>
      <c r="J2965">
        <v>-452.77629999999999</v>
      </c>
      <c r="K2965">
        <v>1.1105</v>
      </c>
      <c r="L2965">
        <v>211.99350000000001</v>
      </c>
      <c r="M2965">
        <v>0.99993299999999996</v>
      </c>
      <c r="N2965">
        <v>0</v>
      </c>
      <c r="O2965">
        <v>-2.6843029999999999E-3</v>
      </c>
      <c r="P2965">
        <v>0.99847269999999999</v>
      </c>
      <c r="Q2965">
        <v>-2.290266E-3</v>
      </c>
      <c r="R2965">
        <v>-5.5201399999999998E-2</v>
      </c>
      <c r="S2965">
        <v>3.0076290000000001</v>
      </c>
      <c r="T2965">
        <v>-9.3966720000000004E-2</v>
      </c>
      <c r="U2965">
        <v>5.9020999999999997E-2</v>
      </c>
      <c r="V2965">
        <v>5.25148E-2</v>
      </c>
      <c r="W2965">
        <v>8.9961910000000006E-3</v>
      </c>
      <c r="X2965">
        <v>0.99857960000000001</v>
      </c>
      <c r="Y2965">
        <v>-2.2291680000000001E-2</v>
      </c>
      <c r="Z2965">
        <v>4.3195110000000001E-4</v>
      </c>
      <c r="AA2965">
        <v>0.99975139999999996</v>
      </c>
      <c r="AB2965">
        <v>16</v>
      </c>
      <c r="AC2965">
        <v>35.399299999999997</v>
      </c>
      <c r="AD2965">
        <v>-1.110496317335</v>
      </c>
      <c r="AE2965">
        <v>0.69709999999997696</v>
      </c>
      <c r="AF2965">
        <v>-0.79134748658313803</v>
      </c>
      <c r="AG2965">
        <v>-1.110496317335</v>
      </c>
      <c r="AH2965">
        <v>35.362513889212103</v>
      </c>
      <c r="AI2965">
        <v>91.798230165965705</v>
      </c>
      <c r="AJ2965">
        <v>91.281959334202398</v>
      </c>
      <c r="AK2965">
        <v>35.388795140270801</v>
      </c>
      <c r="AL2965">
        <v>89.484549259090997</v>
      </c>
      <c r="AM2965">
        <v>86.989616894383602</v>
      </c>
      <c r="AN2965">
        <v>0.99999997660385398</v>
      </c>
    </row>
    <row r="2966" spans="1:40" x14ac:dyDescent="0.25">
      <c r="A2966" t="str">
        <f>"20190312161019159"</f>
        <v>20190312161019159</v>
      </c>
      <c r="B2966" t="str">
        <f>"1552378219149613"</f>
        <v>1552378219149613</v>
      </c>
      <c r="C2966" t="s">
        <v>40</v>
      </c>
      <c r="D2966">
        <v>5.1934979999999999</v>
      </c>
      <c r="E2966">
        <v>0.47226089999999998</v>
      </c>
      <c r="F2966" t="s">
        <v>74</v>
      </c>
      <c r="G2966">
        <v>-418.61750000000001</v>
      </c>
      <c r="H2966" s="1">
        <v>3.9038309999999996E-6</v>
      </c>
      <c r="I2966">
        <v>212.67769999999999</v>
      </c>
      <c r="J2966">
        <v>-452.61989999999997</v>
      </c>
      <c r="K2966">
        <v>1.110474</v>
      </c>
      <c r="L2966">
        <v>211.994</v>
      </c>
      <c r="M2966">
        <v>0.99993509999999997</v>
      </c>
      <c r="N2966">
        <v>0</v>
      </c>
      <c r="O2966">
        <v>-1.9204980000000001E-3</v>
      </c>
      <c r="P2966">
        <v>0.99847770000000002</v>
      </c>
      <c r="Q2966">
        <v>-1.6679450000000001E-3</v>
      </c>
      <c r="R2966">
        <v>-5.5130449999999998E-2</v>
      </c>
      <c r="S2966">
        <v>3.0076290000000001</v>
      </c>
      <c r="T2966">
        <v>-9.7777489999999995E-2</v>
      </c>
      <c r="U2966">
        <v>6.0241699999999898E-2</v>
      </c>
      <c r="V2966">
        <v>5.3206759999999999E-2</v>
      </c>
      <c r="W2966">
        <v>9.5817220000000008E-3</v>
      </c>
      <c r="X2966">
        <v>0.99853749999999997</v>
      </c>
      <c r="Y2966">
        <v>-2.1933210000000002E-2</v>
      </c>
      <c r="Z2966">
        <v>4.1880900000000002E-4</v>
      </c>
      <c r="AA2966">
        <v>0.99975939999999996</v>
      </c>
      <c r="AB2966">
        <v>16</v>
      </c>
      <c r="AC2966">
        <v>34.002399999999902</v>
      </c>
      <c r="AD2966">
        <v>-1.1104700961689999</v>
      </c>
      <c r="AE2966">
        <v>0.68369999999995901</v>
      </c>
      <c r="AF2966">
        <v>-0.74820669617581903</v>
      </c>
      <c r="AG2966">
        <v>-1.1104700961689999</v>
      </c>
      <c r="AH2966">
        <v>33.964812513497399</v>
      </c>
      <c r="AI2966">
        <v>91.872148653692904</v>
      </c>
      <c r="AJ2966">
        <v>91.261957607288196</v>
      </c>
      <c r="AK2966">
        <v>33.991196598115202</v>
      </c>
      <c r="AL2966">
        <v>89.450999342783106</v>
      </c>
      <c r="AM2966">
        <v>86.949896710228998</v>
      </c>
      <c r="AN2966">
        <v>0.99999995380621498</v>
      </c>
    </row>
    <row r="2967" spans="1:40" x14ac:dyDescent="0.25">
      <c r="A2967" t="str">
        <f>"20190312161019181"</f>
        <v>20190312161019181</v>
      </c>
      <c r="B2967" t="str">
        <f>"1552378219169134"</f>
        <v>1552378219169134</v>
      </c>
      <c r="C2967" t="s">
        <v>40</v>
      </c>
      <c r="D2967">
        <v>5.2009179999999997</v>
      </c>
      <c r="E2967">
        <v>0.47225879999999998</v>
      </c>
      <c r="F2967" t="s">
        <v>74</v>
      </c>
      <c r="G2967">
        <v>-418.90440000000001</v>
      </c>
      <c r="H2967" s="1">
        <v>3.9544069999999998E-6</v>
      </c>
      <c r="I2967">
        <v>212.6814</v>
      </c>
      <c r="J2967">
        <v>-452.46050000000002</v>
      </c>
      <c r="K2967">
        <v>1.110452</v>
      </c>
      <c r="L2967">
        <v>211.99459999999999</v>
      </c>
      <c r="M2967">
        <v>0.99993659999999995</v>
      </c>
      <c r="N2967">
        <v>0</v>
      </c>
      <c r="O2967">
        <v>-1.1841180000000001E-3</v>
      </c>
      <c r="P2967">
        <v>0.99845779999999995</v>
      </c>
      <c r="Q2967">
        <v>-4.0464480000000001E-4</v>
      </c>
      <c r="R2967">
        <v>-5.5515910000000002E-2</v>
      </c>
      <c r="S2967">
        <v>3.0078130000000001</v>
      </c>
      <c r="T2967">
        <v>-9.9066730000000006E-2</v>
      </c>
      <c r="U2967">
        <v>6.1325070000000002E-2</v>
      </c>
      <c r="V2967">
        <v>5.432733E-2</v>
      </c>
      <c r="W2967">
        <v>1.0811899999999999E-2</v>
      </c>
      <c r="X2967">
        <v>0.99846460000000004</v>
      </c>
      <c r="Y2967">
        <v>-2.1555970000000001E-2</v>
      </c>
      <c r="Z2967">
        <v>3.9384430000000001E-4</v>
      </c>
      <c r="AA2967">
        <v>0.99976750000000003</v>
      </c>
      <c r="AB2967">
        <v>16</v>
      </c>
      <c r="AC2967">
        <v>33.556100000000001</v>
      </c>
      <c r="AD2967">
        <v>-1.1104480455929999</v>
      </c>
      <c r="AE2967">
        <v>0.68680000000000496</v>
      </c>
      <c r="AF2967">
        <v>-0.72574196514747502</v>
      </c>
      <c r="AG2967">
        <v>-1.1104480455929999</v>
      </c>
      <c r="AH2967">
        <v>33.518572371327302</v>
      </c>
      <c r="AI2967">
        <v>91.897032845426693</v>
      </c>
      <c r="AJ2967">
        <v>91.240370712232107</v>
      </c>
      <c r="AK2967">
        <v>33.544813162005298</v>
      </c>
      <c r="AL2967">
        <v>89.380511664857707</v>
      </c>
      <c r="AM2967">
        <v>86.8855577062495</v>
      </c>
      <c r="AN2967">
        <v>0.99999995670984798</v>
      </c>
    </row>
    <row r="2968" spans="1:40" x14ac:dyDescent="0.25">
      <c r="A2968" t="str">
        <f>"20190312161019206"</f>
        <v>20190312161019206</v>
      </c>
      <c r="B2968" t="str">
        <f>"1552378219199390"</f>
        <v>1552378219199390</v>
      </c>
      <c r="C2968" t="s">
        <v>40</v>
      </c>
      <c r="D2968">
        <v>5.068994</v>
      </c>
      <c r="E2968">
        <v>0.47217150000000002</v>
      </c>
      <c r="F2968" t="s">
        <v>74</v>
      </c>
      <c r="G2968">
        <v>-418.0872</v>
      </c>
      <c r="H2968" s="1">
        <v>3.8092049999999998E-6</v>
      </c>
      <c r="I2968">
        <v>212.6842</v>
      </c>
      <c r="J2968">
        <v>-452.29579999999999</v>
      </c>
      <c r="K2968">
        <v>1.110436</v>
      </c>
      <c r="L2968">
        <v>211.99520000000001</v>
      </c>
      <c r="M2968">
        <v>0.99993759999999998</v>
      </c>
      <c r="N2968">
        <v>0</v>
      </c>
      <c r="O2968">
        <v>-4.7482770000000001E-4</v>
      </c>
      <c r="P2968">
        <v>0.99844500000000003</v>
      </c>
      <c r="Q2968">
        <v>9.7356739999999997E-4</v>
      </c>
      <c r="R2968">
        <v>-5.5740039999999998E-2</v>
      </c>
      <c r="S2968">
        <v>3.0079959999999999</v>
      </c>
      <c r="T2968">
        <v>-9.7174999999999997E-2</v>
      </c>
      <c r="U2968">
        <v>6.0348510000000001E-2</v>
      </c>
      <c r="V2968">
        <v>5.5259330000000002E-2</v>
      </c>
      <c r="W2968">
        <v>1.215983E-2</v>
      </c>
      <c r="X2968">
        <v>0.99839800000000001</v>
      </c>
      <c r="Y2968">
        <v>-2.0522470000000001E-2</v>
      </c>
      <c r="Z2968">
        <v>3.4671039999999999E-4</v>
      </c>
      <c r="AA2968">
        <v>0.99978940000000005</v>
      </c>
      <c r="AB2968">
        <v>16</v>
      </c>
      <c r="AC2968">
        <v>34.208599999999898</v>
      </c>
      <c r="AD2968">
        <v>-1.1104321907950001</v>
      </c>
      <c r="AE2968">
        <v>0.68899999999999195</v>
      </c>
      <c r="AF2968">
        <v>-0.70450209811226705</v>
      </c>
      <c r="AG2968">
        <v>-1.1104321907950001</v>
      </c>
      <c r="AH2968">
        <v>34.1722765293961</v>
      </c>
      <c r="AI2968">
        <v>91.860783140556904</v>
      </c>
      <c r="AJ2968">
        <v>91.181053289270295</v>
      </c>
      <c r="AK2968">
        <v>34.197571054946501</v>
      </c>
      <c r="AL2968">
        <v>89.303275898372206</v>
      </c>
      <c r="AM2968">
        <v>86.832025625913403</v>
      </c>
      <c r="AN2968">
        <v>1.00000001071083</v>
      </c>
    </row>
    <row r="2969" spans="1:40" x14ac:dyDescent="0.25">
      <c r="A2969" t="str">
        <f>"20190312161019229"</f>
        <v>20190312161019229</v>
      </c>
      <c r="B2969" t="str">
        <f>"1552378219218909"</f>
        <v>1552378219218909</v>
      </c>
      <c r="C2969" t="s">
        <v>40</v>
      </c>
      <c r="D2969">
        <v>5.1864179999999998</v>
      </c>
      <c r="E2969">
        <v>0.4721321</v>
      </c>
      <c r="F2969" t="s">
        <v>74</v>
      </c>
      <c r="G2969">
        <v>-416.70519999999999</v>
      </c>
      <c r="H2969" s="1">
        <v>3.5617460000000001E-6</v>
      </c>
      <c r="I2969">
        <v>212.7107</v>
      </c>
      <c r="J2969">
        <v>-452.12639999999999</v>
      </c>
      <c r="K2969">
        <v>1.1104099999999999</v>
      </c>
      <c r="L2969">
        <v>211.99600000000001</v>
      </c>
      <c r="M2969">
        <v>0.99993799999999999</v>
      </c>
      <c r="N2969">
        <v>0</v>
      </c>
      <c r="O2969">
        <v>1.9867919999999999E-4</v>
      </c>
      <c r="P2969">
        <v>0.99842889999999995</v>
      </c>
      <c r="Q2969">
        <v>1.7363649999999999E-3</v>
      </c>
      <c r="R2969">
        <v>-5.6007849999999998E-2</v>
      </c>
      <c r="S2969">
        <v>3.0081790000000002</v>
      </c>
      <c r="T2969">
        <v>-9.3855739999999993E-2</v>
      </c>
      <c r="U2969">
        <v>6.0470580000000003E-2</v>
      </c>
      <c r="V2969">
        <v>5.6200119999999999E-2</v>
      </c>
      <c r="W2969">
        <v>1.2889329999999999E-2</v>
      </c>
      <c r="X2969">
        <v>0.99833629999999995</v>
      </c>
      <c r="Y2969">
        <v>-1.9889770000000001E-2</v>
      </c>
      <c r="Z2969">
        <v>3.0397840000000002E-4</v>
      </c>
      <c r="AA2969">
        <v>0.99980210000000003</v>
      </c>
      <c r="AB2969">
        <v>16</v>
      </c>
      <c r="AC2969">
        <v>35.421199999999999</v>
      </c>
      <c r="AD2969">
        <v>-1.110406438254</v>
      </c>
      <c r="AE2969">
        <v>0.71470000000002099</v>
      </c>
      <c r="AF2969">
        <v>-0.70696761335627301</v>
      </c>
      <c r="AG2969">
        <v>-1.110406438254</v>
      </c>
      <c r="AH2969">
        <v>35.386579748921903</v>
      </c>
      <c r="AI2969">
        <v>91.796953894661499</v>
      </c>
      <c r="AJ2969">
        <v>91.144526340056402</v>
      </c>
      <c r="AK2969">
        <v>35.411055222786899</v>
      </c>
      <c r="AL2969">
        <v>89.261475324005204</v>
      </c>
      <c r="AM2969">
        <v>86.778004842816401</v>
      </c>
      <c r="AN2969">
        <v>0.99999997810677599</v>
      </c>
    </row>
    <row r="2970" spans="1:40" x14ac:dyDescent="0.25">
      <c r="A2970" t="str">
        <f>"20190312161019271"</f>
        <v>20190312161019271</v>
      </c>
      <c r="B2970" t="str">
        <f>"1552378219258926"</f>
        <v>1552378219258926</v>
      </c>
      <c r="C2970" t="s">
        <v>40</v>
      </c>
      <c r="D2970">
        <v>5.2620839999999998</v>
      </c>
      <c r="E2970">
        <v>0.47213699999999997</v>
      </c>
      <c r="F2970" t="s">
        <v>74</v>
      </c>
      <c r="G2970">
        <v>-416.08249999999998</v>
      </c>
      <c r="H2970" s="1">
        <v>3.4507970000000002E-6</v>
      </c>
      <c r="I2970">
        <v>212.71610000000001</v>
      </c>
      <c r="J2970">
        <v>-451.83139999999997</v>
      </c>
      <c r="K2970">
        <v>1.1103670000000001</v>
      </c>
      <c r="L2970">
        <v>211.9974</v>
      </c>
      <c r="M2970">
        <v>0.99993779999999999</v>
      </c>
      <c r="N2970">
        <v>0</v>
      </c>
      <c r="O2970">
        <v>1.272334E-3</v>
      </c>
      <c r="P2970">
        <v>0.99834880000000004</v>
      </c>
      <c r="Q2970">
        <v>2.9768780000000001E-3</v>
      </c>
      <c r="R2970">
        <v>-5.7368509999999998E-2</v>
      </c>
      <c r="S2970">
        <v>3.0082399999999998</v>
      </c>
      <c r="T2970">
        <v>-9.2674969999999995E-2</v>
      </c>
      <c r="U2970">
        <v>6.0104369999999997E-2</v>
      </c>
      <c r="V2970">
        <v>5.8633070000000002E-2</v>
      </c>
      <c r="W2970">
        <v>1.4069399999999999E-2</v>
      </c>
      <c r="X2970">
        <v>0.99818039999999997</v>
      </c>
      <c r="Y2970">
        <v>-1.8695489999999999E-2</v>
      </c>
      <c r="Z2970">
        <v>2.4869349999999998E-4</v>
      </c>
      <c r="AA2970">
        <v>0.99982519999999997</v>
      </c>
      <c r="AB2970">
        <v>16</v>
      </c>
      <c r="AC2970">
        <v>35.7488999999999</v>
      </c>
      <c r="AD2970">
        <v>-1.110363549203</v>
      </c>
      <c r="AE2970">
        <v>0.718700000000012</v>
      </c>
      <c r="AF2970">
        <v>-0.67256350585598901</v>
      </c>
      <c r="AG2970">
        <v>-1.110363549203</v>
      </c>
      <c r="AH2970">
        <v>35.715343860125898</v>
      </c>
      <c r="AI2970">
        <v>91.780394278253098</v>
      </c>
      <c r="AJ2970">
        <v>91.078821932279993</v>
      </c>
      <c r="AK2970">
        <v>35.738928858149002</v>
      </c>
      <c r="AL2970">
        <v>89.193856120485094</v>
      </c>
      <c r="AM2970">
        <v>86.638311410772502</v>
      </c>
      <c r="AN2970">
        <v>0.99999994792907099</v>
      </c>
    </row>
    <row r="2971" spans="1:40" x14ac:dyDescent="0.25">
      <c r="A2971" t="str">
        <f>"20190312161019293"</f>
        <v>20190312161019293</v>
      </c>
      <c r="B2971" t="str">
        <f>"1552378219289182"</f>
        <v>1552378219289182</v>
      </c>
      <c r="C2971" t="s">
        <v>40</v>
      </c>
      <c r="D2971">
        <v>5.2222720000000002</v>
      </c>
      <c r="E2971">
        <v>0.47199540000000001</v>
      </c>
      <c r="F2971" t="s">
        <v>74</v>
      </c>
      <c r="G2971">
        <v>-416.13780000000003</v>
      </c>
      <c r="H2971" s="1">
        <v>3.4652010000000001E-6</v>
      </c>
      <c r="I2971">
        <v>212.6636</v>
      </c>
      <c r="J2971">
        <v>-451.67309999999998</v>
      </c>
      <c r="K2971">
        <v>1.1103499999999999</v>
      </c>
      <c r="L2971">
        <v>211.9982</v>
      </c>
      <c r="M2971">
        <v>0.99993730000000003</v>
      </c>
      <c r="N2971">
        <v>0</v>
      </c>
      <c r="O2971">
        <v>1.7909099999999999E-3</v>
      </c>
      <c r="P2971">
        <v>0.99834769999999995</v>
      </c>
      <c r="Q2971">
        <v>3.7741770000000001E-3</v>
      </c>
      <c r="R2971">
        <v>-5.7342169999999998E-2</v>
      </c>
      <c r="S2971">
        <v>3.0085139999999999</v>
      </c>
      <c r="T2971">
        <v>-9.3589430000000001E-2</v>
      </c>
      <c r="U2971">
        <v>5.6152340000000002E-2</v>
      </c>
      <c r="V2971">
        <v>5.912477E-2</v>
      </c>
      <c r="W2971">
        <v>1.4837019999999999E-2</v>
      </c>
      <c r="X2971">
        <v>0.99814029999999998</v>
      </c>
      <c r="Y2971">
        <v>-1.6863199999999998E-2</v>
      </c>
      <c r="Z2971">
        <v>2.0650869999999999E-4</v>
      </c>
      <c r="AA2971">
        <v>0.99985780000000002</v>
      </c>
      <c r="AB2971">
        <v>16</v>
      </c>
      <c r="AC2971">
        <v>35.5352999999999</v>
      </c>
      <c r="AD2971">
        <v>-1.110346534799</v>
      </c>
      <c r="AE2971">
        <v>0.66540000000000499</v>
      </c>
      <c r="AF2971">
        <v>-0.60116778715952401</v>
      </c>
      <c r="AG2971">
        <v>-1.110346534799</v>
      </c>
      <c r="AH2971">
        <v>35.501785402930203</v>
      </c>
      <c r="AI2971">
        <v>91.791130455008897</v>
      </c>
      <c r="AJ2971">
        <v>90.9701226274845</v>
      </c>
      <c r="AK2971">
        <v>35.5242317148643</v>
      </c>
      <c r="AL2971">
        <v>89.149870152617197</v>
      </c>
      <c r="AM2971">
        <v>86.610049713876506</v>
      </c>
      <c r="AN2971">
        <v>0.99999996703706096</v>
      </c>
    </row>
    <row r="2972" spans="1:40" x14ac:dyDescent="0.25">
      <c r="A2972" t="str">
        <f>"20190312161019316"</f>
        <v>20190312161019316</v>
      </c>
      <c r="B2972" t="str">
        <f>"1552378219308701"</f>
        <v>1552378219308701</v>
      </c>
      <c r="C2972" t="s">
        <v>40</v>
      </c>
      <c r="D2972">
        <v>5.2534789999999996</v>
      </c>
      <c r="E2972">
        <v>0.47186889999999998</v>
      </c>
      <c r="F2972" t="s">
        <v>74</v>
      </c>
      <c r="G2972">
        <v>-416.18869999999998</v>
      </c>
      <c r="H2972" s="1">
        <v>3.4732859999999999E-6</v>
      </c>
      <c r="I2972">
        <v>212.67439999999999</v>
      </c>
      <c r="J2972">
        <v>-451.50819999999999</v>
      </c>
      <c r="K2972">
        <v>1.110328</v>
      </c>
      <c r="L2972">
        <v>211.9991</v>
      </c>
      <c r="M2972">
        <v>0.99993650000000001</v>
      </c>
      <c r="N2972">
        <v>0</v>
      </c>
      <c r="O2972">
        <v>2.283219E-3</v>
      </c>
      <c r="P2972">
        <v>0.99835830000000003</v>
      </c>
      <c r="Q2972">
        <v>4.1341729999999997E-3</v>
      </c>
      <c r="R2972">
        <v>-5.7127989999999997E-2</v>
      </c>
      <c r="S2972">
        <v>3.0086360000000001</v>
      </c>
      <c r="T2972">
        <v>-9.414351E-2</v>
      </c>
      <c r="U2972">
        <v>5.732727E-2</v>
      </c>
      <c r="V2972">
        <v>5.9402910000000003E-2</v>
      </c>
      <c r="W2972">
        <v>1.516934E-2</v>
      </c>
      <c r="X2972">
        <v>0.99811879999999997</v>
      </c>
      <c r="Y2972">
        <v>-1.6760710000000002E-2</v>
      </c>
      <c r="Z2972">
        <v>1.9071809999999999E-4</v>
      </c>
      <c r="AA2972">
        <v>0.99985950000000001</v>
      </c>
      <c r="AB2972">
        <v>16</v>
      </c>
      <c r="AC2972">
        <v>35.319499999999998</v>
      </c>
      <c r="AD2972">
        <v>-1.1103245267140001</v>
      </c>
      <c r="AE2972">
        <v>0.67529999999999202</v>
      </c>
      <c r="AF2972">
        <v>-0.59406430040428004</v>
      </c>
      <c r="AG2972">
        <v>-1.1103245267140001</v>
      </c>
      <c r="AH2972">
        <v>35.286090825328699</v>
      </c>
      <c r="AI2972">
        <v>91.802039244204593</v>
      </c>
      <c r="AJ2972">
        <v>90.964520610861499</v>
      </c>
      <c r="AK2972">
        <v>35.308553335997502</v>
      </c>
      <c r="AL2972">
        <v>89.130827483569206</v>
      </c>
      <c r="AM2972">
        <v>86.594066669751001</v>
      </c>
      <c r="AN2972">
        <v>0.99999997675297103</v>
      </c>
    </row>
    <row r="2973" spans="1:40" x14ac:dyDescent="0.25">
      <c r="A2973" t="str">
        <f>"20190312161019337"</f>
        <v>20190312161019337</v>
      </c>
      <c r="B2973" t="str">
        <f>"1552378219329197"</f>
        <v>1552378219329197</v>
      </c>
      <c r="C2973" t="s">
        <v>40</v>
      </c>
      <c r="D2973">
        <v>5.2507400000000004</v>
      </c>
      <c r="E2973">
        <v>0.47178350000000002</v>
      </c>
      <c r="F2973" t="s">
        <v>74</v>
      </c>
      <c r="G2973">
        <v>-415.80110000000002</v>
      </c>
      <c r="H2973" s="1">
        <v>3.4021539999999998E-6</v>
      </c>
      <c r="I2973">
        <v>212.70179999999999</v>
      </c>
      <c r="J2973">
        <v>-451.35669999999999</v>
      </c>
      <c r="K2973">
        <v>1.110304</v>
      </c>
      <c r="L2973">
        <v>212</v>
      </c>
      <c r="M2973">
        <v>0.99993589999999999</v>
      </c>
      <c r="N2973">
        <v>0</v>
      </c>
      <c r="O2973">
        <v>2.6759599999999998E-3</v>
      </c>
      <c r="P2973">
        <v>0.99835229999999997</v>
      </c>
      <c r="Q2973">
        <v>4.5628450000000003E-3</v>
      </c>
      <c r="R2973">
        <v>-5.7203530000000002E-2</v>
      </c>
      <c r="S2973">
        <v>3.0087280000000001</v>
      </c>
      <c r="T2973">
        <v>-9.3557479999999998E-2</v>
      </c>
      <c r="U2973">
        <v>5.9204100000000003E-2</v>
      </c>
      <c r="V2973">
        <v>5.9871300000000002E-2</v>
      </c>
      <c r="W2973">
        <v>1.5572219999999999E-2</v>
      </c>
      <c r="X2973">
        <v>0.99808459999999999</v>
      </c>
      <c r="Y2973">
        <v>-1.6991050000000001E-2</v>
      </c>
      <c r="Z2973">
        <v>1.8089589999999999E-4</v>
      </c>
      <c r="AA2973">
        <v>0.99985559999999996</v>
      </c>
      <c r="AB2973">
        <v>16</v>
      </c>
      <c r="AC2973">
        <v>35.555599999999899</v>
      </c>
      <c r="AD2973">
        <v>-1.1103005978460001</v>
      </c>
      <c r="AE2973">
        <v>0.70179999999999099</v>
      </c>
      <c r="AF2973">
        <v>-0.60605560871784103</v>
      </c>
      <c r="AG2973">
        <v>-1.1103005978460001</v>
      </c>
      <c r="AH2973">
        <v>35.522724791703197</v>
      </c>
      <c r="AI2973">
        <v>91.789997444745296</v>
      </c>
      <c r="AJ2973">
        <v>90.977432337349995</v>
      </c>
      <c r="AK2973">
        <v>35.545239448420098</v>
      </c>
      <c r="AL2973">
        <v>89.107741423801798</v>
      </c>
      <c r="AM2973">
        <v>86.567157622852704</v>
      </c>
      <c r="AN2973">
        <v>0.99999996767828803</v>
      </c>
    </row>
    <row r="2974" spans="1:40" x14ac:dyDescent="0.25">
      <c r="A2974" t="str">
        <f>"20190312161019360"</f>
        <v>20190312161019360</v>
      </c>
      <c r="B2974" t="str">
        <f>"1552378219348719"</f>
        <v>1552378219348719</v>
      </c>
      <c r="C2974" t="s">
        <v>40</v>
      </c>
      <c r="D2974">
        <v>5.2535689999999997</v>
      </c>
      <c r="E2974">
        <v>0.47169509999999998</v>
      </c>
      <c r="F2974" t="s">
        <v>74</v>
      </c>
      <c r="G2974">
        <v>-416.33359999999999</v>
      </c>
      <c r="H2974" s="1">
        <v>3.4971719999999998E-6</v>
      </c>
      <c r="I2974">
        <v>212.6952</v>
      </c>
      <c r="J2974">
        <v>-451.20030000000003</v>
      </c>
      <c r="K2974">
        <v>1.110263</v>
      </c>
      <c r="L2974">
        <v>212.0008</v>
      </c>
      <c r="M2974">
        <v>0.99993509999999997</v>
      </c>
      <c r="N2974">
        <v>0</v>
      </c>
      <c r="O2974">
        <v>3.0114859999999999E-3</v>
      </c>
      <c r="P2974">
        <v>0.99833459999999996</v>
      </c>
      <c r="Q2974">
        <v>5.3420179999999996E-3</v>
      </c>
      <c r="R2974">
        <v>-5.7443220000000003E-2</v>
      </c>
      <c r="S2974">
        <v>3.0088200000000001</v>
      </c>
      <c r="T2974">
        <v>-9.5385310000000001E-2</v>
      </c>
      <c r="U2974">
        <v>5.9722900000000002E-2</v>
      </c>
      <c r="V2974">
        <v>6.0446920000000001E-2</v>
      </c>
      <c r="W2974">
        <v>1.631647E-2</v>
      </c>
      <c r="X2974">
        <v>0.99803810000000004</v>
      </c>
      <c r="Y2974">
        <v>-1.6827269999999998E-2</v>
      </c>
      <c r="Z2974">
        <v>1.711936E-4</v>
      </c>
      <c r="AA2974">
        <v>0.99985840000000004</v>
      </c>
      <c r="AB2974">
        <v>16</v>
      </c>
      <c r="AC2974">
        <v>34.866700000000002</v>
      </c>
      <c r="AD2974">
        <v>-1.110259502828</v>
      </c>
      <c r="AE2974">
        <v>0.69440000000000102</v>
      </c>
      <c r="AF2974">
        <v>-0.58879314825384699</v>
      </c>
      <c r="AG2974">
        <v>-1.110259502828</v>
      </c>
      <c r="AH2974">
        <v>34.833327054913099</v>
      </c>
      <c r="AI2974">
        <v>91.825337506326804</v>
      </c>
      <c r="AJ2974">
        <v>90.968387256841595</v>
      </c>
      <c r="AK2974">
        <v>34.855989833163399</v>
      </c>
      <c r="AL2974">
        <v>89.065093696136003</v>
      </c>
      <c r="AM2974">
        <v>86.5340722681876</v>
      </c>
      <c r="AN2974">
        <v>1.0000000531911699</v>
      </c>
    </row>
    <row r="2975" spans="1:40" x14ac:dyDescent="0.25">
      <c r="A2975" t="str">
        <f>"20190312161019383"</f>
        <v>20190312161019383</v>
      </c>
      <c r="B2975" t="str">
        <f>"1552378219378976"</f>
        <v>1552378219378976</v>
      </c>
      <c r="C2975" t="s">
        <v>40</v>
      </c>
      <c r="D2975">
        <v>5.2806620000000004</v>
      </c>
      <c r="E2975">
        <v>0.47151460000000001</v>
      </c>
      <c r="F2975" t="s">
        <v>74</v>
      </c>
      <c r="G2975">
        <v>-416.23689999999999</v>
      </c>
      <c r="H2975" s="1">
        <v>3.4799330000000002E-6</v>
      </c>
      <c r="I2975">
        <v>212.6962</v>
      </c>
      <c r="J2975">
        <v>-451.03059999999999</v>
      </c>
      <c r="K2975">
        <v>1.1102030000000001</v>
      </c>
      <c r="L2975">
        <v>212.0017</v>
      </c>
      <c r="M2975">
        <v>0.99993469999999995</v>
      </c>
      <c r="N2975">
        <v>0</v>
      </c>
      <c r="O2975">
        <v>3.2873949999999998E-3</v>
      </c>
      <c r="P2975">
        <v>0.99835640000000003</v>
      </c>
      <c r="Q2975">
        <v>6.0117579999999999E-3</v>
      </c>
      <c r="R2975">
        <v>-5.6997399999999997E-2</v>
      </c>
      <c r="S2975">
        <v>3.008972</v>
      </c>
      <c r="T2975">
        <v>-9.5549700000000001E-2</v>
      </c>
      <c r="U2975">
        <v>5.9844969999999997E-2</v>
      </c>
      <c r="V2975">
        <v>6.0278709999999999E-2</v>
      </c>
      <c r="W2975">
        <v>1.6939610000000001E-2</v>
      </c>
      <c r="X2975">
        <v>0.99803779999999997</v>
      </c>
      <c r="Y2975">
        <v>-1.6591160000000001E-2</v>
      </c>
      <c r="Z2975">
        <v>1.5897360000000001E-4</v>
      </c>
      <c r="AA2975">
        <v>0.99986240000000004</v>
      </c>
      <c r="AB2975">
        <v>16</v>
      </c>
      <c r="AC2975">
        <v>34.793700000000001</v>
      </c>
      <c r="AD2975">
        <v>-1.1101995200669901</v>
      </c>
      <c r="AE2975">
        <v>0.694500000000005</v>
      </c>
      <c r="AF2975">
        <v>-0.57951897262034502</v>
      </c>
      <c r="AG2975">
        <v>-1.1101995200669901</v>
      </c>
      <c r="AH2975">
        <v>34.760418866845903</v>
      </c>
      <c r="AI2975">
        <v>91.8290718013928</v>
      </c>
      <c r="AJ2975">
        <v>90.955135655266005</v>
      </c>
      <c r="AK2975">
        <v>34.782971480489799</v>
      </c>
      <c r="AL2975">
        <v>89.029385379790796</v>
      </c>
      <c r="AM2975">
        <v>86.543692704811505</v>
      </c>
      <c r="AN2975">
        <v>0.99999996174752703</v>
      </c>
    </row>
    <row r="2976" spans="1:40" x14ac:dyDescent="0.25">
      <c r="A2976" t="str">
        <f>"20190312161019428"</f>
        <v>20190312161019428</v>
      </c>
      <c r="B2976" t="str">
        <f>"1552378219418990"</f>
        <v>1552378219418990</v>
      </c>
      <c r="C2976" t="s">
        <v>40</v>
      </c>
      <c r="D2976">
        <v>5.2760379999999998</v>
      </c>
      <c r="E2976">
        <v>0.47143469999999998</v>
      </c>
      <c r="F2976" t="s">
        <v>74</v>
      </c>
      <c r="G2976">
        <v>-416.70100000000002</v>
      </c>
      <c r="H2976" s="1">
        <v>3.5602499999999999E-6</v>
      </c>
      <c r="I2976">
        <v>212.7191</v>
      </c>
      <c r="J2976">
        <v>-450.71620000000001</v>
      </c>
      <c r="K2976">
        <v>1.1100749999999999</v>
      </c>
      <c r="L2976">
        <v>212.00309999999999</v>
      </c>
      <c r="M2976">
        <v>0.99993509999999997</v>
      </c>
      <c r="N2976">
        <v>0</v>
      </c>
      <c r="O2976">
        <v>3.514648E-3</v>
      </c>
      <c r="P2976">
        <v>0.99839900000000004</v>
      </c>
      <c r="Q2976">
        <v>6.7042279999999996E-3</v>
      </c>
      <c r="R2976">
        <v>-5.6168059999999999E-2</v>
      </c>
      <c r="S2976">
        <v>3.009125</v>
      </c>
      <c r="T2976">
        <v>-9.7313280000000002E-2</v>
      </c>
      <c r="U2976">
        <v>6.2881469999999995E-2</v>
      </c>
      <c r="V2976">
        <v>5.9680919999999998E-2</v>
      </c>
      <c r="W2976">
        <v>1.7523179999999999E-2</v>
      </c>
      <c r="X2976">
        <v>0.9980637</v>
      </c>
      <c r="Y2976">
        <v>-1.7370920000000001E-2</v>
      </c>
      <c r="Z2976">
        <v>1.671535E-4</v>
      </c>
      <c r="AA2976">
        <v>0.99984910000000005</v>
      </c>
      <c r="AB2976">
        <v>16</v>
      </c>
      <c r="AC2976">
        <v>34.0152</v>
      </c>
      <c r="AD2976">
        <v>-1.11007143975</v>
      </c>
      <c r="AE2976">
        <v>0.71600000000000796</v>
      </c>
      <c r="AF2976">
        <v>-0.59580284362026303</v>
      </c>
      <c r="AG2976">
        <v>-1.11007143975</v>
      </c>
      <c r="AH2976">
        <v>33.981331913406699</v>
      </c>
      <c r="AI2976">
        <v>91.870734066716295</v>
      </c>
      <c r="AJ2976">
        <v>91.004477723974404</v>
      </c>
      <c r="AK2976">
        <v>34.0046784757469</v>
      </c>
      <c r="AL2976">
        <v>88.9959443650541</v>
      </c>
      <c r="AM2976">
        <v>86.577975978376998</v>
      </c>
      <c r="AN2976">
        <v>1.0000000116535199</v>
      </c>
    </row>
    <row r="2977" spans="1:40" x14ac:dyDescent="0.25">
      <c r="A2977" t="str">
        <f>"20190312161019449"</f>
        <v>20190312161019449</v>
      </c>
      <c r="B2977" t="str">
        <f>"1552378219439486"</f>
        <v>1552378219439486</v>
      </c>
      <c r="C2977" t="s">
        <v>40</v>
      </c>
      <c r="D2977">
        <v>5.4607760000000001</v>
      </c>
      <c r="E2977">
        <v>0.47142010000000001</v>
      </c>
      <c r="F2977" t="s">
        <v>74</v>
      </c>
      <c r="G2977">
        <v>-417.1653</v>
      </c>
      <c r="H2977" s="1">
        <v>3.6408829999999999E-6</v>
      </c>
      <c r="I2977">
        <v>212.7389</v>
      </c>
      <c r="J2977">
        <v>-450.56369999999998</v>
      </c>
      <c r="K2977">
        <v>1.1100270000000001</v>
      </c>
      <c r="L2977">
        <v>212.00360000000001</v>
      </c>
      <c r="M2977">
        <v>0.99993549999999998</v>
      </c>
      <c r="N2977">
        <v>0</v>
      </c>
      <c r="O2977">
        <v>3.5195270000000002E-3</v>
      </c>
      <c r="P2977">
        <v>0.99841800000000003</v>
      </c>
      <c r="Q2977">
        <v>6.8520330000000004E-3</v>
      </c>
      <c r="R2977">
        <v>-5.5811029999999998E-2</v>
      </c>
      <c r="S2977">
        <v>3.0091549999999998</v>
      </c>
      <c r="T2977">
        <v>-9.9561570000000002E-2</v>
      </c>
      <c r="U2977">
        <v>6.5994259999999999E-2</v>
      </c>
      <c r="V2977">
        <v>5.9330330000000001E-2</v>
      </c>
      <c r="W2977">
        <v>1.7613759999999999E-2</v>
      </c>
      <c r="X2977">
        <v>0.99808300000000005</v>
      </c>
      <c r="Y2977">
        <v>-1.8398729999999999E-2</v>
      </c>
      <c r="Z2977">
        <v>1.8784490000000001E-4</v>
      </c>
      <c r="AA2977">
        <v>0.99983069999999996</v>
      </c>
      <c r="AB2977">
        <v>16</v>
      </c>
      <c r="AC2977">
        <v>33.398399999999903</v>
      </c>
      <c r="AD2977">
        <v>-1.1100233591169999</v>
      </c>
      <c r="AE2977">
        <v>0.73529999999999496</v>
      </c>
      <c r="AF2977">
        <v>-0.61706073329176903</v>
      </c>
      <c r="AG2977">
        <v>-1.1100233591169999</v>
      </c>
      <c r="AH2977">
        <v>33.3639445537667</v>
      </c>
      <c r="AI2977">
        <v>91.905210587216999</v>
      </c>
      <c r="AJ2977">
        <v>91.059555333102594</v>
      </c>
      <c r="AK2977">
        <v>33.388107343681199</v>
      </c>
      <c r="AL2977">
        <v>88.990753704308901</v>
      </c>
      <c r="AM2977">
        <v>86.598096616698697</v>
      </c>
      <c r="AN2977">
        <v>1.0000000037441199</v>
      </c>
    </row>
    <row r="2978" spans="1:40" x14ac:dyDescent="0.25">
      <c r="A2978" t="str">
        <f>"20190312161019471"</f>
        <v>20190312161019471</v>
      </c>
      <c r="B2978" t="str">
        <f>"1552378219459006"</f>
        <v>1552378219459006</v>
      </c>
      <c r="C2978" t="s">
        <v>40</v>
      </c>
      <c r="D2978">
        <v>5.319261</v>
      </c>
      <c r="E2978">
        <v>0.4714392</v>
      </c>
      <c r="F2978" t="s">
        <v>74</v>
      </c>
      <c r="G2978">
        <v>-417.19409999999999</v>
      </c>
      <c r="H2978" s="1">
        <v>3.6450120000000002E-6</v>
      </c>
      <c r="I2978">
        <v>212.75020000000001</v>
      </c>
      <c r="J2978">
        <v>-450.40320000000003</v>
      </c>
      <c r="K2978">
        <v>1.1099939999999999</v>
      </c>
      <c r="L2978">
        <v>212.00409999999999</v>
      </c>
      <c r="M2978">
        <v>0.9999363</v>
      </c>
      <c r="N2978">
        <v>0</v>
      </c>
      <c r="O2978">
        <v>3.4694560000000001E-3</v>
      </c>
      <c r="P2978">
        <v>0.99842439999999999</v>
      </c>
      <c r="Q2978">
        <v>6.5459259999999997E-3</v>
      </c>
      <c r="R2978">
        <v>-5.573256E-2</v>
      </c>
      <c r="S2978">
        <v>3.0091860000000001</v>
      </c>
      <c r="T2978">
        <v>-0.1000993</v>
      </c>
      <c r="U2978">
        <v>6.7321779999999998E-2</v>
      </c>
      <c r="V2978">
        <v>5.9202690000000002E-2</v>
      </c>
      <c r="W2978">
        <v>1.7249980000000002E-2</v>
      </c>
      <c r="X2978">
        <v>0.99809689999999995</v>
      </c>
      <c r="Y2978">
        <v>-1.8889050000000001E-2</v>
      </c>
      <c r="Z2978">
        <v>1.9867299999999999E-4</v>
      </c>
      <c r="AA2978">
        <v>0.99982150000000003</v>
      </c>
      <c r="AB2978">
        <v>16</v>
      </c>
      <c r="AC2978">
        <v>33.209099999999999</v>
      </c>
      <c r="AD2978">
        <v>-1.1099903549879999</v>
      </c>
      <c r="AE2978">
        <v>0.74610000000001198</v>
      </c>
      <c r="AF2978">
        <v>-0.630167694249953</v>
      </c>
      <c r="AG2978">
        <v>-1.1099903549879999</v>
      </c>
      <c r="AH2978">
        <v>33.174445597054003</v>
      </c>
      <c r="AI2978">
        <v>91.916010542425099</v>
      </c>
      <c r="AJ2978">
        <v>91.088235442376302</v>
      </c>
      <c r="AK2978">
        <v>33.198991409121703</v>
      </c>
      <c r="AL2978">
        <v>89.011599898213504</v>
      </c>
      <c r="AM2978">
        <v>86.605445315373203</v>
      </c>
      <c r="AN2978">
        <v>0.99999997105142202</v>
      </c>
    </row>
    <row r="2979" spans="1:40" x14ac:dyDescent="0.25">
      <c r="A2979" t="str">
        <f>"20190312161019496"</f>
        <v>20190312161019496</v>
      </c>
      <c r="B2979" t="str">
        <f>"1552378219489261"</f>
        <v>1552378219489261</v>
      </c>
      <c r="C2979" t="s">
        <v>40</v>
      </c>
      <c r="D2979">
        <v>5.359578</v>
      </c>
      <c r="E2979">
        <v>0.47146779999999999</v>
      </c>
      <c r="F2979" t="s">
        <v>74</v>
      </c>
      <c r="G2979">
        <v>-417.57330000000002</v>
      </c>
      <c r="H2979" s="1">
        <v>3.7130630000000001E-6</v>
      </c>
      <c r="I2979">
        <v>212.74109999999999</v>
      </c>
      <c r="J2979">
        <v>-450.22989999999999</v>
      </c>
      <c r="K2979">
        <v>1.109964</v>
      </c>
      <c r="L2979">
        <v>212.00460000000001</v>
      </c>
      <c r="M2979">
        <v>0.99993750000000003</v>
      </c>
      <c r="N2979">
        <v>0</v>
      </c>
      <c r="O2979">
        <v>3.3484959999999999E-3</v>
      </c>
      <c r="P2979">
        <v>0.99840930000000006</v>
      </c>
      <c r="Q2979">
        <v>5.8755889999999996E-3</v>
      </c>
      <c r="R2979">
        <v>-5.6077719999999998E-2</v>
      </c>
      <c r="S2979">
        <v>3.0092159999999999</v>
      </c>
      <c r="T2979">
        <v>-0.1017425</v>
      </c>
      <c r="U2979">
        <v>6.7550659999999998E-2</v>
      </c>
      <c r="V2979">
        <v>5.9426989999999999E-2</v>
      </c>
      <c r="W2979">
        <v>1.651528E-2</v>
      </c>
      <c r="X2979">
        <v>0.99809599999999998</v>
      </c>
      <c r="Y2979">
        <v>-1.9085319999999999E-2</v>
      </c>
      <c r="Z2979">
        <v>2.0933510000000001E-4</v>
      </c>
      <c r="AA2979">
        <v>0.99981779999999998</v>
      </c>
      <c r="AB2979">
        <v>16</v>
      </c>
      <c r="AC2979">
        <v>32.656599999999898</v>
      </c>
      <c r="AD2979">
        <v>-1.109960286937</v>
      </c>
      <c r="AE2979">
        <v>0.73649999999997795</v>
      </c>
      <c r="AF2979">
        <v>-0.62641586040402197</v>
      </c>
      <c r="AG2979">
        <v>-1.109960286937</v>
      </c>
      <c r="AH2979">
        <v>32.621216966669401</v>
      </c>
      <c r="AI2979">
        <v>91.948419204262393</v>
      </c>
      <c r="AJ2979">
        <v>91.100099193204599</v>
      </c>
      <c r="AK2979">
        <v>32.646105511305102</v>
      </c>
      <c r="AL2979">
        <v>89.053701112163907</v>
      </c>
      <c r="AM2979">
        <v>86.592611616297702</v>
      </c>
      <c r="AN2979">
        <v>0.99999997341496805</v>
      </c>
    </row>
    <row r="2980" spans="1:40" x14ac:dyDescent="0.25">
      <c r="A2980" t="str">
        <f>"20190312161019517"</f>
        <v>20190312161019517</v>
      </c>
      <c r="B2980" t="str">
        <f>"1552378219508782"</f>
        <v>1552378219508782</v>
      </c>
      <c r="C2980" t="s">
        <v>40</v>
      </c>
      <c r="D2980">
        <v>5.4394220000000004</v>
      </c>
      <c r="E2980">
        <v>0.47144079999999999</v>
      </c>
      <c r="F2980" t="s">
        <v>74</v>
      </c>
      <c r="G2980">
        <v>-418.5822</v>
      </c>
      <c r="H2980" s="1">
        <v>3.8951789999999996E-6</v>
      </c>
      <c r="I2980">
        <v>212.70509999999999</v>
      </c>
      <c r="J2980">
        <v>-450.07659999999998</v>
      </c>
      <c r="K2980">
        <v>1.1099410000000001</v>
      </c>
      <c r="L2980">
        <v>212.00489999999999</v>
      </c>
      <c r="M2980">
        <v>0.99993860000000001</v>
      </c>
      <c r="N2980">
        <v>0</v>
      </c>
      <c r="O2980">
        <v>3.1857650000000001E-3</v>
      </c>
      <c r="P2980">
        <v>0.99833510000000003</v>
      </c>
      <c r="Q2980">
        <v>5.5806120000000004E-3</v>
      </c>
      <c r="R2980">
        <v>-5.7412369999999997E-2</v>
      </c>
      <c r="S2980">
        <v>3.009125</v>
      </c>
      <c r="T2980">
        <v>-0.1055372</v>
      </c>
      <c r="U2980">
        <v>6.6604609999999995E-2</v>
      </c>
      <c r="V2980">
        <v>6.0599279999999998E-2</v>
      </c>
      <c r="W2980">
        <v>1.615627E-2</v>
      </c>
      <c r="X2980">
        <v>0.99803140000000001</v>
      </c>
      <c r="Y2980">
        <v>-1.893384E-2</v>
      </c>
      <c r="Z2980">
        <v>2.201952E-4</v>
      </c>
      <c r="AA2980">
        <v>0.99982070000000001</v>
      </c>
      <c r="AB2980">
        <v>16</v>
      </c>
      <c r="AC2980">
        <v>31.494399999999899</v>
      </c>
      <c r="AD2980">
        <v>-1.1099371048210001</v>
      </c>
      <c r="AE2980">
        <v>0.70019999999999505</v>
      </c>
      <c r="AF2980">
        <v>-0.59911329195114005</v>
      </c>
      <c r="AG2980">
        <v>-1.1099371048210001</v>
      </c>
      <c r="AH2980">
        <v>31.4574193861094</v>
      </c>
      <c r="AI2980">
        <v>92.020408089156106</v>
      </c>
      <c r="AJ2980">
        <v>91.091078490456795</v>
      </c>
      <c r="AK2980">
        <v>31.482695747772599</v>
      </c>
      <c r="AL2980">
        <v>89.0742736279703</v>
      </c>
      <c r="AM2980">
        <v>86.525334302083493</v>
      </c>
      <c r="AN2980">
        <v>0.999999986591395</v>
      </c>
    </row>
    <row r="2981" spans="1:40" x14ac:dyDescent="0.25">
      <c r="A2981" t="str">
        <f>"20190312161019539"</f>
        <v>20190312161019539</v>
      </c>
      <c r="B2981" t="str">
        <f>"1552378219529278"</f>
        <v>1552378219529278</v>
      </c>
      <c r="C2981" t="s">
        <v>40</v>
      </c>
      <c r="D2981">
        <v>5.3602829999999999</v>
      </c>
      <c r="E2981">
        <v>0.48615619999999998</v>
      </c>
      <c r="F2981" t="s">
        <v>74</v>
      </c>
      <c r="G2981">
        <v>-418.75479999999999</v>
      </c>
      <c r="H2981" s="1">
        <v>3.9296420000000003E-6</v>
      </c>
      <c r="I2981">
        <v>212.661</v>
      </c>
      <c r="J2981">
        <v>-449.9153</v>
      </c>
      <c r="K2981">
        <v>1.10992</v>
      </c>
      <c r="L2981">
        <v>212.0052</v>
      </c>
      <c r="M2981">
        <v>0.99994000000000005</v>
      </c>
      <c r="N2981">
        <v>0</v>
      </c>
      <c r="O2981">
        <v>2.9693879999999999E-3</v>
      </c>
      <c r="P2981">
        <v>0.99827699999999997</v>
      </c>
      <c r="Q2981">
        <v>5.9169419999999997E-3</v>
      </c>
      <c r="R2981">
        <v>-5.8379260000000002E-2</v>
      </c>
      <c r="S2981">
        <v>3.0092469999999998</v>
      </c>
      <c r="T2981">
        <v>-0.1066372</v>
      </c>
      <c r="U2981">
        <v>6.3034060000000003E-2</v>
      </c>
      <c r="V2981">
        <v>6.1350689999999999E-2</v>
      </c>
      <c r="W2981">
        <v>1.6416110000000001E-2</v>
      </c>
      <c r="X2981">
        <v>0.99798129999999996</v>
      </c>
      <c r="Y2981">
        <v>-1.796379E-2</v>
      </c>
      <c r="Z2981">
        <v>2.1296729999999999E-4</v>
      </c>
      <c r="AA2981">
        <v>0.99983860000000002</v>
      </c>
      <c r="AB2981">
        <v>16</v>
      </c>
      <c r="AC2981">
        <v>31.160499999999999</v>
      </c>
      <c r="AD2981">
        <v>-1.109916070358</v>
      </c>
      <c r="AE2981">
        <v>0.65579999999996996</v>
      </c>
      <c r="AF2981">
        <v>-0.56255093678689405</v>
      </c>
      <c r="AG2981">
        <v>-1.109916070358</v>
      </c>
      <c r="AH2981">
        <v>31.122840839170301</v>
      </c>
      <c r="AI2981">
        <v>92.042107758882295</v>
      </c>
      <c r="AJ2981">
        <v>91.035518740750504</v>
      </c>
      <c r="AK2981">
        <v>31.1477061617713</v>
      </c>
      <c r="AL2981">
        <v>89.059383963575101</v>
      </c>
      <c r="AM2981">
        <v>86.482181032605894</v>
      </c>
      <c r="AN2981">
        <v>1.00000003549034</v>
      </c>
    </row>
    <row r="2982" spans="1:40" x14ac:dyDescent="0.25">
      <c r="A2982" t="str">
        <f>"20190312161019561"</f>
        <v>20190312161019561</v>
      </c>
      <c r="B2982" t="str">
        <f>"1552378219558558"</f>
        <v>1552378219558558</v>
      </c>
      <c r="C2982" t="s">
        <v>40</v>
      </c>
      <c r="D2982">
        <v>5.4743750000000002</v>
      </c>
      <c r="E2982">
        <v>0.48762309999999998</v>
      </c>
      <c r="F2982" t="s">
        <v>74</v>
      </c>
      <c r="G2982">
        <v>-432.75110000000001</v>
      </c>
      <c r="H2982" s="1">
        <v>3.6912380000000001E-6</v>
      </c>
      <c r="I2982">
        <v>211.708</v>
      </c>
      <c r="J2982">
        <v>-449.7561</v>
      </c>
      <c r="K2982">
        <v>1.10989</v>
      </c>
      <c r="L2982">
        <v>212.00550000000001</v>
      </c>
      <c r="M2982">
        <v>0.99994159999999999</v>
      </c>
      <c r="N2982">
        <v>0</v>
      </c>
      <c r="O2982">
        <v>2.7215859999999998E-3</v>
      </c>
      <c r="P2982">
        <v>0.99820580000000003</v>
      </c>
      <c r="Q2982">
        <v>6.6856179999999999E-3</v>
      </c>
      <c r="R2982">
        <v>-5.9502949999999999E-2</v>
      </c>
      <c r="S2982">
        <v>3.0033259999999999</v>
      </c>
      <c r="T2982">
        <v>-0.19420899999999999</v>
      </c>
      <c r="U2982">
        <v>-5.2017210000000001E-2</v>
      </c>
      <c r="V2982">
        <v>6.2227919999999999E-2</v>
      </c>
      <c r="W2982">
        <v>1.709981E-2</v>
      </c>
      <c r="X2982">
        <v>0.99791540000000001</v>
      </c>
      <c r="Y2982">
        <v>1.9991109999999999E-2</v>
      </c>
      <c r="Z2982">
        <v>-8.2144039999999905E-4</v>
      </c>
      <c r="AA2982">
        <v>0.99979980000000002</v>
      </c>
      <c r="AB2982">
        <v>16</v>
      </c>
      <c r="AC2982">
        <v>17.0049999999999</v>
      </c>
      <c r="AD2982">
        <v>-1.1098863087619999</v>
      </c>
      <c r="AE2982">
        <v>-0.29750000000001298</v>
      </c>
      <c r="AF2982">
        <v>0.34232416453912001</v>
      </c>
      <c r="AG2982">
        <v>-1.1098863087619999</v>
      </c>
      <c r="AH2982">
        <v>16.932019940695</v>
      </c>
      <c r="AI2982">
        <v>93.749583293008598</v>
      </c>
      <c r="AJ2982">
        <v>88.841776810573506</v>
      </c>
      <c r="AK2982">
        <v>16.9718099424929</v>
      </c>
      <c r="AL2982">
        <v>89.020205236254398</v>
      </c>
      <c r="AM2982">
        <v>86.431775102037804</v>
      </c>
      <c r="AN2982">
        <v>0.99999993154335798</v>
      </c>
    </row>
    <row r="2983" spans="1:40" x14ac:dyDescent="0.25">
      <c r="A2983" t="str">
        <f>"20190312161019586"</f>
        <v>20190312161019586</v>
      </c>
      <c r="B2983" t="str">
        <f>"1552378219579055"</f>
        <v>1552378219579055</v>
      </c>
      <c r="C2983" t="s">
        <v>40</v>
      </c>
      <c r="D2983">
        <v>5.442107</v>
      </c>
      <c r="E2983">
        <v>0.4878266</v>
      </c>
      <c r="F2983" t="s">
        <v>74</v>
      </c>
      <c r="G2983">
        <v>-432.1678</v>
      </c>
      <c r="H2983" s="1">
        <v>3.441086E-6</v>
      </c>
      <c r="I2983">
        <v>211.6104</v>
      </c>
      <c r="J2983">
        <v>-449.577</v>
      </c>
      <c r="K2983">
        <v>1.1098570000000001</v>
      </c>
      <c r="L2983">
        <v>212.00559999999999</v>
      </c>
      <c r="M2983">
        <v>0.99994340000000004</v>
      </c>
      <c r="N2983">
        <v>0</v>
      </c>
      <c r="O2983">
        <v>2.4097290000000002E-3</v>
      </c>
      <c r="P2983">
        <v>0.99816190000000005</v>
      </c>
      <c r="Q2983">
        <v>7.7937669999999896E-3</v>
      </c>
      <c r="R2983">
        <v>-6.0101399999999999E-2</v>
      </c>
      <c r="S2983">
        <v>3.0026549999999999</v>
      </c>
      <c r="T2983">
        <v>-0.18947849999999999</v>
      </c>
      <c r="U2983">
        <v>-6.744385E-2</v>
      </c>
      <c r="V2983">
        <v>6.2516390000000005E-2</v>
      </c>
      <c r="W2983">
        <v>1.8105300000000001E-2</v>
      </c>
      <c r="X2983">
        <v>0.99787969999999904</v>
      </c>
      <c r="Y2983">
        <v>2.4810809999999999E-2</v>
      </c>
      <c r="Z2983">
        <v>-9.3385199999999999E-4</v>
      </c>
      <c r="AA2983">
        <v>0.99969169999999996</v>
      </c>
      <c r="AB2983">
        <v>16</v>
      </c>
      <c r="AC2983">
        <v>17.409199999999998</v>
      </c>
      <c r="AD2983">
        <v>-1.1098535589139999</v>
      </c>
      <c r="AE2983">
        <v>-0.39519999999998801</v>
      </c>
      <c r="AF2983">
        <v>0.43538398856656801</v>
      </c>
      <c r="AG2983">
        <v>-1.1098535589139999</v>
      </c>
      <c r="AH2983">
        <v>17.3377694207141</v>
      </c>
      <c r="AI2983">
        <v>93.661562159053403</v>
      </c>
      <c r="AJ2983">
        <v>88.561497574613696</v>
      </c>
      <c r="AK2983">
        <v>17.3787106145877</v>
      </c>
      <c r="AL2983">
        <v>88.962586038432903</v>
      </c>
      <c r="AM2983">
        <v>86.415149001146503</v>
      </c>
      <c r="AN2983">
        <v>0.999999998289405</v>
      </c>
    </row>
    <row r="2984" spans="1:40" x14ac:dyDescent="0.25">
      <c r="A2984" t="str">
        <f>"20190312161019609"</f>
        <v>20190312161019609</v>
      </c>
      <c r="B2984" t="str">
        <f>"1552378219599549"</f>
        <v>1552378219599549</v>
      </c>
      <c r="C2984" t="s">
        <v>40</v>
      </c>
      <c r="D2984">
        <v>5.3938240000000004</v>
      </c>
      <c r="E2984">
        <v>0.48830259999999998</v>
      </c>
      <c r="F2984" t="s">
        <v>74</v>
      </c>
      <c r="G2984">
        <v>-430.3073</v>
      </c>
      <c r="H2984" s="1">
        <v>2.621929E-6</v>
      </c>
      <c r="I2984">
        <v>211.54300000000001</v>
      </c>
      <c r="J2984">
        <v>-449.40879999999999</v>
      </c>
      <c r="K2984">
        <v>1.109834</v>
      </c>
      <c r="L2984">
        <v>212.00559999999999</v>
      </c>
      <c r="M2984">
        <v>0.99994510000000003</v>
      </c>
      <c r="N2984">
        <v>0</v>
      </c>
      <c r="O2984">
        <v>2.0888399999999998E-3</v>
      </c>
      <c r="P2984">
        <v>0.99813609999999997</v>
      </c>
      <c r="Q2984">
        <v>8.8292010000000001E-3</v>
      </c>
      <c r="R2984">
        <v>-6.0388400000000002E-2</v>
      </c>
      <c r="S2984">
        <v>3.0025330000000001</v>
      </c>
      <c r="T2984">
        <v>-0.1729329</v>
      </c>
      <c r="U2984">
        <v>-7.2082519999999997E-2</v>
      </c>
      <c r="V2984">
        <v>6.2483940000000002E-2</v>
      </c>
      <c r="W2984">
        <v>1.9043549999999999E-2</v>
      </c>
      <c r="X2984">
        <v>0.99786419999999998</v>
      </c>
      <c r="Y2984">
        <v>2.6042030000000001E-2</v>
      </c>
      <c r="Z2984">
        <v>-8.6942369999999897E-4</v>
      </c>
      <c r="AA2984">
        <v>0.99966049999999995</v>
      </c>
      <c r="AB2984">
        <v>16</v>
      </c>
      <c r="AC2984">
        <v>19.101499999999898</v>
      </c>
      <c r="AD2984">
        <v>-1.1098313780710001</v>
      </c>
      <c r="AE2984">
        <v>-0.46259999999998003</v>
      </c>
      <c r="AF2984">
        <v>0.50081141420506603</v>
      </c>
      <c r="AG2984">
        <v>-1.1098313780710001</v>
      </c>
      <c r="AH2984">
        <v>19.036266667853099</v>
      </c>
      <c r="AI2984">
        <v>93.335466770992994</v>
      </c>
      <c r="AJ2984">
        <v>88.492994263192799</v>
      </c>
      <c r="AK2984">
        <v>19.075166746583498</v>
      </c>
      <c r="AL2984">
        <v>88.908818921501705</v>
      </c>
      <c r="AM2984">
        <v>86.416949408868106</v>
      </c>
      <c r="AN2984">
        <v>0.99999993059808001</v>
      </c>
    </row>
    <row r="2985" spans="1:40" x14ac:dyDescent="0.25">
      <c r="A2985" t="str">
        <f>"20190312161019651"</f>
        <v>20190312161019651</v>
      </c>
      <c r="B2985" t="str">
        <f>"1552378219638590"</f>
        <v>1552378219638590</v>
      </c>
      <c r="C2985" t="s">
        <v>40</v>
      </c>
      <c r="D2985">
        <v>5.4671159999999999</v>
      </c>
      <c r="E2985">
        <v>0.48817120000000003</v>
      </c>
      <c r="F2985" t="s">
        <v>74</v>
      </c>
      <c r="G2985">
        <v>-428.86059999999998</v>
      </c>
      <c r="H2985" s="1">
        <v>2.6673770000000001E-6</v>
      </c>
      <c r="I2985">
        <v>211.47649999999999</v>
      </c>
      <c r="J2985">
        <v>-449.10489999999999</v>
      </c>
      <c r="K2985">
        <v>1.10981</v>
      </c>
      <c r="L2985">
        <v>212.00550000000001</v>
      </c>
      <c r="M2985">
        <v>0.99994780000000005</v>
      </c>
      <c r="N2985">
        <v>0</v>
      </c>
      <c r="O2985">
        <v>1.4647239999999999E-3</v>
      </c>
      <c r="P2985">
        <v>0.99807579999999996</v>
      </c>
      <c r="Q2985">
        <v>7.8129429999999993E-3</v>
      </c>
      <c r="R2985">
        <v>-6.1509880000000003E-2</v>
      </c>
      <c r="S2985">
        <v>3.0023499999999999</v>
      </c>
      <c r="T2985">
        <v>-0.16215969999999999</v>
      </c>
      <c r="U2985">
        <v>-7.7316280000000001E-2</v>
      </c>
      <c r="V2985">
        <v>6.2981709999999996E-2</v>
      </c>
      <c r="W2985">
        <v>1.786358E-2</v>
      </c>
      <c r="X2985">
        <v>0.99785480000000004</v>
      </c>
      <c r="Y2985">
        <v>2.7165970000000001E-2</v>
      </c>
      <c r="Z2985">
        <v>-8.1201889999999897E-4</v>
      </c>
      <c r="AA2985">
        <v>0.99963060000000004</v>
      </c>
      <c r="AB2985">
        <v>16</v>
      </c>
      <c r="AC2985">
        <v>20.244299999999999</v>
      </c>
      <c r="AD2985">
        <v>-1.109807332623</v>
      </c>
      <c r="AE2985">
        <v>-0.52900000000002401</v>
      </c>
      <c r="AF2985">
        <v>0.55698050234568197</v>
      </c>
      <c r="AG2985">
        <v>-1.109807332623</v>
      </c>
      <c r="AH2985">
        <v>20.1828889015447</v>
      </c>
      <c r="AI2985">
        <v>93.146188730077597</v>
      </c>
      <c r="AJ2985">
        <v>88.419228554875801</v>
      </c>
      <c r="AK2985">
        <v>20.221051011449202</v>
      </c>
      <c r="AL2985">
        <v>88.976437819001504</v>
      </c>
      <c r="AM2985">
        <v>86.388446830245101</v>
      </c>
      <c r="AN2985">
        <v>1.0000000025839899</v>
      </c>
    </row>
    <row r="2986" spans="1:40" x14ac:dyDescent="0.25">
      <c r="A2986" t="str">
        <f>"20190312161019673"</f>
        <v>20190312161019673</v>
      </c>
      <c r="B2986" t="str">
        <f>"1552378219668845"</f>
        <v>1552378219668845</v>
      </c>
      <c r="C2986" t="s">
        <v>40</v>
      </c>
      <c r="D2986">
        <v>5.2424999999999997</v>
      </c>
      <c r="E2986">
        <v>0.48748429999999998</v>
      </c>
      <c r="F2986" t="s">
        <v>74</v>
      </c>
      <c r="G2986">
        <v>-427.77769999999998</v>
      </c>
      <c r="H2986" s="1">
        <v>2.862841E-6</v>
      </c>
      <c r="I2986">
        <v>211.43770000000001</v>
      </c>
      <c r="J2986">
        <v>-448.93630000000002</v>
      </c>
      <c r="K2986">
        <v>1.1098030000000001</v>
      </c>
      <c r="L2986">
        <v>212.00530000000001</v>
      </c>
      <c r="M2986">
        <v>0.99994930000000004</v>
      </c>
      <c r="N2986">
        <v>0</v>
      </c>
      <c r="O2986">
        <v>1.109063E-3</v>
      </c>
      <c r="P2986">
        <v>0.99803759999999997</v>
      </c>
      <c r="Q2986">
        <v>7.5236779999999998E-3</v>
      </c>
      <c r="R2986">
        <v>-6.216501E-2</v>
      </c>
      <c r="S2986">
        <v>3.0020449999999999</v>
      </c>
      <c r="T2986">
        <v>-0.15621849999999901</v>
      </c>
      <c r="U2986">
        <v>-7.9925540000000003E-2</v>
      </c>
      <c r="V2986">
        <v>6.3280959999999997E-2</v>
      </c>
      <c r="W2986">
        <v>1.7485509999999999E-2</v>
      </c>
      <c r="X2986">
        <v>0.99784260000000002</v>
      </c>
      <c r="Y2986">
        <v>2.7684050000000002E-2</v>
      </c>
      <c r="Z2986">
        <v>-7.7735509999999903E-4</v>
      </c>
      <c r="AA2986">
        <v>0.99961639999999996</v>
      </c>
      <c r="AB2986">
        <v>16</v>
      </c>
      <c r="AC2986">
        <v>21.1586</v>
      </c>
      <c r="AD2986">
        <v>-1.1098001371590001</v>
      </c>
      <c r="AE2986">
        <v>-0.567599999999998</v>
      </c>
      <c r="AF2986">
        <v>0.58944655161280302</v>
      </c>
      <c r="AG2986">
        <v>-1.1098001371590001</v>
      </c>
      <c r="AH2986">
        <v>21.099949877268699</v>
      </c>
      <c r="AI2986">
        <v>93.009656189973995</v>
      </c>
      <c r="AJ2986">
        <v>88.399805764664805</v>
      </c>
      <c r="AK2986">
        <v>21.137336360215699</v>
      </c>
      <c r="AL2986">
        <v>88.998103054845103</v>
      </c>
      <c r="AM2986">
        <v>86.371288464307</v>
      </c>
      <c r="AN2986">
        <v>1.0000000386666199</v>
      </c>
    </row>
    <row r="2987" spans="1:40" x14ac:dyDescent="0.25">
      <c r="A2987" t="str">
        <f>"20190312161020030"</f>
        <v>20190312161020030</v>
      </c>
      <c r="B2987" t="str">
        <f>"1552378220018760"</f>
        <v>1552378220018760</v>
      </c>
      <c r="C2987" t="s">
        <v>40</v>
      </c>
      <c r="D2987">
        <v>5.8079229999999997</v>
      </c>
      <c r="E2987">
        <v>0.493307</v>
      </c>
      <c r="F2987" t="s">
        <v>74</v>
      </c>
      <c r="G2987">
        <v>-427.74419999999998</v>
      </c>
      <c r="H2987" s="1">
        <v>2.8665209999999999E-6</v>
      </c>
      <c r="I2987">
        <v>211.46360000000001</v>
      </c>
      <c r="J2987">
        <v>-446.24970000000002</v>
      </c>
      <c r="K2987">
        <v>1.109661</v>
      </c>
      <c r="L2987">
        <v>211.9958</v>
      </c>
      <c r="M2987">
        <v>0.99995089999999998</v>
      </c>
      <c r="N2987">
        <v>0</v>
      </c>
      <c r="O2987">
        <v>-4.0199169999999996E-3</v>
      </c>
      <c r="P2987">
        <v>0.99856230000000001</v>
      </c>
      <c r="Q2987">
        <v>-4.7417730000000003E-3</v>
      </c>
      <c r="R2987">
        <v>-5.339766E-2</v>
      </c>
      <c r="S2987">
        <v>3.002319</v>
      </c>
      <c r="T2987">
        <v>-0.15722729999999999</v>
      </c>
      <c r="U2987">
        <v>-7.6751710000000001E-2</v>
      </c>
      <c r="V2987">
        <v>4.9384490000000003E-2</v>
      </c>
      <c r="W2987">
        <v>4.2875320000000001E-3</v>
      </c>
      <c r="X2987">
        <v>0.99877070000000001</v>
      </c>
      <c r="Y2987">
        <v>2.1512860000000002E-2</v>
      </c>
      <c r="Z2987">
        <v>-3.5247739999999999E-4</v>
      </c>
      <c r="AA2987">
        <v>0.99976849999999995</v>
      </c>
      <c r="AB2987">
        <v>17</v>
      </c>
      <c r="AC2987">
        <v>18.505500000000001</v>
      </c>
      <c r="AD2987">
        <v>-1.1096581334790001</v>
      </c>
      <c r="AE2987">
        <v>-0.53219999999998802</v>
      </c>
      <c r="AF2987">
        <v>0.45616322849892799</v>
      </c>
      <c r="AG2987">
        <v>-1.1096581334790001</v>
      </c>
      <c r="AH2987">
        <v>18.4412366175026</v>
      </c>
      <c r="AI2987">
        <v>93.442436598782905</v>
      </c>
      <c r="AJ2987">
        <v>88.583018070519302</v>
      </c>
      <c r="AK2987">
        <v>18.480222781312701</v>
      </c>
      <c r="AL2987">
        <v>89.754341774196206</v>
      </c>
      <c r="AM2987">
        <v>87.1692998988472</v>
      </c>
      <c r="AN2987">
        <v>1.0000000609808399</v>
      </c>
    </row>
    <row r="2988" spans="1:40" x14ac:dyDescent="0.25">
      <c r="A2988" t="str">
        <f>"20190312161020052"</f>
        <v>20190312161020052</v>
      </c>
      <c r="B2988" t="str">
        <f>"1552378220049016"</f>
        <v>1552378220049016</v>
      </c>
      <c r="C2988" t="s">
        <v>40</v>
      </c>
      <c r="D2988">
        <v>6.044689</v>
      </c>
      <c r="E2988">
        <v>0.50547370000000003</v>
      </c>
      <c r="F2988" t="s">
        <v>42</v>
      </c>
      <c r="G2988">
        <v>-445.49779999999998</v>
      </c>
      <c r="H2988">
        <v>0.85980859999999903</v>
      </c>
      <c r="I2988">
        <v>211.97819999999999</v>
      </c>
      <c r="J2988">
        <v>-446.07159999999999</v>
      </c>
      <c r="K2988">
        <v>1.109658</v>
      </c>
      <c r="L2988">
        <v>211.99469999999999</v>
      </c>
      <c r="M2988">
        <v>0.99994989999999995</v>
      </c>
      <c r="N2988">
        <v>0</v>
      </c>
      <c r="O2988">
        <v>-4.3568890000000001E-3</v>
      </c>
      <c r="P2988">
        <v>0.99851250000000003</v>
      </c>
      <c r="Q2988">
        <v>-5.5796989999999996E-3</v>
      </c>
      <c r="R2988">
        <v>-5.4239299999999997E-2</v>
      </c>
      <c r="S2988">
        <v>2.995819</v>
      </c>
      <c r="T2988">
        <v>-0.9954383</v>
      </c>
      <c r="U2988">
        <v>-6.9412230000000005E-2</v>
      </c>
      <c r="V2988">
        <v>4.988973E-2</v>
      </c>
      <c r="W2988">
        <v>3.4168340000000001E-3</v>
      </c>
      <c r="X2988">
        <v>0.99874890000000005</v>
      </c>
      <c r="Y2988">
        <v>1.8070550000000001E-2</v>
      </c>
      <c r="Z2988">
        <v>-1.5136010000000001E-3</v>
      </c>
      <c r="AA2988">
        <v>0.99983560000000005</v>
      </c>
      <c r="AB2988">
        <v>17</v>
      </c>
      <c r="AC2988">
        <v>0.57380000000000497</v>
      </c>
      <c r="AD2988">
        <v>-0.2498494</v>
      </c>
      <c r="AE2988">
        <v>-1.6500000000007699E-2</v>
      </c>
      <c r="AF2988">
        <v>1.17700210791071E-2</v>
      </c>
      <c r="AG2988">
        <v>-0.2498494</v>
      </c>
      <c r="AH2988">
        <v>0.48246688957783701</v>
      </c>
      <c r="AI2988">
        <v>117.370787779889</v>
      </c>
      <c r="AJ2988">
        <v>88.602517990747799</v>
      </c>
      <c r="AK2988">
        <v>0.54344968084954803</v>
      </c>
      <c r="AL2988">
        <v>89.804229454036403</v>
      </c>
      <c r="AM2988">
        <v>87.140325246972196</v>
      </c>
      <c r="AN2988">
        <v>1.00000001258263</v>
      </c>
    </row>
    <row r="2989" spans="1:40" x14ac:dyDescent="0.25">
      <c r="A2989" t="str">
        <f>"20190312161020075"</f>
        <v>20190312161020075</v>
      </c>
      <c r="B2989" t="str">
        <f>"1552378220069511"</f>
        <v>1552378220069511</v>
      </c>
      <c r="C2989" t="s">
        <v>40</v>
      </c>
      <c r="D2989">
        <v>5.5933580000000003</v>
      </c>
      <c r="E2989">
        <v>0.50816909999999904</v>
      </c>
      <c r="F2989" t="s">
        <v>42</v>
      </c>
      <c r="G2989">
        <v>-445.3347</v>
      </c>
      <c r="H2989">
        <v>0.88116349999999999</v>
      </c>
      <c r="I2989">
        <v>211.95249999999999</v>
      </c>
      <c r="J2989">
        <v>-445.90339999999998</v>
      </c>
      <c r="K2989">
        <v>1.109653</v>
      </c>
      <c r="L2989">
        <v>211.99359999999999</v>
      </c>
      <c r="M2989">
        <v>0.99994870000000002</v>
      </c>
      <c r="N2989">
        <v>0</v>
      </c>
      <c r="O2989">
        <v>-4.67301E-3</v>
      </c>
      <c r="P2989">
        <v>0.998475</v>
      </c>
      <c r="Q2989">
        <v>-5.0705170000000001E-3</v>
      </c>
      <c r="R2989">
        <v>-5.4975540000000003E-2</v>
      </c>
      <c r="S2989">
        <v>2.9899900000000001</v>
      </c>
      <c r="T2989">
        <v>-0.9271954</v>
      </c>
      <c r="U2989">
        <v>-0.1710052</v>
      </c>
      <c r="V2989">
        <v>5.0310540000000001E-2</v>
      </c>
      <c r="W2989">
        <v>3.8974830000000002E-3</v>
      </c>
      <c r="X2989">
        <v>0.998726</v>
      </c>
      <c r="Y2989">
        <v>5.0296760000000003E-2</v>
      </c>
      <c r="Z2989">
        <v>-6.1989590000000004E-3</v>
      </c>
      <c r="AA2989">
        <v>0.99871509999999997</v>
      </c>
      <c r="AB2989">
        <v>17</v>
      </c>
      <c r="AC2989">
        <v>0.568699999999978</v>
      </c>
      <c r="AD2989">
        <v>-0.22848950000000001</v>
      </c>
      <c r="AE2989">
        <v>-4.1100000000000102E-2</v>
      </c>
      <c r="AF2989">
        <v>3.3122881579472997E-2</v>
      </c>
      <c r="AG2989">
        <v>-0.22848950000000001</v>
      </c>
      <c r="AH2989">
        <v>0.49017185424722098</v>
      </c>
      <c r="AI2989">
        <v>114.94224281205101</v>
      </c>
      <c r="AJ2989">
        <v>86.1341709416252</v>
      </c>
      <c r="AK2989">
        <v>0.54182379385787105</v>
      </c>
      <c r="AL2989">
        <v>89.776690103980997</v>
      </c>
      <c r="AM2989">
        <v>87.116178990634893</v>
      </c>
      <c r="AN2989">
        <v>0.99999998194241302</v>
      </c>
    </row>
    <row r="2990" spans="1:40" x14ac:dyDescent="0.25">
      <c r="A2990" t="str">
        <f>"20190312161020096"</f>
        <v>20190312161020096</v>
      </c>
      <c r="B2990" t="str">
        <f>"1552378220089032"</f>
        <v>1552378220089032</v>
      </c>
      <c r="C2990" t="s">
        <v>40</v>
      </c>
      <c r="D2990">
        <v>5.6134309999999896</v>
      </c>
      <c r="E2990">
        <v>0.52371080000000003</v>
      </c>
      <c r="F2990" t="s">
        <v>42</v>
      </c>
      <c r="G2990">
        <v>-445.17439999999999</v>
      </c>
      <c r="H2990">
        <v>0.8929724</v>
      </c>
      <c r="I2990">
        <v>211.94540000000001</v>
      </c>
      <c r="J2990">
        <v>-445.73320000000001</v>
      </c>
      <c r="K2990">
        <v>1.1096459999999999</v>
      </c>
      <c r="L2990">
        <v>211.9924</v>
      </c>
      <c r="M2990">
        <v>0.99994740000000004</v>
      </c>
      <c r="N2990">
        <v>0</v>
      </c>
      <c r="O2990">
        <v>-4.9852689999999996E-3</v>
      </c>
      <c r="P2990">
        <v>0.99837569999999998</v>
      </c>
      <c r="Q2990">
        <v>-4.3866080000000002E-3</v>
      </c>
      <c r="R2990">
        <v>-5.680847E-2</v>
      </c>
      <c r="S2990">
        <v>2.9891969999999999</v>
      </c>
      <c r="T2990">
        <v>-0.88845350000000001</v>
      </c>
      <c r="U2990">
        <v>-0.196106</v>
      </c>
      <c r="V2990">
        <v>5.1832019999999999E-2</v>
      </c>
      <c r="W2990">
        <v>4.5488359999999997E-3</v>
      </c>
      <c r="X2990">
        <v>0.99864549999999996</v>
      </c>
      <c r="Y2990">
        <v>5.8197770000000003E-2</v>
      </c>
      <c r="Z2990">
        <v>-7.0083609999999899E-3</v>
      </c>
      <c r="AA2990">
        <v>0.99828050000000002</v>
      </c>
      <c r="AB2990">
        <v>17</v>
      </c>
      <c r="AC2990">
        <v>0.55880000000001895</v>
      </c>
      <c r="AD2990">
        <v>-0.21667359999999899</v>
      </c>
      <c r="AE2990">
        <v>-4.6999999999997003E-2</v>
      </c>
      <c r="AF2990">
        <v>3.8470223718940301E-2</v>
      </c>
      <c r="AG2990">
        <v>-0.21667359999999899</v>
      </c>
      <c r="AH2990">
        <v>0.486410049780721</v>
      </c>
      <c r="AI2990">
        <v>113.94447073188</v>
      </c>
      <c r="AJ2990">
        <v>85.4778838742414</v>
      </c>
      <c r="AK2990">
        <v>0.53387465155935998</v>
      </c>
      <c r="AL2990">
        <v>89.739370007736198</v>
      </c>
      <c r="AM2990">
        <v>87.028882022511397</v>
      </c>
      <c r="AN2990">
        <v>1.00000004243824</v>
      </c>
    </row>
    <row r="2991" spans="1:40" x14ac:dyDescent="0.25">
      <c r="A2991" t="str">
        <f>"20190312161020119"</f>
        <v>20190312161020119</v>
      </c>
      <c r="B2991" t="str">
        <f>"1552378220109528"</f>
        <v>1552378220109528</v>
      </c>
      <c r="C2991" t="s">
        <v>40</v>
      </c>
      <c r="D2991">
        <v>5.5344179999999996</v>
      </c>
      <c r="E2991">
        <v>0.52419229999999895</v>
      </c>
      <c r="F2991" t="s">
        <v>42</v>
      </c>
      <c r="G2991">
        <v>-444.97699999999998</v>
      </c>
      <c r="H2991">
        <v>0.98251770000000005</v>
      </c>
      <c r="I2991">
        <v>211.90620000000001</v>
      </c>
      <c r="J2991">
        <v>-445.55849999999998</v>
      </c>
      <c r="K2991">
        <v>1.109648</v>
      </c>
      <c r="L2991">
        <v>211.99119999999999</v>
      </c>
      <c r="M2991">
        <v>0.99994620000000001</v>
      </c>
      <c r="N2991">
        <v>0</v>
      </c>
      <c r="O2991">
        <v>-5.2898099999999998E-3</v>
      </c>
      <c r="P2991">
        <v>0.99828340000000004</v>
      </c>
      <c r="Q2991">
        <v>-3.8570309999999999E-3</v>
      </c>
      <c r="R2991">
        <v>-5.8441819999999998E-2</v>
      </c>
      <c r="S2991">
        <v>2.9833370000000001</v>
      </c>
      <c r="T2991">
        <v>-0.50165340000000003</v>
      </c>
      <c r="U2991">
        <v>-0.34027099999999999</v>
      </c>
      <c r="V2991">
        <v>5.3162050000000002E-2</v>
      </c>
      <c r="W2991">
        <v>5.0399729999999997E-3</v>
      </c>
      <c r="X2991">
        <v>0.99857320000000005</v>
      </c>
      <c r="Y2991">
        <v>0.10666009999999999</v>
      </c>
      <c r="Z2991">
        <v>-7.9963940000000004E-3</v>
      </c>
      <c r="AA2991">
        <v>0.99426340000000002</v>
      </c>
      <c r="AB2991">
        <v>17</v>
      </c>
      <c r="AC2991">
        <v>0.58150000000000501</v>
      </c>
      <c r="AD2991">
        <v>-0.1271303</v>
      </c>
      <c r="AE2991">
        <v>-8.4999999999979495E-2</v>
      </c>
      <c r="AF2991">
        <v>7.8260323923692504E-2</v>
      </c>
      <c r="AG2991">
        <v>-0.1271303</v>
      </c>
      <c r="AH2991">
        <v>0.55592591156863103</v>
      </c>
      <c r="AI2991">
        <v>102.759394618773</v>
      </c>
      <c r="AJ2991">
        <v>81.986858394261304</v>
      </c>
      <c r="AK2991">
        <v>0.57562176004051901</v>
      </c>
      <c r="AL2991">
        <v>89.7112296015748</v>
      </c>
      <c r="AM2991">
        <v>86.952563646684894</v>
      </c>
      <c r="AN2991">
        <v>1.0000000203231401</v>
      </c>
    </row>
    <row r="2992" spans="1:40" x14ac:dyDescent="0.25">
      <c r="A2992" t="str">
        <f>"20190312161020141"</f>
        <v>20190312161020141</v>
      </c>
      <c r="B2992" t="str">
        <f>"1552378220138808"</f>
        <v>1552378220138808</v>
      </c>
      <c r="C2992" t="s">
        <v>40</v>
      </c>
      <c r="D2992">
        <v>5.4926199999999996</v>
      </c>
      <c r="E2992">
        <v>0.53560810000000003</v>
      </c>
      <c r="F2992" t="s">
        <v>42</v>
      </c>
      <c r="G2992">
        <v>-444.81830000000002</v>
      </c>
      <c r="H2992">
        <v>0.98701260000000002</v>
      </c>
      <c r="I2992">
        <v>211.9041</v>
      </c>
      <c r="J2992">
        <v>-445.3793</v>
      </c>
      <c r="K2992">
        <v>1.109658</v>
      </c>
      <c r="L2992">
        <v>211.98990000000001</v>
      </c>
      <c r="M2992">
        <v>0.99994499999999997</v>
      </c>
      <c r="N2992">
        <v>0</v>
      </c>
      <c r="O2992">
        <v>-5.5777889999999997E-3</v>
      </c>
      <c r="P2992">
        <v>0.99819800000000003</v>
      </c>
      <c r="Q2992">
        <v>-3.9374079999999999E-3</v>
      </c>
      <c r="R2992">
        <v>-5.9878859999999999E-2</v>
      </c>
      <c r="S2992">
        <v>2.9828489999999999</v>
      </c>
      <c r="T2992">
        <v>-0.49429380000000001</v>
      </c>
      <c r="U2992">
        <v>-0.3488617</v>
      </c>
      <c r="V2992">
        <v>5.4311619999999998E-2</v>
      </c>
      <c r="W2992">
        <v>4.915521E-3</v>
      </c>
      <c r="X2992">
        <v>0.99851190000000001</v>
      </c>
      <c r="Y2992">
        <v>0.1092277</v>
      </c>
      <c r="Z2992">
        <v>-8.0440089999999995E-3</v>
      </c>
      <c r="AA2992">
        <v>0.99398419999999998</v>
      </c>
      <c r="AB2992">
        <v>17</v>
      </c>
      <c r="AC2992">
        <v>0.56099999999997796</v>
      </c>
      <c r="AD2992">
        <v>-0.1226454</v>
      </c>
      <c r="AE2992">
        <v>-8.5800000000006094E-2</v>
      </c>
      <c r="AF2992">
        <v>7.8980841172405794E-2</v>
      </c>
      <c r="AG2992">
        <v>-0.1226454</v>
      </c>
      <c r="AH2992">
        <v>0.53641808373910305</v>
      </c>
      <c r="AI2992">
        <v>102.745753134875</v>
      </c>
      <c r="AJ2992">
        <v>81.624095154609805</v>
      </c>
      <c r="AK2992">
        <v>0.55589947650253502</v>
      </c>
      <c r="AL2992">
        <v>89.718360248386105</v>
      </c>
      <c r="AM2992">
        <v>86.886603746741102</v>
      </c>
      <c r="AN2992">
        <v>0.99999996442766703</v>
      </c>
    </row>
    <row r="2993" spans="1:40" x14ac:dyDescent="0.25">
      <c r="A2993" t="str">
        <f>"20190312161020165"</f>
        <v>20190312161020165</v>
      </c>
      <c r="B2993" t="str">
        <f>"1552378220159304"</f>
        <v>1552378220159304</v>
      </c>
      <c r="C2993" t="s">
        <v>40</v>
      </c>
      <c r="D2993">
        <v>5.5699959999999997</v>
      </c>
      <c r="E2993">
        <v>0.53464259999999997</v>
      </c>
      <c r="F2993" t="s">
        <v>42</v>
      </c>
      <c r="G2993">
        <v>-444.67989999999998</v>
      </c>
      <c r="H2993">
        <v>0.94821180000000005</v>
      </c>
      <c r="I2993">
        <v>211.88720000000001</v>
      </c>
      <c r="J2993">
        <v>-445.20350000000002</v>
      </c>
      <c r="K2993">
        <v>1.1096680000000001</v>
      </c>
      <c r="L2993">
        <v>211.98859999999999</v>
      </c>
      <c r="M2993">
        <v>0.99994400000000006</v>
      </c>
      <c r="N2993">
        <v>0</v>
      </c>
      <c r="O2993">
        <v>-5.8283789999999999E-3</v>
      </c>
      <c r="P2993">
        <v>0.99811709999999998</v>
      </c>
      <c r="Q2993">
        <v>-3.749175E-3</v>
      </c>
      <c r="R2993">
        <v>-6.1223199999999998E-2</v>
      </c>
      <c r="S2993">
        <v>2.9764710000000001</v>
      </c>
      <c r="T2993">
        <v>-0.68707079999999998</v>
      </c>
      <c r="U2993">
        <v>-0.4366913</v>
      </c>
      <c r="V2993">
        <v>5.5405910000000003E-2</v>
      </c>
      <c r="W2993">
        <v>5.0590459999999898E-3</v>
      </c>
      <c r="X2993">
        <v>0.99845110000000004</v>
      </c>
      <c r="Y2993">
        <v>0.13603899999999999</v>
      </c>
      <c r="Z2993">
        <v>-1.409703E-2</v>
      </c>
      <c r="AA2993">
        <v>0.99060309999999996</v>
      </c>
      <c r="AB2993">
        <v>18</v>
      </c>
      <c r="AC2993">
        <v>0.52360000000004403</v>
      </c>
      <c r="AD2993">
        <v>-0.16145619999999999</v>
      </c>
      <c r="AE2993">
        <v>-0.101399999999983</v>
      </c>
      <c r="AF2993">
        <v>9.0089908027184307E-2</v>
      </c>
      <c r="AG2993">
        <v>-0.16145619999999999</v>
      </c>
      <c r="AH2993">
        <v>0.480175281692655</v>
      </c>
      <c r="AI2993">
        <v>108.28758701923201</v>
      </c>
      <c r="AJ2993">
        <v>79.373769542646002</v>
      </c>
      <c r="AK2993">
        <v>0.51454115209126505</v>
      </c>
      <c r="AL2993">
        <v>89.710136780516194</v>
      </c>
      <c r="AM2993">
        <v>86.823808073512396</v>
      </c>
      <c r="AN2993">
        <v>1.0000000039502801</v>
      </c>
    </row>
    <row r="2994" spans="1:40" x14ac:dyDescent="0.25">
      <c r="A2994" t="str">
        <f>"20190312161020186"</f>
        <v>20190312161020186</v>
      </c>
      <c r="B2994" t="str">
        <f>"1552378220178824"</f>
        <v>1552378220178824</v>
      </c>
      <c r="C2994" t="s">
        <v>40</v>
      </c>
      <c r="D2994">
        <v>4.9210919999999998</v>
      </c>
      <c r="E2994">
        <v>0.53503080000000003</v>
      </c>
      <c r="F2994" t="s">
        <v>42</v>
      </c>
      <c r="G2994">
        <v>-444.37369999999999</v>
      </c>
      <c r="H2994">
        <v>0.92711600000000005</v>
      </c>
      <c r="I2994">
        <v>211.86760000000001</v>
      </c>
      <c r="J2994">
        <v>-445.03050000000002</v>
      </c>
      <c r="K2994">
        <v>1.1096870000000001</v>
      </c>
      <c r="L2994">
        <v>211.9873</v>
      </c>
      <c r="M2994">
        <v>0.99994329999999998</v>
      </c>
      <c r="N2994">
        <v>0</v>
      </c>
      <c r="O2994">
        <v>-6.0348099999999998E-3</v>
      </c>
      <c r="P2994">
        <v>0.99805710000000003</v>
      </c>
      <c r="Q2994">
        <v>-3.906067E-3</v>
      </c>
      <c r="R2994">
        <v>-6.218651E-2</v>
      </c>
      <c r="S2994">
        <v>2.9765630000000001</v>
      </c>
      <c r="T2994">
        <v>-0.65485990000000005</v>
      </c>
      <c r="U2994">
        <v>-0.43434139999999999</v>
      </c>
      <c r="V2994">
        <v>5.6163089999999999E-2</v>
      </c>
      <c r="W2994">
        <v>4.8559160000000001E-3</v>
      </c>
      <c r="X2994">
        <v>0.99840980000000001</v>
      </c>
      <c r="Y2994">
        <v>0.1353878</v>
      </c>
      <c r="Z2994">
        <v>-1.333697E-2</v>
      </c>
      <c r="AA2994">
        <v>0.99070290000000005</v>
      </c>
      <c r="AB2994">
        <v>18</v>
      </c>
      <c r="AC2994">
        <v>0.65680000000003202</v>
      </c>
      <c r="AD2994">
        <v>-0.18257100000000001</v>
      </c>
      <c r="AE2994">
        <v>-0.11969999999999401</v>
      </c>
      <c r="AF2994">
        <v>0.107681204662795</v>
      </c>
      <c r="AG2994">
        <v>-0.18257100000000001</v>
      </c>
      <c r="AH2994">
        <v>0.611760700338839</v>
      </c>
      <c r="AI2994">
        <v>106.37895397919699</v>
      </c>
      <c r="AJ2994">
        <v>80.017142242838702</v>
      </c>
      <c r="AK2994">
        <v>0.64744000985241701</v>
      </c>
      <c r="AL2994">
        <v>89.721775414289297</v>
      </c>
      <c r="AM2994">
        <v>86.780359871351806</v>
      </c>
      <c r="AN2994">
        <v>1.00000000066729</v>
      </c>
    </row>
    <row r="2995" spans="1:40" x14ac:dyDescent="0.25">
      <c r="A2995" t="str">
        <f>"20190312161020254"</f>
        <v>20190312161020254</v>
      </c>
      <c r="B2995" t="str">
        <f>"1552378220249096"</f>
        <v>1552378220249096</v>
      </c>
      <c r="C2995" t="s">
        <v>40</v>
      </c>
      <c r="D2995">
        <v>4.9216480000000002</v>
      </c>
      <c r="E2995">
        <v>0.54999140000000002</v>
      </c>
      <c r="F2995" t="s">
        <v>42</v>
      </c>
      <c r="G2995">
        <v>-444.21539999999999</v>
      </c>
      <c r="H2995">
        <v>0.9266316</v>
      </c>
      <c r="I2995">
        <v>211.8663</v>
      </c>
      <c r="J2995">
        <v>-444.48239999999998</v>
      </c>
      <c r="K2995">
        <v>1.1097170000000001</v>
      </c>
      <c r="L2995">
        <v>211.98339999999999</v>
      </c>
      <c r="M2995">
        <v>0.99994209999999994</v>
      </c>
      <c r="N2995">
        <v>0</v>
      </c>
      <c r="O2995">
        <v>-6.468456E-3</v>
      </c>
      <c r="P2995">
        <v>0.99811839999999996</v>
      </c>
      <c r="Q2995">
        <v>-3.9202070000000002E-3</v>
      </c>
      <c r="R2995">
        <v>-6.119173E-2</v>
      </c>
      <c r="S2995">
        <v>2.9758</v>
      </c>
      <c r="T2995">
        <v>-0.66834499999999997</v>
      </c>
      <c r="U2995">
        <v>-0.43978879999999998</v>
      </c>
      <c r="V2995">
        <v>5.4734419999999999E-2</v>
      </c>
      <c r="W2995">
        <v>4.6761499999999996E-3</v>
      </c>
      <c r="X2995">
        <v>0.99848999999999999</v>
      </c>
      <c r="Y2995">
        <v>0.1366252</v>
      </c>
      <c r="Z2995">
        <v>-1.3647579999999999E-2</v>
      </c>
      <c r="AA2995">
        <v>0.99052879999999999</v>
      </c>
      <c r="AB2995">
        <v>18</v>
      </c>
      <c r="AC2995">
        <v>0.26699999999999502</v>
      </c>
      <c r="AD2995">
        <v>-0.18308540000000001</v>
      </c>
      <c r="AE2995">
        <v>-0.117099999999993</v>
      </c>
      <c r="AF2995">
        <v>8.2741384589619202E-2</v>
      </c>
      <c r="AG2995">
        <v>-0.18308540000000001</v>
      </c>
      <c r="AH2995">
        <v>0.19202638765329999</v>
      </c>
      <c r="AI2995">
        <v>131.20581751179</v>
      </c>
      <c r="AJ2995">
        <v>66.689491014700806</v>
      </c>
      <c r="AK2995">
        <v>0.27792181269584199</v>
      </c>
      <c r="AL2995">
        <v>89.732075364630404</v>
      </c>
      <c r="AM2995">
        <v>86.862346431055101</v>
      </c>
      <c r="AN2995">
        <v>1.00000000160577</v>
      </c>
    </row>
    <row r="2996" spans="1:40" x14ac:dyDescent="0.25">
      <c r="A2996" t="str">
        <f>"20190312161020275"</f>
        <v>20190312161020275</v>
      </c>
      <c r="B2996" t="str">
        <f>"1552378220268616"</f>
        <v>1552378220268616</v>
      </c>
      <c r="C2996" t="s">
        <v>40</v>
      </c>
      <c r="D2996">
        <v>6.0837309999999896</v>
      </c>
      <c r="E2996">
        <v>0.54536030000000002</v>
      </c>
      <c r="F2996" t="s">
        <v>61</v>
      </c>
      <c r="G2996">
        <v>-442.73910000000001</v>
      </c>
      <c r="H2996" s="1">
        <v>4.8999299999999997E-8</v>
      </c>
      <c r="I2996">
        <v>211.68389999999999</v>
      </c>
      <c r="J2996">
        <v>-444.31479999999999</v>
      </c>
      <c r="K2996">
        <v>1.109707</v>
      </c>
      <c r="L2996">
        <v>211.98220000000001</v>
      </c>
      <c r="M2996">
        <v>0.9999422</v>
      </c>
      <c r="N2996">
        <v>0</v>
      </c>
      <c r="O2996">
        <v>-6.5426999999999898E-3</v>
      </c>
      <c r="P2996">
        <v>0.99811360000000005</v>
      </c>
      <c r="Q2996">
        <v>-4.9364099999999996E-3</v>
      </c>
      <c r="R2996">
        <v>-6.1199450000000002E-2</v>
      </c>
      <c r="S2996">
        <v>2.9669490000000001</v>
      </c>
      <c r="T2996">
        <v>-1.8886780000000001</v>
      </c>
      <c r="U2996">
        <v>-0.50971979999999995</v>
      </c>
      <c r="V2996">
        <v>5.46677E-2</v>
      </c>
      <c r="W2996">
        <v>3.59517E-3</v>
      </c>
      <c r="X2996">
        <v>0.99849810000000006</v>
      </c>
      <c r="Y2996">
        <v>0.13896939999999999</v>
      </c>
      <c r="Z2996">
        <v>-3.6461420000000001E-2</v>
      </c>
      <c r="AA2996">
        <v>0.98962519999999998</v>
      </c>
      <c r="AB2996">
        <v>18</v>
      </c>
      <c r="AC2996">
        <v>1.5756999999999799</v>
      </c>
      <c r="AD2996">
        <v>-1.1097069510007</v>
      </c>
      <c r="AE2996">
        <v>-0.298300000000011</v>
      </c>
      <c r="AF2996">
        <v>0.19473827757709</v>
      </c>
      <c r="AG2996">
        <v>-1.1097069510007</v>
      </c>
      <c r="AH2996">
        <v>1.0668048116469999</v>
      </c>
      <c r="AI2996">
        <v>135.659944875055</v>
      </c>
      <c r="AJ2996">
        <v>79.654931188194197</v>
      </c>
      <c r="AK2996">
        <v>1.55159434776173</v>
      </c>
      <c r="AL2996">
        <v>89.794011482277099</v>
      </c>
      <c r="AM2996">
        <v>86.866188902048094</v>
      </c>
      <c r="AN2996">
        <v>0.99999996918711398</v>
      </c>
    </row>
    <row r="2997" spans="1:40" x14ac:dyDescent="0.25">
      <c r="A2997" t="str">
        <f>"20190312161020297"</f>
        <v>20190312161020297</v>
      </c>
      <c r="B2997" t="str">
        <f>"1552378220289112"</f>
        <v>1552378220289112</v>
      </c>
      <c r="C2997" t="s">
        <v>40</v>
      </c>
      <c r="D2997">
        <v>6.2303829999999998</v>
      </c>
      <c r="E2997">
        <v>0.54300099999999996</v>
      </c>
      <c r="F2997" t="s">
        <v>42</v>
      </c>
      <c r="G2997">
        <v>-443.61309999999997</v>
      </c>
      <c r="H2997">
        <v>0.83802619999999906</v>
      </c>
      <c r="I2997">
        <v>211.86330000000001</v>
      </c>
      <c r="J2997">
        <v>-444.13220000000001</v>
      </c>
      <c r="K2997">
        <v>1.109693</v>
      </c>
      <c r="L2997">
        <v>211.98099999999999</v>
      </c>
      <c r="M2997">
        <v>0.99994240000000001</v>
      </c>
      <c r="N2997">
        <v>0</v>
      </c>
      <c r="O2997">
        <v>-6.6054950000000003E-3</v>
      </c>
      <c r="P2997">
        <v>0.99809519999999996</v>
      </c>
      <c r="Q2997">
        <v>-5.6018719999999999E-3</v>
      </c>
      <c r="R2997">
        <v>-6.143829E-2</v>
      </c>
      <c r="S2997">
        <v>2.9693299999999998</v>
      </c>
      <c r="T2997">
        <v>-1.149491</v>
      </c>
      <c r="U2997">
        <v>-0.50102230000000003</v>
      </c>
      <c r="V2997">
        <v>5.4843879999999998E-2</v>
      </c>
      <c r="W2997">
        <v>2.8508309999999999E-3</v>
      </c>
      <c r="X2997">
        <v>0.99849089999999996</v>
      </c>
      <c r="Y2997">
        <v>0.1497889</v>
      </c>
      <c r="Z2997">
        <v>-2.5352429999999999E-2</v>
      </c>
      <c r="AA2997">
        <v>0.98839290000000002</v>
      </c>
      <c r="AB2997">
        <v>18</v>
      </c>
      <c r="AC2997">
        <v>0.51910000000003698</v>
      </c>
      <c r="AD2997">
        <v>-0.27166679999999999</v>
      </c>
      <c r="AE2997">
        <v>-0.117699999999985</v>
      </c>
      <c r="AF2997">
        <v>9.0653614881654396E-2</v>
      </c>
      <c r="AG2997">
        <v>-0.27166679999999999</v>
      </c>
      <c r="AH2997">
        <v>0.412430284786306</v>
      </c>
      <c r="AI2997">
        <v>122.754789279128</v>
      </c>
      <c r="AJ2997">
        <v>77.603321466960793</v>
      </c>
      <c r="AK2997">
        <v>0.502115193877127</v>
      </c>
      <c r="AL2997">
        <v>89.836659198899497</v>
      </c>
      <c r="AM2997">
        <v>86.856087033886794</v>
      </c>
      <c r="AN2997">
        <v>1.00000002789682</v>
      </c>
    </row>
    <row r="2998" spans="1:40" x14ac:dyDescent="0.25">
      <c r="A2998" t="str">
        <f>"20190312161020320"</f>
        <v>20190312161020320</v>
      </c>
      <c r="B2998" t="str">
        <f>"1552378220308633"</f>
        <v>1552378220308633</v>
      </c>
      <c r="C2998" t="s">
        <v>40</v>
      </c>
      <c r="D2998">
        <v>5.8465769999999999</v>
      </c>
      <c r="E2998">
        <v>0.53918739999999998</v>
      </c>
      <c r="F2998" t="s">
        <v>42</v>
      </c>
      <c r="G2998">
        <v>-443.4332</v>
      </c>
      <c r="H2998">
        <v>0.88351209999999902</v>
      </c>
      <c r="I2998">
        <v>211.86529999999999</v>
      </c>
      <c r="J2998">
        <v>-443.9554</v>
      </c>
      <c r="K2998">
        <v>1.109677</v>
      </c>
      <c r="L2998">
        <v>211.97970000000001</v>
      </c>
      <c r="M2998">
        <v>0.99994269999999996</v>
      </c>
      <c r="N2998">
        <v>0</v>
      </c>
      <c r="O2998">
        <v>-6.6583149999999997E-3</v>
      </c>
      <c r="P2998">
        <v>0.9980559</v>
      </c>
      <c r="Q2998">
        <v>-5.782321E-3</v>
      </c>
      <c r="R2998">
        <v>-6.2057019999999997E-2</v>
      </c>
      <c r="S2998">
        <v>2.970154</v>
      </c>
      <c r="T2998">
        <v>-0.96092440000000001</v>
      </c>
      <c r="U2998">
        <v>-0.49032589999999998</v>
      </c>
      <c r="V2998">
        <v>5.5410019999999997E-2</v>
      </c>
      <c r="W2998">
        <v>2.5866639999999998E-3</v>
      </c>
      <c r="X2998">
        <v>0.99846040000000003</v>
      </c>
      <c r="Y2998">
        <v>0.14922160000000001</v>
      </c>
      <c r="Z2998">
        <v>-2.1303829999999999E-2</v>
      </c>
      <c r="AA2998">
        <v>0.98857430000000002</v>
      </c>
      <c r="AB2998">
        <v>18</v>
      </c>
      <c r="AC2998">
        <v>0.522199999999998</v>
      </c>
      <c r="AD2998">
        <v>-0.2261649</v>
      </c>
      <c r="AE2998">
        <v>-0.114400000000017</v>
      </c>
      <c r="AF2998">
        <v>9.4081185242196094E-2</v>
      </c>
      <c r="AG2998">
        <v>-0.2261649</v>
      </c>
      <c r="AH2998">
        <v>0.44355938563760899</v>
      </c>
      <c r="AI2998">
        <v>116.509558192705</v>
      </c>
      <c r="AJ2998">
        <v>78.0247537601266</v>
      </c>
      <c r="AK2998">
        <v>0.50670184526583195</v>
      </c>
      <c r="AL2998">
        <v>89.851794914257695</v>
      </c>
      <c r="AM2998">
        <v>86.823602472378397</v>
      </c>
      <c r="AN2998">
        <v>1.0000000657576</v>
      </c>
    </row>
    <row r="2999" spans="1:40" x14ac:dyDescent="0.25">
      <c r="A2999" t="str">
        <f>"20190312161020342"</f>
        <v>20190312161020342</v>
      </c>
      <c r="B2999" t="str">
        <f>"1552378220338889"</f>
        <v>1552378220338889</v>
      </c>
      <c r="C2999" t="s">
        <v>40</v>
      </c>
      <c r="D2999">
        <v>5.717314</v>
      </c>
      <c r="E2999">
        <v>0.53912759999999904</v>
      </c>
      <c r="F2999" t="s">
        <v>42</v>
      </c>
      <c r="G2999">
        <v>-443.25779999999997</v>
      </c>
      <c r="H2999">
        <v>0.91522919999999996</v>
      </c>
      <c r="I2999">
        <v>211.86969999999999</v>
      </c>
      <c r="J2999">
        <v>-443.77440000000001</v>
      </c>
      <c r="K2999">
        <v>1.1096569999999999</v>
      </c>
      <c r="L2999">
        <v>211.97839999999999</v>
      </c>
      <c r="M2999">
        <v>0.99994320000000003</v>
      </c>
      <c r="N2999">
        <v>0</v>
      </c>
      <c r="O2999">
        <v>-6.7109040000000002E-3</v>
      </c>
      <c r="P2999">
        <v>0.99804599999999999</v>
      </c>
      <c r="Q2999">
        <v>-5.2919409999999997E-3</v>
      </c>
      <c r="R2999">
        <v>-6.2260500000000003E-2</v>
      </c>
      <c r="S2999">
        <v>2.9719850000000001</v>
      </c>
      <c r="T2999">
        <v>-0.82834629999999998</v>
      </c>
      <c r="U2999">
        <v>-0.46661380000000002</v>
      </c>
      <c r="V2999">
        <v>5.5561159999999998E-2</v>
      </c>
      <c r="W2999">
        <v>2.9848219999999998E-3</v>
      </c>
      <c r="X2999">
        <v>0.99845079999999997</v>
      </c>
      <c r="Y2999">
        <v>0.1433856</v>
      </c>
      <c r="Z2999">
        <v>-1.7670760000000001E-2</v>
      </c>
      <c r="AA2999">
        <v>0.98950910000000003</v>
      </c>
      <c r="AB2999">
        <v>18</v>
      </c>
      <c r="AC2999">
        <v>0.51660000000003903</v>
      </c>
      <c r="AD2999">
        <v>-0.19442779999999901</v>
      </c>
      <c r="AE2999">
        <v>-0.10869999999999801</v>
      </c>
      <c r="AF2999">
        <v>9.2661774758003204E-2</v>
      </c>
      <c r="AG2999">
        <v>-0.19442779999999901</v>
      </c>
      <c r="AH2999">
        <v>0.45552910112818501</v>
      </c>
      <c r="AI2999">
        <v>112.697218390461</v>
      </c>
      <c r="AJ2999">
        <v>78.502013199794405</v>
      </c>
      <c r="AK2999">
        <v>0.50388008086130498</v>
      </c>
      <c r="AL2999">
        <v>89.828982038732207</v>
      </c>
      <c r="AM2999">
        <v>86.814925575661704</v>
      </c>
      <c r="AN2999">
        <v>0.99999997584177802</v>
      </c>
    </row>
    <row r="3000" spans="1:40" x14ac:dyDescent="0.25">
      <c r="A3000" t="str">
        <f>"20190312161020367"</f>
        <v>20190312161020367</v>
      </c>
      <c r="B3000" t="str">
        <f>"1552378220359385"</f>
        <v>1552378220359385</v>
      </c>
      <c r="C3000" t="s">
        <v>40</v>
      </c>
      <c r="D3000">
        <v>5.568384</v>
      </c>
      <c r="E3000">
        <v>0.54146799999999995</v>
      </c>
      <c r="F3000" t="s">
        <v>42</v>
      </c>
      <c r="G3000">
        <v>-443.08449999999999</v>
      </c>
      <c r="H3000">
        <v>0.93793419999999905</v>
      </c>
      <c r="I3000">
        <v>211.86869999999999</v>
      </c>
      <c r="J3000">
        <v>-443.57619999999997</v>
      </c>
      <c r="K3000">
        <v>1.109634</v>
      </c>
      <c r="L3000">
        <v>211.977</v>
      </c>
      <c r="M3000">
        <v>0.99994369999999999</v>
      </c>
      <c r="N3000">
        <v>0</v>
      </c>
      <c r="O3000">
        <v>-6.7726560000000002E-3</v>
      </c>
      <c r="P3000">
        <v>0.99805069999999996</v>
      </c>
      <c r="Q3000">
        <v>-5.3149429999999999E-3</v>
      </c>
      <c r="R3000">
        <v>-6.218481E-2</v>
      </c>
      <c r="S3000">
        <v>2.972534</v>
      </c>
      <c r="T3000">
        <v>-0.73997159999999995</v>
      </c>
      <c r="U3000">
        <v>-0.47105409999999998</v>
      </c>
      <c r="V3000">
        <v>5.5423920000000002E-2</v>
      </c>
      <c r="W3000">
        <v>2.8584600000000002E-3</v>
      </c>
      <c r="X3000">
        <v>0.99845879999999998</v>
      </c>
      <c r="Y3000">
        <v>0.14568680000000001</v>
      </c>
      <c r="Z3000">
        <v>-1.6104299999999998E-2</v>
      </c>
      <c r="AA3000">
        <v>0.98919970000000002</v>
      </c>
      <c r="AB3000">
        <v>18</v>
      </c>
      <c r="AC3000">
        <v>0.49169999999997999</v>
      </c>
      <c r="AD3000">
        <v>-0.17169980000000001</v>
      </c>
      <c r="AE3000">
        <v>-0.108300000000014</v>
      </c>
      <c r="AF3000">
        <v>9.4031756635460997E-2</v>
      </c>
      <c r="AG3000">
        <v>-0.17169980000000001</v>
      </c>
      <c r="AH3000">
        <v>0.44112148541539298</v>
      </c>
      <c r="AI3000">
        <v>110.840919757084</v>
      </c>
      <c r="AJ3000">
        <v>77.966638298277303</v>
      </c>
      <c r="AK3000">
        <v>0.48260849295373298</v>
      </c>
      <c r="AL3000">
        <v>89.836222079538601</v>
      </c>
      <c r="AM3000">
        <v>86.822802201670399</v>
      </c>
      <c r="AN3000">
        <v>0.99999997849958799</v>
      </c>
    </row>
    <row r="3001" spans="1:40" x14ac:dyDescent="0.25">
      <c r="A3001" t="str">
        <f>"20190312161020387"</f>
        <v>20190312161020387</v>
      </c>
      <c r="B3001" t="str">
        <f>"1552378220378905"</f>
        <v>1552378220378905</v>
      </c>
      <c r="C3001" t="s">
        <v>40</v>
      </c>
      <c r="D3001">
        <v>5.8065709999999999</v>
      </c>
      <c r="E3001">
        <v>0.54134259999999901</v>
      </c>
      <c r="F3001" t="s">
        <v>42</v>
      </c>
      <c r="G3001">
        <v>-442.77019999999999</v>
      </c>
      <c r="H3001">
        <v>0.90682039999999997</v>
      </c>
      <c r="I3001">
        <v>211.8441</v>
      </c>
      <c r="J3001">
        <v>-443.40190000000001</v>
      </c>
      <c r="K3001">
        <v>1.1096079999999999</v>
      </c>
      <c r="L3001">
        <v>211.97579999999999</v>
      </c>
      <c r="M3001">
        <v>0.9999439</v>
      </c>
      <c r="N3001">
        <v>0</v>
      </c>
      <c r="O3001">
        <v>-6.8317200000000003E-3</v>
      </c>
      <c r="P3001">
        <v>0.99807299999999999</v>
      </c>
      <c r="Q3001">
        <v>-5.8315939999999998E-3</v>
      </c>
      <c r="R3001">
        <v>-6.1777220000000001E-2</v>
      </c>
      <c r="S3001">
        <v>2.9713129999999999</v>
      </c>
      <c r="T3001">
        <v>-0.74767329999999999</v>
      </c>
      <c r="U3001">
        <v>-0.49020390000000003</v>
      </c>
      <c r="V3001">
        <v>5.4957209999999999E-2</v>
      </c>
      <c r="W3001">
        <v>2.2519250000000001E-3</v>
      </c>
      <c r="X3001">
        <v>0.99848619999999999</v>
      </c>
      <c r="Y3001">
        <v>0.15163889999999999</v>
      </c>
      <c r="Z3001">
        <v>-1.698353E-2</v>
      </c>
      <c r="AA3001">
        <v>0.98829009999999995</v>
      </c>
      <c r="AB3001">
        <v>18</v>
      </c>
      <c r="AC3001">
        <v>0.63170000000002302</v>
      </c>
      <c r="AD3001">
        <v>-0.20278760000000001</v>
      </c>
      <c r="AE3001">
        <v>-0.13169999999999499</v>
      </c>
      <c r="AF3001">
        <v>0.115931726692521</v>
      </c>
      <c r="AG3001">
        <v>-0.20278760000000001</v>
      </c>
      <c r="AH3001">
        <v>0.57572609908995598</v>
      </c>
      <c r="AI3001">
        <v>109.049702830353</v>
      </c>
      <c r="AJ3001">
        <v>78.614825311557695</v>
      </c>
      <c r="AK3001">
        <v>0.62130790848097806</v>
      </c>
      <c r="AL3001">
        <v>89.870974096389403</v>
      </c>
      <c r="AM3001">
        <v>86.8495886908334</v>
      </c>
      <c r="AN3001">
        <v>1.00000002884381</v>
      </c>
    </row>
    <row r="3002" spans="1:40" x14ac:dyDescent="0.25">
      <c r="A3002" t="str">
        <f>"20190312161020412"</f>
        <v>20190312161020412</v>
      </c>
      <c r="B3002" t="str">
        <f>"1552378220399400"</f>
        <v>1552378220399400</v>
      </c>
      <c r="C3002" t="s">
        <v>40</v>
      </c>
      <c r="D3002">
        <v>5.8043519999999997</v>
      </c>
      <c r="E3002">
        <v>0.54049029999999998</v>
      </c>
      <c r="F3002" t="s">
        <v>42</v>
      </c>
      <c r="G3002">
        <v>-442.60239999999999</v>
      </c>
      <c r="H3002">
        <v>0.91396310000000003</v>
      </c>
      <c r="I3002">
        <v>211.84379999999999</v>
      </c>
      <c r="J3002">
        <v>-443.20780000000002</v>
      </c>
      <c r="K3002">
        <v>1.1095900000000001</v>
      </c>
      <c r="L3002">
        <v>211.9743</v>
      </c>
      <c r="M3002">
        <v>0.9999441</v>
      </c>
      <c r="N3002">
        <v>0</v>
      </c>
      <c r="O3002">
        <v>-6.9033929999999999E-3</v>
      </c>
      <c r="P3002">
        <v>0.99809460000000005</v>
      </c>
      <c r="Q3002">
        <v>-6.4867419999999898E-3</v>
      </c>
      <c r="R3002">
        <v>-6.1360430000000001E-2</v>
      </c>
      <c r="S3002">
        <v>2.9713129999999999</v>
      </c>
      <c r="T3002">
        <v>-0.72724140000000004</v>
      </c>
      <c r="U3002">
        <v>-0.48861690000000002</v>
      </c>
      <c r="V3002">
        <v>5.4468469999999998E-2</v>
      </c>
      <c r="W3002">
        <v>1.50090799999999E-3</v>
      </c>
      <c r="X3002">
        <v>0.99851440000000002</v>
      </c>
      <c r="Y3002">
        <v>0.15129919999999999</v>
      </c>
      <c r="Z3002">
        <v>-1.6475449999999999E-2</v>
      </c>
      <c r="AA3002">
        <v>0.98835070000000003</v>
      </c>
      <c r="AB3002">
        <v>18</v>
      </c>
      <c r="AC3002">
        <v>0.60540000000003102</v>
      </c>
      <c r="AD3002">
        <v>-0.19562689999999899</v>
      </c>
      <c r="AE3002">
        <v>-0.130500000000012</v>
      </c>
      <c r="AF3002">
        <v>0.11485692198929601</v>
      </c>
      <c r="AG3002">
        <v>-0.19562689999999899</v>
      </c>
      <c r="AH3002">
        <v>0.55127937633109303</v>
      </c>
      <c r="AI3002">
        <v>109.157223259953</v>
      </c>
      <c r="AJ3002">
        <v>78.231008634527896</v>
      </c>
      <c r="AK3002">
        <v>0.59612997517358901</v>
      </c>
      <c r="AL3002">
        <v>89.914004277055</v>
      </c>
      <c r="AM3002">
        <v>86.877637938171304</v>
      </c>
      <c r="AN3002">
        <v>1.0000000369781601</v>
      </c>
    </row>
    <row r="3003" spans="1:40" x14ac:dyDescent="0.25">
      <c r="A3003" t="str">
        <f>"20190312161020434"</f>
        <v>20190312161020434</v>
      </c>
      <c r="B3003" t="str">
        <f>"1552378220428680"</f>
        <v>1552378220428680</v>
      </c>
      <c r="C3003" t="s">
        <v>40</v>
      </c>
      <c r="D3003">
        <v>5.740202</v>
      </c>
      <c r="E3003">
        <v>0.53981099999999904</v>
      </c>
      <c r="F3003" t="s">
        <v>42</v>
      </c>
      <c r="G3003">
        <v>-442.43279999999999</v>
      </c>
      <c r="H3003">
        <v>0.92432400000000003</v>
      </c>
      <c r="I3003">
        <v>211.84889999999999</v>
      </c>
      <c r="J3003">
        <v>-443.02159999999998</v>
      </c>
      <c r="K3003">
        <v>1.109583</v>
      </c>
      <c r="L3003">
        <v>211.97300000000001</v>
      </c>
      <c r="M3003">
        <v>0.99994430000000001</v>
      </c>
      <c r="N3003">
        <v>0</v>
      </c>
      <c r="O3003">
        <v>-6.9731749999999999E-3</v>
      </c>
      <c r="P3003">
        <v>0.99817219999999995</v>
      </c>
      <c r="Q3003">
        <v>-5.648658E-3</v>
      </c>
      <c r="R3003">
        <v>-6.0171879999999997E-2</v>
      </c>
      <c r="S3003">
        <v>2.9715579999999999</v>
      </c>
      <c r="T3003">
        <v>-0.71040190000000003</v>
      </c>
      <c r="U3003">
        <v>-0.4805603</v>
      </c>
      <c r="V3003">
        <v>5.3209989999999999E-2</v>
      </c>
      <c r="W3003">
        <v>2.2562160000000001E-3</v>
      </c>
      <c r="X3003">
        <v>0.99858080000000005</v>
      </c>
      <c r="Y3003">
        <v>0.148861299999999</v>
      </c>
      <c r="Z3003">
        <v>-1.5804490000000001E-2</v>
      </c>
      <c r="AA3003">
        <v>0.98873180000000005</v>
      </c>
      <c r="AB3003">
        <v>18</v>
      </c>
      <c r="AC3003">
        <v>0.588799999999992</v>
      </c>
      <c r="AD3003">
        <v>-0.18525900000000001</v>
      </c>
      <c r="AE3003">
        <v>-0.124099999999998</v>
      </c>
      <c r="AF3003">
        <v>0.109602233517333</v>
      </c>
      <c r="AG3003">
        <v>-0.18525900000000001</v>
      </c>
      <c r="AH3003">
        <v>0.53859914133753095</v>
      </c>
      <c r="AI3003">
        <v>108.62672487057</v>
      </c>
      <c r="AJ3003">
        <v>78.497650573955596</v>
      </c>
      <c r="AK3003">
        <v>0.58001946667548498</v>
      </c>
      <c r="AL3003">
        <v>89.870728236349393</v>
      </c>
      <c r="AM3003">
        <v>86.949843913995807</v>
      </c>
      <c r="AN3003">
        <v>1.0000000038375301</v>
      </c>
    </row>
    <row r="3004" spans="1:40" x14ac:dyDescent="0.25">
      <c r="A3004" t="str">
        <f>"20190312161020458"</f>
        <v>20190312161020458</v>
      </c>
      <c r="B3004" t="str">
        <f>"1552378220449177"</f>
        <v>1552378220449177</v>
      </c>
      <c r="C3004" t="s">
        <v>40</v>
      </c>
      <c r="D3004">
        <v>5.6259139999999999</v>
      </c>
      <c r="E3004">
        <v>0.50420770000000004</v>
      </c>
      <c r="F3004" t="s">
        <v>42</v>
      </c>
      <c r="G3004">
        <v>-442.26389999999998</v>
      </c>
      <c r="H3004">
        <v>0.93061660000000002</v>
      </c>
      <c r="I3004">
        <v>211.85220000000001</v>
      </c>
      <c r="J3004">
        <v>-442.81630000000001</v>
      </c>
      <c r="K3004">
        <v>1.1095790000000001</v>
      </c>
      <c r="L3004">
        <v>211.97149999999999</v>
      </c>
      <c r="M3004">
        <v>0.99994459999999996</v>
      </c>
      <c r="N3004">
        <v>0</v>
      </c>
      <c r="O3004">
        <v>-7.0431519999999996E-3</v>
      </c>
      <c r="P3004">
        <v>0.99822250000000001</v>
      </c>
      <c r="Q3004">
        <v>-4.6229699999999997E-3</v>
      </c>
      <c r="R3004">
        <v>-5.9421950000000001E-2</v>
      </c>
      <c r="S3004">
        <v>2.9730219999999998</v>
      </c>
      <c r="T3004">
        <v>-0.70231779999999999</v>
      </c>
      <c r="U3004">
        <v>-0.47228999999999999</v>
      </c>
      <c r="V3004">
        <v>5.2389659999999998E-2</v>
      </c>
      <c r="W3004">
        <v>3.2013039999999999E-3</v>
      </c>
      <c r="X3004">
        <v>0.9986216</v>
      </c>
      <c r="Y3004">
        <v>0.1461954</v>
      </c>
      <c r="Z3004">
        <v>-1.5300309999999999E-2</v>
      </c>
      <c r="AA3004">
        <v>0.98913739999999994</v>
      </c>
      <c r="AB3004">
        <v>19</v>
      </c>
      <c r="AC3004">
        <v>0.55240000000003397</v>
      </c>
      <c r="AD3004">
        <v>-0.17896239999999999</v>
      </c>
      <c r="AE3004">
        <v>-0.119299999999981</v>
      </c>
      <c r="AF3004">
        <v>0.104888018900855</v>
      </c>
      <c r="AG3004">
        <v>-0.17896239999999999</v>
      </c>
      <c r="AH3004">
        <v>0.50280484555947202</v>
      </c>
      <c r="AI3004">
        <v>109.20975319295999</v>
      </c>
      <c r="AJ3004">
        <v>78.2167487822054</v>
      </c>
      <c r="AK3004">
        <v>0.54391336611705898</v>
      </c>
      <c r="AL3004">
        <v>89.8165784808414</v>
      </c>
      <c r="AM3004">
        <v>86.996903409077305</v>
      </c>
      <c r="AN3004">
        <v>1.00000001240438</v>
      </c>
    </row>
    <row r="3005" spans="1:40" x14ac:dyDescent="0.25">
      <c r="A3005" t="str">
        <f>"20190312161020477"</f>
        <v>20190312161020477</v>
      </c>
      <c r="B3005" t="str">
        <f>"1552378220468697"</f>
        <v>1552378220468697</v>
      </c>
      <c r="C3005" t="s">
        <v>40</v>
      </c>
      <c r="D3005">
        <v>5.7392529999999997</v>
      </c>
      <c r="E3005">
        <v>0.49871359999999898</v>
      </c>
      <c r="F3005" t="s">
        <v>42</v>
      </c>
      <c r="G3005">
        <v>-442.06270000000001</v>
      </c>
      <c r="H3005">
        <v>1.003039</v>
      </c>
      <c r="I3005">
        <v>211.92169999999999</v>
      </c>
      <c r="J3005">
        <v>-442.65589999999997</v>
      </c>
      <c r="K3005">
        <v>1.109572</v>
      </c>
      <c r="L3005">
        <v>211.97030000000001</v>
      </c>
      <c r="M3005">
        <v>0.99994470000000002</v>
      </c>
      <c r="N3005">
        <v>0</v>
      </c>
      <c r="O3005">
        <v>-7.0851680000000002E-3</v>
      </c>
      <c r="P3005">
        <v>0.99825719999999996</v>
      </c>
      <c r="Q3005">
        <v>-4.2022259999999999E-3</v>
      </c>
      <c r="R3005">
        <v>-5.8866700000000001E-2</v>
      </c>
      <c r="S3005">
        <v>2.991638</v>
      </c>
      <c r="T3005">
        <v>-0.42304839999999999</v>
      </c>
      <c r="U3005">
        <v>-0.19700619999999999</v>
      </c>
      <c r="V3005">
        <v>5.1792520000000002E-2</v>
      </c>
      <c r="W3005">
        <v>3.5660829999999998E-3</v>
      </c>
      <c r="X3005">
        <v>0.99865150000000003</v>
      </c>
      <c r="Y3005">
        <v>5.8132629999999998E-2</v>
      </c>
      <c r="Z3005">
        <v>-3.0897120000000001E-3</v>
      </c>
      <c r="AA3005">
        <v>0.99830410000000003</v>
      </c>
      <c r="AB3005">
        <v>19</v>
      </c>
      <c r="AC3005">
        <v>0.59319999999996698</v>
      </c>
      <c r="AD3005">
        <v>-0.106533</v>
      </c>
      <c r="AE3005">
        <v>-4.8600000000021702E-2</v>
      </c>
      <c r="AF3005">
        <v>4.3017550226937901E-2</v>
      </c>
      <c r="AG3005">
        <v>-0.106533</v>
      </c>
      <c r="AH3005">
        <v>0.57510446336723797</v>
      </c>
      <c r="AI3005">
        <v>100.46598711795301</v>
      </c>
      <c r="AJ3005">
        <v>85.722268018453903</v>
      </c>
      <c r="AK3005">
        <v>0.58646818626541497</v>
      </c>
      <c r="AL3005">
        <v>89.7956780617004</v>
      </c>
      <c r="AM3005">
        <v>87.031159996811994</v>
      </c>
      <c r="AN3005">
        <v>1.0000000002640801</v>
      </c>
    </row>
    <row r="3006" spans="1:40" x14ac:dyDescent="0.25">
      <c r="A3006" t="str">
        <f>"20190312161020499"</f>
        <v>20190312161020499</v>
      </c>
      <c r="B3006" t="str">
        <f>"1552378220489192"</f>
        <v>1552378220489192</v>
      </c>
      <c r="C3006" t="s">
        <v>40</v>
      </c>
      <c r="D3006">
        <v>5.4056579999999999</v>
      </c>
      <c r="E3006">
        <v>0.48418909999999998</v>
      </c>
      <c r="F3006" t="s">
        <v>42</v>
      </c>
      <c r="G3006">
        <v>-441.88670000000002</v>
      </c>
      <c r="H3006">
        <v>1.0203709999999999</v>
      </c>
      <c r="I3006">
        <v>211.93029999999999</v>
      </c>
      <c r="J3006">
        <v>-442.47320000000002</v>
      </c>
      <c r="K3006">
        <v>1.109575</v>
      </c>
      <c r="L3006">
        <v>211.96889999999999</v>
      </c>
      <c r="M3006">
        <v>0.99994490000000003</v>
      </c>
      <c r="N3006">
        <v>0</v>
      </c>
      <c r="O3006">
        <v>-7.1183080000000003E-3</v>
      </c>
      <c r="P3006">
        <v>0.99825839999999999</v>
      </c>
      <c r="Q3006">
        <v>-4.1593020000000001E-3</v>
      </c>
      <c r="R3006">
        <v>-5.8847200000000002E-2</v>
      </c>
      <c r="S3006">
        <v>2.994659</v>
      </c>
      <c r="T3006">
        <v>-0.34737679999999999</v>
      </c>
      <c r="U3006">
        <v>-0.15405269999999999</v>
      </c>
      <c r="V3006">
        <v>5.173991E-2</v>
      </c>
      <c r="W3006">
        <v>3.5484399999999999E-3</v>
      </c>
      <c r="X3006">
        <v>0.99865429999999999</v>
      </c>
      <c r="Y3006">
        <v>4.4017390000000003E-2</v>
      </c>
      <c r="Z3006">
        <v>-1.7203870000000001E-3</v>
      </c>
      <c r="AA3006">
        <v>0.99902930000000001</v>
      </c>
      <c r="AB3006">
        <v>19</v>
      </c>
      <c r="AC3006">
        <v>0.58650000000000002</v>
      </c>
      <c r="AD3006">
        <v>-8.9204000000000006E-2</v>
      </c>
      <c r="AE3006">
        <v>-3.8600000000002403E-2</v>
      </c>
      <c r="AF3006">
        <v>3.3648964506295002E-2</v>
      </c>
      <c r="AG3006">
        <v>-8.9204000000000006E-2</v>
      </c>
      <c r="AH3006">
        <v>0.57354920286220901</v>
      </c>
      <c r="AI3006">
        <v>98.825438712147601</v>
      </c>
      <c r="AJ3006">
        <v>86.642421871896502</v>
      </c>
      <c r="AK3006">
        <v>0.58141920722678297</v>
      </c>
      <c r="AL3006">
        <v>89.796688939576697</v>
      </c>
      <c r="AM3006">
        <v>87.034178610094301</v>
      </c>
      <c r="AN3006">
        <v>1.0000000103108599</v>
      </c>
    </row>
    <row r="3007" spans="1:40" x14ac:dyDescent="0.25">
      <c r="A3007" t="str">
        <f>"20190312161020545"</f>
        <v>20190312161020545</v>
      </c>
      <c r="B3007" t="str">
        <f>"1552378220538969"</f>
        <v>1552378220538969</v>
      </c>
      <c r="C3007" t="s">
        <v>40</v>
      </c>
      <c r="D3007">
        <v>5.4252310000000001</v>
      </c>
      <c r="E3007">
        <v>0.48774679999999998</v>
      </c>
      <c r="F3007" t="s">
        <v>59</v>
      </c>
      <c r="G3007">
        <v>-206.5206</v>
      </c>
      <c r="H3007">
        <v>8.0001030000000001E-2</v>
      </c>
      <c r="I3007">
        <v>207.99709999999999</v>
      </c>
      <c r="J3007">
        <v>-442.0865</v>
      </c>
      <c r="K3007">
        <v>1.1095839999999999</v>
      </c>
      <c r="L3007">
        <v>211.96619999999999</v>
      </c>
      <c r="M3007">
        <v>0.99994570000000005</v>
      </c>
      <c r="N3007">
        <v>0</v>
      </c>
      <c r="O3007">
        <v>-7.1357629999999998E-3</v>
      </c>
      <c r="P3007">
        <v>0.99825280000000005</v>
      </c>
      <c r="Q3007">
        <v>-4.0369739999999996E-3</v>
      </c>
      <c r="R3007">
        <v>-5.8953169999999999E-2</v>
      </c>
      <c r="S3007">
        <v>3.0022280000000001</v>
      </c>
      <c r="T3007">
        <v>-1.310015E-2</v>
      </c>
      <c r="U3007">
        <v>-5.0537110000000003E-2</v>
      </c>
      <c r="V3007">
        <v>5.182809E-2</v>
      </c>
      <c r="W3007">
        <v>3.558454E-3</v>
      </c>
      <c r="X3007">
        <v>0.99864969999999997</v>
      </c>
      <c r="Y3007">
        <v>9.6954090000000003E-3</v>
      </c>
      <c r="Z3007" s="1">
        <v>9.983361E-6</v>
      </c>
      <c r="AA3007">
        <v>0.99995299999999998</v>
      </c>
      <c r="AB3007">
        <v>19</v>
      </c>
      <c r="AC3007">
        <v>235.5659</v>
      </c>
      <c r="AD3007">
        <v>-1.0295829700000001</v>
      </c>
      <c r="AE3007">
        <v>-3.9690999999999899</v>
      </c>
      <c r="AF3007">
        <v>2.2879643351287098</v>
      </c>
      <c r="AG3007">
        <v>-1.0295829700000001</v>
      </c>
      <c r="AH3007">
        <v>235.58372650793899</v>
      </c>
      <c r="AI3007">
        <v>90.250389117975303</v>
      </c>
      <c r="AJ3007">
        <v>89.443566918968401</v>
      </c>
      <c r="AK3007">
        <v>235.59708618159601</v>
      </c>
      <c r="AL3007">
        <v>89.796115177675105</v>
      </c>
      <c r="AM3007">
        <v>87.029119366847794</v>
      </c>
      <c r="AN3007">
        <v>1.0000000184090001</v>
      </c>
    </row>
    <row r="3008" spans="1:40" x14ac:dyDescent="0.25">
      <c r="A3008" t="str">
        <f>"20190312161020588"</f>
        <v>20190312161020588</v>
      </c>
      <c r="B3008" t="str">
        <f>"1552378220578985"</f>
        <v>1552378220578985</v>
      </c>
      <c r="C3008" t="s">
        <v>40</v>
      </c>
      <c r="D3008">
        <v>5.4476120000000003</v>
      </c>
      <c r="E3008">
        <v>0.48959459999999999</v>
      </c>
      <c r="F3008" t="s">
        <v>61</v>
      </c>
      <c r="G3008">
        <v>-388.75850000000003</v>
      </c>
      <c r="H3008" s="1">
        <v>3.2999310000000002E-6</v>
      </c>
      <c r="I3008">
        <v>210.59229999999999</v>
      </c>
      <c r="J3008">
        <v>-441.72129999999999</v>
      </c>
      <c r="K3008">
        <v>1.109607</v>
      </c>
      <c r="L3008">
        <v>211.96369999999999</v>
      </c>
      <c r="M3008">
        <v>0.99994700000000003</v>
      </c>
      <c r="N3008">
        <v>0</v>
      </c>
      <c r="O3008">
        <v>-7.0501130000000002E-3</v>
      </c>
      <c r="P3008">
        <v>0.99820969999999998</v>
      </c>
      <c r="Q3008">
        <v>-4.1338479999999999E-3</v>
      </c>
      <c r="R3008">
        <v>-5.9673999999999998E-2</v>
      </c>
      <c r="S3008">
        <v>3.0004580000000001</v>
      </c>
      <c r="T3008">
        <v>-6.242967E-2</v>
      </c>
      <c r="U3008">
        <v>-7.7301030000000007E-2</v>
      </c>
      <c r="V3008">
        <v>5.2634279999999999E-2</v>
      </c>
      <c r="W3008">
        <v>3.3834550000000001E-3</v>
      </c>
      <c r="X3008">
        <v>0.9986081</v>
      </c>
      <c r="Y3008">
        <v>1.8703399999999998E-2</v>
      </c>
      <c r="Z3008" s="1">
        <v>-4.7875450000000003E-5</v>
      </c>
      <c r="AA3008">
        <v>0.99982510000000002</v>
      </c>
      <c r="AB3008">
        <v>19</v>
      </c>
      <c r="AC3008">
        <v>52.962799999999902</v>
      </c>
      <c r="AD3008">
        <v>-1.109603700069</v>
      </c>
      <c r="AE3008">
        <v>-1.37139999999999</v>
      </c>
      <c r="AF3008">
        <v>0.99752413203430701</v>
      </c>
      <c r="AG3008">
        <v>-1.109603700069</v>
      </c>
      <c r="AH3008">
        <v>52.9479276826196</v>
      </c>
      <c r="AI3008">
        <v>91.200330826567196</v>
      </c>
      <c r="AJ3008">
        <v>88.920691239637506</v>
      </c>
      <c r="AK3008">
        <v>52.968946757974201</v>
      </c>
      <c r="AL3008">
        <v>89.806141933856694</v>
      </c>
      <c r="AM3008">
        <v>86.982866359114496</v>
      </c>
      <c r="AN3008">
        <v>0.99999997629223203</v>
      </c>
    </row>
    <row r="3009" spans="1:40" x14ac:dyDescent="0.25">
      <c r="A3009" t="str">
        <f>"20190312161020612"</f>
        <v>20190312161020612</v>
      </c>
      <c r="B3009" t="str">
        <f>"1552378220609240"</f>
        <v>1552378220609240</v>
      </c>
      <c r="C3009" t="s">
        <v>40</v>
      </c>
      <c r="D3009">
        <v>5.4388839999999998</v>
      </c>
      <c r="E3009">
        <v>0.49084270000000002</v>
      </c>
      <c r="F3009" t="s">
        <v>74</v>
      </c>
      <c r="G3009">
        <v>-401.69209999999998</v>
      </c>
      <c r="H3009" s="1">
        <v>8.4576360000000003E-6</v>
      </c>
      <c r="I3009">
        <v>210.71680000000001</v>
      </c>
      <c r="J3009">
        <v>-441.51839999999999</v>
      </c>
      <c r="K3009">
        <v>1.1096140000000001</v>
      </c>
      <c r="L3009">
        <v>211.9623</v>
      </c>
      <c r="M3009">
        <v>0.99994780000000005</v>
      </c>
      <c r="N3009">
        <v>0</v>
      </c>
      <c r="O3009">
        <v>-6.9630739999999997E-3</v>
      </c>
      <c r="P3009">
        <v>0.99828309999999998</v>
      </c>
      <c r="Q3009">
        <v>-3.4996390000000001E-3</v>
      </c>
      <c r="R3009">
        <v>-5.8467560000000002E-2</v>
      </c>
      <c r="S3009">
        <v>2.9994510000000001</v>
      </c>
      <c r="T3009">
        <v>-8.314407E-2</v>
      </c>
      <c r="U3009">
        <v>-9.3429570000000003E-2</v>
      </c>
      <c r="V3009">
        <v>5.151443E-2</v>
      </c>
      <c r="W3009">
        <v>3.9842660000000002E-3</v>
      </c>
      <c r="X3009">
        <v>0.99866429999999995</v>
      </c>
      <c r="Y3009">
        <v>2.416654E-2</v>
      </c>
      <c r="Z3009">
        <v>-1.4187E-4</v>
      </c>
      <c r="AA3009">
        <v>0.99970789999999998</v>
      </c>
      <c r="AB3009">
        <v>19</v>
      </c>
      <c r="AC3009">
        <v>39.826300000000003</v>
      </c>
      <c r="AD3009">
        <v>-1.1096055423640001</v>
      </c>
      <c r="AE3009">
        <v>-1.2454999999999901</v>
      </c>
      <c r="AF3009">
        <v>0.96739837537631002</v>
      </c>
      <c r="AG3009">
        <v>-1.1096055423640001</v>
      </c>
      <c r="AH3009">
        <v>39.803140514654501</v>
      </c>
      <c r="AI3009">
        <v>91.5963689688908</v>
      </c>
      <c r="AJ3009">
        <v>88.6077245866325</v>
      </c>
      <c r="AK3009">
        <v>39.8303537381437</v>
      </c>
      <c r="AL3009">
        <v>89.771717769192506</v>
      </c>
      <c r="AM3009">
        <v>87.0471101061366</v>
      </c>
      <c r="AN3009">
        <v>0.99999999748413604</v>
      </c>
    </row>
    <row r="3010" spans="1:40" x14ac:dyDescent="0.25">
      <c r="A3010" t="str">
        <f>"20190312161020636"</f>
        <v>20190312161020636</v>
      </c>
      <c r="B3010" t="str">
        <f>"1552378220628761"</f>
        <v>1552378220628761</v>
      </c>
      <c r="C3010" t="s">
        <v>40</v>
      </c>
      <c r="D3010">
        <v>5.3757960000000002</v>
      </c>
      <c r="E3010">
        <v>0.49169600000000002</v>
      </c>
      <c r="F3010" t="s">
        <v>74</v>
      </c>
      <c r="G3010">
        <v>-405.64800000000002</v>
      </c>
      <c r="H3010" s="1">
        <v>6.6923839999999899E-6</v>
      </c>
      <c r="I3010">
        <v>210.77</v>
      </c>
      <c r="J3010">
        <v>-441.31459999999998</v>
      </c>
      <c r="K3010">
        <v>1.1096140000000001</v>
      </c>
      <c r="L3010">
        <v>211.96100000000001</v>
      </c>
      <c r="M3010">
        <v>0.99994890000000003</v>
      </c>
      <c r="N3010">
        <v>0</v>
      </c>
      <c r="O3010">
        <v>-6.8543679999999996E-3</v>
      </c>
      <c r="P3010">
        <v>0.99833769999999999</v>
      </c>
      <c r="Q3010">
        <v>-3.4290190000000002E-3</v>
      </c>
      <c r="R3010">
        <v>-5.7536190000000001E-2</v>
      </c>
      <c r="S3010">
        <v>2.998993</v>
      </c>
      <c r="T3010">
        <v>-9.2770099999999994E-2</v>
      </c>
      <c r="U3010">
        <v>-9.9685670000000004E-2</v>
      </c>
      <c r="V3010">
        <v>5.0691069999999998E-2</v>
      </c>
      <c r="W3010">
        <v>4.0257510000000002E-3</v>
      </c>
      <c r="X3010">
        <v>0.99870630000000005</v>
      </c>
      <c r="Y3010">
        <v>2.6360499999999999E-2</v>
      </c>
      <c r="Z3010">
        <v>-1.9558379999999999E-4</v>
      </c>
      <c r="AA3010">
        <v>0.99965250000000005</v>
      </c>
      <c r="AB3010">
        <v>19</v>
      </c>
      <c r="AC3010">
        <v>35.666599999999903</v>
      </c>
      <c r="AD3010">
        <v>-1.10960730761599</v>
      </c>
      <c r="AE3010">
        <v>-1.1909999999999701</v>
      </c>
      <c r="AF3010">
        <v>0.94557909446980404</v>
      </c>
      <c r="AG3010">
        <v>-1.10960730761599</v>
      </c>
      <c r="AH3010">
        <v>35.639470063319202</v>
      </c>
      <c r="AI3010">
        <v>91.7826567588274</v>
      </c>
      <c r="AJ3010">
        <v>88.4801967022875</v>
      </c>
      <c r="AK3010">
        <v>35.669274937896397</v>
      </c>
      <c r="AL3010">
        <v>89.769340842776202</v>
      </c>
      <c r="AM3010">
        <v>87.094346874573205</v>
      </c>
      <c r="AN3010">
        <v>1.0000000324542699</v>
      </c>
    </row>
    <row r="3011" spans="1:40" x14ac:dyDescent="0.25">
      <c r="A3011" t="str">
        <f>"20190312161020658"</f>
        <v>20190312161020658</v>
      </c>
      <c r="B3011" t="str">
        <f>"1552378220649256"</f>
        <v>1552378220649256</v>
      </c>
      <c r="C3011" t="s">
        <v>40</v>
      </c>
      <c r="D3011">
        <v>5.4579719999999998</v>
      </c>
      <c r="E3011">
        <v>0.49203930000000001</v>
      </c>
      <c r="F3011" t="s">
        <v>74</v>
      </c>
      <c r="G3011">
        <v>-404.63389999999998</v>
      </c>
      <c r="H3011" s="1">
        <v>7.1584290000000001E-6</v>
      </c>
      <c r="I3011">
        <v>210.6909</v>
      </c>
      <c r="J3011">
        <v>-441.11880000000002</v>
      </c>
      <c r="K3011">
        <v>1.109623</v>
      </c>
      <c r="L3011">
        <v>211.9598</v>
      </c>
      <c r="M3011">
        <v>0.9999498</v>
      </c>
      <c r="N3011">
        <v>0</v>
      </c>
      <c r="O3011">
        <v>-6.7293519999999897E-3</v>
      </c>
      <c r="P3011">
        <v>0.99834809999999996</v>
      </c>
      <c r="Q3011">
        <v>-5.0829569999999999E-3</v>
      </c>
      <c r="R3011">
        <v>-5.7232829999999998E-2</v>
      </c>
      <c r="S3011">
        <v>2.998688</v>
      </c>
      <c r="T3011">
        <v>-9.0711589999999995E-2</v>
      </c>
      <c r="U3011">
        <v>-0.1038361</v>
      </c>
      <c r="V3011">
        <v>5.0512630000000003E-2</v>
      </c>
      <c r="W3011">
        <v>2.343955E-3</v>
      </c>
      <c r="X3011">
        <v>0.99872059999999996</v>
      </c>
      <c r="Y3011">
        <v>2.787048E-2</v>
      </c>
      <c r="Z3011">
        <v>-2.1786749999999999E-4</v>
      </c>
      <c r="AA3011">
        <v>0.99961149999999999</v>
      </c>
      <c r="AB3011">
        <v>19</v>
      </c>
      <c r="AC3011">
        <v>36.484900000000003</v>
      </c>
      <c r="AD3011">
        <v>-1.109615841571</v>
      </c>
      <c r="AE3011">
        <v>-1.2688999999999999</v>
      </c>
      <c r="AF3011">
        <v>1.0224002385770701</v>
      </c>
      <c r="AG3011">
        <v>-1.109615841571</v>
      </c>
      <c r="AH3011">
        <v>36.458930957266197</v>
      </c>
      <c r="AI3011">
        <v>91.742555923149993</v>
      </c>
      <c r="AJ3011">
        <v>88.393703021006402</v>
      </c>
      <c r="AK3011">
        <v>36.490138340521703</v>
      </c>
      <c r="AL3011">
        <v>89.865701138538199</v>
      </c>
      <c r="AM3011">
        <v>87.104599151257403</v>
      </c>
      <c r="AN3011">
        <v>0.99999992838945695</v>
      </c>
    </row>
    <row r="3012" spans="1:40" x14ac:dyDescent="0.25">
      <c r="A3012" t="str">
        <f>"20190312161020678"</f>
        <v>20190312161020678</v>
      </c>
      <c r="B3012" t="str">
        <f>"1552378220668777"</f>
        <v>1552378220668777</v>
      </c>
      <c r="C3012" t="s">
        <v>40</v>
      </c>
      <c r="D3012">
        <v>5.392938</v>
      </c>
      <c r="E3012">
        <v>0.49212980000000001</v>
      </c>
      <c r="F3012" t="s">
        <v>74</v>
      </c>
      <c r="G3012">
        <v>-407.53820000000002</v>
      </c>
      <c r="H3012" s="1">
        <v>5.8518399999999999E-6</v>
      </c>
      <c r="I3012">
        <v>210.78110000000001</v>
      </c>
      <c r="J3012">
        <v>-440.93920000000003</v>
      </c>
      <c r="K3012">
        <v>1.109621</v>
      </c>
      <c r="L3012">
        <v>211.9588</v>
      </c>
      <c r="M3012">
        <v>0.99995080000000003</v>
      </c>
      <c r="N3012">
        <v>0</v>
      </c>
      <c r="O3012">
        <v>-6.5982899999999997E-3</v>
      </c>
      <c r="P3012">
        <v>0.99834979999999995</v>
      </c>
      <c r="Q3012">
        <v>-5.5175370000000003E-3</v>
      </c>
      <c r="R3012">
        <v>-5.7160019999999999E-2</v>
      </c>
      <c r="S3012">
        <v>2.9984440000000001</v>
      </c>
      <c r="T3012">
        <v>-9.9078769999999997E-2</v>
      </c>
      <c r="U3012">
        <v>-0.1052551</v>
      </c>
      <c r="V3012">
        <v>5.0570799999999999E-2</v>
      </c>
      <c r="W3012">
        <v>1.8842850000000001E-3</v>
      </c>
      <c r="X3012">
        <v>0.99871869999999996</v>
      </c>
      <c r="Y3012">
        <v>2.8474550000000001E-2</v>
      </c>
      <c r="Z3012">
        <v>-2.522731E-4</v>
      </c>
      <c r="AA3012">
        <v>0.99959450000000005</v>
      </c>
      <c r="AB3012">
        <v>19</v>
      </c>
      <c r="AC3012">
        <v>33.401000000000003</v>
      </c>
      <c r="AD3012">
        <v>-1.1096151481600001</v>
      </c>
      <c r="AE3012">
        <v>-1.17769999999998</v>
      </c>
      <c r="AF3012">
        <v>0.95622481781018498</v>
      </c>
      <c r="AG3012">
        <v>-1.1096151481600001</v>
      </c>
      <c r="AH3012">
        <v>33.371259885378798</v>
      </c>
      <c r="AI3012">
        <v>91.903637904711104</v>
      </c>
      <c r="AJ3012">
        <v>88.358687707586796</v>
      </c>
      <c r="AK3012">
        <v>33.403392013637102</v>
      </c>
      <c r="AL3012">
        <v>89.892038358109204</v>
      </c>
      <c r="AM3012">
        <v>87.101265005642702</v>
      </c>
      <c r="AN3012">
        <v>0.999999999036145</v>
      </c>
    </row>
    <row r="3013" spans="1:40" x14ac:dyDescent="0.25">
      <c r="A3013" t="str">
        <f>"20190312161020723"</f>
        <v>20190312161020723</v>
      </c>
      <c r="B3013" t="str">
        <f>"1552378220719528"</f>
        <v>1552378220719528</v>
      </c>
      <c r="C3013" t="s">
        <v>40</v>
      </c>
      <c r="D3013">
        <v>5.3344940000000003</v>
      </c>
      <c r="E3013">
        <v>0.49254340000000002</v>
      </c>
      <c r="F3013" t="s">
        <v>74</v>
      </c>
      <c r="G3013">
        <v>-408.45639999999997</v>
      </c>
      <c r="H3013" s="1">
        <v>5.4377999999999998E-6</v>
      </c>
      <c r="I3013">
        <v>210.81440000000001</v>
      </c>
      <c r="J3013">
        <v>-440.55180000000001</v>
      </c>
      <c r="K3013">
        <v>1.1096250000000001</v>
      </c>
      <c r="L3013">
        <v>211.95660000000001</v>
      </c>
      <c r="M3013">
        <v>0.99995330000000004</v>
      </c>
      <c r="N3013">
        <v>0</v>
      </c>
      <c r="O3013">
        <v>-6.2769710000000001E-3</v>
      </c>
      <c r="P3013">
        <v>0.9983822</v>
      </c>
      <c r="Q3013">
        <v>-5.8321769999999896E-3</v>
      </c>
      <c r="R3013">
        <v>-5.6561970000000003E-2</v>
      </c>
      <c r="S3013">
        <v>2.998383</v>
      </c>
      <c r="T3013">
        <v>-0.102425</v>
      </c>
      <c r="U3013">
        <v>-0.1056366</v>
      </c>
      <c r="V3013">
        <v>5.029351E-2</v>
      </c>
      <c r="W3013">
        <v>1.523319E-3</v>
      </c>
      <c r="X3013">
        <v>0.99873330000000005</v>
      </c>
      <c r="Y3013">
        <v>2.8922219999999998E-2</v>
      </c>
      <c r="Z3013">
        <v>-2.7940400000000002E-4</v>
      </c>
      <c r="AA3013">
        <v>0.99958159999999896</v>
      </c>
      <c r="AB3013">
        <v>19</v>
      </c>
      <c r="AC3013">
        <v>32.095399999999998</v>
      </c>
      <c r="AD3013">
        <v>-1.1096195622</v>
      </c>
      <c r="AE3013">
        <v>-1.1422000000000001</v>
      </c>
      <c r="AF3013">
        <v>0.93958852987104902</v>
      </c>
      <c r="AG3013">
        <v>-1.1096195622</v>
      </c>
      <c r="AH3013">
        <v>32.0636614670033</v>
      </c>
      <c r="AI3013">
        <v>91.981180747162298</v>
      </c>
      <c r="AJ3013">
        <v>88.321493765134804</v>
      </c>
      <c r="AK3013">
        <v>32.096611485464898</v>
      </c>
      <c r="AL3013">
        <v>89.912720215041801</v>
      </c>
      <c r="AM3013">
        <v>87.117174546257303</v>
      </c>
      <c r="AN3013">
        <v>0.99999998108889199</v>
      </c>
    </row>
    <row r="3014" spans="1:40" x14ac:dyDescent="0.25">
      <c r="A3014" t="str">
        <f>"20190312161020744"</f>
        <v>20190312161020744</v>
      </c>
      <c r="B3014" t="str">
        <f>"1552378220739051"</f>
        <v>1552378220739051</v>
      </c>
      <c r="C3014" t="s">
        <v>40</v>
      </c>
      <c r="D3014">
        <v>5.356395</v>
      </c>
      <c r="E3014">
        <v>0.49262980000000001</v>
      </c>
      <c r="F3014" t="s">
        <v>74</v>
      </c>
      <c r="G3014">
        <v>-409.75529999999998</v>
      </c>
      <c r="H3014" s="1">
        <v>4.8531059999999999E-6</v>
      </c>
      <c r="I3014">
        <v>210.85640000000001</v>
      </c>
      <c r="J3014">
        <v>-440.35770000000002</v>
      </c>
      <c r="K3014">
        <v>1.109621</v>
      </c>
      <c r="L3014">
        <v>211.9555</v>
      </c>
      <c r="M3014">
        <v>0.99995460000000003</v>
      </c>
      <c r="N3014">
        <v>0</v>
      </c>
      <c r="O3014">
        <v>-6.1016319999999897E-3</v>
      </c>
      <c r="P3014">
        <v>0.99838199999999999</v>
      </c>
      <c r="Q3014">
        <v>-5.7011630000000004E-3</v>
      </c>
      <c r="R3014">
        <v>-5.6576550000000003E-2</v>
      </c>
      <c r="S3014">
        <v>2.9981689999999999</v>
      </c>
      <c r="T3014">
        <v>-0.108026</v>
      </c>
      <c r="U3014">
        <v>-0.1071014</v>
      </c>
      <c r="V3014">
        <v>5.0483109999999998E-2</v>
      </c>
      <c r="W3014">
        <v>1.6358529999999901E-3</v>
      </c>
      <c r="X3014">
        <v>0.99872360000000004</v>
      </c>
      <c r="Y3014">
        <v>2.9585730000000001E-2</v>
      </c>
      <c r="Z3014">
        <v>-3.1295070000000001E-4</v>
      </c>
      <c r="AA3014">
        <v>0.99956219999999996</v>
      </c>
      <c r="AB3014">
        <v>20</v>
      </c>
      <c r="AC3014">
        <v>30.602399999999999</v>
      </c>
      <c r="AD3014">
        <v>-1.109616146894</v>
      </c>
      <c r="AE3014">
        <v>-1.09909999999999</v>
      </c>
      <c r="AF3014">
        <v>0.91115358229093502</v>
      </c>
      <c r="AG3014">
        <v>-1.109616146894</v>
      </c>
      <c r="AH3014">
        <v>30.5683995533456</v>
      </c>
      <c r="AI3014">
        <v>92.077970542195501</v>
      </c>
      <c r="AJ3014">
        <v>88.292687775733896</v>
      </c>
      <c r="AK3014">
        <v>30.602099602755199</v>
      </c>
      <c r="AL3014">
        <v>89.906272487718198</v>
      </c>
      <c r="AM3014">
        <v>87.106297048225301</v>
      </c>
      <c r="AN3014">
        <v>1.00000002480363</v>
      </c>
    </row>
    <row r="3015" spans="1:40" x14ac:dyDescent="0.25">
      <c r="A3015" t="str">
        <f>"20190312161020766"</f>
        <v>20190312161020766</v>
      </c>
      <c r="B3015" t="str">
        <f>"1552378220759545"</f>
        <v>1552378220759545</v>
      </c>
      <c r="C3015" t="s">
        <v>40</v>
      </c>
      <c r="D3015">
        <v>5.3124180000000001</v>
      </c>
      <c r="E3015">
        <v>0.49268990000000001</v>
      </c>
      <c r="F3015" t="s">
        <v>74</v>
      </c>
      <c r="G3015">
        <v>-409.6601</v>
      </c>
      <c r="H3015" s="1">
        <v>4.8965560000000003E-6</v>
      </c>
      <c r="I3015">
        <v>210.8503</v>
      </c>
      <c r="J3015">
        <v>-440.1669</v>
      </c>
      <c r="K3015">
        <v>1.109621</v>
      </c>
      <c r="L3015">
        <v>211.9546</v>
      </c>
      <c r="M3015">
        <v>0.99995579999999995</v>
      </c>
      <c r="N3015">
        <v>0</v>
      </c>
      <c r="O3015">
        <v>-5.9180630000000003E-3</v>
      </c>
      <c r="P3015">
        <v>0.99840739999999994</v>
      </c>
      <c r="Q3015">
        <v>-6.3160359999999997E-3</v>
      </c>
      <c r="R3015">
        <v>-5.6060869999999999E-2</v>
      </c>
      <c r="S3015">
        <v>2.998138</v>
      </c>
      <c r="T3015">
        <v>-0.10837289999999999</v>
      </c>
      <c r="U3015">
        <v>-0.1079407</v>
      </c>
      <c r="V3015">
        <v>5.0150769999999997E-2</v>
      </c>
      <c r="W3015">
        <v>1.003091E-3</v>
      </c>
      <c r="X3015">
        <v>0.99874110000000005</v>
      </c>
      <c r="Y3015">
        <v>3.0048499999999999E-2</v>
      </c>
      <c r="Z3015">
        <v>-3.2894590000000001E-4</v>
      </c>
      <c r="AA3015">
        <v>0.9995484</v>
      </c>
      <c r="AB3015">
        <v>20</v>
      </c>
      <c r="AC3015">
        <v>30.506799999999998</v>
      </c>
      <c r="AD3015">
        <v>-1.109616103444</v>
      </c>
      <c r="AE3015">
        <v>-1.1042999999999901</v>
      </c>
      <c r="AF3015">
        <v>0.92251580812689604</v>
      </c>
      <c r="AG3015">
        <v>-1.109616103444</v>
      </c>
      <c r="AH3015">
        <v>30.4725395278818</v>
      </c>
      <c r="AI3015">
        <v>92.084472381467407</v>
      </c>
      <c r="AJ3015">
        <v>88.265975710482806</v>
      </c>
      <c r="AK3015">
        <v>30.506686948791799</v>
      </c>
      <c r="AL3015">
        <v>89.942527106454904</v>
      </c>
      <c r="AM3015">
        <v>87.125365077025904</v>
      </c>
      <c r="AN3015">
        <v>0.99999994537617698</v>
      </c>
    </row>
    <row r="3016" spans="1:40" x14ac:dyDescent="0.25">
      <c r="A3016" t="str">
        <f>"20190312161020788"</f>
        <v>20190312161020788</v>
      </c>
      <c r="B3016" t="str">
        <f>"1552378220779065"</f>
        <v>1552378220779065</v>
      </c>
      <c r="C3016" t="s">
        <v>40</v>
      </c>
      <c r="D3016">
        <v>5.2426539999999999</v>
      </c>
      <c r="E3016">
        <v>0.49277080000000001</v>
      </c>
      <c r="F3016" t="s">
        <v>74</v>
      </c>
      <c r="G3016">
        <v>-410.09320000000002</v>
      </c>
      <c r="H3016" s="1">
        <v>2.548538E-6</v>
      </c>
      <c r="I3016">
        <v>210.8844</v>
      </c>
      <c r="J3016">
        <v>-439.9631</v>
      </c>
      <c r="K3016">
        <v>1.109618</v>
      </c>
      <c r="L3016">
        <v>211.95359999999999</v>
      </c>
      <c r="M3016">
        <v>0.99995710000000004</v>
      </c>
      <c r="N3016">
        <v>0</v>
      </c>
      <c r="O3016">
        <v>-5.71099E-3</v>
      </c>
      <c r="P3016">
        <v>0.99840260000000003</v>
      </c>
      <c r="Q3016">
        <v>-7.2647129999999999E-3</v>
      </c>
      <c r="R3016">
        <v>-5.6033050000000001E-2</v>
      </c>
      <c r="S3016">
        <v>2.9980769999999999</v>
      </c>
      <c r="T3016">
        <v>-0.11061889999999901</v>
      </c>
      <c r="U3016">
        <v>-0.10668950000000001</v>
      </c>
      <c r="V3016">
        <v>5.0329970000000002E-2</v>
      </c>
      <c r="W3016" s="1">
        <v>3.3324759999999899E-5</v>
      </c>
      <c r="X3016">
        <v>0.99873259999999997</v>
      </c>
      <c r="Y3016">
        <v>2.983895E-2</v>
      </c>
      <c r="Z3016">
        <v>-3.395397E-4</v>
      </c>
      <c r="AA3016">
        <v>0.99955459999999996</v>
      </c>
      <c r="AB3016">
        <v>20</v>
      </c>
      <c r="AC3016">
        <v>29.869899999999902</v>
      </c>
      <c r="AD3016">
        <v>-1.109615451462</v>
      </c>
      <c r="AE3016">
        <v>-1.0691999999999899</v>
      </c>
      <c r="AF3016">
        <v>0.89735456622882703</v>
      </c>
      <c r="AG3016">
        <v>-1.109615451462</v>
      </c>
      <c r="AH3016">
        <v>29.834400580730801</v>
      </c>
      <c r="AI3016">
        <v>92.129028634185204</v>
      </c>
      <c r="AJ3016">
        <v>88.277185656874906</v>
      </c>
      <c r="AK3016">
        <v>29.868511005390999</v>
      </c>
      <c r="AL3016">
        <v>89.998090631815501</v>
      </c>
      <c r="AM3016">
        <v>87.115086168599007</v>
      </c>
      <c r="AN3016">
        <v>0.99999995664674901</v>
      </c>
    </row>
    <row r="3017" spans="1:40" x14ac:dyDescent="0.25">
      <c r="A3017" t="str">
        <f>"20190312161020813"</f>
        <v>20190312161020813</v>
      </c>
      <c r="B3017" t="str">
        <f>"1552378220809320"</f>
        <v>1552378220809320</v>
      </c>
      <c r="C3017" t="s">
        <v>40</v>
      </c>
      <c r="D3017">
        <v>5.204034</v>
      </c>
      <c r="E3017">
        <v>0.49284850000000002</v>
      </c>
      <c r="F3017" t="s">
        <v>74</v>
      </c>
      <c r="G3017">
        <v>-410.4599</v>
      </c>
      <c r="H3017" s="1">
        <v>2.612403E-6</v>
      </c>
      <c r="I3017">
        <v>210.89789999999999</v>
      </c>
      <c r="J3017">
        <v>-439.74880000000002</v>
      </c>
      <c r="K3017">
        <v>1.1096250000000001</v>
      </c>
      <c r="L3017">
        <v>211.95259999999999</v>
      </c>
      <c r="M3017">
        <v>0.99995880000000004</v>
      </c>
      <c r="N3017">
        <v>0</v>
      </c>
      <c r="O3017">
        <v>-5.4746739999999997E-3</v>
      </c>
      <c r="P3017">
        <v>0.99842520000000001</v>
      </c>
      <c r="Q3017">
        <v>-6.4823869999999896E-3</v>
      </c>
      <c r="R3017">
        <v>-5.5727640000000002E-2</v>
      </c>
      <c r="S3017">
        <v>2.9979550000000001</v>
      </c>
      <c r="T3017">
        <v>-0.11275300000000001</v>
      </c>
      <c r="U3017">
        <v>-0.1072693</v>
      </c>
      <c r="V3017">
        <v>5.026009E-2</v>
      </c>
      <c r="W3017">
        <v>7.9471269999999996E-4</v>
      </c>
      <c r="X3017">
        <v>0.99873579999999995</v>
      </c>
      <c r="Y3017">
        <v>3.026858E-2</v>
      </c>
      <c r="Z3017">
        <v>-3.6305380000000001E-4</v>
      </c>
      <c r="AA3017">
        <v>0.99954180000000004</v>
      </c>
      <c r="AB3017">
        <v>20</v>
      </c>
      <c r="AC3017">
        <v>29.288900000000002</v>
      </c>
      <c r="AD3017">
        <v>-1.1096223875969999</v>
      </c>
      <c r="AE3017">
        <v>-1.05469999999999</v>
      </c>
      <c r="AF3017">
        <v>0.89305266735806799</v>
      </c>
      <c r="AG3017">
        <v>-1.1096223875969999</v>
      </c>
      <c r="AH3017">
        <v>29.252303726194398</v>
      </c>
      <c r="AI3017">
        <v>92.171338310123105</v>
      </c>
      <c r="AJ3017">
        <v>88.251342486212394</v>
      </c>
      <c r="AK3017">
        <v>29.286960890458701</v>
      </c>
      <c r="AL3017">
        <v>89.954466309441003</v>
      </c>
      <c r="AM3017">
        <v>87.119094152674407</v>
      </c>
      <c r="AN3017">
        <v>0.99999995320835999</v>
      </c>
    </row>
    <row r="3018" spans="1:40" x14ac:dyDescent="0.25">
      <c r="A3018" t="str">
        <f>"20190312161020859"</f>
        <v>20190312161020859</v>
      </c>
      <c r="B3018" t="str">
        <f>"1552378220849337"</f>
        <v>1552378220849337</v>
      </c>
      <c r="C3018" t="s">
        <v>40</v>
      </c>
      <c r="D3018">
        <v>5.1447669999999999</v>
      </c>
      <c r="E3018">
        <v>0.4930311</v>
      </c>
      <c r="F3018" t="s">
        <v>74</v>
      </c>
      <c r="G3018">
        <v>-409.25830000000002</v>
      </c>
      <c r="H3018" s="1">
        <v>5.0712660000000004E-6</v>
      </c>
      <c r="I3018">
        <v>210.86709999999999</v>
      </c>
      <c r="J3018">
        <v>-439.33890000000002</v>
      </c>
      <c r="K3018">
        <v>1.1096619999999999</v>
      </c>
      <c r="L3018">
        <v>211.95099999999999</v>
      </c>
      <c r="M3018">
        <v>0.99996169999999995</v>
      </c>
      <c r="N3018">
        <v>0</v>
      </c>
      <c r="O3018">
        <v>-4.9346670000000002E-3</v>
      </c>
      <c r="P3018">
        <v>0.99845499999999998</v>
      </c>
      <c r="Q3018">
        <v>-5.4979479999999999E-3</v>
      </c>
      <c r="R3018">
        <v>-5.5292429999999997E-2</v>
      </c>
      <c r="S3018">
        <v>2.9980769999999999</v>
      </c>
      <c r="T3018">
        <v>-0.10910690000000001</v>
      </c>
      <c r="U3018">
        <v>-0.1067352</v>
      </c>
      <c r="V3018">
        <v>5.0364060000000002E-2</v>
      </c>
      <c r="W3018">
        <v>1.7426640000000001E-3</v>
      </c>
      <c r="X3018">
        <v>0.99872939999999999</v>
      </c>
      <c r="Y3018">
        <v>3.0629590000000002E-2</v>
      </c>
      <c r="Z3018">
        <v>-3.7751199999999999E-4</v>
      </c>
      <c r="AA3018">
        <v>0.99953069999999999</v>
      </c>
      <c r="AB3018">
        <v>20</v>
      </c>
      <c r="AC3018">
        <v>30.0806</v>
      </c>
      <c r="AD3018">
        <v>-1.1096569287339999</v>
      </c>
      <c r="AE3018">
        <v>-1.0839000000000001</v>
      </c>
      <c r="AF3018">
        <v>0.93417557273156304</v>
      </c>
      <c r="AG3018">
        <v>-1.1096569287339999</v>
      </c>
      <c r="AH3018">
        <v>30.044749722769399</v>
      </c>
      <c r="AI3018">
        <v>92.114149908780206</v>
      </c>
      <c r="AJ3018">
        <v>88.219087204992206</v>
      </c>
      <c r="AK3018">
        <v>30.079744154564001</v>
      </c>
      <c r="AL3018">
        <v>89.900152656646</v>
      </c>
      <c r="AM3018">
        <v>87.113126200081695</v>
      </c>
      <c r="AN3018">
        <v>0.99999999492092995</v>
      </c>
    </row>
    <row r="3019" spans="1:40" x14ac:dyDescent="0.25">
      <c r="A3019" t="str">
        <f>"20190312161020879"</f>
        <v>20190312161020879</v>
      </c>
      <c r="B3019" t="str">
        <f>"1552378220868857"</f>
        <v>1552378220868857</v>
      </c>
      <c r="C3019" t="s">
        <v>40</v>
      </c>
      <c r="D3019">
        <v>5.1723290000000004</v>
      </c>
      <c r="E3019">
        <v>0.4932221</v>
      </c>
      <c r="F3019" t="s">
        <v>74</v>
      </c>
      <c r="G3019">
        <v>-408.36130000000003</v>
      </c>
      <c r="H3019" s="1">
        <v>5.47357E-6</v>
      </c>
      <c r="I3019">
        <v>210.84540000000001</v>
      </c>
      <c r="J3019">
        <v>-439.15260000000001</v>
      </c>
      <c r="K3019">
        <v>1.1096779999999999</v>
      </c>
      <c r="L3019">
        <v>211.9504</v>
      </c>
      <c r="M3019">
        <v>0.9999633</v>
      </c>
      <c r="N3019">
        <v>0</v>
      </c>
      <c r="O3019">
        <v>-4.6404300000000001E-3</v>
      </c>
      <c r="P3019">
        <v>0.99840930000000006</v>
      </c>
      <c r="Q3019">
        <v>-6.5392209999999996E-3</v>
      </c>
      <c r="R3019">
        <v>-5.6002250000000003E-2</v>
      </c>
      <c r="S3019">
        <v>2.9981080000000002</v>
      </c>
      <c r="T3019">
        <v>-0.1073959</v>
      </c>
      <c r="U3019">
        <v>-0.10700990000000001</v>
      </c>
      <c r="V3019">
        <v>5.13681E-2</v>
      </c>
      <c r="W3019">
        <v>6.8408659999999997E-4</v>
      </c>
      <c r="X3019">
        <v>0.9986796</v>
      </c>
      <c r="Y3019">
        <v>3.101489E-2</v>
      </c>
      <c r="Z3019">
        <v>-3.8902080000000001E-4</v>
      </c>
      <c r="AA3019">
        <v>0.99951889999999999</v>
      </c>
      <c r="AB3019">
        <v>20</v>
      </c>
      <c r="AC3019">
        <v>30.7912999999999</v>
      </c>
      <c r="AD3019">
        <v>-1.10967252643</v>
      </c>
      <c r="AE3019">
        <v>-1.10499999999998</v>
      </c>
      <c r="AF3019">
        <v>0.96085319809162795</v>
      </c>
      <c r="AG3019">
        <v>-1.10967252643</v>
      </c>
      <c r="AH3019">
        <v>30.756202284609198</v>
      </c>
      <c r="AI3019">
        <v>92.065307724642395</v>
      </c>
      <c r="AJ3019">
        <v>88.210607002775305</v>
      </c>
      <c r="AK3019">
        <v>30.7912096377521</v>
      </c>
      <c r="AL3019">
        <v>89.960804723766501</v>
      </c>
      <c r="AM3019">
        <v>87.055528226226699</v>
      </c>
      <c r="AN3019">
        <v>1.0000000465641199</v>
      </c>
    </row>
    <row r="3020" spans="1:40" x14ac:dyDescent="0.25">
      <c r="A3020" t="str">
        <f>"20190312161020902"</f>
        <v>20190312161020902</v>
      </c>
      <c r="B3020" t="str">
        <f>"1552378220889353"</f>
        <v>1552378220889353</v>
      </c>
      <c r="C3020" t="s">
        <v>40</v>
      </c>
      <c r="D3020">
        <v>5.1644680000000003</v>
      </c>
      <c r="E3020">
        <v>0.49334729999999999</v>
      </c>
      <c r="F3020" t="s">
        <v>74</v>
      </c>
      <c r="G3020">
        <v>-409.30509999999998</v>
      </c>
      <c r="H3020" s="1">
        <v>5.05400699999999E-6</v>
      </c>
      <c r="I3020">
        <v>210.85040000000001</v>
      </c>
      <c r="J3020">
        <v>-438.94940000000003</v>
      </c>
      <c r="K3020">
        <v>1.1097030000000001</v>
      </c>
      <c r="L3020">
        <v>211.94990000000001</v>
      </c>
      <c r="M3020">
        <v>0.99996499999999999</v>
      </c>
      <c r="N3020">
        <v>0</v>
      </c>
      <c r="O3020">
        <v>-4.2778310000000002E-3</v>
      </c>
      <c r="P3020">
        <v>0.99840629999999997</v>
      </c>
      <c r="Q3020">
        <v>-7.0002340000000001E-3</v>
      </c>
      <c r="R3020">
        <v>-5.5997900000000003E-2</v>
      </c>
      <c r="S3020">
        <v>2.9978940000000001</v>
      </c>
      <c r="T3020">
        <v>-0.1114559</v>
      </c>
      <c r="U3020">
        <v>-0.1104889</v>
      </c>
      <c r="V3020">
        <v>5.1726139999999997E-2</v>
      </c>
      <c r="W3020">
        <v>2.0343459999999999E-4</v>
      </c>
      <c r="X3020">
        <v>0.99866129999999997</v>
      </c>
      <c r="Y3020">
        <v>3.2535620000000001E-2</v>
      </c>
      <c r="Z3020">
        <v>-4.4545860000000002E-4</v>
      </c>
      <c r="AA3020">
        <v>0.99947050000000004</v>
      </c>
      <c r="AB3020">
        <v>20</v>
      </c>
      <c r="AC3020">
        <v>29.644300000000001</v>
      </c>
      <c r="AD3020">
        <v>-1.1096979459929901</v>
      </c>
      <c r="AE3020">
        <v>-1.0994999999999999</v>
      </c>
      <c r="AF3020">
        <v>0.97131413511666498</v>
      </c>
      <c r="AG3020">
        <v>-1.1096979459929901</v>
      </c>
      <c r="AH3020">
        <v>29.607301000720799</v>
      </c>
      <c r="AI3020">
        <v>92.145319545846704</v>
      </c>
      <c r="AJ3020">
        <v>88.120995636097405</v>
      </c>
      <c r="AK3020">
        <v>29.644007037303499</v>
      </c>
      <c r="AL3020">
        <v>89.988344056090398</v>
      </c>
      <c r="AM3020">
        <v>87.034987267708701</v>
      </c>
      <c r="AN3020">
        <v>1.0000000135313101</v>
      </c>
    </row>
    <row r="3021" spans="1:40" x14ac:dyDescent="0.25">
      <c r="A3021" t="str">
        <f>"20190312161020924"</f>
        <v>20190312161020924</v>
      </c>
      <c r="B3021" t="str">
        <f>"1552378220918632"</f>
        <v>1552378220918632</v>
      </c>
      <c r="C3021" t="s">
        <v>40</v>
      </c>
      <c r="D3021">
        <v>5.149203</v>
      </c>
      <c r="E3021">
        <v>0.49347649999999998</v>
      </c>
      <c r="F3021" t="s">
        <v>74</v>
      </c>
      <c r="G3021">
        <v>-409.62889999999999</v>
      </c>
      <c r="H3021" s="1">
        <v>4.9088880000000002E-6</v>
      </c>
      <c r="I3021">
        <v>210.85769999999999</v>
      </c>
      <c r="J3021">
        <v>-438.74579999999997</v>
      </c>
      <c r="K3021">
        <v>1.1097250000000001</v>
      </c>
      <c r="L3021">
        <v>211.9495</v>
      </c>
      <c r="M3021">
        <v>0.99996700000000005</v>
      </c>
      <c r="N3021">
        <v>0</v>
      </c>
      <c r="O3021">
        <v>-3.8591630000000001E-3</v>
      </c>
      <c r="P3021">
        <v>0.99843740000000003</v>
      </c>
      <c r="Q3021">
        <v>-6.6149379999999999E-3</v>
      </c>
      <c r="R3021">
        <v>-5.5492130000000001E-2</v>
      </c>
      <c r="S3021">
        <v>2.9977719999999999</v>
      </c>
      <c r="T3021">
        <v>-0.113457</v>
      </c>
      <c r="U3021">
        <v>-0.11166379999999999</v>
      </c>
      <c r="V3021">
        <v>5.1638080000000003E-2</v>
      </c>
      <c r="W3021">
        <v>5.6773830000000003E-4</v>
      </c>
      <c r="X3021">
        <v>0.99866569999999999</v>
      </c>
      <c r="Y3021">
        <v>3.3345180000000002E-2</v>
      </c>
      <c r="Z3021">
        <v>-4.8460860000000002E-4</v>
      </c>
      <c r="AA3021">
        <v>0.99944379999999999</v>
      </c>
      <c r="AB3021">
        <v>20</v>
      </c>
      <c r="AC3021">
        <v>29.116899999999902</v>
      </c>
      <c r="AD3021">
        <v>-1.109720091112</v>
      </c>
      <c r="AE3021">
        <v>-1.0918000000000001</v>
      </c>
      <c r="AF3021">
        <v>0.97800351234458105</v>
      </c>
      <c r="AG3021">
        <v>-1.109720091112</v>
      </c>
      <c r="AH3021">
        <v>29.0787171855944</v>
      </c>
      <c r="AI3021">
        <v>92.184262763187704</v>
      </c>
      <c r="AJ3021">
        <v>88.073699093785606</v>
      </c>
      <c r="AK3021">
        <v>29.116314373741702</v>
      </c>
      <c r="AL3021">
        <v>89.967470989696807</v>
      </c>
      <c r="AM3021">
        <v>87.040039020792804</v>
      </c>
      <c r="AN3021">
        <v>0.99999999699467601</v>
      </c>
    </row>
    <row r="3022" spans="1:40" x14ac:dyDescent="0.25">
      <c r="A3022" t="str">
        <f>"20190312161020945"</f>
        <v>20190312161020945</v>
      </c>
      <c r="B3022" t="str">
        <f>"1552378220939129"</f>
        <v>1552378220939129</v>
      </c>
      <c r="C3022" t="s">
        <v>40</v>
      </c>
      <c r="D3022">
        <v>5.1467890000000001</v>
      </c>
      <c r="E3022">
        <v>0.4935485</v>
      </c>
      <c r="F3022" t="s">
        <v>74</v>
      </c>
      <c r="G3022">
        <v>-409.06990000000002</v>
      </c>
      <c r="H3022" s="1">
        <v>5.1584880000000003E-6</v>
      </c>
      <c r="I3022">
        <v>210.84950000000001</v>
      </c>
      <c r="J3022">
        <v>-438.54790000000003</v>
      </c>
      <c r="K3022">
        <v>1.1097539999999999</v>
      </c>
      <c r="L3022">
        <v>211.94919999999999</v>
      </c>
      <c r="M3022">
        <v>0.99996879999999999</v>
      </c>
      <c r="N3022">
        <v>0</v>
      </c>
      <c r="O3022">
        <v>-3.3925729999999999E-3</v>
      </c>
      <c r="P3022">
        <v>0.99848800000000004</v>
      </c>
      <c r="Q3022">
        <v>-6.6535519999999897E-3</v>
      </c>
      <c r="R3022">
        <v>-5.4568039999999998E-2</v>
      </c>
      <c r="S3022">
        <v>2.9977719999999999</v>
      </c>
      <c r="T3022">
        <v>-0.11210059999999999</v>
      </c>
      <c r="U3022">
        <v>-0.1111145</v>
      </c>
      <c r="V3022">
        <v>5.117998E-2</v>
      </c>
      <c r="W3022">
        <v>5.0956410000000004E-4</v>
      </c>
      <c r="X3022">
        <v>0.9986893</v>
      </c>
      <c r="Y3022">
        <v>3.3628610000000003E-2</v>
      </c>
      <c r="Z3022">
        <v>-5.0155250000000001E-4</v>
      </c>
      <c r="AA3022">
        <v>0.9994343</v>
      </c>
      <c r="AB3022">
        <v>20</v>
      </c>
      <c r="AC3022">
        <v>29.478000000000002</v>
      </c>
      <c r="AD3022">
        <v>-1.109748841512</v>
      </c>
      <c r="AE3022">
        <v>-1.0996999999999799</v>
      </c>
      <c r="AF3022">
        <v>0.99827200231954305</v>
      </c>
      <c r="AG3022">
        <v>-1.109748841512</v>
      </c>
      <c r="AH3022">
        <v>29.4398948925353</v>
      </c>
      <c r="AI3022">
        <v>92.157526820834704</v>
      </c>
      <c r="AJ3022">
        <v>88.057912024053394</v>
      </c>
      <c r="AK3022">
        <v>29.4777119323291</v>
      </c>
      <c r="AL3022">
        <v>89.970804125947097</v>
      </c>
      <c r="AM3022">
        <v>87.0663210288225</v>
      </c>
      <c r="AN3022">
        <v>0.99999998397143097</v>
      </c>
    </row>
    <row r="3023" spans="1:40" x14ac:dyDescent="0.25">
      <c r="A3023" t="str">
        <f>"20190312161020969"</f>
        <v>20190312161020969</v>
      </c>
      <c r="B3023" t="str">
        <f>"1552378220958649"</f>
        <v>1552378220958649</v>
      </c>
      <c r="C3023" t="s">
        <v>40</v>
      </c>
      <c r="D3023">
        <v>5.2056139999999997</v>
      </c>
      <c r="E3023">
        <v>0.49351879999999998</v>
      </c>
      <c r="F3023" t="s">
        <v>74</v>
      </c>
      <c r="G3023">
        <v>-408.67009999999999</v>
      </c>
      <c r="H3023" s="1">
        <v>5.3327840000000004E-6</v>
      </c>
      <c r="I3023">
        <v>210.8639</v>
      </c>
      <c r="J3023">
        <v>-438.33319999999998</v>
      </c>
      <c r="K3023">
        <v>1.1097790000000001</v>
      </c>
      <c r="L3023">
        <v>211.94909999999999</v>
      </c>
      <c r="M3023">
        <v>0.99997080000000005</v>
      </c>
      <c r="N3023">
        <v>0</v>
      </c>
      <c r="O3023">
        <v>-2.8351629999999999E-3</v>
      </c>
      <c r="P3023">
        <v>0.99853020000000003</v>
      </c>
      <c r="Q3023">
        <v>-7.3317479999999999E-3</v>
      </c>
      <c r="R3023">
        <v>-5.370308E-2</v>
      </c>
      <c r="S3023">
        <v>2.9978639999999999</v>
      </c>
      <c r="T3023">
        <v>-0.1113495</v>
      </c>
      <c r="U3023">
        <v>-0.108902</v>
      </c>
      <c r="V3023">
        <v>5.0871970000000002E-2</v>
      </c>
      <c r="W3023">
        <v>-1.882779E-4</v>
      </c>
      <c r="X3023">
        <v>0.99870510000000001</v>
      </c>
      <c r="Y3023">
        <v>3.3447999999999999E-2</v>
      </c>
      <c r="Z3023">
        <v>-5.1552339999999996E-4</v>
      </c>
      <c r="AA3023">
        <v>0.99944029999999995</v>
      </c>
      <c r="AB3023">
        <v>21</v>
      </c>
      <c r="AC3023">
        <v>29.663099999999901</v>
      </c>
      <c r="AD3023">
        <v>-1.1097736672159999</v>
      </c>
      <c r="AE3023">
        <v>-1.08519999999998</v>
      </c>
      <c r="AF3023">
        <v>0.99969638962158902</v>
      </c>
      <c r="AG3023">
        <v>-1.1097736672159999</v>
      </c>
      <c r="AH3023">
        <v>29.6246473005694</v>
      </c>
      <c r="AI3023">
        <v>92.144143871897697</v>
      </c>
      <c r="AJ3023">
        <v>88.067262837324193</v>
      </c>
      <c r="AK3023">
        <v>29.6622776965458</v>
      </c>
      <c r="AL3023">
        <v>90.010787529812902</v>
      </c>
      <c r="AM3023">
        <v>87.083991907258905</v>
      </c>
      <c r="AN3023">
        <v>0.99999993477312699</v>
      </c>
    </row>
    <row r="3024" spans="1:40" x14ac:dyDescent="0.25">
      <c r="A3024" t="str">
        <f>"20190312161020992"</f>
        <v>20190312161020992</v>
      </c>
      <c r="B3024" t="str">
        <f>"1552378220979145"</f>
        <v>1552378220979145</v>
      </c>
      <c r="C3024" t="s">
        <v>40</v>
      </c>
      <c r="D3024">
        <v>5.11639</v>
      </c>
      <c r="E3024">
        <v>0.47594710000000001</v>
      </c>
      <c r="F3024" t="s">
        <v>74</v>
      </c>
      <c r="G3024">
        <v>-408.91910000000001</v>
      </c>
      <c r="H3024" s="1">
        <v>5.2134739999999998E-6</v>
      </c>
      <c r="I3024">
        <v>210.90700000000001</v>
      </c>
      <c r="J3024">
        <v>-438.12169999999998</v>
      </c>
      <c r="K3024">
        <v>1.109801</v>
      </c>
      <c r="L3024">
        <v>211.94919999999999</v>
      </c>
      <c r="M3024">
        <v>0.99997239999999998</v>
      </c>
      <c r="N3024">
        <v>0</v>
      </c>
      <c r="O3024">
        <v>-2.2396600000000001E-3</v>
      </c>
      <c r="P3024">
        <v>0.99862519999999999</v>
      </c>
      <c r="Q3024">
        <v>-7.4979859999999999E-3</v>
      </c>
      <c r="R3024">
        <v>-5.1880910000000002E-2</v>
      </c>
      <c r="S3024">
        <v>2.9978639999999999</v>
      </c>
      <c r="T3024">
        <v>-0.113107399999999</v>
      </c>
      <c r="U3024">
        <v>-0.1062164</v>
      </c>
      <c r="V3024">
        <v>4.9644540000000001E-2</v>
      </c>
      <c r="W3024">
        <v>-3.7601099999999999E-4</v>
      </c>
      <c r="X3024">
        <v>0.99876690000000001</v>
      </c>
      <c r="Y3024">
        <v>3.3148120000000003E-2</v>
      </c>
      <c r="Z3024">
        <v>-5.404648E-4</v>
      </c>
      <c r="AA3024">
        <v>0.99945030000000001</v>
      </c>
      <c r="AB3024">
        <v>21</v>
      </c>
      <c r="AC3024">
        <v>29.202599999999901</v>
      </c>
      <c r="AD3024">
        <v>-1.109795786526</v>
      </c>
      <c r="AE3024">
        <v>-1.04219999999997</v>
      </c>
      <c r="AF3024">
        <v>0.975384939612427</v>
      </c>
      <c r="AG3024">
        <v>-1.109795786526</v>
      </c>
      <c r="AH3024">
        <v>29.1627961253763</v>
      </c>
      <c r="AI3024">
        <v>92.178133446407003</v>
      </c>
      <c r="AJ3024">
        <v>88.084387537857197</v>
      </c>
      <c r="AK3024">
        <v>29.200200347231799</v>
      </c>
      <c r="AL3024">
        <v>90.021543843402796</v>
      </c>
      <c r="AM3024">
        <v>87.154407558601605</v>
      </c>
      <c r="AN3024">
        <v>1.00000002113584</v>
      </c>
    </row>
    <row r="3025" spans="1:40" x14ac:dyDescent="0.25">
      <c r="A3025" t="str">
        <f>"20190312161021017"</f>
        <v>20190312161021017</v>
      </c>
      <c r="B3025" t="str">
        <f>"1552378221009401"</f>
        <v>1552378221009401</v>
      </c>
      <c r="C3025" t="s">
        <v>40</v>
      </c>
      <c r="D3025">
        <v>5.089715</v>
      </c>
      <c r="E3025">
        <v>0.47536230000000002</v>
      </c>
      <c r="F3025" t="s">
        <v>61</v>
      </c>
      <c r="G3025">
        <v>-361.6549</v>
      </c>
      <c r="H3025" s="1">
        <v>-6.5611780000000004E-7</v>
      </c>
      <c r="I3025">
        <v>212.8844</v>
      </c>
      <c r="J3025">
        <v>-437.89479999999998</v>
      </c>
      <c r="K3025">
        <v>1.1098220000000001</v>
      </c>
      <c r="L3025">
        <v>211.9495</v>
      </c>
      <c r="M3025">
        <v>0.99997400000000003</v>
      </c>
      <c r="N3025">
        <v>0</v>
      </c>
      <c r="O3025">
        <v>-1.552384E-3</v>
      </c>
      <c r="P3025">
        <v>0.99871069999999995</v>
      </c>
      <c r="Q3025">
        <v>-7.8372790000000008E-3</v>
      </c>
      <c r="R3025">
        <v>-5.016147E-2</v>
      </c>
      <c r="S3025">
        <v>3.0057369999999999</v>
      </c>
      <c r="T3025">
        <v>-4.3623809999999999E-2</v>
      </c>
      <c r="U3025">
        <v>3.675842E-2</v>
      </c>
      <c r="V3025">
        <v>4.8611399999999999E-2</v>
      </c>
      <c r="W3025">
        <v>-7.400102E-4</v>
      </c>
      <c r="X3025">
        <v>0.99881750000000002</v>
      </c>
      <c r="Y3025">
        <v>-1.377918E-2</v>
      </c>
      <c r="Z3025">
        <v>1.2251229999999999E-4</v>
      </c>
      <c r="AA3025">
        <v>0.99990500000000004</v>
      </c>
      <c r="AB3025">
        <v>21</v>
      </c>
      <c r="AC3025">
        <v>76.239899999999906</v>
      </c>
      <c r="AD3025">
        <v>-1.1098226561178</v>
      </c>
      <c r="AE3025">
        <v>0.93489999999999895</v>
      </c>
      <c r="AF3025">
        <v>-1.0530322990673799</v>
      </c>
      <c r="AG3025">
        <v>-1.1098226561178</v>
      </c>
      <c r="AH3025">
        <v>76.222207282515797</v>
      </c>
      <c r="AI3025">
        <v>90.834108552538595</v>
      </c>
      <c r="AJ3025">
        <v>90.791507757403494</v>
      </c>
      <c r="AK3025">
        <v>76.237559420338997</v>
      </c>
      <c r="AL3025">
        <v>90.042399464826801</v>
      </c>
      <c r="AM3025">
        <v>87.213673084532203</v>
      </c>
      <c r="AN3025">
        <v>1.0000000070656501</v>
      </c>
    </row>
    <row r="3026" spans="1:40" x14ac:dyDescent="0.25">
      <c r="A3026" t="str">
        <f>"20190312161021058"</f>
        <v>20190312161021058</v>
      </c>
      <c r="B3026" t="str">
        <f>"1552378221049416"</f>
        <v>1552378221049416</v>
      </c>
      <c r="C3026" t="s">
        <v>40</v>
      </c>
      <c r="D3026">
        <v>5.1267519999999998</v>
      </c>
      <c r="E3026">
        <v>0.47573349999999998</v>
      </c>
      <c r="F3026" t="s">
        <v>74</v>
      </c>
      <c r="G3026">
        <v>-287.875</v>
      </c>
      <c r="H3026" s="1">
        <v>3.6438709999999998E-6</v>
      </c>
      <c r="I3026">
        <v>214.2371</v>
      </c>
      <c r="J3026">
        <v>-437.50409999999999</v>
      </c>
      <c r="K3026">
        <v>1.109842</v>
      </c>
      <c r="L3026">
        <v>211.9504</v>
      </c>
      <c r="M3026">
        <v>0.99997530000000001</v>
      </c>
      <c r="N3026">
        <v>0</v>
      </c>
      <c r="O3026">
        <v>-2.6190950000000001E-4</v>
      </c>
      <c r="P3026">
        <v>0.99876419999999999</v>
      </c>
      <c r="Q3026">
        <v>-8.4053579999999999E-3</v>
      </c>
      <c r="R3026">
        <v>-4.898363E-2</v>
      </c>
      <c r="S3026">
        <v>3.0060419999999999</v>
      </c>
      <c r="T3026">
        <v>-2.223814E-2</v>
      </c>
      <c r="U3026">
        <v>4.58374E-2</v>
      </c>
      <c r="V3026">
        <v>4.8723349999999999E-2</v>
      </c>
      <c r="W3026">
        <v>-1.3441569999999999E-3</v>
      </c>
      <c r="X3026">
        <v>0.99881140000000002</v>
      </c>
      <c r="Y3026">
        <v>-1.55081E-2</v>
      </c>
      <c r="Z3026" s="1">
        <v>5.9296360000000001E-5</v>
      </c>
      <c r="AA3026">
        <v>0.99987969999999904</v>
      </c>
      <c r="AB3026">
        <v>21</v>
      </c>
      <c r="AC3026">
        <v>149.62909999999999</v>
      </c>
      <c r="AD3026">
        <v>-1.1098383561289999</v>
      </c>
      <c r="AE3026">
        <v>2.28669999999999</v>
      </c>
      <c r="AF3026">
        <v>-2.32576224722348</v>
      </c>
      <c r="AG3026">
        <v>-1.1098383561289999</v>
      </c>
      <c r="AH3026">
        <v>149.62026638978099</v>
      </c>
      <c r="AI3026">
        <v>90.424943815238294</v>
      </c>
      <c r="AJ3026">
        <v>90.890558697712095</v>
      </c>
      <c r="AK3026">
        <v>149.64245729657199</v>
      </c>
      <c r="AL3026">
        <v>90.077014546896194</v>
      </c>
      <c r="AM3026">
        <v>87.207249409409798</v>
      </c>
      <c r="AN3026">
        <v>0.99999999218161095</v>
      </c>
    </row>
    <row r="3027" spans="1:40" x14ac:dyDescent="0.25">
      <c r="A3027" t="str">
        <f>"20190312161021080"</f>
        <v>20190312161021080</v>
      </c>
      <c r="B3027" t="str">
        <f>"1552378221068937"</f>
        <v>1552378221068937</v>
      </c>
      <c r="C3027" t="s">
        <v>40</v>
      </c>
      <c r="D3027">
        <v>5.1139989999999997</v>
      </c>
      <c r="E3027">
        <v>0.47561029999999999</v>
      </c>
      <c r="F3027" t="s">
        <v>61</v>
      </c>
      <c r="G3027">
        <v>-354.05200000000002</v>
      </c>
      <c r="H3027" s="1">
        <v>6.7897349999999999E-7</v>
      </c>
      <c r="I3027">
        <v>213.25489999999999</v>
      </c>
      <c r="J3027">
        <v>-437.29840000000002</v>
      </c>
      <c r="K3027">
        <v>1.109856</v>
      </c>
      <c r="L3027">
        <v>211.9512</v>
      </c>
      <c r="M3027">
        <v>0.99997539999999996</v>
      </c>
      <c r="N3027">
        <v>0</v>
      </c>
      <c r="O3027">
        <v>4.6025619999999999E-4</v>
      </c>
      <c r="P3027">
        <v>0.99880749999999996</v>
      </c>
      <c r="Q3027">
        <v>-8.5990509999999999E-3</v>
      </c>
      <c r="R3027">
        <v>-4.8057639999999999E-2</v>
      </c>
      <c r="S3027">
        <v>3.0056759999999998</v>
      </c>
      <c r="T3027">
        <v>-3.9972899999999999E-2</v>
      </c>
      <c r="U3027">
        <v>4.6981809999999999E-2</v>
      </c>
      <c r="V3027">
        <v>4.8518940000000003E-2</v>
      </c>
      <c r="W3027">
        <v>-1.5521899999999999E-3</v>
      </c>
      <c r="X3027">
        <v>0.99882110000000002</v>
      </c>
      <c r="Y3027">
        <v>-1.516761E-2</v>
      </c>
      <c r="Z3027" s="1">
        <v>9.4726929999999998E-5</v>
      </c>
      <c r="AA3027">
        <v>0.99988500000000002</v>
      </c>
      <c r="AB3027">
        <v>21</v>
      </c>
      <c r="AC3027">
        <v>83.246399999999994</v>
      </c>
      <c r="AD3027">
        <v>-1.1098553210265001</v>
      </c>
      <c r="AE3027">
        <v>1.3036999999999901</v>
      </c>
      <c r="AF3027">
        <v>-1.2651594287625301</v>
      </c>
      <c r="AG3027">
        <v>-1.1098553210265001</v>
      </c>
      <c r="AH3027">
        <v>83.232200602412604</v>
      </c>
      <c r="AI3027">
        <v>90.7638739945628</v>
      </c>
      <c r="AJ3027">
        <v>90.870849420039605</v>
      </c>
      <c r="AK3027">
        <v>83.249213956253399</v>
      </c>
      <c r="AL3027">
        <v>90.088933967861195</v>
      </c>
      <c r="AM3027">
        <v>87.2189744223313</v>
      </c>
      <c r="AN3027">
        <v>1.0000000433188601</v>
      </c>
    </row>
    <row r="3028" spans="1:40" x14ac:dyDescent="0.25">
      <c r="A3028" t="str">
        <f>"20190312161021104"</f>
        <v>20190312161021104</v>
      </c>
      <c r="B3028" t="str">
        <f>"1552378221099194"</f>
        <v>1552378221099194</v>
      </c>
      <c r="C3028" t="s">
        <v>40</v>
      </c>
      <c r="D3028">
        <v>5.1723080000000001</v>
      </c>
      <c r="E3028">
        <v>0.47547840000000002</v>
      </c>
      <c r="F3028" t="s">
        <v>61</v>
      </c>
      <c r="G3028">
        <v>-365.03879999999998</v>
      </c>
      <c r="H3028" s="1">
        <v>1.144601E-6</v>
      </c>
      <c r="I3028">
        <v>213.17420000000001</v>
      </c>
      <c r="J3028">
        <v>-437.07459999999998</v>
      </c>
      <c r="K3028">
        <v>1.1098699999999999</v>
      </c>
      <c r="L3028">
        <v>211.9522</v>
      </c>
      <c r="M3028">
        <v>0.99997469999999999</v>
      </c>
      <c r="N3028">
        <v>0</v>
      </c>
      <c r="O3028">
        <v>1.2746999999999999E-3</v>
      </c>
      <c r="P3028">
        <v>0.99881819999999999</v>
      </c>
      <c r="Q3028">
        <v>-8.9717519999999995E-3</v>
      </c>
      <c r="R3028">
        <v>-4.7768150000000002E-2</v>
      </c>
      <c r="S3028">
        <v>3.005646</v>
      </c>
      <c r="T3028">
        <v>-4.6164509999999999E-2</v>
      </c>
      <c r="U3028">
        <v>5.0872800000000003E-2</v>
      </c>
      <c r="V3028">
        <v>4.9043440000000001E-2</v>
      </c>
      <c r="W3028">
        <v>-1.9392999999999999E-3</v>
      </c>
      <c r="X3028">
        <v>0.99879470000000004</v>
      </c>
      <c r="Y3028">
        <v>-1.5647069999999999E-2</v>
      </c>
      <c r="Z3028">
        <v>1.005717E-4</v>
      </c>
      <c r="AA3028">
        <v>0.99987760000000003</v>
      </c>
      <c r="AB3028">
        <v>21</v>
      </c>
      <c r="AC3028">
        <v>72.035799999999995</v>
      </c>
      <c r="AD3028">
        <v>-1.1098688553989999</v>
      </c>
      <c r="AE3028">
        <v>1.222</v>
      </c>
      <c r="AF3028">
        <v>-1.1299045832090799</v>
      </c>
      <c r="AG3028">
        <v>-1.1098688553989999</v>
      </c>
      <c r="AH3028">
        <v>72.020207860127599</v>
      </c>
      <c r="AI3028">
        <v>90.882779253400898</v>
      </c>
      <c r="AJ3028">
        <v>90.898823470088402</v>
      </c>
      <c r="AK3028">
        <v>72.037620959185801</v>
      </c>
      <c r="AL3028">
        <v>90.111113781933199</v>
      </c>
      <c r="AM3028">
        <v>87.1888847288607</v>
      </c>
      <c r="AN3028">
        <v>0.99999993631980399</v>
      </c>
    </row>
    <row r="3029" spans="1:40" x14ac:dyDescent="0.25">
      <c r="A3029" t="str">
        <f>"20190312161021124"</f>
        <v>20190312161021124</v>
      </c>
      <c r="B3029" t="str">
        <f>"1552378221118713"</f>
        <v>1552378221118713</v>
      </c>
      <c r="C3029" t="s">
        <v>40</v>
      </c>
      <c r="D3029">
        <v>5.1699650000000004</v>
      </c>
      <c r="E3029">
        <v>0.47547149999999999</v>
      </c>
      <c r="F3029" t="s">
        <v>61</v>
      </c>
      <c r="G3029">
        <v>-364.31130000000002</v>
      </c>
      <c r="H3029" s="1">
        <v>7.5749640000000002E-7</v>
      </c>
      <c r="I3029">
        <v>213.23439999999999</v>
      </c>
      <c r="J3029">
        <v>-436.87920000000003</v>
      </c>
      <c r="K3029">
        <v>1.1098920000000001</v>
      </c>
      <c r="L3029">
        <v>211.95330000000001</v>
      </c>
      <c r="M3029">
        <v>0.99997380000000002</v>
      </c>
      <c r="N3029">
        <v>0</v>
      </c>
      <c r="O3029">
        <v>2.0152260000000002E-3</v>
      </c>
      <c r="P3029">
        <v>0.99883670000000002</v>
      </c>
      <c r="Q3029">
        <v>-8.5526549999999993E-3</v>
      </c>
      <c r="R3029">
        <v>-4.7461250000000003E-2</v>
      </c>
      <c r="S3029">
        <v>3.0056150000000001</v>
      </c>
      <c r="T3029">
        <v>-4.5845150000000001E-2</v>
      </c>
      <c r="U3029">
        <v>5.2963259999999998E-2</v>
      </c>
      <c r="V3029">
        <v>4.9475749999999999E-2</v>
      </c>
      <c r="W3029">
        <v>-1.53396E-3</v>
      </c>
      <c r="X3029">
        <v>0.99877419999999995</v>
      </c>
      <c r="Y3029">
        <v>-1.5602120000000001E-2</v>
      </c>
      <c r="Z3029" s="1">
        <v>8.8239740000000004E-5</v>
      </c>
      <c r="AA3029">
        <v>0.9998783</v>
      </c>
      <c r="AB3029">
        <v>21</v>
      </c>
      <c r="AC3029">
        <v>72.567899999999995</v>
      </c>
      <c r="AD3029">
        <v>-1.1098912425036001</v>
      </c>
      <c r="AE3029">
        <v>1.2810999999999799</v>
      </c>
      <c r="AF3029">
        <v>-1.1345878222603201</v>
      </c>
      <c r="AG3029">
        <v>-1.1098912425036001</v>
      </c>
      <c r="AH3029">
        <v>72.553367839765201</v>
      </c>
      <c r="AI3029">
        <v>90.876311515514203</v>
      </c>
      <c r="AJ3029">
        <v>90.895916996467406</v>
      </c>
      <c r="AK3029">
        <v>72.570726419051994</v>
      </c>
      <c r="AL3029">
        <v>90.087889463775397</v>
      </c>
      <c r="AM3029">
        <v>87.1640873636603</v>
      </c>
      <c r="AN3029">
        <v>1.00000005272849</v>
      </c>
    </row>
    <row r="3030" spans="1:40" x14ac:dyDescent="0.25">
      <c r="A3030" t="str">
        <f>"20190312161021146"</f>
        <v>20190312161021146</v>
      </c>
      <c r="B3030" t="str">
        <f>"1552378221139209"</f>
        <v>1552378221139209</v>
      </c>
      <c r="C3030" t="s">
        <v>40</v>
      </c>
      <c r="D3030">
        <v>5.1814090000000004</v>
      </c>
      <c r="E3030">
        <v>0.47536079999999997</v>
      </c>
      <c r="F3030" t="s">
        <v>61</v>
      </c>
      <c r="G3030">
        <v>-354.27440000000001</v>
      </c>
      <c r="H3030" s="1">
        <v>7.8988079999999997E-7</v>
      </c>
      <c r="I3030">
        <v>213.42599999999999</v>
      </c>
      <c r="J3030">
        <v>-436.67250000000001</v>
      </c>
      <c r="K3030">
        <v>1.10991</v>
      </c>
      <c r="L3030">
        <v>211.9546</v>
      </c>
      <c r="M3030">
        <v>0.99997190000000002</v>
      </c>
      <c r="N3030">
        <v>0</v>
      </c>
      <c r="O3030">
        <v>2.831063E-3</v>
      </c>
      <c r="P3030">
        <v>0.99890520000000005</v>
      </c>
      <c r="Q3030">
        <v>-7.9407379999999993E-3</v>
      </c>
      <c r="R3030">
        <v>-4.6103039999999998E-2</v>
      </c>
      <c r="S3030">
        <v>3.0056759999999998</v>
      </c>
      <c r="T3030">
        <v>-4.038477E-2</v>
      </c>
      <c r="U3030">
        <v>5.3588869999999997E-2</v>
      </c>
      <c r="V3030">
        <v>4.8931839999999997E-2</v>
      </c>
      <c r="W3030">
        <v>-9.4068120000000003E-4</v>
      </c>
      <c r="X3030">
        <v>0.99880159999999996</v>
      </c>
      <c r="Y3030">
        <v>-1.4994540000000001E-2</v>
      </c>
      <c r="Z3030" s="1">
        <v>6.2687479999999998E-5</v>
      </c>
      <c r="AA3030">
        <v>0.99988759999999999</v>
      </c>
      <c r="AB3030">
        <v>21</v>
      </c>
      <c r="AC3030">
        <v>82.398099999999999</v>
      </c>
      <c r="AD3030">
        <v>-1.1099092101192001</v>
      </c>
      <c r="AE3030">
        <v>1.4713999999999801</v>
      </c>
      <c r="AF3030">
        <v>-1.2378897356877301</v>
      </c>
      <c r="AG3030">
        <v>-1.1099092101192001</v>
      </c>
      <c r="AH3030">
        <v>82.386991714988199</v>
      </c>
      <c r="AI3030">
        <v>90.771749148691001</v>
      </c>
      <c r="AJ3030">
        <v>90.860821826374703</v>
      </c>
      <c r="AK3030">
        <v>82.403766135401597</v>
      </c>
      <c r="AL3030">
        <v>90.053897074725796</v>
      </c>
      <c r="AM3030">
        <v>87.195290635585593</v>
      </c>
      <c r="AN3030">
        <v>0.99999992300472895</v>
      </c>
    </row>
    <row r="3031" spans="1:40" x14ac:dyDescent="0.25">
      <c r="A3031" t="str">
        <f>"20190312161021169"</f>
        <v>20190312161021169</v>
      </c>
      <c r="B3031" t="str">
        <f>"1552378221158730"</f>
        <v>1552378221158730</v>
      </c>
      <c r="C3031" t="s">
        <v>40</v>
      </c>
      <c r="D3031">
        <v>5.1920210000000004</v>
      </c>
      <c r="E3031">
        <v>0.47537380000000001</v>
      </c>
      <c r="F3031" t="s">
        <v>61</v>
      </c>
      <c r="G3031">
        <v>-350.50760000000002</v>
      </c>
      <c r="H3031" s="1">
        <v>-1.223829E-6</v>
      </c>
      <c r="I3031">
        <v>213.63650000000001</v>
      </c>
      <c r="J3031">
        <v>-436.44549999999998</v>
      </c>
      <c r="K3031">
        <v>1.1099330000000001</v>
      </c>
      <c r="L3031">
        <v>211.9563</v>
      </c>
      <c r="M3031">
        <v>0.99996890000000005</v>
      </c>
      <c r="N3031">
        <v>0</v>
      </c>
      <c r="O3031">
        <v>3.757659E-3</v>
      </c>
      <c r="P3031">
        <v>0.99898779999999998</v>
      </c>
      <c r="Q3031">
        <v>-7.432424E-3</v>
      </c>
      <c r="R3031">
        <v>-4.4365380000000003E-2</v>
      </c>
      <c r="S3031">
        <v>3.005646</v>
      </c>
      <c r="T3031">
        <v>-3.8716439999999998E-2</v>
      </c>
      <c r="U3031">
        <v>5.867004E-2</v>
      </c>
      <c r="V3031">
        <v>4.8119639999999998E-2</v>
      </c>
      <c r="W3031">
        <v>-4.5582890000000001E-4</v>
      </c>
      <c r="X3031">
        <v>0.99884150000000005</v>
      </c>
      <c r="Y3031">
        <v>-1.5758069999999999E-2</v>
      </c>
      <c r="Z3031" s="1">
        <v>5.3080510000000002E-5</v>
      </c>
      <c r="AA3031">
        <v>0.99987579999999998</v>
      </c>
      <c r="AB3031">
        <v>21</v>
      </c>
      <c r="AC3031">
        <v>85.9378999999999</v>
      </c>
      <c r="AD3031">
        <v>-1.109934223829</v>
      </c>
      <c r="AE3031">
        <v>1.6802000000000099</v>
      </c>
      <c r="AF3031">
        <v>-1.35702876955147</v>
      </c>
      <c r="AG3031">
        <v>-1.109934223829</v>
      </c>
      <c r="AH3031">
        <v>85.929278534993301</v>
      </c>
      <c r="AI3031">
        <v>90.739946660511393</v>
      </c>
      <c r="AJ3031">
        <v>90.904762144998301</v>
      </c>
      <c r="AK3031">
        <v>85.947160456917302</v>
      </c>
      <c r="AL3031">
        <v>90.026117072405995</v>
      </c>
      <c r="AM3031">
        <v>87.241882395582493</v>
      </c>
      <c r="AN3031">
        <v>1.0000000248279799</v>
      </c>
    </row>
    <row r="3032" spans="1:40" x14ac:dyDescent="0.25">
      <c r="A3032" t="str">
        <f>"20190312161021190"</f>
        <v>20190312161021190</v>
      </c>
      <c r="B3032" t="str">
        <f>"1552378221179226"</f>
        <v>1552378221179226</v>
      </c>
      <c r="C3032" t="s">
        <v>40</v>
      </c>
      <c r="D3032">
        <v>5.1826129999999999</v>
      </c>
      <c r="E3032">
        <v>0.47546100000000002</v>
      </c>
      <c r="F3032" t="s">
        <v>61</v>
      </c>
      <c r="G3032">
        <v>-349.14859999999999</v>
      </c>
      <c r="H3032" s="1">
        <v>3.3316259999999999E-6</v>
      </c>
      <c r="I3032">
        <v>213.80709999999999</v>
      </c>
      <c r="J3032">
        <v>-436.24079999999998</v>
      </c>
      <c r="K3032">
        <v>1.109944</v>
      </c>
      <c r="L3032">
        <v>211.958</v>
      </c>
      <c r="M3032">
        <v>0.99996560000000001</v>
      </c>
      <c r="N3032">
        <v>0</v>
      </c>
      <c r="O3032">
        <v>4.6165049999999999E-3</v>
      </c>
      <c r="P3032">
        <v>0.99900619999999996</v>
      </c>
      <c r="Q3032">
        <v>-8.2041490000000009E-3</v>
      </c>
      <c r="R3032">
        <v>-4.3812160000000003E-2</v>
      </c>
      <c r="S3032">
        <v>3.0055540000000001</v>
      </c>
      <c r="T3032">
        <v>-3.8213850000000001E-2</v>
      </c>
      <c r="U3032">
        <v>6.3720700000000005E-2</v>
      </c>
      <c r="V3032">
        <v>4.8425280000000001E-2</v>
      </c>
      <c r="W3032">
        <v>-1.2485479999999999E-3</v>
      </c>
      <c r="X3032">
        <v>0.99882599999999999</v>
      </c>
      <c r="Y3032">
        <v>-1.6579449999999999E-2</v>
      </c>
      <c r="Z3032" s="1">
        <v>4.6695169999999998E-5</v>
      </c>
      <c r="AA3032">
        <v>0.99986260000000005</v>
      </c>
      <c r="AB3032">
        <v>21</v>
      </c>
      <c r="AC3032">
        <v>87.092199999999906</v>
      </c>
      <c r="AD3032">
        <v>-1.1099406683740001</v>
      </c>
      <c r="AE3032">
        <v>1.84909999999999</v>
      </c>
      <c r="AF3032">
        <v>-1.44677429143741</v>
      </c>
      <c r="AG3032">
        <v>-1.1099406683740001</v>
      </c>
      <c r="AH3032">
        <v>87.085670343148905</v>
      </c>
      <c r="AI3032">
        <v>90.7301166712856</v>
      </c>
      <c r="AJ3032">
        <v>90.951780419280297</v>
      </c>
      <c r="AK3032">
        <v>87.104759360515303</v>
      </c>
      <c r="AL3032">
        <v>90.071536551476697</v>
      </c>
      <c r="AM3032">
        <v>87.224348050927006</v>
      </c>
      <c r="AN3032">
        <v>0.99999997244559302</v>
      </c>
    </row>
    <row r="3033" spans="1:40" x14ac:dyDescent="0.25">
      <c r="A3033" t="str">
        <f>"20190312161021216"</f>
        <v>20190312161021216</v>
      </c>
      <c r="B3033" t="str">
        <f>"1552378221209482"</f>
        <v>1552378221209482</v>
      </c>
      <c r="C3033" t="s">
        <v>40</v>
      </c>
      <c r="D3033">
        <v>5.1394129999999896</v>
      </c>
      <c r="E3033">
        <v>0.47564099999999998</v>
      </c>
      <c r="F3033" t="s">
        <v>61</v>
      </c>
      <c r="G3033">
        <v>-354.7715</v>
      </c>
      <c r="H3033" s="1">
        <v>1.0419360000000001E-6</v>
      </c>
      <c r="I3033">
        <v>213.71129999999999</v>
      </c>
      <c r="J3033">
        <v>-436.0018</v>
      </c>
      <c r="K3033">
        <v>1.1099570000000001</v>
      </c>
      <c r="L3033">
        <v>211.96029999999999</v>
      </c>
      <c r="M3033">
        <v>0.99996050000000003</v>
      </c>
      <c r="N3033">
        <v>0</v>
      </c>
      <c r="O3033">
        <v>5.6498390000000002E-3</v>
      </c>
      <c r="P3033">
        <v>0.99902299999999999</v>
      </c>
      <c r="Q3033">
        <v>-9.0254289999999997E-3</v>
      </c>
      <c r="R3033">
        <v>-4.3263349999999999E-2</v>
      </c>
      <c r="S3033">
        <v>3.005493</v>
      </c>
      <c r="T3033">
        <v>-4.0947079999999997E-2</v>
      </c>
      <c r="U3033">
        <v>6.4682009999999998E-2</v>
      </c>
      <c r="V3033">
        <v>4.8909979999999999E-2</v>
      </c>
      <c r="W3033">
        <v>-2.0961450000000002E-3</v>
      </c>
      <c r="X3033">
        <v>0.99880100000000005</v>
      </c>
      <c r="Y3033">
        <v>-1.586632E-2</v>
      </c>
      <c r="Z3033" s="1">
        <v>3.1102790000000002E-5</v>
      </c>
      <c r="AA3033">
        <v>0.99987409999999999</v>
      </c>
      <c r="AB3033">
        <v>22</v>
      </c>
      <c r="AC3033">
        <v>81.2303</v>
      </c>
      <c r="AD3033">
        <v>-1.1099559580639999</v>
      </c>
      <c r="AE3033">
        <v>1.7509999999999999</v>
      </c>
      <c r="AF3033">
        <v>-1.2917820507753199</v>
      </c>
      <c r="AG3033">
        <v>-1.1099559580639999</v>
      </c>
      <c r="AH3033">
        <v>81.2237380533997</v>
      </c>
      <c r="AI3033">
        <v>90.782822796240296</v>
      </c>
      <c r="AJ3033">
        <v>90.911155063947206</v>
      </c>
      <c r="AK3033">
        <v>81.241592343225506</v>
      </c>
      <c r="AL3033">
        <v>90.120100348642495</v>
      </c>
      <c r="AM3033">
        <v>87.196539941576802</v>
      </c>
      <c r="AN3033">
        <v>1.00000000878423</v>
      </c>
    </row>
    <row r="3034" spans="1:40" x14ac:dyDescent="0.25">
      <c r="A3034" t="str">
        <f>"20190312161021241"</f>
        <v>20190312161021241</v>
      </c>
      <c r="B3034" t="str">
        <f>"1552378221229001"</f>
        <v>1552378221229001</v>
      </c>
      <c r="C3034" t="s">
        <v>40</v>
      </c>
      <c r="D3034">
        <v>5.2026289999999999</v>
      </c>
      <c r="E3034">
        <v>0.4756802</v>
      </c>
      <c r="F3034" t="s">
        <v>61</v>
      </c>
      <c r="G3034">
        <v>-368.84219999999999</v>
      </c>
      <c r="H3034" s="1">
        <v>3.168607E-6</v>
      </c>
      <c r="I3034">
        <v>213.4211</v>
      </c>
      <c r="J3034">
        <v>-435.7473</v>
      </c>
      <c r="K3034">
        <v>1.1099730000000001</v>
      </c>
      <c r="L3034">
        <v>211.96299999999999</v>
      </c>
      <c r="M3034">
        <v>0.99995369999999995</v>
      </c>
      <c r="N3034">
        <v>0</v>
      </c>
      <c r="O3034">
        <v>6.7858190000000002E-3</v>
      </c>
      <c r="P3034">
        <v>0.99906530000000004</v>
      </c>
      <c r="Q3034">
        <v>-8.4415389999999996E-3</v>
      </c>
      <c r="R3034">
        <v>-4.2397650000000002E-2</v>
      </c>
      <c r="S3034">
        <v>3.00528</v>
      </c>
      <c r="T3034">
        <v>-4.9668549999999999E-2</v>
      </c>
      <c r="U3034">
        <v>6.536865E-2</v>
      </c>
      <c r="V3034">
        <v>4.9178359999999997E-2</v>
      </c>
      <c r="W3034">
        <v>-1.5411139999999999E-3</v>
      </c>
      <c r="X3034">
        <v>0.99878880000000003</v>
      </c>
      <c r="Y3034">
        <v>-1.496014E-2</v>
      </c>
      <c r="Z3034" s="1">
        <v>1.1471920000000001E-5</v>
      </c>
      <c r="AA3034">
        <v>0.99988809999999995</v>
      </c>
      <c r="AB3034">
        <v>22</v>
      </c>
      <c r="AC3034">
        <v>66.905100000000004</v>
      </c>
      <c r="AD3034">
        <v>-1.109969831393</v>
      </c>
      <c r="AE3034">
        <v>1.4581</v>
      </c>
      <c r="AF3034">
        <v>-1.00377381830307</v>
      </c>
      <c r="AG3034">
        <v>-1.109969831393</v>
      </c>
      <c r="AH3034">
        <v>66.895051013726601</v>
      </c>
      <c r="AI3034">
        <v>90.950497740856306</v>
      </c>
      <c r="AJ3034">
        <v>90.859670284915595</v>
      </c>
      <c r="AK3034">
        <v>66.911788535608594</v>
      </c>
      <c r="AL3034">
        <v>90.088299364970098</v>
      </c>
      <c r="AM3034">
        <v>87.181147096344702</v>
      </c>
      <c r="AN3034">
        <v>0.99999997656504502</v>
      </c>
    </row>
    <row r="3035" spans="1:40" x14ac:dyDescent="0.25">
      <c r="A3035" t="str">
        <f>"20190312161021280"</f>
        <v>20190312161021280</v>
      </c>
      <c r="B3035" t="str">
        <f>"1552378221269017"</f>
        <v>1552378221269017</v>
      </c>
      <c r="C3035" t="s">
        <v>40</v>
      </c>
      <c r="D3035">
        <v>5.2137180000000001</v>
      </c>
      <c r="E3035">
        <v>0.47585240000000001</v>
      </c>
      <c r="F3035" t="s">
        <v>61</v>
      </c>
      <c r="G3035">
        <v>-370.67939999999999</v>
      </c>
      <c r="H3035" s="1">
        <v>-1.1752330000000001E-6</v>
      </c>
      <c r="I3035">
        <v>213.4289</v>
      </c>
      <c r="J3035">
        <v>-435.3732</v>
      </c>
      <c r="K3035">
        <v>1.1099870000000001</v>
      </c>
      <c r="L3035">
        <v>211.9676</v>
      </c>
      <c r="M3035">
        <v>0.99994079999999996</v>
      </c>
      <c r="N3035">
        <v>0</v>
      </c>
      <c r="O3035">
        <v>8.5123809999999994E-3</v>
      </c>
      <c r="P3035">
        <v>0.99911050000000001</v>
      </c>
      <c r="Q3035">
        <v>-8.4946350000000004E-3</v>
      </c>
      <c r="R3035">
        <v>-4.1308789999999998E-2</v>
      </c>
      <c r="S3035">
        <v>3.0052490000000001</v>
      </c>
      <c r="T3035">
        <v>-5.1265720000000001E-2</v>
      </c>
      <c r="U3035">
        <v>6.7703250000000006E-2</v>
      </c>
      <c r="V3035">
        <v>4.9814700000000003E-2</v>
      </c>
      <c r="W3035">
        <v>-1.638371E-3</v>
      </c>
      <c r="X3035">
        <v>0.99875709999999995</v>
      </c>
      <c r="Y3035">
        <v>-1.401059E-2</v>
      </c>
      <c r="Z3035" s="1">
        <v>-2.5702389999999999E-5</v>
      </c>
      <c r="AA3035">
        <v>0.99990179999999995</v>
      </c>
      <c r="AB3035">
        <v>22</v>
      </c>
      <c r="AC3035">
        <v>64.693799999999996</v>
      </c>
      <c r="AD3035">
        <v>-1.1099881752330001</v>
      </c>
      <c r="AE3035">
        <v>1.4612999999999901</v>
      </c>
      <c r="AF3035">
        <v>-0.91026830044283802</v>
      </c>
      <c r="AG3035">
        <v>-1.1099881752330001</v>
      </c>
      <c r="AH3035">
        <v>64.6848630467194</v>
      </c>
      <c r="AI3035">
        <v>90.982998171391102</v>
      </c>
      <c r="AJ3035">
        <v>90.806233283211796</v>
      </c>
      <c r="AK3035">
        <v>64.700789558557901</v>
      </c>
      <c r="AL3035">
        <v>90.093871788698806</v>
      </c>
      <c r="AM3035">
        <v>87.144642241501799</v>
      </c>
      <c r="AN3035">
        <v>0.99999996669801605</v>
      </c>
    </row>
    <row r="3036" spans="1:40" x14ac:dyDescent="0.25">
      <c r="A3036" t="str">
        <f>"20190312161021305"</f>
        <v>20190312161021305</v>
      </c>
      <c r="B3036" t="str">
        <f>"1552378221299273"</f>
        <v>1552378221299273</v>
      </c>
      <c r="C3036" t="s">
        <v>40</v>
      </c>
      <c r="D3036">
        <v>5.2140269999999997</v>
      </c>
      <c r="E3036">
        <v>0.47603109999999998</v>
      </c>
      <c r="F3036" t="s">
        <v>61</v>
      </c>
      <c r="G3036">
        <v>-373.05990000000003</v>
      </c>
      <c r="H3036" s="1">
        <v>9.1544679999999994E-8</v>
      </c>
      <c r="I3036">
        <v>213.41329999999999</v>
      </c>
      <c r="J3036">
        <v>-435.13459999999998</v>
      </c>
      <c r="K3036">
        <v>1.1099939999999999</v>
      </c>
      <c r="L3036">
        <v>211.9709</v>
      </c>
      <c r="M3036">
        <v>0.99993080000000001</v>
      </c>
      <c r="N3036">
        <v>0</v>
      </c>
      <c r="O3036">
        <v>9.633038E-3</v>
      </c>
      <c r="P3036">
        <v>0.99917060000000002</v>
      </c>
      <c r="Q3036">
        <v>-8.7719549999999997E-3</v>
      </c>
      <c r="R3036">
        <v>-3.976623E-2</v>
      </c>
      <c r="S3036">
        <v>3.0050659999999998</v>
      </c>
      <c r="T3036">
        <v>-5.3529260000000002E-2</v>
      </c>
      <c r="U3036">
        <v>6.9717409999999994E-2</v>
      </c>
      <c r="V3036">
        <v>4.939255E-2</v>
      </c>
      <c r="W3036">
        <v>-1.9451869999999999E-3</v>
      </c>
      <c r="X3036">
        <v>0.99877760000000004</v>
      </c>
      <c r="Y3036">
        <v>-1.356136E-2</v>
      </c>
      <c r="Z3036" s="1">
        <v>-5.0795379999999997E-5</v>
      </c>
      <c r="AA3036">
        <v>0.99990800000000002</v>
      </c>
      <c r="AB3036">
        <v>22</v>
      </c>
      <c r="AC3036">
        <v>62.074699999999901</v>
      </c>
      <c r="AD3036">
        <v>-1.1099939084553201</v>
      </c>
      <c r="AE3036">
        <v>1.4423999999999899</v>
      </c>
      <c r="AF3036">
        <v>-0.84408174297991401</v>
      </c>
      <c r="AG3036">
        <v>-1.1099939084553201</v>
      </c>
      <c r="AH3036">
        <v>62.065879770203203</v>
      </c>
      <c r="AI3036">
        <v>91.024480901561304</v>
      </c>
      <c r="AJ3036">
        <v>90.779161438600795</v>
      </c>
      <c r="AK3036">
        <v>62.081543087418197</v>
      </c>
      <c r="AL3036">
        <v>90.111451070063097</v>
      </c>
      <c r="AM3036">
        <v>87.168858181421399</v>
      </c>
      <c r="AN3036">
        <v>1.0000000510048599</v>
      </c>
    </row>
    <row r="3037" spans="1:40" x14ac:dyDescent="0.25">
      <c r="A3037" t="str">
        <f>"20190312161021324"</f>
        <v>20190312161021324</v>
      </c>
      <c r="B3037" t="str">
        <f>"1552378221318793"</f>
        <v>1552378221318793</v>
      </c>
      <c r="C3037" t="s">
        <v>40</v>
      </c>
      <c r="D3037">
        <v>5.2019299999999999</v>
      </c>
      <c r="E3037">
        <v>0.47616360000000002</v>
      </c>
      <c r="F3037" t="s">
        <v>61</v>
      </c>
      <c r="G3037">
        <v>-375.82089999999999</v>
      </c>
      <c r="H3037" s="1">
        <v>1.5608069999999999E-6</v>
      </c>
      <c r="I3037">
        <v>213.4118</v>
      </c>
      <c r="J3037">
        <v>-434.93340000000001</v>
      </c>
      <c r="K3037">
        <v>1.1099920000000001</v>
      </c>
      <c r="L3037">
        <v>211.97399999999999</v>
      </c>
      <c r="M3037">
        <v>0.99992130000000001</v>
      </c>
      <c r="N3037">
        <v>0</v>
      </c>
      <c r="O3037">
        <v>1.058418E-2</v>
      </c>
      <c r="P3037">
        <v>0.99924579999999996</v>
      </c>
      <c r="Q3037">
        <v>-8.3620610000000005E-3</v>
      </c>
      <c r="R3037">
        <v>-3.79209E-2</v>
      </c>
      <c r="S3037">
        <v>3.004883</v>
      </c>
      <c r="T3037">
        <v>-5.6233169999999999E-2</v>
      </c>
      <c r="U3037">
        <v>7.2998049999999995E-2</v>
      </c>
      <c r="V3037">
        <v>4.8497699999999998E-2</v>
      </c>
      <c r="W3037">
        <v>-1.5587870000000001E-3</v>
      </c>
      <c r="X3037">
        <v>0.99882210000000005</v>
      </c>
      <c r="Y3037">
        <v>-1.370277E-2</v>
      </c>
      <c r="Z3037" s="1">
        <v>-6.983426E-5</v>
      </c>
      <c r="AA3037">
        <v>0.99990610000000002</v>
      </c>
      <c r="AB3037">
        <v>22</v>
      </c>
      <c r="AC3037">
        <v>59.112499999999997</v>
      </c>
      <c r="AD3037">
        <v>-1.109990439193</v>
      </c>
      <c r="AE3037">
        <v>1.43779999999998</v>
      </c>
      <c r="AF3037">
        <v>-0.81176186961379104</v>
      </c>
      <c r="AG3037">
        <v>-1.109990439193</v>
      </c>
      <c r="AH3037">
        <v>59.103579520279503</v>
      </c>
      <c r="AI3037">
        <v>91.075811261685701</v>
      </c>
      <c r="AJ3037">
        <v>90.7868830492542</v>
      </c>
      <c r="AK3037">
        <v>59.119575000316601</v>
      </c>
      <c r="AL3037">
        <v>90.089311950455993</v>
      </c>
      <c r="AM3037">
        <v>87.220192732809906</v>
      </c>
      <c r="AN3037">
        <v>1.0000000220853</v>
      </c>
    </row>
    <row r="3038" spans="1:40" x14ac:dyDescent="0.25">
      <c r="A3038" t="str">
        <f>"20190312161021346"</f>
        <v>20190312161021346</v>
      </c>
      <c r="B3038" t="str">
        <f>"1552378221339289"</f>
        <v>1552378221339289</v>
      </c>
      <c r="C3038" t="s">
        <v>40</v>
      </c>
      <c r="D3038">
        <v>5.2311259999999997</v>
      </c>
      <c r="E3038">
        <v>0.476302</v>
      </c>
      <c r="F3038" t="s">
        <v>61</v>
      </c>
      <c r="G3038">
        <v>-373.8999</v>
      </c>
      <c r="H3038" s="1">
        <v>5.3855669999999997E-7</v>
      </c>
      <c r="I3038">
        <v>213.54169999999999</v>
      </c>
      <c r="J3038">
        <v>-434.714</v>
      </c>
      <c r="K3038">
        <v>1.109993</v>
      </c>
      <c r="L3038">
        <v>211.97739999999999</v>
      </c>
      <c r="M3038">
        <v>0.99990979999999996</v>
      </c>
      <c r="N3038">
        <v>0</v>
      </c>
      <c r="O3038">
        <v>1.1624529999999999E-2</v>
      </c>
      <c r="P3038">
        <v>0.99932069999999995</v>
      </c>
      <c r="Q3038">
        <v>-8.6888150000000008E-3</v>
      </c>
      <c r="R3038">
        <v>-3.5811229999999999E-2</v>
      </c>
      <c r="S3038">
        <v>3.0046689999999998</v>
      </c>
      <c r="T3038">
        <v>-5.4644699999999997E-2</v>
      </c>
      <c r="U3038">
        <v>7.7178960000000005E-2</v>
      </c>
      <c r="V3038">
        <v>4.742859E-2</v>
      </c>
      <c r="W3038">
        <v>-1.9078820000000001E-3</v>
      </c>
      <c r="X3038">
        <v>0.99887280000000001</v>
      </c>
      <c r="Y3038">
        <v>-1.4054779999999999E-2</v>
      </c>
      <c r="Z3038" s="1">
        <v>-8.3578940000000003E-5</v>
      </c>
      <c r="AA3038">
        <v>0.99990120000000005</v>
      </c>
      <c r="AB3038">
        <v>22</v>
      </c>
      <c r="AC3038">
        <v>60.814100000000003</v>
      </c>
      <c r="AD3038">
        <v>-1.1099924614433001</v>
      </c>
      <c r="AE3038">
        <v>1.5643</v>
      </c>
      <c r="AF3038">
        <v>-0.85695766962062203</v>
      </c>
      <c r="AG3038">
        <v>-1.1099924614433001</v>
      </c>
      <c r="AH3038">
        <v>60.807931064502803</v>
      </c>
      <c r="AI3038">
        <v>91.045661434048895</v>
      </c>
      <c r="AJ3038">
        <v>90.807407958996507</v>
      </c>
      <c r="AK3038">
        <v>60.8240983497274</v>
      </c>
      <c r="AL3038">
        <v>90.109313653724101</v>
      </c>
      <c r="AM3038">
        <v>87.281517148606696</v>
      </c>
      <c r="AN3038">
        <v>0.99999999087147695</v>
      </c>
    </row>
    <row r="3039" spans="1:40" x14ac:dyDescent="0.25">
      <c r="A3039" t="str">
        <f>"20190312161021369"</f>
        <v>20190312161021369</v>
      </c>
      <c r="B3039" t="str">
        <f>"1552378221358809"</f>
        <v>1552378221358809</v>
      </c>
      <c r="C3039" t="s">
        <v>40</v>
      </c>
      <c r="D3039">
        <v>5.1997249999999999</v>
      </c>
      <c r="E3039">
        <v>0.47648800000000002</v>
      </c>
      <c r="F3039" t="s">
        <v>61</v>
      </c>
      <c r="G3039">
        <v>-374.14429999999999</v>
      </c>
      <c r="H3039" s="1">
        <v>6.6862939999999997E-7</v>
      </c>
      <c r="I3039">
        <v>213.64160000000001</v>
      </c>
      <c r="J3039">
        <v>-434.48590000000002</v>
      </c>
      <c r="K3039">
        <v>1.109988</v>
      </c>
      <c r="L3039">
        <v>211.9813</v>
      </c>
      <c r="M3039">
        <v>0.99989680000000003</v>
      </c>
      <c r="N3039">
        <v>0</v>
      </c>
      <c r="O3039">
        <v>1.27055E-2</v>
      </c>
      <c r="P3039">
        <v>0.99937810000000005</v>
      </c>
      <c r="Q3039">
        <v>-9.4288440000000005E-3</v>
      </c>
      <c r="R3039">
        <v>-3.3979559999999999E-2</v>
      </c>
      <c r="S3039">
        <v>3.0045169999999999</v>
      </c>
      <c r="T3039">
        <v>-5.5060390000000001E-2</v>
      </c>
      <c r="U3039">
        <v>8.255005E-2</v>
      </c>
      <c r="V3039">
        <v>4.6678659999999997E-2</v>
      </c>
      <c r="W3039">
        <v>-2.6672990000000001E-3</v>
      </c>
      <c r="X3039">
        <v>0.99890639999999997</v>
      </c>
      <c r="Y3039">
        <v>-1.4761399999999999E-2</v>
      </c>
      <c r="Z3039" s="1">
        <v>-9.7545489999999996E-5</v>
      </c>
      <c r="AA3039">
        <v>0.99989099999999997</v>
      </c>
      <c r="AB3039">
        <v>22</v>
      </c>
      <c r="AC3039">
        <v>60.3416</v>
      </c>
      <c r="AD3039">
        <v>-1.1099873313705999</v>
      </c>
      <c r="AE3039">
        <v>1.6603000000000001</v>
      </c>
      <c r="AF3039">
        <v>-0.89317654084495302</v>
      </c>
      <c r="AG3039">
        <v>-1.1099873313705999</v>
      </c>
      <c r="AH3039">
        <v>60.337423111819803</v>
      </c>
      <c r="AI3039">
        <v>91.053797936369506</v>
      </c>
      <c r="AJ3039">
        <v>90.848089063115395</v>
      </c>
      <c r="AK3039">
        <v>60.354241474677501</v>
      </c>
      <c r="AL3039">
        <v>90.15282515602</v>
      </c>
      <c r="AM3039">
        <v>87.324528081341995</v>
      </c>
      <c r="AN3039">
        <v>1.0000000038721499</v>
      </c>
    </row>
    <row r="3040" spans="1:40" x14ac:dyDescent="0.25">
      <c r="A3040" t="str">
        <f>"20190312161021392"</f>
        <v>20190312161021392</v>
      </c>
      <c r="B3040" t="str">
        <f>"1552378221389066"</f>
        <v>1552378221389066</v>
      </c>
      <c r="C3040" t="s">
        <v>40</v>
      </c>
      <c r="D3040">
        <v>5.2564310000000001</v>
      </c>
      <c r="E3040">
        <v>0.47669879999999998</v>
      </c>
      <c r="F3040" t="s">
        <v>61</v>
      </c>
      <c r="G3040">
        <v>-375.37540000000001</v>
      </c>
      <c r="H3040" s="1">
        <v>1.323732E-6</v>
      </c>
      <c r="I3040">
        <v>213.6866</v>
      </c>
      <c r="J3040">
        <v>-434.25310000000002</v>
      </c>
      <c r="K3040">
        <v>1.1099810000000001</v>
      </c>
      <c r="L3040">
        <v>211.9855</v>
      </c>
      <c r="M3040">
        <v>0.99988250000000001</v>
      </c>
      <c r="N3040">
        <v>0</v>
      </c>
      <c r="O3040">
        <v>1.380645E-2</v>
      </c>
      <c r="P3040">
        <v>0.99941579999999997</v>
      </c>
      <c r="Q3040">
        <v>-9.6588149999999994E-3</v>
      </c>
      <c r="R3040">
        <v>-3.2787709999999998E-2</v>
      </c>
      <c r="S3040">
        <v>3.0042420000000001</v>
      </c>
      <c r="T3040">
        <v>-5.641413E-2</v>
      </c>
      <c r="U3040">
        <v>8.6669919999999998E-2</v>
      </c>
      <c r="V3040">
        <v>4.6587789999999997E-2</v>
      </c>
      <c r="W3040">
        <v>-2.9163460000000002E-3</v>
      </c>
      <c r="X3040">
        <v>0.99890999999999996</v>
      </c>
      <c r="Y3040">
        <v>-1.503321E-2</v>
      </c>
      <c r="Z3040">
        <v>-1.180634E-4</v>
      </c>
      <c r="AA3040">
        <v>0.99988699999999997</v>
      </c>
      <c r="AB3040">
        <v>22</v>
      </c>
      <c r="AC3040">
        <v>58.877699999999997</v>
      </c>
      <c r="AD3040">
        <v>-1.1099796762680001</v>
      </c>
      <c r="AE3040">
        <v>1.7010999999999901</v>
      </c>
      <c r="AF3040">
        <v>-0.887712562011854</v>
      </c>
      <c r="AG3040">
        <v>-1.1099796762680001</v>
      </c>
      <c r="AH3040">
        <v>58.874667447697703</v>
      </c>
      <c r="AI3040">
        <v>91.079961799585107</v>
      </c>
      <c r="AJ3040">
        <v>90.8638406213108</v>
      </c>
      <c r="AK3040">
        <v>58.891820786518998</v>
      </c>
      <c r="AL3040">
        <v>90.167094544621705</v>
      </c>
      <c r="AM3040">
        <v>87.329738523577205</v>
      </c>
      <c r="AN3040">
        <v>1.0000000576755299</v>
      </c>
    </row>
    <row r="3041" spans="1:40" x14ac:dyDescent="0.25">
      <c r="A3041" t="str">
        <f>"20190312161021413"</f>
        <v>20190312161021413</v>
      </c>
      <c r="B3041" t="str">
        <f>"1552378221409561"</f>
        <v>1552378221409561</v>
      </c>
      <c r="C3041" t="s">
        <v>40</v>
      </c>
      <c r="D3041">
        <v>5.2764800000000003</v>
      </c>
      <c r="E3041">
        <v>0.47694740000000002</v>
      </c>
      <c r="F3041" t="s">
        <v>61</v>
      </c>
      <c r="G3041">
        <v>-373.8297</v>
      </c>
      <c r="H3041" s="1">
        <v>5.0117550000000003E-7</v>
      </c>
      <c r="I3041">
        <v>213.7629</v>
      </c>
      <c r="J3041">
        <v>-434.04399999999998</v>
      </c>
      <c r="K3041">
        <v>1.1099810000000001</v>
      </c>
      <c r="L3041">
        <v>211.98949999999999</v>
      </c>
      <c r="M3041">
        <v>0.99986850000000005</v>
      </c>
      <c r="N3041">
        <v>0</v>
      </c>
      <c r="O3041">
        <v>1.479217E-2</v>
      </c>
      <c r="P3041">
        <v>0.99946990000000002</v>
      </c>
      <c r="Q3041">
        <v>-8.9854150000000001E-3</v>
      </c>
      <c r="R3041">
        <v>-3.129494E-2</v>
      </c>
      <c r="S3041">
        <v>3.004089</v>
      </c>
      <c r="T3041">
        <v>-5.5185199999999997E-2</v>
      </c>
      <c r="U3041">
        <v>8.8363650000000002E-2</v>
      </c>
      <c r="V3041">
        <v>4.6079540000000002E-2</v>
      </c>
      <c r="W3041">
        <v>-2.2608569999999998E-3</v>
      </c>
      <c r="X3041">
        <v>0.99893520000000002</v>
      </c>
      <c r="Y3041">
        <v>-1.4612450000000001E-2</v>
      </c>
      <c r="Z3041">
        <v>-1.374596E-4</v>
      </c>
      <c r="AA3041">
        <v>0.99989320000000004</v>
      </c>
      <c r="AB3041">
        <v>22</v>
      </c>
      <c r="AC3041">
        <v>60.214300000000001</v>
      </c>
      <c r="AD3041">
        <v>-1.1099804988244999</v>
      </c>
      <c r="AE3041">
        <v>1.7734000000000001</v>
      </c>
      <c r="AF3041">
        <v>-0.88218661497178197</v>
      </c>
      <c r="AG3041">
        <v>-1.1099804988244999</v>
      </c>
      <c r="AH3041">
        <v>60.213501473808797</v>
      </c>
      <c r="AI3041">
        <v>91.055962066335695</v>
      </c>
      <c r="AJ3041">
        <v>90.8393790836775</v>
      </c>
      <c r="AK3041">
        <v>60.230192342941898</v>
      </c>
      <c r="AL3041">
        <v>90.129537676527207</v>
      </c>
      <c r="AM3041">
        <v>87.358894826561595</v>
      </c>
      <c r="AN3041">
        <v>0.99999998464001205</v>
      </c>
    </row>
    <row r="3042" spans="1:40" x14ac:dyDescent="0.25">
      <c r="A3042" t="str">
        <f>"20190312161021438"</f>
        <v>20190312161021438</v>
      </c>
      <c r="B3042" t="str">
        <f>"1552378221429588"</f>
        <v>1552378221429588</v>
      </c>
      <c r="C3042" t="s">
        <v>40</v>
      </c>
      <c r="D3042">
        <v>5.2972250000000001</v>
      </c>
      <c r="E3042">
        <v>0.477211</v>
      </c>
      <c r="F3042" t="s">
        <v>61</v>
      </c>
      <c r="G3042">
        <v>-371.9966</v>
      </c>
      <c r="H3042" s="1">
        <v>-4.7428819999999998E-7</v>
      </c>
      <c r="I3042">
        <v>213.8698</v>
      </c>
      <c r="J3042">
        <v>-433.79070000000002</v>
      </c>
      <c r="K3042">
        <v>1.1099870000000001</v>
      </c>
      <c r="L3042">
        <v>211.99459999999999</v>
      </c>
      <c r="M3042">
        <v>0.99985029999999997</v>
      </c>
      <c r="N3042">
        <v>0</v>
      </c>
      <c r="O3042">
        <v>1.5981100000000002E-2</v>
      </c>
      <c r="P3042">
        <v>0.99953559999999997</v>
      </c>
      <c r="Q3042">
        <v>-7.8778519999999994E-3</v>
      </c>
      <c r="R3042">
        <v>-2.9436150000000001E-2</v>
      </c>
      <c r="S3042">
        <v>3.0039980000000002</v>
      </c>
      <c r="T3042">
        <v>-5.3739309999999998E-2</v>
      </c>
      <c r="U3042">
        <v>9.1033939999999994E-2</v>
      </c>
      <c r="V3042">
        <v>4.5408219999999999E-2</v>
      </c>
      <c r="W3042">
        <v>-1.1730690000000001E-3</v>
      </c>
      <c r="X3042">
        <v>0.99896779999999996</v>
      </c>
      <c r="Y3042">
        <v>-1.431263E-2</v>
      </c>
      <c r="Z3042">
        <v>-1.5779999999999999E-4</v>
      </c>
      <c r="AA3042">
        <v>0.99989749999999999</v>
      </c>
      <c r="AB3042">
        <v>23</v>
      </c>
      <c r="AC3042">
        <v>61.7941</v>
      </c>
      <c r="AD3042">
        <v>-1.1099874742881899</v>
      </c>
      <c r="AE3042">
        <v>1.8752</v>
      </c>
      <c r="AF3042">
        <v>-0.88711513486618299</v>
      </c>
      <c r="AG3042">
        <v>-1.1099874742881899</v>
      </c>
      <c r="AH3042">
        <v>61.796255899570397</v>
      </c>
      <c r="AI3042">
        <v>91.028933038259794</v>
      </c>
      <c r="AJ3042">
        <v>90.822452126295403</v>
      </c>
      <c r="AK3042">
        <v>61.812590049768801</v>
      </c>
      <c r="AL3042">
        <v>90.067211919941002</v>
      </c>
      <c r="AM3042">
        <v>87.397403871733999</v>
      </c>
      <c r="AN3042">
        <v>0.999999973985643</v>
      </c>
    </row>
    <row r="3043" spans="1:40" x14ac:dyDescent="0.25">
      <c r="A3043" t="str">
        <f>"20190312161021482"</f>
        <v>20190312161021482</v>
      </c>
      <c r="B3043" t="str">
        <f>"1552378221479364"</f>
        <v>1552378221479364</v>
      </c>
      <c r="C3043" t="s">
        <v>40</v>
      </c>
      <c r="D3043">
        <v>5.3258989999999997</v>
      </c>
      <c r="E3043">
        <v>0.47765210000000002</v>
      </c>
      <c r="F3043" t="s">
        <v>61</v>
      </c>
      <c r="G3043">
        <v>-368.10759999999999</v>
      </c>
      <c r="H3043" s="1">
        <v>2.7776840000000001E-6</v>
      </c>
      <c r="I3043">
        <v>214.05959999999999</v>
      </c>
      <c r="J3043">
        <v>-433.35059999999999</v>
      </c>
      <c r="K3043">
        <v>1.109996</v>
      </c>
      <c r="L3043">
        <v>212.00409999999999</v>
      </c>
      <c r="M3043">
        <v>0.99981549999999997</v>
      </c>
      <c r="N3043">
        <v>0</v>
      </c>
      <c r="O3043">
        <v>1.8038140000000001E-2</v>
      </c>
      <c r="P3043">
        <v>0.99961639999999996</v>
      </c>
      <c r="Q3043">
        <v>-7.2711479999999998E-3</v>
      </c>
      <c r="R3043">
        <v>-2.6734270000000001E-2</v>
      </c>
      <c r="S3043">
        <v>3.0038149999999999</v>
      </c>
      <c r="T3043">
        <v>-5.0761699999999903E-2</v>
      </c>
      <c r="U3043">
        <v>9.4436649999999997E-2</v>
      </c>
      <c r="V3043">
        <v>4.476227E-2</v>
      </c>
      <c r="W3043">
        <v>-5.9017399999999995E-4</v>
      </c>
      <c r="X3043">
        <v>0.99899749999999998</v>
      </c>
      <c r="Y3043">
        <v>-1.33893E-2</v>
      </c>
      <c r="Z3043">
        <v>-1.916062E-4</v>
      </c>
      <c r="AA3043">
        <v>0.99991039999999998</v>
      </c>
      <c r="AB3043">
        <v>23</v>
      </c>
      <c r="AC3043">
        <v>65.242999999999995</v>
      </c>
      <c r="AD3043">
        <v>-1.1099932223160001</v>
      </c>
      <c r="AE3043">
        <v>2.0554999999999901</v>
      </c>
      <c r="AF3043">
        <v>-0.878023643641754</v>
      </c>
      <c r="AG3043">
        <v>-1.1099932223160001</v>
      </c>
      <c r="AH3043">
        <v>65.250594650396394</v>
      </c>
      <c r="AI3043">
        <v>90.974489784810203</v>
      </c>
      <c r="AJ3043">
        <v>90.7709357033157</v>
      </c>
      <c r="AK3043">
        <v>65.265941445004202</v>
      </c>
      <c r="AL3043">
        <v>90.033814481102397</v>
      </c>
      <c r="AM3043">
        <v>87.434453184271902</v>
      </c>
      <c r="AN3043">
        <v>1.00000000706357</v>
      </c>
    </row>
    <row r="3044" spans="1:40" x14ac:dyDescent="0.25">
      <c r="A3044" t="str">
        <f>"20190312161021526"</f>
        <v>20190312161021526</v>
      </c>
      <c r="B3044" t="str">
        <f>"1552378221518911"</f>
        <v>1552378221518911</v>
      </c>
      <c r="C3044" t="s">
        <v>40</v>
      </c>
      <c r="D3044">
        <v>5.3562690000000002</v>
      </c>
      <c r="E3044">
        <v>0.46984219999999999</v>
      </c>
      <c r="F3044" t="s">
        <v>61</v>
      </c>
      <c r="G3044">
        <v>-365.97820000000002</v>
      </c>
      <c r="H3044" s="1">
        <v>1.6445220000000001E-6</v>
      </c>
      <c r="I3044">
        <v>214.2225</v>
      </c>
      <c r="J3044">
        <v>-432.8963</v>
      </c>
      <c r="K3044">
        <v>1.1099870000000001</v>
      </c>
      <c r="L3044">
        <v>212.01490000000001</v>
      </c>
      <c r="M3044">
        <v>0.99977510000000003</v>
      </c>
      <c r="N3044">
        <v>0</v>
      </c>
      <c r="O3044">
        <v>2.015602E-2</v>
      </c>
      <c r="P3044">
        <v>0.99959920000000002</v>
      </c>
      <c r="Q3044">
        <v>-8.0512109999999904E-3</v>
      </c>
      <c r="R3044">
        <v>-2.7149070000000001E-2</v>
      </c>
      <c r="S3044">
        <v>3.0034179999999999</v>
      </c>
      <c r="T3044">
        <v>-4.9482819999999997E-2</v>
      </c>
      <c r="U3044">
        <v>9.8892209999999994E-2</v>
      </c>
      <c r="V3044">
        <v>4.7293950000000001E-2</v>
      </c>
      <c r="W3044">
        <v>-1.3781879999999901E-3</v>
      </c>
      <c r="X3044">
        <v>0.99888010000000005</v>
      </c>
      <c r="Y3044">
        <v>-1.27575E-2</v>
      </c>
      <c r="Z3044">
        <v>-2.268735E-4</v>
      </c>
      <c r="AA3044">
        <v>0.99991859999999999</v>
      </c>
      <c r="AB3044">
        <v>23</v>
      </c>
      <c r="AC3044">
        <v>66.918099999999896</v>
      </c>
      <c r="AD3044">
        <v>-1.1099853554779999</v>
      </c>
      <c r="AE3044">
        <v>2.2075999999999798</v>
      </c>
      <c r="AF3044">
        <v>-0.85808377769432298</v>
      </c>
      <c r="AG3044">
        <v>-1.1099853554779999</v>
      </c>
      <c r="AH3044">
        <v>66.930607184621294</v>
      </c>
      <c r="AI3044">
        <v>90.950035041243098</v>
      </c>
      <c r="AJ3044">
        <v>90.734520238431898</v>
      </c>
      <c r="AK3044">
        <v>66.9453101670385</v>
      </c>
      <c r="AL3044">
        <v>90.078964377958599</v>
      </c>
      <c r="AM3044">
        <v>87.2892426154567</v>
      </c>
      <c r="AN3044">
        <v>1.0000000356423799</v>
      </c>
    </row>
    <row r="3045" spans="1:40" x14ac:dyDescent="0.25">
      <c r="A3045" t="str">
        <f>"20190312161021548"</f>
        <v>20190312161021548</v>
      </c>
      <c r="B3045" t="str">
        <f>"1552378221539408"</f>
        <v>1552378221539408</v>
      </c>
      <c r="C3045" t="s">
        <v>40</v>
      </c>
      <c r="D3045">
        <v>5.3376000000000001</v>
      </c>
      <c r="E3045">
        <v>0.46811029999999998</v>
      </c>
      <c r="F3045" t="s">
        <v>74</v>
      </c>
      <c r="G3045">
        <v>-413.83600000000001</v>
      </c>
      <c r="H3045" s="1">
        <v>3.022315E-6</v>
      </c>
      <c r="I3045">
        <v>213.0592</v>
      </c>
      <c r="J3045">
        <v>-432.67020000000002</v>
      </c>
      <c r="K3045">
        <v>1.1099859999999999</v>
      </c>
      <c r="L3045">
        <v>212.0206</v>
      </c>
      <c r="M3045">
        <v>0.99975340000000001</v>
      </c>
      <c r="N3045">
        <v>0</v>
      </c>
      <c r="O3045">
        <v>2.120944E-2</v>
      </c>
      <c r="P3045">
        <v>0.99958480000000005</v>
      </c>
      <c r="Q3045">
        <v>-8.1663640000000006E-3</v>
      </c>
      <c r="R3045">
        <v>-2.7636230000000001E-2</v>
      </c>
      <c r="S3045">
        <v>3.0042719999999998</v>
      </c>
      <c r="T3045">
        <v>-0.1749551</v>
      </c>
      <c r="U3045">
        <v>0.1646118</v>
      </c>
      <c r="V3045">
        <v>4.8833540000000002E-2</v>
      </c>
      <c r="W3045">
        <v>-1.492342E-3</v>
      </c>
      <c r="X3045">
        <v>0.99880579999999997</v>
      </c>
      <c r="Y3045">
        <v>-3.3499319999999999E-2</v>
      </c>
      <c r="Z3045">
        <v>-2.59082E-4</v>
      </c>
      <c r="AA3045">
        <v>0.99943870000000001</v>
      </c>
      <c r="AB3045">
        <v>23</v>
      </c>
      <c r="AC3045">
        <v>18.834199999999999</v>
      </c>
      <c r="AD3045">
        <v>-1.1099829776850001</v>
      </c>
      <c r="AE3045">
        <v>1.0386</v>
      </c>
      <c r="AF3045">
        <v>-0.63669018691128498</v>
      </c>
      <c r="AG3045">
        <v>-1.1099829776850001</v>
      </c>
      <c r="AH3045">
        <v>18.786937506489799</v>
      </c>
      <c r="AI3045">
        <v>93.379322990132593</v>
      </c>
      <c r="AJ3045">
        <v>91.941013755566502</v>
      </c>
      <c r="AK3045">
        <v>18.830466204467999</v>
      </c>
      <c r="AL3045">
        <v>90.085504931303305</v>
      </c>
      <c r="AM3045">
        <v>87.200927845487598</v>
      </c>
      <c r="AN3045">
        <v>0.999999983913608</v>
      </c>
    </row>
    <row r="3046" spans="1:40" x14ac:dyDescent="0.25">
      <c r="A3046" t="str">
        <f>"20190312161021570"</f>
        <v>20190312161021570</v>
      </c>
      <c r="B3046" t="str">
        <f>"1552378221559903"</f>
        <v>1552378221559903</v>
      </c>
      <c r="C3046" t="s">
        <v>40</v>
      </c>
      <c r="D3046">
        <v>5.3764399999999997</v>
      </c>
      <c r="E3046">
        <v>0.4674835</v>
      </c>
      <c r="F3046" t="s">
        <v>74</v>
      </c>
      <c r="G3046">
        <v>-415.21589999999998</v>
      </c>
      <c r="H3046" s="1">
        <v>3.267714E-6</v>
      </c>
      <c r="I3046">
        <v>213.05199999999999</v>
      </c>
      <c r="J3046">
        <v>-432.4323</v>
      </c>
      <c r="K3046">
        <v>1.109993</v>
      </c>
      <c r="L3046">
        <v>212.02690000000001</v>
      </c>
      <c r="M3046">
        <v>0.99972919999999998</v>
      </c>
      <c r="N3046">
        <v>0</v>
      </c>
      <c r="O3046">
        <v>2.2317259999999998E-2</v>
      </c>
      <c r="P3046">
        <v>0.99957479999999999</v>
      </c>
      <c r="Q3046">
        <v>-7.5443619999999998E-3</v>
      </c>
      <c r="R3046">
        <v>-2.8161470000000001E-2</v>
      </c>
      <c r="S3046">
        <v>3.0046390000000001</v>
      </c>
      <c r="T3046">
        <v>-0.1910753</v>
      </c>
      <c r="U3046">
        <v>0.1775513</v>
      </c>
      <c r="V3046">
        <v>5.0464349999999998E-2</v>
      </c>
      <c r="W3046">
        <v>-8.6641189999999996E-4</v>
      </c>
      <c r="X3046">
        <v>0.99872550000000004</v>
      </c>
      <c r="Y3046">
        <v>-3.6667030000000003E-2</v>
      </c>
      <c r="Z3046">
        <v>-2.5257440000000001E-4</v>
      </c>
      <c r="AA3046">
        <v>0.99932750000000004</v>
      </c>
      <c r="AB3046">
        <v>23</v>
      </c>
      <c r="AC3046">
        <v>17.2164</v>
      </c>
      <c r="AD3046">
        <v>-1.109989732286</v>
      </c>
      <c r="AE3046">
        <v>1.0250999999999999</v>
      </c>
      <c r="AF3046">
        <v>-0.63797093743729405</v>
      </c>
      <c r="AG3046">
        <v>-1.109989732286</v>
      </c>
      <c r="AH3046">
        <v>17.1638959310777</v>
      </c>
      <c r="AI3046">
        <v>93.697621177208902</v>
      </c>
      <c r="AJ3046">
        <v>92.128667223081393</v>
      </c>
      <c r="AK3046">
        <v>17.211577721279902</v>
      </c>
      <c r="AL3046">
        <v>90.049641750764195</v>
      </c>
      <c r="AM3046">
        <v>87.107376042585898</v>
      </c>
      <c r="AN3046">
        <v>1.0000000128203701</v>
      </c>
    </row>
    <row r="3047" spans="1:40" x14ac:dyDescent="0.25">
      <c r="A3047" t="str">
        <f>"20190312161021594"</f>
        <v>20190312161021594</v>
      </c>
      <c r="B3047" t="str">
        <f>"1552378221589183"</f>
        <v>1552378221589183</v>
      </c>
      <c r="C3047" t="s">
        <v>40</v>
      </c>
      <c r="D3047">
        <v>5.422504</v>
      </c>
      <c r="E3047">
        <v>0.46708699999999997</v>
      </c>
      <c r="F3047" t="s">
        <v>74</v>
      </c>
      <c r="G3047">
        <v>-415.06819999999999</v>
      </c>
      <c r="H3047" s="1">
        <v>3.2397270000000002E-6</v>
      </c>
      <c r="I3047">
        <v>213.07259999999999</v>
      </c>
      <c r="J3047">
        <v>-432.1927</v>
      </c>
      <c r="K3047">
        <v>1.1099939999999999</v>
      </c>
      <c r="L3047">
        <v>212.0335</v>
      </c>
      <c r="M3047">
        <v>0.99970360000000003</v>
      </c>
      <c r="N3047">
        <v>0</v>
      </c>
      <c r="O3047">
        <v>2.3433010000000001E-2</v>
      </c>
      <c r="P3047">
        <v>0.9995792</v>
      </c>
      <c r="Q3047">
        <v>-7.6092119999999997E-3</v>
      </c>
      <c r="R3047">
        <v>-2.7997999999999999E-2</v>
      </c>
      <c r="S3047">
        <v>3.0049130000000002</v>
      </c>
      <c r="T3047">
        <v>-0.19208729999999999</v>
      </c>
      <c r="U3047">
        <v>0.1809692</v>
      </c>
      <c r="V3047">
        <v>5.141536E-2</v>
      </c>
      <c r="W3047">
        <v>-9.2575440000000001E-4</v>
      </c>
      <c r="X3047">
        <v>0.99867700000000004</v>
      </c>
      <c r="Y3047">
        <v>-3.6680940000000002E-2</v>
      </c>
      <c r="Z3047">
        <v>-3.245791E-4</v>
      </c>
      <c r="AA3047">
        <v>0.99932699999999997</v>
      </c>
      <c r="AB3047">
        <v>23</v>
      </c>
      <c r="AC3047">
        <v>17.124500000000001</v>
      </c>
      <c r="AD3047">
        <v>-1.1099907602729999</v>
      </c>
      <c r="AE3047">
        <v>1.0390999999999899</v>
      </c>
      <c r="AF3047">
        <v>-0.63486972016551302</v>
      </c>
      <c r="AG3047">
        <v>-1.1099907602729999</v>
      </c>
      <c r="AH3047">
        <v>17.072679852231602</v>
      </c>
      <c r="AI3047">
        <v>93.717322719053797</v>
      </c>
      <c r="AJ3047">
        <v>92.129636521917405</v>
      </c>
      <c r="AK3047">
        <v>17.120500471255699</v>
      </c>
      <c r="AL3047">
        <v>90.053041823674107</v>
      </c>
      <c r="AM3047">
        <v>87.0528163493356</v>
      </c>
      <c r="AN3047">
        <v>1.00000007329706</v>
      </c>
    </row>
    <row r="3048" spans="1:40" x14ac:dyDescent="0.25">
      <c r="A3048" t="str">
        <f>"20190312161021616"</f>
        <v>20190312161021616</v>
      </c>
      <c r="B3048" t="str">
        <f>"1552378221608703"</f>
        <v>1552378221608703</v>
      </c>
      <c r="C3048" t="s">
        <v>40</v>
      </c>
      <c r="D3048">
        <v>5.317774</v>
      </c>
      <c r="E3048">
        <v>0.46761639999999999</v>
      </c>
      <c r="F3048" t="s">
        <v>74</v>
      </c>
      <c r="G3048">
        <v>-414.61040000000003</v>
      </c>
      <c r="H3048" s="1">
        <v>3.1548109999999999E-6</v>
      </c>
      <c r="I3048">
        <v>213.11500000000001</v>
      </c>
      <c r="J3048">
        <v>-431.96300000000002</v>
      </c>
      <c r="K3048">
        <v>1.1099939999999999</v>
      </c>
      <c r="L3048">
        <v>212.04</v>
      </c>
      <c r="M3048">
        <v>0.99967799999999996</v>
      </c>
      <c r="N3048">
        <v>0</v>
      </c>
      <c r="O3048">
        <v>2.4498619999999999E-2</v>
      </c>
      <c r="P3048">
        <v>0.99959149999999997</v>
      </c>
      <c r="Q3048">
        <v>-8.6831289999999995E-3</v>
      </c>
      <c r="R3048">
        <v>-2.722873E-2</v>
      </c>
      <c r="S3048">
        <v>3.0050349999999999</v>
      </c>
      <c r="T3048">
        <v>-0.18971160000000001</v>
      </c>
      <c r="U3048">
        <v>0.18484500000000001</v>
      </c>
      <c r="V3048">
        <v>5.1712859999999999E-2</v>
      </c>
      <c r="W3048">
        <v>-1.9933939999999999E-3</v>
      </c>
      <c r="X3048">
        <v>0.99865999999999999</v>
      </c>
      <c r="Y3048">
        <v>-3.6899750000000002E-2</v>
      </c>
      <c r="Z3048">
        <v>-3.8075370000000003E-4</v>
      </c>
      <c r="AA3048">
        <v>0.99931890000000001</v>
      </c>
      <c r="AB3048">
        <v>23</v>
      </c>
      <c r="AC3048">
        <v>17.352599999999899</v>
      </c>
      <c r="AD3048">
        <v>-1.1099908451889999</v>
      </c>
      <c r="AE3048">
        <v>1.0750000000000099</v>
      </c>
      <c r="AF3048">
        <v>-0.64691639030257597</v>
      </c>
      <c r="AG3048">
        <v>-1.1099908451889999</v>
      </c>
      <c r="AH3048">
        <v>17.3031984444596</v>
      </c>
      <c r="AI3048">
        <v>93.667908423179199</v>
      </c>
      <c r="AJ3048">
        <v>92.141125724340995</v>
      </c>
      <c r="AK3048">
        <v>17.350828709338199</v>
      </c>
      <c r="AL3048">
        <v>90.114213139368601</v>
      </c>
      <c r="AM3048">
        <v>87.035743285775197</v>
      </c>
      <c r="AN3048">
        <v>0.99999999455450905</v>
      </c>
    </row>
    <row r="3049" spans="1:40" x14ac:dyDescent="0.25">
      <c r="A3049" t="str">
        <f>"20190312161021639"</f>
        <v>20190312161021639</v>
      </c>
      <c r="B3049" t="str">
        <f>"1552378221629199"</f>
        <v>1552378221629199</v>
      </c>
      <c r="C3049" t="s">
        <v>40</v>
      </c>
      <c r="D3049">
        <v>5.4523859999999997</v>
      </c>
      <c r="E3049">
        <v>0.46744429999999998</v>
      </c>
      <c r="F3049" t="s">
        <v>74</v>
      </c>
      <c r="G3049">
        <v>-414.99200000000002</v>
      </c>
      <c r="H3049" s="1">
        <v>3.2260269999999998E-6</v>
      </c>
      <c r="I3049">
        <v>213.07470000000001</v>
      </c>
      <c r="J3049">
        <v>-431.71260000000001</v>
      </c>
      <c r="K3049">
        <v>1.1099870000000001</v>
      </c>
      <c r="L3049">
        <v>212.04750000000001</v>
      </c>
      <c r="M3049">
        <v>0.99964889999999995</v>
      </c>
      <c r="N3049">
        <v>0</v>
      </c>
      <c r="O3049">
        <v>2.5654989999999999E-2</v>
      </c>
      <c r="P3049">
        <v>0.99959240000000005</v>
      </c>
      <c r="Q3049">
        <v>-9.8896999999999995E-3</v>
      </c>
      <c r="R3049">
        <v>-2.678181E-2</v>
      </c>
      <c r="S3049">
        <v>3.0045470000000001</v>
      </c>
      <c r="T3049">
        <v>-0.1965132</v>
      </c>
      <c r="U3049">
        <v>0.18318180000000001</v>
      </c>
      <c r="V3049">
        <v>5.2423350000000001E-2</v>
      </c>
      <c r="W3049">
        <v>-3.190825E-3</v>
      </c>
      <c r="X3049">
        <v>0.9986199</v>
      </c>
      <c r="Y3049">
        <v>-3.5206809999999998E-2</v>
      </c>
      <c r="Z3049">
        <v>-5.2513970000000001E-4</v>
      </c>
      <c r="AA3049">
        <v>0.99937989999999999</v>
      </c>
      <c r="AB3049">
        <v>23</v>
      </c>
      <c r="AC3049">
        <v>16.720600000000001</v>
      </c>
      <c r="AD3049">
        <v>-1.1099837739730001</v>
      </c>
      <c r="AE3049">
        <v>1.0271999999999899</v>
      </c>
      <c r="AF3049">
        <v>-0.59527222750470399</v>
      </c>
      <c r="AG3049">
        <v>-1.1099837739730001</v>
      </c>
      <c r="AH3049">
        <v>16.6682710595556</v>
      </c>
      <c r="AI3049">
        <v>93.807430696473006</v>
      </c>
      <c r="AJ3049">
        <v>92.045328954069205</v>
      </c>
      <c r="AK3049">
        <v>16.715791130489201</v>
      </c>
      <c r="AL3049">
        <v>90.182821107331705</v>
      </c>
      <c r="AM3049">
        <v>86.994970652454299</v>
      </c>
      <c r="AN3049">
        <v>1.0000000468326999</v>
      </c>
    </row>
    <row r="3050" spans="1:40" x14ac:dyDescent="0.25">
      <c r="A3050" t="str">
        <f>"20190312161021662"</f>
        <v>20190312161021662</v>
      </c>
      <c r="B3050" t="str">
        <f>"1552378221659456"</f>
        <v>1552378221659456</v>
      </c>
      <c r="C3050" t="s">
        <v>40</v>
      </c>
      <c r="D3050">
        <v>5.5669500000000003</v>
      </c>
      <c r="E3050">
        <v>0.46735399999999999</v>
      </c>
      <c r="F3050" t="s">
        <v>74</v>
      </c>
      <c r="G3050">
        <v>-414.34750000000003</v>
      </c>
      <c r="H3050" s="1">
        <v>3.1075170000000002E-6</v>
      </c>
      <c r="I3050">
        <v>213.1225</v>
      </c>
      <c r="J3050">
        <v>-431.4787</v>
      </c>
      <c r="K3050">
        <v>1.109985</v>
      </c>
      <c r="L3050">
        <v>212.05459999999999</v>
      </c>
      <c r="M3050">
        <v>0.99962090000000003</v>
      </c>
      <c r="N3050">
        <v>0</v>
      </c>
      <c r="O3050">
        <v>2.672515E-2</v>
      </c>
      <c r="P3050">
        <v>0.9995967</v>
      </c>
      <c r="Q3050">
        <v>-1.004677E-2</v>
      </c>
      <c r="R3050">
        <v>-2.6566409999999999E-2</v>
      </c>
      <c r="S3050">
        <v>3.0043030000000002</v>
      </c>
      <c r="T3050">
        <v>-0.19203619999999999</v>
      </c>
      <c r="U3050">
        <v>0.1859894</v>
      </c>
      <c r="V3050">
        <v>5.3277310000000001E-2</v>
      </c>
      <c r="W3050">
        <v>-3.3380290000000002E-3</v>
      </c>
      <c r="X3050">
        <v>0.99857419999999997</v>
      </c>
      <c r="Y3050">
        <v>-3.507565E-2</v>
      </c>
      <c r="Z3050">
        <v>-5.8563270000000001E-4</v>
      </c>
      <c r="AA3050">
        <v>0.99938450000000001</v>
      </c>
      <c r="AB3050">
        <v>23</v>
      </c>
      <c r="AC3050">
        <v>17.1311999999999</v>
      </c>
      <c r="AD3050">
        <v>-1.1099818924830001</v>
      </c>
      <c r="AE3050">
        <v>1.0679000000000001</v>
      </c>
      <c r="AF3050">
        <v>-0.60713565801715697</v>
      </c>
      <c r="AG3050">
        <v>-1.1099818924830001</v>
      </c>
      <c r="AH3050">
        <v>17.082185509825699</v>
      </c>
      <c r="AI3050">
        <v>93.715451584916195</v>
      </c>
      <c r="AJ3050">
        <v>92.035551837968697</v>
      </c>
      <c r="AK3050">
        <v>17.128973562387699</v>
      </c>
      <c r="AL3050">
        <v>90.191255324264006</v>
      </c>
      <c r="AM3050">
        <v>86.945972083394594</v>
      </c>
      <c r="AN3050">
        <v>1.0000000235520401</v>
      </c>
    </row>
    <row r="3051" spans="1:40" x14ac:dyDescent="0.25">
      <c r="A3051" t="str">
        <f>"20190312161021683"</f>
        <v>20190312161021683</v>
      </c>
      <c r="B3051" t="str">
        <f>"1552378221678975"</f>
        <v>1552378221678975</v>
      </c>
      <c r="C3051" t="s">
        <v>40</v>
      </c>
      <c r="D3051">
        <v>5.5058949999999998</v>
      </c>
      <c r="E3051">
        <v>0.46730660000000002</v>
      </c>
      <c r="F3051" t="s">
        <v>74</v>
      </c>
      <c r="G3051">
        <v>-413.57560000000001</v>
      </c>
      <c r="H3051" s="1">
        <v>2.9665069999999999E-6</v>
      </c>
      <c r="I3051">
        <v>213.1694</v>
      </c>
      <c r="J3051">
        <v>-431.24990000000003</v>
      </c>
      <c r="K3051">
        <v>1.109977</v>
      </c>
      <c r="L3051">
        <v>212.06190000000001</v>
      </c>
      <c r="M3051">
        <v>0.9995927</v>
      </c>
      <c r="N3051">
        <v>0</v>
      </c>
      <c r="O3051">
        <v>2.775553E-2</v>
      </c>
      <c r="P3051">
        <v>0.99961109999999997</v>
      </c>
      <c r="Q3051">
        <v>-1.0079629999999999E-2</v>
      </c>
      <c r="R3051">
        <v>-2.600191E-2</v>
      </c>
      <c r="S3051">
        <v>3.0042719999999998</v>
      </c>
      <c r="T3051">
        <v>-0.18626319999999999</v>
      </c>
      <c r="U3051">
        <v>0.18705749999999999</v>
      </c>
      <c r="V3051">
        <v>5.3742659999999998E-2</v>
      </c>
      <c r="W3051">
        <v>-3.3608660000000001E-3</v>
      </c>
      <c r="X3051">
        <v>0.99854920000000003</v>
      </c>
      <c r="Y3051">
        <v>-3.4404329999999997E-2</v>
      </c>
      <c r="Z3051">
        <v>-6.525468E-4</v>
      </c>
      <c r="AA3051">
        <v>0.99940779999999996</v>
      </c>
      <c r="AB3051">
        <v>24</v>
      </c>
      <c r="AC3051">
        <v>17.674299999999999</v>
      </c>
      <c r="AD3051">
        <v>-1.1099740334929999</v>
      </c>
      <c r="AE3051">
        <v>1.1074999999999799</v>
      </c>
      <c r="AF3051">
        <v>-0.61409041074620196</v>
      </c>
      <c r="AG3051">
        <v>-1.1099740334929999</v>
      </c>
      <c r="AH3051">
        <v>17.628973026293899</v>
      </c>
      <c r="AI3051">
        <v>93.600583493899805</v>
      </c>
      <c r="AJ3051">
        <v>91.995043488007596</v>
      </c>
      <c r="AK3051">
        <v>17.674553441300802</v>
      </c>
      <c r="AL3051">
        <v>90.192563792724698</v>
      </c>
      <c r="AM3051">
        <v>86.919270894883397</v>
      </c>
      <c r="AN3051">
        <v>1.00000003687239</v>
      </c>
    </row>
    <row r="3052" spans="1:40" x14ac:dyDescent="0.25">
      <c r="A3052" t="str">
        <f>"20190312161021707"</f>
        <v>20190312161021707</v>
      </c>
      <c r="B3052" t="str">
        <f>"1552378221699471"</f>
        <v>1552378221699471</v>
      </c>
      <c r="C3052" t="s">
        <v>40</v>
      </c>
      <c r="D3052">
        <v>5.5011460000000003</v>
      </c>
      <c r="E3052">
        <v>0.4671399</v>
      </c>
      <c r="F3052" t="s">
        <v>74</v>
      </c>
      <c r="G3052">
        <v>-412.91329999999999</v>
      </c>
      <c r="H3052" s="1">
        <v>2.8451029999999898E-6</v>
      </c>
      <c r="I3052">
        <v>213.21420000000001</v>
      </c>
      <c r="J3052">
        <v>-431.00830000000002</v>
      </c>
      <c r="K3052">
        <v>1.1099559999999999</v>
      </c>
      <c r="L3052">
        <v>212.06979999999999</v>
      </c>
      <c r="M3052">
        <v>0.99956259999999997</v>
      </c>
      <c r="N3052">
        <v>0</v>
      </c>
      <c r="O3052">
        <v>2.8814639999999999E-2</v>
      </c>
      <c r="P3052">
        <v>0.99962839999999997</v>
      </c>
      <c r="Q3052">
        <v>-1.0393589999999999E-2</v>
      </c>
      <c r="R3052">
        <v>-2.5199679999999999E-2</v>
      </c>
      <c r="S3052">
        <v>3.0042420000000001</v>
      </c>
      <c r="T3052">
        <v>-0.18185689999999999</v>
      </c>
      <c r="U3052">
        <v>0.18879699999999999</v>
      </c>
      <c r="V3052">
        <v>5.3999560000000002E-2</v>
      </c>
      <c r="W3052">
        <v>-3.6642910000000001E-3</v>
      </c>
      <c r="X3052">
        <v>0.99853429999999999</v>
      </c>
      <c r="Y3052">
        <v>-3.3925829999999997E-2</v>
      </c>
      <c r="Z3052">
        <v>-7.1552880000000005E-4</v>
      </c>
      <c r="AA3052">
        <v>0.99942410000000004</v>
      </c>
      <c r="AB3052">
        <v>24</v>
      </c>
      <c r="AC3052">
        <v>18.094999999999999</v>
      </c>
      <c r="AD3052">
        <v>-1.1099531548970001</v>
      </c>
      <c r="AE3052">
        <v>1.1444000000000101</v>
      </c>
      <c r="AF3052">
        <v>-0.62018808024581495</v>
      </c>
      <c r="AG3052">
        <v>-1.1099531548970001</v>
      </c>
      <c r="AH3052">
        <v>18.052806802702001</v>
      </c>
      <c r="AI3052">
        <v>93.516257826488101</v>
      </c>
      <c r="AJ3052">
        <v>91.967571612910305</v>
      </c>
      <c r="AK3052">
        <v>18.097526425360702</v>
      </c>
      <c r="AL3052">
        <v>90.209948865626899</v>
      </c>
      <c r="AM3052">
        <v>86.904526902444204</v>
      </c>
      <c r="AN3052">
        <v>1.0000000638926001</v>
      </c>
    </row>
    <row r="3053" spans="1:40" x14ac:dyDescent="0.25">
      <c r="A3053" t="str">
        <f>"20190312161021726"</f>
        <v>20190312161021726</v>
      </c>
      <c r="B3053" t="str">
        <f>"1552378221718991"</f>
        <v>1552378221718991</v>
      </c>
      <c r="C3053" t="s">
        <v>40</v>
      </c>
      <c r="D3053">
        <v>5.5019</v>
      </c>
      <c r="E3053">
        <v>0.46696179999999898</v>
      </c>
      <c r="F3053" t="s">
        <v>74</v>
      </c>
      <c r="G3053">
        <v>-412.92410000000001</v>
      </c>
      <c r="H3053" s="1">
        <v>2.8458150000000001E-6</v>
      </c>
      <c r="I3053">
        <v>213.22800000000001</v>
      </c>
      <c r="J3053">
        <v>-430.79109999999997</v>
      </c>
      <c r="K3053">
        <v>1.1099380000000001</v>
      </c>
      <c r="L3053">
        <v>212.0771</v>
      </c>
      <c r="M3053">
        <v>0.99953570000000003</v>
      </c>
      <c r="N3053">
        <v>0</v>
      </c>
      <c r="O3053">
        <v>2.9734010000000002E-2</v>
      </c>
      <c r="P3053">
        <v>0.99962890000000004</v>
      </c>
      <c r="Q3053">
        <v>-1.161044E-2</v>
      </c>
      <c r="R3053">
        <v>-2.4648050000000001E-2</v>
      </c>
      <c r="S3053">
        <v>3.0040589999999998</v>
      </c>
      <c r="T3053">
        <v>-0.1843804</v>
      </c>
      <c r="U3053">
        <v>0.19239809999999999</v>
      </c>
      <c r="V3053">
        <v>5.4368180000000002E-2</v>
      </c>
      <c r="W3053">
        <v>-4.8717630000000003E-3</v>
      </c>
      <c r="X3053">
        <v>0.99850899999999998</v>
      </c>
      <c r="Y3053">
        <v>-3.4204569999999997E-2</v>
      </c>
      <c r="Z3053">
        <v>-7.7318530000000001E-4</v>
      </c>
      <c r="AA3053">
        <v>0.99941460000000004</v>
      </c>
      <c r="AB3053">
        <v>24</v>
      </c>
      <c r="AC3053">
        <v>17.866999999999901</v>
      </c>
      <c r="AD3053">
        <v>-1.10993515418499</v>
      </c>
      <c r="AE3053">
        <v>1.1508999999999701</v>
      </c>
      <c r="AF3053">
        <v>-0.61675148284053605</v>
      </c>
      <c r="AG3053">
        <v>-1.10993515418499</v>
      </c>
      <c r="AH3053">
        <v>17.824816881833101</v>
      </c>
      <c r="AI3053">
        <v>93.561030060897195</v>
      </c>
      <c r="AJ3053">
        <v>91.981684597053004</v>
      </c>
      <c r="AK3053">
        <v>17.8699869980077</v>
      </c>
      <c r="AL3053">
        <v>90.2791325829307</v>
      </c>
      <c r="AM3053">
        <v>86.883358817504103</v>
      </c>
      <c r="AN3053">
        <v>0.99999992807611704</v>
      </c>
    </row>
    <row r="3054" spans="1:40" x14ac:dyDescent="0.25">
      <c r="A3054" t="str">
        <f>"20190312161021749"</f>
        <v>20190312161021749</v>
      </c>
      <c r="B3054" t="str">
        <f>"1552378221739488"</f>
        <v>1552378221739488</v>
      </c>
      <c r="C3054" t="s">
        <v>40</v>
      </c>
      <c r="D3054">
        <v>5.532883</v>
      </c>
      <c r="E3054">
        <v>0.4668099</v>
      </c>
      <c r="F3054" t="s">
        <v>74</v>
      </c>
      <c r="G3054">
        <v>-413.09570000000002</v>
      </c>
      <c r="H3054" s="1">
        <v>2.8761899999999998E-6</v>
      </c>
      <c r="I3054">
        <v>213.2287</v>
      </c>
      <c r="J3054">
        <v>-430.54590000000002</v>
      </c>
      <c r="K3054">
        <v>1.109907</v>
      </c>
      <c r="L3054">
        <v>212.0855</v>
      </c>
      <c r="M3054">
        <v>0.99950530000000004</v>
      </c>
      <c r="N3054">
        <v>0</v>
      </c>
      <c r="O3054">
        <v>3.073511E-2</v>
      </c>
      <c r="P3054">
        <v>0.99963550000000001</v>
      </c>
      <c r="Q3054">
        <v>-1.237309E-2</v>
      </c>
      <c r="R3054">
        <v>-2.4001930000000001E-2</v>
      </c>
      <c r="S3054">
        <v>3.0037539999999998</v>
      </c>
      <c r="T3054">
        <v>-0.18840899999999999</v>
      </c>
      <c r="U3054">
        <v>0.19549559999999999</v>
      </c>
      <c r="V3054">
        <v>5.4723439999999998E-2</v>
      </c>
      <c r="W3054">
        <v>-5.6232629999999999E-3</v>
      </c>
      <c r="X3054">
        <v>0.99848570000000003</v>
      </c>
      <c r="Y3054">
        <v>-3.4237910000000003E-2</v>
      </c>
      <c r="Z3054">
        <v>-8.5166479999999997E-4</v>
      </c>
      <c r="AA3054">
        <v>0.99941340000000001</v>
      </c>
      <c r="AB3054">
        <v>24</v>
      </c>
      <c r="AC3054">
        <v>17.450199999999899</v>
      </c>
      <c r="AD3054">
        <v>-1.10990412381</v>
      </c>
      <c r="AE3054">
        <v>1.1432</v>
      </c>
      <c r="AF3054">
        <v>-0.60388158453596796</v>
      </c>
      <c r="AG3054">
        <v>-1.10990412381</v>
      </c>
      <c r="AH3054">
        <v>17.406974069692801</v>
      </c>
      <c r="AI3054">
        <v>93.646169154448103</v>
      </c>
      <c r="AJ3054">
        <v>91.986904520811393</v>
      </c>
      <c r="AK3054">
        <v>17.4527736017846</v>
      </c>
      <c r="AL3054">
        <v>90.322190939993504</v>
      </c>
      <c r="AM3054">
        <v>86.8629611201887</v>
      </c>
      <c r="AN3054">
        <v>0.99999998453834504</v>
      </c>
    </row>
    <row r="3055" spans="1:40" x14ac:dyDescent="0.25">
      <c r="A3055" t="str">
        <f>"20190312161021815"</f>
        <v>20190312161021815</v>
      </c>
      <c r="B3055" t="str">
        <f>"1552378221808784"</f>
        <v>1552378221808784</v>
      </c>
      <c r="C3055" t="s">
        <v>40</v>
      </c>
      <c r="D3055">
        <v>4.7166980000000001</v>
      </c>
      <c r="E3055">
        <v>0.46668890000000002</v>
      </c>
      <c r="F3055" t="s">
        <v>74</v>
      </c>
      <c r="G3055">
        <v>-412.94240000000002</v>
      </c>
      <c r="H3055" s="1">
        <v>2.847175E-6</v>
      </c>
      <c r="I3055">
        <v>213.24950000000001</v>
      </c>
      <c r="J3055">
        <v>-429.83199999999999</v>
      </c>
      <c r="K3055">
        <v>1.1098269999999999</v>
      </c>
      <c r="L3055">
        <v>212.11099999999999</v>
      </c>
      <c r="M3055">
        <v>0.99942050000000004</v>
      </c>
      <c r="N3055">
        <v>0</v>
      </c>
      <c r="O3055">
        <v>3.3370299999999999E-2</v>
      </c>
      <c r="P3055">
        <v>0.99959549999999997</v>
      </c>
      <c r="Q3055">
        <v>-1.310527E-2</v>
      </c>
      <c r="R3055">
        <v>-2.5245739999999999E-2</v>
      </c>
      <c r="S3055">
        <v>3.003479</v>
      </c>
      <c r="T3055">
        <v>-0.1893697</v>
      </c>
      <c r="U3055">
        <v>0.19859309999999999</v>
      </c>
      <c r="V3055">
        <v>5.8597209999999997E-2</v>
      </c>
      <c r="W3055">
        <v>-6.3186689999999998E-3</v>
      </c>
      <c r="X3055">
        <v>0.99826170000000003</v>
      </c>
      <c r="Y3055">
        <v>-3.2643289999999998E-2</v>
      </c>
      <c r="Z3055">
        <v>-1.0718629999999999E-3</v>
      </c>
      <c r="AA3055">
        <v>0.99946650000000004</v>
      </c>
      <c r="AB3055">
        <v>24</v>
      </c>
      <c r="AC3055">
        <v>16.889599999999898</v>
      </c>
      <c r="AD3055">
        <v>-1.1098241528249999</v>
      </c>
      <c r="AE3055">
        <v>1.1385000000000201</v>
      </c>
      <c r="AF3055">
        <v>-0.57178444244033599</v>
      </c>
      <c r="AG3055">
        <v>-1.1098241528249999</v>
      </c>
      <c r="AH3055">
        <v>16.8457770981008</v>
      </c>
      <c r="AI3055">
        <v>93.767118610062795</v>
      </c>
      <c r="AJ3055">
        <v>91.944004293147202</v>
      </c>
      <c r="AK3055">
        <v>16.8919759986127</v>
      </c>
      <c r="AL3055">
        <v>90.362035478515494</v>
      </c>
      <c r="AM3055">
        <v>86.6406356968739</v>
      </c>
      <c r="AN3055">
        <v>0.99999999014230201</v>
      </c>
    </row>
    <row r="3056" spans="1:40" x14ac:dyDescent="0.25">
      <c r="A3056" t="str">
        <f>"20190312161021841"</f>
        <v>20190312161021841</v>
      </c>
      <c r="B3056" t="str">
        <f>"1552378221829279"</f>
        <v>1552378221829279</v>
      </c>
      <c r="C3056" t="s">
        <v>40</v>
      </c>
      <c r="D3056">
        <v>5.6886640000000002</v>
      </c>
      <c r="E3056">
        <v>0.52242230000000001</v>
      </c>
      <c r="F3056" t="s">
        <v>74</v>
      </c>
      <c r="G3056">
        <v>-412.27199999999999</v>
      </c>
      <c r="H3056" s="1">
        <v>2.727542E-6</v>
      </c>
      <c r="I3056">
        <v>213.2577</v>
      </c>
      <c r="J3056">
        <v>-429.55520000000001</v>
      </c>
      <c r="K3056">
        <v>1.109782</v>
      </c>
      <c r="L3056">
        <v>212.12129999999999</v>
      </c>
      <c r="M3056">
        <v>0.99939069999999997</v>
      </c>
      <c r="N3056">
        <v>0</v>
      </c>
      <c r="O3056">
        <v>3.425131E-2</v>
      </c>
      <c r="P3056">
        <v>0.99958340000000001</v>
      </c>
      <c r="Q3056">
        <v>-1.332846E-2</v>
      </c>
      <c r="R3056">
        <v>-2.560254E-2</v>
      </c>
      <c r="S3056">
        <v>3.0037229999999999</v>
      </c>
      <c r="T3056">
        <v>-0.1898407</v>
      </c>
      <c r="U3056">
        <v>0.19613649999999999</v>
      </c>
      <c r="V3056">
        <v>5.9833049999999999E-2</v>
      </c>
      <c r="W3056">
        <v>-6.5286619999999898E-3</v>
      </c>
      <c r="X3056">
        <v>0.99818709999999999</v>
      </c>
      <c r="Y3056">
        <v>-3.094804E-2</v>
      </c>
      <c r="Z3056">
        <v>-1.1834479999999999E-3</v>
      </c>
      <c r="AA3056">
        <v>0.99952030000000003</v>
      </c>
      <c r="AB3056">
        <v>24</v>
      </c>
      <c r="AC3056">
        <v>17.283200000000001</v>
      </c>
      <c r="AD3056">
        <v>-1.109779272458</v>
      </c>
      <c r="AE3056">
        <v>1.1364000000000001</v>
      </c>
      <c r="AF3056">
        <v>-0.54152445227156598</v>
      </c>
      <c r="AG3056">
        <v>-1.109779272458</v>
      </c>
      <c r="AH3056">
        <v>17.241201362040201</v>
      </c>
      <c r="AI3056">
        <v>93.681115767057705</v>
      </c>
      <c r="AJ3056">
        <v>91.798996959337302</v>
      </c>
      <c r="AK3056">
        <v>17.285366156735101</v>
      </c>
      <c r="AL3056">
        <v>90.3740674164046</v>
      </c>
      <c r="AM3056">
        <v>86.569696963879593</v>
      </c>
      <c r="AN3056">
        <v>1.00000005195311</v>
      </c>
    </row>
    <row r="3057" spans="1:40" x14ac:dyDescent="0.25">
      <c r="A3057" t="str">
        <f>"20190312161021864"</f>
        <v>20190312161021864</v>
      </c>
      <c r="B3057" t="str">
        <f>"1552378221859535"</f>
        <v>1552378221859535</v>
      </c>
      <c r="C3057" t="s">
        <v>40</v>
      </c>
      <c r="D3057">
        <v>5.8600570000000003</v>
      </c>
      <c r="E3057">
        <v>0.49868020000000002</v>
      </c>
      <c r="F3057" t="s">
        <v>42</v>
      </c>
      <c r="G3057">
        <v>-428.85550000000001</v>
      </c>
      <c r="H3057">
        <v>0.91164970000000001</v>
      </c>
      <c r="I3057">
        <v>212.06870000000001</v>
      </c>
      <c r="J3057">
        <v>-429.30470000000003</v>
      </c>
      <c r="K3057">
        <v>1.109731</v>
      </c>
      <c r="L3057">
        <v>212.13059999999999</v>
      </c>
      <c r="M3057">
        <v>0.99936559999999997</v>
      </c>
      <c r="N3057">
        <v>0</v>
      </c>
      <c r="O3057">
        <v>3.4970370000000001E-2</v>
      </c>
      <c r="P3057">
        <v>0.99958539999999996</v>
      </c>
      <c r="Q3057">
        <v>-1.28576E-2</v>
      </c>
      <c r="R3057">
        <v>-2.576113E-2</v>
      </c>
      <c r="S3057">
        <v>2.9842529999999998</v>
      </c>
      <c r="T3057">
        <v>-0.84516930000000001</v>
      </c>
      <c r="U3057">
        <v>-0.22311400000000001</v>
      </c>
      <c r="V3057">
        <v>6.070847E-2</v>
      </c>
      <c r="W3057">
        <v>-6.0466060000000004E-3</v>
      </c>
      <c r="X3057">
        <v>0.99813719999999995</v>
      </c>
      <c r="Y3057">
        <v>0.10394680000000001</v>
      </c>
      <c r="Z3057">
        <v>-2.4118489999999999E-2</v>
      </c>
      <c r="AA3057">
        <v>0.99429040000000002</v>
      </c>
      <c r="AB3057">
        <v>24</v>
      </c>
      <c r="AC3057">
        <v>0.44920000000001797</v>
      </c>
      <c r="AD3057">
        <v>-0.19808129999999999</v>
      </c>
      <c r="AE3057">
        <v>-6.1899999999979999E-2</v>
      </c>
      <c r="AF3057">
        <v>6.5140643868095399E-2</v>
      </c>
      <c r="AG3057">
        <v>-0.19808129999999999</v>
      </c>
      <c r="AH3057">
        <v>0.37516853790323701</v>
      </c>
      <c r="AI3057">
        <v>117.483289667732</v>
      </c>
      <c r="AJ3057">
        <v>80.149915537914296</v>
      </c>
      <c r="AK3057">
        <v>0.42922131438884997</v>
      </c>
      <c r="AL3057">
        <v>90.346447123997805</v>
      </c>
      <c r="AM3057">
        <v>86.519456963326306</v>
      </c>
      <c r="AN3057">
        <v>0.99999997489884895</v>
      </c>
    </row>
    <row r="3058" spans="1:40" x14ac:dyDescent="0.25">
      <c r="A3058" t="str">
        <f>"20190312161021907"</f>
        <v>20190312161021907</v>
      </c>
      <c r="B3058" t="str">
        <f>"1552378221899551"</f>
        <v>1552378221899551</v>
      </c>
      <c r="C3058" t="s">
        <v>40</v>
      </c>
      <c r="D3058">
        <v>5.6681239999999997</v>
      </c>
      <c r="E3058">
        <v>0.48814790000000002</v>
      </c>
      <c r="F3058" t="s">
        <v>74</v>
      </c>
      <c r="G3058">
        <v>-410.43610000000001</v>
      </c>
      <c r="H3058" s="1">
        <v>2.5341180000000001E-6</v>
      </c>
      <c r="I3058">
        <v>211.74520000000001</v>
      </c>
      <c r="J3058">
        <v>-428.83800000000002</v>
      </c>
      <c r="K3058">
        <v>1.109631</v>
      </c>
      <c r="L3058">
        <v>212.14840000000001</v>
      </c>
      <c r="M3058">
        <v>0.99932609999999999</v>
      </c>
      <c r="N3058">
        <v>0</v>
      </c>
      <c r="O3058">
        <v>3.6070989999999997E-2</v>
      </c>
      <c r="P3058">
        <v>0.99956560000000005</v>
      </c>
      <c r="Q3058">
        <v>-1.2115819999999999E-2</v>
      </c>
      <c r="R3058">
        <v>-2.6867990000000001E-2</v>
      </c>
      <c r="S3058">
        <v>2.9974059999999998</v>
      </c>
      <c r="T3058">
        <v>-0.1762881</v>
      </c>
      <c r="U3058">
        <v>-6.123352E-2</v>
      </c>
      <c r="V3058">
        <v>6.2910889999999997E-2</v>
      </c>
      <c r="W3058">
        <v>-5.2748379999999996E-3</v>
      </c>
      <c r="X3058">
        <v>0.99800520000000004</v>
      </c>
      <c r="Y3058">
        <v>5.6315990000000003E-2</v>
      </c>
      <c r="Z3058">
        <v>-3.7737809999999999E-3</v>
      </c>
      <c r="AA3058">
        <v>0.99840589999999996</v>
      </c>
      <c r="AB3058">
        <v>24</v>
      </c>
      <c r="AC3058">
        <v>18.401900000000001</v>
      </c>
      <c r="AD3058">
        <v>-1.1096284658819999</v>
      </c>
      <c r="AE3058">
        <v>-0.403199999999998</v>
      </c>
      <c r="AF3058">
        <v>1.06286491632657</v>
      </c>
      <c r="AG3058">
        <v>-1.1096284658819999</v>
      </c>
      <c r="AH3058">
        <v>18.308839971140401</v>
      </c>
      <c r="AI3058">
        <v>93.462419759783103</v>
      </c>
      <c r="AJ3058">
        <v>86.677593835698005</v>
      </c>
      <c r="AK3058">
        <v>18.373202721667301</v>
      </c>
      <c r="AL3058">
        <v>90.302227359086203</v>
      </c>
      <c r="AM3058">
        <v>86.393039340883107</v>
      </c>
      <c r="AN3058">
        <v>0.99999999161177899</v>
      </c>
    </row>
    <row r="3059" spans="1:40" x14ac:dyDescent="0.25">
      <c r="A3059" t="str">
        <f>"20190312161021928"</f>
        <v>20190312161021928</v>
      </c>
      <c r="B3059" t="str">
        <f>"1552378221919072"</f>
        <v>1552378221919072</v>
      </c>
      <c r="C3059" t="s">
        <v>40</v>
      </c>
      <c r="D3059">
        <v>5.602347</v>
      </c>
      <c r="E3059">
        <v>0.48913079999999998</v>
      </c>
      <c r="F3059" t="s">
        <v>84</v>
      </c>
      <c r="G3059">
        <v>-107.39749999999999</v>
      </c>
      <c r="H3059">
        <v>8.596985E-2</v>
      </c>
      <c r="I3059">
        <v>213.5341</v>
      </c>
      <c r="J3059">
        <v>-428.5949</v>
      </c>
      <c r="K3059">
        <v>1.1095820000000001</v>
      </c>
      <c r="L3059">
        <v>212.15770000000001</v>
      </c>
      <c r="M3059">
        <v>0.99930890000000006</v>
      </c>
      <c r="N3059">
        <v>0</v>
      </c>
      <c r="O3059">
        <v>3.6539870000000002E-2</v>
      </c>
      <c r="P3059">
        <v>0.99955210000000005</v>
      </c>
      <c r="Q3059">
        <v>-1.1908169999999999E-2</v>
      </c>
      <c r="R3059">
        <v>-2.7463729999999999E-2</v>
      </c>
      <c r="S3059">
        <v>3.0015260000000001</v>
      </c>
      <c r="T3059">
        <v>-9.5582010000000005E-3</v>
      </c>
      <c r="U3059">
        <v>1.293945E-2</v>
      </c>
      <c r="V3059">
        <v>6.3973000000000002E-2</v>
      </c>
      <c r="W3059">
        <v>-5.0465220000000003E-3</v>
      </c>
      <c r="X3059">
        <v>0.99793889999999996</v>
      </c>
      <c r="Y3059">
        <v>3.2231999999999997E-2</v>
      </c>
      <c r="Z3059">
        <v>-1.676596E-4</v>
      </c>
      <c r="AA3059">
        <v>0.99948040000000005</v>
      </c>
      <c r="AB3059">
        <v>25</v>
      </c>
      <c r="AC3059">
        <v>321.19740000000002</v>
      </c>
      <c r="AD3059">
        <v>-1.0236121499999999</v>
      </c>
      <c r="AE3059">
        <v>1.3763999999999801</v>
      </c>
      <c r="AF3059">
        <v>10.3611984583923</v>
      </c>
      <c r="AG3059">
        <v>-1.0236121499999999</v>
      </c>
      <c r="AH3059">
        <v>321.02992738759002</v>
      </c>
      <c r="AI3059">
        <v>90.182593366741301</v>
      </c>
      <c r="AJ3059">
        <v>88.151427979471507</v>
      </c>
      <c r="AK3059">
        <v>321.19871807622297</v>
      </c>
      <c r="AL3059">
        <v>90.289145630415803</v>
      </c>
      <c r="AM3059">
        <v>86.3320656977982</v>
      </c>
      <c r="AN3059">
        <v>1.0000000301232499</v>
      </c>
    </row>
    <row r="3060" spans="1:40" x14ac:dyDescent="0.25">
      <c r="A3060" t="str">
        <f>"20190312161021950"</f>
        <v>20190312161021950</v>
      </c>
      <c r="B3060" t="str">
        <f>"1552378221939567"</f>
        <v>1552378221939567</v>
      </c>
      <c r="C3060" t="s">
        <v>40</v>
      </c>
      <c r="D3060">
        <v>5.802009</v>
      </c>
      <c r="E3060">
        <v>0.4912955</v>
      </c>
      <c r="F3060" t="s">
        <v>61</v>
      </c>
      <c r="G3060">
        <v>-374.13380000000001</v>
      </c>
      <c r="H3060" s="1">
        <v>6.6302809999999896E-7</v>
      </c>
      <c r="I3060">
        <v>212.25319999999999</v>
      </c>
      <c r="J3060">
        <v>-428.34690000000001</v>
      </c>
      <c r="K3060">
        <v>1.1095459999999999</v>
      </c>
      <c r="L3060">
        <v>212.16720000000001</v>
      </c>
      <c r="M3060">
        <v>0.99929330000000005</v>
      </c>
      <c r="N3060">
        <v>0</v>
      </c>
      <c r="O3060">
        <v>3.696207E-2</v>
      </c>
      <c r="P3060">
        <v>0.99955179999999999</v>
      </c>
      <c r="Q3060">
        <v>-1.207857E-2</v>
      </c>
      <c r="R3060">
        <v>-2.7396279999999999E-2</v>
      </c>
      <c r="S3060">
        <v>3.0007929999999998</v>
      </c>
      <c r="T3060">
        <v>-6.113768E-2</v>
      </c>
      <c r="U3060">
        <v>5.2642820000000003E-3</v>
      </c>
      <c r="V3060">
        <v>6.4327060000000005E-2</v>
      </c>
      <c r="W3060">
        <v>-5.1926280000000003E-3</v>
      </c>
      <c r="X3060">
        <v>0.99791540000000001</v>
      </c>
      <c r="Y3060">
        <v>3.519481E-2</v>
      </c>
      <c r="Z3060">
        <v>-1.1113519999999999E-3</v>
      </c>
      <c r="AA3060">
        <v>0.99937989999999999</v>
      </c>
      <c r="AB3060">
        <v>25</v>
      </c>
      <c r="AC3060">
        <v>54.213099999999997</v>
      </c>
      <c r="AD3060">
        <v>-1.1095453369718999</v>
      </c>
      <c r="AE3060">
        <v>8.5999999999984297E-2</v>
      </c>
      <c r="AF3060">
        <v>1.91713093232428</v>
      </c>
      <c r="AG3060">
        <v>-1.1095453369718999</v>
      </c>
      <c r="AH3060">
        <v>54.156546982159</v>
      </c>
      <c r="AI3060">
        <v>91.1729624103356</v>
      </c>
      <c r="AJ3060">
        <v>87.972587462278298</v>
      </c>
      <c r="AK3060">
        <v>54.201827117702102</v>
      </c>
      <c r="AL3060">
        <v>90.297516994162706</v>
      </c>
      <c r="AM3060">
        <v>86.3117346973862</v>
      </c>
      <c r="AN3060">
        <v>1.00000003979547</v>
      </c>
    </row>
    <row r="3061" spans="1:40" x14ac:dyDescent="0.25">
      <c r="A3061" t="str">
        <f>"20190312161021974"</f>
        <v>20190312161021974</v>
      </c>
      <c r="B3061" t="str">
        <f>"1552378221968847"</f>
        <v>1552378221968847</v>
      </c>
      <c r="C3061" t="s">
        <v>40</v>
      </c>
      <c r="D3061">
        <v>5.5259029999999996</v>
      </c>
      <c r="E3061">
        <v>0.49471860000000001</v>
      </c>
      <c r="F3061" t="s">
        <v>61</v>
      </c>
      <c r="G3061">
        <v>-384.8845</v>
      </c>
      <c r="H3061" s="1">
        <v>1.1765629999999999E-6</v>
      </c>
      <c r="I3061">
        <v>212.00720000000001</v>
      </c>
      <c r="J3061">
        <v>-428.08670000000001</v>
      </c>
      <c r="K3061">
        <v>1.1095060000000001</v>
      </c>
      <c r="L3061">
        <v>212.1772</v>
      </c>
      <c r="M3061">
        <v>0.99927929999999998</v>
      </c>
      <c r="N3061">
        <v>0</v>
      </c>
      <c r="O3061">
        <v>3.7327560000000003E-2</v>
      </c>
      <c r="P3061">
        <v>0.99954410000000005</v>
      </c>
      <c r="Q3061">
        <v>-1.2344259999999999E-2</v>
      </c>
      <c r="R3061">
        <v>-2.7556359999999998E-2</v>
      </c>
      <c r="S3061">
        <v>3.0001530000000001</v>
      </c>
      <c r="T3061">
        <v>-7.6590539999999999E-2</v>
      </c>
      <c r="U3061">
        <v>-1.1047360000000001E-2</v>
      </c>
      <c r="V3061">
        <v>6.485117E-2</v>
      </c>
      <c r="W3061">
        <v>-5.4288540000000003E-3</v>
      </c>
      <c r="X3061">
        <v>0.99788019999999999</v>
      </c>
      <c r="Y3061">
        <v>4.0982360000000002E-2</v>
      </c>
      <c r="Z3061">
        <v>-1.4756750000000001E-3</v>
      </c>
      <c r="AA3061">
        <v>0.99915880000000001</v>
      </c>
      <c r="AB3061">
        <v>25</v>
      </c>
      <c r="AC3061">
        <v>43.202199999999998</v>
      </c>
      <c r="AD3061">
        <v>-1.109504823437</v>
      </c>
      <c r="AE3061">
        <v>-0.16999999999998699</v>
      </c>
      <c r="AF3061">
        <v>1.7813776733534601</v>
      </c>
      <c r="AG3061">
        <v>-1.109504823437</v>
      </c>
      <c r="AH3061">
        <v>43.137293726596397</v>
      </c>
      <c r="AI3061">
        <v>91.472086616854099</v>
      </c>
      <c r="AJ3061">
        <v>87.635283654398506</v>
      </c>
      <c r="AK3061">
        <v>43.1883134357317</v>
      </c>
      <c r="AL3061">
        <v>90.311051943454999</v>
      </c>
      <c r="AM3061">
        <v>86.281637421032102</v>
      </c>
      <c r="AN3061">
        <v>1.00000002012908</v>
      </c>
    </row>
    <row r="3062" spans="1:40" x14ac:dyDescent="0.25">
      <c r="A3062" t="str">
        <f>"20190312161021997"</f>
        <v>20190312161021997</v>
      </c>
      <c r="B3062" t="str">
        <f>"1552378221989344"</f>
        <v>1552378221989344</v>
      </c>
      <c r="C3062" t="s">
        <v>40</v>
      </c>
      <c r="D3062">
        <v>5.8747420000000004</v>
      </c>
      <c r="E3062">
        <v>0.49497010000000002</v>
      </c>
      <c r="F3062" t="s">
        <v>61</v>
      </c>
      <c r="G3062">
        <v>-388.6832</v>
      </c>
      <c r="H3062" s="1">
        <v>3.2127880000000001E-6</v>
      </c>
      <c r="I3062">
        <v>211.66909999999999</v>
      </c>
      <c r="J3062">
        <v>-427.83319999999998</v>
      </c>
      <c r="K3062">
        <v>1.109475</v>
      </c>
      <c r="L3062">
        <v>212.18700000000001</v>
      </c>
      <c r="M3062">
        <v>0.99926879999999996</v>
      </c>
      <c r="N3062">
        <v>0</v>
      </c>
      <c r="O3062">
        <v>3.7602820000000002E-2</v>
      </c>
      <c r="P3062">
        <v>0.9995212</v>
      </c>
      <c r="Q3062">
        <v>-1.24621E-2</v>
      </c>
      <c r="R3062">
        <v>-2.8325340000000001E-2</v>
      </c>
      <c r="S3062">
        <v>2.9992679999999998</v>
      </c>
      <c r="T3062">
        <v>-8.4451680000000001E-2</v>
      </c>
      <c r="U3062">
        <v>-3.8681029999999998E-2</v>
      </c>
      <c r="V3062">
        <v>6.5893049999999995E-2</v>
      </c>
      <c r="W3062">
        <v>-5.5155760000000003E-3</v>
      </c>
      <c r="X3062">
        <v>0.99781140000000001</v>
      </c>
      <c r="Y3062">
        <v>5.0452329999999997E-2</v>
      </c>
      <c r="Z3062">
        <v>-1.768581E-3</v>
      </c>
      <c r="AA3062">
        <v>0.99872490000000003</v>
      </c>
      <c r="AB3062">
        <v>25</v>
      </c>
      <c r="AC3062">
        <v>39.149999999999899</v>
      </c>
      <c r="AD3062">
        <v>-1.1094717872119999</v>
      </c>
      <c r="AE3062">
        <v>-0.51790000000002501</v>
      </c>
      <c r="AF3062">
        <v>1.98812298229745</v>
      </c>
      <c r="AG3062">
        <v>-1.1094717872119999</v>
      </c>
      <c r="AH3062">
        <v>39.071462656310203</v>
      </c>
      <c r="AI3062">
        <v>91.624431216085299</v>
      </c>
      <c r="AJ3062">
        <v>87.087058237294897</v>
      </c>
      <c r="AK3062">
        <v>39.137740797634201</v>
      </c>
      <c r="AL3062">
        <v>90.316020843624599</v>
      </c>
      <c r="AM3062">
        <v>86.221811192273094</v>
      </c>
      <c r="AN3062">
        <v>0.99999995279343601</v>
      </c>
    </row>
    <row r="3063" spans="1:40" x14ac:dyDescent="0.25">
      <c r="A3063" t="str">
        <f>"20190312161022041"</f>
        <v>20190312161022041</v>
      </c>
      <c r="B3063" t="str">
        <f>"1552378222029360"</f>
        <v>1552378222029360</v>
      </c>
      <c r="C3063" t="s">
        <v>40</v>
      </c>
      <c r="D3063">
        <v>5.8167869999999997</v>
      </c>
      <c r="E3063">
        <v>0.4969788</v>
      </c>
      <c r="F3063" t="s">
        <v>61</v>
      </c>
      <c r="G3063">
        <v>-386.42070000000001</v>
      </c>
      <c r="H3063" s="1">
        <v>2.0121449999999999E-6</v>
      </c>
      <c r="I3063">
        <v>211.59350000000001</v>
      </c>
      <c r="J3063">
        <v>-427.34</v>
      </c>
      <c r="K3063">
        <v>1.1093900000000001</v>
      </c>
      <c r="L3063">
        <v>212.20609999999999</v>
      </c>
      <c r="M3063">
        <v>0.99925600000000003</v>
      </c>
      <c r="N3063">
        <v>0</v>
      </c>
      <c r="O3063">
        <v>3.7927559999999999E-2</v>
      </c>
      <c r="P3063">
        <v>0.99947269999999999</v>
      </c>
      <c r="Q3063">
        <v>-1.2399520000000001E-2</v>
      </c>
      <c r="R3063">
        <v>-3.0014869999999999E-2</v>
      </c>
      <c r="S3063">
        <v>2.9992070000000002</v>
      </c>
      <c r="T3063">
        <v>-8.0351110000000003E-2</v>
      </c>
      <c r="U3063">
        <v>-4.2984010000000003E-2</v>
      </c>
      <c r="V3063">
        <v>6.7902399999999905E-2</v>
      </c>
      <c r="W3063">
        <v>-5.3939840000000001E-3</v>
      </c>
      <c r="X3063">
        <v>0.99767740000000005</v>
      </c>
      <c r="Y3063">
        <v>5.2212269999999998E-2</v>
      </c>
      <c r="Z3063">
        <v>-1.7150290000000001E-3</v>
      </c>
      <c r="AA3063">
        <v>0.99863449999999998</v>
      </c>
      <c r="AB3063">
        <v>25</v>
      </c>
      <c r="AC3063">
        <v>40.9192999999999</v>
      </c>
      <c r="AD3063">
        <v>-1.1093879878549999</v>
      </c>
      <c r="AE3063">
        <v>-0.61259999999998604</v>
      </c>
      <c r="AF3063">
        <v>2.16257717361019</v>
      </c>
      <c r="AG3063">
        <v>-1.1093879878549999</v>
      </c>
      <c r="AH3063">
        <v>40.836611985680797</v>
      </c>
      <c r="AI3063">
        <v>91.553966888294696</v>
      </c>
      <c r="AJ3063">
        <v>86.968629263259302</v>
      </c>
      <c r="AK3063">
        <v>40.908878745432098</v>
      </c>
      <c r="AL3063">
        <v>90.309054012696805</v>
      </c>
      <c r="AM3063">
        <v>86.106426466887399</v>
      </c>
      <c r="AN3063">
        <v>1.00000001272995</v>
      </c>
    </row>
    <row r="3064" spans="1:40" x14ac:dyDescent="0.25">
      <c r="A3064" t="str">
        <f>"20190312161022064"</f>
        <v>20190312161022064</v>
      </c>
      <c r="B3064" t="str">
        <f>"1552378222048880"</f>
        <v>1552378222048880</v>
      </c>
      <c r="C3064" t="s">
        <v>40</v>
      </c>
      <c r="D3064">
        <v>5.937265</v>
      </c>
      <c r="E3064">
        <v>0.49758409999999897</v>
      </c>
      <c r="F3064" t="s">
        <v>61</v>
      </c>
      <c r="G3064">
        <v>-382.28649999999999</v>
      </c>
      <c r="H3064" s="1">
        <v>-1.7239449999999999E-7</v>
      </c>
      <c r="I3064">
        <v>211.2389</v>
      </c>
      <c r="J3064">
        <v>-427.07839999999999</v>
      </c>
      <c r="K3064">
        <v>1.1093500000000001</v>
      </c>
      <c r="L3064">
        <v>212.21610000000001</v>
      </c>
      <c r="M3064">
        <v>0.99925260000000005</v>
      </c>
      <c r="N3064">
        <v>0</v>
      </c>
      <c r="O3064">
        <v>3.8009889999999998E-2</v>
      </c>
      <c r="P3064">
        <v>0.99947269999999999</v>
      </c>
      <c r="Q3064">
        <v>-1.17213E-2</v>
      </c>
      <c r="R3064">
        <v>-3.0286690000000002E-2</v>
      </c>
      <c r="S3064">
        <v>2.9987490000000001</v>
      </c>
      <c r="T3064">
        <v>-7.3840740000000002E-2</v>
      </c>
      <c r="U3064">
        <v>-6.4376829999999996E-2</v>
      </c>
      <c r="V3064">
        <v>6.8255689999999994E-2</v>
      </c>
      <c r="W3064">
        <v>-4.6851569999999997E-3</v>
      </c>
      <c r="X3064">
        <v>0.99765689999999996</v>
      </c>
      <c r="Y3064">
        <v>5.9419989999999999E-2</v>
      </c>
      <c r="Z3064">
        <v>-1.667029E-3</v>
      </c>
      <c r="AA3064">
        <v>0.99823170000000006</v>
      </c>
      <c r="AB3064">
        <v>25</v>
      </c>
      <c r="AC3064">
        <v>44.791899999999998</v>
      </c>
      <c r="AD3064">
        <v>-1.1093501723944901</v>
      </c>
      <c r="AE3064">
        <v>-0.97720000000000995</v>
      </c>
      <c r="AF3064">
        <v>2.67742959311011</v>
      </c>
      <c r="AG3064">
        <v>-1.1093501723944901</v>
      </c>
      <c r="AH3064">
        <v>44.694983413307199</v>
      </c>
      <c r="AI3064">
        <v>91.419272599784904</v>
      </c>
      <c r="AJ3064">
        <v>86.571823117400896</v>
      </c>
      <c r="AK3064">
        <v>44.788847153581202</v>
      </c>
      <c r="AL3064">
        <v>90.268440693797103</v>
      </c>
      <c r="AM3064">
        <v>86.086151182555895</v>
      </c>
      <c r="AN3064">
        <v>1.00000004001554</v>
      </c>
    </row>
    <row r="3065" spans="1:40" x14ac:dyDescent="0.25">
      <c r="A3065" t="str">
        <f>"20190312161022086"</f>
        <v>20190312161022086</v>
      </c>
      <c r="B3065" t="str">
        <f>"1552378222079136"</f>
        <v>1552378222079136</v>
      </c>
      <c r="C3065" t="s">
        <v>40</v>
      </c>
      <c r="D3065">
        <v>5.8315809999999999</v>
      </c>
      <c r="E3065">
        <v>0.49763629999999998</v>
      </c>
      <c r="F3065" t="s">
        <v>61</v>
      </c>
      <c r="G3065">
        <v>-380.71809999999999</v>
      </c>
      <c r="H3065" s="1">
        <v>-1.0024299999999999E-6</v>
      </c>
      <c r="I3065">
        <v>211.1335</v>
      </c>
      <c r="J3065">
        <v>-426.82029999999997</v>
      </c>
      <c r="K3065">
        <v>1.109324</v>
      </c>
      <c r="L3065">
        <v>212.2259</v>
      </c>
      <c r="M3065">
        <v>0.999251</v>
      </c>
      <c r="N3065">
        <v>0</v>
      </c>
      <c r="O3065">
        <v>3.8042859999999998E-2</v>
      </c>
      <c r="P3065">
        <v>0.99948079999999995</v>
      </c>
      <c r="Q3065">
        <v>-1.08313E-2</v>
      </c>
      <c r="R3065">
        <v>-3.034806E-2</v>
      </c>
      <c r="S3065">
        <v>2.9986269999999999</v>
      </c>
      <c r="T3065">
        <v>-7.1753860000000003E-2</v>
      </c>
      <c r="U3065">
        <v>-7.0022580000000001E-2</v>
      </c>
      <c r="V3065">
        <v>6.8349850000000004E-2</v>
      </c>
      <c r="W3065">
        <v>-3.7644269999999999E-3</v>
      </c>
      <c r="X3065">
        <v>0.99765429999999999</v>
      </c>
      <c r="Y3065">
        <v>6.13333E-2</v>
      </c>
      <c r="Z3065">
        <v>-1.643643E-3</v>
      </c>
      <c r="AA3065">
        <v>0.998116</v>
      </c>
      <c r="AB3065">
        <v>25</v>
      </c>
      <c r="AC3065">
        <v>46.102199999999897</v>
      </c>
      <c r="AD3065">
        <v>-1.1093250024300001</v>
      </c>
      <c r="AE3065">
        <v>-1.09239999999999</v>
      </c>
      <c r="AF3065">
        <v>2.8438670683203102</v>
      </c>
      <c r="AG3065">
        <v>-1.1093250024300001</v>
      </c>
      <c r="AH3065">
        <v>46.000647098315099</v>
      </c>
      <c r="AI3065">
        <v>91.378812751173498</v>
      </c>
      <c r="AJ3065">
        <v>86.462343946502003</v>
      </c>
      <c r="AK3065">
        <v>46.101819002367101</v>
      </c>
      <c r="AL3065">
        <v>90.215686291471997</v>
      </c>
      <c r="AM3065">
        <v>86.080758587675305</v>
      </c>
      <c r="AN3065">
        <v>0.99999998760707498</v>
      </c>
    </row>
    <row r="3066" spans="1:40" x14ac:dyDescent="0.25">
      <c r="A3066" t="str">
        <f>"20190312161022106"</f>
        <v>20190312161022106</v>
      </c>
      <c r="B3066" t="str">
        <f>"1552378222099632"</f>
        <v>1552378222099632</v>
      </c>
      <c r="C3066" t="s">
        <v>40</v>
      </c>
      <c r="D3066">
        <v>5.8342619999999998</v>
      </c>
      <c r="E3066">
        <v>0.4976236</v>
      </c>
      <c r="F3066" t="s">
        <v>61</v>
      </c>
      <c r="G3066">
        <v>-378.82260000000002</v>
      </c>
      <c r="H3066" s="1">
        <v>3.1581739999999998E-6</v>
      </c>
      <c r="I3066">
        <v>211.09610000000001</v>
      </c>
      <c r="J3066">
        <v>-426.58749999999998</v>
      </c>
      <c r="K3066">
        <v>1.1093120000000001</v>
      </c>
      <c r="L3066">
        <v>212.23480000000001</v>
      </c>
      <c r="M3066">
        <v>0.99925079999999999</v>
      </c>
      <c r="N3066">
        <v>0</v>
      </c>
      <c r="O3066">
        <v>3.804577E-2</v>
      </c>
      <c r="P3066">
        <v>0.99949849999999996</v>
      </c>
      <c r="Q3066">
        <v>-1.08556E-2</v>
      </c>
      <c r="R3066">
        <v>-2.975419E-2</v>
      </c>
      <c r="S3066">
        <v>2.9986570000000001</v>
      </c>
      <c r="T3066">
        <v>-6.9304820000000003E-2</v>
      </c>
      <c r="U3066">
        <v>-7.0587159999999996E-2</v>
      </c>
      <c r="V3066">
        <v>6.7760029999999999E-2</v>
      </c>
      <c r="W3066">
        <v>-3.7602989999999999E-3</v>
      </c>
      <c r="X3066">
        <v>0.99769459999999999</v>
      </c>
      <c r="Y3066">
        <v>6.1525639999999999E-2</v>
      </c>
      <c r="Z3066">
        <v>-1.58983E-3</v>
      </c>
      <c r="AA3066">
        <v>0.9981042</v>
      </c>
      <c r="AB3066">
        <v>25</v>
      </c>
      <c r="AC3066">
        <v>47.764899999999898</v>
      </c>
      <c r="AD3066">
        <v>-1.109308841826</v>
      </c>
      <c r="AE3066">
        <v>-1.1387</v>
      </c>
      <c r="AF3066">
        <v>2.9535815248974</v>
      </c>
      <c r="AG3066">
        <v>-1.109308841826</v>
      </c>
      <c r="AH3066">
        <v>47.6613000483148</v>
      </c>
      <c r="AI3066">
        <v>91.330757136621997</v>
      </c>
      <c r="AJ3066">
        <v>86.453902338167396</v>
      </c>
      <c r="AK3066">
        <v>47.765612444794002</v>
      </c>
      <c r="AL3066">
        <v>90.215449761918705</v>
      </c>
      <c r="AM3066">
        <v>86.114631815053002</v>
      </c>
      <c r="AN3066">
        <v>1.0000000381916601</v>
      </c>
    </row>
    <row r="3067" spans="1:40" x14ac:dyDescent="0.25">
      <c r="A3067" t="str">
        <f>"20190312161022128"</f>
        <v>20190312161022128</v>
      </c>
      <c r="B3067" t="str">
        <f>"1552378222119152"</f>
        <v>1552378222119152</v>
      </c>
      <c r="C3067" t="s">
        <v>40</v>
      </c>
      <c r="D3067">
        <v>5.8356029999999999</v>
      </c>
      <c r="E3067">
        <v>0.49758920000000001</v>
      </c>
      <c r="F3067" t="s">
        <v>61</v>
      </c>
      <c r="G3067">
        <v>-377.33420000000001</v>
      </c>
      <c r="H3067" s="1">
        <v>2.3661289999999998E-6</v>
      </c>
      <c r="I3067">
        <v>211.10650000000001</v>
      </c>
      <c r="J3067">
        <v>-426.33539999999999</v>
      </c>
      <c r="K3067">
        <v>1.109305</v>
      </c>
      <c r="L3067">
        <v>212.24440000000001</v>
      </c>
      <c r="M3067">
        <v>0.99925109999999995</v>
      </c>
      <c r="N3067">
        <v>0</v>
      </c>
      <c r="O3067">
        <v>3.8030870000000001E-2</v>
      </c>
      <c r="P3067">
        <v>0.9995134</v>
      </c>
      <c r="Q3067">
        <v>-1.06512E-2</v>
      </c>
      <c r="R3067">
        <v>-2.9323120000000001E-2</v>
      </c>
      <c r="S3067">
        <v>2.9987490000000001</v>
      </c>
      <c r="T3067">
        <v>-6.7539450000000001E-2</v>
      </c>
      <c r="U3067">
        <v>-6.8695069999999997E-2</v>
      </c>
      <c r="V3067">
        <v>6.7314860000000004E-2</v>
      </c>
      <c r="W3067">
        <v>-3.5247799999999999E-3</v>
      </c>
      <c r="X3067">
        <v>0.99772550000000004</v>
      </c>
      <c r="Y3067">
        <v>6.0882119999999998E-2</v>
      </c>
      <c r="Z3067">
        <v>-1.541724E-3</v>
      </c>
      <c r="AA3067">
        <v>0.99814380000000003</v>
      </c>
      <c r="AB3067">
        <v>25</v>
      </c>
      <c r="AC3067">
        <v>49.001199999999898</v>
      </c>
      <c r="AD3067">
        <v>-1.1093026338709999</v>
      </c>
      <c r="AE3067">
        <v>-1.1378999999999999</v>
      </c>
      <c r="AF3067">
        <v>2.99914624167265</v>
      </c>
      <c r="AG3067">
        <v>-1.1093026338709999</v>
      </c>
      <c r="AH3067">
        <v>48.89742656456</v>
      </c>
      <c r="AI3067">
        <v>91.297170548222894</v>
      </c>
      <c r="AJ3067">
        <v>86.490133912135207</v>
      </c>
      <c r="AK3067">
        <v>49.001875016666403</v>
      </c>
      <c r="AL3067">
        <v>90.201955447228102</v>
      </c>
      <c r="AM3067">
        <v>86.140199680788896</v>
      </c>
      <c r="AN3067">
        <v>0.99999994390055702</v>
      </c>
    </row>
    <row r="3068" spans="1:40" x14ac:dyDescent="0.25">
      <c r="A3068" t="str">
        <f>"20190312161022152"</f>
        <v>20190312161022152</v>
      </c>
      <c r="B3068" t="str">
        <f>"1552378222139648"</f>
        <v>1552378222139648</v>
      </c>
      <c r="C3068" t="s">
        <v>40</v>
      </c>
      <c r="D3068">
        <v>5.9362579999999996</v>
      </c>
      <c r="E3068">
        <v>0.49756630000000002</v>
      </c>
      <c r="F3068" t="s">
        <v>61</v>
      </c>
      <c r="G3068">
        <v>-375.54700000000003</v>
      </c>
      <c r="H3068" s="1">
        <v>1.4150349999999999E-6</v>
      </c>
      <c r="I3068">
        <v>211.10499999999999</v>
      </c>
      <c r="J3068">
        <v>-426.0761</v>
      </c>
      <c r="K3068">
        <v>1.1093109999999999</v>
      </c>
      <c r="L3068">
        <v>212.2542</v>
      </c>
      <c r="M3068">
        <v>0.99925169999999996</v>
      </c>
      <c r="N3068">
        <v>0</v>
      </c>
      <c r="O3068">
        <v>3.800709E-2</v>
      </c>
      <c r="P3068">
        <v>0.99951509999999999</v>
      </c>
      <c r="Q3068">
        <v>-1.033537E-2</v>
      </c>
      <c r="R3068">
        <v>-2.937766E-2</v>
      </c>
      <c r="S3068">
        <v>2.9988100000000002</v>
      </c>
      <c r="T3068">
        <v>-6.5499070000000006E-2</v>
      </c>
      <c r="U3068">
        <v>-6.7276000000000002E-2</v>
      </c>
      <c r="V3068">
        <v>6.7345680000000005E-2</v>
      </c>
      <c r="W3068">
        <v>-3.1776579999999999E-3</v>
      </c>
      <c r="X3068">
        <v>0.99772470000000002</v>
      </c>
      <c r="Y3068">
        <v>6.0387429999999999E-2</v>
      </c>
      <c r="Z3068">
        <v>-1.489216E-3</v>
      </c>
      <c r="AA3068">
        <v>0.99817389999999995</v>
      </c>
      <c r="AB3068">
        <v>26</v>
      </c>
      <c r="AC3068">
        <v>50.5291</v>
      </c>
      <c r="AD3068">
        <v>-1.1093095849650001</v>
      </c>
      <c r="AE3068">
        <v>-1.1492</v>
      </c>
      <c r="AF3068">
        <v>3.0674054902259802</v>
      </c>
      <c r="AG3068">
        <v>-1.1093095849650001</v>
      </c>
      <c r="AH3068">
        <v>50.424619708397799</v>
      </c>
      <c r="AI3068">
        <v>91.257942855719605</v>
      </c>
      <c r="AJ3068">
        <v>86.518901193743503</v>
      </c>
      <c r="AK3068">
        <v>50.530009073156798</v>
      </c>
      <c r="AL3068">
        <v>90.1820666880609</v>
      </c>
      <c r="AM3068">
        <v>86.138434735945296</v>
      </c>
      <c r="AN3068">
        <v>1.0000000575575501</v>
      </c>
    </row>
    <row r="3069" spans="1:40" x14ac:dyDescent="0.25">
      <c r="A3069" t="str">
        <f>"20190312161022173"</f>
        <v>20190312161022173</v>
      </c>
      <c r="B3069" t="str">
        <f>"1552378222168928"</f>
        <v>1552378222168928</v>
      </c>
      <c r="C3069" t="s">
        <v>40</v>
      </c>
      <c r="D3069">
        <v>5.9016699999999904</v>
      </c>
      <c r="E3069">
        <v>0.4967336</v>
      </c>
      <c r="F3069" t="s">
        <v>61</v>
      </c>
      <c r="G3069">
        <v>-373.76609999999999</v>
      </c>
      <c r="H3069" s="1">
        <v>4.6735369999999999E-7</v>
      </c>
      <c r="I3069">
        <v>211.07910000000001</v>
      </c>
      <c r="J3069">
        <v>-425.83089999999999</v>
      </c>
      <c r="K3069">
        <v>1.109318</v>
      </c>
      <c r="L3069">
        <v>212.2636</v>
      </c>
      <c r="M3069">
        <v>0.99925240000000004</v>
      </c>
      <c r="N3069">
        <v>0</v>
      </c>
      <c r="O3069">
        <v>3.798203E-2</v>
      </c>
      <c r="P3069">
        <v>0.99953599999999998</v>
      </c>
      <c r="Q3069">
        <v>-9.4937609999999999E-3</v>
      </c>
      <c r="R3069">
        <v>-2.894627E-2</v>
      </c>
      <c r="S3069">
        <v>2.9988100000000002</v>
      </c>
      <c r="T3069">
        <v>-6.3594220000000007E-2</v>
      </c>
      <c r="U3069">
        <v>-6.7367549999999998E-2</v>
      </c>
      <c r="V3069">
        <v>6.689051E-2</v>
      </c>
      <c r="W3069">
        <v>-2.3072100000000001E-3</v>
      </c>
      <c r="X3069">
        <v>0.99775769999999997</v>
      </c>
      <c r="Y3069">
        <v>6.0394219999999998E-2</v>
      </c>
      <c r="Z3069">
        <v>-1.445457E-3</v>
      </c>
      <c r="AA3069">
        <v>0.99817350000000005</v>
      </c>
      <c r="AB3069">
        <v>26</v>
      </c>
      <c r="AC3069">
        <v>52.064799999999899</v>
      </c>
      <c r="AD3069">
        <v>-1.1093175326463001</v>
      </c>
      <c r="AE3069">
        <v>-1.1844999999999799</v>
      </c>
      <c r="AF3069">
        <v>3.1597897713602801</v>
      </c>
      <c r="AG3069">
        <v>-1.1093175326463001</v>
      </c>
      <c r="AH3069">
        <v>51.958663100260701</v>
      </c>
      <c r="AI3069">
        <v>91.220824451803296</v>
      </c>
      <c r="AJ3069">
        <v>86.519927212208003</v>
      </c>
      <c r="AK3069">
        <v>52.066472205766203</v>
      </c>
      <c r="AL3069">
        <v>90.132193506688097</v>
      </c>
      <c r="AM3069">
        <v>86.164582252010106</v>
      </c>
      <c r="AN3069">
        <v>1.0000000457276601</v>
      </c>
    </row>
    <row r="3070" spans="1:40" x14ac:dyDescent="0.25">
      <c r="A3070" t="str">
        <f>"20190312161022196"</f>
        <v>20190312161022196</v>
      </c>
      <c r="B3070" t="str">
        <f>"1552378222189424"</f>
        <v>1552378222189424</v>
      </c>
      <c r="C3070" t="s">
        <v>40</v>
      </c>
      <c r="D3070">
        <v>5.7449810000000001</v>
      </c>
      <c r="E3070">
        <v>0.49605640000000001</v>
      </c>
      <c r="F3070" t="s">
        <v>61</v>
      </c>
      <c r="G3070">
        <v>-372.38830000000002</v>
      </c>
      <c r="H3070" s="1">
        <v>-2.658312E-7</v>
      </c>
      <c r="I3070">
        <v>211.208</v>
      </c>
      <c r="J3070">
        <v>-425.56450000000001</v>
      </c>
      <c r="K3070">
        <v>1.109316</v>
      </c>
      <c r="L3070">
        <v>212.27369999999999</v>
      </c>
      <c r="M3070">
        <v>0.99925359999999996</v>
      </c>
      <c r="N3070">
        <v>0</v>
      </c>
      <c r="O3070">
        <v>3.7951319999999997E-2</v>
      </c>
      <c r="P3070">
        <v>0.99955850000000002</v>
      </c>
      <c r="Q3070">
        <v>-8.7897159999999995E-3</v>
      </c>
      <c r="R3070">
        <v>-2.838502E-2</v>
      </c>
      <c r="S3070">
        <v>2.9990839999999999</v>
      </c>
      <c r="T3070">
        <v>-6.2252639999999998E-2</v>
      </c>
      <c r="U3070">
        <v>-5.9234620000000002E-2</v>
      </c>
      <c r="V3070">
        <v>6.6300209999999998E-2</v>
      </c>
      <c r="W3070">
        <v>-1.5718030000000001E-3</v>
      </c>
      <c r="X3070">
        <v>0.99779850000000003</v>
      </c>
      <c r="Y3070">
        <v>5.7657149999999997E-2</v>
      </c>
      <c r="Z3070">
        <v>-1.3858329999999999E-3</v>
      </c>
      <c r="AA3070">
        <v>0.99833550000000004</v>
      </c>
      <c r="AB3070">
        <v>26</v>
      </c>
      <c r="AC3070">
        <v>53.176200000000001</v>
      </c>
      <c r="AD3070">
        <v>-1.1093162658311999</v>
      </c>
      <c r="AE3070">
        <v>-1.0656999999999901</v>
      </c>
      <c r="AF3070">
        <v>3.08175101302295</v>
      </c>
      <c r="AG3070">
        <v>-1.1093162658311999</v>
      </c>
      <c r="AH3070">
        <v>53.074355516520498</v>
      </c>
      <c r="AI3070">
        <v>91.1953618250716</v>
      </c>
      <c r="AJ3070">
        <v>86.676864232720007</v>
      </c>
      <c r="AK3070">
        <v>53.175323086728099</v>
      </c>
      <c r="AL3070">
        <v>90.090057713631595</v>
      </c>
      <c r="AM3070">
        <v>86.198484612001806</v>
      </c>
      <c r="AN3070">
        <v>1.00000001750648</v>
      </c>
    </row>
    <row r="3071" spans="1:40" x14ac:dyDescent="0.25">
      <c r="A3071" t="str">
        <f>"20190312161022218"</f>
        <v>20190312161022218</v>
      </c>
      <c r="B3071" t="str">
        <f>"1552378222208943"</f>
        <v>1552378222208943</v>
      </c>
      <c r="C3071" t="s">
        <v>40</v>
      </c>
      <c r="D3071">
        <v>6.0333360000000003</v>
      </c>
      <c r="E3071">
        <v>0.4955215</v>
      </c>
      <c r="F3071" t="s">
        <v>61</v>
      </c>
      <c r="G3071">
        <v>-374.35320000000002</v>
      </c>
      <c r="H3071" s="1">
        <v>7.7979349999999996E-7</v>
      </c>
      <c r="I3071">
        <v>211.38759999999999</v>
      </c>
      <c r="J3071">
        <v>-425.3023</v>
      </c>
      <c r="K3071">
        <v>1.10931</v>
      </c>
      <c r="L3071">
        <v>212.28360000000001</v>
      </c>
      <c r="M3071">
        <v>0.99925469999999905</v>
      </c>
      <c r="N3071">
        <v>0</v>
      </c>
      <c r="O3071">
        <v>3.791245E-2</v>
      </c>
      <c r="P3071">
        <v>0.99955369999999999</v>
      </c>
      <c r="Q3071">
        <v>-9.3154529999999996E-3</v>
      </c>
      <c r="R3071">
        <v>-2.8382069999999999E-2</v>
      </c>
      <c r="S3071">
        <v>2.999298</v>
      </c>
      <c r="T3071">
        <v>-6.4969540000000006E-2</v>
      </c>
      <c r="U3071">
        <v>-5.1895139999999999E-2</v>
      </c>
      <c r="V3071">
        <v>6.6258010000000006E-2</v>
      </c>
      <c r="W3071">
        <v>-2.0649689999999998E-3</v>
      </c>
      <c r="X3071">
        <v>0.99780040000000003</v>
      </c>
      <c r="Y3071">
        <v>5.5173359999999998E-2</v>
      </c>
      <c r="Z3071">
        <v>-1.418484E-3</v>
      </c>
      <c r="AA3071">
        <v>0.99847580000000002</v>
      </c>
      <c r="AB3071">
        <v>26</v>
      </c>
      <c r="AC3071">
        <v>50.949099999999902</v>
      </c>
      <c r="AD3071">
        <v>-1.1093092202065</v>
      </c>
      <c r="AE3071">
        <v>-0.89600000000001501</v>
      </c>
      <c r="AF3071">
        <v>2.82567277615368</v>
      </c>
      <c r="AG3071">
        <v>-1.1093092202065</v>
      </c>
      <c r="AH3071">
        <v>50.854397987955302</v>
      </c>
      <c r="AI3071">
        <v>91.2476957702373</v>
      </c>
      <c r="AJ3071">
        <v>86.819688654107296</v>
      </c>
      <c r="AK3071">
        <v>50.944919160808197</v>
      </c>
      <c r="AL3071">
        <v>90.118314091057698</v>
      </c>
      <c r="AM3071">
        <v>86.2009043965773</v>
      </c>
      <c r="AN3071">
        <v>1.0000000131131399</v>
      </c>
    </row>
    <row r="3072" spans="1:40" x14ac:dyDescent="0.25">
      <c r="A3072" t="str">
        <f>"20190312161022242"</f>
        <v>20190312161022242</v>
      </c>
      <c r="B3072" t="str">
        <f>"1552378222229439"</f>
        <v>1552378222229439</v>
      </c>
      <c r="C3072" t="s">
        <v>40</v>
      </c>
      <c r="D3072">
        <v>5.760732</v>
      </c>
      <c r="E3072">
        <v>0.4950427</v>
      </c>
      <c r="F3072" t="s">
        <v>61</v>
      </c>
      <c r="G3072">
        <v>-377.2878</v>
      </c>
      <c r="H3072" s="1">
        <v>2.3414390000000002E-6</v>
      </c>
      <c r="I3072">
        <v>211.5257</v>
      </c>
      <c r="J3072">
        <v>-425.03359999999998</v>
      </c>
      <c r="K3072">
        <v>1.109291</v>
      </c>
      <c r="L3072">
        <v>212.2938</v>
      </c>
      <c r="M3072">
        <v>0.99925649999999999</v>
      </c>
      <c r="N3072">
        <v>0</v>
      </c>
      <c r="O3072">
        <v>3.7856279999999999E-2</v>
      </c>
      <c r="P3072">
        <v>0.99953199999999998</v>
      </c>
      <c r="Q3072">
        <v>-9.9393729999999996E-3</v>
      </c>
      <c r="R3072">
        <v>-2.8932570000000001E-2</v>
      </c>
      <c r="S3072">
        <v>2.99939</v>
      </c>
      <c r="T3072">
        <v>-6.9296720000000006E-2</v>
      </c>
      <c r="U3072">
        <v>-4.7348019999999998E-2</v>
      </c>
      <c r="V3072">
        <v>6.6751110000000002E-2</v>
      </c>
      <c r="W3072">
        <v>-2.654862E-3</v>
      </c>
      <c r="X3072">
        <v>0.99776609999999999</v>
      </c>
      <c r="Y3072">
        <v>5.3600790000000002E-2</v>
      </c>
      <c r="Z3072">
        <v>-1.493442E-3</v>
      </c>
      <c r="AA3072">
        <v>0.99856129999999999</v>
      </c>
      <c r="AB3072">
        <v>26</v>
      </c>
      <c r="AC3072">
        <v>47.745799999999903</v>
      </c>
      <c r="AD3072">
        <v>-1.109288658561</v>
      </c>
      <c r="AE3072">
        <v>-0.768100000000004</v>
      </c>
      <c r="AF3072">
        <v>2.5736871095961602</v>
      </c>
      <c r="AG3072">
        <v>-1.109288658561</v>
      </c>
      <c r="AH3072">
        <v>47.656777880481002</v>
      </c>
      <c r="AI3072">
        <v>91.331471740980405</v>
      </c>
      <c r="AJ3072">
        <v>86.9087649451305</v>
      </c>
      <c r="AK3072">
        <v>47.739112524382101</v>
      </c>
      <c r="AL3072">
        <v>90.152112570335902</v>
      </c>
      <c r="AM3072">
        <v>86.172583617079496</v>
      </c>
      <c r="AN3072">
        <v>0.99999997464384005</v>
      </c>
    </row>
    <row r="3073" spans="1:40" x14ac:dyDescent="0.25">
      <c r="A3073" t="str">
        <f>"20190312161022287"</f>
        <v>20190312161022287</v>
      </c>
      <c r="B3073" t="str">
        <f>"1552378222279216"</f>
        <v>1552378222279216</v>
      </c>
      <c r="C3073" t="s">
        <v>40</v>
      </c>
      <c r="D3073">
        <v>5.8531690000000003</v>
      </c>
      <c r="E3073">
        <v>0.49417689999999997</v>
      </c>
      <c r="F3073" t="s">
        <v>61</v>
      </c>
      <c r="G3073">
        <v>-380.10399999999998</v>
      </c>
      <c r="H3073" s="1">
        <v>-1.3502170000000001E-6</v>
      </c>
      <c r="I3073">
        <v>211.61439999999999</v>
      </c>
      <c r="J3073">
        <v>-424.50959999999998</v>
      </c>
      <c r="K3073">
        <v>1.1092550000000001</v>
      </c>
      <c r="L3073">
        <v>212.3134</v>
      </c>
      <c r="M3073">
        <v>0.99926300000000001</v>
      </c>
      <c r="N3073">
        <v>0</v>
      </c>
      <c r="O3073">
        <v>3.7669130000000002E-2</v>
      </c>
      <c r="P3073">
        <v>0.99953449999999999</v>
      </c>
      <c r="Q3073">
        <v>-9.6508600000000007E-3</v>
      </c>
      <c r="R3073">
        <v>-2.8942209999999999E-2</v>
      </c>
      <c r="S3073">
        <v>2.9993289999999999</v>
      </c>
      <c r="T3073">
        <v>-7.4052099999999996E-2</v>
      </c>
      <c r="U3073">
        <v>-4.534912E-2</v>
      </c>
      <c r="V3073">
        <v>6.6573660000000007E-2</v>
      </c>
      <c r="W3073">
        <v>-2.301839E-3</v>
      </c>
      <c r="X3073">
        <v>0.99777879999999997</v>
      </c>
      <c r="Y3073">
        <v>5.2745599999999997E-2</v>
      </c>
      <c r="Z3073">
        <v>-1.5807620000000001E-3</v>
      </c>
      <c r="AA3073">
        <v>0.99860669999999996</v>
      </c>
      <c r="AB3073">
        <v>26</v>
      </c>
      <c r="AC3073">
        <v>44.4055999999999</v>
      </c>
      <c r="AD3073">
        <v>-1.1092563502170001</v>
      </c>
      <c r="AE3073">
        <v>-0.69900000000001195</v>
      </c>
      <c r="AF3073">
        <v>2.3697913700419502</v>
      </c>
      <c r="AG3073">
        <v>-1.1092563502170001</v>
      </c>
      <c r="AH3073">
        <v>44.320101566429003</v>
      </c>
      <c r="AI3073">
        <v>91.431671779577002</v>
      </c>
      <c r="AJ3073">
        <v>86.939315079082306</v>
      </c>
      <c r="AK3073">
        <v>44.397272029333202</v>
      </c>
      <c r="AL3073">
        <v>90.131885783907194</v>
      </c>
      <c r="AM3073">
        <v>86.182776676488203</v>
      </c>
      <c r="AN3073">
        <v>0.99999994219900701</v>
      </c>
    </row>
    <row r="3074" spans="1:40" x14ac:dyDescent="0.25">
      <c r="A3074" t="str">
        <f>"20190312161022330"</f>
        <v>20190312161022330</v>
      </c>
      <c r="B3074" t="str">
        <f>"1552378222319232"</f>
        <v>1552378222319232</v>
      </c>
      <c r="C3074" t="s">
        <v>40</v>
      </c>
      <c r="D3074">
        <v>5.7754919999999998</v>
      </c>
      <c r="E3074">
        <v>0.4936893</v>
      </c>
      <c r="F3074" t="s">
        <v>61</v>
      </c>
      <c r="G3074">
        <v>-382.23570000000001</v>
      </c>
      <c r="H3074" s="1">
        <v>-2.2294329999999999E-7</v>
      </c>
      <c r="I3074">
        <v>211.77619999999999</v>
      </c>
      <c r="J3074">
        <v>-423.99869999999999</v>
      </c>
      <c r="K3074">
        <v>1.1092280000000001</v>
      </c>
      <c r="L3074">
        <v>212.3323</v>
      </c>
      <c r="M3074">
        <v>0.99927299999999997</v>
      </c>
      <c r="N3074">
        <v>0</v>
      </c>
      <c r="O3074">
        <v>3.739116E-2</v>
      </c>
      <c r="P3074">
        <v>0.99948300000000001</v>
      </c>
      <c r="Q3074">
        <v>-9.7834129999999995E-3</v>
      </c>
      <c r="R3074">
        <v>-3.0628639999999999E-2</v>
      </c>
      <c r="S3074">
        <v>2.999603</v>
      </c>
      <c r="T3074">
        <v>-7.8708650000000005E-2</v>
      </c>
      <c r="U3074">
        <v>-3.8116459999999998E-2</v>
      </c>
      <c r="V3074">
        <v>6.7979129999999999E-2</v>
      </c>
      <c r="W3074">
        <v>-2.3764229999999999E-3</v>
      </c>
      <c r="X3074">
        <v>0.99768389999999996</v>
      </c>
      <c r="Y3074">
        <v>5.0056330000000003E-2</v>
      </c>
      <c r="Z3074">
        <v>-1.6374289999999999E-3</v>
      </c>
      <c r="AA3074">
        <v>0.99874499999999999</v>
      </c>
      <c r="AB3074">
        <v>26</v>
      </c>
      <c r="AC3074">
        <v>41.762999999999899</v>
      </c>
      <c r="AD3074">
        <v>-1.1092282229432999</v>
      </c>
      <c r="AE3074">
        <v>-0.55610000000001403</v>
      </c>
      <c r="AF3074">
        <v>2.11582903179773</v>
      </c>
      <c r="AG3074">
        <v>-1.1092282229432999</v>
      </c>
      <c r="AH3074">
        <v>41.683600014785704</v>
      </c>
      <c r="AI3074">
        <v>91.522359933585406</v>
      </c>
      <c r="AJ3074">
        <v>87.094202049203801</v>
      </c>
      <c r="AK3074">
        <v>41.752001508131499</v>
      </c>
      <c r="AL3074">
        <v>90.136159138177405</v>
      </c>
      <c r="AM3074">
        <v>86.1020655852099</v>
      </c>
      <c r="AN3074">
        <v>0.99999998691051994</v>
      </c>
    </row>
    <row r="3075" spans="1:40" x14ac:dyDescent="0.25">
      <c r="A3075" t="str">
        <f>"20190312161022353"</f>
        <v>20190312161022353</v>
      </c>
      <c r="B3075" t="str">
        <f>"1552378222349489"</f>
        <v>1552378222349489</v>
      </c>
      <c r="C3075" t="s">
        <v>40</v>
      </c>
      <c r="D3075">
        <v>5.6477060000000003</v>
      </c>
      <c r="E3075">
        <v>0.49352760000000001</v>
      </c>
      <c r="F3075" t="s">
        <v>61</v>
      </c>
      <c r="G3075">
        <v>-383.97089999999997</v>
      </c>
      <c r="H3075" s="1">
        <v>6.9894569999999996E-7</v>
      </c>
      <c r="I3075">
        <v>211.8109</v>
      </c>
      <c r="J3075">
        <v>-423.73489999999998</v>
      </c>
      <c r="K3075">
        <v>1.109219</v>
      </c>
      <c r="L3075">
        <v>212.34200000000001</v>
      </c>
      <c r="M3075">
        <v>0.99927929999999998</v>
      </c>
      <c r="N3075">
        <v>0</v>
      </c>
      <c r="O3075">
        <v>3.7215440000000002E-2</v>
      </c>
      <c r="P3075">
        <v>0.99947920000000001</v>
      </c>
      <c r="Q3075">
        <v>-9.6909549999999994E-3</v>
      </c>
      <c r="R3075">
        <v>-3.078154E-2</v>
      </c>
      <c r="S3075">
        <v>2.9995120000000002</v>
      </c>
      <c r="T3075">
        <v>-8.3120579999999999E-2</v>
      </c>
      <c r="U3075">
        <v>-3.9077760000000003E-2</v>
      </c>
      <c r="V3075">
        <v>6.7956500000000003E-2</v>
      </c>
      <c r="W3075">
        <v>-2.2547499999999998E-3</v>
      </c>
      <c r="X3075">
        <v>0.99768570000000001</v>
      </c>
      <c r="Y3075">
        <v>5.0197680000000001E-2</v>
      </c>
      <c r="Z3075">
        <v>-1.726322E-3</v>
      </c>
      <c r="AA3075">
        <v>0.99873780000000001</v>
      </c>
      <c r="AB3075">
        <v>26</v>
      </c>
      <c r="AC3075">
        <v>39.764000000000003</v>
      </c>
      <c r="AD3075">
        <v>-1.1092183010543</v>
      </c>
      <c r="AE3075">
        <v>-0.53110000000000901</v>
      </c>
      <c r="AF3075">
        <v>2.0090451554223701</v>
      </c>
      <c r="AG3075">
        <v>-1.1092183010543</v>
      </c>
      <c r="AH3075">
        <v>39.685811557412201</v>
      </c>
      <c r="AI3075">
        <v>91.598953536549899</v>
      </c>
      <c r="AJ3075">
        <v>87.101945972057706</v>
      </c>
      <c r="AK3075">
        <v>39.752110216268498</v>
      </c>
      <c r="AL3075">
        <v>90.129187773114694</v>
      </c>
      <c r="AM3075">
        <v>86.103366203532005</v>
      </c>
      <c r="AN3075">
        <v>0.99999996288714998</v>
      </c>
    </row>
    <row r="3076" spans="1:40" x14ac:dyDescent="0.25">
      <c r="A3076" t="str">
        <f>"20190312161022374"</f>
        <v>20190312161022374</v>
      </c>
      <c r="B3076" t="str">
        <f>"1552378222369008"</f>
        <v>1552378222369008</v>
      </c>
      <c r="C3076" t="s">
        <v>40</v>
      </c>
      <c r="D3076">
        <v>5.9683070000000003</v>
      </c>
      <c r="E3076">
        <v>0.4932223</v>
      </c>
      <c r="F3076" t="s">
        <v>61</v>
      </c>
      <c r="G3076">
        <v>-386.95870000000002</v>
      </c>
      <c r="H3076" s="1">
        <v>2.286091E-6</v>
      </c>
      <c r="I3076">
        <v>211.87559999999999</v>
      </c>
      <c r="J3076">
        <v>-423.48270000000002</v>
      </c>
      <c r="K3076">
        <v>1.1092109999999999</v>
      </c>
      <c r="L3076">
        <v>212.35120000000001</v>
      </c>
      <c r="M3076">
        <v>0.99928589999999995</v>
      </c>
      <c r="N3076">
        <v>0</v>
      </c>
      <c r="O3076">
        <v>3.703178E-2</v>
      </c>
      <c r="P3076">
        <v>0.99948630000000005</v>
      </c>
      <c r="Q3076">
        <v>-9.4822420000000001E-3</v>
      </c>
      <c r="R3076">
        <v>-3.0620459999999999E-2</v>
      </c>
      <c r="S3076">
        <v>2.9994809999999998</v>
      </c>
      <c r="T3076">
        <v>-9.0468290000000007E-2</v>
      </c>
      <c r="U3076">
        <v>-3.8040160000000003E-2</v>
      </c>
      <c r="V3076">
        <v>6.7612510000000001E-2</v>
      </c>
      <c r="W3076">
        <v>-2.0186000000000002E-3</v>
      </c>
      <c r="X3076">
        <v>0.99770959999999997</v>
      </c>
      <c r="Y3076">
        <v>4.9662959999999999E-2</v>
      </c>
      <c r="Z3076">
        <v>-1.8652829999999999E-3</v>
      </c>
      <c r="AA3076">
        <v>0.99876430000000005</v>
      </c>
      <c r="AB3076">
        <v>26</v>
      </c>
      <c r="AC3076">
        <v>36.524000000000001</v>
      </c>
      <c r="AD3076">
        <v>-1.1092087139090001</v>
      </c>
      <c r="AE3076">
        <v>-0.47560000000001401</v>
      </c>
      <c r="AF3076">
        <v>1.82617660777482</v>
      </c>
      <c r="AG3076">
        <v>-1.1092087139090001</v>
      </c>
      <c r="AH3076">
        <v>36.4477236858284</v>
      </c>
      <c r="AI3076">
        <v>91.740954269779493</v>
      </c>
      <c r="AJ3076">
        <v>87.131651122608105</v>
      </c>
      <c r="AK3076">
        <v>36.510297545381597</v>
      </c>
      <c r="AL3076">
        <v>90.115657340679306</v>
      </c>
      <c r="AM3076">
        <v>86.123122915187693</v>
      </c>
      <c r="AN3076">
        <v>0.99999998609330898</v>
      </c>
    </row>
    <row r="3077" spans="1:40" x14ac:dyDescent="0.25">
      <c r="A3077" t="str">
        <f>"20190312161022397"</f>
        <v>20190312161022397</v>
      </c>
      <c r="B3077" t="str">
        <f>"1552378222389504"</f>
        <v>1552378222389504</v>
      </c>
      <c r="C3077" t="s">
        <v>40</v>
      </c>
      <c r="D3077">
        <v>5.9184570000000001</v>
      </c>
      <c r="E3077">
        <v>0.49299140000000002</v>
      </c>
      <c r="F3077" t="s">
        <v>61</v>
      </c>
      <c r="G3077">
        <v>-387.47930000000002</v>
      </c>
      <c r="H3077" s="1">
        <v>2.560672E-6</v>
      </c>
      <c r="I3077">
        <v>211.9314</v>
      </c>
      <c r="J3077">
        <v>-423.21530000000001</v>
      </c>
      <c r="K3077">
        <v>1.1092029999999999</v>
      </c>
      <c r="L3077">
        <v>212.36089999999999</v>
      </c>
      <c r="M3077">
        <v>0.99929330000000005</v>
      </c>
      <c r="N3077">
        <v>0</v>
      </c>
      <c r="O3077">
        <v>3.6827270000000002E-2</v>
      </c>
      <c r="P3077">
        <v>0.99949219999999905</v>
      </c>
      <c r="Q3077">
        <v>-9.5787809999999998E-3</v>
      </c>
      <c r="R3077">
        <v>-3.0398080000000001E-2</v>
      </c>
      <c r="S3077">
        <v>2.999603</v>
      </c>
      <c r="T3077">
        <v>-9.241307E-2</v>
      </c>
      <c r="U3077">
        <v>-3.497314E-2</v>
      </c>
      <c r="V3077">
        <v>6.7186120000000002E-2</v>
      </c>
      <c r="W3077">
        <v>-2.0868029999999999E-3</v>
      </c>
      <c r="X3077">
        <v>0.99773829999999997</v>
      </c>
      <c r="Y3077">
        <v>4.843592E-2</v>
      </c>
      <c r="Z3077">
        <v>-1.8800990000000001E-3</v>
      </c>
      <c r="AA3077">
        <v>0.9988245</v>
      </c>
      <c r="AB3077">
        <v>26</v>
      </c>
      <c r="AC3077">
        <v>35.735999999999898</v>
      </c>
      <c r="AD3077">
        <v>-1.1092004393279999</v>
      </c>
      <c r="AE3077">
        <v>-0.42949999999999</v>
      </c>
      <c r="AF3077">
        <v>1.7436256596252999</v>
      </c>
      <c r="AG3077">
        <v>-1.1092004393279999</v>
      </c>
      <c r="AH3077">
        <v>35.661587673646501</v>
      </c>
      <c r="AI3077">
        <v>91.779401053151403</v>
      </c>
      <c r="AJ3077">
        <v>87.200828586484505</v>
      </c>
      <c r="AK3077">
        <v>35.721413626292602</v>
      </c>
      <c r="AL3077">
        <v>90.119565088679096</v>
      </c>
      <c r="AM3077">
        <v>86.147608592344497</v>
      </c>
      <c r="AN3077">
        <v>1.0000000223771499</v>
      </c>
    </row>
    <row r="3078" spans="1:40" x14ac:dyDescent="0.25">
      <c r="A3078" t="str">
        <f>"20190312161022419"</f>
        <v>20190312161022419</v>
      </c>
      <c r="B3078" t="str">
        <f>"1552378222409023"</f>
        <v>1552378222409023</v>
      </c>
      <c r="C3078" t="s">
        <v>40</v>
      </c>
      <c r="D3078">
        <v>5.6960470000000001</v>
      </c>
      <c r="E3078">
        <v>0.49269879999999999</v>
      </c>
      <c r="F3078" t="s">
        <v>61</v>
      </c>
      <c r="G3078">
        <v>-388.46859999999998</v>
      </c>
      <c r="H3078" s="1">
        <v>3.0847610000000001E-6</v>
      </c>
      <c r="I3078">
        <v>211.98570000000001</v>
      </c>
      <c r="J3078">
        <v>-422.94639999999998</v>
      </c>
      <c r="K3078">
        <v>1.109202</v>
      </c>
      <c r="L3078">
        <v>212.3706</v>
      </c>
      <c r="M3078">
        <v>0.99930079999999999</v>
      </c>
      <c r="N3078">
        <v>0</v>
      </c>
      <c r="O3078">
        <v>3.6616950000000002E-2</v>
      </c>
      <c r="P3078">
        <v>0.99949350000000003</v>
      </c>
      <c r="Q3078">
        <v>-9.6405989999999997E-3</v>
      </c>
      <c r="R3078">
        <v>-3.0332089999999999E-2</v>
      </c>
      <c r="S3078">
        <v>2.9996640000000001</v>
      </c>
      <c r="T3078">
        <v>-9.5756649999999999E-2</v>
      </c>
      <c r="U3078">
        <v>-3.2394409999999998E-2</v>
      </c>
      <c r="V3078">
        <v>6.6910449999999996E-2</v>
      </c>
      <c r="W3078">
        <v>-2.1212549999999998E-3</v>
      </c>
      <c r="X3078">
        <v>0.99775670000000005</v>
      </c>
      <c r="Y3078">
        <v>4.7364570000000002E-2</v>
      </c>
      <c r="Z3078">
        <v>-1.9242479999999999E-3</v>
      </c>
      <c r="AA3078">
        <v>0.99887579999999998</v>
      </c>
      <c r="AB3078">
        <v>26</v>
      </c>
      <c r="AC3078">
        <v>34.477800000000002</v>
      </c>
      <c r="AD3078">
        <v>-1.109198915239</v>
      </c>
      <c r="AE3078">
        <v>-0.38489999999998697</v>
      </c>
      <c r="AF3078">
        <v>1.6454469685806301</v>
      </c>
      <c r="AG3078">
        <v>-1.109198915239</v>
      </c>
      <c r="AH3078">
        <v>34.4049780564131</v>
      </c>
      <c r="AI3078">
        <v>91.844440338302306</v>
      </c>
      <c r="AJ3078">
        <v>87.2618676097986</v>
      </c>
      <c r="AK3078">
        <v>34.462157985567998</v>
      </c>
      <c r="AL3078">
        <v>90.121539053539394</v>
      </c>
      <c r="AM3078">
        <v>86.163438497801394</v>
      </c>
      <c r="AN3078">
        <v>0.99999997021843301</v>
      </c>
    </row>
    <row r="3079" spans="1:40" x14ac:dyDescent="0.25">
      <c r="A3079" t="str">
        <f>"20190312161022444"</f>
        <v>20190312161022444</v>
      </c>
      <c r="B3079" t="str">
        <f>"1552378222429523"</f>
        <v>1552378222429523</v>
      </c>
      <c r="C3079" t="s">
        <v>40</v>
      </c>
      <c r="D3079">
        <v>6.0837490000000001</v>
      </c>
      <c r="E3079">
        <v>0.49260280000000001</v>
      </c>
      <c r="F3079" t="s">
        <v>61</v>
      </c>
      <c r="G3079">
        <v>-388.63850000000002</v>
      </c>
      <c r="H3079" s="1">
        <v>3.173225E-6</v>
      </c>
      <c r="I3079">
        <v>212.02979999999999</v>
      </c>
      <c r="J3079">
        <v>-422.65550000000002</v>
      </c>
      <c r="K3079">
        <v>1.1092</v>
      </c>
      <c r="L3079">
        <v>212.381</v>
      </c>
      <c r="M3079">
        <v>0.999309</v>
      </c>
      <c r="N3079">
        <v>0</v>
      </c>
      <c r="O3079">
        <v>3.6387330000000002E-2</v>
      </c>
      <c r="P3079">
        <v>0.99949750000000004</v>
      </c>
      <c r="Q3079">
        <v>-1.009118E-2</v>
      </c>
      <c r="R3079">
        <v>-3.004772E-2</v>
      </c>
      <c r="S3079">
        <v>2.999695</v>
      </c>
      <c r="T3079">
        <v>-9.6981999999999999E-2</v>
      </c>
      <c r="U3079">
        <v>-2.9800420000000001E-2</v>
      </c>
      <c r="V3079">
        <v>6.6396930000000007E-2</v>
      </c>
      <c r="W3079">
        <v>-2.5430209999999999E-3</v>
      </c>
      <c r="X3079">
        <v>0.99778999999999995</v>
      </c>
      <c r="Y3079">
        <v>4.6270810000000002E-2</v>
      </c>
      <c r="Z3079">
        <v>-1.923749E-3</v>
      </c>
      <c r="AA3079">
        <v>0.99892709999999996</v>
      </c>
      <c r="AB3079">
        <v>27</v>
      </c>
      <c r="AC3079">
        <v>34.017000000000003</v>
      </c>
      <c r="AD3079">
        <v>-1.1091968267750001</v>
      </c>
      <c r="AE3079">
        <v>-0.35119999999997698</v>
      </c>
      <c r="AF3079">
        <v>1.5871035232331001</v>
      </c>
      <c r="AG3079">
        <v>-1.1091968267750001</v>
      </c>
      <c r="AH3079">
        <v>33.945603779962298</v>
      </c>
      <c r="AI3079">
        <v>91.869473861026705</v>
      </c>
      <c r="AJ3079">
        <v>87.323124340401606</v>
      </c>
      <c r="AK3079">
        <v>34.0007828024617</v>
      </c>
      <c r="AL3079">
        <v>90.1457045345973</v>
      </c>
      <c r="AM3079">
        <v>86.192922849971794</v>
      </c>
      <c r="AN3079">
        <v>0.99999995168461397</v>
      </c>
    </row>
    <row r="3080" spans="1:40" x14ac:dyDescent="0.25">
      <c r="A3080" t="str">
        <f>"20190312161022487"</f>
        <v>20190312161022487</v>
      </c>
      <c r="B3080" t="str">
        <f>"1552378222479295"</f>
        <v>1552378222479295</v>
      </c>
      <c r="C3080" t="s">
        <v>40</v>
      </c>
      <c r="D3080">
        <v>5.8906780000000003</v>
      </c>
      <c r="E3080">
        <v>0.52126419999999996</v>
      </c>
      <c r="F3080" t="s">
        <v>61</v>
      </c>
      <c r="G3080">
        <v>-389.43849999999998</v>
      </c>
      <c r="H3080" s="1">
        <v>3.5971409999999999E-6</v>
      </c>
      <c r="I3080">
        <v>212.07149999999999</v>
      </c>
      <c r="J3080">
        <v>-422.14069999999998</v>
      </c>
      <c r="K3080">
        <v>1.1092029999999999</v>
      </c>
      <c r="L3080">
        <v>212.39930000000001</v>
      </c>
      <c r="M3080">
        <v>0.99932319999999997</v>
      </c>
      <c r="N3080">
        <v>0</v>
      </c>
      <c r="O3080">
        <v>3.5981930000000002E-2</v>
      </c>
      <c r="P3080">
        <v>0.99949160000000004</v>
      </c>
      <c r="Q3080">
        <v>-1.010687E-2</v>
      </c>
      <c r="R3080">
        <v>-3.0244630000000002E-2</v>
      </c>
      <c r="S3080">
        <v>2.999695</v>
      </c>
      <c r="T3080">
        <v>-0.1001672</v>
      </c>
      <c r="U3080">
        <v>-2.7954099999999999E-2</v>
      </c>
      <c r="V3080">
        <v>6.6188670000000005E-2</v>
      </c>
      <c r="W3080">
        <v>-2.5107409999999999E-3</v>
      </c>
      <c r="X3080">
        <v>0.99780400000000002</v>
      </c>
      <c r="Y3080">
        <v>4.5248690000000001E-2</v>
      </c>
      <c r="Z3080">
        <v>-1.9563110000000001E-3</v>
      </c>
      <c r="AA3080">
        <v>0.99897380000000002</v>
      </c>
      <c r="AB3080">
        <v>27</v>
      </c>
      <c r="AC3080">
        <v>32.702199999999998</v>
      </c>
      <c r="AD3080">
        <v>-1.109199402859</v>
      </c>
      <c r="AE3080">
        <v>-0.32780000000002402</v>
      </c>
      <c r="AF3080">
        <v>1.5025819127938</v>
      </c>
      <c r="AG3080">
        <v>-1.109199402859</v>
      </c>
      <c r="AH3080">
        <v>32.631689781069099</v>
      </c>
      <c r="AI3080">
        <v>91.944759667666204</v>
      </c>
      <c r="AJ3080">
        <v>87.363580213373496</v>
      </c>
      <c r="AK3080">
        <v>32.685092223946498</v>
      </c>
      <c r="AL3080">
        <v>90.1438550091232</v>
      </c>
      <c r="AM3080">
        <v>86.204882234694907</v>
      </c>
      <c r="AN3080">
        <v>1.0000000331363601</v>
      </c>
    </row>
    <row r="3081" spans="1:40" x14ac:dyDescent="0.25">
      <c r="A3081" t="str">
        <f>"20190312161022508"</f>
        <v>20190312161022508</v>
      </c>
      <c r="B3081" t="str">
        <f>"1552378222498816"</f>
        <v>1552378222498816</v>
      </c>
      <c r="C3081" t="s">
        <v>40</v>
      </c>
      <c r="D3081">
        <v>5.9351399999999996</v>
      </c>
      <c r="E3081">
        <v>0.52263369999999998</v>
      </c>
      <c r="F3081" t="s">
        <v>42</v>
      </c>
      <c r="G3081">
        <v>-421.2432</v>
      </c>
      <c r="H3081">
        <v>0.96161529999999995</v>
      </c>
      <c r="I3081">
        <v>212.3272</v>
      </c>
      <c r="J3081">
        <v>-421.88049999999998</v>
      </c>
      <c r="K3081">
        <v>1.1092010000000001</v>
      </c>
      <c r="L3081">
        <v>212.4084</v>
      </c>
      <c r="M3081">
        <v>0.99933050000000001</v>
      </c>
      <c r="N3081">
        <v>0</v>
      </c>
      <c r="O3081">
        <v>3.5778589999999999E-2</v>
      </c>
      <c r="P3081">
        <v>0.99949560000000004</v>
      </c>
      <c r="Q3081">
        <v>-1.023434E-2</v>
      </c>
      <c r="R3081">
        <v>-3.0072950000000001E-2</v>
      </c>
      <c r="S3081">
        <v>2.989258</v>
      </c>
      <c r="T3081">
        <v>-0.49150680000000002</v>
      </c>
      <c r="U3081">
        <v>-0.24049380000000001</v>
      </c>
      <c r="V3081">
        <v>6.5814120000000004E-2</v>
      </c>
      <c r="W3081">
        <v>-2.6147539999999999E-3</v>
      </c>
      <c r="X3081">
        <v>0.99782850000000001</v>
      </c>
      <c r="Y3081">
        <v>0.11380949999999999</v>
      </c>
      <c r="Z3081">
        <v>-1.5115150000000001E-2</v>
      </c>
      <c r="AA3081">
        <v>0.99338760000000004</v>
      </c>
      <c r="AB3081">
        <v>27</v>
      </c>
      <c r="AC3081">
        <v>0.63729999999998199</v>
      </c>
      <c r="AD3081">
        <v>-0.14758569999999999</v>
      </c>
      <c r="AE3081">
        <v>-8.1199999999995498E-2</v>
      </c>
      <c r="AF3081">
        <v>9.8739639816370101E-2</v>
      </c>
      <c r="AG3081">
        <v>-0.14758569999999999</v>
      </c>
      <c r="AH3081">
        <v>0.60220672572253497</v>
      </c>
      <c r="AI3081">
        <v>103.595671803263</v>
      </c>
      <c r="AJ3081">
        <v>80.688463812985901</v>
      </c>
      <c r="AK3081">
        <v>0.62784074081012997</v>
      </c>
      <c r="AL3081">
        <v>90.149814535576397</v>
      </c>
      <c r="AM3081">
        <v>86.226388295126796</v>
      </c>
      <c r="AN3081">
        <v>1.0000000253710499</v>
      </c>
    </row>
    <row r="3082" spans="1:40" x14ac:dyDescent="0.25">
      <c r="A3082" t="str">
        <f>"20190312161022531"</f>
        <v>20190312161022531</v>
      </c>
      <c r="B3082" t="str">
        <f>"1552378222519316"</f>
        <v>1552378222519316</v>
      </c>
      <c r="C3082" t="s">
        <v>40</v>
      </c>
      <c r="D3082">
        <v>5.8398469999999998</v>
      </c>
      <c r="E3082">
        <v>0.52377549999999995</v>
      </c>
      <c r="F3082" t="s">
        <v>42</v>
      </c>
      <c r="G3082">
        <v>-421.00170000000003</v>
      </c>
      <c r="H3082">
        <v>0.96263430000000005</v>
      </c>
      <c r="I3082">
        <v>212.33449999999999</v>
      </c>
      <c r="J3082">
        <v>-421.6121</v>
      </c>
      <c r="K3082">
        <v>1.1091979999999999</v>
      </c>
      <c r="L3082">
        <v>212.4178</v>
      </c>
      <c r="M3082">
        <v>0.99933780000000005</v>
      </c>
      <c r="N3082">
        <v>0</v>
      </c>
      <c r="O3082">
        <v>3.5570230000000001E-2</v>
      </c>
      <c r="P3082">
        <v>0.99950439999999996</v>
      </c>
      <c r="Q3082">
        <v>-1.0379940000000001E-2</v>
      </c>
      <c r="R3082">
        <v>-2.9726490000000001E-2</v>
      </c>
      <c r="S3082">
        <v>2.9888309999999998</v>
      </c>
      <c r="T3082">
        <v>-0.49858190000000002</v>
      </c>
      <c r="U3082">
        <v>-0.25056460000000003</v>
      </c>
      <c r="V3082">
        <v>6.526013E-2</v>
      </c>
      <c r="W3082">
        <v>-2.7368990000000001E-3</v>
      </c>
      <c r="X3082">
        <v>0.99786450000000004</v>
      </c>
      <c r="Y3082">
        <v>0.1168418</v>
      </c>
      <c r="Z3082">
        <v>-1.5546249999999999E-2</v>
      </c>
      <c r="AA3082">
        <v>0.99302889999999999</v>
      </c>
      <c r="AB3082">
        <v>27</v>
      </c>
      <c r="AC3082">
        <v>0.61039999999996997</v>
      </c>
      <c r="AD3082">
        <v>-0.14656369999999899</v>
      </c>
      <c r="AE3082">
        <v>-8.3300000000008298E-2</v>
      </c>
      <c r="AF3082">
        <v>9.9337564552202398E-2</v>
      </c>
      <c r="AG3082">
        <v>-0.14656369999999899</v>
      </c>
      <c r="AH3082">
        <v>0.57453254772667395</v>
      </c>
      <c r="AI3082">
        <v>104.110155963574</v>
      </c>
      <c r="AJ3082">
        <v>80.190455878473898</v>
      </c>
      <c r="AK3082">
        <v>0.60119590674434498</v>
      </c>
      <c r="AL3082">
        <v>90.156812962478696</v>
      </c>
      <c r="AM3082">
        <v>86.258196638897402</v>
      </c>
      <c r="AN3082">
        <v>0.99999996777200095</v>
      </c>
    </row>
    <row r="3083" spans="1:40" x14ac:dyDescent="0.25">
      <c r="A3083" t="str">
        <f>"20190312161022576"</f>
        <v>20190312161022576</v>
      </c>
      <c r="B3083" t="str">
        <f>"1552378222569421"</f>
        <v>1552378222569421</v>
      </c>
      <c r="C3083" t="s">
        <v>40</v>
      </c>
      <c r="D3083">
        <v>5.9442959999999996</v>
      </c>
      <c r="E3083">
        <v>0.52534609999999904</v>
      </c>
      <c r="F3083" t="s">
        <v>42</v>
      </c>
      <c r="G3083">
        <v>-420.75959999999998</v>
      </c>
      <c r="H3083">
        <v>0.96396490000000001</v>
      </c>
      <c r="I3083">
        <v>212.3442</v>
      </c>
      <c r="J3083">
        <v>-421.07319999999999</v>
      </c>
      <c r="K3083">
        <v>1.10921</v>
      </c>
      <c r="L3083">
        <v>212.4365</v>
      </c>
      <c r="M3083">
        <v>0.99935209999999997</v>
      </c>
      <c r="N3083">
        <v>0</v>
      </c>
      <c r="O3083">
        <v>3.5154890000000001E-2</v>
      </c>
      <c r="P3083">
        <v>0.99954489999999996</v>
      </c>
      <c r="Q3083">
        <v>-9.2700330000000004E-3</v>
      </c>
      <c r="R3083">
        <v>-2.8710980000000001E-2</v>
      </c>
      <c r="S3083">
        <v>2.9884949999999999</v>
      </c>
      <c r="T3083">
        <v>-0.50914490000000001</v>
      </c>
      <c r="U3083">
        <v>-0.25801089999999999</v>
      </c>
      <c r="V3083">
        <v>6.3832570000000005E-2</v>
      </c>
      <c r="W3083">
        <v>-1.580985E-3</v>
      </c>
      <c r="X3083">
        <v>0.99795940000000005</v>
      </c>
      <c r="Y3083">
        <v>0.1187839</v>
      </c>
      <c r="Z3083">
        <v>-1.5965E-2</v>
      </c>
      <c r="AA3083">
        <v>0.9927918</v>
      </c>
      <c r="AB3083">
        <v>27</v>
      </c>
      <c r="AC3083">
        <v>0.31360000000000798</v>
      </c>
      <c r="AD3083">
        <v>-0.14524509999999999</v>
      </c>
      <c r="AE3083">
        <v>-9.2299999999994498E-2</v>
      </c>
      <c r="AF3083">
        <v>8.6242632730667998E-2</v>
      </c>
      <c r="AG3083">
        <v>-0.14524509999999999</v>
      </c>
      <c r="AH3083">
        <v>0.25902663936426301</v>
      </c>
      <c r="AI3083">
        <v>118.013893517979</v>
      </c>
      <c r="AJ3083">
        <v>71.58487761117</v>
      </c>
      <c r="AK3083">
        <v>0.309238954005913</v>
      </c>
      <c r="AL3083">
        <v>90.090583802966705</v>
      </c>
      <c r="AM3083">
        <v>86.340170413628599</v>
      </c>
      <c r="AN3083">
        <v>1.00000003027736</v>
      </c>
    </row>
    <row r="3084" spans="1:40" x14ac:dyDescent="0.25">
      <c r="A3084" t="str">
        <f>"20190312161022598"</f>
        <v>20190312161022598</v>
      </c>
      <c r="B3084" t="str">
        <f>"1552378222588941"</f>
        <v>1552378222588941</v>
      </c>
      <c r="C3084" t="s">
        <v>40</v>
      </c>
      <c r="D3084">
        <v>5.8884230000000004</v>
      </c>
      <c r="E3084">
        <v>0.52594830000000004</v>
      </c>
      <c r="F3084" t="s">
        <v>42</v>
      </c>
      <c r="G3084">
        <v>-420.27080000000001</v>
      </c>
      <c r="H3084">
        <v>0.97271110000000005</v>
      </c>
      <c r="I3084">
        <v>212.36449999999999</v>
      </c>
      <c r="J3084">
        <v>-420.79059999999998</v>
      </c>
      <c r="K3084">
        <v>1.1092139999999999</v>
      </c>
      <c r="L3084">
        <v>212.4462</v>
      </c>
      <c r="M3084">
        <v>0.99935949999999996</v>
      </c>
      <c r="N3084">
        <v>0</v>
      </c>
      <c r="O3084">
        <v>3.4937900000000001E-2</v>
      </c>
      <c r="P3084">
        <v>0.99955059999999996</v>
      </c>
      <c r="Q3084">
        <v>-9.5094419999999999E-3</v>
      </c>
      <c r="R3084">
        <v>-2.8432289999999999E-2</v>
      </c>
      <c r="S3084">
        <v>2.9889830000000002</v>
      </c>
      <c r="T3084">
        <v>-0.50844809999999996</v>
      </c>
      <c r="U3084">
        <v>-0.2672119</v>
      </c>
      <c r="V3084">
        <v>6.3337379999999999E-2</v>
      </c>
      <c r="W3084">
        <v>-1.7972820000000001E-3</v>
      </c>
      <c r="X3084">
        <v>0.9979905</v>
      </c>
      <c r="Y3084">
        <v>0.1215576</v>
      </c>
      <c r="Z3084">
        <v>-1.6136069999999999E-2</v>
      </c>
      <c r="AA3084">
        <v>0.99245320000000004</v>
      </c>
      <c r="AB3084">
        <v>27</v>
      </c>
      <c r="AC3084">
        <v>0.51979999999997495</v>
      </c>
      <c r="AD3084">
        <v>-0.13650289999999901</v>
      </c>
      <c r="AE3084">
        <v>-8.1700000000012096E-2</v>
      </c>
      <c r="AF3084">
        <v>9.3517677588631803E-2</v>
      </c>
      <c r="AG3084">
        <v>-0.13650289999999901</v>
      </c>
      <c r="AH3084">
        <v>0.48405162834444598</v>
      </c>
      <c r="AI3084">
        <v>105.47638338708001</v>
      </c>
      <c r="AJ3084">
        <v>79.065304131749997</v>
      </c>
      <c r="AK3084">
        <v>0.51155114762151699</v>
      </c>
      <c r="AL3084">
        <v>90.1029767341943</v>
      </c>
      <c r="AM3084">
        <v>86.368598640636193</v>
      </c>
      <c r="AN3084">
        <v>0.99999994600904896</v>
      </c>
    </row>
    <row r="3085" spans="1:40" x14ac:dyDescent="0.25">
      <c r="A3085" t="str">
        <f>"20190312161022620"</f>
        <v>20190312161022620</v>
      </c>
      <c r="B3085" t="str">
        <f>"1552378222609437"</f>
        <v>1552378222609437</v>
      </c>
      <c r="C3085" t="s">
        <v>40</v>
      </c>
      <c r="D3085">
        <v>5.9144050000000004</v>
      </c>
      <c r="E3085">
        <v>0.52623089999999995</v>
      </c>
      <c r="F3085" t="s">
        <v>42</v>
      </c>
      <c r="G3085">
        <v>-420.02499999999998</v>
      </c>
      <c r="H3085">
        <v>0.97810949999999997</v>
      </c>
      <c r="I3085">
        <v>212.3767</v>
      </c>
      <c r="J3085">
        <v>-420.52730000000003</v>
      </c>
      <c r="K3085">
        <v>1.109213</v>
      </c>
      <c r="L3085">
        <v>212.45519999999999</v>
      </c>
      <c r="M3085">
        <v>0.99936630000000004</v>
      </c>
      <c r="N3085">
        <v>0</v>
      </c>
      <c r="O3085">
        <v>3.4735870000000002E-2</v>
      </c>
      <c r="P3085">
        <v>0.99954779999999999</v>
      </c>
      <c r="Q3085">
        <v>-9.4621930000000007E-3</v>
      </c>
      <c r="R3085">
        <v>-2.854516E-2</v>
      </c>
      <c r="S3085">
        <v>2.9887700000000001</v>
      </c>
      <c r="T3085">
        <v>-0.51181140000000003</v>
      </c>
      <c r="U3085">
        <v>-0.2713776</v>
      </c>
      <c r="V3085">
        <v>6.3248360000000003E-2</v>
      </c>
      <c r="W3085">
        <v>-1.7293300000000001E-3</v>
      </c>
      <c r="X3085">
        <v>0.99799629999999995</v>
      </c>
      <c r="Y3085">
        <v>0.1226925</v>
      </c>
      <c r="Z3085">
        <v>-1.6303450000000001E-2</v>
      </c>
      <c r="AA3085">
        <v>0.99231080000000005</v>
      </c>
      <c r="AB3085">
        <v>27</v>
      </c>
      <c r="AC3085">
        <v>0.50230000000004704</v>
      </c>
      <c r="AD3085">
        <v>-0.13110350000000001</v>
      </c>
      <c r="AE3085">
        <v>-7.8499999999991105E-2</v>
      </c>
      <c r="AF3085">
        <v>8.9921206306897705E-2</v>
      </c>
      <c r="AG3085">
        <v>-0.13110350000000001</v>
      </c>
      <c r="AH3085">
        <v>0.46813871876195401</v>
      </c>
      <c r="AI3085">
        <v>105.377583766195</v>
      </c>
      <c r="AJ3085">
        <v>79.126921685154102</v>
      </c>
      <c r="AK3085">
        <v>0.494396410848644</v>
      </c>
      <c r="AL3085">
        <v>90.099083361731502</v>
      </c>
      <c r="AM3085">
        <v>86.373709925809806</v>
      </c>
      <c r="AN3085">
        <v>0.99999998021931402</v>
      </c>
    </row>
    <row r="3086" spans="1:40" x14ac:dyDescent="0.25">
      <c r="A3086" t="str">
        <f>"20190312161022643"</f>
        <v>20190312161022643</v>
      </c>
      <c r="B3086" t="str">
        <f>"1552378222638719"</f>
        <v>1552378222638719</v>
      </c>
      <c r="C3086" t="s">
        <v>40</v>
      </c>
      <c r="D3086">
        <v>5.9809409999999996</v>
      </c>
      <c r="E3086">
        <v>0.54787450000000004</v>
      </c>
      <c r="F3086" t="s">
        <v>42</v>
      </c>
      <c r="G3086">
        <v>-419.78039999999999</v>
      </c>
      <c r="H3086">
        <v>0.97959240000000003</v>
      </c>
      <c r="I3086">
        <v>212.3869</v>
      </c>
      <c r="J3086">
        <v>-420.2405</v>
      </c>
      <c r="K3086">
        <v>1.1092139999999999</v>
      </c>
      <c r="L3086">
        <v>212.465</v>
      </c>
      <c r="M3086">
        <v>0.99937390000000004</v>
      </c>
      <c r="N3086">
        <v>0</v>
      </c>
      <c r="O3086">
        <v>3.4515829999999997E-2</v>
      </c>
      <c r="P3086">
        <v>0.9995347</v>
      </c>
      <c r="Q3086">
        <v>-9.5323079999999998E-3</v>
      </c>
      <c r="R3086">
        <v>-2.8977869999999999E-2</v>
      </c>
      <c r="S3086">
        <v>2.9886170000000001</v>
      </c>
      <c r="T3086">
        <v>-0.51863300000000001</v>
      </c>
      <c r="U3086">
        <v>-0.27377319999999999</v>
      </c>
      <c r="V3086">
        <v>6.3460699999999995E-2</v>
      </c>
      <c r="W3086">
        <v>-1.7772529999999999E-3</v>
      </c>
      <c r="X3086">
        <v>0.9979827</v>
      </c>
      <c r="Y3086">
        <v>0.12320250000000001</v>
      </c>
      <c r="Z3086">
        <v>-1.652385E-2</v>
      </c>
      <c r="AA3086">
        <v>0.99224389999999996</v>
      </c>
      <c r="AB3086">
        <v>27</v>
      </c>
      <c r="AC3086">
        <v>0.460100000000011</v>
      </c>
      <c r="AD3086">
        <v>-0.129621599999999</v>
      </c>
      <c r="AE3086">
        <v>-7.8100000000006206E-2</v>
      </c>
      <c r="AF3086">
        <v>8.7207000877866606E-2</v>
      </c>
      <c r="AG3086">
        <v>-0.129621599999999</v>
      </c>
      <c r="AH3086">
        <v>0.42439005685667303</v>
      </c>
      <c r="AI3086">
        <v>106.656088630767</v>
      </c>
      <c r="AJ3086">
        <v>78.388051833728099</v>
      </c>
      <c r="AK3086">
        <v>0.45223195436355701</v>
      </c>
      <c r="AL3086">
        <v>90.101829155307001</v>
      </c>
      <c r="AM3086">
        <v>86.361518794327694</v>
      </c>
      <c r="AN3086">
        <v>0.99999994428600103</v>
      </c>
    </row>
    <row r="3087" spans="1:40" x14ac:dyDescent="0.25">
      <c r="A3087" t="str">
        <f>"20190312161022667"</f>
        <v>20190312161022667</v>
      </c>
      <c r="B3087" t="str">
        <f>"1552378222659213"</f>
        <v>1552378222659213</v>
      </c>
      <c r="C3087" t="s">
        <v>40</v>
      </c>
      <c r="D3087">
        <v>5.8878779999999997</v>
      </c>
      <c r="E3087">
        <v>0.54887940000000002</v>
      </c>
      <c r="F3087" t="s">
        <v>42</v>
      </c>
      <c r="G3087">
        <v>-419.55529999999999</v>
      </c>
      <c r="H3087">
        <v>0.93460560000000004</v>
      </c>
      <c r="I3087">
        <v>212.36410000000001</v>
      </c>
      <c r="J3087">
        <v>-419.95729999999998</v>
      </c>
      <c r="K3087">
        <v>1.1092200000000001</v>
      </c>
      <c r="L3087">
        <v>212.47450000000001</v>
      </c>
      <c r="M3087">
        <v>0.99938110000000002</v>
      </c>
      <c r="N3087">
        <v>0</v>
      </c>
      <c r="O3087">
        <v>3.4298530000000001E-2</v>
      </c>
      <c r="P3087">
        <v>0.99951920000000005</v>
      </c>
      <c r="Q3087">
        <v>-8.9989830000000003E-3</v>
      </c>
      <c r="R3087">
        <v>-2.9672210000000001E-2</v>
      </c>
      <c r="S3087">
        <v>2.9814449999999999</v>
      </c>
      <c r="T3087">
        <v>-0.75973769999999996</v>
      </c>
      <c r="U3087">
        <v>-0.43740839999999998</v>
      </c>
      <c r="V3087">
        <v>6.3937309999999997E-2</v>
      </c>
      <c r="W3087">
        <v>-1.2227169999999999E-3</v>
      </c>
      <c r="X3087">
        <v>0.99795319999999998</v>
      </c>
      <c r="Y3087">
        <v>0.17252700000000001</v>
      </c>
      <c r="Z3087">
        <v>-3.0089330000000001E-2</v>
      </c>
      <c r="AA3087">
        <v>0.98454509999999995</v>
      </c>
      <c r="AB3087">
        <v>27</v>
      </c>
      <c r="AC3087">
        <v>0.40199999999998598</v>
      </c>
      <c r="AD3087">
        <v>-0.1746144</v>
      </c>
      <c r="AE3087">
        <v>-0.110399999999998</v>
      </c>
      <c r="AF3087">
        <v>0.105597405283127</v>
      </c>
      <c r="AG3087">
        <v>-0.1746144</v>
      </c>
      <c r="AH3087">
        <v>0.33857671084805202</v>
      </c>
      <c r="AI3087">
        <v>116.21289440986899</v>
      </c>
      <c r="AJ3087">
        <v>72.678020035015507</v>
      </c>
      <c r="AK3087">
        <v>0.395316569117175</v>
      </c>
      <c r="AL3087">
        <v>90.070056538851901</v>
      </c>
      <c r="AM3087">
        <v>86.334158812517501</v>
      </c>
      <c r="AN3087">
        <v>1.00000003201856</v>
      </c>
    </row>
    <row r="3088" spans="1:40" x14ac:dyDescent="0.25">
      <c r="A3088" t="str">
        <f>"20190312161022710"</f>
        <v>20190312161022710</v>
      </c>
      <c r="B3088" t="str">
        <f>"1552378222699230"</f>
        <v>1552378222699230</v>
      </c>
      <c r="C3088" t="s">
        <v>40</v>
      </c>
      <c r="D3088">
        <v>5.7968529999999996</v>
      </c>
      <c r="E3088">
        <v>0.54744550000000003</v>
      </c>
      <c r="F3088" t="s">
        <v>42</v>
      </c>
      <c r="G3088">
        <v>-419.0874</v>
      </c>
      <c r="H3088">
        <v>0.87402860000000004</v>
      </c>
      <c r="I3088">
        <v>212.3441</v>
      </c>
      <c r="J3088">
        <v>-419.4196</v>
      </c>
      <c r="K3088">
        <v>1.1092219999999999</v>
      </c>
      <c r="L3088">
        <v>212.49250000000001</v>
      </c>
      <c r="M3088">
        <v>0.99939480000000003</v>
      </c>
      <c r="N3088">
        <v>0</v>
      </c>
      <c r="O3088">
        <v>3.3886659999999999E-2</v>
      </c>
      <c r="P3088">
        <v>0.99949339999999998</v>
      </c>
      <c r="Q3088">
        <v>-8.7124090000000008E-3</v>
      </c>
      <c r="R3088">
        <v>-3.0608630000000001E-2</v>
      </c>
      <c r="S3088">
        <v>2.9809570000000001</v>
      </c>
      <c r="T3088">
        <v>-0.8059944</v>
      </c>
      <c r="U3088">
        <v>-0.4451599</v>
      </c>
      <c r="V3088">
        <v>6.4461190000000002E-2</v>
      </c>
      <c r="W3088">
        <v>-8.9678580000000004E-4</v>
      </c>
      <c r="X3088">
        <v>0.99791980000000002</v>
      </c>
      <c r="Y3088">
        <v>0.17382049999999999</v>
      </c>
      <c r="Z3088">
        <v>-3.192176E-2</v>
      </c>
      <c r="AA3088">
        <v>0.98425980000000002</v>
      </c>
      <c r="AB3088">
        <v>27</v>
      </c>
      <c r="AC3088">
        <v>0.3322</v>
      </c>
      <c r="AD3088">
        <v>-0.235193399999999</v>
      </c>
      <c r="AE3088">
        <v>-0.148400000000009</v>
      </c>
      <c r="AF3088">
        <v>0.11254451390498101</v>
      </c>
      <c r="AG3088">
        <v>-0.235193399999999</v>
      </c>
      <c r="AH3088">
        <v>0.23061548709092</v>
      </c>
      <c r="AI3088">
        <v>132.506278025228</v>
      </c>
      <c r="AJ3088">
        <v>63.986790105555897</v>
      </c>
      <c r="AK3088">
        <v>0.34808864661153599</v>
      </c>
      <c r="AL3088">
        <v>90.0513820489588</v>
      </c>
      <c r="AM3088">
        <v>86.304081745686801</v>
      </c>
      <c r="AN3088">
        <v>0.99999998823651304</v>
      </c>
    </row>
    <row r="3089" spans="1:40" x14ac:dyDescent="0.25">
      <c r="A3089" t="str">
        <f>"20190312161022733"</f>
        <v>20190312161022733</v>
      </c>
      <c r="B3089" t="str">
        <f>"1552378222729485"</f>
        <v>1552378222729485</v>
      </c>
      <c r="C3089" t="s">
        <v>40</v>
      </c>
      <c r="D3089">
        <v>5.8745960000000004</v>
      </c>
      <c r="E3089">
        <v>0.53038609999999997</v>
      </c>
      <c r="F3089" t="s">
        <v>42</v>
      </c>
      <c r="G3089">
        <v>-418.59059999999999</v>
      </c>
      <c r="H3089">
        <v>0.88443479999999997</v>
      </c>
      <c r="I3089">
        <v>212.37029999999999</v>
      </c>
      <c r="J3089">
        <v>-419.14350000000002</v>
      </c>
      <c r="K3089">
        <v>1.109219</v>
      </c>
      <c r="L3089">
        <v>212.5016</v>
      </c>
      <c r="M3089">
        <v>0.99940189999999995</v>
      </c>
      <c r="N3089">
        <v>0</v>
      </c>
      <c r="O3089">
        <v>3.3674919999999997E-2</v>
      </c>
      <c r="P3089">
        <v>0.99951509999999999</v>
      </c>
      <c r="Q3089">
        <v>-8.1290790000000009E-3</v>
      </c>
      <c r="R3089">
        <v>-3.005971E-2</v>
      </c>
      <c r="S3089">
        <v>2.9810490000000001</v>
      </c>
      <c r="T3089">
        <v>-0.80835349999999995</v>
      </c>
      <c r="U3089">
        <v>-0.43803409999999898</v>
      </c>
      <c r="V3089">
        <v>6.3702220000000004E-2</v>
      </c>
      <c r="W3089">
        <v>-2.927354E-4</v>
      </c>
      <c r="X3089">
        <v>0.99796890000000005</v>
      </c>
      <c r="Y3089">
        <v>0.17135500000000001</v>
      </c>
      <c r="Z3089">
        <v>-3.1633429999999997E-2</v>
      </c>
      <c r="AA3089">
        <v>0.98470139999999995</v>
      </c>
      <c r="AB3089">
        <v>28</v>
      </c>
      <c r="AC3089">
        <v>0.55290000000002204</v>
      </c>
      <c r="AD3089">
        <v>-0.22478419999999999</v>
      </c>
      <c r="AE3089">
        <v>-0.13130000000000999</v>
      </c>
      <c r="AF3089">
        <v>0.129571751995426</v>
      </c>
      <c r="AG3089">
        <v>-0.22478419999999999</v>
      </c>
      <c r="AH3089">
        <v>0.47400101601630801</v>
      </c>
      <c r="AI3089">
        <v>114.58144290942801</v>
      </c>
      <c r="AJ3089">
        <v>74.711275026720699</v>
      </c>
      <c r="AK3089">
        <v>0.54036444985703502</v>
      </c>
      <c r="AL3089">
        <v>90.016772503308701</v>
      </c>
      <c r="AM3089">
        <v>86.347658432491201</v>
      </c>
      <c r="AN3089">
        <v>0.99999999194707601</v>
      </c>
    </row>
    <row r="3090" spans="1:40" x14ac:dyDescent="0.25">
      <c r="A3090" t="str">
        <f>"20190312161022756"</f>
        <v>20190312161022756</v>
      </c>
      <c r="B3090" t="str">
        <f>"1552378222749007"</f>
        <v>1552378222749007</v>
      </c>
      <c r="C3090" t="s">
        <v>40</v>
      </c>
      <c r="D3090">
        <v>5.7971879999999896</v>
      </c>
      <c r="E3090">
        <v>0.53156979999999998</v>
      </c>
      <c r="F3090" t="s">
        <v>42</v>
      </c>
      <c r="G3090">
        <v>-418.31849999999997</v>
      </c>
      <c r="H3090">
        <v>0.94722899999999999</v>
      </c>
      <c r="I3090">
        <v>212.4161</v>
      </c>
      <c r="J3090">
        <v>-418.8553</v>
      </c>
      <c r="K3090">
        <v>1.1092200000000001</v>
      </c>
      <c r="L3090">
        <v>212.5111</v>
      </c>
      <c r="M3090">
        <v>0.99940899999999999</v>
      </c>
      <c r="N3090">
        <v>0</v>
      </c>
      <c r="O3090">
        <v>3.3454409999999997E-2</v>
      </c>
      <c r="P3090">
        <v>0.99952439999999998</v>
      </c>
      <c r="Q3090">
        <v>-9.1366510000000008E-3</v>
      </c>
      <c r="R3090">
        <v>-2.9457029999999999E-2</v>
      </c>
      <c r="S3090">
        <v>2.9873660000000002</v>
      </c>
      <c r="T3090">
        <v>-0.58656549999999996</v>
      </c>
      <c r="U3090">
        <v>-0.3101044</v>
      </c>
      <c r="V3090">
        <v>6.2879459999999998E-2</v>
      </c>
      <c r="W3090">
        <v>-1.2787160000000001E-3</v>
      </c>
      <c r="X3090">
        <v>0.99802029999999997</v>
      </c>
      <c r="Y3090">
        <v>0.13331609999999999</v>
      </c>
      <c r="Z3090">
        <v>-1.9422410000000001E-2</v>
      </c>
      <c r="AA3090">
        <v>0.99088319999999996</v>
      </c>
      <c r="AB3090">
        <v>28</v>
      </c>
      <c r="AC3090">
        <v>0.53680000000002703</v>
      </c>
      <c r="AD3090">
        <v>-0.161991</v>
      </c>
      <c r="AE3090">
        <v>-9.4999999999998794E-2</v>
      </c>
      <c r="AF3090">
        <v>0.103744972092481</v>
      </c>
      <c r="AG3090">
        <v>-0.161991</v>
      </c>
      <c r="AH3090">
        <v>0.49004959763476902</v>
      </c>
      <c r="AI3090">
        <v>107.92083950953899</v>
      </c>
      <c r="AJ3090">
        <v>78.046799306424106</v>
      </c>
      <c r="AK3090">
        <v>0.52645295274836201</v>
      </c>
      <c r="AL3090">
        <v>90.073265050664702</v>
      </c>
      <c r="AM3090">
        <v>86.394891010672794</v>
      </c>
      <c r="AN3090">
        <v>0.99999999040829501</v>
      </c>
    </row>
    <row r="3091" spans="1:40" x14ac:dyDescent="0.25">
      <c r="A3091" t="str">
        <f>"20190312161022776"</f>
        <v>20190312161022776</v>
      </c>
      <c r="B3091" t="str">
        <f>"1552378222769501"</f>
        <v>1552378222769501</v>
      </c>
      <c r="C3091" t="s">
        <v>40</v>
      </c>
      <c r="D3091">
        <v>5.817329</v>
      </c>
      <c r="E3091">
        <v>0.53166190000000002</v>
      </c>
      <c r="F3091" t="s">
        <v>42</v>
      </c>
      <c r="G3091">
        <v>-418.0675</v>
      </c>
      <c r="H3091">
        <v>0.95366700000000004</v>
      </c>
      <c r="I3091">
        <v>212.4271</v>
      </c>
      <c r="J3091">
        <v>-418.60390000000001</v>
      </c>
      <c r="K3091">
        <v>1.109216</v>
      </c>
      <c r="L3091">
        <v>212.51929999999999</v>
      </c>
      <c r="M3091">
        <v>0.99941539999999995</v>
      </c>
      <c r="N3091">
        <v>0</v>
      </c>
      <c r="O3091">
        <v>3.326192E-2</v>
      </c>
      <c r="P3091">
        <v>0.99953159999999996</v>
      </c>
      <c r="Q3091">
        <v>-9.2517120000000005E-3</v>
      </c>
      <c r="R3091">
        <v>-2.917254E-2</v>
      </c>
      <c r="S3091">
        <v>2.986694</v>
      </c>
      <c r="T3091">
        <v>-0.58986839999999996</v>
      </c>
      <c r="U3091">
        <v>-0.31709290000000001</v>
      </c>
      <c r="V3091">
        <v>6.2403269999999997E-2</v>
      </c>
      <c r="W3091">
        <v>-1.375219E-3</v>
      </c>
      <c r="X3091">
        <v>0.99805010000000005</v>
      </c>
      <c r="Y3091">
        <v>0.13536970000000001</v>
      </c>
      <c r="Z3091">
        <v>-1.9694509999999998E-2</v>
      </c>
      <c r="AA3091">
        <v>0.99059940000000002</v>
      </c>
      <c r="AB3091">
        <v>28</v>
      </c>
      <c r="AC3091">
        <v>0.53640000000001398</v>
      </c>
      <c r="AD3091">
        <v>-0.15554899999999899</v>
      </c>
      <c r="AE3091">
        <v>-9.2199999999991095E-2</v>
      </c>
      <c r="AF3091">
        <v>0.101685628677185</v>
      </c>
      <c r="AG3091">
        <v>-0.15554899999999899</v>
      </c>
      <c r="AH3091">
        <v>0.49278595870171799</v>
      </c>
      <c r="AI3091">
        <v>107.178436219255</v>
      </c>
      <c r="AJ3091">
        <v>78.340747806245602</v>
      </c>
      <c r="AK3091">
        <v>0.52666256709020598</v>
      </c>
      <c r="AL3091">
        <v>90.078794267021806</v>
      </c>
      <c r="AM3091">
        <v>86.422228084367504</v>
      </c>
      <c r="AN3091">
        <v>1.0000000307220001</v>
      </c>
    </row>
    <row r="3092" spans="1:40" x14ac:dyDescent="0.25">
      <c r="A3092" t="str">
        <f>"20190312161022798"</f>
        <v>20190312161022798</v>
      </c>
      <c r="B3092" t="str">
        <f>"1552378222789022"</f>
        <v>1552378222789022</v>
      </c>
      <c r="C3092" t="s">
        <v>40</v>
      </c>
      <c r="D3092">
        <v>5.7410310000000004</v>
      </c>
      <c r="E3092">
        <v>0.53191309999999903</v>
      </c>
      <c r="F3092" t="s">
        <v>42</v>
      </c>
      <c r="G3092">
        <v>-417.81889999999999</v>
      </c>
      <c r="H3092">
        <v>0.95358149999999997</v>
      </c>
      <c r="I3092">
        <v>212.43620000000001</v>
      </c>
      <c r="J3092">
        <v>-418.32139999999998</v>
      </c>
      <c r="K3092">
        <v>1.109218</v>
      </c>
      <c r="L3092">
        <v>212.52850000000001</v>
      </c>
      <c r="M3092">
        <v>0.99942240000000004</v>
      </c>
      <c r="N3092">
        <v>0</v>
      </c>
      <c r="O3092">
        <v>3.3045459999999999E-2</v>
      </c>
      <c r="P3092">
        <v>0.99954259999999995</v>
      </c>
      <c r="Q3092">
        <v>-8.4195009999999994E-3</v>
      </c>
      <c r="R3092">
        <v>-2.905392E-2</v>
      </c>
      <c r="S3092">
        <v>2.986694</v>
      </c>
      <c r="T3092">
        <v>-0.59216999999999997</v>
      </c>
      <c r="U3092">
        <v>-0.31623839999999998</v>
      </c>
      <c r="V3092">
        <v>6.2069050000000001E-2</v>
      </c>
      <c r="W3092">
        <v>-5.2034559999999995E-4</v>
      </c>
      <c r="X3092">
        <v>0.99807170000000001</v>
      </c>
      <c r="Y3092">
        <v>0.13486379999999901</v>
      </c>
      <c r="Z3092">
        <v>-1.9678230000000001E-2</v>
      </c>
      <c r="AA3092">
        <v>0.99066869999999996</v>
      </c>
      <c r="AB3092">
        <v>28</v>
      </c>
      <c r="AC3092">
        <v>0.50249999999999695</v>
      </c>
      <c r="AD3092">
        <v>-0.15563649999999901</v>
      </c>
      <c r="AE3092">
        <v>-9.2299999999994498E-2</v>
      </c>
      <c r="AF3092">
        <v>9.9611662230454506E-2</v>
      </c>
      <c r="AG3092">
        <v>-0.15563649999999901</v>
      </c>
      <c r="AH3092">
        <v>0.45678636329276001</v>
      </c>
      <c r="AI3092">
        <v>108.41244875514499</v>
      </c>
      <c r="AJ3092">
        <v>77.698068782266304</v>
      </c>
      <c r="AK3092">
        <v>0.492746369925532</v>
      </c>
      <c r="AL3092">
        <v>90.029813608768393</v>
      </c>
      <c r="AM3092">
        <v>86.441417390914793</v>
      </c>
      <c r="AN3092">
        <v>0.99999997803416696</v>
      </c>
    </row>
    <row r="3093" spans="1:40" x14ac:dyDescent="0.25">
      <c r="A3093" t="str">
        <f>"20190312161022822"</f>
        <v>20190312161022822</v>
      </c>
      <c r="B3093" t="str">
        <f>"1552378222819278"</f>
        <v>1552378222819278</v>
      </c>
      <c r="C3093" t="s">
        <v>40</v>
      </c>
      <c r="D3093">
        <v>5.646458</v>
      </c>
      <c r="E3093">
        <v>0.53233059999999999</v>
      </c>
      <c r="F3093" t="s">
        <v>42</v>
      </c>
      <c r="G3093">
        <v>-417.56670000000003</v>
      </c>
      <c r="H3093">
        <v>0.96039969999999997</v>
      </c>
      <c r="I3093">
        <v>212.44800000000001</v>
      </c>
      <c r="J3093">
        <v>-418.03410000000002</v>
      </c>
      <c r="K3093">
        <v>1.1092139999999999</v>
      </c>
      <c r="L3093">
        <v>212.5378</v>
      </c>
      <c r="M3093">
        <v>0.99942940000000002</v>
      </c>
      <c r="N3093">
        <v>0</v>
      </c>
      <c r="O3093">
        <v>3.2825510000000002E-2</v>
      </c>
      <c r="P3093">
        <v>0.99953809999999998</v>
      </c>
      <c r="Q3093">
        <v>-8.6008200000000003E-3</v>
      </c>
      <c r="R3093">
        <v>-2.9154739999999998E-2</v>
      </c>
      <c r="S3093">
        <v>2.987152</v>
      </c>
      <c r="T3093">
        <v>-0.58904460000000003</v>
      </c>
      <c r="U3093">
        <v>-0.31854250000000001</v>
      </c>
      <c r="V3093">
        <v>6.1949980000000002E-2</v>
      </c>
      <c r="W3093">
        <v>-6.7495679999999897E-4</v>
      </c>
      <c r="X3093">
        <v>0.99807900000000005</v>
      </c>
      <c r="Y3093">
        <v>0.13541429999999999</v>
      </c>
      <c r="Z3093">
        <v>-1.9583389999999999E-2</v>
      </c>
      <c r="AA3093">
        <v>0.99059549999999996</v>
      </c>
      <c r="AB3093">
        <v>28</v>
      </c>
      <c r="AC3093">
        <v>0.46739999999999698</v>
      </c>
      <c r="AD3093">
        <v>-0.14881429999999901</v>
      </c>
      <c r="AE3093">
        <v>-8.9800000000025096E-2</v>
      </c>
      <c r="AF3093">
        <v>9.5735451041914499E-2</v>
      </c>
      <c r="AG3093">
        <v>-0.14881429999999901</v>
      </c>
      <c r="AH3093">
        <v>0.42286060996963298</v>
      </c>
      <c r="AI3093">
        <v>108.944073985315</v>
      </c>
      <c r="AJ3093">
        <v>77.243315135581398</v>
      </c>
      <c r="AK3093">
        <v>0.45839073718235102</v>
      </c>
      <c r="AL3093">
        <v>90.038672179977397</v>
      </c>
      <c r="AM3093">
        <v>86.448252407901094</v>
      </c>
      <c r="AN3093">
        <v>0.99999997291484</v>
      </c>
    </row>
    <row r="3094" spans="1:40" x14ac:dyDescent="0.25">
      <c r="A3094" t="str">
        <f>"20190312161022846"</f>
        <v>20190312161022846</v>
      </c>
      <c r="B3094" t="str">
        <f>"1552378222838798"</f>
        <v>1552378222838798</v>
      </c>
      <c r="C3094" t="s">
        <v>40</v>
      </c>
      <c r="D3094">
        <v>5.7508949999999999</v>
      </c>
      <c r="E3094">
        <v>0.55064990000000003</v>
      </c>
      <c r="F3094" t="s">
        <v>42</v>
      </c>
      <c r="G3094">
        <v>-417.31369999999998</v>
      </c>
      <c r="H3094">
        <v>0.96739960000000003</v>
      </c>
      <c r="I3094">
        <v>212.4599</v>
      </c>
      <c r="J3094">
        <v>-417.74079999999998</v>
      </c>
      <c r="K3094">
        <v>1.109213</v>
      </c>
      <c r="L3094">
        <v>212.5472</v>
      </c>
      <c r="M3094">
        <v>0.9994364</v>
      </c>
      <c r="N3094">
        <v>0</v>
      </c>
      <c r="O3094">
        <v>3.260101E-2</v>
      </c>
      <c r="P3094">
        <v>0.99953599999999998</v>
      </c>
      <c r="Q3094">
        <v>-8.7252559999999903E-3</v>
      </c>
      <c r="R3094">
        <v>-2.9180040000000001E-2</v>
      </c>
      <c r="S3094">
        <v>2.9869690000000002</v>
      </c>
      <c r="T3094">
        <v>-0.58792880000000003</v>
      </c>
      <c r="U3094">
        <v>-0.32257079999999999</v>
      </c>
      <c r="V3094">
        <v>6.175133E-2</v>
      </c>
      <c r="W3094">
        <v>-7.6587720000000005E-4</v>
      </c>
      <c r="X3094">
        <v>0.99809130000000001</v>
      </c>
      <c r="Y3094">
        <v>0.13651440000000001</v>
      </c>
      <c r="Z3094">
        <v>-1.961011E-2</v>
      </c>
      <c r="AA3094">
        <v>0.99044390000000004</v>
      </c>
      <c r="AB3094">
        <v>28</v>
      </c>
      <c r="AC3094">
        <v>0.42709999999999498</v>
      </c>
      <c r="AD3094">
        <v>-0.14181340000000001</v>
      </c>
      <c r="AE3094">
        <v>-8.7299999999999003E-2</v>
      </c>
      <c r="AF3094">
        <v>9.1495203093595101E-2</v>
      </c>
      <c r="AG3094">
        <v>-0.14181340000000001</v>
      </c>
      <c r="AH3094">
        <v>0.38344743995026598</v>
      </c>
      <c r="AI3094">
        <v>109.785620459665</v>
      </c>
      <c r="AJ3094">
        <v>76.579479645593295</v>
      </c>
      <c r="AK3094">
        <v>0.41894433020761901</v>
      </c>
      <c r="AL3094">
        <v>90.043881534236405</v>
      </c>
      <c r="AM3094">
        <v>86.459656014565695</v>
      </c>
      <c r="AN3094">
        <v>1.00000002823017</v>
      </c>
    </row>
    <row r="3095" spans="1:40" x14ac:dyDescent="0.25">
      <c r="A3095" t="str">
        <f>"20190312161022870"</f>
        <v>20190312161022870</v>
      </c>
      <c r="B3095" t="str">
        <f>"1552378222859293"</f>
        <v>1552378222859293</v>
      </c>
      <c r="C3095" t="s">
        <v>40</v>
      </c>
      <c r="D3095">
        <v>5.8100699999999996</v>
      </c>
      <c r="E3095">
        <v>0.55376650000000005</v>
      </c>
      <c r="F3095" t="s">
        <v>42</v>
      </c>
      <c r="G3095">
        <v>-416.84949999999998</v>
      </c>
      <c r="H3095">
        <v>0.87286169999999996</v>
      </c>
      <c r="I3095">
        <v>212.40950000000001</v>
      </c>
      <c r="J3095">
        <v>-417.43630000000002</v>
      </c>
      <c r="K3095">
        <v>1.1092150000000001</v>
      </c>
      <c r="L3095">
        <v>212.55690000000001</v>
      </c>
      <c r="M3095">
        <v>0.99944379999999999</v>
      </c>
      <c r="N3095">
        <v>0</v>
      </c>
      <c r="O3095">
        <v>3.2368380000000002E-2</v>
      </c>
      <c r="P3095">
        <v>0.99952609999999997</v>
      </c>
      <c r="Q3095">
        <v>-8.7598169999999996E-3</v>
      </c>
      <c r="R3095">
        <v>-2.951355E-2</v>
      </c>
      <c r="S3095">
        <v>2.9810490000000001</v>
      </c>
      <c r="T3095">
        <v>-0.79048509999999905</v>
      </c>
      <c r="U3095">
        <v>-0.4609528</v>
      </c>
      <c r="V3095">
        <v>6.1851839999999998E-2</v>
      </c>
      <c r="W3095">
        <v>-7.6057640000000003E-4</v>
      </c>
      <c r="X3095">
        <v>0.99808509999999995</v>
      </c>
      <c r="Y3095">
        <v>0.17762139999999901</v>
      </c>
      <c r="Z3095">
        <v>-3.1414129999999998E-2</v>
      </c>
      <c r="AA3095">
        <v>0.98359730000000001</v>
      </c>
      <c r="AB3095">
        <v>28</v>
      </c>
      <c r="AC3095">
        <v>0.58680000000003896</v>
      </c>
      <c r="AD3095">
        <v>-0.23635329999999999</v>
      </c>
      <c r="AE3095">
        <v>-0.147400000000004</v>
      </c>
      <c r="AF3095">
        <v>0.144296683297085</v>
      </c>
      <c r="AG3095">
        <v>-0.23635329999999999</v>
      </c>
      <c r="AH3095">
        <v>0.50470113374831505</v>
      </c>
      <c r="AI3095">
        <v>114.24024200404</v>
      </c>
      <c r="AJ3095">
        <v>74.044491085196995</v>
      </c>
      <c r="AK3095">
        <v>0.57568016262353805</v>
      </c>
      <c r="AL3095">
        <v>90.043577819839399</v>
      </c>
      <c r="AM3095">
        <v>86.4538862684918</v>
      </c>
      <c r="AN3095">
        <v>1.00000004771492</v>
      </c>
    </row>
    <row r="3096" spans="1:40" x14ac:dyDescent="0.25">
      <c r="A3096" t="str">
        <f>"20190312161022891"</f>
        <v>20190312161022891</v>
      </c>
      <c r="B3096" t="str">
        <f>"1552378222878813"</f>
        <v>1552378222878813</v>
      </c>
      <c r="C3096" t="s">
        <v>40</v>
      </c>
      <c r="D3096">
        <v>5.71387</v>
      </c>
      <c r="E3096">
        <v>0.55439499999999997</v>
      </c>
      <c r="F3096" t="s">
        <v>42</v>
      </c>
      <c r="G3096">
        <v>-416.59359999999998</v>
      </c>
      <c r="H3096">
        <v>0.88344690000000003</v>
      </c>
      <c r="I3096">
        <v>212.41890000000001</v>
      </c>
      <c r="J3096">
        <v>-417.17239999999998</v>
      </c>
      <c r="K3096">
        <v>1.1092280000000001</v>
      </c>
      <c r="L3096">
        <v>212.5652</v>
      </c>
      <c r="M3096">
        <v>0.99944999999999995</v>
      </c>
      <c r="N3096">
        <v>0</v>
      </c>
      <c r="O3096">
        <v>3.2166510000000002E-2</v>
      </c>
      <c r="P3096">
        <v>0.99953130000000001</v>
      </c>
      <c r="Q3096">
        <v>-9.3537819999999997E-3</v>
      </c>
      <c r="R3096">
        <v>-2.9152339999999999E-2</v>
      </c>
      <c r="S3096">
        <v>2.9800420000000001</v>
      </c>
      <c r="T3096">
        <v>-0.79839919999999998</v>
      </c>
      <c r="U3096">
        <v>-0.48674010000000001</v>
      </c>
      <c r="V3096">
        <v>6.1289139999999999E-2</v>
      </c>
      <c r="W3096">
        <v>-1.3179520000000001E-3</v>
      </c>
      <c r="X3096">
        <v>0.99811919999999998</v>
      </c>
      <c r="Y3096">
        <v>0.18537490000000001</v>
      </c>
      <c r="Z3096">
        <v>-3.2669730000000001E-2</v>
      </c>
      <c r="AA3096">
        <v>0.98212460000000001</v>
      </c>
      <c r="AB3096">
        <v>28</v>
      </c>
      <c r="AC3096">
        <v>0.57880000000000098</v>
      </c>
      <c r="AD3096">
        <v>-0.22578110000000001</v>
      </c>
      <c r="AE3096">
        <v>-0.14629999999999599</v>
      </c>
      <c r="AF3096">
        <v>0.14421593359477</v>
      </c>
      <c r="AG3096">
        <v>-0.22578110000000001</v>
      </c>
      <c r="AH3096">
        <v>0.501994950627213</v>
      </c>
      <c r="AI3096">
        <v>113.377983646001</v>
      </c>
      <c r="AJ3096">
        <v>73.971402335445106</v>
      </c>
      <c r="AK3096">
        <v>0.56901166163360795</v>
      </c>
      <c r="AL3096">
        <v>90.075513107812498</v>
      </c>
      <c r="AM3096">
        <v>86.4861857488998</v>
      </c>
      <c r="AN3096">
        <v>1.0000000165440199</v>
      </c>
    </row>
    <row r="3097" spans="1:40" x14ac:dyDescent="0.25">
      <c r="A3097" t="str">
        <f>"20190312161022914"</f>
        <v>20190312161022914</v>
      </c>
      <c r="B3097" t="str">
        <f>"1552378222909070"</f>
        <v>1552378222909070</v>
      </c>
      <c r="C3097" t="s">
        <v>40</v>
      </c>
      <c r="D3097">
        <v>5.6288010000000002</v>
      </c>
      <c r="E3097">
        <v>0.55401630000000002</v>
      </c>
      <c r="F3097" t="s">
        <v>42</v>
      </c>
      <c r="G3097">
        <v>-416.34</v>
      </c>
      <c r="H3097">
        <v>0.88765949999999905</v>
      </c>
      <c r="I3097">
        <v>212.42779999999999</v>
      </c>
      <c r="J3097">
        <v>-416.87880000000001</v>
      </c>
      <c r="K3097">
        <v>1.1092299999999999</v>
      </c>
      <c r="L3097">
        <v>212.5744</v>
      </c>
      <c r="M3097">
        <v>0.99945680000000003</v>
      </c>
      <c r="N3097">
        <v>0</v>
      </c>
      <c r="O3097">
        <v>3.1941919999999999E-2</v>
      </c>
      <c r="P3097">
        <v>0.99954279999999995</v>
      </c>
      <c r="Q3097">
        <v>-9.2082110000000009E-3</v>
      </c>
      <c r="R3097">
        <v>-2.879934E-2</v>
      </c>
      <c r="S3097">
        <v>2.9796749999999999</v>
      </c>
      <c r="T3097">
        <v>-0.79308749999999995</v>
      </c>
      <c r="U3097">
        <v>-0.490921</v>
      </c>
      <c r="V3097">
        <v>6.0712450000000001E-2</v>
      </c>
      <c r="W3097">
        <v>-1.131801E-3</v>
      </c>
      <c r="X3097">
        <v>0.9981546</v>
      </c>
      <c r="Y3097">
        <v>0.1865801</v>
      </c>
      <c r="Z3097">
        <v>-3.2558160000000003E-2</v>
      </c>
      <c r="AA3097">
        <v>0.98190010000000005</v>
      </c>
      <c r="AB3097">
        <v>28</v>
      </c>
      <c r="AC3097">
        <v>0.53880000000003703</v>
      </c>
      <c r="AD3097">
        <v>-0.2215705</v>
      </c>
      <c r="AE3097">
        <v>-0.146600000000006</v>
      </c>
      <c r="AF3097">
        <v>0.141462340542193</v>
      </c>
      <c r="AG3097">
        <v>-0.2215705</v>
      </c>
      <c r="AH3097">
        <v>0.46122135349196097</v>
      </c>
      <c r="AI3097">
        <v>114.668469618796</v>
      </c>
      <c r="AJ3097">
        <v>72.9485703104517</v>
      </c>
      <c r="AK3097">
        <v>0.53087683805086205</v>
      </c>
      <c r="AL3097">
        <v>90.064847438022795</v>
      </c>
      <c r="AM3097">
        <v>86.5192898708369</v>
      </c>
      <c r="AN3097">
        <v>0.99999994402983094</v>
      </c>
    </row>
    <row r="3098" spans="1:40" x14ac:dyDescent="0.25">
      <c r="A3098" t="str">
        <f>"20190312161022955"</f>
        <v>20190312161022955</v>
      </c>
      <c r="B3098" t="str">
        <f>"1552378222949300"</f>
        <v>1552378222949300</v>
      </c>
      <c r="C3098" t="s">
        <v>40</v>
      </c>
      <c r="D3098">
        <v>5.6957300000000002</v>
      </c>
      <c r="E3098">
        <v>0.55028980000000005</v>
      </c>
      <c r="F3098" t="s">
        <v>42</v>
      </c>
      <c r="G3098">
        <v>-416.08539999999999</v>
      </c>
      <c r="H3098">
        <v>0.89410449999999997</v>
      </c>
      <c r="I3098">
        <v>212.44450000000001</v>
      </c>
      <c r="J3098">
        <v>-416.35789999999997</v>
      </c>
      <c r="K3098">
        <v>1.10924</v>
      </c>
      <c r="L3098">
        <v>212.59059999999999</v>
      </c>
      <c r="M3098">
        <v>0.99946889999999999</v>
      </c>
      <c r="N3098">
        <v>0</v>
      </c>
      <c r="O3098">
        <v>3.1543689999999999E-2</v>
      </c>
      <c r="P3098">
        <v>0.99956089999999997</v>
      </c>
      <c r="Q3098">
        <v>-8.8895169999999996E-3</v>
      </c>
      <c r="R3098">
        <v>-2.827236E-2</v>
      </c>
      <c r="S3098">
        <v>2.9799500000000001</v>
      </c>
      <c r="T3098">
        <v>-0.80814019999999898</v>
      </c>
      <c r="U3098">
        <v>-0.48623660000000002</v>
      </c>
      <c r="V3098">
        <v>5.9788630000000002E-2</v>
      </c>
      <c r="W3098">
        <v>-7.4447689999999997E-4</v>
      </c>
      <c r="X3098">
        <v>0.99821079999999995</v>
      </c>
      <c r="Y3098">
        <v>0.184479</v>
      </c>
      <c r="Z3098">
        <v>-3.2772540000000003E-2</v>
      </c>
      <c r="AA3098">
        <v>0.98228990000000005</v>
      </c>
      <c r="AB3098">
        <v>28</v>
      </c>
      <c r="AC3098">
        <v>0.27249999999997898</v>
      </c>
      <c r="AD3098">
        <v>-0.21513550000000001</v>
      </c>
      <c r="AE3098">
        <v>-0.14609999999998899</v>
      </c>
      <c r="AF3098">
        <v>0.10418461263046</v>
      </c>
      <c r="AG3098">
        <v>-0.21513550000000001</v>
      </c>
      <c r="AH3098">
        <v>0.180412885050932</v>
      </c>
      <c r="AI3098">
        <v>135.92010785423699</v>
      </c>
      <c r="AJ3098">
        <v>59.994477991786397</v>
      </c>
      <c r="AK3098">
        <v>0.29947708754028202</v>
      </c>
      <c r="AL3098">
        <v>90.042655387492502</v>
      </c>
      <c r="AM3098">
        <v>86.572318732747405</v>
      </c>
      <c r="AN3098">
        <v>1.00000001787988</v>
      </c>
    </row>
    <row r="3099" spans="1:40" x14ac:dyDescent="0.25">
      <c r="A3099" t="str">
        <f>"20190312161022977"</f>
        <v>20190312161022977</v>
      </c>
      <c r="B3099" t="str">
        <f>"1552378222968820"</f>
        <v>1552378222968820</v>
      </c>
      <c r="C3099" t="s">
        <v>40</v>
      </c>
      <c r="D3099">
        <v>5.629696</v>
      </c>
      <c r="E3099">
        <v>0.54880479999999998</v>
      </c>
      <c r="F3099" t="s">
        <v>42</v>
      </c>
      <c r="G3099">
        <v>-415.5736</v>
      </c>
      <c r="H3099">
        <v>0.90842829999999997</v>
      </c>
      <c r="I3099">
        <v>212.47040000000001</v>
      </c>
      <c r="J3099">
        <v>-416.06970000000001</v>
      </c>
      <c r="K3099">
        <v>1.109245</v>
      </c>
      <c r="L3099">
        <v>212.59950000000001</v>
      </c>
      <c r="M3099">
        <v>0.99947549999999996</v>
      </c>
      <c r="N3099">
        <v>0</v>
      </c>
      <c r="O3099">
        <v>3.1323530000000002E-2</v>
      </c>
      <c r="P3099">
        <v>0.99956820000000002</v>
      </c>
      <c r="Q3099">
        <v>-8.4476340000000007E-3</v>
      </c>
      <c r="R3099">
        <v>-2.8144010000000001E-2</v>
      </c>
      <c r="S3099">
        <v>2.981598</v>
      </c>
      <c r="T3099">
        <v>-0.76331079999999996</v>
      </c>
      <c r="U3099">
        <v>-0.45733639999999998</v>
      </c>
      <c r="V3099">
        <v>5.9441170000000002E-2</v>
      </c>
      <c r="W3099">
        <v>-2.6729640000000001E-4</v>
      </c>
      <c r="X3099">
        <v>0.9982318</v>
      </c>
      <c r="Y3099">
        <v>0.17595999999999901</v>
      </c>
      <c r="Z3099">
        <v>-2.9895089999999999E-2</v>
      </c>
      <c r="AA3099">
        <v>0.98394329999999997</v>
      </c>
      <c r="AB3099">
        <v>28</v>
      </c>
      <c r="AC3099">
        <v>0.49610000000001198</v>
      </c>
      <c r="AD3099">
        <v>-0.20081669999999999</v>
      </c>
      <c r="AE3099">
        <v>-0.129099999999994</v>
      </c>
      <c r="AF3099">
        <v>0.125341480414628</v>
      </c>
      <c r="AG3099">
        <v>-0.20081669999999999</v>
      </c>
      <c r="AH3099">
        <v>0.42637908057410601</v>
      </c>
      <c r="AI3099">
        <v>114.31639731110199</v>
      </c>
      <c r="AJ3099">
        <v>73.618391692251905</v>
      </c>
      <c r="AK3099">
        <v>0.48768530228277401</v>
      </c>
      <c r="AL3099">
        <v>90.015314955393393</v>
      </c>
      <c r="AM3099">
        <v>86.592263049058403</v>
      </c>
      <c r="AN3099">
        <v>1.0000000253347801</v>
      </c>
    </row>
    <row r="3100" spans="1:40" x14ac:dyDescent="0.25">
      <c r="A3100" t="str">
        <f>"20190312161023001"</f>
        <v>20190312161023001</v>
      </c>
      <c r="B3100" t="str">
        <f>"1552378222989316"</f>
        <v>1552378222989316</v>
      </c>
      <c r="C3100" t="s">
        <v>40</v>
      </c>
      <c r="D3100">
        <v>5.8218870000000003</v>
      </c>
      <c r="E3100">
        <v>0.54733369999999903</v>
      </c>
      <c r="F3100" t="s">
        <v>42</v>
      </c>
      <c r="G3100">
        <v>-415.3141</v>
      </c>
      <c r="H3100">
        <v>0.92273470000000002</v>
      </c>
      <c r="I3100">
        <v>212.4864</v>
      </c>
      <c r="J3100">
        <v>-415.7774</v>
      </c>
      <c r="K3100">
        <v>1.1092519999999999</v>
      </c>
      <c r="L3100">
        <v>212.60839999999999</v>
      </c>
      <c r="M3100">
        <v>0.99948219999999999</v>
      </c>
      <c r="N3100">
        <v>0</v>
      </c>
      <c r="O3100">
        <v>3.1100699999999998E-2</v>
      </c>
      <c r="P3100">
        <v>0.99957870000000004</v>
      </c>
      <c r="Q3100">
        <v>-7.89316199999999E-3</v>
      </c>
      <c r="R3100">
        <v>-2.7927529999999999E-2</v>
      </c>
      <c r="S3100">
        <v>2.9825439999999999</v>
      </c>
      <c r="T3100">
        <v>-0.73614099999999905</v>
      </c>
      <c r="U3100">
        <v>-0.44667050000000003</v>
      </c>
      <c r="V3100">
        <v>5.9002810000000003E-2</v>
      </c>
      <c r="W3100">
        <v>3.2121340000000002E-4</v>
      </c>
      <c r="X3100">
        <v>0.99825779999999997</v>
      </c>
      <c r="Y3100">
        <v>0.1728035</v>
      </c>
      <c r="Z3100">
        <v>-2.8424809999999998E-2</v>
      </c>
      <c r="AA3100">
        <v>0.98454609999999998</v>
      </c>
      <c r="AB3100">
        <v>28</v>
      </c>
      <c r="AC3100">
        <v>0.46330000000000299</v>
      </c>
      <c r="AD3100">
        <v>-0.1865173</v>
      </c>
      <c r="AE3100">
        <v>-0.121999999999985</v>
      </c>
      <c r="AF3100">
        <v>0.118404518575351</v>
      </c>
      <c r="AG3100">
        <v>-0.1865173</v>
      </c>
      <c r="AH3100">
        <v>0.39883263699835703</v>
      </c>
      <c r="AI3100">
        <v>114.14758133568201</v>
      </c>
      <c r="AJ3100">
        <v>73.465019628470998</v>
      </c>
      <c r="AK3100">
        <v>0.45593399253994399</v>
      </c>
      <c r="AL3100">
        <v>89.981595828184794</v>
      </c>
      <c r="AM3100">
        <v>86.6174233669594</v>
      </c>
      <c r="AN3100">
        <v>1.00000003501339</v>
      </c>
    </row>
    <row r="3101" spans="1:40" x14ac:dyDescent="0.25">
      <c r="A3101" t="str">
        <f>"20190312161023023"</f>
        <v>20190312161023023</v>
      </c>
      <c r="B3101" t="str">
        <f>"1552378223019571"</f>
        <v>1552378223019571</v>
      </c>
      <c r="C3101" t="s">
        <v>40</v>
      </c>
      <c r="D3101">
        <v>5.6088250000000004</v>
      </c>
      <c r="E3101">
        <v>0.4949462</v>
      </c>
      <c r="F3101" t="s">
        <v>42</v>
      </c>
      <c r="G3101">
        <v>-415.05509999999998</v>
      </c>
      <c r="H3101">
        <v>0.93401749999999995</v>
      </c>
      <c r="I3101">
        <v>212.50280000000001</v>
      </c>
      <c r="J3101">
        <v>-415.48750000000001</v>
      </c>
      <c r="K3101">
        <v>1.109254</v>
      </c>
      <c r="L3101">
        <v>212.6172</v>
      </c>
      <c r="M3101">
        <v>0.99948890000000001</v>
      </c>
      <c r="N3101">
        <v>0</v>
      </c>
      <c r="O3101">
        <v>3.0879650000000002E-2</v>
      </c>
      <c r="P3101">
        <v>0.99958400000000003</v>
      </c>
      <c r="Q3101">
        <v>-7.8716989999999994E-3</v>
      </c>
      <c r="R3101">
        <v>-2.7751890000000001E-2</v>
      </c>
      <c r="S3101">
        <v>2.9834290000000001</v>
      </c>
      <c r="T3101">
        <v>-0.72382519999999995</v>
      </c>
      <c r="U3101">
        <v>-0.43473820000000002</v>
      </c>
      <c r="V3101">
        <v>5.8606619999999998E-2</v>
      </c>
      <c r="W3101">
        <v>3.7461919999999999E-4</v>
      </c>
      <c r="X3101">
        <v>0.99828110000000003</v>
      </c>
      <c r="Y3101">
        <v>0.16899810000000001</v>
      </c>
      <c r="Z3101">
        <v>-2.7456899999999999E-2</v>
      </c>
      <c r="AA3101">
        <v>0.98523380000000005</v>
      </c>
      <c r="AB3101">
        <v>28</v>
      </c>
      <c r="AC3101">
        <v>0.43240000000002898</v>
      </c>
      <c r="AD3101">
        <v>-0.17523649999999999</v>
      </c>
      <c r="AE3101">
        <v>-0.114399999999989</v>
      </c>
      <c r="AF3101">
        <v>0.110705483988743</v>
      </c>
      <c r="AG3101">
        <v>-0.17523649999999999</v>
      </c>
      <c r="AH3101">
        <v>0.371619216620454</v>
      </c>
      <c r="AI3101">
        <v>114.319253211157</v>
      </c>
      <c r="AJ3101">
        <v>73.411188929186906</v>
      </c>
      <c r="AK3101">
        <v>0.42551660047409701</v>
      </c>
      <c r="AL3101">
        <v>89.978535900744603</v>
      </c>
      <c r="AM3101">
        <v>86.640162604356803</v>
      </c>
      <c r="AN3101">
        <v>1.0000000154322799</v>
      </c>
    </row>
    <row r="3102" spans="1:40" x14ac:dyDescent="0.25">
      <c r="A3102" t="str">
        <f>"20190312161023046"</f>
        <v>20190312161023046</v>
      </c>
      <c r="B3102" t="str">
        <f>"1552378223039092"</f>
        <v>1552378223039092</v>
      </c>
      <c r="C3102" t="s">
        <v>40</v>
      </c>
      <c r="D3102">
        <v>5.4837939999999996</v>
      </c>
      <c r="E3102">
        <v>0.48967880000000003</v>
      </c>
      <c r="F3102" t="s">
        <v>42</v>
      </c>
      <c r="G3102">
        <v>-414.75439999999998</v>
      </c>
      <c r="H3102">
        <v>1.0367299999999999</v>
      </c>
      <c r="I3102">
        <v>212.60919999999999</v>
      </c>
      <c r="J3102">
        <v>-415.19639999999998</v>
      </c>
      <c r="K3102">
        <v>1.1092550000000001</v>
      </c>
      <c r="L3102">
        <v>212.6259</v>
      </c>
      <c r="M3102">
        <v>0.99949540000000003</v>
      </c>
      <c r="N3102">
        <v>0</v>
      </c>
      <c r="O3102">
        <v>3.0657429999999999E-2</v>
      </c>
      <c r="P3102">
        <v>0.99958740000000001</v>
      </c>
      <c r="Q3102">
        <v>-7.3689559999999899E-3</v>
      </c>
      <c r="R3102">
        <v>-2.7770610000000001E-2</v>
      </c>
      <c r="S3102">
        <v>2.9980159999999998</v>
      </c>
      <c r="T3102">
        <v>-0.29668020000000001</v>
      </c>
      <c r="U3102">
        <v>-3.2104489999999999E-2</v>
      </c>
      <c r="V3102">
        <v>5.8403579999999997E-2</v>
      </c>
      <c r="W3102">
        <v>9.0772309999999996E-4</v>
      </c>
      <c r="X3102">
        <v>0.99829259999999997</v>
      </c>
      <c r="Y3102">
        <v>4.1009650000000002E-2</v>
      </c>
      <c r="Z3102">
        <v>-5.0503509999999998E-3</v>
      </c>
      <c r="AA3102">
        <v>0.99914599999999998</v>
      </c>
      <c r="AB3102">
        <v>28</v>
      </c>
      <c r="AC3102">
        <v>0.442000000000007</v>
      </c>
      <c r="AD3102">
        <v>-7.2524999999999895E-2</v>
      </c>
      <c r="AE3102">
        <v>-1.6700000000014301E-2</v>
      </c>
      <c r="AF3102">
        <v>2.9451398334962402E-2</v>
      </c>
      <c r="AG3102">
        <v>-7.2524999999999895E-2</v>
      </c>
      <c r="AH3102">
        <v>0.42972698083156002</v>
      </c>
      <c r="AI3102">
        <v>99.557529320488598</v>
      </c>
      <c r="AJ3102">
        <v>86.079356626750794</v>
      </c>
      <c r="AK3102">
        <v>0.43679805235771402</v>
      </c>
      <c r="AL3102">
        <v>89.947991288111496</v>
      </c>
      <c r="AM3102">
        <v>86.651814564877299</v>
      </c>
      <c r="AN3102">
        <v>0.99999995866640001</v>
      </c>
    </row>
    <row r="3103" spans="1:40" x14ac:dyDescent="0.25">
      <c r="A3103" t="str">
        <f>"20190312161023155"</f>
        <v>20190312161023155</v>
      </c>
      <c r="B3103" t="str">
        <f>"1552378223148911"</f>
        <v>1552378223148911</v>
      </c>
      <c r="C3103" t="s">
        <v>40</v>
      </c>
      <c r="D3103">
        <v>5.5879440000000002</v>
      </c>
      <c r="E3103">
        <v>0.49072070000000001</v>
      </c>
      <c r="F3103" t="s">
        <v>42</v>
      </c>
      <c r="G3103">
        <v>-413.20299999999997</v>
      </c>
      <c r="H3103">
        <v>1.0502129999999901</v>
      </c>
      <c r="I3103">
        <v>212.65889999999999</v>
      </c>
      <c r="J3103">
        <v>-413.78899999999999</v>
      </c>
      <c r="K3103">
        <v>1.1092630000000001</v>
      </c>
      <c r="L3103">
        <v>212.66739999999999</v>
      </c>
      <c r="M3103">
        <v>0.99952629999999998</v>
      </c>
      <c r="N3103">
        <v>0</v>
      </c>
      <c r="O3103">
        <v>2.9585449999999999E-2</v>
      </c>
      <c r="P3103">
        <v>0.99953800000000004</v>
      </c>
      <c r="Q3103">
        <v>-7.8281589999999995E-3</v>
      </c>
      <c r="R3103">
        <v>-2.937296E-2</v>
      </c>
      <c r="S3103">
        <v>2.9998170000000002</v>
      </c>
      <c r="T3103">
        <v>-0.2038847</v>
      </c>
      <c r="U3103">
        <v>-1.67846699999999E-4</v>
      </c>
      <c r="V3103">
        <v>5.893309E-2</v>
      </c>
      <c r="W3103">
        <v>6.1160709999999896E-4</v>
      </c>
      <c r="X3103">
        <v>0.99826170000000003</v>
      </c>
      <c r="Y3103">
        <v>2.9506129999999998E-2</v>
      </c>
      <c r="Z3103">
        <v>-3.009879E-3</v>
      </c>
      <c r="AA3103">
        <v>0.99956009999999995</v>
      </c>
      <c r="AB3103">
        <v>29</v>
      </c>
      <c r="AC3103">
        <v>0.585999999999955</v>
      </c>
      <c r="AD3103">
        <v>-5.9049999999999998E-2</v>
      </c>
      <c r="AE3103">
        <v>-8.4999999999979502E-3</v>
      </c>
      <c r="AF3103">
        <v>2.5574344002545501E-2</v>
      </c>
      <c r="AG3103">
        <v>-5.9049999999999998E-2</v>
      </c>
      <c r="AH3103">
        <v>0.57960777768215499</v>
      </c>
      <c r="AI3103">
        <v>95.811563932721199</v>
      </c>
      <c r="AJ3103">
        <v>87.4735463957728</v>
      </c>
      <c r="AK3103">
        <v>0.58316903683306698</v>
      </c>
      <c r="AL3103">
        <v>89.964957490597797</v>
      </c>
      <c r="AM3103">
        <v>86.621424254602402</v>
      </c>
      <c r="AN3103">
        <v>0.99999995242354001</v>
      </c>
    </row>
    <row r="3104" spans="1:40" x14ac:dyDescent="0.25">
      <c r="A3104" t="str">
        <f>"20190312161023201"</f>
        <v>20190312161023201</v>
      </c>
      <c r="B3104" t="str">
        <f>"1552378223188927"</f>
        <v>1552378223188927</v>
      </c>
      <c r="C3104" t="s">
        <v>40</v>
      </c>
      <c r="D3104">
        <v>5.666461</v>
      </c>
      <c r="E3104">
        <v>0.4909346</v>
      </c>
      <c r="F3104" t="s">
        <v>42</v>
      </c>
      <c r="G3104">
        <v>-412.93819999999999</v>
      </c>
      <c r="H3104">
        <v>1.0522069999999999</v>
      </c>
      <c r="I3104">
        <v>212.6651</v>
      </c>
      <c r="J3104">
        <v>-413.19760000000002</v>
      </c>
      <c r="K3104">
        <v>1.1092740000000001</v>
      </c>
      <c r="L3104">
        <v>212.68430000000001</v>
      </c>
      <c r="M3104">
        <v>0.99953910000000001</v>
      </c>
      <c r="N3104">
        <v>0</v>
      </c>
      <c r="O3104">
        <v>2.913555E-2</v>
      </c>
      <c r="P3104">
        <v>0.99952379999999996</v>
      </c>
      <c r="Q3104">
        <v>-7.715469E-3</v>
      </c>
      <c r="R3104">
        <v>-2.988588E-2</v>
      </c>
      <c r="S3104">
        <v>2.9996339999999999</v>
      </c>
      <c r="T3104">
        <v>-0.20129130000000001</v>
      </c>
      <c r="U3104">
        <v>-6.9885249999999998E-3</v>
      </c>
      <c r="V3104">
        <v>5.8996189999999997E-2</v>
      </c>
      <c r="W3104">
        <v>7.8660630000000002E-4</v>
      </c>
      <c r="X3104">
        <v>0.99825790000000003</v>
      </c>
      <c r="Y3104">
        <v>3.1329360000000001E-2</v>
      </c>
      <c r="Z3104">
        <v>-3.002832E-3</v>
      </c>
      <c r="AA3104">
        <v>0.99950459999999997</v>
      </c>
      <c r="AB3104">
        <v>29</v>
      </c>
      <c r="AC3104">
        <v>0.259400000000027</v>
      </c>
      <c r="AD3104">
        <v>-5.7066999999999903E-2</v>
      </c>
      <c r="AE3104">
        <v>-1.9200000000011999E-2</v>
      </c>
      <c r="AF3104">
        <v>2.55214215021854E-2</v>
      </c>
      <c r="AG3104">
        <v>-5.7066999999999903E-2</v>
      </c>
      <c r="AH3104">
        <v>0.24684849299814299</v>
      </c>
      <c r="AI3104">
        <v>102.950398526067</v>
      </c>
      <c r="AJ3104">
        <v>84.0972185921826</v>
      </c>
      <c r="AK3104">
        <v>0.25464124555921103</v>
      </c>
      <c r="AL3104">
        <v>89.954930774316097</v>
      </c>
      <c r="AM3104">
        <v>86.617802342390704</v>
      </c>
      <c r="AN3104">
        <v>1.0000000020481901</v>
      </c>
    </row>
    <row r="3105" spans="1:40" x14ac:dyDescent="0.25">
      <c r="A3105" t="str">
        <f>"20190312161023224"</f>
        <v>20190312161023224</v>
      </c>
      <c r="B3105" t="str">
        <f>"1552378223219183"</f>
        <v>1552378223219183</v>
      </c>
      <c r="C3105" t="s">
        <v>40</v>
      </c>
      <c r="D3105">
        <v>5.7810540000000001</v>
      </c>
      <c r="E3105">
        <v>0.49083710000000003</v>
      </c>
      <c r="F3105" t="s">
        <v>61</v>
      </c>
      <c r="G3105">
        <v>-397.03500000000003</v>
      </c>
      <c r="H3105" s="1">
        <v>2.2068990000000002E-6</v>
      </c>
      <c r="I3105">
        <v>212.62989999999999</v>
      </c>
      <c r="J3105">
        <v>-412.90609999999998</v>
      </c>
      <c r="K3105">
        <v>1.1092770000000001</v>
      </c>
      <c r="L3105">
        <v>212.6926</v>
      </c>
      <c r="M3105">
        <v>0.99954529999999997</v>
      </c>
      <c r="N3105">
        <v>0</v>
      </c>
      <c r="O3105">
        <v>2.891231E-2</v>
      </c>
      <c r="P3105">
        <v>0.99951520000000005</v>
      </c>
      <c r="Q3105">
        <v>-7.1486999999999896E-3</v>
      </c>
      <c r="R3105">
        <v>-3.0306570000000001E-2</v>
      </c>
      <c r="S3105">
        <v>2.9995419999999999</v>
      </c>
      <c r="T3105">
        <v>-0.20586489999999999</v>
      </c>
      <c r="U3105">
        <v>-1.010132E-2</v>
      </c>
      <c r="V3105">
        <v>5.9193879999999997E-2</v>
      </c>
      <c r="W3105">
        <v>1.3816989999999999E-3</v>
      </c>
      <c r="X3105">
        <v>0.99824550000000001</v>
      </c>
      <c r="Y3105">
        <v>3.2135799999999999E-2</v>
      </c>
      <c r="Z3105">
        <v>-3.0833409999999999E-3</v>
      </c>
      <c r="AA3105">
        <v>0.9994788</v>
      </c>
      <c r="AB3105">
        <v>29</v>
      </c>
      <c r="AC3105">
        <v>15.871099999999901</v>
      </c>
      <c r="AD3105">
        <v>-1.1092747931010001</v>
      </c>
      <c r="AE3105">
        <v>-6.2700000000006598E-2</v>
      </c>
      <c r="AF3105">
        <v>0.51902536431546598</v>
      </c>
      <c r="AG3105">
        <v>-1.1092747931010001</v>
      </c>
      <c r="AH3105">
        <v>15.7855406573486</v>
      </c>
      <c r="AI3105">
        <v>94.017492919611101</v>
      </c>
      <c r="AJ3105">
        <v>88.116804863119498</v>
      </c>
      <c r="AK3105">
        <v>15.832977349198</v>
      </c>
      <c r="AL3105">
        <v>89.920834449705694</v>
      </c>
      <c r="AM3105">
        <v>86.606453342329402</v>
      </c>
      <c r="AN3105">
        <v>0.99999995139591402</v>
      </c>
    </row>
    <row r="3106" spans="1:40" x14ac:dyDescent="0.25">
      <c r="A3106" t="str">
        <f>"20190312161023269"</f>
        <v>20190312161023269</v>
      </c>
      <c r="B3106" t="str">
        <f>"1552378223259199"</f>
        <v>1552378223259199</v>
      </c>
      <c r="C3106" t="s">
        <v>40</v>
      </c>
      <c r="D3106">
        <v>5.6510470000000002</v>
      </c>
      <c r="E3106">
        <v>0.49074250000000003</v>
      </c>
      <c r="F3106" t="s">
        <v>61</v>
      </c>
      <c r="G3106">
        <v>-396.17680000000001</v>
      </c>
      <c r="H3106" s="1">
        <v>1.750214E-6</v>
      </c>
      <c r="I3106">
        <v>212.63140000000001</v>
      </c>
      <c r="J3106">
        <v>-412.31849999999997</v>
      </c>
      <c r="K3106">
        <v>1.1092770000000001</v>
      </c>
      <c r="L3106">
        <v>212.70910000000001</v>
      </c>
      <c r="M3106">
        <v>0.99955819999999995</v>
      </c>
      <c r="N3106">
        <v>0</v>
      </c>
      <c r="O3106">
        <v>2.8448270000000001E-2</v>
      </c>
      <c r="P3106">
        <v>0.9995115</v>
      </c>
      <c r="Q3106">
        <v>-7.0309959999999899E-3</v>
      </c>
      <c r="R3106">
        <v>-3.0451880000000001E-2</v>
      </c>
      <c r="S3106">
        <v>2.999695</v>
      </c>
      <c r="T3106">
        <v>-0.19890189999999999</v>
      </c>
      <c r="U3106">
        <v>-1.0971069999999999E-2</v>
      </c>
      <c r="V3106">
        <v>5.8875810000000001E-2</v>
      </c>
      <c r="W3106">
        <v>1.55193E-3</v>
      </c>
      <c r="X3106">
        <v>0.99826409999999999</v>
      </c>
      <c r="Y3106">
        <v>3.1972349999999997E-2</v>
      </c>
      <c r="Z3106">
        <v>-2.9429930000000001E-3</v>
      </c>
      <c r="AA3106">
        <v>0.99948440000000005</v>
      </c>
      <c r="AB3106">
        <v>29</v>
      </c>
      <c r="AC3106">
        <v>16.141699999999901</v>
      </c>
      <c r="AD3106">
        <v>-1.1092752497859999</v>
      </c>
      <c r="AE3106">
        <v>-7.7699999999992997E-2</v>
      </c>
      <c r="AF3106">
        <v>0.53436547454521299</v>
      </c>
      <c r="AG3106">
        <v>-1.1092752497859999</v>
      </c>
      <c r="AH3106">
        <v>16.057126466081701</v>
      </c>
      <c r="AI3106">
        <v>93.949708748175993</v>
      </c>
      <c r="AJ3106">
        <v>88.093955894770204</v>
      </c>
      <c r="AK3106">
        <v>16.1042649129948</v>
      </c>
      <c r="AL3106">
        <v>89.911080924443795</v>
      </c>
      <c r="AM3106">
        <v>86.624708560559398</v>
      </c>
      <c r="AN3106">
        <v>0.99999999141934504</v>
      </c>
    </row>
    <row r="3107" spans="1:40" x14ac:dyDescent="0.25">
      <c r="A3107" t="str">
        <f>"20190312161023291"</f>
        <v>20190312161023291</v>
      </c>
      <c r="B3107" t="str">
        <f>"1552378223279695"</f>
        <v>1552378223279695</v>
      </c>
      <c r="C3107" t="s">
        <v>40</v>
      </c>
      <c r="D3107">
        <v>5.6447979999999998</v>
      </c>
      <c r="E3107">
        <v>0.49080499999999999</v>
      </c>
      <c r="F3107" t="s">
        <v>42</v>
      </c>
      <c r="G3107">
        <v>-411.38490000000002</v>
      </c>
      <c r="H3107">
        <v>1.0474889999999999</v>
      </c>
      <c r="I3107">
        <v>212.7055</v>
      </c>
      <c r="J3107">
        <v>-412.02980000000002</v>
      </c>
      <c r="K3107">
        <v>1.1092679999999999</v>
      </c>
      <c r="L3107">
        <v>212.71700000000001</v>
      </c>
      <c r="M3107">
        <v>0.99956449999999997</v>
      </c>
      <c r="N3107">
        <v>0</v>
      </c>
      <c r="O3107">
        <v>2.8213140000000001E-2</v>
      </c>
      <c r="P3107">
        <v>0.99951509999999999</v>
      </c>
      <c r="Q3107">
        <v>-6.6241009999999899E-3</v>
      </c>
      <c r="R3107">
        <v>-3.0428940000000002E-2</v>
      </c>
      <c r="S3107">
        <v>2.9997560000000001</v>
      </c>
      <c r="T3107">
        <v>-0.1986047</v>
      </c>
      <c r="U3107">
        <v>-1.074219E-2</v>
      </c>
      <c r="V3107">
        <v>5.8618169999999997E-2</v>
      </c>
      <c r="W3107">
        <v>1.982513E-3</v>
      </c>
      <c r="X3107">
        <v>0.99827849999999996</v>
      </c>
      <c r="Y3107">
        <v>3.1662509999999998E-2</v>
      </c>
      <c r="Z3107">
        <v>-2.9127549999999999E-3</v>
      </c>
      <c r="AA3107">
        <v>0.99949440000000001</v>
      </c>
      <c r="AB3107">
        <v>29</v>
      </c>
      <c r="AC3107">
        <v>0.64490000000000602</v>
      </c>
      <c r="AD3107">
        <v>-6.1779000000000001E-2</v>
      </c>
      <c r="AE3107">
        <v>-1.15000000000122E-2</v>
      </c>
      <c r="AF3107">
        <v>2.94208496361009E-2</v>
      </c>
      <c r="AG3107">
        <v>-6.1779000000000001E-2</v>
      </c>
      <c r="AH3107">
        <v>0.63846155355686496</v>
      </c>
      <c r="AI3107">
        <v>95.521041830137705</v>
      </c>
      <c r="AJ3107">
        <v>87.361628330560094</v>
      </c>
      <c r="AK3107">
        <v>0.64211789151568999</v>
      </c>
      <c r="AL3107">
        <v>89.886410296940497</v>
      </c>
      <c r="AM3107">
        <v>86.639493243684797</v>
      </c>
      <c r="AN3107">
        <v>0.99999999188709698</v>
      </c>
    </row>
    <row r="3108" spans="1:40" x14ac:dyDescent="0.25">
      <c r="A3108" t="str">
        <f>"20190312161023316"</f>
        <v>20190312161023316</v>
      </c>
      <c r="B3108" t="str">
        <f>"1552378223308977"</f>
        <v>1552378223308977</v>
      </c>
      <c r="C3108" t="s">
        <v>40</v>
      </c>
      <c r="D3108">
        <v>5.7305190000000001</v>
      </c>
      <c r="E3108">
        <v>0.49081750000000002</v>
      </c>
      <c r="F3108" t="s">
        <v>42</v>
      </c>
      <c r="G3108">
        <v>-411.12150000000003</v>
      </c>
      <c r="H3108">
        <v>1.048845</v>
      </c>
      <c r="I3108">
        <v>212.71369999999999</v>
      </c>
      <c r="J3108">
        <v>-411.69170000000003</v>
      </c>
      <c r="K3108">
        <v>1.109259</v>
      </c>
      <c r="L3108">
        <v>212.72630000000001</v>
      </c>
      <c r="M3108">
        <v>0.99957220000000002</v>
      </c>
      <c r="N3108">
        <v>0</v>
      </c>
      <c r="O3108">
        <v>2.7930219999999999E-2</v>
      </c>
      <c r="P3108">
        <v>0.9995444</v>
      </c>
      <c r="Q3108">
        <v>-6.2906109999999998E-3</v>
      </c>
      <c r="R3108">
        <v>-2.951401E-2</v>
      </c>
      <c r="S3108">
        <v>2.9998170000000002</v>
      </c>
      <c r="T3108">
        <v>-0.19952429999999999</v>
      </c>
      <c r="U3108">
        <v>-1.113892E-2</v>
      </c>
      <c r="V3108">
        <v>5.7422239999999999E-2</v>
      </c>
      <c r="W3108">
        <v>2.3472929999999999E-3</v>
      </c>
      <c r="X3108">
        <v>0.99834719999999999</v>
      </c>
      <c r="Y3108">
        <v>3.151147E-2</v>
      </c>
      <c r="Z3108">
        <v>-2.9023429999999999E-3</v>
      </c>
      <c r="AA3108">
        <v>0.99949920000000003</v>
      </c>
      <c r="AB3108">
        <v>29</v>
      </c>
      <c r="AC3108">
        <v>0.57019999999999904</v>
      </c>
      <c r="AD3108">
        <v>-6.0413999999999898E-2</v>
      </c>
      <c r="AE3108">
        <v>-1.26000000000203E-2</v>
      </c>
      <c r="AF3108">
        <v>2.8205023363201801E-2</v>
      </c>
      <c r="AG3108">
        <v>-6.0413999999999898E-2</v>
      </c>
      <c r="AH3108">
        <v>0.56330508586668804</v>
      </c>
      <c r="AI3108">
        <v>96.113924263854898</v>
      </c>
      <c r="AJ3108">
        <v>87.133559820867902</v>
      </c>
      <c r="AK3108">
        <v>0.56723715895751703</v>
      </c>
      <c r="AL3108">
        <v>89.865509891303205</v>
      </c>
      <c r="AM3108">
        <v>86.708128101587107</v>
      </c>
      <c r="AN3108">
        <v>0.99999997758944204</v>
      </c>
    </row>
    <row r="3109" spans="1:40" x14ac:dyDescent="0.25">
      <c r="A3109" t="str">
        <f>"20190312161023338"</f>
        <v>20190312161023338</v>
      </c>
      <c r="B3109" t="str">
        <f>"1552378223329473"</f>
        <v>1552378223329473</v>
      </c>
      <c r="C3109" t="s">
        <v>40</v>
      </c>
      <c r="D3109">
        <v>5.7284689999999996</v>
      </c>
      <c r="E3109">
        <v>0.49079299999999998</v>
      </c>
      <c r="F3109" t="s">
        <v>61</v>
      </c>
      <c r="G3109">
        <v>-394.96359999999999</v>
      </c>
      <c r="H3109" s="1">
        <v>1.104608E-6</v>
      </c>
      <c r="I3109">
        <v>212.67920000000001</v>
      </c>
      <c r="J3109">
        <v>-411.41590000000002</v>
      </c>
      <c r="K3109">
        <v>1.1092519999999999</v>
      </c>
      <c r="L3109">
        <v>212.7337</v>
      </c>
      <c r="M3109">
        <v>0.99957870000000004</v>
      </c>
      <c r="N3109">
        <v>0</v>
      </c>
      <c r="O3109">
        <v>2.768895E-2</v>
      </c>
      <c r="P3109">
        <v>0.9995636</v>
      </c>
      <c r="Q3109">
        <v>-6.9091469999999896E-3</v>
      </c>
      <c r="R3109">
        <v>-2.8726060000000001E-2</v>
      </c>
      <c r="S3109">
        <v>2.999908</v>
      </c>
      <c r="T3109">
        <v>-0.19892760000000001</v>
      </c>
      <c r="U3109">
        <v>-8.4381100000000004E-3</v>
      </c>
      <c r="V3109">
        <v>5.6393890000000002E-2</v>
      </c>
      <c r="W3109">
        <v>1.762691E-3</v>
      </c>
      <c r="X3109">
        <v>0.99840709999999999</v>
      </c>
      <c r="Y3109">
        <v>3.0374080000000001E-2</v>
      </c>
      <c r="Z3109">
        <v>-2.8399469999999998E-3</v>
      </c>
      <c r="AA3109">
        <v>0.99953449999999999</v>
      </c>
      <c r="AB3109">
        <v>29</v>
      </c>
      <c r="AC3109">
        <v>16.452300000000001</v>
      </c>
      <c r="AD3109">
        <v>-1.1092508953919999</v>
      </c>
      <c r="AE3109">
        <v>-5.4499999999990202E-2</v>
      </c>
      <c r="AF3109">
        <v>0.50773525171720801</v>
      </c>
      <c r="AG3109">
        <v>-1.1092508953919999</v>
      </c>
      <c r="AH3109">
        <v>16.370068841071902</v>
      </c>
      <c r="AI3109">
        <v>93.8746312904061</v>
      </c>
      <c r="AJ3109">
        <v>88.223479437645196</v>
      </c>
      <c r="AK3109">
        <v>16.415461811846701</v>
      </c>
      <c r="AL3109">
        <v>89.899005198633702</v>
      </c>
      <c r="AM3109">
        <v>86.767148170042006</v>
      </c>
      <c r="AN3109">
        <v>1.0000000576196499</v>
      </c>
    </row>
    <row r="3110" spans="1:40" x14ac:dyDescent="0.25">
      <c r="A3110" t="str">
        <f>"20190312161023403"</f>
        <v>20190312161023403</v>
      </c>
      <c r="B3110" t="str">
        <f>"1552378223399745"</f>
        <v>1552378223399745</v>
      </c>
      <c r="C3110" t="s">
        <v>40</v>
      </c>
      <c r="D3110">
        <v>5.5039499999999997</v>
      </c>
      <c r="E3110">
        <v>0.49079610000000001</v>
      </c>
      <c r="F3110" t="s">
        <v>61</v>
      </c>
      <c r="G3110">
        <v>-394.7543</v>
      </c>
      <c r="H3110" s="1">
        <v>9.9320789999999994E-7</v>
      </c>
      <c r="I3110">
        <v>212.69919999999999</v>
      </c>
      <c r="J3110">
        <v>-410.55829999999997</v>
      </c>
      <c r="K3110">
        <v>1.10924</v>
      </c>
      <c r="L3110">
        <v>212.75649999999999</v>
      </c>
      <c r="M3110">
        <v>0.99959969999999998</v>
      </c>
      <c r="N3110">
        <v>0</v>
      </c>
      <c r="O3110">
        <v>2.6857300000000001E-2</v>
      </c>
      <c r="P3110">
        <v>0.99955760000000005</v>
      </c>
      <c r="Q3110">
        <v>-7.6361140000000003E-3</v>
      </c>
      <c r="R3110">
        <v>-2.8753569999999999E-2</v>
      </c>
      <c r="S3110">
        <v>2.9997560000000001</v>
      </c>
      <c r="T3110">
        <v>-0.19970969999999999</v>
      </c>
      <c r="U3110">
        <v>-6.2103269999999999E-3</v>
      </c>
      <c r="V3110">
        <v>5.5590319999999999E-2</v>
      </c>
      <c r="W3110">
        <v>1.2210050000000001E-3</v>
      </c>
      <c r="X3110">
        <v>0.99845289999999998</v>
      </c>
      <c r="Y3110">
        <v>2.880462E-2</v>
      </c>
      <c r="Z3110">
        <v>-2.7437529999999998E-3</v>
      </c>
      <c r="AA3110">
        <v>0.99958130000000001</v>
      </c>
      <c r="AB3110">
        <v>29</v>
      </c>
      <c r="AC3110">
        <v>15.803999999999901</v>
      </c>
      <c r="AD3110">
        <v>-1.1092390067921001</v>
      </c>
      <c r="AE3110">
        <v>-5.7299999999997901E-2</v>
      </c>
      <c r="AF3110">
        <v>0.47938734198928901</v>
      </c>
      <c r="AG3110">
        <v>-1.1092390067921001</v>
      </c>
      <c r="AH3110">
        <v>15.7193234493388</v>
      </c>
      <c r="AI3110">
        <v>94.034534358267706</v>
      </c>
      <c r="AJ3110">
        <v>88.253209744413297</v>
      </c>
      <c r="AK3110">
        <v>15.7657017954413</v>
      </c>
      <c r="AL3110">
        <v>89.930041548234996</v>
      </c>
      <c r="AM3110">
        <v>86.813264095524502</v>
      </c>
      <c r="AN3110">
        <v>0.99999998402466095</v>
      </c>
    </row>
    <row r="3111" spans="1:40" x14ac:dyDescent="0.25">
      <c r="A3111" t="str">
        <f>"20190312161023448"</f>
        <v>20190312161023448</v>
      </c>
      <c r="B3111" t="str">
        <f>"1552378223439760"</f>
        <v>1552378223439760</v>
      </c>
      <c r="C3111" t="s">
        <v>40</v>
      </c>
      <c r="D3111">
        <v>5.4818949999999997</v>
      </c>
      <c r="E3111">
        <v>0.49091610000000002</v>
      </c>
      <c r="F3111" t="s">
        <v>61</v>
      </c>
      <c r="G3111">
        <v>-393.68779999999998</v>
      </c>
      <c r="H3111" s="1">
        <v>4.2565320000000002E-7</v>
      </c>
      <c r="I3111">
        <v>212.71969999999999</v>
      </c>
      <c r="J3111">
        <v>-409.95139999999998</v>
      </c>
      <c r="K3111">
        <v>1.1092630000000001</v>
      </c>
      <c r="L3111">
        <v>212.77199999999999</v>
      </c>
      <c r="M3111">
        <v>0.99961529999999998</v>
      </c>
      <c r="N3111">
        <v>0</v>
      </c>
      <c r="O3111">
        <v>2.6207390000000001E-2</v>
      </c>
      <c r="P3111">
        <v>0.99954920000000003</v>
      </c>
      <c r="Q3111">
        <v>-7.154194E-3</v>
      </c>
      <c r="R3111">
        <v>-2.916349E-2</v>
      </c>
      <c r="S3111">
        <v>2.999603</v>
      </c>
      <c r="T3111">
        <v>-0.1972237</v>
      </c>
      <c r="U3111">
        <v>-6.546021E-3</v>
      </c>
      <c r="V3111">
        <v>5.535139E-2</v>
      </c>
      <c r="W3111">
        <v>1.892391E-3</v>
      </c>
      <c r="X3111">
        <v>0.99846509999999999</v>
      </c>
      <c r="Y3111">
        <v>2.8272329999999998E-2</v>
      </c>
      <c r="Z3111">
        <v>-2.6496570000000001E-3</v>
      </c>
      <c r="AA3111">
        <v>0.99959679999999995</v>
      </c>
      <c r="AB3111">
        <v>30</v>
      </c>
      <c r="AC3111">
        <v>16.263599999999901</v>
      </c>
      <c r="AD3111">
        <v>-1.1092625743468001</v>
      </c>
      <c r="AE3111">
        <v>-5.2300000000030801E-2</v>
      </c>
      <c r="AF3111">
        <v>0.47631035912589897</v>
      </c>
      <c r="AG3111">
        <v>-1.1092625743468001</v>
      </c>
      <c r="AH3111">
        <v>16.181368541575399</v>
      </c>
      <c r="AI3111">
        <v>93.919903194193097</v>
      </c>
      <c r="AJ3111">
        <v>88.313943888049096</v>
      </c>
      <c r="AK3111">
        <v>16.226337322246899</v>
      </c>
      <c r="AL3111">
        <v>89.891573913103599</v>
      </c>
      <c r="AM3111">
        <v>86.826971490630399</v>
      </c>
      <c r="AN3111">
        <v>0.99999995671831798</v>
      </c>
    </row>
    <row r="3112" spans="1:40" x14ac:dyDescent="0.25">
      <c r="A3112" t="str">
        <f>"20190312161023472"</f>
        <v>20190312161023472</v>
      </c>
      <c r="B3112" t="str">
        <f>"1552378223459280"</f>
        <v>1552378223459280</v>
      </c>
      <c r="C3112" t="s">
        <v>40</v>
      </c>
      <c r="D3112">
        <v>5.4836559999999999</v>
      </c>
      <c r="E3112">
        <v>0.49101620000000001</v>
      </c>
      <c r="F3112" t="s">
        <v>42</v>
      </c>
      <c r="G3112">
        <v>-409.01080000000002</v>
      </c>
      <c r="H3112">
        <v>1.0483960000000001</v>
      </c>
      <c r="I3112">
        <v>212.76910000000001</v>
      </c>
      <c r="J3112">
        <v>-409.6318</v>
      </c>
      <c r="K3112">
        <v>1.1092770000000001</v>
      </c>
      <c r="L3112">
        <v>212.78</v>
      </c>
      <c r="M3112">
        <v>0.99962340000000005</v>
      </c>
      <c r="N3112">
        <v>0</v>
      </c>
      <c r="O3112">
        <v>2.585264E-2</v>
      </c>
      <c r="P3112">
        <v>0.99954639999999995</v>
      </c>
      <c r="Q3112">
        <v>-6.9113050000000004E-3</v>
      </c>
      <c r="R3112">
        <v>-2.9316169999999999E-2</v>
      </c>
      <c r="S3112">
        <v>2.9997250000000002</v>
      </c>
      <c r="T3112">
        <v>-0.1941563</v>
      </c>
      <c r="U3112">
        <v>-8.9111329999999999E-3</v>
      </c>
      <c r="V3112">
        <v>5.5149610000000002E-2</v>
      </c>
      <c r="W3112">
        <v>2.2404809999999999E-3</v>
      </c>
      <c r="X3112">
        <v>0.99847560000000002</v>
      </c>
      <c r="Y3112">
        <v>2.8709100000000001E-2</v>
      </c>
      <c r="Z3112">
        <v>-2.5996190000000001E-3</v>
      </c>
      <c r="AA3112">
        <v>0.99958440000000004</v>
      </c>
      <c r="AB3112">
        <v>30</v>
      </c>
      <c r="AC3112">
        <v>0.62099999999998001</v>
      </c>
      <c r="AD3112">
        <v>-6.0881000000000102E-2</v>
      </c>
      <c r="AE3112">
        <v>-1.08999999999923E-2</v>
      </c>
      <c r="AF3112">
        <v>2.6695032021668001E-2</v>
      </c>
      <c r="AG3112">
        <v>-6.0881000000000102E-2</v>
      </c>
      <c r="AH3112">
        <v>0.61460530412175196</v>
      </c>
      <c r="AI3112">
        <v>95.651802956857694</v>
      </c>
      <c r="AJ3112">
        <v>87.5129535787311</v>
      </c>
      <c r="AK3112">
        <v>0.61818993905613595</v>
      </c>
      <c r="AL3112">
        <v>89.8716297887011</v>
      </c>
      <c r="AM3112">
        <v>86.838548237765707</v>
      </c>
      <c r="AN3112">
        <v>1.00000001151681</v>
      </c>
    </row>
    <row r="3113" spans="1:40" x14ac:dyDescent="0.25">
      <c r="A3113" t="str">
        <f>"20190312161023494"</f>
        <v>20190312161023494</v>
      </c>
      <c r="B3113" t="str">
        <f>"1552378223489536"</f>
        <v>1552378223489536</v>
      </c>
      <c r="C3113" t="s">
        <v>40</v>
      </c>
      <c r="D3113">
        <v>5.4579459999999997</v>
      </c>
      <c r="E3113">
        <v>0.49127549999999998</v>
      </c>
      <c r="F3113" t="s">
        <v>42</v>
      </c>
      <c r="G3113">
        <v>-408.73630000000003</v>
      </c>
      <c r="H3113">
        <v>1.0513999999999999</v>
      </c>
      <c r="I3113">
        <v>212.77670000000001</v>
      </c>
      <c r="J3113">
        <v>-409.34730000000002</v>
      </c>
      <c r="K3113">
        <v>1.1092839999999999</v>
      </c>
      <c r="L3113">
        <v>212.78700000000001</v>
      </c>
      <c r="M3113">
        <v>0.99963089999999999</v>
      </c>
      <c r="N3113">
        <v>0</v>
      </c>
      <c r="O3113">
        <v>2.5532579999999999E-2</v>
      </c>
      <c r="P3113">
        <v>0.99953239999999999</v>
      </c>
      <c r="Q3113">
        <v>-6.9283879999999997E-3</v>
      </c>
      <c r="R3113">
        <v>-2.9786960000000001E-2</v>
      </c>
      <c r="S3113">
        <v>2.9996640000000001</v>
      </c>
      <c r="T3113">
        <v>-0.19394249999999999</v>
      </c>
      <c r="U3113">
        <v>-9.9792479999999996E-3</v>
      </c>
      <c r="V3113">
        <v>5.5300660000000001E-2</v>
      </c>
      <c r="W3113">
        <v>2.3186819999999999E-3</v>
      </c>
      <c r="X3113">
        <v>0.99846699999999999</v>
      </c>
      <c r="Y3113">
        <v>2.8745900000000001E-2</v>
      </c>
      <c r="Z3113">
        <v>-2.5773380000000002E-3</v>
      </c>
      <c r="AA3113">
        <v>0.99958340000000001</v>
      </c>
      <c r="AB3113">
        <v>30</v>
      </c>
      <c r="AC3113">
        <v>0.61099999999999</v>
      </c>
      <c r="AD3113">
        <v>-5.7883999999999998E-2</v>
      </c>
      <c r="AE3113">
        <v>-1.03000000000008E-2</v>
      </c>
      <c r="AF3113">
        <v>2.5667420478618599E-2</v>
      </c>
      <c r="AG3113">
        <v>-5.7883999999999998E-2</v>
      </c>
      <c r="AH3113">
        <v>0.60510848598426703</v>
      </c>
      <c r="AI3113">
        <v>95.459344026929202</v>
      </c>
      <c r="AJ3113">
        <v>87.571090435722596</v>
      </c>
      <c r="AK3113">
        <v>0.60841240432801702</v>
      </c>
      <c r="AL3113">
        <v>89.867149180977606</v>
      </c>
      <c r="AM3113">
        <v>86.829879683136795</v>
      </c>
      <c r="AN3113">
        <v>0.99999994468582398</v>
      </c>
    </row>
    <row r="3114" spans="1:40" x14ac:dyDescent="0.25">
      <c r="A3114" t="str">
        <f>"20190312161023539"</f>
        <v>20190312161023539</v>
      </c>
      <c r="B3114" t="str">
        <f>"1552378223529552"</f>
        <v>1552378223529552</v>
      </c>
      <c r="C3114" t="s">
        <v>40</v>
      </c>
      <c r="D3114">
        <v>5.4468610000000002</v>
      </c>
      <c r="E3114">
        <v>0.4913052</v>
      </c>
      <c r="F3114" t="s">
        <v>61</v>
      </c>
      <c r="G3114">
        <v>-392.28469999999999</v>
      </c>
      <c r="H3114" s="1">
        <v>-3.2099340000000002E-7</v>
      </c>
      <c r="I3114">
        <v>212.7099</v>
      </c>
      <c r="J3114">
        <v>-408.7595</v>
      </c>
      <c r="K3114">
        <v>1.1093139999999999</v>
      </c>
      <c r="L3114">
        <v>212.80119999999999</v>
      </c>
      <c r="M3114">
        <v>0.99964549999999996</v>
      </c>
      <c r="N3114">
        <v>0</v>
      </c>
      <c r="O3114">
        <v>2.487E-2</v>
      </c>
      <c r="P3114">
        <v>0.99951199999999996</v>
      </c>
      <c r="Q3114">
        <v>-6.6711720000000004E-3</v>
      </c>
      <c r="R3114">
        <v>-3.052212E-2</v>
      </c>
      <c r="S3114">
        <v>2.999695</v>
      </c>
      <c r="T3114">
        <v>-0.19501789999999999</v>
      </c>
      <c r="U3114">
        <v>-1.3549800000000001E-2</v>
      </c>
      <c r="V3114">
        <v>5.5373510000000001E-2</v>
      </c>
      <c r="W3114">
        <v>2.7931330000000002E-3</v>
      </c>
      <c r="X3114">
        <v>0.99846179999999995</v>
      </c>
      <c r="Y3114">
        <v>2.927219E-2</v>
      </c>
      <c r="Z3114">
        <v>-2.5656429999999998E-3</v>
      </c>
      <c r="AA3114">
        <v>0.99956820000000002</v>
      </c>
      <c r="AB3114">
        <v>30</v>
      </c>
      <c r="AC3114">
        <v>16.474799999999998</v>
      </c>
      <c r="AD3114">
        <v>-1.1093143209934</v>
      </c>
      <c r="AE3114">
        <v>-9.1299999999989695E-2</v>
      </c>
      <c r="AF3114">
        <v>0.49875731530922002</v>
      </c>
      <c r="AG3114">
        <v>-1.1093143209934</v>
      </c>
      <c r="AH3114">
        <v>16.3931111161126</v>
      </c>
      <c r="AI3114">
        <v>93.869492203640107</v>
      </c>
      <c r="AJ3114">
        <v>88.257324290655802</v>
      </c>
      <c r="AK3114">
        <v>16.438169885591002</v>
      </c>
      <c r="AL3114">
        <v>89.839965058853707</v>
      </c>
      <c r="AM3114">
        <v>86.825695580348494</v>
      </c>
      <c r="AN3114">
        <v>0.99999999663045702</v>
      </c>
    </row>
    <row r="3115" spans="1:40" x14ac:dyDescent="0.25">
      <c r="A3115" t="str">
        <f>"20190312161023560"</f>
        <v>20190312161023560</v>
      </c>
      <c r="B3115" t="str">
        <f>"1552378223549072"</f>
        <v>1552378223549072</v>
      </c>
      <c r="C3115" t="s">
        <v>40</v>
      </c>
      <c r="D3115">
        <v>5.3843329999999998</v>
      </c>
      <c r="E3115">
        <v>0.49137720000000001</v>
      </c>
      <c r="F3115" t="s">
        <v>61</v>
      </c>
      <c r="G3115">
        <v>-391.65559999999999</v>
      </c>
      <c r="H3115" s="1">
        <v>-6.5574569999999905E-7</v>
      </c>
      <c r="I3115">
        <v>212.71</v>
      </c>
      <c r="J3115">
        <v>-408.47160000000002</v>
      </c>
      <c r="K3115">
        <v>1.1093219999999999</v>
      </c>
      <c r="L3115">
        <v>212.8081</v>
      </c>
      <c r="M3115">
        <v>0.9996524</v>
      </c>
      <c r="N3115">
        <v>0</v>
      </c>
      <c r="O3115">
        <v>2.4546399999999999E-2</v>
      </c>
      <c r="P3115">
        <v>0.99948130000000002</v>
      </c>
      <c r="Q3115">
        <v>-7.0986019999999999E-3</v>
      </c>
      <c r="R3115">
        <v>-3.1421860000000003E-2</v>
      </c>
      <c r="S3115">
        <v>2.9996640000000001</v>
      </c>
      <c r="T3115">
        <v>-0.19455120000000001</v>
      </c>
      <c r="U3115">
        <v>-1.6006469999999998E-2</v>
      </c>
      <c r="V3115">
        <v>5.5948669999999999E-2</v>
      </c>
      <c r="W3115">
        <v>2.4760379999999999E-3</v>
      </c>
      <c r="X3115">
        <v>0.99843059999999995</v>
      </c>
      <c r="Y3115">
        <v>2.9767479999999999E-2</v>
      </c>
      <c r="Z3115">
        <v>-2.5546240000000001E-3</v>
      </c>
      <c r="AA3115">
        <v>0.99955360000000004</v>
      </c>
      <c r="AB3115">
        <v>30</v>
      </c>
      <c r="AC3115">
        <v>16.815999999999999</v>
      </c>
      <c r="AD3115">
        <v>-1.1093226557457001</v>
      </c>
      <c r="AE3115">
        <v>-9.8099999999988002E-2</v>
      </c>
      <c r="AF3115">
        <v>0.50864833654918096</v>
      </c>
      <c r="AG3115">
        <v>-1.1093226557457001</v>
      </c>
      <c r="AH3115">
        <v>16.735696450975698</v>
      </c>
      <c r="AI3115">
        <v>93.790547764134701</v>
      </c>
      <c r="AJ3115">
        <v>88.259144195360193</v>
      </c>
      <c r="AK3115">
        <v>16.7801327641954</v>
      </c>
      <c r="AL3115">
        <v>89.858133331093399</v>
      </c>
      <c r="AM3115">
        <v>86.792692811705606</v>
      </c>
      <c r="AN3115">
        <v>1.0000000237276501</v>
      </c>
    </row>
    <row r="3116" spans="1:40" x14ac:dyDescent="0.25">
      <c r="A3116" t="str">
        <f>"20190312161023583"</f>
        <v>20190312161023583</v>
      </c>
      <c r="B3116" t="str">
        <f>"1552378223569568"</f>
        <v>1552378223569568</v>
      </c>
      <c r="C3116" t="s">
        <v>40</v>
      </c>
      <c r="D3116">
        <v>5.5031850000000002</v>
      </c>
      <c r="E3116">
        <v>0.4914926</v>
      </c>
      <c r="F3116" t="s">
        <v>61</v>
      </c>
      <c r="G3116">
        <v>-391.3082</v>
      </c>
      <c r="H3116" s="1">
        <v>-8.406365E-7</v>
      </c>
      <c r="I3116">
        <v>212.69810000000001</v>
      </c>
      <c r="J3116">
        <v>-408.1671</v>
      </c>
      <c r="K3116">
        <v>1.1093360000000001</v>
      </c>
      <c r="L3116">
        <v>212.8152</v>
      </c>
      <c r="M3116">
        <v>0.99965950000000003</v>
      </c>
      <c r="N3116">
        <v>0</v>
      </c>
      <c r="O3116">
        <v>2.4205250000000001E-2</v>
      </c>
      <c r="P3116">
        <v>0.99947140000000001</v>
      </c>
      <c r="Q3116">
        <v>-6.8228759999999899E-3</v>
      </c>
      <c r="R3116">
        <v>-3.1789070000000003E-2</v>
      </c>
      <c r="S3116">
        <v>2.9995419999999999</v>
      </c>
      <c r="T3116">
        <v>-0.19386919999999999</v>
      </c>
      <c r="U3116">
        <v>-1.921082E-2</v>
      </c>
      <c r="V3116">
        <v>5.597531E-2</v>
      </c>
      <c r="W3116">
        <v>2.8694279999999998E-3</v>
      </c>
      <c r="X3116">
        <v>0.99842799999999998</v>
      </c>
      <c r="Y3116">
        <v>3.049435E-2</v>
      </c>
      <c r="Z3116">
        <v>-2.547232E-3</v>
      </c>
      <c r="AA3116">
        <v>0.99953170000000002</v>
      </c>
      <c r="AB3116">
        <v>30</v>
      </c>
      <c r="AC3116">
        <v>16.858899999999998</v>
      </c>
      <c r="AD3116">
        <v>-1.1093368406365001</v>
      </c>
      <c r="AE3116">
        <v>-0.117099999999993</v>
      </c>
      <c r="AF3116">
        <v>0.52289503502157697</v>
      </c>
      <c r="AG3116">
        <v>-1.1093368406365001</v>
      </c>
      <c r="AH3116">
        <v>16.7784814135433</v>
      </c>
      <c r="AI3116">
        <v>93.780868734760901</v>
      </c>
      <c r="AJ3116">
        <v>88.2149764175809</v>
      </c>
      <c r="AK3116">
        <v>16.8232424338551</v>
      </c>
      <c r="AL3116">
        <v>89.835593655451504</v>
      </c>
      <c r="AM3116">
        <v>86.791160501974105</v>
      </c>
      <c r="AN3116">
        <v>0.99999997006532104</v>
      </c>
    </row>
    <row r="3117" spans="1:40" x14ac:dyDescent="0.25">
      <c r="A3117" t="str">
        <f>"20190312161023607"</f>
        <v>20190312161023607</v>
      </c>
      <c r="B3117" t="str">
        <f>"1552378223598848"</f>
        <v>1552378223598848</v>
      </c>
      <c r="C3117" t="s">
        <v>40</v>
      </c>
      <c r="D3117">
        <v>5.4878609999999997</v>
      </c>
      <c r="E3117">
        <v>0.49155860000000001</v>
      </c>
      <c r="F3117" t="s">
        <v>61</v>
      </c>
      <c r="G3117">
        <v>-390.82060000000001</v>
      </c>
      <c r="H3117" s="1">
        <v>-1.100136E-6</v>
      </c>
      <c r="I3117">
        <v>212.69139999999999</v>
      </c>
      <c r="J3117">
        <v>-407.84679999999997</v>
      </c>
      <c r="K3117">
        <v>1.109345</v>
      </c>
      <c r="L3117">
        <v>212.82249999999999</v>
      </c>
      <c r="M3117">
        <v>0.99966699999999997</v>
      </c>
      <c r="N3117">
        <v>0</v>
      </c>
      <c r="O3117">
        <v>2.3846679999999999E-2</v>
      </c>
      <c r="P3117">
        <v>0.99947750000000002</v>
      </c>
      <c r="Q3117">
        <v>-6.4752369999999896E-3</v>
      </c>
      <c r="R3117">
        <v>-3.1668259999999997E-2</v>
      </c>
      <c r="S3117">
        <v>2.9996339999999999</v>
      </c>
      <c r="T3117">
        <v>-0.1918311</v>
      </c>
      <c r="U3117">
        <v>-2.1408079999999999E-2</v>
      </c>
      <c r="V3117">
        <v>5.5496959999999998E-2</v>
      </c>
      <c r="W3117">
        <v>3.3372020000000001E-3</v>
      </c>
      <c r="X3117">
        <v>0.99845329999999999</v>
      </c>
      <c r="Y3117">
        <v>3.0870140000000001E-2</v>
      </c>
      <c r="Z3117">
        <v>-2.5095299999999998E-3</v>
      </c>
      <c r="AA3117">
        <v>0.99952019999999997</v>
      </c>
      <c r="AB3117">
        <v>30</v>
      </c>
      <c r="AC3117">
        <v>17.0261999999999</v>
      </c>
      <c r="AD3117">
        <v>-1.1093461001360001</v>
      </c>
      <c r="AE3117">
        <v>-0.13110000000000299</v>
      </c>
      <c r="AF3117">
        <v>0.53483046681876301</v>
      </c>
      <c r="AG3117">
        <v>-1.1093461001360001</v>
      </c>
      <c r="AH3117">
        <v>16.946295063714501</v>
      </c>
      <c r="AI3117">
        <v>93.743519892613406</v>
      </c>
      <c r="AJ3117">
        <v>88.192326979747193</v>
      </c>
      <c r="AK3117">
        <v>16.9909861039493</v>
      </c>
      <c r="AL3117">
        <v>89.808792059098195</v>
      </c>
      <c r="AM3117">
        <v>86.818606261602397</v>
      </c>
      <c r="AN3117">
        <v>1.0000000208836599</v>
      </c>
    </row>
    <row r="3118" spans="1:40" x14ac:dyDescent="0.25">
      <c r="A3118" t="str">
        <f>"20190312161023626"</f>
        <v>20190312161023626</v>
      </c>
      <c r="B3118" t="str">
        <f>"1552378223619343"</f>
        <v>1552378223619343</v>
      </c>
      <c r="C3118" t="s">
        <v>40</v>
      </c>
      <c r="D3118">
        <v>5.4446599999999998</v>
      </c>
      <c r="E3118">
        <v>0.49154429999999999</v>
      </c>
      <c r="F3118" t="s">
        <v>42</v>
      </c>
      <c r="G3118">
        <v>-406.88159999999999</v>
      </c>
      <c r="H3118">
        <v>1.048678</v>
      </c>
      <c r="I3118">
        <v>212.81530000000001</v>
      </c>
      <c r="J3118">
        <v>-407.58679999999998</v>
      </c>
      <c r="K3118">
        <v>1.1093599999999999</v>
      </c>
      <c r="L3118">
        <v>212.82839999999999</v>
      </c>
      <c r="M3118">
        <v>0.99967289999999998</v>
      </c>
      <c r="N3118">
        <v>0</v>
      </c>
      <c r="O3118">
        <v>2.355585E-2</v>
      </c>
      <c r="P3118">
        <v>0.99945649999999997</v>
      </c>
      <c r="Q3118">
        <v>-7.7499079999999998E-3</v>
      </c>
      <c r="R3118">
        <v>-3.2041060000000003E-2</v>
      </c>
      <c r="S3118">
        <v>2.9996640000000001</v>
      </c>
      <c r="T3118">
        <v>-0.18860009999999999</v>
      </c>
      <c r="U3118">
        <v>-2.1804810000000001E-2</v>
      </c>
      <c r="V3118">
        <v>5.55779E-2</v>
      </c>
      <c r="W3118">
        <v>2.154174E-3</v>
      </c>
      <c r="X3118">
        <v>0.99845200000000001</v>
      </c>
      <c r="Y3118">
        <v>3.0716110000000001E-2</v>
      </c>
      <c r="Z3118">
        <v>-2.4442190000000001E-3</v>
      </c>
      <c r="AA3118">
        <v>0.9995252</v>
      </c>
      <c r="AB3118">
        <v>30</v>
      </c>
      <c r="AC3118">
        <v>0.70519999999998995</v>
      </c>
      <c r="AD3118">
        <v>-6.0682000000000097E-2</v>
      </c>
      <c r="AE3118">
        <v>-1.30999999999801E-2</v>
      </c>
      <c r="AF3118">
        <v>2.9490487522634199E-2</v>
      </c>
      <c r="AG3118">
        <v>-6.0682000000000097E-2</v>
      </c>
      <c r="AH3118">
        <v>0.69951791961667098</v>
      </c>
      <c r="AI3118">
        <v>94.953522478808907</v>
      </c>
      <c r="AJ3118">
        <v>87.585936751631195</v>
      </c>
      <c r="AK3118">
        <v>0.70276405275395104</v>
      </c>
      <c r="AL3118">
        <v>89.876574822285704</v>
      </c>
      <c r="AM3118">
        <v>86.813971743789097</v>
      </c>
      <c r="AN3118">
        <v>0.99999996986901496</v>
      </c>
    </row>
    <row r="3119" spans="1:40" x14ac:dyDescent="0.25">
      <c r="A3119" t="str">
        <f>"20190312161023672"</f>
        <v>20190312161023672</v>
      </c>
      <c r="B3119" t="str">
        <f>"1552378223659360"</f>
        <v>1552378223659360</v>
      </c>
      <c r="C3119" t="s">
        <v>40</v>
      </c>
      <c r="D3119">
        <v>5.5222300000000004</v>
      </c>
      <c r="E3119">
        <v>0.49151800000000001</v>
      </c>
      <c r="F3119" t="s">
        <v>42</v>
      </c>
      <c r="G3119">
        <v>-406.6157</v>
      </c>
      <c r="H3119">
        <v>1.0473680000000001</v>
      </c>
      <c r="I3119">
        <v>212.82060000000001</v>
      </c>
      <c r="J3119">
        <v>-406.98039999999997</v>
      </c>
      <c r="K3119">
        <v>1.109383</v>
      </c>
      <c r="L3119">
        <v>212.84190000000001</v>
      </c>
      <c r="M3119">
        <v>0.99968699999999999</v>
      </c>
      <c r="N3119">
        <v>0</v>
      </c>
      <c r="O3119">
        <v>2.287753E-2</v>
      </c>
      <c r="P3119">
        <v>0.99943130000000002</v>
      </c>
      <c r="Q3119">
        <v>-6.8505629999999996E-3</v>
      </c>
      <c r="R3119">
        <v>-3.3021960000000003E-2</v>
      </c>
      <c r="S3119">
        <v>2.9994510000000001</v>
      </c>
      <c r="T3119">
        <v>-0.19167010000000001</v>
      </c>
      <c r="U3119">
        <v>-2.2293090000000002E-2</v>
      </c>
      <c r="V3119">
        <v>5.5881140000000003E-2</v>
      </c>
      <c r="W3119">
        <v>3.240405E-3</v>
      </c>
      <c r="X3119">
        <v>0.99843219999999999</v>
      </c>
      <c r="Y3119">
        <v>3.0200069999999999E-2</v>
      </c>
      <c r="Z3119">
        <v>-2.4243369999999999E-3</v>
      </c>
      <c r="AA3119">
        <v>0.99954089999999995</v>
      </c>
      <c r="AB3119">
        <v>30</v>
      </c>
      <c r="AC3119">
        <v>0.36469999999996999</v>
      </c>
      <c r="AD3119">
        <v>-6.2014999999999897E-2</v>
      </c>
      <c r="AE3119">
        <v>-2.1299999999996499E-2</v>
      </c>
      <c r="AF3119">
        <v>2.88081344360923E-2</v>
      </c>
      <c r="AG3119">
        <v>-6.2014999999999897E-2</v>
      </c>
      <c r="AH3119">
        <v>0.35391848698800399</v>
      </c>
      <c r="AI3119">
        <v>99.906583891292399</v>
      </c>
      <c r="AJ3119">
        <v>85.346517223934896</v>
      </c>
      <c r="AK3119">
        <v>0.36046367953868302</v>
      </c>
      <c r="AL3119">
        <v>89.814338150243302</v>
      </c>
      <c r="AM3119">
        <v>86.796561084356696</v>
      </c>
      <c r="AN3119">
        <v>1.00000003001455</v>
      </c>
    </row>
    <row r="3120" spans="1:40" x14ac:dyDescent="0.25">
      <c r="A3120" t="str">
        <f>"20190312161023701"</f>
        <v>20190312161023701</v>
      </c>
      <c r="B3120" t="str">
        <f>"1552378223689615"</f>
        <v>1552378223689615</v>
      </c>
      <c r="C3120" t="s">
        <v>40</v>
      </c>
      <c r="D3120">
        <v>5.7142330000000001</v>
      </c>
      <c r="E3120">
        <v>0.49151709999999899</v>
      </c>
      <c r="F3120" t="s">
        <v>61</v>
      </c>
      <c r="G3120">
        <v>-389.22059999999999</v>
      </c>
      <c r="H3120" s="1">
        <v>3.4541399999999999E-6</v>
      </c>
      <c r="I3120">
        <v>212.69059999999999</v>
      </c>
      <c r="J3120">
        <v>-406.59480000000002</v>
      </c>
      <c r="K3120">
        <v>1.109389</v>
      </c>
      <c r="L3120">
        <v>212.8502</v>
      </c>
      <c r="M3120">
        <v>0.99969560000000002</v>
      </c>
      <c r="N3120">
        <v>0</v>
      </c>
      <c r="O3120">
        <v>2.2445980000000001E-2</v>
      </c>
      <c r="P3120">
        <v>0.99939999999999996</v>
      </c>
      <c r="Q3120">
        <v>-7.327971E-3</v>
      </c>
      <c r="R3120">
        <v>-3.385415E-2</v>
      </c>
      <c r="S3120">
        <v>2.9995729999999998</v>
      </c>
      <c r="T3120">
        <v>-0.18737100000000001</v>
      </c>
      <c r="U3120">
        <v>-2.555847E-2</v>
      </c>
      <c r="V3120">
        <v>5.6281409999999997E-2</v>
      </c>
      <c r="W3120">
        <v>2.8627510000000002E-3</v>
      </c>
      <c r="X3120">
        <v>0.99841080000000004</v>
      </c>
      <c r="Y3120">
        <v>3.0860700000000001E-2</v>
      </c>
      <c r="Z3120">
        <v>-2.3636519999999999E-3</v>
      </c>
      <c r="AA3120">
        <v>0.99952090000000005</v>
      </c>
      <c r="AB3120">
        <v>30</v>
      </c>
      <c r="AC3120">
        <v>17.374199999999998</v>
      </c>
      <c r="AD3120">
        <v>-1.1093855458599999</v>
      </c>
      <c r="AE3120">
        <v>-0.15960000000001101</v>
      </c>
      <c r="AF3120">
        <v>0.54732983390258205</v>
      </c>
      <c r="AG3120">
        <v>-1.1093855458599999</v>
      </c>
      <c r="AH3120">
        <v>17.295728554823899</v>
      </c>
      <c r="AI3120">
        <v>93.668216709551302</v>
      </c>
      <c r="AJ3120">
        <v>88.187458395052602</v>
      </c>
      <c r="AK3120">
        <v>17.339911547600099</v>
      </c>
      <c r="AL3120">
        <v>89.835976219139994</v>
      </c>
      <c r="AM3120">
        <v>86.773594525195804</v>
      </c>
      <c r="AN3120">
        <v>0.999999959005757</v>
      </c>
    </row>
    <row r="3121" spans="1:40" x14ac:dyDescent="0.25">
      <c r="A3121" t="str">
        <f>"20190312161023721"</f>
        <v>20190312161023721</v>
      </c>
      <c r="B3121" t="str">
        <f>"1552378223709135"</f>
        <v>1552378223709135</v>
      </c>
      <c r="C3121" t="s">
        <v>40</v>
      </c>
      <c r="D3121">
        <v>5.6760409999999997</v>
      </c>
      <c r="E3121">
        <v>0.5126522</v>
      </c>
      <c r="F3121" t="s">
        <v>61</v>
      </c>
      <c r="G3121">
        <v>-388.93389999999999</v>
      </c>
      <c r="H3121" s="1">
        <v>3.3017979999999998E-6</v>
      </c>
      <c r="I3121">
        <v>212.68549999999999</v>
      </c>
      <c r="J3121">
        <v>-406.31639999999999</v>
      </c>
      <c r="K3121">
        <v>1.109391</v>
      </c>
      <c r="L3121">
        <v>212.8561</v>
      </c>
      <c r="M3121">
        <v>0.99970190000000003</v>
      </c>
      <c r="N3121">
        <v>0</v>
      </c>
      <c r="O3121">
        <v>2.2134549999999999E-2</v>
      </c>
      <c r="P3121">
        <v>0.99936910000000001</v>
      </c>
      <c r="Q3121">
        <v>-7.3933169999999999E-3</v>
      </c>
      <c r="R3121">
        <v>-3.4734029999999999E-2</v>
      </c>
      <c r="S3121">
        <v>2.9994809999999998</v>
      </c>
      <c r="T3121">
        <v>-0.18841479999999999</v>
      </c>
      <c r="U3121">
        <v>-2.7969359999999999E-2</v>
      </c>
      <c r="V3121">
        <v>5.6849429999999999E-2</v>
      </c>
      <c r="W3121">
        <v>2.860844E-3</v>
      </c>
      <c r="X3121">
        <v>0.99837869999999995</v>
      </c>
      <c r="Y3121">
        <v>3.1351400000000001E-2</v>
      </c>
      <c r="Z3121">
        <v>-2.372716E-3</v>
      </c>
      <c r="AA3121">
        <v>0.99950559999999999</v>
      </c>
      <c r="AB3121">
        <v>30</v>
      </c>
      <c r="AC3121">
        <v>17.382499999999901</v>
      </c>
      <c r="AD3121">
        <v>-1.1093876982019999</v>
      </c>
      <c r="AE3121">
        <v>-0.170600000000007</v>
      </c>
      <c r="AF3121">
        <v>0.55307981955139895</v>
      </c>
      <c r="AG3121">
        <v>-1.1093876982019999</v>
      </c>
      <c r="AH3121">
        <v>17.3039876295352</v>
      </c>
      <c r="AI3121">
        <v>93.666440917232293</v>
      </c>
      <c r="AJ3121">
        <v>88.169303202501098</v>
      </c>
      <c r="AK3121">
        <v>17.3483320879796</v>
      </c>
      <c r="AL3121">
        <v>89.836085495160106</v>
      </c>
      <c r="AM3121">
        <v>86.740997315896706</v>
      </c>
      <c r="AN3121">
        <v>1.0000000353667</v>
      </c>
    </row>
    <row r="3122" spans="1:40" x14ac:dyDescent="0.25">
      <c r="A3122" t="str">
        <f>"20190312161023742"</f>
        <v>20190312161023742</v>
      </c>
      <c r="B3122" t="str">
        <f>"1552378223729632"</f>
        <v>1552378223729632</v>
      </c>
      <c r="C3122" t="s">
        <v>40</v>
      </c>
      <c r="D3122">
        <v>5.8644540000000003</v>
      </c>
      <c r="E3122">
        <v>0.54213120000000004</v>
      </c>
      <c r="F3122" t="s">
        <v>42</v>
      </c>
      <c r="G3122">
        <v>-405.56889999999999</v>
      </c>
      <c r="H3122">
        <v>1.003009</v>
      </c>
      <c r="I3122">
        <v>212.8081</v>
      </c>
      <c r="J3122">
        <v>-406.04199999999997</v>
      </c>
      <c r="K3122">
        <v>1.10938799999999</v>
      </c>
      <c r="L3122">
        <v>212.86189999999999</v>
      </c>
      <c r="M3122">
        <v>0.99970800000000004</v>
      </c>
      <c r="N3122">
        <v>0</v>
      </c>
      <c r="O3122">
        <v>2.182781E-2</v>
      </c>
      <c r="P3122">
        <v>0.99936519999999995</v>
      </c>
      <c r="Q3122">
        <v>-7.0987460000000004E-3</v>
      </c>
      <c r="R3122">
        <v>-3.4906989999999999E-2</v>
      </c>
      <c r="S3122">
        <v>2.9921259999999998</v>
      </c>
      <c r="T3122">
        <v>-0.42583359999999898</v>
      </c>
      <c r="U3122">
        <v>-0.1904449</v>
      </c>
      <c r="V3122">
        <v>5.6716269999999999E-2</v>
      </c>
      <c r="W3122">
        <v>3.2117949999999999E-3</v>
      </c>
      <c r="X3122">
        <v>0.99838519999999997</v>
      </c>
      <c r="Y3122">
        <v>8.4225229999999998E-2</v>
      </c>
      <c r="Z3122">
        <v>-9.0457599999999999E-3</v>
      </c>
      <c r="AA3122">
        <v>0.99640569999999895</v>
      </c>
      <c r="AB3122">
        <v>30</v>
      </c>
      <c r="AC3122">
        <v>0.47309999999998797</v>
      </c>
      <c r="AD3122">
        <v>-0.106378999999999</v>
      </c>
      <c r="AE3122">
        <v>-5.37999999999954E-2</v>
      </c>
      <c r="AF3122">
        <v>6.1066381547306203E-2</v>
      </c>
      <c r="AG3122">
        <v>-0.106378999999999</v>
      </c>
      <c r="AH3122">
        <v>0.449382233132398</v>
      </c>
      <c r="AI3122">
        <v>103.20103314565</v>
      </c>
      <c r="AJ3122">
        <v>82.261498921436797</v>
      </c>
      <c r="AK3122">
        <v>0.46582183938855998</v>
      </c>
      <c r="AL3122">
        <v>89.815977390834703</v>
      </c>
      <c r="AM3122">
        <v>86.748635694373604</v>
      </c>
      <c r="AN3122">
        <v>1.00000002924443</v>
      </c>
    </row>
    <row r="3123" spans="1:40" x14ac:dyDescent="0.25">
      <c r="A3123" t="str">
        <f>"20190312161023760"</f>
        <v>20190312161023760</v>
      </c>
      <c r="B3123" t="str">
        <f>"1552378223749152"</f>
        <v>1552378223749152</v>
      </c>
      <c r="C3123" t="s">
        <v>40</v>
      </c>
      <c r="D3123">
        <v>5.6669390000000002</v>
      </c>
      <c r="E3123">
        <v>0.54211409999999904</v>
      </c>
      <c r="F3123" t="s">
        <v>42</v>
      </c>
      <c r="G3123">
        <v>-405.32940000000002</v>
      </c>
      <c r="H3123">
        <v>0.94050089999999997</v>
      </c>
      <c r="I3123">
        <v>212.7621</v>
      </c>
      <c r="J3123">
        <v>-405.79419999999999</v>
      </c>
      <c r="K3123">
        <v>1.109391</v>
      </c>
      <c r="L3123">
        <v>212.86699999999999</v>
      </c>
      <c r="M3123">
        <v>0.99971370000000004</v>
      </c>
      <c r="N3123">
        <v>0</v>
      </c>
      <c r="O3123">
        <v>2.1550759999999999E-2</v>
      </c>
      <c r="P3123">
        <v>0.99938830000000001</v>
      </c>
      <c r="Q3123">
        <v>-7.1984850000000001E-3</v>
      </c>
      <c r="R3123">
        <v>-3.4224930000000001E-2</v>
      </c>
      <c r="S3123">
        <v>2.9823909999999998</v>
      </c>
      <c r="T3123">
        <v>-0.70679389999999997</v>
      </c>
      <c r="U3123">
        <v>-0.41610720000000001</v>
      </c>
      <c r="V3123">
        <v>5.5757950000000001E-2</v>
      </c>
      <c r="W3123">
        <v>3.1588660000000002E-3</v>
      </c>
      <c r="X3123">
        <v>0.99843930000000003</v>
      </c>
      <c r="Y3123">
        <v>0.15470239999999999</v>
      </c>
      <c r="Z3123">
        <v>-2.301334E-2</v>
      </c>
      <c r="AA3123">
        <v>0.98769309999999999</v>
      </c>
      <c r="AB3123">
        <v>30</v>
      </c>
      <c r="AC3123">
        <v>0.46479999999996802</v>
      </c>
      <c r="AD3123">
        <v>-0.16889009999999999</v>
      </c>
      <c r="AE3123">
        <v>-0.104900000000014</v>
      </c>
      <c r="AF3123">
        <v>0.102069746133061</v>
      </c>
      <c r="AG3123">
        <v>-0.16889009999999999</v>
      </c>
      <c r="AH3123">
        <v>0.410819216265006</v>
      </c>
      <c r="AI3123">
        <v>111.750801235959</v>
      </c>
      <c r="AJ3123">
        <v>76.047146532415596</v>
      </c>
      <c r="AK3123">
        <v>0.45575709254631602</v>
      </c>
      <c r="AL3123">
        <v>89.819010005822705</v>
      </c>
      <c r="AM3123">
        <v>86.803631090261305</v>
      </c>
      <c r="AN3123">
        <v>0.99999998160354897</v>
      </c>
    </row>
    <row r="3124" spans="1:40" x14ac:dyDescent="0.25">
      <c r="A3124" t="str">
        <f>"20190312161023805"</f>
        <v>20190312161023805</v>
      </c>
      <c r="B3124" t="str">
        <f>"1552378223798927"</f>
        <v>1552378223798927</v>
      </c>
      <c r="C3124" t="s">
        <v>40</v>
      </c>
      <c r="D3124">
        <v>5.8136789999999996</v>
      </c>
      <c r="E3124">
        <v>0.55235829999999997</v>
      </c>
      <c r="F3124" t="s">
        <v>42</v>
      </c>
      <c r="G3124">
        <v>-405.06310000000002</v>
      </c>
      <c r="H3124">
        <v>0.93615499999999996</v>
      </c>
      <c r="I3124">
        <v>212.76509999999999</v>
      </c>
      <c r="J3124">
        <v>-405.19639999999998</v>
      </c>
      <c r="K3124">
        <v>1.109402</v>
      </c>
      <c r="L3124">
        <v>212.87909999999999</v>
      </c>
      <c r="M3124">
        <v>0.99972680000000003</v>
      </c>
      <c r="N3124">
        <v>0</v>
      </c>
      <c r="O3124">
        <v>2.088278E-2</v>
      </c>
      <c r="P3124">
        <v>0.99942730000000002</v>
      </c>
      <c r="Q3124">
        <v>-7.3979939999999998E-3</v>
      </c>
      <c r="R3124">
        <v>-3.3019319999999998E-2</v>
      </c>
      <c r="S3124">
        <v>2.982513</v>
      </c>
      <c r="T3124">
        <v>-0.70677970000000001</v>
      </c>
      <c r="U3124">
        <v>-0.4145355</v>
      </c>
      <c r="V3124">
        <v>5.3886339999999998E-2</v>
      </c>
      <c r="W3124">
        <v>3.054916E-3</v>
      </c>
      <c r="X3124">
        <v>0.99854240000000005</v>
      </c>
      <c r="Y3124">
        <v>0.15357570000000001</v>
      </c>
      <c r="Z3124">
        <v>-2.2726199999999998E-2</v>
      </c>
      <c r="AA3124">
        <v>0.98787550000000002</v>
      </c>
      <c r="AB3124">
        <v>30</v>
      </c>
      <c r="AC3124">
        <v>0.133299999999962</v>
      </c>
      <c r="AD3124">
        <v>-0.17324700000000001</v>
      </c>
      <c r="AE3124">
        <v>-0.114000000000004</v>
      </c>
      <c r="AF3124">
        <v>5.9100220771840101E-2</v>
      </c>
      <c r="AG3124">
        <v>-0.17324700000000001</v>
      </c>
      <c r="AH3124">
        <v>6.6253048139269202E-2</v>
      </c>
      <c r="AI3124">
        <v>152.86662980786801</v>
      </c>
      <c r="AJ3124">
        <v>48.265833366545401</v>
      </c>
      <c r="AK3124">
        <v>0.194671069992499</v>
      </c>
      <c r="AL3124">
        <v>89.824965933721401</v>
      </c>
      <c r="AM3124">
        <v>86.9110295571476</v>
      </c>
      <c r="AN3124">
        <v>0.99999999737406098</v>
      </c>
    </row>
    <row r="3125" spans="1:40" x14ac:dyDescent="0.25">
      <c r="A3125" t="str">
        <f>"20190312161023827"</f>
        <v>20190312161023827</v>
      </c>
      <c r="B3125" t="str">
        <f>"1552378223819424"</f>
        <v>1552378223819424</v>
      </c>
      <c r="C3125" t="s">
        <v>40</v>
      </c>
      <c r="D3125">
        <v>6.4620480000000002</v>
      </c>
      <c r="E3125">
        <v>0.55087449999999905</v>
      </c>
      <c r="F3125" t="s">
        <v>42</v>
      </c>
      <c r="G3125">
        <v>-404.28629999999998</v>
      </c>
      <c r="H3125">
        <v>0.86193220000000004</v>
      </c>
      <c r="I3125">
        <v>212.7296</v>
      </c>
      <c r="J3125">
        <v>-404.90219999999999</v>
      </c>
      <c r="K3125">
        <v>1.109402</v>
      </c>
      <c r="L3125">
        <v>212.88489999999999</v>
      </c>
      <c r="M3125">
        <v>0.99973310000000004</v>
      </c>
      <c r="N3125">
        <v>0</v>
      </c>
      <c r="O3125">
        <v>2.0554090000000001E-2</v>
      </c>
      <c r="P3125">
        <v>0.99942770000000003</v>
      </c>
      <c r="Q3125">
        <v>-7.067388E-3</v>
      </c>
      <c r="R3125">
        <v>-3.3076670000000002E-2</v>
      </c>
      <c r="S3125">
        <v>2.979584</v>
      </c>
      <c r="T3125">
        <v>-0.8101043</v>
      </c>
      <c r="U3125">
        <v>-0.4885254</v>
      </c>
      <c r="V3125">
        <v>5.3615549999999998E-2</v>
      </c>
      <c r="W3125">
        <v>3.4230329999999998E-3</v>
      </c>
      <c r="X3125">
        <v>0.99855579999999999</v>
      </c>
      <c r="Y3125">
        <v>0.175121</v>
      </c>
      <c r="Z3125">
        <v>-2.8691359999999999E-2</v>
      </c>
      <c r="AA3125">
        <v>0.98412880000000003</v>
      </c>
      <c r="AB3125">
        <v>30</v>
      </c>
      <c r="AC3125">
        <v>0.61590000000001</v>
      </c>
      <c r="AD3125">
        <v>-0.24746979999999999</v>
      </c>
      <c r="AE3125">
        <v>-0.15529999999998201</v>
      </c>
      <c r="AF3125">
        <v>0.145796211096997</v>
      </c>
      <c r="AG3125">
        <v>-0.24746979999999999</v>
      </c>
      <c r="AH3125">
        <v>0.53184667367065697</v>
      </c>
      <c r="AI3125">
        <v>114.16801540626599</v>
      </c>
      <c r="AJ3125">
        <v>74.669993254568595</v>
      </c>
      <c r="AK3125">
        <v>0.60444910569610599</v>
      </c>
      <c r="AL3125">
        <v>89.803874275907503</v>
      </c>
      <c r="AM3125">
        <v>86.926563601889896</v>
      </c>
      <c r="AN3125">
        <v>1.00000001503518</v>
      </c>
    </row>
    <row r="3126" spans="1:40" x14ac:dyDescent="0.25">
      <c r="A3126" t="str">
        <f>"20190312161023850"</f>
        <v>20190312161023850</v>
      </c>
      <c r="B3126" t="str">
        <f>"1552378223838943"</f>
        <v>1552378223838943</v>
      </c>
      <c r="C3126" t="s">
        <v>40</v>
      </c>
      <c r="D3126">
        <v>5.7592610000000004</v>
      </c>
      <c r="E3126">
        <v>0.54874219999999996</v>
      </c>
      <c r="F3126" t="s">
        <v>42</v>
      </c>
      <c r="G3126">
        <v>-404.01330000000002</v>
      </c>
      <c r="H3126">
        <v>0.87259010000000004</v>
      </c>
      <c r="I3126">
        <v>212.7422</v>
      </c>
      <c r="J3126">
        <v>-404.58710000000002</v>
      </c>
      <c r="K3126">
        <v>1.10941</v>
      </c>
      <c r="L3126">
        <v>212.89099999999999</v>
      </c>
      <c r="M3126">
        <v>0.99973990000000001</v>
      </c>
      <c r="N3126">
        <v>0</v>
      </c>
      <c r="O3126">
        <v>2.0201139999999999E-2</v>
      </c>
      <c r="P3126">
        <v>0.99942379999999997</v>
      </c>
      <c r="Q3126">
        <v>-7.1586509999999898E-3</v>
      </c>
      <c r="R3126">
        <v>-3.31819E-2</v>
      </c>
      <c r="S3126">
        <v>2.9803470000000001</v>
      </c>
      <c r="T3126">
        <v>-0.79399750000000002</v>
      </c>
      <c r="U3126">
        <v>-0.477356</v>
      </c>
      <c r="V3126">
        <v>5.3367999999999902E-2</v>
      </c>
      <c r="W3126">
        <v>3.368196E-3</v>
      </c>
      <c r="X3126">
        <v>0.99856929999999999</v>
      </c>
      <c r="Y3126">
        <v>0.17153940000000001</v>
      </c>
      <c r="Z3126">
        <v>-2.7582990000000002E-2</v>
      </c>
      <c r="AA3126">
        <v>0.98479099999999997</v>
      </c>
      <c r="AB3126">
        <v>30</v>
      </c>
      <c r="AC3126">
        <v>0.57380000000000497</v>
      </c>
      <c r="AD3126">
        <v>-0.2368199</v>
      </c>
      <c r="AE3126">
        <v>-0.14879999999999399</v>
      </c>
      <c r="AF3126">
        <v>0.13828979444322201</v>
      </c>
      <c r="AG3126">
        <v>-0.2368199</v>
      </c>
      <c r="AH3126">
        <v>0.49212984882847399</v>
      </c>
      <c r="AI3126">
        <v>114.856931417346</v>
      </c>
      <c r="AJ3126">
        <v>74.304495968120307</v>
      </c>
      <c r="AK3126">
        <v>0.56338221518885001</v>
      </c>
      <c r="AL3126">
        <v>89.807016232767296</v>
      </c>
      <c r="AM3126">
        <v>86.940768322216599</v>
      </c>
      <c r="AN3126">
        <v>1.0000000675353899</v>
      </c>
    </row>
    <row r="3127" spans="1:40" x14ac:dyDescent="0.25">
      <c r="A3127" t="str">
        <f>"20190312161023873"</f>
        <v>20190312161023873</v>
      </c>
      <c r="B3127" t="str">
        <f>"1552378223869200"</f>
        <v>1552378223869200</v>
      </c>
      <c r="C3127" t="s">
        <v>40</v>
      </c>
      <c r="D3127">
        <v>5.7001929999999996</v>
      </c>
      <c r="E3127">
        <v>0.54758039999999997</v>
      </c>
      <c r="F3127" t="s">
        <v>42</v>
      </c>
      <c r="G3127">
        <v>-403.73779999999999</v>
      </c>
      <c r="H3127">
        <v>0.88991629999999999</v>
      </c>
      <c r="I3127">
        <v>212.7594</v>
      </c>
      <c r="J3127">
        <v>-404.27980000000002</v>
      </c>
      <c r="K3127">
        <v>1.1094090000000001</v>
      </c>
      <c r="L3127">
        <v>212.89680000000001</v>
      </c>
      <c r="M3127">
        <v>0.99974669999999999</v>
      </c>
      <c r="N3127">
        <v>0</v>
      </c>
      <c r="O3127">
        <v>1.985249E-2</v>
      </c>
      <c r="P3127">
        <v>0.99941690000000005</v>
      </c>
      <c r="Q3127">
        <v>-6.4482489999999996E-3</v>
      </c>
      <c r="R3127">
        <v>-3.3535389999999998E-2</v>
      </c>
      <c r="S3127">
        <v>2.9808650000000001</v>
      </c>
      <c r="T3127">
        <v>-0.77031510000000003</v>
      </c>
      <c r="U3127">
        <v>-0.46228029999999998</v>
      </c>
      <c r="V3127">
        <v>5.3373650000000002E-2</v>
      </c>
      <c r="W3127">
        <v>4.1091959999999999E-3</v>
      </c>
      <c r="X3127">
        <v>0.99856619999999996</v>
      </c>
      <c r="Y3127">
        <v>0.16684350000000001</v>
      </c>
      <c r="Z3127">
        <v>-2.6110069999999999E-2</v>
      </c>
      <c r="AA3127">
        <v>0.9856376</v>
      </c>
      <c r="AB3127">
        <v>30</v>
      </c>
      <c r="AC3127">
        <v>0.54200000000003001</v>
      </c>
      <c r="AD3127">
        <v>-0.21949270000000001</v>
      </c>
      <c r="AE3127">
        <v>-0.13740000000001301</v>
      </c>
      <c r="AF3127">
        <v>0.128354619926213</v>
      </c>
      <c r="AG3127">
        <v>-0.21949270000000001</v>
      </c>
      <c r="AH3127">
        <v>0.46717536103798502</v>
      </c>
      <c r="AI3127">
        <v>114.37249421605399</v>
      </c>
      <c r="AJ3127">
        <v>74.637272922008904</v>
      </c>
      <c r="AK3127">
        <v>0.53188793158960201</v>
      </c>
      <c r="AL3127">
        <v>89.764559759751904</v>
      </c>
      <c r="AM3127">
        <v>86.940435580490998</v>
      </c>
      <c r="AN3127">
        <v>1.00000004389426</v>
      </c>
    </row>
    <row r="3128" spans="1:40" x14ac:dyDescent="0.25">
      <c r="A3128" t="str">
        <f>"20190312161023918"</f>
        <v>20190312161023918</v>
      </c>
      <c r="B3128" t="str">
        <f>"1552378223909215"</f>
        <v>1552378223909215</v>
      </c>
      <c r="C3128" t="s">
        <v>40</v>
      </c>
      <c r="D3128">
        <v>5.7954739999999996</v>
      </c>
      <c r="E3128">
        <v>0.54846300000000003</v>
      </c>
      <c r="F3128" t="s">
        <v>42</v>
      </c>
      <c r="G3128">
        <v>-403.46339999999998</v>
      </c>
      <c r="H3128">
        <v>0.90307249999999994</v>
      </c>
      <c r="I3128">
        <v>212.77199999999999</v>
      </c>
      <c r="J3128">
        <v>-403.66629999999998</v>
      </c>
      <c r="K3128">
        <v>1.1093930000000001</v>
      </c>
      <c r="L3128">
        <v>212.90809999999999</v>
      </c>
      <c r="M3128">
        <v>0.99976039999999999</v>
      </c>
      <c r="N3128">
        <v>0</v>
      </c>
      <c r="O3128">
        <v>1.9118920000000001E-2</v>
      </c>
      <c r="P3128">
        <v>0.99939699999999998</v>
      </c>
      <c r="Q3128">
        <v>-6.3959669999999998E-3</v>
      </c>
      <c r="R3128">
        <v>-3.4132919999999997E-2</v>
      </c>
      <c r="S3128">
        <v>2.981598</v>
      </c>
      <c r="T3128">
        <v>-0.75359200000000004</v>
      </c>
      <c r="U3128">
        <v>-0.45465090000000002</v>
      </c>
      <c r="V3128">
        <v>5.3238199999999902E-2</v>
      </c>
      <c r="W3128">
        <v>4.2131460000000001E-3</v>
      </c>
      <c r="X3128">
        <v>0.99857289999999999</v>
      </c>
      <c r="Y3128">
        <v>0.16398399999999999</v>
      </c>
      <c r="Z3128">
        <v>-2.5023610000000002E-2</v>
      </c>
      <c r="AA3128">
        <v>0.98614559999999996</v>
      </c>
      <c r="AB3128">
        <v>30</v>
      </c>
      <c r="AC3128">
        <v>0.202899999999999</v>
      </c>
      <c r="AD3128">
        <v>-0.20632049999999999</v>
      </c>
      <c r="AE3128">
        <v>-0.13609999999996999</v>
      </c>
      <c r="AF3128">
        <v>8.1695031109643504E-2</v>
      </c>
      <c r="AG3128">
        <v>-0.20632049999999999</v>
      </c>
      <c r="AH3128">
        <v>0.116897234718291</v>
      </c>
      <c r="AI3128">
        <v>145.34659124622399</v>
      </c>
      <c r="AJ3128">
        <v>55.051764696557001</v>
      </c>
      <c r="AK3128">
        <v>0.25081305849783597</v>
      </c>
      <c r="AL3128">
        <v>89.758603788673099</v>
      </c>
      <c r="AM3128">
        <v>86.948205790346705</v>
      </c>
      <c r="AN3128">
        <v>0.99999994657643199</v>
      </c>
    </row>
    <row r="3129" spans="1:40" x14ac:dyDescent="0.25">
      <c r="A3129" t="str">
        <f>"20190312161023940"</f>
        <v>20190312161023940</v>
      </c>
      <c r="B3129" t="str">
        <f>"1552378223929713"</f>
        <v>1552378223929713</v>
      </c>
      <c r="C3129" t="s">
        <v>40</v>
      </c>
      <c r="D3129">
        <v>5.769298</v>
      </c>
      <c r="E3129">
        <v>0.54791129999999999</v>
      </c>
      <c r="F3129" t="s">
        <v>42</v>
      </c>
      <c r="G3129">
        <v>-402.91890000000001</v>
      </c>
      <c r="H3129">
        <v>0.9175934</v>
      </c>
      <c r="I3129">
        <v>212.79159999999999</v>
      </c>
      <c r="J3129">
        <v>-403.36880000000002</v>
      </c>
      <c r="K3129">
        <v>1.1093740000000001</v>
      </c>
      <c r="L3129">
        <v>212.9134</v>
      </c>
      <c r="M3129">
        <v>0.99976739999999997</v>
      </c>
      <c r="N3129">
        <v>0</v>
      </c>
      <c r="O3129">
        <v>1.8736490000000001E-2</v>
      </c>
      <c r="P3129">
        <v>0.99938300000000002</v>
      </c>
      <c r="Q3129">
        <v>-6.9705840000000002E-3</v>
      </c>
      <c r="R3129">
        <v>-3.442688E-2</v>
      </c>
      <c r="S3129">
        <v>2.9811399999999999</v>
      </c>
      <c r="T3129">
        <v>-0.7649994</v>
      </c>
      <c r="U3129">
        <v>-0.46321109999999999</v>
      </c>
      <c r="V3129">
        <v>5.3149689999999999E-2</v>
      </c>
      <c r="W3129">
        <v>3.6638339999999999E-3</v>
      </c>
      <c r="X3129">
        <v>0.99857989999999996</v>
      </c>
      <c r="Y3129">
        <v>0.16617029999999999</v>
      </c>
      <c r="Z3129">
        <v>-2.5567690000000001E-2</v>
      </c>
      <c r="AA3129">
        <v>0.98576560000000002</v>
      </c>
      <c r="AB3129">
        <v>30</v>
      </c>
      <c r="AC3129">
        <v>0.44990000000001301</v>
      </c>
      <c r="AD3129">
        <v>-0.1917806</v>
      </c>
      <c r="AE3129">
        <v>-0.121800000000007</v>
      </c>
      <c r="AF3129">
        <v>0.11135598480537</v>
      </c>
      <c r="AG3129">
        <v>-0.1917806</v>
      </c>
      <c r="AH3129">
        <v>0.38274049964076201</v>
      </c>
      <c r="AI3129">
        <v>115.693260045713</v>
      </c>
      <c r="AJ3129">
        <v>73.777971503196696</v>
      </c>
      <c r="AK3129">
        <v>0.44234629415605398</v>
      </c>
      <c r="AL3129">
        <v>89.790077318941499</v>
      </c>
      <c r="AM3129">
        <v>86.953291234096099</v>
      </c>
      <c r="AN3129">
        <v>1.00000006495534</v>
      </c>
    </row>
    <row r="3130" spans="1:40" x14ac:dyDescent="0.25">
      <c r="A3130" t="str">
        <f>"20190312161023961"</f>
        <v>20190312161023961</v>
      </c>
      <c r="B3130" t="str">
        <f>"1552378223949232"</f>
        <v>1552378223949232</v>
      </c>
      <c r="C3130" t="s">
        <v>40</v>
      </c>
      <c r="D3130">
        <v>5.7826129999999996</v>
      </c>
      <c r="E3130">
        <v>0.54809180000000002</v>
      </c>
      <c r="F3130" t="s">
        <v>42</v>
      </c>
      <c r="G3130">
        <v>-402.64589999999998</v>
      </c>
      <c r="H3130">
        <v>0.92544999999999999</v>
      </c>
      <c r="I3130">
        <v>212.80170000000001</v>
      </c>
      <c r="J3130">
        <v>-403.07929999999999</v>
      </c>
      <c r="K3130">
        <v>1.109356</v>
      </c>
      <c r="L3130">
        <v>212.91839999999999</v>
      </c>
      <c r="M3130">
        <v>0.99977439999999995</v>
      </c>
      <c r="N3130">
        <v>0</v>
      </c>
      <c r="O3130">
        <v>1.8336680000000001E-2</v>
      </c>
      <c r="P3130">
        <v>0.99935589999999996</v>
      </c>
      <c r="Q3130">
        <v>-8.2040419999999999E-3</v>
      </c>
      <c r="R3130">
        <v>-3.4935470000000003E-2</v>
      </c>
      <c r="S3130">
        <v>2.9807130000000002</v>
      </c>
      <c r="T3130">
        <v>-0.75831009999999999</v>
      </c>
      <c r="U3130">
        <v>-0.45979310000000001</v>
      </c>
      <c r="V3130">
        <v>5.3257649999999997E-2</v>
      </c>
      <c r="W3130">
        <v>2.4569639999999998E-3</v>
      </c>
      <c r="X3130">
        <v>0.99857779999999996</v>
      </c>
      <c r="Y3130">
        <v>0.1648452</v>
      </c>
      <c r="Z3130">
        <v>-2.5091909999999999E-2</v>
      </c>
      <c r="AA3130">
        <v>0.98600019999999999</v>
      </c>
      <c r="AB3130">
        <v>30</v>
      </c>
      <c r="AC3130">
        <v>0.433400000000006</v>
      </c>
      <c r="AD3130">
        <v>-0.18390599999999999</v>
      </c>
      <c r="AE3130">
        <v>-0.11669999999998</v>
      </c>
      <c r="AF3130">
        <v>0.106712412052465</v>
      </c>
      <c r="AG3130">
        <v>-0.18390599999999999</v>
      </c>
      <c r="AH3130">
        <v>0.369203026566156</v>
      </c>
      <c r="AI3130">
        <v>115.572452433229</v>
      </c>
      <c r="AJ3130">
        <v>73.878881821574396</v>
      </c>
      <c r="AK3130">
        <v>0.42605144119890598</v>
      </c>
      <c r="AL3130">
        <v>89.859226193326705</v>
      </c>
      <c r="AM3130">
        <v>86.947107911291596</v>
      </c>
      <c r="AN3130">
        <v>1.0000000183042199</v>
      </c>
    </row>
    <row r="3131" spans="1:40" x14ac:dyDescent="0.25">
      <c r="A3131" t="str">
        <f>"20190312161023985"</f>
        <v>20190312161023985</v>
      </c>
      <c r="B3131" t="str">
        <f>"1552378223979487"</f>
        <v>1552378223979487</v>
      </c>
      <c r="C3131" t="s">
        <v>40</v>
      </c>
      <c r="D3131">
        <v>5.6096009999999996</v>
      </c>
      <c r="E3131">
        <v>0.54816229999999999</v>
      </c>
      <c r="F3131" t="s">
        <v>42</v>
      </c>
      <c r="G3131">
        <v>-402.37439999999998</v>
      </c>
      <c r="H3131">
        <v>0.9290503</v>
      </c>
      <c r="I3131">
        <v>212.80860000000001</v>
      </c>
      <c r="J3131">
        <v>-402.77100000000002</v>
      </c>
      <c r="K3131">
        <v>1.109327</v>
      </c>
      <c r="L3131">
        <v>212.92359999999999</v>
      </c>
      <c r="M3131">
        <v>0.99978239999999996</v>
      </c>
      <c r="N3131">
        <v>0</v>
      </c>
      <c r="O3131">
        <v>1.787219E-2</v>
      </c>
      <c r="P3131">
        <v>0.99934659999999997</v>
      </c>
      <c r="Q3131">
        <v>-8.2427400000000001E-3</v>
      </c>
      <c r="R3131">
        <v>-3.519299E-2</v>
      </c>
      <c r="S3131">
        <v>2.979492</v>
      </c>
      <c r="T3131">
        <v>-0.76211609999999996</v>
      </c>
      <c r="U3131">
        <v>-0.46261600000000003</v>
      </c>
      <c r="V3131">
        <v>5.3051029999999999E-2</v>
      </c>
      <c r="W3131">
        <v>2.4488579999999999E-3</v>
      </c>
      <c r="X3131">
        <v>0.99858880000000005</v>
      </c>
      <c r="Y3131">
        <v>0.165300799999999</v>
      </c>
      <c r="Z3131">
        <v>-2.5162859999999999E-2</v>
      </c>
      <c r="AA3131">
        <v>0.98592219999999997</v>
      </c>
      <c r="AB3131">
        <v>30</v>
      </c>
      <c r="AC3131">
        <v>0.39659999999997803</v>
      </c>
      <c r="AD3131">
        <v>-0.18027669999999901</v>
      </c>
      <c r="AE3131">
        <v>-0.11499999999997999</v>
      </c>
      <c r="AF3131">
        <v>0.10252865148038599</v>
      </c>
      <c r="AG3131">
        <v>-0.18027669999999901</v>
      </c>
      <c r="AH3131">
        <v>0.33133102523292901</v>
      </c>
      <c r="AI3131">
        <v>117.464562016531</v>
      </c>
      <c r="AJ3131">
        <v>72.805591793807295</v>
      </c>
      <c r="AK3131">
        <v>0.39088625099788399</v>
      </c>
      <c r="AL3131">
        <v>89.859690631748194</v>
      </c>
      <c r="AM3131">
        <v>86.958963165626699</v>
      </c>
      <c r="AN3131">
        <v>1.0000000000875</v>
      </c>
    </row>
    <row r="3132" spans="1:40" x14ac:dyDescent="0.25">
      <c r="A3132" t="str">
        <f>"20190312161024006"</f>
        <v>20190312161024006</v>
      </c>
      <c r="B3132" t="str">
        <f>"1552378223999008"</f>
        <v>1552378223999008</v>
      </c>
      <c r="C3132" t="s">
        <v>40</v>
      </c>
      <c r="D3132">
        <v>5.6010239999999998</v>
      </c>
      <c r="E3132">
        <v>0.54711279999999995</v>
      </c>
      <c r="F3132" t="s">
        <v>42</v>
      </c>
      <c r="G3132">
        <v>-401.85559999999998</v>
      </c>
      <c r="H3132">
        <v>0.87323119999999999</v>
      </c>
      <c r="I3132">
        <v>212.78049999999999</v>
      </c>
      <c r="J3132">
        <v>-402.47199999999998</v>
      </c>
      <c r="K3132">
        <v>1.109297</v>
      </c>
      <c r="L3132">
        <v>212.92840000000001</v>
      </c>
      <c r="M3132">
        <v>0.99979070000000003</v>
      </c>
      <c r="N3132">
        <v>0</v>
      </c>
      <c r="O3132">
        <v>1.7382149999999999E-2</v>
      </c>
      <c r="P3132">
        <v>0.99930280000000005</v>
      </c>
      <c r="Q3132">
        <v>-9.0302639999999997E-3</v>
      </c>
      <c r="R3132">
        <v>-3.6228349999999999E-2</v>
      </c>
      <c r="S3132">
        <v>2.9792480000000001</v>
      </c>
      <c r="T3132">
        <v>-0.7682601</v>
      </c>
      <c r="U3132">
        <v>-0.46382139999999999</v>
      </c>
      <c r="V3132">
        <v>5.3595669999999998E-2</v>
      </c>
      <c r="W3132">
        <v>1.690689E-3</v>
      </c>
      <c r="X3132">
        <v>0.99856129999999999</v>
      </c>
      <c r="Y3132">
        <v>0.16514789999999999</v>
      </c>
      <c r="Z3132">
        <v>-2.5217690000000001E-2</v>
      </c>
      <c r="AA3132">
        <v>0.9859464</v>
      </c>
      <c r="AB3132">
        <v>30</v>
      </c>
      <c r="AC3132">
        <v>0.61639999999999795</v>
      </c>
      <c r="AD3132">
        <v>-0.23606579999999999</v>
      </c>
      <c r="AE3132">
        <v>-0.14790000000002099</v>
      </c>
      <c r="AF3132">
        <v>0.13927694523714701</v>
      </c>
      <c r="AG3132">
        <v>-0.23606579999999999</v>
      </c>
      <c r="AH3132">
        <v>0.53898632300374505</v>
      </c>
      <c r="AI3132">
        <v>112.979476453396</v>
      </c>
      <c r="AJ3132">
        <v>75.511398817518497</v>
      </c>
      <c r="AK3132">
        <v>0.60467461149723201</v>
      </c>
      <c r="AL3132">
        <v>89.903130610850397</v>
      </c>
      <c r="AM3132">
        <v>86.927717901061996</v>
      </c>
      <c r="AN3132">
        <v>1.00000001206486</v>
      </c>
    </row>
    <row r="3133" spans="1:40" x14ac:dyDescent="0.25">
      <c r="A3133" t="str">
        <f>"20190312161024052"</f>
        <v>20190312161024052</v>
      </c>
      <c r="B3133" t="str">
        <f>"1552378224040000"</f>
        <v>1552378224040000</v>
      </c>
      <c r="C3133" t="s">
        <v>40</v>
      </c>
      <c r="D3133">
        <v>5.61496</v>
      </c>
      <c r="E3133">
        <v>0.54580709999999999</v>
      </c>
      <c r="F3133" t="s">
        <v>42</v>
      </c>
      <c r="G3133">
        <v>-401.58179999999999</v>
      </c>
      <c r="H3133">
        <v>0.88187090000000001</v>
      </c>
      <c r="I3133">
        <v>212.7911</v>
      </c>
      <c r="J3133">
        <v>-401.8546</v>
      </c>
      <c r="K3133">
        <v>1.109262</v>
      </c>
      <c r="L3133">
        <v>212.93780000000001</v>
      </c>
      <c r="M3133">
        <v>0.99980849999999999</v>
      </c>
      <c r="N3133">
        <v>0</v>
      </c>
      <c r="O3133">
        <v>1.627963E-2</v>
      </c>
      <c r="P3133">
        <v>0.99922829999999996</v>
      </c>
      <c r="Q3133">
        <v>-9.2931650000000008E-3</v>
      </c>
      <c r="R3133">
        <v>-3.8163860000000001E-2</v>
      </c>
      <c r="S3133">
        <v>2.9785460000000001</v>
      </c>
      <c r="T3133">
        <v>-0.76104320000000003</v>
      </c>
      <c r="U3133">
        <v>-0.458847</v>
      </c>
      <c r="V3133">
        <v>5.4428520000000001E-2</v>
      </c>
      <c r="W3133">
        <v>1.4928020000000001E-3</v>
      </c>
      <c r="X3133">
        <v>0.99851659999999998</v>
      </c>
      <c r="Y3133">
        <v>0.16270290000000001</v>
      </c>
      <c r="Z3133">
        <v>-2.441517E-2</v>
      </c>
      <c r="AA3133">
        <v>0.98637300000000006</v>
      </c>
      <c r="AB3133">
        <v>30</v>
      </c>
      <c r="AC3133">
        <v>0.27280000000001697</v>
      </c>
      <c r="AD3133">
        <v>-0.22739109999999901</v>
      </c>
      <c r="AE3133">
        <v>-0.14670000000000899</v>
      </c>
      <c r="AF3133">
        <v>9.81984200813905E-2</v>
      </c>
      <c r="AG3133">
        <v>-0.22739109999999901</v>
      </c>
      <c r="AH3133">
        <v>0.17568892914258499</v>
      </c>
      <c r="AI3133">
        <v>138.48712069004199</v>
      </c>
      <c r="AJ3133">
        <v>60.797714726399803</v>
      </c>
      <c r="AK3133">
        <v>0.30367127274235101</v>
      </c>
      <c r="AL3133">
        <v>89.914468717949504</v>
      </c>
      <c r="AM3133">
        <v>86.879930374810002</v>
      </c>
      <c r="AN3133">
        <v>1.0000000463613701</v>
      </c>
    </row>
    <row r="3134" spans="1:40" x14ac:dyDescent="0.25">
      <c r="A3134" t="str">
        <f>"20190312161024097"</f>
        <v>20190312161024097</v>
      </c>
      <c r="B3134" t="str">
        <f>"1552378224089778"</f>
        <v>1552378224089778</v>
      </c>
      <c r="C3134" t="s">
        <v>40</v>
      </c>
      <c r="D3134">
        <v>5.5260809999999996</v>
      </c>
      <c r="E3134">
        <v>0.54501569999999899</v>
      </c>
      <c r="F3134" t="s">
        <v>42</v>
      </c>
      <c r="G3134">
        <v>-401.0326</v>
      </c>
      <c r="H3134">
        <v>0.90244329999999995</v>
      </c>
      <c r="I3134">
        <v>212.81190000000001</v>
      </c>
      <c r="J3134">
        <v>-401.25209999999998</v>
      </c>
      <c r="K3134">
        <v>1.109251</v>
      </c>
      <c r="L3134">
        <v>212.9462</v>
      </c>
      <c r="M3134">
        <v>0.99982579999999999</v>
      </c>
      <c r="N3134">
        <v>0</v>
      </c>
      <c r="O3134">
        <v>1.511616E-2</v>
      </c>
      <c r="P3134">
        <v>0.99918320000000005</v>
      </c>
      <c r="Q3134">
        <v>-9.0909200000000006E-3</v>
      </c>
      <c r="R3134">
        <v>-3.9378249999999997E-2</v>
      </c>
      <c r="S3134">
        <v>2.978027</v>
      </c>
      <c r="T3134">
        <v>-0.7492375</v>
      </c>
      <c r="U3134">
        <v>-0.45434570000000002</v>
      </c>
      <c r="V3134">
        <v>5.4480399999999998E-2</v>
      </c>
      <c r="W3134">
        <v>1.790348E-3</v>
      </c>
      <c r="X3134">
        <v>0.99851319999999999</v>
      </c>
      <c r="Y3134">
        <v>0.1603977</v>
      </c>
      <c r="Z3134">
        <v>-2.348364E-2</v>
      </c>
      <c r="AA3134">
        <v>0.98677309999999996</v>
      </c>
      <c r="AB3134">
        <v>30</v>
      </c>
      <c r="AC3134">
        <v>0.21949999999998199</v>
      </c>
      <c r="AD3134">
        <v>-0.20680770000000001</v>
      </c>
      <c r="AE3134">
        <v>-0.13429999999999601</v>
      </c>
      <c r="AF3134">
        <v>8.3603383379002597E-2</v>
      </c>
      <c r="AG3134">
        <v>-0.20680770000000001</v>
      </c>
      <c r="AH3134">
        <v>0.13211290554027599</v>
      </c>
      <c r="AI3134">
        <v>142.911238395819</v>
      </c>
      <c r="AJ3134">
        <v>57.6736477713754</v>
      </c>
      <c r="AK3134">
        <v>0.25925425802096402</v>
      </c>
      <c r="AL3134">
        <v>89.897420557344603</v>
      </c>
      <c r="AM3134">
        <v>86.8769516681391</v>
      </c>
      <c r="AN3134">
        <v>0.99999996495217902</v>
      </c>
    </row>
    <row r="3135" spans="1:40" x14ac:dyDescent="0.25">
      <c r="A3135" t="str">
        <f>"20190312161024119"</f>
        <v>20190312161024119</v>
      </c>
      <c r="B3135" t="str">
        <f>"1552378224109296"</f>
        <v>1552378224109296</v>
      </c>
      <c r="C3135" t="s">
        <v>40</v>
      </c>
      <c r="D3135">
        <v>5.4311999999999996</v>
      </c>
      <c r="E3135">
        <v>0.54431779999999996</v>
      </c>
      <c r="F3135" t="s">
        <v>42</v>
      </c>
      <c r="G3135">
        <v>-400.4853</v>
      </c>
      <c r="H3135">
        <v>0.91728580000000004</v>
      </c>
      <c r="I3135">
        <v>212.8297</v>
      </c>
      <c r="J3135">
        <v>-400.95249999999999</v>
      </c>
      <c r="K3135">
        <v>1.109248</v>
      </c>
      <c r="L3135">
        <v>212.95009999999999</v>
      </c>
      <c r="M3135">
        <v>0.99983379999999999</v>
      </c>
      <c r="N3135">
        <v>0</v>
      </c>
      <c r="O3135">
        <v>1.452286E-2</v>
      </c>
      <c r="P3135">
        <v>0.99916430000000001</v>
      </c>
      <c r="Q3135">
        <v>-9.0647490000000004E-3</v>
      </c>
      <c r="R3135">
        <v>-3.9855519999999998E-2</v>
      </c>
      <c r="S3135">
        <v>2.977875</v>
      </c>
      <c r="T3135">
        <v>-0.74543059999999906</v>
      </c>
      <c r="U3135">
        <v>-0.45144649999999997</v>
      </c>
      <c r="V3135">
        <v>5.4365280000000002E-2</v>
      </c>
      <c r="W3135">
        <v>1.8723640000000001E-3</v>
      </c>
      <c r="X3135">
        <v>0.99851939999999995</v>
      </c>
      <c r="Y3135">
        <v>0.1589933</v>
      </c>
      <c r="Z3135">
        <v>-2.3052900000000001E-2</v>
      </c>
      <c r="AA3135">
        <v>0.98701050000000001</v>
      </c>
      <c r="AB3135">
        <v>30</v>
      </c>
      <c r="AC3135">
        <v>0.46719999999999101</v>
      </c>
      <c r="AD3135">
        <v>-0.1919622</v>
      </c>
      <c r="AE3135">
        <v>-0.120399999999989</v>
      </c>
      <c r="AF3135">
        <v>0.109791937597965</v>
      </c>
      <c r="AG3135">
        <v>-0.1919622</v>
      </c>
      <c r="AH3135">
        <v>0.40179501506988602</v>
      </c>
      <c r="AI3135">
        <v>114.743341262185</v>
      </c>
      <c r="AJ3135">
        <v>74.716816029824201</v>
      </c>
      <c r="AK3135">
        <v>0.45863164950247998</v>
      </c>
      <c r="AL3135">
        <v>89.892721386782299</v>
      </c>
      <c r="AM3135">
        <v>86.88355712693</v>
      </c>
      <c r="AN3135">
        <v>1.00000004079639</v>
      </c>
    </row>
    <row r="3136" spans="1:40" x14ac:dyDescent="0.25">
      <c r="A3136" t="str">
        <f>"20190312161024142"</f>
        <v>20190312161024142</v>
      </c>
      <c r="B3136" t="str">
        <f>"1552378224131744"</f>
        <v>1552378224131744</v>
      </c>
      <c r="C3136" t="s">
        <v>40</v>
      </c>
      <c r="D3136">
        <v>5.4233200000000004</v>
      </c>
      <c r="E3136">
        <v>0.54368729999999998</v>
      </c>
      <c r="F3136" t="s">
        <v>42</v>
      </c>
      <c r="G3136">
        <v>-400.21100000000001</v>
      </c>
      <c r="H3136">
        <v>0.9251857</v>
      </c>
      <c r="I3136">
        <v>212.83840000000001</v>
      </c>
      <c r="J3136">
        <v>-400.64609999999999</v>
      </c>
      <c r="K3136">
        <v>1.109253</v>
      </c>
      <c r="L3136">
        <v>212.9539</v>
      </c>
      <c r="M3136">
        <v>0.99984189999999995</v>
      </c>
      <c r="N3136">
        <v>0</v>
      </c>
      <c r="O3136">
        <v>1.391297E-2</v>
      </c>
      <c r="P3136">
        <v>0.99913059999999998</v>
      </c>
      <c r="Q3136">
        <v>-9.5837230000000006E-3</v>
      </c>
      <c r="R3136">
        <v>-4.0576849999999998E-2</v>
      </c>
      <c r="S3136">
        <v>2.9779049999999998</v>
      </c>
      <c r="T3136">
        <v>-0.73930810000000002</v>
      </c>
      <c r="U3136">
        <v>-0.44776919999999998</v>
      </c>
      <c r="V3136">
        <v>5.4476370000000003E-2</v>
      </c>
      <c r="W3136">
        <v>1.410309E-3</v>
      </c>
      <c r="X3136">
        <v>0.99851409999999996</v>
      </c>
      <c r="Y3136">
        <v>0.15734870000000001</v>
      </c>
      <c r="Z3136">
        <v>-2.2522400000000001E-2</v>
      </c>
      <c r="AA3136">
        <v>0.98728629999999995</v>
      </c>
      <c r="AB3136">
        <v>30</v>
      </c>
      <c r="AC3136">
        <v>0.43509999999997701</v>
      </c>
      <c r="AD3136">
        <v>-0.18406729999999999</v>
      </c>
      <c r="AE3136">
        <v>-0.11549999999999699</v>
      </c>
      <c r="AF3136">
        <v>0.104133057266905</v>
      </c>
      <c r="AG3136">
        <v>-0.18406729999999999</v>
      </c>
      <c r="AH3136">
        <v>0.37136374126087002</v>
      </c>
      <c r="AI3136">
        <v>115.51257006615</v>
      </c>
      <c r="AJ3136">
        <v>74.336122522014506</v>
      </c>
      <c r="AK3136">
        <v>0.42735874025028803</v>
      </c>
      <c r="AL3136">
        <v>89.919195222603506</v>
      </c>
      <c r="AM3136">
        <v>86.877185036778599</v>
      </c>
      <c r="AN3136">
        <v>1.00000003587933</v>
      </c>
    </row>
    <row r="3137" spans="1:40" x14ac:dyDescent="0.25">
      <c r="A3137" t="str">
        <f>"20190312161024175"</f>
        <v>20190312161024175</v>
      </c>
      <c r="B3137" t="str">
        <f>"1552378224168832"</f>
        <v>1552378224168832</v>
      </c>
      <c r="C3137" t="s">
        <v>40</v>
      </c>
      <c r="D3137">
        <v>5.6451229999999999</v>
      </c>
      <c r="E3137">
        <v>0.54225069999999997</v>
      </c>
      <c r="F3137" t="s">
        <v>42</v>
      </c>
      <c r="G3137">
        <v>-399.93619999999999</v>
      </c>
      <c r="H3137">
        <v>0.93384869999999998</v>
      </c>
      <c r="I3137">
        <v>212.8477</v>
      </c>
      <c r="J3137">
        <v>-400.19580000000002</v>
      </c>
      <c r="K3137">
        <v>1.1092519999999999</v>
      </c>
      <c r="L3137">
        <v>212.95910000000001</v>
      </c>
      <c r="M3137">
        <v>0.9998532</v>
      </c>
      <c r="N3137">
        <v>0</v>
      </c>
      <c r="O3137">
        <v>1.301543E-2</v>
      </c>
      <c r="P3137">
        <v>0.99909099999999995</v>
      </c>
      <c r="Q3137">
        <v>-9.9557320000000001E-3</v>
      </c>
      <c r="R3137">
        <v>-4.1450189999999998E-2</v>
      </c>
      <c r="S3137">
        <v>2.977509</v>
      </c>
      <c r="T3137">
        <v>-0.73563690000000004</v>
      </c>
      <c r="U3137">
        <v>-0.44491579999999997</v>
      </c>
      <c r="V3137">
        <v>5.4452449999999999E-2</v>
      </c>
      <c r="W3137">
        <v>1.118962E-3</v>
      </c>
      <c r="X3137">
        <v>0.99851570000000001</v>
      </c>
      <c r="Y3137">
        <v>0.15567990000000001</v>
      </c>
      <c r="Z3137">
        <v>-2.1998719999999999E-2</v>
      </c>
      <c r="AA3137">
        <v>0.98756250000000001</v>
      </c>
      <c r="AB3137">
        <v>30</v>
      </c>
      <c r="AC3137">
        <v>0.25960000000003403</v>
      </c>
      <c r="AD3137">
        <v>-0.17540330000000001</v>
      </c>
      <c r="AE3137">
        <v>-0.111400000000003</v>
      </c>
      <c r="AF3137">
        <v>8.2834268500247193E-2</v>
      </c>
      <c r="AG3137">
        <v>-0.17540330000000001</v>
      </c>
      <c r="AH3137">
        <v>0.18630236618316501</v>
      </c>
      <c r="AI3137">
        <v>130.70523866967801</v>
      </c>
      <c r="AJ3137">
        <v>66.028981056967496</v>
      </c>
      <c r="AK3137">
        <v>0.26895428112284703</v>
      </c>
      <c r="AL3137">
        <v>89.935888184166501</v>
      </c>
      <c r="AM3137">
        <v>86.878558511630402</v>
      </c>
      <c r="AN3137">
        <v>0.99999996226672405</v>
      </c>
    </row>
    <row r="3138" spans="1:40" x14ac:dyDescent="0.25">
      <c r="A3138" t="str">
        <f>"20190312161024218"</f>
        <v>20190312161024218</v>
      </c>
      <c r="B3138" t="str">
        <f>"1552378224208848"</f>
        <v>1552378224208848</v>
      </c>
      <c r="C3138" t="s">
        <v>40</v>
      </c>
      <c r="D3138">
        <v>5.5832850000000001</v>
      </c>
      <c r="E3138">
        <v>0.54150369999999903</v>
      </c>
      <c r="F3138" t="s">
        <v>42</v>
      </c>
      <c r="G3138">
        <v>-399.40159999999997</v>
      </c>
      <c r="H3138">
        <v>0.91557599999999995</v>
      </c>
      <c r="I3138">
        <v>212.84270000000001</v>
      </c>
      <c r="J3138">
        <v>-399.6157</v>
      </c>
      <c r="K3138">
        <v>1.109259</v>
      </c>
      <c r="L3138">
        <v>212.96520000000001</v>
      </c>
      <c r="M3138">
        <v>0.99986640000000004</v>
      </c>
      <c r="N3138">
        <v>0</v>
      </c>
      <c r="O3138">
        <v>1.1859730000000001E-2</v>
      </c>
      <c r="P3138">
        <v>0.99903260000000005</v>
      </c>
      <c r="Q3138">
        <v>-1.045019E-2</v>
      </c>
      <c r="R3138">
        <v>-4.2718680000000002E-2</v>
      </c>
      <c r="S3138">
        <v>2.977417</v>
      </c>
      <c r="T3138">
        <v>-0.72606610000000005</v>
      </c>
      <c r="U3138">
        <v>-0.4358978</v>
      </c>
      <c r="V3138">
        <v>5.4565589999999997E-2</v>
      </c>
      <c r="W3138">
        <v>7.1555759999999903E-4</v>
      </c>
      <c r="X3138">
        <v>0.99850989999999995</v>
      </c>
      <c r="Y3138">
        <v>0.1518813</v>
      </c>
      <c r="Z3138">
        <v>-2.0995179999999999E-2</v>
      </c>
      <c r="AA3138">
        <v>0.98817569999999999</v>
      </c>
      <c r="AB3138">
        <v>30</v>
      </c>
      <c r="AC3138">
        <v>0.21410000000002999</v>
      </c>
      <c r="AD3138">
        <v>-0.19368299999999899</v>
      </c>
      <c r="AE3138">
        <v>-0.122500000000002</v>
      </c>
      <c r="AF3138">
        <v>7.7344887840681706E-2</v>
      </c>
      <c r="AG3138">
        <v>-0.19368299999999899</v>
      </c>
      <c r="AH3138">
        <v>0.13153568694276499</v>
      </c>
      <c r="AI3138">
        <v>141.76767176909399</v>
      </c>
      <c r="AJ3138">
        <v>59.543855567700597</v>
      </c>
      <c r="AK3138">
        <v>0.246570422199405</v>
      </c>
      <c r="AL3138">
        <v>89.9590015647115</v>
      </c>
      <c r="AM3138">
        <v>86.872067587442601</v>
      </c>
      <c r="AN3138">
        <v>0.99999996801636704</v>
      </c>
    </row>
    <row r="3139" spans="1:40" x14ac:dyDescent="0.25">
      <c r="A3139" t="str">
        <f>"20190312161024263"</f>
        <v>20190312161024263</v>
      </c>
      <c r="B3139" t="str">
        <f>"1552378224259600"</f>
        <v>1552378224259600</v>
      </c>
      <c r="C3139" t="s">
        <v>40</v>
      </c>
      <c r="D3139">
        <v>5.5947380000000004</v>
      </c>
      <c r="E3139">
        <v>0.54164199999999996</v>
      </c>
      <c r="F3139" t="s">
        <v>42</v>
      </c>
      <c r="G3139">
        <v>-398.8546</v>
      </c>
      <c r="H3139">
        <v>0.92581500000000005</v>
      </c>
      <c r="I3139">
        <v>212.85400000000001</v>
      </c>
      <c r="J3139">
        <v>-398.99540000000002</v>
      </c>
      <c r="K3139">
        <v>1.1092660000000001</v>
      </c>
      <c r="L3139">
        <v>212.97110000000001</v>
      </c>
      <c r="M3139">
        <v>0.99987939999999997</v>
      </c>
      <c r="N3139">
        <v>0</v>
      </c>
      <c r="O3139">
        <v>1.0626149999999999E-2</v>
      </c>
      <c r="P3139">
        <v>0.99895599999999996</v>
      </c>
      <c r="Q3139">
        <v>-1.085969E-2</v>
      </c>
      <c r="R3139">
        <v>-4.4373870000000003E-2</v>
      </c>
      <c r="S3139">
        <v>2.9768370000000002</v>
      </c>
      <c r="T3139">
        <v>-0.7175764</v>
      </c>
      <c r="U3139">
        <v>-0.43424990000000002</v>
      </c>
      <c r="V3139">
        <v>5.4987609999999999E-2</v>
      </c>
      <c r="W3139">
        <v>3.8463270000000001E-4</v>
      </c>
      <c r="X3139">
        <v>0.99848689999999996</v>
      </c>
      <c r="Y3139">
        <v>0.15033829999999901</v>
      </c>
      <c r="Z3139">
        <v>-2.028692E-2</v>
      </c>
      <c r="AA3139">
        <v>0.98842640000000004</v>
      </c>
      <c r="AB3139">
        <v>30</v>
      </c>
      <c r="AC3139">
        <v>0.140800000000012</v>
      </c>
      <c r="AD3139">
        <v>-0.183451</v>
      </c>
      <c r="AE3139">
        <v>-0.117099999999993</v>
      </c>
      <c r="AF3139">
        <v>5.9191379361340099E-2</v>
      </c>
      <c r="AG3139">
        <v>-0.183451</v>
      </c>
      <c r="AH3139">
        <v>6.9652099039702403E-2</v>
      </c>
      <c r="AI3139">
        <v>153.514864776461</v>
      </c>
      <c r="AJ3139">
        <v>49.641626835103203</v>
      </c>
      <c r="AK3139">
        <v>0.20496171274736799</v>
      </c>
      <c r="AL3139">
        <v>89.977962167702799</v>
      </c>
      <c r="AM3139">
        <v>86.847851735440102</v>
      </c>
      <c r="AN3139">
        <v>0.99999993733371595</v>
      </c>
    </row>
    <row r="3140" spans="1:40" x14ac:dyDescent="0.25">
      <c r="A3140" t="str">
        <f>"20190312161024286"</f>
        <v>20190312161024286</v>
      </c>
      <c r="B3140" t="str">
        <f>"1552378224279120"</f>
        <v>1552378224279120</v>
      </c>
      <c r="C3140" t="s">
        <v>40</v>
      </c>
      <c r="D3140">
        <v>5.5680249999999996</v>
      </c>
      <c r="E3140">
        <v>0.54153059999999997</v>
      </c>
      <c r="F3140" t="s">
        <v>42</v>
      </c>
      <c r="G3140">
        <v>-398.30399999999997</v>
      </c>
      <c r="H3140">
        <v>0.94290240000000003</v>
      </c>
      <c r="I3140">
        <v>212.86869999999999</v>
      </c>
      <c r="J3140">
        <v>-398.68779999999998</v>
      </c>
      <c r="K3140">
        <v>1.1092690000000001</v>
      </c>
      <c r="L3140">
        <v>212.97370000000001</v>
      </c>
      <c r="M3140">
        <v>0.99988540000000004</v>
      </c>
      <c r="N3140">
        <v>0</v>
      </c>
      <c r="O3140">
        <v>1.001548E-2</v>
      </c>
      <c r="P3140">
        <v>0.99893860000000001</v>
      </c>
      <c r="Q3140">
        <v>-1.0580340000000001E-2</v>
      </c>
      <c r="R3140">
        <v>-4.4832730000000001E-2</v>
      </c>
      <c r="S3140">
        <v>2.9757690000000001</v>
      </c>
      <c r="T3140">
        <v>-0.71607529999999997</v>
      </c>
      <c r="U3140">
        <v>-0.43992609999999899</v>
      </c>
      <c r="V3140">
        <v>5.4836839999999998E-2</v>
      </c>
      <c r="W3140">
        <v>6.9696109999999999E-4</v>
      </c>
      <c r="X3140">
        <v>0.99849509999999997</v>
      </c>
      <c r="Y3140">
        <v>0.15162919999999999</v>
      </c>
      <c r="Z3140">
        <v>-2.0258109999999999E-2</v>
      </c>
      <c r="AA3140">
        <v>0.98822980000000005</v>
      </c>
      <c r="AB3140">
        <v>30</v>
      </c>
      <c r="AC3140">
        <v>0.38379999999995101</v>
      </c>
      <c r="AD3140">
        <v>-0.1663666</v>
      </c>
      <c r="AE3140">
        <v>-0.105000000000018</v>
      </c>
      <c r="AF3140">
        <v>9.2643538685473606E-2</v>
      </c>
      <c r="AG3140">
        <v>-0.1663666</v>
      </c>
      <c r="AH3140">
        <v>0.32577843798200801</v>
      </c>
      <c r="AI3140">
        <v>116.16020728372</v>
      </c>
      <c r="AJ3140">
        <v>74.125525173009805</v>
      </c>
      <c r="AK3140">
        <v>0.377348991663849</v>
      </c>
      <c r="AL3140">
        <v>89.960067067841194</v>
      </c>
      <c r="AM3140">
        <v>86.856502986990094</v>
      </c>
      <c r="AN3140">
        <v>1.0000000147499799</v>
      </c>
    </row>
    <row r="3141" spans="1:40" x14ac:dyDescent="0.25">
      <c r="A3141" t="str">
        <f>"20190312161024309"</f>
        <v>20190312161024309</v>
      </c>
      <c r="B3141" t="str">
        <f>"1552378224299616"</f>
        <v>1552378224299616</v>
      </c>
      <c r="C3141" t="s">
        <v>40</v>
      </c>
      <c r="D3141">
        <v>5.451473</v>
      </c>
      <c r="E3141">
        <v>0.49050749999999999</v>
      </c>
      <c r="F3141" t="s">
        <v>42</v>
      </c>
      <c r="G3141">
        <v>-397.7817</v>
      </c>
      <c r="H3141">
        <v>0.89177859999999998</v>
      </c>
      <c r="I3141">
        <v>212.83930000000001</v>
      </c>
      <c r="J3141">
        <v>-398.37790000000001</v>
      </c>
      <c r="K3141">
        <v>1.1092690000000001</v>
      </c>
      <c r="L3141">
        <v>212.9761</v>
      </c>
      <c r="M3141">
        <v>0.99989099999999997</v>
      </c>
      <c r="N3141">
        <v>0</v>
      </c>
      <c r="O3141">
        <v>9.4007870000000007E-3</v>
      </c>
      <c r="P3141">
        <v>0.99893920000000003</v>
      </c>
      <c r="Q3141">
        <v>-1.032287E-2</v>
      </c>
      <c r="R3141">
        <v>-4.4878269999999998E-2</v>
      </c>
      <c r="S3141">
        <v>2.9758610000000001</v>
      </c>
      <c r="T3141">
        <v>-0.71431699999999998</v>
      </c>
      <c r="U3141">
        <v>-0.4405365</v>
      </c>
      <c r="V3141">
        <v>5.426922E-2</v>
      </c>
      <c r="W3141">
        <v>9.8401679999999994E-4</v>
      </c>
      <c r="X3141">
        <v>0.99852589999999997</v>
      </c>
      <c r="Y3141">
        <v>0.1512655</v>
      </c>
      <c r="Z3141">
        <v>-2.0021239999999999E-2</v>
      </c>
      <c r="AA3141">
        <v>0.98829040000000001</v>
      </c>
      <c r="AB3141">
        <v>30</v>
      </c>
      <c r="AC3141">
        <v>0.59620000000001006</v>
      </c>
      <c r="AD3141">
        <v>-0.2174904</v>
      </c>
      <c r="AE3141">
        <v>-0.13679999999999301</v>
      </c>
      <c r="AF3141">
        <v>0.12641748047578699</v>
      </c>
      <c r="AG3141">
        <v>-0.2174904</v>
      </c>
      <c r="AH3141">
        <v>0.52812273117973796</v>
      </c>
      <c r="AI3141">
        <v>111.826277814374</v>
      </c>
      <c r="AJ3141">
        <v>76.538325854882103</v>
      </c>
      <c r="AK3141">
        <v>0.58497612998373805</v>
      </c>
      <c r="AL3141">
        <v>89.943619983814301</v>
      </c>
      <c r="AM3141">
        <v>86.889073069268605</v>
      </c>
      <c r="AN3141">
        <v>1.00000004474963</v>
      </c>
    </row>
    <row r="3142" spans="1:40" x14ac:dyDescent="0.25">
      <c r="A3142" t="str">
        <f>"20190312161024331"</f>
        <v>20190312161024331</v>
      </c>
      <c r="B3142" t="str">
        <f>"1552378224319136"</f>
        <v>1552378224319136</v>
      </c>
      <c r="C3142" t="s">
        <v>40</v>
      </c>
      <c r="D3142">
        <v>5.4637159999999998</v>
      </c>
      <c r="E3142">
        <v>0.4837825</v>
      </c>
      <c r="F3142" t="s">
        <v>42</v>
      </c>
      <c r="G3142">
        <v>-397.4443</v>
      </c>
      <c r="H3142">
        <v>1.0361039999999999</v>
      </c>
      <c r="I3142">
        <v>212.9598</v>
      </c>
      <c r="J3142">
        <v>-398.07459999999998</v>
      </c>
      <c r="K3142">
        <v>1.1092660000000001</v>
      </c>
      <c r="L3142">
        <v>212.97829999999999</v>
      </c>
      <c r="M3142">
        <v>0.99989620000000001</v>
      </c>
      <c r="N3142">
        <v>0</v>
      </c>
      <c r="O3142">
        <v>8.7988739999999999E-3</v>
      </c>
      <c r="P3142">
        <v>0.99895069999999997</v>
      </c>
      <c r="Q3142">
        <v>-1.000443E-2</v>
      </c>
      <c r="R3142">
        <v>-4.4690149999999998E-2</v>
      </c>
      <c r="S3142">
        <v>2.9984130000000002</v>
      </c>
      <c r="T3142">
        <v>-0.23503640000000001</v>
      </c>
      <c r="U3142">
        <v>-5.1651000000000002E-2</v>
      </c>
      <c r="V3142">
        <v>5.3480390000000003E-2</v>
      </c>
      <c r="W3142">
        <v>1.3282929999999999E-3</v>
      </c>
      <c r="X3142">
        <v>0.99856800000000001</v>
      </c>
      <c r="Y3142">
        <v>2.5914570000000001E-2</v>
      </c>
      <c r="Z3142">
        <v>-1.7027120000000001E-3</v>
      </c>
      <c r="AA3142">
        <v>0.99966270000000002</v>
      </c>
      <c r="AB3142">
        <v>30</v>
      </c>
      <c r="AC3142">
        <v>0.63029999999997699</v>
      </c>
      <c r="AD3142">
        <v>-7.3161999999999894E-2</v>
      </c>
      <c r="AE3142">
        <v>-1.84999999999888E-2</v>
      </c>
      <c r="AF3142">
        <v>2.37261783921245E-2</v>
      </c>
      <c r="AG3142">
        <v>-7.3161999999999894E-2</v>
      </c>
      <c r="AH3142">
        <v>0.62174303851497603</v>
      </c>
      <c r="AI3142">
        <v>96.7064325217098</v>
      </c>
      <c r="AJ3142">
        <v>87.814610698000294</v>
      </c>
      <c r="AK3142">
        <v>0.62648225491783005</v>
      </c>
      <c r="AL3142">
        <v>89.923894393511603</v>
      </c>
      <c r="AM3142">
        <v>86.934334045562494</v>
      </c>
      <c r="AN3142">
        <v>0.99999998355042297</v>
      </c>
    </row>
    <row r="3143" spans="1:40" x14ac:dyDescent="0.25">
      <c r="A3143" t="str">
        <f>"20190312161024375"</f>
        <v>20190312161024375</v>
      </c>
      <c r="B3143" t="str">
        <f>"1552378224369888"</f>
        <v>1552378224369888</v>
      </c>
      <c r="C3143" t="s">
        <v>40</v>
      </c>
      <c r="D3143">
        <v>5.5076179999999999</v>
      </c>
      <c r="E3143">
        <v>0.48118729999999998</v>
      </c>
      <c r="F3143" t="s">
        <v>61</v>
      </c>
      <c r="G3143">
        <v>-377.55149999999998</v>
      </c>
      <c r="H3143" s="1">
        <v>2.4817229999999999E-6</v>
      </c>
      <c r="I3143">
        <v>212.9769</v>
      </c>
      <c r="J3143">
        <v>-397.47519999999997</v>
      </c>
      <c r="K3143">
        <v>1.1092690000000001</v>
      </c>
      <c r="L3143">
        <v>212.9821</v>
      </c>
      <c r="M3143">
        <v>0.9999055</v>
      </c>
      <c r="N3143">
        <v>0</v>
      </c>
      <c r="O3143">
        <v>7.6091099999999997E-3</v>
      </c>
      <c r="P3143">
        <v>0.99893790000000005</v>
      </c>
      <c r="Q3143">
        <v>-1.017214E-2</v>
      </c>
      <c r="R3143">
        <v>-4.4943650000000002E-2</v>
      </c>
      <c r="S3143">
        <v>3.0015559999999999</v>
      </c>
      <c r="T3143">
        <v>-0.16223189999999901</v>
      </c>
      <c r="U3143">
        <v>-1.9836429999999999E-4</v>
      </c>
      <c r="V3143">
        <v>5.2545399999999999E-2</v>
      </c>
      <c r="W3143">
        <v>1.2033619999999999E-3</v>
      </c>
      <c r="X3143">
        <v>0.9986178</v>
      </c>
      <c r="Y3143">
        <v>7.6534180000000004E-3</v>
      </c>
      <c r="Z3143">
        <v>-6.1767089999999897E-4</v>
      </c>
      <c r="AA3143">
        <v>0.99997049999999998</v>
      </c>
      <c r="AB3143">
        <v>30</v>
      </c>
      <c r="AC3143">
        <v>19.9237</v>
      </c>
      <c r="AD3143">
        <v>-1.1092665182770001</v>
      </c>
      <c r="AE3143">
        <v>-5.2000000000020901E-3</v>
      </c>
      <c r="AF3143">
        <v>0.15632683242961901</v>
      </c>
      <c r="AG3143">
        <v>-1.1092665182770001</v>
      </c>
      <c r="AH3143">
        <v>19.8615171053906</v>
      </c>
      <c r="AI3143">
        <v>93.196551819509807</v>
      </c>
      <c r="AJ3143">
        <v>89.549043372542499</v>
      </c>
      <c r="AK3143">
        <v>19.893083522039301</v>
      </c>
      <c r="AL3143">
        <v>89.931052418761695</v>
      </c>
      <c r="AM3143">
        <v>86.987981005486603</v>
      </c>
      <c r="AN3143">
        <v>0.99999998880905105</v>
      </c>
    </row>
    <row r="3144" spans="1:40" x14ac:dyDescent="0.25">
      <c r="A3144" t="str">
        <f>"20190312161024487"</f>
        <v>20190312161024487</v>
      </c>
      <c r="B3144" t="str">
        <f>"1552378224479201"</f>
        <v>1552378224479201</v>
      </c>
      <c r="C3144" t="s">
        <v>40</v>
      </c>
      <c r="D3144">
        <v>5.6272880000000001</v>
      </c>
      <c r="E3144">
        <v>0.48030070000000002</v>
      </c>
      <c r="F3144" t="s">
        <v>61</v>
      </c>
      <c r="G3144">
        <v>-372.2353</v>
      </c>
      <c r="H3144" s="1">
        <v>-3.472701E-7</v>
      </c>
      <c r="I3144">
        <v>213.1414</v>
      </c>
      <c r="J3144">
        <v>-395.94450000000001</v>
      </c>
      <c r="K3144">
        <v>1.109262</v>
      </c>
      <c r="L3144">
        <v>212.98869999999999</v>
      </c>
      <c r="M3144">
        <v>0.99992320000000001</v>
      </c>
      <c r="N3144">
        <v>0</v>
      </c>
      <c r="O3144">
        <v>4.5717170000000003E-3</v>
      </c>
      <c r="P3144">
        <v>0.99876560000000003</v>
      </c>
      <c r="Q3144">
        <v>-1.0261879999999999E-2</v>
      </c>
      <c r="R3144">
        <v>-4.8601619999999998E-2</v>
      </c>
      <c r="S3144">
        <v>3.0026860000000002</v>
      </c>
      <c r="T3144">
        <v>-0.131965</v>
      </c>
      <c r="U3144">
        <v>1.895142E-2</v>
      </c>
      <c r="V3144">
        <v>5.3169180000000003E-2</v>
      </c>
      <c r="W3144">
        <v>1.1795200000000001E-3</v>
      </c>
      <c r="X3144">
        <v>0.99858480000000005</v>
      </c>
      <c r="Y3144">
        <v>-1.7420999999999999E-3</v>
      </c>
      <c r="Z3144">
        <v>-1.625726E-4</v>
      </c>
      <c r="AA3144">
        <v>0.99999850000000001</v>
      </c>
      <c r="AB3144">
        <v>30</v>
      </c>
      <c r="AC3144">
        <v>23.709199999999999</v>
      </c>
      <c r="AD3144">
        <v>-1.1092623472701</v>
      </c>
      <c r="AE3144">
        <v>0.15270000000000999</v>
      </c>
      <c r="AF3144">
        <v>-4.4202705911442798E-2</v>
      </c>
      <c r="AG3144">
        <v>-1.1092623472701</v>
      </c>
      <c r="AH3144">
        <v>23.6578667367551</v>
      </c>
      <c r="AI3144">
        <v>92.6844950648793</v>
      </c>
      <c r="AJ3144">
        <v>90.107052151948295</v>
      </c>
      <c r="AK3144">
        <v>23.683899074441801</v>
      </c>
      <c r="AL3144">
        <v>89.932418464983101</v>
      </c>
      <c r="AM3144">
        <v>86.952191038808195</v>
      </c>
      <c r="AN3144">
        <v>0.99999997788017103</v>
      </c>
    </row>
    <row r="3145" spans="1:40" x14ac:dyDescent="0.25">
      <c r="A3145" t="str">
        <f>"20190312161024511"</f>
        <v>20190312161024511</v>
      </c>
      <c r="B3145" t="str">
        <f>"1552378224499696"</f>
        <v>1552378224499696</v>
      </c>
      <c r="C3145" t="s">
        <v>40</v>
      </c>
      <c r="D3145">
        <v>5.5544799999999999</v>
      </c>
      <c r="E3145">
        <v>0.48034539999999998</v>
      </c>
      <c r="F3145" t="s">
        <v>61</v>
      </c>
      <c r="G3145">
        <v>-371.1508</v>
      </c>
      <c r="H3145" s="1">
        <v>-9.2439549999999997E-7</v>
      </c>
      <c r="I3145">
        <v>213.1096</v>
      </c>
      <c r="J3145">
        <v>-395.63099999999997</v>
      </c>
      <c r="K3145">
        <v>1.1092679999999999</v>
      </c>
      <c r="L3145">
        <v>212.98939999999999</v>
      </c>
      <c r="M3145">
        <v>0.99992570000000003</v>
      </c>
      <c r="N3145">
        <v>0</v>
      </c>
      <c r="O3145">
        <v>3.9495770000000001E-3</v>
      </c>
      <c r="P3145">
        <v>0.99876929999999997</v>
      </c>
      <c r="Q3145">
        <v>-9.7784480000000003E-3</v>
      </c>
      <c r="R3145">
        <v>-4.8621690000000002E-2</v>
      </c>
      <c r="S3145">
        <v>3.0030519999999998</v>
      </c>
      <c r="T3145">
        <v>-0.13435529999999901</v>
      </c>
      <c r="U3145">
        <v>1.464844E-2</v>
      </c>
      <c r="V3145">
        <v>5.2568440000000001E-2</v>
      </c>
      <c r="W3145">
        <v>1.6730460000000001E-3</v>
      </c>
      <c r="X3145">
        <v>0.9986159</v>
      </c>
      <c r="Y3145">
        <v>-9.30981E-4</v>
      </c>
      <c r="Z3145">
        <v>-1.5580879999999901E-4</v>
      </c>
      <c r="AA3145">
        <v>0.99999959999999999</v>
      </c>
      <c r="AB3145">
        <v>30</v>
      </c>
      <c r="AC3145">
        <v>24.4801999999999</v>
      </c>
      <c r="AD3145">
        <v>-1.1092689243954901</v>
      </c>
      <c r="AE3145">
        <v>0.12020000000001101</v>
      </c>
      <c r="AF3145">
        <v>-2.3458033163331799E-2</v>
      </c>
      <c r="AG3145">
        <v>-1.1092689243954901</v>
      </c>
      <c r="AH3145">
        <v>24.430323233566899</v>
      </c>
      <c r="AI3145">
        <v>92.599751740740899</v>
      </c>
      <c r="AJ3145">
        <v>90.055015476873606</v>
      </c>
      <c r="AK3145">
        <v>24.455504924709899</v>
      </c>
      <c r="AL3145">
        <v>89.904141478426098</v>
      </c>
      <c r="AM3145">
        <v>86.986657012309394</v>
      </c>
      <c r="AN3145">
        <v>0.99999997784988004</v>
      </c>
    </row>
    <row r="3146" spans="1:40" x14ac:dyDescent="0.25">
      <c r="A3146" t="str">
        <f>"20190312161024575"</f>
        <v>20190312161024575</v>
      </c>
      <c r="B3146" t="str">
        <f>"1552378224568992"</f>
        <v>1552378224568992</v>
      </c>
      <c r="C3146" t="s">
        <v>40</v>
      </c>
      <c r="D3146">
        <v>5.5818300000000001</v>
      </c>
      <c r="E3146">
        <v>0.48038359999999902</v>
      </c>
      <c r="F3146" t="s">
        <v>61</v>
      </c>
      <c r="G3146">
        <v>-370.5598</v>
      </c>
      <c r="H3146" s="1">
        <v>-1.2388840000000001E-6</v>
      </c>
      <c r="I3146">
        <v>213.10769999999999</v>
      </c>
      <c r="J3146">
        <v>-394.74239999999998</v>
      </c>
      <c r="K3146">
        <v>1.109267</v>
      </c>
      <c r="L3146">
        <v>212.9905</v>
      </c>
      <c r="M3146">
        <v>0.99993100000000001</v>
      </c>
      <c r="N3146">
        <v>0</v>
      </c>
      <c r="O3146">
        <v>2.1865090000000001E-3</v>
      </c>
      <c r="P3146">
        <v>0.99867130000000004</v>
      </c>
      <c r="Q3146">
        <v>-1.057784E-2</v>
      </c>
      <c r="R3146">
        <v>-5.043831E-2</v>
      </c>
      <c r="S3146">
        <v>3.003082</v>
      </c>
      <c r="T3146">
        <v>-0.13287070000000001</v>
      </c>
      <c r="U3146">
        <v>1.4175419999999999E-2</v>
      </c>
      <c r="V3146">
        <v>5.2623059999999999E-2</v>
      </c>
      <c r="W3146">
        <v>8.9294109999999999E-4</v>
      </c>
      <c r="X3146">
        <v>0.99861409999999995</v>
      </c>
      <c r="Y3146">
        <v>-2.5332559999999998E-3</v>
      </c>
      <c r="Z3146" s="1">
        <v>-4.0686090000000003E-5</v>
      </c>
      <c r="AA3146">
        <v>0.99999680000000002</v>
      </c>
      <c r="AB3146">
        <v>30</v>
      </c>
      <c r="AC3146">
        <v>24.182599999999901</v>
      </c>
      <c r="AD3146">
        <v>-1.1092682388840001</v>
      </c>
      <c r="AE3146">
        <v>0.117199999999996</v>
      </c>
      <c r="AF3146">
        <v>-6.4185674869480097E-2</v>
      </c>
      <c r="AG3146">
        <v>-1.1092682388840001</v>
      </c>
      <c r="AH3146">
        <v>24.132023371048401</v>
      </c>
      <c r="AI3146">
        <v>92.631833076251198</v>
      </c>
      <c r="AJ3146">
        <v>90.152393338367503</v>
      </c>
      <c r="AK3146">
        <v>24.157589859244698</v>
      </c>
      <c r="AL3146">
        <v>89.948838239490598</v>
      </c>
      <c r="AM3146">
        <v>86.983526421320803</v>
      </c>
      <c r="AN3146">
        <v>1.00000005225318</v>
      </c>
    </row>
    <row r="3147" spans="1:40" x14ac:dyDescent="0.25">
      <c r="A3147" t="str">
        <f>"20190312161024596"</f>
        <v>20190312161024596</v>
      </c>
      <c r="B3147" t="str">
        <f>"1552378224589488"</f>
        <v>1552378224589488</v>
      </c>
      <c r="C3147" t="s">
        <v>40</v>
      </c>
      <c r="D3147">
        <v>5.6203329999999996</v>
      </c>
      <c r="E3147">
        <v>0.48036719999999999</v>
      </c>
      <c r="F3147" t="s">
        <v>61</v>
      </c>
      <c r="G3147">
        <v>-370.2002</v>
      </c>
      <c r="H3147" s="1">
        <v>-1.430259E-6</v>
      </c>
      <c r="I3147">
        <v>213.0608</v>
      </c>
      <c r="J3147">
        <v>-394.45400000000001</v>
      </c>
      <c r="K3147">
        <v>1.109264</v>
      </c>
      <c r="L3147">
        <v>212.9905</v>
      </c>
      <c r="M3147">
        <v>0.99993209999999999</v>
      </c>
      <c r="N3147">
        <v>0</v>
      </c>
      <c r="O3147">
        <v>1.614676E-3</v>
      </c>
      <c r="P3147">
        <v>0.99866270000000001</v>
      </c>
      <c r="Q3147">
        <v>-1.084971E-2</v>
      </c>
      <c r="R3147">
        <v>-5.0549070000000002E-2</v>
      </c>
      <c r="S3147">
        <v>3.0029910000000002</v>
      </c>
      <c r="T3147">
        <v>-0.135730399999999</v>
      </c>
      <c r="U3147">
        <v>8.6059569999999991E-3</v>
      </c>
      <c r="V3147">
        <v>5.2162569999999998E-2</v>
      </c>
      <c r="W3147">
        <v>6.2257449999999896E-4</v>
      </c>
      <c r="X3147">
        <v>0.99863840000000004</v>
      </c>
      <c r="Y3147">
        <v>-1.251374E-3</v>
      </c>
      <c r="Z3147" s="1">
        <v>-4.4682650000000002E-5</v>
      </c>
      <c r="AA3147">
        <v>0.99999919999999998</v>
      </c>
      <c r="AB3147">
        <v>30</v>
      </c>
      <c r="AC3147">
        <v>24.253799999999998</v>
      </c>
      <c r="AD3147">
        <v>-1.1092654302589999</v>
      </c>
      <c r="AE3147">
        <v>7.0300000000003096E-2</v>
      </c>
      <c r="AF3147">
        <v>-3.1070280403997001E-2</v>
      </c>
      <c r="AG3147">
        <v>-1.1092654302589999</v>
      </c>
      <c r="AH3147">
        <v>24.203254978789701</v>
      </c>
      <c r="AI3147">
        <v>92.624098753837501</v>
      </c>
      <c r="AJ3147">
        <v>90.073551882137707</v>
      </c>
      <c r="AK3147">
        <v>24.2286810768849</v>
      </c>
      <c r="AL3147">
        <v>89.964329105971899</v>
      </c>
      <c r="AM3147">
        <v>87.009947271019897</v>
      </c>
      <c r="AN3147">
        <v>0.99999998763128595</v>
      </c>
    </row>
    <row r="3148" spans="1:40" x14ac:dyDescent="0.25">
      <c r="A3148" t="str">
        <f>"20190312161024619"</f>
        <v>20190312161024619</v>
      </c>
      <c r="B3148" t="str">
        <f>"1552378224609008"</f>
        <v>1552378224609008</v>
      </c>
      <c r="C3148" t="s">
        <v>40</v>
      </c>
      <c r="D3148">
        <v>5.5611499999999996</v>
      </c>
      <c r="E3148">
        <v>0.48035430000000001</v>
      </c>
      <c r="F3148" t="s">
        <v>61</v>
      </c>
      <c r="G3148">
        <v>-370.22609999999997</v>
      </c>
      <c r="H3148" s="1">
        <v>-1.4164840000000001E-6</v>
      </c>
      <c r="I3148">
        <v>213.0582</v>
      </c>
      <c r="J3148">
        <v>-394.14190000000002</v>
      </c>
      <c r="K3148">
        <v>1.109253</v>
      </c>
      <c r="L3148">
        <v>212.99039999999999</v>
      </c>
      <c r="M3148">
        <v>0.99993279999999995</v>
      </c>
      <c r="N3148">
        <v>0</v>
      </c>
      <c r="O3148">
        <v>9.9596009999999998E-4</v>
      </c>
      <c r="P3148">
        <v>0.99865499999999996</v>
      </c>
      <c r="Q3148">
        <v>-1.136622E-2</v>
      </c>
      <c r="R3148">
        <v>-5.0586659999999999E-2</v>
      </c>
      <c r="S3148">
        <v>3.0029300000000001</v>
      </c>
      <c r="T3148">
        <v>-0.13748779999999999</v>
      </c>
      <c r="U3148">
        <v>8.3923339999999996E-3</v>
      </c>
      <c r="V3148">
        <v>5.1581469999999997E-2</v>
      </c>
      <c r="W3148">
        <v>1.042525E-4</v>
      </c>
      <c r="X3148">
        <v>0.99866880000000002</v>
      </c>
      <c r="Y3148">
        <v>-1.7978409999999999E-3</v>
      </c>
      <c r="Z3148" s="1">
        <v>-4.4436089999999997E-6</v>
      </c>
      <c r="AA3148">
        <v>0.99999839999999995</v>
      </c>
      <c r="AB3148">
        <v>30</v>
      </c>
      <c r="AC3148">
        <v>23.915800000000001</v>
      </c>
      <c r="AD3148">
        <v>-1.1092544164839999</v>
      </c>
      <c r="AE3148">
        <v>6.7800000000005398E-2</v>
      </c>
      <c r="AF3148">
        <v>-4.3884788123852998E-2</v>
      </c>
      <c r="AG3148">
        <v>-1.1092544164839999</v>
      </c>
      <c r="AH3148">
        <v>23.8645173452325</v>
      </c>
      <c r="AI3148">
        <v>92.661263861060505</v>
      </c>
      <c r="AJ3148">
        <v>90.105361875696204</v>
      </c>
      <c r="AK3148">
        <v>23.890323550676701</v>
      </c>
      <c r="AL3148">
        <v>89.994026771828104</v>
      </c>
      <c r="AM3148">
        <v>87.043287379348996</v>
      </c>
      <c r="AN3148">
        <v>1.00000001550469</v>
      </c>
    </row>
    <row r="3149" spans="1:40" x14ac:dyDescent="0.25">
      <c r="A3149" t="str">
        <f>"20190312161024686"</f>
        <v>20190312161024686</v>
      </c>
      <c r="B3149" t="str">
        <f>"1552378224678934"</f>
        <v>1552378224678934</v>
      </c>
      <c r="C3149" t="s">
        <v>40</v>
      </c>
      <c r="D3149">
        <v>5.3527889999999996</v>
      </c>
      <c r="E3149">
        <v>0.48023270000000001</v>
      </c>
      <c r="F3149" t="s">
        <v>61</v>
      </c>
      <c r="G3149">
        <v>-370.18450000000001</v>
      </c>
      <c r="H3149" s="1">
        <v>-1.4386080000000001E-6</v>
      </c>
      <c r="I3149">
        <v>213.05549999999999</v>
      </c>
      <c r="J3149">
        <v>-393.23419999999999</v>
      </c>
      <c r="K3149">
        <v>1.1092409999999999</v>
      </c>
      <c r="L3149">
        <v>212.9888</v>
      </c>
      <c r="M3149">
        <v>0.99993339999999997</v>
      </c>
      <c r="N3149">
        <v>0</v>
      </c>
      <c r="O3149">
        <v>-8.0436709999999999E-4</v>
      </c>
      <c r="P3149">
        <v>0.9986545</v>
      </c>
      <c r="Q3149">
        <v>-1.25682E-2</v>
      </c>
      <c r="R3149">
        <v>-5.0314209999999998E-2</v>
      </c>
      <c r="S3149">
        <v>3.002869</v>
      </c>
      <c r="T3149">
        <v>-0.139036299999999</v>
      </c>
      <c r="U3149">
        <v>8.1634519999999999E-3</v>
      </c>
      <c r="V3149">
        <v>4.9509320000000002E-2</v>
      </c>
      <c r="W3149">
        <v>-1.1258570000000001E-3</v>
      </c>
      <c r="X3149">
        <v>0.99877300000000002</v>
      </c>
      <c r="Y3149">
        <v>-3.5183269999999999E-3</v>
      </c>
      <c r="Z3149">
        <v>1.186332E-4</v>
      </c>
      <c r="AA3149">
        <v>0.99999380000000004</v>
      </c>
      <c r="AB3149">
        <v>31</v>
      </c>
      <c r="AC3149">
        <v>23.049699999999898</v>
      </c>
      <c r="AD3149">
        <v>-1.109242438608</v>
      </c>
      <c r="AE3149">
        <v>6.6699999999997303E-2</v>
      </c>
      <c r="AF3149">
        <v>-8.5044673152612396E-2</v>
      </c>
      <c r="AG3149">
        <v>-1.109242438608</v>
      </c>
      <c r="AH3149">
        <v>22.996381694691401</v>
      </c>
      <c r="AI3149">
        <v>92.761532479260396</v>
      </c>
      <c r="AJ3149">
        <v>90.211888926386095</v>
      </c>
      <c r="AK3149">
        <v>23.023275666854602</v>
      </c>
      <c r="AL3149">
        <v>90.064506869809406</v>
      </c>
      <c r="AM3149">
        <v>87.1621628969326</v>
      </c>
      <c r="AN3149">
        <v>0.99999997292492304</v>
      </c>
    </row>
    <row r="3150" spans="1:40" x14ac:dyDescent="0.25">
      <c r="A3150" t="str">
        <f>"20190312161024710"</f>
        <v>20190312161024710</v>
      </c>
      <c r="B3150" t="str">
        <f>"1552378224699430"</f>
        <v>1552378224699430</v>
      </c>
      <c r="C3150" t="s">
        <v>40</v>
      </c>
      <c r="D3150">
        <v>5.339874</v>
      </c>
      <c r="E3150">
        <v>0.4803018</v>
      </c>
      <c r="F3150" t="s">
        <v>61</v>
      </c>
      <c r="G3150">
        <v>-370.20350000000002</v>
      </c>
      <c r="H3150" s="1">
        <v>-1.428478E-6</v>
      </c>
      <c r="I3150">
        <v>213.065</v>
      </c>
      <c r="J3150">
        <v>-392.91300000000001</v>
      </c>
      <c r="K3150">
        <v>1.1092390000000001</v>
      </c>
      <c r="L3150">
        <v>212.9879</v>
      </c>
      <c r="M3150">
        <v>0.99993299999999996</v>
      </c>
      <c r="N3150">
        <v>0</v>
      </c>
      <c r="O3150">
        <v>-1.4409259999999999E-3</v>
      </c>
      <c r="P3150">
        <v>0.99862499999999998</v>
      </c>
      <c r="Q3150">
        <v>-1.236218E-2</v>
      </c>
      <c r="R3150">
        <v>-5.0945440000000002E-2</v>
      </c>
      <c r="S3150">
        <v>3.002777</v>
      </c>
      <c r="T3150">
        <v>-0.14462469999999999</v>
      </c>
      <c r="U3150">
        <v>9.9334720000000005E-3</v>
      </c>
      <c r="V3150">
        <v>4.9505199999999999E-2</v>
      </c>
      <c r="W3150">
        <v>-9.3866839999999995E-4</v>
      </c>
      <c r="X3150">
        <v>0.99877340000000003</v>
      </c>
      <c r="Y3150">
        <v>-4.7419209999999996E-3</v>
      </c>
      <c r="Z3150">
        <v>1.834921E-4</v>
      </c>
      <c r="AA3150">
        <v>0.99998869999999895</v>
      </c>
      <c r="AB3150">
        <v>31</v>
      </c>
      <c r="AC3150">
        <v>22.709499999999899</v>
      </c>
      <c r="AD3150">
        <v>-1.109240428478</v>
      </c>
      <c r="AE3150">
        <v>7.7100000000001501E-2</v>
      </c>
      <c r="AF3150">
        <v>-0.109563392882881</v>
      </c>
      <c r="AG3150">
        <v>-1.109240428478</v>
      </c>
      <c r="AH3150">
        <v>22.655314618133598</v>
      </c>
      <c r="AI3150">
        <v>92.803021819252194</v>
      </c>
      <c r="AJ3150">
        <v>90.277086024561399</v>
      </c>
      <c r="AK3150">
        <v>22.682718067106698</v>
      </c>
      <c r="AL3150">
        <v>90.053781746911895</v>
      </c>
      <c r="AM3150">
        <v>87.162399800837093</v>
      </c>
      <c r="AN3150">
        <v>0.99999997523648199</v>
      </c>
    </row>
    <row r="3151" spans="1:40" x14ac:dyDescent="0.25">
      <c r="A3151" t="str">
        <f>"20190312161024753"</f>
        <v>20190312161024753</v>
      </c>
      <c r="B3151" t="str">
        <f>"1552378224749713"</f>
        <v>1552378224749713</v>
      </c>
      <c r="C3151" t="s">
        <v>40</v>
      </c>
      <c r="D3151">
        <v>5.4796379999999996</v>
      </c>
      <c r="E3151">
        <v>0.4822958</v>
      </c>
      <c r="F3151" t="s">
        <v>61</v>
      </c>
      <c r="G3151">
        <v>-370.31319999999999</v>
      </c>
      <c r="H3151" s="1">
        <v>-1.3701159999999901E-6</v>
      </c>
      <c r="I3151">
        <v>213.04499999999999</v>
      </c>
      <c r="J3151">
        <v>-392.32130000000001</v>
      </c>
      <c r="K3151">
        <v>1.1092249999999999</v>
      </c>
      <c r="L3151">
        <v>212.98560000000001</v>
      </c>
      <c r="M3151">
        <v>0.99993089999999996</v>
      </c>
      <c r="N3151">
        <v>0</v>
      </c>
      <c r="O3151">
        <v>-2.6135429999999999E-3</v>
      </c>
      <c r="P3151">
        <v>0.99851299999999998</v>
      </c>
      <c r="Q3151">
        <v>-1.289742E-2</v>
      </c>
      <c r="R3151">
        <v>-5.2966859999999998E-2</v>
      </c>
      <c r="S3151">
        <v>3.0026549999999999</v>
      </c>
      <c r="T3151">
        <v>-0.147375799999999</v>
      </c>
      <c r="U3151">
        <v>7.59887699999999E-3</v>
      </c>
      <c r="V3151">
        <v>5.0354929999999999E-2</v>
      </c>
      <c r="W3151">
        <v>-1.5159780000000001E-3</v>
      </c>
      <c r="X3151">
        <v>0.99873020000000001</v>
      </c>
      <c r="Y3151">
        <v>-5.1350809999999997E-3</v>
      </c>
      <c r="Z3151">
        <v>2.5415209999999998E-4</v>
      </c>
      <c r="AA3151">
        <v>0.99998679999999995</v>
      </c>
      <c r="AB3151">
        <v>31</v>
      </c>
      <c r="AC3151">
        <v>22.008099999999999</v>
      </c>
      <c r="AD3151">
        <v>-1.1092263701159999</v>
      </c>
      <c r="AE3151">
        <v>5.93999999999823E-2</v>
      </c>
      <c r="AF3151">
        <v>-0.11662643383426601</v>
      </c>
      <c r="AG3151">
        <v>-1.1092263701159999</v>
      </c>
      <c r="AH3151">
        <v>21.952106292018598</v>
      </c>
      <c r="AI3151">
        <v>92.892619400880804</v>
      </c>
      <c r="AJ3151">
        <v>90.304396283483896</v>
      </c>
      <c r="AK3151">
        <v>21.980422096068001</v>
      </c>
      <c r="AL3151">
        <v>90.086859177563795</v>
      </c>
      <c r="AM3151">
        <v>87.1136509558239</v>
      </c>
      <c r="AN3151">
        <v>0.99999996477831998</v>
      </c>
    </row>
    <row r="3152" spans="1:40" x14ac:dyDescent="0.25">
      <c r="A3152" t="str">
        <f>"20190312161024775"</f>
        <v>20190312161024775</v>
      </c>
      <c r="B3152" t="str">
        <f>"1552378224769233"</f>
        <v>1552378224769233</v>
      </c>
      <c r="C3152" t="s">
        <v>40</v>
      </c>
      <c r="D3152">
        <v>5.34558</v>
      </c>
      <c r="E3152">
        <v>0.48351820000000001</v>
      </c>
      <c r="F3152" t="s">
        <v>61</v>
      </c>
      <c r="G3152">
        <v>-367.18990000000002</v>
      </c>
      <c r="H3152" s="1">
        <v>2.2893310000000001E-6</v>
      </c>
      <c r="I3152">
        <v>212.86099999999999</v>
      </c>
      <c r="J3152">
        <v>-392.02260000000001</v>
      </c>
      <c r="K3152">
        <v>1.109226</v>
      </c>
      <c r="L3152">
        <v>212.98419999999999</v>
      </c>
      <c r="M3152">
        <v>0.99992939999999997</v>
      </c>
      <c r="N3152">
        <v>0</v>
      </c>
      <c r="O3152">
        <v>-3.2052809999999999E-3</v>
      </c>
      <c r="P3152">
        <v>0.99847560000000002</v>
      </c>
      <c r="Q3152">
        <v>-1.239292E-2</v>
      </c>
      <c r="R3152">
        <v>-5.3786920000000002E-2</v>
      </c>
      <c r="S3152">
        <v>3.0019529999999999</v>
      </c>
      <c r="T3152">
        <v>-0.13249720000000001</v>
      </c>
      <c r="U3152">
        <v>-1.4877319999999999E-2</v>
      </c>
      <c r="V3152">
        <v>5.0584759999999999E-2</v>
      </c>
      <c r="W3152">
        <v>-1.0317410000000001E-3</v>
      </c>
      <c r="X3152">
        <v>0.99871920000000003</v>
      </c>
      <c r="Y3152">
        <v>1.7517570000000001E-3</v>
      </c>
      <c r="Z3152">
        <v>1.02771E-4</v>
      </c>
      <c r="AA3152">
        <v>0.99999850000000001</v>
      </c>
      <c r="AB3152">
        <v>31</v>
      </c>
      <c r="AC3152">
        <v>24.8326999999999</v>
      </c>
      <c r="AD3152">
        <v>-1.1092237106689999</v>
      </c>
      <c r="AE3152">
        <v>-0.12319999999999701</v>
      </c>
      <c r="AF3152">
        <v>4.35115617356635E-2</v>
      </c>
      <c r="AG3152">
        <v>-1.1092237106689999</v>
      </c>
      <c r="AH3152">
        <v>24.783520022045199</v>
      </c>
      <c r="AI3152">
        <v>92.5626446298281</v>
      </c>
      <c r="AJ3152">
        <v>89.899407901549296</v>
      </c>
      <c r="AK3152">
        <v>24.808368249029002</v>
      </c>
      <c r="AL3152">
        <v>90.059114417617707</v>
      </c>
      <c r="AM3152">
        <v>87.100467628282502</v>
      </c>
      <c r="AN3152">
        <v>0.99999996144119296</v>
      </c>
    </row>
    <row r="3153" spans="1:40" x14ac:dyDescent="0.25">
      <c r="A3153" t="str">
        <f>"20190312161024798"</f>
        <v>20190312161024798</v>
      </c>
      <c r="B3153" t="str">
        <f>"1552378224789729"</f>
        <v>1552378224789729</v>
      </c>
      <c r="C3153" t="s">
        <v>40</v>
      </c>
      <c r="D3153">
        <v>5.3997190000000002</v>
      </c>
      <c r="E3153">
        <v>0.48458689999999999</v>
      </c>
      <c r="F3153" t="s">
        <v>61</v>
      </c>
      <c r="G3153">
        <v>-363.12430000000001</v>
      </c>
      <c r="H3153" s="1">
        <v>1.2581599999999999E-7</v>
      </c>
      <c r="I3153">
        <v>212.72</v>
      </c>
      <c r="J3153">
        <v>-391.69979999999998</v>
      </c>
      <c r="K3153">
        <v>1.1092329999999999</v>
      </c>
      <c r="L3153">
        <v>212.98249999999999</v>
      </c>
      <c r="M3153">
        <v>0.99992749999999997</v>
      </c>
      <c r="N3153">
        <v>0</v>
      </c>
      <c r="O3153">
        <v>-3.844582E-3</v>
      </c>
      <c r="P3153">
        <v>0.99843059999999995</v>
      </c>
      <c r="Q3153">
        <v>-1.149786E-2</v>
      </c>
      <c r="R3153">
        <v>-5.481461E-2</v>
      </c>
      <c r="S3153">
        <v>3.0016479999999999</v>
      </c>
      <c r="T3153">
        <v>-0.1152145</v>
      </c>
      <c r="U3153">
        <v>-2.7435299999999999E-2</v>
      </c>
      <c r="V3153">
        <v>5.0975159999999999E-2</v>
      </c>
      <c r="W3153">
        <v>-1.5719820000000001E-4</v>
      </c>
      <c r="X3153">
        <v>0.99869989999999997</v>
      </c>
      <c r="Y3153">
        <v>5.293893E-3</v>
      </c>
      <c r="Z3153" s="1">
        <v>4.5960549999999998E-5</v>
      </c>
      <c r="AA3153">
        <v>0.99998600000000004</v>
      </c>
      <c r="AB3153">
        <v>31</v>
      </c>
      <c r="AC3153">
        <v>28.575499999999899</v>
      </c>
      <c r="AD3153">
        <v>-1.1092328741840001</v>
      </c>
      <c r="AE3153">
        <v>-0.26249999999998802</v>
      </c>
      <c r="AF3153">
        <v>0.15240043466310799</v>
      </c>
      <c r="AG3153">
        <v>-1.1092328741840001</v>
      </c>
      <c r="AH3153">
        <v>28.533307480302302</v>
      </c>
      <c r="AI3153">
        <v>92.226221766023599</v>
      </c>
      <c r="AJ3153">
        <v>89.693978040378099</v>
      </c>
      <c r="AK3153">
        <v>28.5552667511115</v>
      </c>
      <c r="AL3153">
        <v>90.0090067935256</v>
      </c>
      <c r="AM3153">
        <v>87.078072054350898</v>
      </c>
      <c r="AN3153">
        <v>0.99999999095415404</v>
      </c>
    </row>
    <row r="3154" spans="1:40" x14ac:dyDescent="0.25">
      <c r="A3154" t="str">
        <f>"20190312161024843"</f>
        <v>20190312161024843</v>
      </c>
      <c r="B3154" t="str">
        <f>"1552378224839037"</f>
        <v>1552378224839037</v>
      </c>
      <c r="C3154" t="s">
        <v>40</v>
      </c>
      <c r="D3154">
        <v>5.3593270000000004</v>
      </c>
      <c r="E3154">
        <v>0.48684840000000001</v>
      </c>
      <c r="F3154" t="s">
        <v>61</v>
      </c>
      <c r="G3154">
        <v>-358.08539999999999</v>
      </c>
      <c r="H3154" s="1">
        <v>2.8566100000000002E-6</v>
      </c>
      <c r="I3154">
        <v>212.53970000000001</v>
      </c>
      <c r="J3154">
        <v>-391.08780000000002</v>
      </c>
      <c r="K3154">
        <v>1.1092329999999999</v>
      </c>
      <c r="L3154">
        <v>212.9786</v>
      </c>
      <c r="M3154">
        <v>0.99992259999999999</v>
      </c>
      <c r="N3154">
        <v>0</v>
      </c>
      <c r="O3154">
        <v>-5.0454009999999997E-3</v>
      </c>
      <c r="P3154">
        <v>0.99828859999999997</v>
      </c>
      <c r="Q3154">
        <v>-1.140735E-2</v>
      </c>
      <c r="R3154">
        <v>-5.7357230000000002E-2</v>
      </c>
      <c r="S3154">
        <v>3.0013730000000001</v>
      </c>
      <c r="T3154">
        <v>-9.9041100000000007E-2</v>
      </c>
      <c r="U3154">
        <v>-3.9535519999999998E-2</v>
      </c>
      <c r="V3154">
        <v>5.2319339999999999E-2</v>
      </c>
      <c r="W3154">
        <v>-1.0857729999999999E-4</v>
      </c>
      <c r="X3154">
        <v>0.99863040000000003</v>
      </c>
      <c r="Y3154">
        <v>8.1242019999999901E-3</v>
      </c>
      <c r="Z3154" s="1">
        <v>3.2446130000000003E-5</v>
      </c>
      <c r="AA3154">
        <v>0.99996700000000005</v>
      </c>
      <c r="AB3154">
        <v>31</v>
      </c>
      <c r="AC3154">
        <v>33.002400000000002</v>
      </c>
      <c r="AD3154">
        <v>-1.10923014338999</v>
      </c>
      <c r="AE3154">
        <v>-0.43889999999998902</v>
      </c>
      <c r="AF3154">
        <v>0.27206601090273902</v>
      </c>
      <c r="AG3154">
        <v>-1.10923014338999</v>
      </c>
      <c r="AH3154">
        <v>32.9669591992104</v>
      </c>
      <c r="AI3154">
        <v>91.9270226488795</v>
      </c>
      <c r="AJ3154">
        <v>89.527166572887594</v>
      </c>
      <c r="AK3154">
        <v>32.9867368842039</v>
      </c>
      <c r="AL3154">
        <v>90.006221021050195</v>
      </c>
      <c r="AM3154">
        <v>87.000953330409104</v>
      </c>
      <c r="AN3154">
        <v>1.00000000046561</v>
      </c>
    </row>
    <row r="3155" spans="1:40" x14ac:dyDescent="0.25">
      <c r="A3155" t="str">
        <f>"20190312161024867"</f>
        <v>20190312161024867</v>
      </c>
      <c r="B3155" t="str">
        <f>"1552378224859533"</f>
        <v>1552378224859533</v>
      </c>
      <c r="C3155" t="s">
        <v>40</v>
      </c>
      <c r="D3155">
        <v>5.2953749999999999</v>
      </c>
      <c r="E3155">
        <v>0.48763800000000002</v>
      </c>
      <c r="F3155" t="s">
        <v>61</v>
      </c>
      <c r="G3155">
        <v>-344.33420000000001</v>
      </c>
      <c r="H3155" s="1">
        <v>7.6964349999999899E-7</v>
      </c>
      <c r="I3155">
        <v>211.94820000000001</v>
      </c>
      <c r="J3155">
        <v>-390.76440000000002</v>
      </c>
      <c r="K3155">
        <v>1.1092340000000001</v>
      </c>
      <c r="L3155">
        <v>212.97630000000001</v>
      </c>
      <c r="M3155">
        <v>0.99991949999999996</v>
      </c>
      <c r="N3155">
        <v>0</v>
      </c>
      <c r="O3155">
        <v>-5.6713819999999896E-3</v>
      </c>
      <c r="P3155">
        <v>0.99823899999999999</v>
      </c>
      <c r="Q3155">
        <v>-1.160627E-2</v>
      </c>
      <c r="R3155">
        <v>-5.8175240000000003E-2</v>
      </c>
      <c r="S3155">
        <v>3.0004879999999998</v>
      </c>
      <c r="T3155">
        <v>-7.1186780000000005E-2</v>
      </c>
      <c r="U3155">
        <v>-6.6131590000000004E-2</v>
      </c>
      <c r="V3155">
        <v>5.2512169999999997E-2</v>
      </c>
      <c r="W3155">
        <v>-3.2937880000000002E-4</v>
      </c>
      <c r="X3155">
        <v>0.99862019999999996</v>
      </c>
      <c r="Y3155">
        <v>1.6361190000000001E-2</v>
      </c>
      <c r="Z3155" s="1">
        <v>-5.9509680000000002E-5</v>
      </c>
      <c r="AA3155">
        <v>0.99986609999999998</v>
      </c>
      <c r="AB3155">
        <v>31</v>
      </c>
      <c r="AC3155">
        <v>46.430199999999999</v>
      </c>
      <c r="AD3155">
        <v>-1.1092332303565</v>
      </c>
      <c r="AE3155">
        <v>-1.02809999999999</v>
      </c>
      <c r="AF3155">
        <v>0.76430708632687006</v>
      </c>
      <c r="AG3155">
        <v>-1.1092332303565</v>
      </c>
      <c r="AH3155">
        <v>46.408809548614002</v>
      </c>
      <c r="AI3155">
        <v>91.369000257188503</v>
      </c>
      <c r="AJ3155">
        <v>89.056480607921799</v>
      </c>
      <c r="AK3155">
        <v>46.428355208870599</v>
      </c>
      <c r="AL3155">
        <v>90.018872016005304</v>
      </c>
      <c r="AM3155">
        <v>86.989889539690907</v>
      </c>
      <c r="AN3155">
        <v>0.99999997016827002</v>
      </c>
    </row>
    <row r="3156" spans="1:40" x14ac:dyDescent="0.25">
      <c r="A3156" t="str">
        <f>"20190312161024888"</f>
        <v>20190312161024888</v>
      </c>
      <c r="B3156" t="str">
        <f>"1552378224879053"</f>
        <v>1552378224879053</v>
      </c>
      <c r="C3156" t="s">
        <v>40</v>
      </c>
      <c r="D3156">
        <v>5.3673250000000001</v>
      </c>
      <c r="E3156">
        <v>0.48836560000000001</v>
      </c>
      <c r="F3156" t="s">
        <v>61</v>
      </c>
      <c r="G3156">
        <v>-340.49439999999998</v>
      </c>
      <c r="H3156" s="1">
        <v>-1.2737129999999999E-6</v>
      </c>
      <c r="I3156">
        <v>211.72020000000001</v>
      </c>
      <c r="J3156">
        <v>-390.4699</v>
      </c>
      <c r="K3156">
        <v>1.1092409999999999</v>
      </c>
      <c r="L3156">
        <v>212.97399999999999</v>
      </c>
      <c r="M3156">
        <v>0.99991649999999999</v>
      </c>
      <c r="N3156">
        <v>0</v>
      </c>
      <c r="O3156">
        <v>-6.2325039999999998E-3</v>
      </c>
      <c r="P3156">
        <v>0.99824109999999999</v>
      </c>
      <c r="Q3156">
        <v>-1.0768669999999999E-2</v>
      </c>
      <c r="R3156">
        <v>-5.8305620000000002E-2</v>
      </c>
      <c r="S3156">
        <v>3.0001530000000001</v>
      </c>
      <c r="T3156">
        <v>-6.6200019999999998E-2</v>
      </c>
      <c r="U3156">
        <v>-7.4966430000000001E-2</v>
      </c>
      <c r="V3156">
        <v>5.2083030000000002E-2</v>
      </c>
      <c r="W3156">
        <v>4.9049059999999999E-4</v>
      </c>
      <c r="X3156">
        <v>0.99864260000000005</v>
      </c>
      <c r="Y3156">
        <v>1.8745250000000001E-2</v>
      </c>
      <c r="Z3156" s="1">
        <v>-6.9263829999999994E-5</v>
      </c>
      <c r="AA3156">
        <v>0.9998243</v>
      </c>
      <c r="AB3156">
        <v>31</v>
      </c>
      <c r="AC3156">
        <v>49.975499999999997</v>
      </c>
      <c r="AD3156">
        <v>-1.1092422737130001</v>
      </c>
      <c r="AE3156">
        <v>-1.25380000000001</v>
      </c>
      <c r="AF3156">
        <v>0.94181948671481897</v>
      </c>
      <c r="AG3156">
        <v>-1.1092422737130001</v>
      </c>
      <c r="AH3156">
        <v>49.957747848174499</v>
      </c>
      <c r="AI3156">
        <v>91.271738157169807</v>
      </c>
      <c r="AJ3156">
        <v>88.919969525700793</v>
      </c>
      <c r="AK3156">
        <v>49.978935687238597</v>
      </c>
      <c r="AL3156">
        <v>89.971896956550196</v>
      </c>
      <c r="AM3156">
        <v>87.014510926279101</v>
      </c>
      <c r="AN3156">
        <v>0.99999996256488399</v>
      </c>
    </row>
    <row r="3157" spans="1:40" x14ac:dyDescent="0.25">
      <c r="A3157" t="str">
        <f>"20190312161024934"</f>
        <v>20190312161024934</v>
      </c>
      <c r="B3157" t="str">
        <f>"1552378224928831"</f>
        <v>1552378224928831</v>
      </c>
      <c r="C3157" t="s">
        <v>40</v>
      </c>
      <c r="D3157">
        <v>5.4851799999999997</v>
      </c>
      <c r="E3157">
        <v>0.48955579999999999</v>
      </c>
      <c r="F3157" t="s">
        <v>61</v>
      </c>
      <c r="G3157">
        <v>-331.86360000000002</v>
      </c>
      <c r="H3157" s="1">
        <v>-4.0376060000000002E-7</v>
      </c>
      <c r="I3157">
        <v>211.38310000000001</v>
      </c>
      <c r="J3157">
        <v>-389.83879999999999</v>
      </c>
      <c r="K3157">
        <v>1.109246</v>
      </c>
      <c r="L3157">
        <v>212.96860000000001</v>
      </c>
      <c r="M3157">
        <v>0.99990880000000004</v>
      </c>
      <c r="N3157">
        <v>0</v>
      </c>
      <c r="O3157">
        <v>-7.4012030000000003E-3</v>
      </c>
      <c r="P3157">
        <v>0.99817040000000001</v>
      </c>
      <c r="Q3157">
        <v>-1.103697E-2</v>
      </c>
      <c r="R3157">
        <v>-5.9447609999999998E-2</v>
      </c>
      <c r="S3157">
        <v>2.9998779999999998</v>
      </c>
      <c r="T3157">
        <v>-5.6778670000000003E-2</v>
      </c>
      <c r="U3157">
        <v>-8.1436159999999994E-2</v>
      </c>
      <c r="V3157">
        <v>5.2058189999999997E-2</v>
      </c>
      <c r="W3157">
        <v>1.8912949999999999E-4</v>
      </c>
      <c r="X3157">
        <v>0.99864410000000003</v>
      </c>
      <c r="Y3157">
        <v>1.973459E-2</v>
      </c>
      <c r="Z3157" s="1">
        <v>-4.6658520000000002E-5</v>
      </c>
      <c r="AA3157">
        <v>0.99980530000000001</v>
      </c>
      <c r="AB3157">
        <v>31</v>
      </c>
      <c r="AC3157">
        <v>57.975199999999901</v>
      </c>
      <c r="AD3157">
        <v>-1.1092464037606</v>
      </c>
      <c r="AE3157">
        <v>-1.5854999999999899</v>
      </c>
      <c r="AF3157">
        <v>1.15592012463849</v>
      </c>
      <c r="AG3157">
        <v>-1.1092464037606</v>
      </c>
      <c r="AH3157">
        <v>57.964143816757101</v>
      </c>
      <c r="AI3157">
        <v>91.096104377555307</v>
      </c>
      <c r="AJ3157">
        <v>88.857559813596595</v>
      </c>
      <c r="AK3157">
        <v>57.986278957426599</v>
      </c>
      <c r="AL3157">
        <v>89.989163678504994</v>
      </c>
      <c r="AM3157">
        <v>87.015936697918605</v>
      </c>
      <c r="AN3157">
        <v>1.0000000646904199</v>
      </c>
    </row>
    <row r="3158" spans="1:40" x14ac:dyDescent="0.25">
      <c r="A3158" t="str">
        <f>"20190312161024977"</f>
        <v>20190312161024977</v>
      </c>
      <c r="B3158" t="str">
        <f>"1552378224969353"</f>
        <v>1552378224969353</v>
      </c>
      <c r="C3158" t="s">
        <v>40</v>
      </c>
      <c r="D3158">
        <v>5.6263360000000002</v>
      </c>
      <c r="E3158">
        <v>0.49019889999999999</v>
      </c>
      <c r="F3158" t="s">
        <v>74</v>
      </c>
      <c r="G3158">
        <v>-316.44479999999999</v>
      </c>
      <c r="H3158" s="1">
        <v>3.763629E-6</v>
      </c>
      <c r="I3158">
        <v>210.65029999999999</v>
      </c>
      <c r="J3158">
        <v>-389.24549999999999</v>
      </c>
      <c r="K3158">
        <v>1.1092759999999999</v>
      </c>
      <c r="L3158">
        <v>212.96299999999999</v>
      </c>
      <c r="M3158">
        <v>0.99990080000000003</v>
      </c>
      <c r="N3158">
        <v>0</v>
      </c>
      <c r="O3158">
        <v>-8.4387460000000004E-3</v>
      </c>
      <c r="P3158">
        <v>0.99800440000000001</v>
      </c>
      <c r="Q3158">
        <v>-1.0698869999999999E-2</v>
      </c>
      <c r="R3158">
        <v>-6.2231639999999998E-2</v>
      </c>
      <c r="S3158">
        <v>2.9993289999999999</v>
      </c>
      <c r="T3158">
        <v>-4.5330410000000002E-2</v>
      </c>
      <c r="U3158">
        <v>-9.4741820000000004E-2</v>
      </c>
      <c r="V3158">
        <v>5.3807550000000003E-2</v>
      </c>
      <c r="W3158">
        <v>5.0145769999999999E-4</v>
      </c>
      <c r="X3158">
        <v>0.99855119999999997</v>
      </c>
      <c r="Y3158">
        <v>2.3134060000000001E-2</v>
      </c>
      <c r="Z3158" s="1">
        <v>-4.7262149999999999E-5</v>
      </c>
      <c r="AA3158">
        <v>0.99973239999999997</v>
      </c>
      <c r="AB3158">
        <v>31</v>
      </c>
      <c r="AC3158">
        <v>72.800700000000006</v>
      </c>
      <c r="AD3158">
        <v>-1.1092722363709999</v>
      </c>
      <c r="AE3158">
        <v>-2.3127</v>
      </c>
      <c r="AF3158">
        <v>1.6978381674652501</v>
      </c>
      <c r="AG3158">
        <v>-1.1092722363709999</v>
      </c>
      <c r="AH3158">
        <v>72.800739923868903</v>
      </c>
      <c r="AI3158">
        <v>90.872716765699195</v>
      </c>
      <c r="AJ3158">
        <v>88.664006294542602</v>
      </c>
      <c r="AK3158">
        <v>72.828983741365505</v>
      </c>
      <c r="AL3158">
        <v>89.971268589023396</v>
      </c>
      <c r="AM3158">
        <v>86.915564502909703</v>
      </c>
      <c r="AN3158">
        <v>1.0000000014591299</v>
      </c>
    </row>
    <row r="3159" spans="1:40" x14ac:dyDescent="0.25">
      <c r="A3159" t="str">
        <f>"20190312161025000"</f>
        <v>20190312161025000</v>
      </c>
      <c r="B3159" t="str">
        <f>"1552378224988873"</f>
        <v>1552378224988873</v>
      </c>
      <c r="C3159" t="s">
        <v>40</v>
      </c>
      <c r="D3159">
        <v>5.435289</v>
      </c>
      <c r="E3159">
        <v>0.49047180000000001</v>
      </c>
      <c r="F3159" t="s">
        <v>74</v>
      </c>
      <c r="G3159">
        <v>-297.59230000000002</v>
      </c>
      <c r="H3159" s="1">
        <v>2.2411579999999999E-6</v>
      </c>
      <c r="I3159">
        <v>209.64769999999999</v>
      </c>
      <c r="J3159">
        <v>-388.93130000000002</v>
      </c>
      <c r="K3159">
        <v>1.1092979999999999</v>
      </c>
      <c r="L3159">
        <v>212.9598</v>
      </c>
      <c r="M3159">
        <v>0.99989649999999997</v>
      </c>
      <c r="N3159">
        <v>0</v>
      </c>
      <c r="O3159">
        <v>-8.9561420000000003E-3</v>
      </c>
      <c r="P3159">
        <v>0.99794269999999996</v>
      </c>
      <c r="Q3159">
        <v>-9.0394480000000003E-3</v>
      </c>
      <c r="R3159">
        <v>-6.3473020000000005E-2</v>
      </c>
      <c r="S3159">
        <v>2.9988709999999998</v>
      </c>
      <c r="T3159">
        <v>-3.6295180000000003E-2</v>
      </c>
      <c r="U3159">
        <v>-0.10847469999999999</v>
      </c>
      <c r="V3159">
        <v>5.4534550000000001E-2</v>
      </c>
      <c r="W3159">
        <v>2.1508360000000002E-3</v>
      </c>
      <c r="X3159">
        <v>0.9985096</v>
      </c>
      <c r="Y3159">
        <v>2.7194579999999999E-2</v>
      </c>
      <c r="Z3159" s="1">
        <v>-5.614977E-5</v>
      </c>
      <c r="AA3159">
        <v>0.99963020000000002</v>
      </c>
      <c r="AB3159">
        <v>31</v>
      </c>
      <c r="AC3159">
        <v>91.338999999999999</v>
      </c>
      <c r="AD3159">
        <v>-1.1092957588419901</v>
      </c>
      <c r="AE3159">
        <v>-3.3121000000000098</v>
      </c>
      <c r="AF3159">
        <v>2.49350293057593</v>
      </c>
      <c r="AG3159">
        <v>-1.1092957588419901</v>
      </c>
      <c r="AH3159">
        <v>91.3515453622027</v>
      </c>
      <c r="AI3159">
        <v>90.695458198034302</v>
      </c>
      <c r="AJ3159">
        <v>88.436460728320796</v>
      </c>
      <c r="AK3159">
        <v>91.392302378307306</v>
      </c>
      <c r="AL3159">
        <v>89.876766083735902</v>
      </c>
      <c r="AM3159">
        <v>86.873842465000095</v>
      </c>
      <c r="AN3159">
        <v>1.0000000322656799</v>
      </c>
    </row>
    <row r="3160" spans="1:40" x14ac:dyDescent="0.25">
      <c r="A3160" t="str">
        <f>"20190312161025022"</f>
        <v>20190312161025022</v>
      </c>
      <c r="B3160" t="str">
        <f>"1552378225019129"</f>
        <v>1552378225019129</v>
      </c>
      <c r="C3160" t="s">
        <v>40</v>
      </c>
      <c r="D3160">
        <v>5.4124019999999904</v>
      </c>
      <c r="E3160">
        <v>0.49090889999999998</v>
      </c>
      <c r="F3160" t="s">
        <v>61</v>
      </c>
      <c r="G3160">
        <v>-266.834</v>
      </c>
      <c r="H3160">
        <v>8.0001199999999995E-2</v>
      </c>
      <c r="I3160">
        <v>208.2963</v>
      </c>
      <c r="J3160">
        <v>-388.62389999999999</v>
      </c>
      <c r="K3160">
        <v>1.109329</v>
      </c>
      <c r="L3160">
        <v>212.95650000000001</v>
      </c>
      <c r="M3160">
        <v>0.99989220000000001</v>
      </c>
      <c r="N3160">
        <v>0</v>
      </c>
      <c r="O3160">
        <v>-9.4291150000000001E-3</v>
      </c>
      <c r="P3160">
        <v>0.99787899999999996</v>
      </c>
      <c r="Q3160">
        <v>-8.2444960000000005E-3</v>
      </c>
      <c r="R3160">
        <v>-6.4572809999999994E-2</v>
      </c>
      <c r="S3160">
        <v>2.9986269999999999</v>
      </c>
      <c r="T3160">
        <v>-2.5278809999999999E-2</v>
      </c>
      <c r="U3160">
        <v>-0.1145325</v>
      </c>
      <c r="V3160">
        <v>5.5163150000000001E-2</v>
      </c>
      <c r="W3160">
        <v>2.9390449999999999E-3</v>
      </c>
      <c r="X3160">
        <v>0.99847300000000005</v>
      </c>
      <c r="Y3160">
        <v>2.8741929999999999E-2</v>
      </c>
      <c r="Z3160" s="1">
        <v>-4.1643919999999998E-5</v>
      </c>
      <c r="AA3160">
        <v>0.99958689999999994</v>
      </c>
      <c r="AB3160">
        <v>31</v>
      </c>
      <c r="AC3160">
        <v>121.7899</v>
      </c>
      <c r="AD3160">
        <v>-1.0293277999999999</v>
      </c>
      <c r="AE3160">
        <v>-4.6601999999999997</v>
      </c>
      <c r="AF3160">
        <v>3.5112986385654801</v>
      </c>
      <c r="AG3160">
        <v>-1.0293277999999999</v>
      </c>
      <c r="AH3160">
        <v>121.819740531546</v>
      </c>
      <c r="AI3160">
        <v>90.483913797842703</v>
      </c>
      <c r="AJ3160">
        <v>88.348979362154495</v>
      </c>
      <c r="AK3160">
        <v>121.874681197623</v>
      </c>
      <c r="AL3160">
        <v>89.831604878454499</v>
      </c>
      <c r="AM3160">
        <v>86.837765414574605</v>
      </c>
      <c r="AN3160">
        <v>0.99999997141621599</v>
      </c>
    </row>
    <row r="3161" spans="1:40" x14ac:dyDescent="0.25">
      <c r="A3161" t="str">
        <f>"20190312161025044"</f>
        <v>20190312161025044</v>
      </c>
      <c r="B3161" t="str">
        <f>"1552378225039625"</f>
        <v>1552378225039625</v>
      </c>
      <c r="C3161" t="s">
        <v>40</v>
      </c>
      <c r="D3161">
        <v>5.4197300000000004</v>
      </c>
      <c r="E3161">
        <v>0.49118840000000002</v>
      </c>
      <c r="F3161" t="s">
        <v>51</v>
      </c>
      <c r="G3161">
        <v>-234.77680000000001</v>
      </c>
      <c r="H3161">
        <v>0.34058339999999998</v>
      </c>
      <c r="I3161">
        <v>206.7157</v>
      </c>
      <c r="J3161">
        <v>-388.32159999999999</v>
      </c>
      <c r="K3161">
        <v>1.109362</v>
      </c>
      <c r="L3161">
        <v>212.95320000000001</v>
      </c>
      <c r="M3161">
        <v>0.99988829999999995</v>
      </c>
      <c r="N3161">
        <v>0</v>
      </c>
      <c r="O3161">
        <v>-9.8494029999999996E-3</v>
      </c>
      <c r="P3161">
        <v>0.9978378</v>
      </c>
      <c r="Q3161">
        <v>-8.244141E-3</v>
      </c>
      <c r="R3161">
        <v>-6.5208500000000003E-2</v>
      </c>
      <c r="S3161">
        <v>2.9983520000000001</v>
      </c>
      <c r="T3161">
        <v>-1.498127E-2</v>
      </c>
      <c r="U3161">
        <v>-0.12162779999999999</v>
      </c>
      <c r="V3161">
        <v>5.5379379999999999E-2</v>
      </c>
      <c r="W3161">
        <v>2.9366610000000001E-3</v>
      </c>
      <c r="X3161">
        <v>0.99846109999999999</v>
      </c>
      <c r="Y3161">
        <v>3.06874E-2</v>
      </c>
      <c r="Z3161" s="1">
        <v>-2.7440739999999999E-5</v>
      </c>
      <c r="AA3161">
        <v>0.999529</v>
      </c>
      <c r="AB3161">
        <v>31</v>
      </c>
      <c r="AC3161">
        <v>153.54479999999899</v>
      </c>
      <c r="AD3161">
        <v>-0.76877859999999998</v>
      </c>
      <c r="AE3161">
        <v>-6.2375000000000096</v>
      </c>
      <c r="AF3161">
        <v>4.7246589719354501</v>
      </c>
      <c r="AG3161">
        <v>-0.76877859999999998</v>
      </c>
      <c r="AH3161">
        <v>153.59494657764901</v>
      </c>
      <c r="AI3161">
        <v>90.286640793941402</v>
      </c>
      <c r="AJ3161">
        <v>88.238108136658497</v>
      </c>
      <c r="AK3161">
        <v>153.669518894047</v>
      </c>
      <c r="AL3161">
        <v>89.831741482709802</v>
      </c>
      <c r="AM3161">
        <v>86.825357547826002</v>
      </c>
      <c r="AN3161">
        <v>1.0000000339601101</v>
      </c>
    </row>
    <row r="3162" spans="1:40" x14ac:dyDescent="0.25">
      <c r="A3162" t="str">
        <f>"20190312161025065"</f>
        <v>20190312161025065</v>
      </c>
      <c r="B3162" t="str">
        <f>"1552378225059148"</f>
        <v>1552378225059148</v>
      </c>
      <c r="C3162" t="s">
        <v>40</v>
      </c>
      <c r="D3162">
        <v>5.4204359999999996</v>
      </c>
      <c r="E3162">
        <v>0.49145230000000001</v>
      </c>
      <c r="F3162" t="s">
        <v>55</v>
      </c>
      <c r="G3162">
        <v>-168.41149999999999</v>
      </c>
      <c r="H3162">
        <v>0.4102287</v>
      </c>
      <c r="I3162">
        <v>203.69970000000001</v>
      </c>
      <c r="J3162">
        <v>-388.01929999999999</v>
      </c>
      <c r="K3162">
        <v>1.1094090000000001</v>
      </c>
      <c r="L3162">
        <v>212.94980000000001</v>
      </c>
      <c r="M3162">
        <v>0.99988469999999996</v>
      </c>
      <c r="N3162">
        <v>0</v>
      </c>
      <c r="O3162">
        <v>-1.021797E-2</v>
      </c>
      <c r="P3162">
        <v>0.99786129999999995</v>
      </c>
      <c r="Q3162">
        <v>-7.5503549999999999E-3</v>
      </c>
      <c r="R3162">
        <v>-6.4929340000000002E-2</v>
      </c>
      <c r="S3162">
        <v>2.9981990000000001</v>
      </c>
      <c r="T3162">
        <v>-9.5313789999999995E-3</v>
      </c>
      <c r="U3162">
        <v>-0.12615970000000001</v>
      </c>
      <c r="V3162">
        <v>5.4732389999999999E-2</v>
      </c>
      <c r="W3162">
        <v>3.6309319999999999E-3</v>
      </c>
      <c r="X3162">
        <v>0.9984944</v>
      </c>
      <c r="Y3162">
        <v>3.1829389999999999E-2</v>
      </c>
      <c r="Z3162" s="1">
        <v>-1.8102119999999999E-5</v>
      </c>
      <c r="AA3162">
        <v>0.99949330000000003</v>
      </c>
      <c r="AB3162">
        <v>31</v>
      </c>
      <c r="AC3162">
        <v>219.6078</v>
      </c>
      <c r="AD3162">
        <v>-0.69918029999999998</v>
      </c>
      <c r="AE3162">
        <v>-9.2500999999999998</v>
      </c>
      <c r="AF3162">
        <v>7.00545865916453</v>
      </c>
      <c r="AG3162">
        <v>-0.69918029999999998</v>
      </c>
      <c r="AH3162">
        <v>219.688634272417</v>
      </c>
      <c r="AI3162">
        <v>90.182256097663398</v>
      </c>
      <c r="AJ3162">
        <v>88.173563917774004</v>
      </c>
      <c r="AK3162">
        <v>219.80141339990701</v>
      </c>
      <c r="AL3162">
        <v>89.791962451622197</v>
      </c>
      <c r="AM3162">
        <v>86.862476366768604</v>
      </c>
      <c r="AN3162">
        <v>0.999999942506828</v>
      </c>
    </row>
    <row r="3163" spans="1:40" x14ac:dyDescent="0.25">
      <c r="A3163" t="str">
        <f>"20190312161025088"</f>
        <v>20190312161025088</v>
      </c>
      <c r="B3163" t="str">
        <f>"1552378225079641"</f>
        <v>1552378225079641</v>
      </c>
      <c r="C3163" t="s">
        <v>40</v>
      </c>
      <c r="D3163">
        <v>5.2765319999999996</v>
      </c>
      <c r="E3163">
        <v>0.4916992</v>
      </c>
      <c r="F3163" t="s">
        <v>55</v>
      </c>
      <c r="G3163">
        <v>-168.4117</v>
      </c>
      <c r="H3163">
        <v>0.86483960000000004</v>
      </c>
      <c r="I3163">
        <v>203.62610000000001</v>
      </c>
      <c r="J3163">
        <v>-387.71159999999998</v>
      </c>
      <c r="K3163">
        <v>1.1094459999999999</v>
      </c>
      <c r="L3163">
        <v>212.94630000000001</v>
      </c>
      <c r="M3163">
        <v>0.99988129999999997</v>
      </c>
      <c r="N3163">
        <v>0</v>
      </c>
      <c r="O3163">
        <v>-1.055128E-2</v>
      </c>
      <c r="P3163">
        <v>0.99788960000000004</v>
      </c>
      <c r="Q3163">
        <v>-6.9115660000000001E-3</v>
      </c>
      <c r="R3163">
        <v>-6.4565579999999997E-2</v>
      </c>
      <c r="S3163">
        <v>2.9981080000000002</v>
      </c>
      <c r="T3163">
        <v>-3.3384560000000001E-3</v>
      </c>
      <c r="U3163">
        <v>-0.12728879999999901</v>
      </c>
      <c r="V3163">
        <v>5.4035519999999997E-2</v>
      </c>
      <c r="W3163">
        <v>4.2713200000000003E-3</v>
      </c>
      <c r="X3163">
        <v>0.99852989999999997</v>
      </c>
      <c r="Y3163">
        <v>3.1873360000000003E-2</v>
      </c>
      <c r="Z3163" s="1">
        <v>-5.9941379999999997E-6</v>
      </c>
      <c r="AA3163">
        <v>0.99949189999999999</v>
      </c>
      <c r="AB3163">
        <v>31</v>
      </c>
      <c r="AC3163">
        <v>219.29990000000001</v>
      </c>
      <c r="AD3163">
        <v>-0.244606399999999</v>
      </c>
      <c r="AE3163">
        <v>-9.3201999999999998</v>
      </c>
      <c r="AF3163">
        <v>7.0056319101618199</v>
      </c>
      <c r="AG3163">
        <v>-0.244606399999999</v>
      </c>
      <c r="AH3163">
        <v>219.38576463670199</v>
      </c>
      <c r="AI3163">
        <v>90.063849942383499</v>
      </c>
      <c r="AJ3163">
        <v>88.170998970000795</v>
      </c>
      <c r="AK3163">
        <v>219.49772763284301</v>
      </c>
      <c r="AL3163">
        <v>89.755270652134797</v>
      </c>
      <c r="AM3163">
        <v>86.902455920091697</v>
      </c>
      <c r="AN3163">
        <v>1.0000000213951099</v>
      </c>
    </row>
    <row r="3164" spans="1:40" x14ac:dyDescent="0.25">
      <c r="A3164" t="str">
        <f>"20190312161025111"</f>
        <v>20190312161025111</v>
      </c>
      <c r="B3164" t="str">
        <f>"1552378225099161"</f>
        <v>1552378225099161</v>
      </c>
      <c r="C3164" t="s">
        <v>40</v>
      </c>
      <c r="D3164">
        <v>5.4209379999999996</v>
      </c>
      <c r="E3164">
        <v>0.49126910000000001</v>
      </c>
      <c r="F3164" t="s">
        <v>55</v>
      </c>
      <c r="G3164">
        <v>-168.4118</v>
      </c>
      <c r="H3164">
        <v>1.000929</v>
      </c>
      <c r="I3164">
        <v>203.55719999999999</v>
      </c>
      <c r="J3164">
        <v>-387.39679999999998</v>
      </c>
      <c r="K3164">
        <v>1.1094869999999999</v>
      </c>
      <c r="L3164">
        <v>212.9427</v>
      </c>
      <c r="M3164">
        <v>0.99987820000000005</v>
      </c>
      <c r="N3164">
        <v>0</v>
      </c>
      <c r="O3164">
        <v>-1.084395E-2</v>
      </c>
      <c r="P3164">
        <v>0.99791160000000001</v>
      </c>
      <c r="Q3164">
        <v>-6.9669669999999897E-3</v>
      </c>
      <c r="R3164">
        <v>-6.4219360000000003E-2</v>
      </c>
      <c r="S3164">
        <v>2.9980159999999998</v>
      </c>
      <c r="T3164">
        <v>-1.4830829999999901E-3</v>
      </c>
      <c r="U3164">
        <v>-0.1283569</v>
      </c>
      <c r="V3164">
        <v>5.3396449999999998E-2</v>
      </c>
      <c r="W3164">
        <v>4.2183910000000002E-3</v>
      </c>
      <c r="X3164">
        <v>0.99856449999999997</v>
      </c>
      <c r="Y3164">
        <v>3.193754E-2</v>
      </c>
      <c r="Z3164" s="1">
        <v>-2.5340810000000001E-6</v>
      </c>
      <c r="AA3164">
        <v>0.99948979999999998</v>
      </c>
      <c r="AB3164">
        <v>31</v>
      </c>
      <c r="AC3164">
        <v>218.98500000000001</v>
      </c>
      <c r="AD3164">
        <v>-0.108557999999999</v>
      </c>
      <c r="AE3164">
        <v>-9.3855000000000004</v>
      </c>
      <c r="AF3164">
        <v>7.0101343669124203</v>
      </c>
      <c r="AG3164">
        <v>-0.108557999999999</v>
      </c>
      <c r="AH3164">
        <v>219.07385120487899</v>
      </c>
      <c r="AI3164">
        <v>90.028377338256306</v>
      </c>
      <c r="AJ3164">
        <v>88.167220291086295</v>
      </c>
      <c r="AK3164">
        <v>219.186007880109</v>
      </c>
      <c r="AL3164">
        <v>89.758303286928907</v>
      </c>
      <c r="AM3164">
        <v>86.939125888380403</v>
      </c>
      <c r="AN3164">
        <v>1.00000001817774</v>
      </c>
    </row>
    <row r="3165" spans="1:40" x14ac:dyDescent="0.25">
      <c r="A3165" t="str">
        <f>"20190312161025137"</f>
        <v>20190312161025137</v>
      </c>
      <c r="B3165" t="str">
        <f>"1552378225129416"</f>
        <v>1552378225129416</v>
      </c>
      <c r="C3165" t="s">
        <v>40</v>
      </c>
      <c r="D3165">
        <v>5.3691149999999999</v>
      </c>
      <c r="E3165">
        <v>0.49074839999999997</v>
      </c>
      <c r="F3165" t="s">
        <v>55</v>
      </c>
      <c r="G3165">
        <v>-168.41159999999999</v>
      </c>
      <c r="H3165">
        <v>0.8190269</v>
      </c>
      <c r="I3165">
        <v>203.89779999999999</v>
      </c>
      <c r="J3165">
        <v>-387.0369</v>
      </c>
      <c r="K3165">
        <v>1.109518</v>
      </c>
      <c r="L3165">
        <v>212.9385</v>
      </c>
      <c r="M3165">
        <v>0.99987519999999996</v>
      </c>
      <c r="N3165">
        <v>0</v>
      </c>
      <c r="O3165">
        <v>-1.111703E-2</v>
      </c>
      <c r="P3165">
        <v>0.99793989999999999</v>
      </c>
      <c r="Q3165">
        <v>-6.8991790000000001E-3</v>
      </c>
      <c r="R3165">
        <v>-6.3788410000000004E-2</v>
      </c>
      <c r="S3165">
        <v>2.998291</v>
      </c>
      <c r="T3165">
        <v>-3.9764639999999999E-3</v>
      </c>
      <c r="U3165">
        <v>-0.1238403</v>
      </c>
      <c r="V3165">
        <v>5.2691950000000001E-2</v>
      </c>
      <c r="W3165">
        <v>4.2899160000000004E-3</v>
      </c>
      <c r="X3165">
        <v>0.99860159999999998</v>
      </c>
      <c r="Y3165">
        <v>3.0157630000000001E-2</v>
      </c>
      <c r="Z3165" s="1">
        <v>-5.2521960000000002E-6</v>
      </c>
      <c r="AA3165">
        <v>0.99954520000000002</v>
      </c>
      <c r="AB3165">
        <v>31</v>
      </c>
      <c r="AC3165">
        <v>218.62530000000001</v>
      </c>
      <c r="AD3165">
        <v>-0.290491099999999</v>
      </c>
      <c r="AE3165">
        <v>-9.04070000000001</v>
      </c>
      <c r="AF3165">
        <v>6.6095124528287004</v>
      </c>
      <c r="AG3165">
        <v>-0.290491099999999</v>
      </c>
      <c r="AH3165">
        <v>218.71191470060199</v>
      </c>
      <c r="AI3165">
        <v>90.076064943076503</v>
      </c>
      <c r="AJ3165">
        <v>88.269038296489995</v>
      </c>
      <c r="AK3165">
        <v>218.81195504804299</v>
      </c>
      <c r="AL3165">
        <v>89.754205164882194</v>
      </c>
      <c r="AM3165">
        <v>86.979547058876406</v>
      </c>
      <c r="AN3165">
        <v>1.00000000024832</v>
      </c>
    </row>
    <row r="3166" spans="1:40" x14ac:dyDescent="0.25">
      <c r="A3166" t="str">
        <f>"20190312161025160"</f>
        <v>20190312161025160</v>
      </c>
      <c r="B3166" t="str">
        <f>"1552378225149445"</f>
        <v>1552378225149445</v>
      </c>
      <c r="C3166" t="s">
        <v>40</v>
      </c>
      <c r="D3166">
        <v>5.383038</v>
      </c>
      <c r="E3166">
        <v>0.4904771</v>
      </c>
      <c r="F3166" t="s">
        <v>51</v>
      </c>
      <c r="G3166">
        <v>-234.68969999999999</v>
      </c>
      <c r="H3166">
        <v>0.72950990000000004</v>
      </c>
      <c r="I3166">
        <v>206.935</v>
      </c>
      <c r="J3166">
        <v>-386.73509999999999</v>
      </c>
      <c r="K3166">
        <v>1.1095520000000001</v>
      </c>
      <c r="L3166">
        <v>212.9349</v>
      </c>
      <c r="M3166">
        <v>0.99987320000000002</v>
      </c>
      <c r="N3166">
        <v>0</v>
      </c>
      <c r="O3166">
        <v>-1.1297969999999999E-2</v>
      </c>
      <c r="P3166">
        <v>0.99794260000000001</v>
      </c>
      <c r="Q3166">
        <v>-7.0579459999999998E-3</v>
      </c>
      <c r="R3166">
        <v>-6.3724959999999997E-2</v>
      </c>
      <c r="S3166">
        <v>2.998596</v>
      </c>
      <c r="T3166">
        <v>-7.4785950000000002E-3</v>
      </c>
      <c r="U3166">
        <v>-0.11816409999999999</v>
      </c>
      <c r="V3166">
        <v>5.2447309999999997E-2</v>
      </c>
      <c r="W3166">
        <v>4.1344679999999997E-3</v>
      </c>
      <c r="X3166">
        <v>0.99861509999999998</v>
      </c>
      <c r="Y3166">
        <v>2.8083420000000001E-2</v>
      </c>
      <c r="Z3166" s="1">
        <v>-6.840546E-6</v>
      </c>
      <c r="AA3166">
        <v>0.99960559999999998</v>
      </c>
      <c r="AB3166">
        <v>31</v>
      </c>
      <c r="AC3166">
        <v>152.0454</v>
      </c>
      <c r="AD3166">
        <v>-0.38004209999999999</v>
      </c>
      <c r="AE3166">
        <v>-5.9998999999999896</v>
      </c>
      <c r="AF3166">
        <v>4.2815777573078497</v>
      </c>
      <c r="AG3166">
        <v>-0.38004209999999999</v>
      </c>
      <c r="AH3166">
        <v>152.102536769724</v>
      </c>
      <c r="AI3166">
        <v>90.143101763506195</v>
      </c>
      <c r="AJ3166">
        <v>88.387590526925607</v>
      </c>
      <c r="AK3166">
        <v>152.163261110805</v>
      </c>
      <c r="AL3166">
        <v>89.763111750134698</v>
      </c>
      <c r="AM3166">
        <v>86.993585303856605</v>
      </c>
      <c r="AN3166">
        <v>0.99999996604994401</v>
      </c>
    </row>
    <row r="3167" spans="1:40" x14ac:dyDescent="0.25">
      <c r="A3167" t="str">
        <f>"20190312161025181"</f>
        <v>20190312161025181</v>
      </c>
      <c r="B3167" t="str">
        <f>"1552378225168964"</f>
        <v>1552378225168964</v>
      </c>
      <c r="C3167" t="s">
        <v>40</v>
      </c>
      <c r="D3167">
        <v>5.2835049999999999</v>
      </c>
      <c r="E3167">
        <v>0.49015789999999998</v>
      </c>
      <c r="F3167" t="s">
        <v>51</v>
      </c>
      <c r="G3167">
        <v>-234.72069999999999</v>
      </c>
      <c r="H3167">
        <v>0.59095089999999995</v>
      </c>
      <c r="I3167">
        <v>207.0701</v>
      </c>
      <c r="J3167">
        <v>-386.42439999999999</v>
      </c>
      <c r="K3167">
        <v>1.1095809999999999</v>
      </c>
      <c r="L3167">
        <v>212.93119999999999</v>
      </c>
      <c r="M3167">
        <v>0.99987150000000002</v>
      </c>
      <c r="N3167">
        <v>0</v>
      </c>
      <c r="O3167">
        <v>-1.1444350000000001E-2</v>
      </c>
      <c r="P3167">
        <v>0.99793679999999996</v>
      </c>
      <c r="Q3167">
        <v>-7.5969089999999998E-3</v>
      </c>
      <c r="R3167">
        <v>-6.3754669999999999E-2</v>
      </c>
      <c r="S3167">
        <v>2.9987180000000002</v>
      </c>
      <c r="T3167">
        <v>-1.0229230000000001E-2</v>
      </c>
      <c r="U3167">
        <v>-0.11569210000000001</v>
      </c>
      <c r="V3167">
        <v>5.2330550000000003E-2</v>
      </c>
      <c r="W3167">
        <v>3.598984E-3</v>
      </c>
      <c r="X3167">
        <v>0.99862329999999999</v>
      </c>
      <c r="Y3167">
        <v>2.7112669999999998E-2</v>
      </c>
      <c r="Z3167" s="1">
        <v>-7.2020379999999996E-6</v>
      </c>
      <c r="AA3167">
        <v>0.99963239999999998</v>
      </c>
      <c r="AB3167">
        <v>31</v>
      </c>
      <c r="AC3167">
        <v>151.7037</v>
      </c>
      <c r="AD3167">
        <v>-0.51863009999999898</v>
      </c>
      <c r="AE3167">
        <v>-5.8610999999999898</v>
      </c>
      <c r="AF3167">
        <v>4.1244083474858897</v>
      </c>
      <c r="AG3167">
        <v>-0.51863009999999898</v>
      </c>
      <c r="AH3167">
        <v>151.759073526885</v>
      </c>
      <c r="AI3167">
        <v>90.195732826421093</v>
      </c>
      <c r="AJ3167">
        <v>88.443236169430193</v>
      </c>
      <c r="AK3167">
        <v>151.81599427970701</v>
      </c>
      <c r="AL3167">
        <v>89.793792954349101</v>
      </c>
      <c r="AM3167">
        <v>87.000290636568707</v>
      </c>
      <c r="AN3167">
        <v>0.99999996722601103</v>
      </c>
    </row>
    <row r="3168" spans="1:40" x14ac:dyDescent="0.25">
      <c r="A3168" t="str">
        <f>"20190312161025224"</f>
        <v>20190312161025224</v>
      </c>
      <c r="B3168" t="str">
        <f>"1552378225219717"</f>
        <v>1552378225219717</v>
      </c>
      <c r="C3168" t="s">
        <v>40</v>
      </c>
      <c r="D3168">
        <v>5.3821940000000001</v>
      </c>
      <c r="E3168">
        <v>0.4895022</v>
      </c>
      <c r="F3168" t="s">
        <v>51</v>
      </c>
      <c r="G3168">
        <v>-234.7587</v>
      </c>
      <c r="H3168">
        <v>0.42138959999999998</v>
      </c>
      <c r="I3168">
        <v>207.202</v>
      </c>
      <c r="J3168">
        <v>-385.84519999999998</v>
      </c>
      <c r="K3168">
        <v>1.1096349999999999</v>
      </c>
      <c r="L3168">
        <v>212.92429999999999</v>
      </c>
      <c r="M3168">
        <v>0.99986929999999996</v>
      </c>
      <c r="N3168">
        <v>0</v>
      </c>
      <c r="O3168">
        <v>-1.162992E-2</v>
      </c>
      <c r="P3168">
        <v>0.99789530000000004</v>
      </c>
      <c r="Q3168">
        <v>-7.9792200000000004E-3</v>
      </c>
      <c r="R3168">
        <v>-6.4352909999999999E-2</v>
      </c>
      <c r="S3168">
        <v>2.99884</v>
      </c>
      <c r="T3168">
        <v>-1.3606429999999999E-2</v>
      </c>
      <c r="U3168">
        <v>-0.1132813</v>
      </c>
      <c r="V3168">
        <v>5.2743230000000002E-2</v>
      </c>
      <c r="W3168">
        <v>3.2237160000000002E-3</v>
      </c>
      <c r="X3168">
        <v>0.99860289999999996</v>
      </c>
      <c r="Y3168">
        <v>2.6123029999999998E-2</v>
      </c>
      <c r="Z3168" s="1">
        <v>-6.4935779999999998E-6</v>
      </c>
      <c r="AA3168">
        <v>0.99965879999999996</v>
      </c>
      <c r="AB3168">
        <v>31</v>
      </c>
      <c r="AC3168">
        <v>151.08649999999901</v>
      </c>
      <c r="AD3168">
        <v>-0.68824540000000001</v>
      </c>
      <c r="AE3168">
        <v>-5.72229999999999</v>
      </c>
      <c r="AF3168">
        <v>3.9645960726340199</v>
      </c>
      <c r="AG3168">
        <v>-0.68824540000000001</v>
      </c>
      <c r="AH3168">
        <v>151.13970306806999</v>
      </c>
      <c r="AI3168">
        <v>90.260816475256206</v>
      </c>
      <c r="AJ3168">
        <v>88.497399829948904</v>
      </c>
      <c r="AK3168">
        <v>151.193258934564</v>
      </c>
      <c r="AL3168">
        <v>89.815294358240905</v>
      </c>
      <c r="AM3168">
        <v>86.976616922515603</v>
      </c>
      <c r="AN3168">
        <v>0.99999999627204506</v>
      </c>
    </row>
    <row r="3169" spans="1:40" x14ac:dyDescent="0.25">
      <c r="A3169" t="str">
        <f>"20190312161025245"</f>
        <v>20190312161025245</v>
      </c>
      <c r="B3169" t="str">
        <f>"1552378225239744"</f>
        <v>1552378225239744</v>
      </c>
      <c r="C3169" t="s">
        <v>40</v>
      </c>
      <c r="D3169">
        <v>5.4120499999999998</v>
      </c>
      <c r="E3169">
        <v>0.48927979999999999</v>
      </c>
      <c r="F3169" t="s">
        <v>51</v>
      </c>
      <c r="G3169">
        <v>-235.03049999999999</v>
      </c>
      <c r="H3169">
        <v>0.1341079</v>
      </c>
      <c r="I3169">
        <v>207.4127</v>
      </c>
      <c r="J3169">
        <v>-385.55079999999998</v>
      </c>
      <c r="K3169">
        <v>1.109648</v>
      </c>
      <c r="L3169">
        <v>212.92080000000001</v>
      </c>
      <c r="M3169">
        <v>0.9998686</v>
      </c>
      <c r="N3169">
        <v>0</v>
      </c>
      <c r="O3169">
        <v>-1.169391E-2</v>
      </c>
      <c r="P3169">
        <v>0.99793080000000001</v>
      </c>
      <c r="Q3169">
        <v>-8.2926930000000003E-3</v>
      </c>
      <c r="R3169">
        <v>-6.3762559999999996E-2</v>
      </c>
      <c r="S3169">
        <v>2.9991150000000002</v>
      </c>
      <c r="T3169">
        <v>-1.9398450000000001E-2</v>
      </c>
      <c r="U3169">
        <v>-0.1096039</v>
      </c>
      <c r="V3169">
        <v>5.20884E-2</v>
      </c>
      <c r="W3169">
        <v>2.9137730000000001E-3</v>
      </c>
      <c r="X3169">
        <v>0.99863820000000003</v>
      </c>
      <c r="Y3169">
        <v>2.4831410000000002E-2</v>
      </c>
      <c r="Z3169" s="1">
        <v>-4.6675629999999996E-6</v>
      </c>
      <c r="AA3169">
        <v>0.99969169999999996</v>
      </c>
      <c r="AB3169">
        <v>31</v>
      </c>
      <c r="AC3169">
        <v>150.52029999999999</v>
      </c>
      <c r="AD3169">
        <v>-0.97554010000000002</v>
      </c>
      <c r="AE3169">
        <v>-5.5081000000000104</v>
      </c>
      <c r="AF3169">
        <v>3.74728436264756</v>
      </c>
      <c r="AG3169">
        <v>-0.97554010000000002</v>
      </c>
      <c r="AH3169">
        <v>150.568105853764</v>
      </c>
      <c r="AI3169">
        <v>90.3711028076426</v>
      </c>
      <c r="AJ3169">
        <v>88.574337738208399</v>
      </c>
      <c r="AK3169">
        <v>150.61788844281301</v>
      </c>
      <c r="AL3169">
        <v>89.833052863899297</v>
      </c>
      <c r="AM3169">
        <v>87.014190533960104</v>
      </c>
      <c r="AN3169">
        <v>0.99999997299344701</v>
      </c>
    </row>
    <row r="3170" spans="1:40" x14ac:dyDescent="0.25">
      <c r="A3170" t="str">
        <f>"20190312161025267"</f>
        <v>20190312161025267</v>
      </c>
      <c r="B3170" t="str">
        <f>"1552378225259265"</f>
        <v>1552378225259265</v>
      </c>
      <c r="C3170" t="s">
        <v>40</v>
      </c>
      <c r="D3170">
        <v>5.4082549999999996</v>
      </c>
      <c r="E3170">
        <v>0.48907010000000001</v>
      </c>
      <c r="F3170" t="s">
        <v>61</v>
      </c>
      <c r="G3170">
        <v>-249.62270000000001</v>
      </c>
      <c r="H3170">
        <v>8.0000390000000005E-2</v>
      </c>
      <c r="I3170">
        <v>208.1189</v>
      </c>
      <c r="J3170">
        <v>-385.24900000000002</v>
      </c>
      <c r="K3170">
        <v>1.1096509999999999</v>
      </c>
      <c r="L3170">
        <v>212.91730000000001</v>
      </c>
      <c r="M3170">
        <v>0.99986790000000003</v>
      </c>
      <c r="N3170">
        <v>0</v>
      </c>
      <c r="O3170">
        <v>-1.1747499999999999E-2</v>
      </c>
      <c r="P3170">
        <v>0.99791540000000001</v>
      </c>
      <c r="Q3170">
        <v>-9.0640519999999995E-3</v>
      </c>
      <c r="R3170">
        <v>-6.3897129999999996E-2</v>
      </c>
      <c r="S3170">
        <v>2.999298</v>
      </c>
      <c r="T3170">
        <v>-2.27195E-2</v>
      </c>
      <c r="U3170">
        <v>-0.105957</v>
      </c>
      <c r="V3170">
        <v>5.2169460000000001E-2</v>
      </c>
      <c r="W3170">
        <v>2.145114E-3</v>
      </c>
      <c r="X3170">
        <v>0.99863590000000002</v>
      </c>
      <c r="Y3170">
        <v>2.3561559999999999E-2</v>
      </c>
      <c r="Z3170" s="1">
        <v>-2.5256300000000001E-7</v>
      </c>
      <c r="AA3170">
        <v>0.99972240000000001</v>
      </c>
      <c r="AB3170">
        <v>31</v>
      </c>
      <c r="AC3170">
        <v>135.62629999999999</v>
      </c>
      <c r="AD3170">
        <v>-1.02965061</v>
      </c>
      <c r="AE3170">
        <v>-4.7984000000000098</v>
      </c>
      <c r="AF3170">
        <v>3.2045138973144001</v>
      </c>
      <c r="AG3170">
        <v>-1.02965061</v>
      </c>
      <c r="AH3170">
        <v>135.66550337961399</v>
      </c>
      <c r="AI3170">
        <v>90.434724011086303</v>
      </c>
      <c r="AJ3170">
        <v>88.646885303629006</v>
      </c>
      <c r="AK3170">
        <v>135.70725071616801</v>
      </c>
      <c r="AL3170">
        <v>89.877093921733007</v>
      </c>
      <c r="AM3170">
        <v>87.009545567853095</v>
      </c>
      <c r="AN3170">
        <v>0.99999995741978598</v>
      </c>
    </row>
    <row r="3171" spans="1:40" x14ac:dyDescent="0.25">
      <c r="A3171" t="str">
        <f>"20190312161025288"</f>
        <v>20190312161025288</v>
      </c>
      <c r="B3171" t="str">
        <f>"1552378225279760"</f>
        <v>1552378225279760</v>
      </c>
      <c r="C3171" t="s">
        <v>40</v>
      </c>
      <c r="D3171">
        <v>5.3604890000000003</v>
      </c>
      <c r="E3171">
        <v>0.48886610000000003</v>
      </c>
      <c r="F3171" t="s">
        <v>61</v>
      </c>
      <c r="G3171">
        <v>-270.33620000000002</v>
      </c>
      <c r="H3171">
        <v>8.0001610000000001E-2</v>
      </c>
      <c r="I3171">
        <v>208.90799999999999</v>
      </c>
      <c r="J3171">
        <v>-384.93770000000001</v>
      </c>
      <c r="K3171">
        <v>1.109667</v>
      </c>
      <c r="L3171">
        <v>212.9135</v>
      </c>
      <c r="M3171">
        <v>0.99986739999999996</v>
      </c>
      <c r="N3171">
        <v>0</v>
      </c>
      <c r="O3171">
        <v>-1.17952E-2</v>
      </c>
      <c r="P3171">
        <v>0.99787729999999997</v>
      </c>
      <c r="Q3171">
        <v>-9.6434299999999997E-3</v>
      </c>
      <c r="R3171">
        <v>-6.4405290000000004E-2</v>
      </c>
      <c r="S3171">
        <v>2.9993289999999999</v>
      </c>
      <c r="T3171">
        <v>-2.6874780000000001E-2</v>
      </c>
      <c r="U3171">
        <v>-0.1046448</v>
      </c>
      <c r="V3171">
        <v>5.2630259999999998E-2</v>
      </c>
      <c r="W3171">
        <v>1.568142E-3</v>
      </c>
      <c r="X3171">
        <v>0.99861279999999997</v>
      </c>
      <c r="Y3171">
        <v>2.307654E-2</v>
      </c>
      <c r="Z3171" s="1">
        <v>2.3008029999999999E-6</v>
      </c>
      <c r="AA3171">
        <v>0.99973369999999995</v>
      </c>
      <c r="AB3171">
        <v>31</v>
      </c>
      <c r="AC3171">
        <v>114.6015</v>
      </c>
      <c r="AD3171">
        <v>-1.0296653899999999</v>
      </c>
      <c r="AE3171">
        <v>-4.0055000000000103</v>
      </c>
      <c r="AF3171">
        <v>2.6531745825533601</v>
      </c>
      <c r="AG3171">
        <v>-1.0296653899999999</v>
      </c>
      <c r="AH3171">
        <v>114.631532886556</v>
      </c>
      <c r="AI3171">
        <v>90.514501539956001</v>
      </c>
      <c r="AJ3171">
        <v>88.674112037629598</v>
      </c>
      <c r="AK3171">
        <v>114.66685605746</v>
      </c>
      <c r="AL3171">
        <v>89.910152041649198</v>
      </c>
      <c r="AM3171">
        <v>86.983110543159597</v>
      </c>
      <c r="AN3171">
        <v>0.999999963830419</v>
      </c>
    </row>
    <row r="3172" spans="1:40" x14ac:dyDescent="0.25">
      <c r="A3172" t="str">
        <f>"20190312161025646"</f>
        <v>20190312161025646</v>
      </c>
      <c r="B3172" t="str">
        <f>"1552378225638928"</f>
        <v>1552378225638928</v>
      </c>
      <c r="C3172" t="s">
        <v>40</v>
      </c>
      <c r="D3172">
        <v>4.8023530000000001</v>
      </c>
      <c r="E3172">
        <v>0.488458</v>
      </c>
      <c r="F3172" t="s">
        <v>74</v>
      </c>
      <c r="G3172">
        <v>-280.63069999999999</v>
      </c>
      <c r="H3172">
        <v>7.9999909999999994E-2</v>
      </c>
      <c r="I3172">
        <v>209.28229999999999</v>
      </c>
      <c r="J3172">
        <v>-379.96620000000001</v>
      </c>
      <c r="K3172">
        <v>1.1098250000000001</v>
      </c>
      <c r="L3172">
        <v>212.85499999999999</v>
      </c>
      <c r="M3172">
        <v>0.99987230000000005</v>
      </c>
      <c r="N3172">
        <v>0</v>
      </c>
      <c r="O3172">
        <v>-1.13116E-2</v>
      </c>
      <c r="P3172">
        <v>0.99801499999999999</v>
      </c>
      <c r="Q3172">
        <v>-1.074043E-2</v>
      </c>
      <c r="R3172">
        <v>-6.2054119999999997E-2</v>
      </c>
      <c r="S3172">
        <v>2.99939</v>
      </c>
      <c r="T3172">
        <v>-2.9608490000000001E-2</v>
      </c>
      <c r="U3172">
        <v>-0.10441590000000001</v>
      </c>
      <c r="V3172">
        <v>5.0760149999999997E-2</v>
      </c>
      <c r="W3172">
        <v>5.4055849999999996E-4</v>
      </c>
      <c r="X3172">
        <v>0.99871080000000001</v>
      </c>
      <c r="Y3172">
        <v>2.348302E-2</v>
      </c>
      <c r="Z3172" s="1">
        <v>-4.2425670000000004E-6</v>
      </c>
      <c r="AA3172">
        <v>0.99972419999999995</v>
      </c>
      <c r="AB3172">
        <v>31</v>
      </c>
      <c r="AC3172">
        <v>99.335499999999996</v>
      </c>
      <c r="AD3172">
        <v>-1.0298250900000001</v>
      </c>
      <c r="AE3172">
        <v>-3.57269999999999</v>
      </c>
      <c r="AF3172">
        <v>2.44849353535656</v>
      </c>
      <c r="AG3172">
        <v>-1.0298250900000001</v>
      </c>
      <c r="AH3172">
        <v>99.358894352632007</v>
      </c>
      <c r="AI3172">
        <v>90.593652063238494</v>
      </c>
      <c r="AJ3172">
        <v>88.5883502509446</v>
      </c>
      <c r="AK3172">
        <v>99.394393942949193</v>
      </c>
      <c r="AL3172">
        <v>89.969028280139199</v>
      </c>
      <c r="AM3172">
        <v>87.090407040221905</v>
      </c>
      <c r="AN3172">
        <v>1.0000000735340699</v>
      </c>
    </row>
    <row r="3173" spans="1:40" x14ac:dyDescent="0.25">
      <c r="A3173" t="str">
        <f>"20190312161025668"</f>
        <v>20190312161025668</v>
      </c>
      <c r="B3173" t="str">
        <f>"1552378225659425"</f>
        <v>1552378225659425</v>
      </c>
      <c r="C3173" t="s">
        <v>40</v>
      </c>
      <c r="D3173">
        <v>4.884735</v>
      </c>
      <c r="E3173">
        <v>0.41526950000000001</v>
      </c>
      <c r="F3173" t="s">
        <v>61</v>
      </c>
      <c r="G3173">
        <v>-278.87299999999999</v>
      </c>
      <c r="H3173" s="1">
        <v>3.4009860000000002E-6</v>
      </c>
      <c r="I3173">
        <v>209.67449999999999</v>
      </c>
      <c r="J3173">
        <v>-379.66120000000001</v>
      </c>
      <c r="K3173">
        <v>1.109823</v>
      </c>
      <c r="L3173">
        <v>212.85169999999999</v>
      </c>
      <c r="M3173">
        <v>0.99987389999999998</v>
      </c>
      <c r="N3173">
        <v>0</v>
      </c>
      <c r="O3173">
        <v>-1.118333E-2</v>
      </c>
      <c r="P3173">
        <v>0.9980405</v>
      </c>
      <c r="Q3173">
        <v>-1.011978E-2</v>
      </c>
      <c r="R3173">
        <v>-6.1751760000000003E-2</v>
      </c>
      <c r="S3173">
        <v>2.9997560000000001</v>
      </c>
      <c r="T3173">
        <v>-3.2931920000000003E-2</v>
      </c>
      <c r="U3173">
        <v>-9.4375609999999999E-2</v>
      </c>
      <c r="V3173">
        <v>5.0585379999999999E-2</v>
      </c>
      <c r="W3173">
        <v>1.164738E-3</v>
      </c>
      <c r="X3173">
        <v>0.99871900000000002</v>
      </c>
      <c r="Y3173">
        <v>2.0264509999999999E-2</v>
      </c>
      <c r="Z3173" s="1">
        <v>1.153623E-5</v>
      </c>
      <c r="AA3173">
        <v>0.99979470000000004</v>
      </c>
      <c r="AB3173">
        <v>31</v>
      </c>
      <c r="AC3173">
        <v>100.7882</v>
      </c>
      <c r="AD3173">
        <v>-1.1098195990140001</v>
      </c>
      <c r="AE3173">
        <v>-3.1771999999999898</v>
      </c>
      <c r="AF3173">
        <v>2.04953367847033</v>
      </c>
      <c r="AG3173">
        <v>-1.1098195990140001</v>
      </c>
      <c r="AH3173">
        <v>100.805219702223</v>
      </c>
      <c r="AI3173">
        <v>90.630644653916207</v>
      </c>
      <c r="AJ3173">
        <v>88.835244312887298</v>
      </c>
      <c r="AK3173">
        <v>100.832160579128</v>
      </c>
      <c r="AL3173">
        <v>89.933265409209994</v>
      </c>
      <c r="AM3173">
        <v>87.100431570691697</v>
      </c>
      <c r="AN3173">
        <v>0.99999993912267404</v>
      </c>
    </row>
    <row r="3174" spans="1:40" x14ac:dyDescent="0.25">
      <c r="A3174" t="str">
        <f>"20190312161025691"</f>
        <v>20190312161025691</v>
      </c>
      <c r="B3174" t="str">
        <f>"1552378225678944"</f>
        <v>1552378225678944</v>
      </c>
      <c r="C3174" t="s">
        <v>40</v>
      </c>
      <c r="D3174">
        <v>5.1699330000000003</v>
      </c>
      <c r="E3174">
        <v>0.42066340000000002</v>
      </c>
      <c r="F3174" t="s">
        <v>85</v>
      </c>
      <c r="G3174">
        <v>-274.99669999999998</v>
      </c>
      <c r="H3174">
        <v>2.1692520000000002</v>
      </c>
      <c r="I3174">
        <v>229.66079999999999</v>
      </c>
      <c r="J3174">
        <v>-379.34350000000001</v>
      </c>
      <c r="K3174">
        <v>1.1098209999999999</v>
      </c>
      <c r="L3174">
        <v>212.84829999999999</v>
      </c>
      <c r="M3174">
        <v>0.99987530000000002</v>
      </c>
      <c r="N3174">
        <v>0</v>
      </c>
      <c r="O3174">
        <v>-1.105041E-2</v>
      </c>
      <c r="P3174">
        <v>0.99805809999999995</v>
      </c>
      <c r="Q3174">
        <v>-1.0302189999999999E-2</v>
      </c>
      <c r="R3174">
        <v>-6.1435759999999999E-2</v>
      </c>
      <c r="S3174">
        <v>3.0363769999999999</v>
      </c>
      <c r="T3174">
        <v>3.0735370000000001E-2</v>
      </c>
      <c r="U3174">
        <v>0.48764039999999997</v>
      </c>
      <c r="V3174">
        <v>5.040211E-2</v>
      </c>
      <c r="W3174">
        <v>9.859243000000001E-4</v>
      </c>
      <c r="X3174">
        <v>0.99872850000000002</v>
      </c>
      <c r="Y3174">
        <v>-0.1694601</v>
      </c>
      <c r="Z3174">
        <v>-9.6336030000000001E-4</v>
      </c>
      <c r="AA3174">
        <v>0.98553659999999998</v>
      </c>
      <c r="AB3174">
        <v>31</v>
      </c>
      <c r="AC3174">
        <v>104.3468</v>
      </c>
      <c r="AD3174">
        <v>1.059431</v>
      </c>
      <c r="AE3174">
        <v>16.8125</v>
      </c>
      <c r="AF3174">
        <v>-17.962816836265802</v>
      </c>
      <c r="AG3174">
        <v>1.059431</v>
      </c>
      <c r="AH3174">
        <v>104.144167325781</v>
      </c>
      <c r="AI3174">
        <v>89.425645504392605</v>
      </c>
      <c r="AJ3174">
        <v>99.786107343387499</v>
      </c>
      <c r="AK3174">
        <v>105.687240340153</v>
      </c>
      <c r="AL3174">
        <v>89.943510688450104</v>
      </c>
      <c r="AM3174">
        <v>87.110946264205396</v>
      </c>
      <c r="AN3174">
        <v>0.99999998072571294</v>
      </c>
    </row>
    <row r="3175" spans="1:40" x14ac:dyDescent="0.25">
      <c r="A3175" t="str">
        <f>"20190312161025714"</f>
        <v>20190312161025714</v>
      </c>
      <c r="B3175" t="str">
        <f>"1552378225709201"</f>
        <v>1552378225709201</v>
      </c>
      <c r="C3175" t="s">
        <v>40</v>
      </c>
      <c r="D3175">
        <v>5.0896610000000004</v>
      </c>
      <c r="E3175">
        <v>0.42456290000000002</v>
      </c>
      <c r="F3175" t="s">
        <v>85</v>
      </c>
      <c r="G3175">
        <v>-260.53809999999999</v>
      </c>
      <c r="H3175">
        <v>1.9389959999999999</v>
      </c>
      <c r="I3175">
        <v>230.31379999999999</v>
      </c>
      <c r="J3175">
        <v>-379.02679999999998</v>
      </c>
      <c r="K3175">
        <v>1.109823</v>
      </c>
      <c r="L3175">
        <v>212.8449</v>
      </c>
      <c r="M3175">
        <v>0.9998766</v>
      </c>
      <c r="N3175">
        <v>0</v>
      </c>
      <c r="O3175">
        <v>-1.091964E-2</v>
      </c>
      <c r="P3175">
        <v>0.99807849999999998</v>
      </c>
      <c r="Q3175">
        <v>-9.9036309999999995E-3</v>
      </c>
      <c r="R3175">
        <v>-6.1168119999999999E-2</v>
      </c>
      <c r="S3175">
        <v>3.0335079999999999</v>
      </c>
      <c r="T3175">
        <v>2.117252E-2</v>
      </c>
      <c r="U3175">
        <v>0.4459534</v>
      </c>
      <c r="V3175">
        <v>5.0264599999999902E-2</v>
      </c>
      <c r="W3175">
        <v>1.3878979999999901E-3</v>
      </c>
      <c r="X3175">
        <v>0.99873500000000004</v>
      </c>
      <c r="Y3175">
        <v>-0.1562374</v>
      </c>
      <c r="Z3175">
        <v>-6.1813709999999997E-4</v>
      </c>
      <c r="AA3175">
        <v>0.98771940000000003</v>
      </c>
      <c r="AB3175">
        <v>31</v>
      </c>
      <c r="AC3175">
        <v>118.48869999999999</v>
      </c>
      <c r="AD3175">
        <v>0.82917299999999905</v>
      </c>
      <c r="AE3175">
        <v>17.468899999999898</v>
      </c>
      <c r="AF3175">
        <v>-18.7608956323364</v>
      </c>
      <c r="AG3175">
        <v>0.82917299999999905</v>
      </c>
      <c r="AH3175">
        <v>118.285199129459</v>
      </c>
      <c r="AI3175">
        <v>89.603324477033496</v>
      </c>
      <c r="AJ3175">
        <v>99.012455808132103</v>
      </c>
      <c r="AK3175">
        <v>119.76663586277699</v>
      </c>
      <c r="AL3175">
        <v>89.920479278922102</v>
      </c>
      <c r="AM3175">
        <v>87.118833771292501</v>
      </c>
      <c r="AN3175">
        <v>1.0000000282495001</v>
      </c>
    </row>
    <row r="3176" spans="1:40" x14ac:dyDescent="0.25">
      <c r="A3176" t="str">
        <f>"20190312161025736"</f>
        <v>20190312161025736</v>
      </c>
      <c r="B3176" t="str">
        <f>"1552378225729696"</f>
        <v>1552378225729696</v>
      </c>
      <c r="C3176" t="s">
        <v>40</v>
      </c>
      <c r="D3176">
        <v>5.0969980000000001</v>
      </c>
      <c r="E3176">
        <v>0.42569980000000002</v>
      </c>
      <c r="F3176" t="s">
        <v>85</v>
      </c>
      <c r="G3176">
        <v>-256.82780000000002</v>
      </c>
      <c r="H3176">
        <v>1.973819</v>
      </c>
      <c r="I3176">
        <v>229.5968</v>
      </c>
      <c r="J3176">
        <v>-378.71429999999998</v>
      </c>
      <c r="K3176">
        <v>1.10982</v>
      </c>
      <c r="L3176">
        <v>212.8416</v>
      </c>
      <c r="M3176">
        <v>0.99987800000000004</v>
      </c>
      <c r="N3176">
        <v>0</v>
      </c>
      <c r="O3176">
        <v>-1.0792080000000001E-2</v>
      </c>
      <c r="P3176">
        <v>0.99808149999999995</v>
      </c>
      <c r="Q3176">
        <v>-9.8276019999999995E-3</v>
      </c>
      <c r="R3176">
        <v>-6.1130339999999998E-2</v>
      </c>
      <c r="S3176">
        <v>3.0314640000000002</v>
      </c>
      <c r="T3176">
        <v>2.1434430000000001E-2</v>
      </c>
      <c r="U3176">
        <v>0.41557309999999997</v>
      </c>
      <c r="V3176">
        <v>5.035427E-2</v>
      </c>
      <c r="W3176">
        <v>1.465622E-3</v>
      </c>
      <c r="X3176">
        <v>0.99873040000000002</v>
      </c>
      <c r="Y3176">
        <v>-0.1464974</v>
      </c>
      <c r="Z3176">
        <v>-5.9146769999999995E-4</v>
      </c>
      <c r="AA3176">
        <v>0.9892109</v>
      </c>
      <c r="AB3176">
        <v>31</v>
      </c>
      <c r="AC3176">
        <v>121.886499999999</v>
      </c>
      <c r="AD3176">
        <v>0.86399899999999896</v>
      </c>
      <c r="AE3176">
        <v>16.755199999999999</v>
      </c>
      <c r="AF3176">
        <v>-18.068825774861601</v>
      </c>
      <c r="AG3176">
        <v>0.86399899999999896</v>
      </c>
      <c r="AH3176">
        <v>121.692564548118</v>
      </c>
      <c r="AI3176">
        <v>89.597626429953195</v>
      </c>
      <c r="AJ3176">
        <v>98.445533774362701</v>
      </c>
      <c r="AK3176">
        <v>123.029708710751</v>
      </c>
      <c r="AL3176">
        <v>89.916026019696005</v>
      </c>
      <c r="AM3176">
        <v>87.113689300130005</v>
      </c>
      <c r="AN3176">
        <v>1.0000000562196101</v>
      </c>
    </row>
    <row r="3177" spans="1:40" x14ac:dyDescent="0.25">
      <c r="A3177" t="str">
        <f>"20190312161025758"</f>
        <v>20190312161025758</v>
      </c>
      <c r="B3177" t="str">
        <f>"1552378225749216"</f>
        <v>1552378225749216</v>
      </c>
      <c r="C3177" t="s">
        <v>40</v>
      </c>
      <c r="D3177">
        <v>5.2101949999999997</v>
      </c>
      <c r="E3177">
        <v>0.42725740000000001</v>
      </c>
      <c r="F3177" t="s">
        <v>85</v>
      </c>
      <c r="G3177">
        <v>-255.40180000000001</v>
      </c>
      <c r="H3177">
        <v>2.1494939999999998</v>
      </c>
      <c r="I3177">
        <v>229.37649999999999</v>
      </c>
      <c r="J3177">
        <v>-378.39839999999998</v>
      </c>
      <c r="K3177">
        <v>1.1098209999999999</v>
      </c>
      <c r="L3177">
        <v>212.83840000000001</v>
      </c>
      <c r="M3177">
        <v>0.99987939999999997</v>
      </c>
      <c r="N3177">
        <v>0</v>
      </c>
      <c r="O3177">
        <v>-1.0663189999999999E-2</v>
      </c>
      <c r="P3177">
        <v>0.99808779999999997</v>
      </c>
      <c r="Q3177">
        <v>-9.5387509999999998E-3</v>
      </c>
      <c r="R3177">
        <v>-6.1071779999999999E-2</v>
      </c>
      <c r="S3177">
        <v>3.030945</v>
      </c>
      <c r="T3177">
        <v>2.5554420000000001E-2</v>
      </c>
      <c r="U3177">
        <v>0.4064178</v>
      </c>
      <c r="V3177">
        <v>5.0424509999999999E-2</v>
      </c>
      <c r="W3177">
        <v>1.753154E-3</v>
      </c>
      <c r="X3177">
        <v>0.99872629999999996</v>
      </c>
      <c r="Y3177">
        <v>-0.14345639999999901</v>
      </c>
      <c r="Z3177">
        <v>-6.9156960000000005E-4</v>
      </c>
      <c r="AA3177">
        <v>0.98965639999999999</v>
      </c>
      <c r="AB3177">
        <v>31</v>
      </c>
      <c r="AC3177">
        <v>122.99659999999901</v>
      </c>
      <c r="AD3177">
        <v>1.0396729999999901</v>
      </c>
      <c r="AE3177">
        <v>16.538099999999901</v>
      </c>
      <c r="AF3177">
        <v>-17.847526779258299</v>
      </c>
      <c r="AG3177">
        <v>1.0396729999999901</v>
      </c>
      <c r="AH3177">
        <v>122.804627513387</v>
      </c>
      <c r="AI3177">
        <v>89.519983931753501</v>
      </c>
      <c r="AJ3177">
        <v>98.269055521583198</v>
      </c>
      <c r="AK3177">
        <v>124.09912034654</v>
      </c>
      <c r="AL3177">
        <v>89.899551619845099</v>
      </c>
      <c r="AM3177">
        <v>87.109658114720204</v>
      </c>
      <c r="AN3177">
        <v>0.99999996353468801</v>
      </c>
    </row>
    <row r="3178" spans="1:40" x14ac:dyDescent="0.25">
      <c r="A3178" t="str">
        <f>"20190312161025781"</f>
        <v>20190312161025781</v>
      </c>
      <c r="B3178" t="str">
        <f>"1552378225769712"</f>
        <v>1552378225769712</v>
      </c>
      <c r="C3178" t="s">
        <v>40</v>
      </c>
      <c r="D3178">
        <v>5.2384120000000003</v>
      </c>
      <c r="E3178">
        <v>0.428201</v>
      </c>
      <c r="F3178" t="s">
        <v>70</v>
      </c>
      <c r="G3178">
        <v>-243.1953</v>
      </c>
      <c r="H3178">
        <v>2.3797999999999999</v>
      </c>
      <c r="I3178">
        <v>230.42850000000001</v>
      </c>
      <c r="J3178">
        <v>-378.08019999999999</v>
      </c>
      <c r="K3178">
        <v>1.1098190000000001</v>
      </c>
      <c r="L3178">
        <v>212.83510000000001</v>
      </c>
      <c r="M3178">
        <v>0.99988100000000002</v>
      </c>
      <c r="N3178">
        <v>0</v>
      </c>
      <c r="O3178">
        <v>-1.053335E-2</v>
      </c>
      <c r="P3178">
        <v>0.9981004</v>
      </c>
      <c r="Q3178">
        <v>-9.6145640000000008E-3</v>
      </c>
      <c r="R3178">
        <v>-6.0857509999999997E-2</v>
      </c>
      <c r="S3178">
        <v>3.030151</v>
      </c>
      <c r="T3178">
        <v>2.846253E-2</v>
      </c>
      <c r="U3178">
        <v>0.39422610000000002</v>
      </c>
      <c r="V3178">
        <v>5.0339710000000003E-2</v>
      </c>
      <c r="W3178">
        <v>1.6725689999999901E-3</v>
      </c>
      <c r="X3178">
        <v>0.99873080000000003</v>
      </c>
      <c r="Y3178">
        <v>-0.13944619999999999</v>
      </c>
      <c r="Z3178">
        <v>-7.506991E-4</v>
      </c>
      <c r="AA3178">
        <v>0.99022940000000004</v>
      </c>
      <c r="AB3178">
        <v>31</v>
      </c>
      <c r="AC3178">
        <v>134.88489999999999</v>
      </c>
      <c r="AD3178">
        <v>1.26998099999999</v>
      </c>
      <c r="AE3178">
        <v>17.593399999999999</v>
      </c>
      <c r="AF3178">
        <v>-19.011646809357298</v>
      </c>
      <c r="AG3178">
        <v>1.26998099999999</v>
      </c>
      <c r="AH3178">
        <v>134.68034739852899</v>
      </c>
      <c r="AI3178">
        <v>89.465043375308795</v>
      </c>
      <c r="AJ3178">
        <v>98.034855933441904</v>
      </c>
      <c r="AK3178">
        <v>136.02151131910099</v>
      </c>
      <c r="AL3178">
        <v>89.904168815214902</v>
      </c>
      <c r="AM3178">
        <v>87.114523623557304</v>
      </c>
      <c r="AN3178">
        <v>1.00000004737929</v>
      </c>
    </row>
    <row r="3179" spans="1:40" x14ac:dyDescent="0.25">
      <c r="A3179" t="str">
        <f>"20190312161025801"</f>
        <v>20190312161025801</v>
      </c>
      <c r="B3179" t="str">
        <f>"1552378225798993"</f>
        <v>1552378225798993</v>
      </c>
      <c r="C3179" t="s">
        <v>40</v>
      </c>
      <c r="D3179">
        <v>5.2653059999999998</v>
      </c>
      <c r="E3179">
        <v>0.42939850000000002</v>
      </c>
      <c r="F3179" t="s">
        <v>70</v>
      </c>
      <c r="G3179">
        <v>-238.86099999999999</v>
      </c>
      <c r="H3179">
        <v>2.6314920000000002</v>
      </c>
      <c r="I3179">
        <v>230.6275</v>
      </c>
      <c r="J3179">
        <v>-377.79230000000001</v>
      </c>
      <c r="K3179">
        <v>1.10982</v>
      </c>
      <c r="L3179">
        <v>212.8322</v>
      </c>
      <c r="M3179">
        <v>0.99988220000000005</v>
      </c>
      <c r="N3179">
        <v>0</v>
      </c>
      <c r="O3179">
        <v>-1.0415539999999999E-2</v>
      </c>
      <c r="P3179">
        <v>0.99805829999999995</v>
      </c>
      <c r="Q3179">
        <v>-1.020312E-2</v>
      </c>
      <c r="R3179">
        <v>-6.1446269999999997E-2</v>
      </c>
      <c r="S3179">
        <v>3.029633</v>
      </c>
      <c r="T3179">
        <v>3.3113959999999998E-2</v>
      </c>
      <c r="U3179">
        <v>0.38719179999999997</v>
      </c>
      <c r="V3179">
        <v>5.1046830000000001E-2</v>
      </c>
      <c r="W3179">
        <v>1.0784309999999999E-3</v>
      </c>
      <c r="X3179">
        <v>0.99869569999999996</v>
      </c>
      <c r="Y3179">
        <v>-0.13708709999999999</v>
      </c>
      <c r="Z3179">
        <v>-8.5952830000000002E-4</v>
      </c>
      <c r="AA3179">
        <v>0.99055859999999996</v>
      </c>
      <c r="AB3179">
        <v>31</v>
      </c>
      <c r="AC3179">
        <v>138.93129999999999</v>
      </c>
      <c r="AD3179">
        <v>1.5216719999999899</v>
      </c>
      <c r="AE3179">
        <v>17.795299999999902</v>
      </c>
      <c r="AF3179">
        <v>-19.239200376421302</v>
      </c>
      <c r="AG3179">
        <v>1.5216719999999899</v>
      </c>
      <c r="AH3179">
        <v>138.72203083516399</v>
      </c>
      <c r="AI3179">
        <v>89.377493234931407</v>
      </c>
      <c r="AJ3179">
        <v>97.895918507549695</v>
      </c>
      <c r="AK3179">
        <v>140.058074225772</v>
      </c>
      <c r="AL3179">
        <v>89.938210444557399</v>
      </c>
      <c r="AM3179">
        <v>87.073958735375598</v>
      </c>
      <c r="AN3179">
        <v>1.00000002153248</v>
      </c>
    </row>
    <row r="3180" spans="1:40" x14ac:dyDescent="0.25">
      <c r="A3180" t="str">
        <f>"20190312161025825"</f>
        <v>20190312161025825</v>
      </c>
      <c r="B3180" t="str">
        <f>"1552378225819489"</f>
        <v>1552378225819489</v>
      </c>
      <c r="C3180" t="s">
        <v>40</v>
      </c>
      <c r="D3180">
        <v>5.3137540000000003</v>
      </c>
      <c r="E3180">
        <v>0.43010710000000002</v>
      </c>
      <c r="F3180" t="s">
        <v>70</v>
      </c>
      <c r="G3180">
        <v>-234.63740000000001</v>
      </c>
      <c r="H3180">
        <v>2.81107</v>
      </c>
      <c r="I3180">
        <v>230.58359999999999</v>
      </c>
      <c r="J3180">
        <v>-377.4787</v>
      </c>
      <c r="K3180">
        <v>1.1098159999999999</v>
      </c>
      <c r="L3180">
        <v>212.82910000000001</v>
      </c>
      <c r="M3180">
        <v>0.99988359999999998</v>
      </c>
      <c r="N3180">
        <v>0</v>
      </c>
      <c r="O3180">
        <v>-1.028712E-2</v>
      </c>
      <c r="P3180">
        <v>0.99801989999999996</v>
      </c>
      <c r="Q3180">
        <v>-1.0365900000000001E-2</v>
      </c>
      <c r="R3180">
        <v>-6.2037639999999998E-2</v>
      </c>
      <c r="S3180">
        <v>3.0293269999999999</v>
      </c>
      <c r="T3180">
        <v>3.6000369999999997E-2</v>
      </c>
      <c r="U3180">
        <v>0.3756409</v>
      </c>
      <c r="V3180">
        <v>5.1766840000000001E-2</v>
      </c>
      <c r="W3180">
        <v>9.1010720000000002E-4</v>
      </c>
      <c r="X3180">
        <v>0.99865879999999996</v>
      </c>
      <c r="Y3180">
        <v>-0.13325200000000001</v>
      </c>
      <c r="Z3180">
        <v>-9.1053849999999997E-4</v>
      </c>
      <c r="AA3180">
        <v>0.99108180000000001</v>
      </c>
      <c r="AB3180">
        <v>31</v>
      </c>
      <c r="AC3180">
        <v>142.84129999999999</v>
      </c>
      <c r="AD3180">
        <v>1.701254</v>
      </c>
      <c r="AE3180">
        <v>17.754499999999901</v>
      </c>
      <c r="AF3180">
        <v>-19.220394364409898</v>
      </c>
      <c r="AG3180">
        <v>1.701254</v>
      </c>
      <c r="AH3180">
        <v>142.63116201856201</v>
      </c>
      <c r="AI3180">
        <v>89.322749541037297</v>
      </c>
      <c r="AJ3180">
        <v>97.674713239489193</v>
      </c>
      <c r="AK3180">
        <v>143.93042139680199</v>
      </c>
      <c r="AL3180">
        <v>89.947854692193005</v>
      </c>
      <c r="AM3180">
        <v>87.032651041077898</v>
      </c>
      <c r="AN3180">
        <v>1.00000001641807</v>
      </c>
    </row>
    <row r="3181" spans="1:40" x14ac:dyDescent="0.25">
      <c r="A3181" t="str">
        <f>"20190312161025846"</f>
        <v>20190312161025846</v>
      </c>
      <c r="B3181" t="str">
        <f>"1552378225839009"</f>
        <v>1552378225839009</v>
      </c>
      <c r="C3181" t="s">
        <v>40</v>
      </c>
      <c r="D3181">
        <v>5.3212080000000004</v>
      </c>
      <c r="E3181">
        <v>0.43074899999999999</v>
      </c>
      <c r="F3181" t="s">
        <v>70</v>
      </c>
      <c r="G3181">
        <v>-232.8614</v>
      </c>
      <c r="H3181">
        <v>2.9628009999999998</v>
      </c>
      <c r="I3181">
        <v>230.3981</v>
      </c>
      <c r="J3181">
        <v>-377.16399999999999</v>
      </c>
      <c r="K3181">
        <v>1.109812</v>
      </c>
      <c r="L3181">
        <v>212.82589999999999</v>
      </c>
      <c r="M3181">
        <v>0.99988500000000002</v>
      </c>
      <c r="N3181">
        <v>0</v>
      </c>
      <c r="O3181">
        <v>-1.0158199999999999E-2</v>
      </c>
      <c r="P3181">
        <v>0.99797930000000001</v>
      </c>
      <c r="Q3181">
        <v>-1.0272709999999999E-2</v>
      </c>
      <c r="R3181">
        <v>-6.2704839999999998E-2</v>
      </c>
      <c r="S3181">
        <v>3.029236</v>
      </c>
      <c r="T3181">
        <v>3.8813590000000002E-2</v>
      </c>
      <c r="U3181">
        <v>0.36801149999999999</v>
      </c>
      <c r="V3181">
        <v>5.2562930000000001E-2</v>
      </c>
      <c r="W3181">
        <v>9.9450720000000001E-4</v>
      </c>
      <c r="X3181">
        <v>0.99861710000000004</v>
      </c>
      <c r="Y3181">
        <v>-0.13066700000000001</v>
      </c>
      <c r="Z3181">
        <v>-9.6371909999999996E-4</v>
      </c>
      <c r="AA3181">
        <v>0.99142589999999997</v>
      </c>
      <c r="AB3181">
        <v>31</v>
      </c>
      <c r="AC3181">
        <v>144.30259999999899</v>
      </c>
      <c r="AD3181">
        <v>1.852989</v>
      </c>
      <c r="AE3181">
        <v>17.572199999999999</v>
      </c>
      <c r="AF3181">
        <v>-19.034148144310802</v>
      </c>
      <c r="AG3181">
        <v>1.852989</v>
      </c>
      <c r="AH3181">
        <v>144.09322787996001</v>
      </c>
      <c r="AI3181">
        <v>89.269581150686307</v>
      </c>
      <c r="AJ3181">
        <v>97.524980017048904</v>
      </c>
      <c r="AK3181">
        <v>145.356770343455</v>
      </c>
      <c r="AL3181">
        <v>89.943018924299594</v>
      </c>
      <c r="AM3181">
        <v>86.986975890051099</v>
      </c>
      <c r="AN3181">
        <v>0.99999998153358205</v>
      </c>
    </row>
    <row r="3182" spans="1:40" x14ac:dyDescent="0.25">
      <c r="A3182" t="str">
        <f>"20190312161025870"</f>
        <v>20190312161025870</v>
      </c>
      <c r="B3182" t="str">
        <f>"1552378225859505"</f>
        <v>1552378225859505</v>
      </c>
      <c r="C3182" t="s">
        <v>40</v>
      </c>
      <c r="D3182">
        <v>5.5251489999999999</v>
      </c>
      <c r="E3182">
        <v>0.43053130000000001</v>
      </c>
      <c r="F3182" t="s">
        <v>54</v>
      </c>
      <c r="G3182">
        <v>-157.25</v>
      </c>
      <c r="H3182">
        <v>4.0539420000000002</v>
      </c>
      <c r="I3182">
        <v>239.018</v>
      </c>
      <c r="J3182">
        <v>-376.8347</v>
      </c>
      <c r="K3182">
        <v>1.1098110000000001</v>
      </c>
      <c r="L3182">
        <v>212.8228</v>
      </c>
      <c r="M3182">
        <v>0.99988650000000001</v>
      </c>
      <c r="N3182">
        <v>0</v>
      </c>
      <c r="O3182">
        <v>-1.002367E-2</v>
      </c>
      <c r="P3182">
        <v>0.99795509999999998</v>
      </c>
      <c r="Q3182">
        <v>-1.025119E-2</v>
      </c>
      <c r="R3182">
        <v>-6.3091519999999998E-2</v>
      </c>
      <c r="S3182">
        <v>3.029175</v>
      </c>
      <c r="T3182">
        <v>4.055429E-2</v>
      </c>
      <c r="U3182">
        <v>0.36077880000000001</v>
      </c>
      <c r="V3182">
        <v>5.3084329999999999E-2</v>
      </c>
      <c r="W3182">
        <v>1.0035669999999999E-3</v>
      </c>
      <c r="X3182">
        <v>0.99858950000000002</v>
      </c>
      <c r="Y3182">
        <v>-0.12820129999999999</v>
      </c>
      <c r="Z3182">
        <v>-9.8885740000000002E-4</v>
      </c>
      <c r="AA3182">
        <v>0.99174770000000001</v>
      </c>
      <c r="AB3182">
        <v>31</v>
      </c>
      <c r="AC3182">
        <v>219.5847</v>
      </c>
      <c r="AD3182">
        <v>2.9441310000000001</v>
      </c>
      <c r="AE3182">
        <v>26.1952</v>
      </c>
      <c r="AF3182">
        <v>-28.3900356639286</v>
      </c>
      <c r="AG3182">
        <v>2.9441310000000001</v>
      </c>
      <c r="AH3182">
        <v>219.27221357338499</v>
      </c>
      <c r="AI3182">
        <v>89.237112459104395</v>
      </c>
      <c r="AJ3182">
        <v>97.377269585302798</v>
      </c>
      <c r="AK3182">
        <v>221.12206058581501</v>
      </c>
      <c r="AL3182">
        <v>89.942499835143494</v>
      </c>
      <c r="AM3182">
        <v>86.957060029667801</v>
      </c>
      <c r="AN3182">
        <v>0.99999997137426</v>
      </c>
    </row>
    <row r="3183" spans="1:40" x14ac:dyDescent="0.25">
      <c r="A3183" t="str">
        <f>"20190312161025914"</f>
        <v>20190312161025914</v>
      </c>
      <c r="B3183" t="str">
        <f>"1552378225909282"</f>
        <v>1552378225909282</v>
      </c>
      <c r="C3183" t="s">
        <v>40</v>
      </c>
      <c r="D3183">
        <v>5.5695300000000003</v>
      </c>
      <c r="E3183">
        <v>0.42453039999999997</v>
      </c>
      <c r="F3183" t="s">
        <v>54</v>
      </c>
      <c r="G3183">
        <v>-157.25</v>
      </c>
      <c r="H3183">
        <v>3.961773</v>
      </c>
      <c r="I3183">
        <v>239.03649999999999</v>
      </c>
      <c r="J3183">
        <v>-376.22070000000002</v>
      </c>
      <c r="K3183">
        <v>1.109807</v>
      </c>
      <c r="L3183">
        <v>212.8169</v>
      </c>
      <c r="M3183">
        <v>0.99988920000000003</v>
      </c>
      <c r="N3183">
        <v>0</v>
      </c>
      <c r="O3183">
        <v>-9.7722420000000004E-3</v>
      </c>
      <c r="P3183">
        <v>0.99799369999999998</v>
      </c>
      <c r="Q3183">
        <v>-1.04928E-2</v>
      </c>
      <c r="R3183">
        <v>-6.243696E-2</v>
      </c>
      <c r="S3183">
        <v>3.0294189999999999</v>
      </c>
      <c r="T3183">
        <v>3.9346810000000003E-2</v>
      </c>
      <c r="U3183">
        <v>0.36164859999999999</v>
      </c>
      <c r="V3183">
        <v>5.2680570000000003E-2</v>
      </c>
      <c r="W3183">
        <v>7.3844579999999996E-4</v>
      </c>
      <c r="X3183">
        <v>0.99861120000000003</v>
      </c>
      <c r="Y3183">
        <v>-0.128224</v>
      </c>
      <c r="Z3183">
        <v>-9.5621650000000003E-4</v>
      </c>
      <c r="AA3183">
        <v>0.99174479999999998</v>
      </c>
      <c r="AB3183">
        <v>31</v>
      </c>
      <c r="AC3183">
        <v>218.97069999999999</v>
      </c>
      <c r="AD3183">
        <v>2.851966</v>
      </c>
      <c r="AE3183">
        <v>26.2195999999999</v>
      </c>
      <c r="AF3183">
        <v>-28.353575674611299</v>
      </c>
      <c r="AG3183">
        <v>2.851966</v>
      </c>
      <c r="AH3183">
        <v>218.667433077863</v>
      </c>
      <c r="AI3183">
        <v>89.258966077491493</v>
      </c>
      <c r="AJ3183">
        <v>97.388052449130896</v>
      </c>
      <c r="AK3183">
        <v>220.51645120594301</v>
      </c>
      <c r="AL3183">
        <v>89.957690170880596</v>
      </c>
      <c r="AM3183">
        <v>86.980227162110793</v>
      </c>
      <c r="AN3183">
        <v>1.00000005826158</v>
      </c>
    </row>
    <row r="3184" spans="1:40" x14ac:dyDescent="0.25">
      <c r="A3184" t="str">
        <f>"20190312161025936"</f>
        <v>20190312161025936</v>
      </c>
      <c r="B3184" t="str">
        <f>"1552378225929777"</f>
        <v>1552378225929777</v>
      </c>
      <c r="C3184" t="s">
        <v>40</v>
      </c>
      <c r="D3184">
        <v>5.632123</v>
      </c>
      <c r="E3184">
        <v>0.42396260000000002</v>
      </c>
      <c r="F3184" t="s">
        <v>61</v>
      </c>
      <c r="G3184">
        <v>-352.50150000000002</v>
      </c>
      <c r="H3184" s="1">
        <v>-2.6983290000000001E-7</v>
      </c>
      <c r="I3184">
        <v>216.08539999999999</v>
      </c>
      <c r="J3184">
        <v>-375.9128</v>
      </c>
      <c r="K3184">
        <v>1.1098030000000001</v>
      </c>
      <c r="L3184">
        <v>212.81399999999999</v>
      </c>
      <c r="M3184">
        <v>0.99989050000000002</v>
      </c>
      <c r="N3184">
        <v>0</v>
      </c>
      <c r="O3184">
        <v>-9.6460599999999997E-3</v>
      </c>
      <c r="P3184">
        <v>0.99800560000000005</v>
      </c>
      <c r="Q3184">
        <v>-1.019743E-2</v>
      </c>
      <c r="R3184">
        <v>-6.229867E-2</v>
      </c>
      <c r="S3184">
        <v>3.0306700000000002</v>
      </c>
      <c r="T3184">
        <v>-0.14180329999999999</v>
      </c>
      <c r="U3184">
        <v>0.41761779999999998</v>
      </c>
      <c r="V3184">
        <v>5.2668029999999998E-2</v>
      </c>
      <c r="W3184">
        <v>1.0226409999999999E-3</v>
      </c>
      <c r="X3184">
        <v>0.99861160000000004</v>
      </c>
      <c r="Y3184">
        <v>-0.145890299999999</v>
      </c>
      <c r="Z3184">
        <v>3.8442440000000001E-3</v>
      </c>
      <c r="AA3184">
        <v>0.98929330000000004</v>
      </c>
      <c r="AB3184">
        <v>31</v>
      </c>
      <c r="AC3184">
        <v>23.411299999999901</v>
      </c>
      <c r="AD3184">
        <v>-1.1098032698328999</v>
      </c>
      <c r="AE3184">
        <v>3.2713999999999701</v>
      </c>
      <c r="AF3184">
        <v>-3.4893976263583801</v>
      </c>
      <c r="AG3184">
        <v>-1.1098032698328999</v>
      </c>
      <c r="AH3184">
        <v>23.3272356641132</v>
      </c>
      <c r="AI3184">
        <v>92.693890479874</v>
      </c>
      <c r="AJ3184">
        <v>98.5074930477967</v>
      </c>
      <c r="AK3184">
        <v>23.612866891202401</v>
      </c>
      <c r="AL3184">
        <v>89.941406979308496</v>
      </c>
      <c r="AM3184">
        <v>86.980945861193902</v>
      </c>
      <c r="AN3184">
        <v>1.00000004741662</v>
      </c>
    </row>
    <row r="3185" spans="1:40" x14ac:dyDescent="0.25">
      <c r="A3185" t="str">
        <f>"20190312161025960"</f>
        <v>20190312161025960</v>
      </c>
      <c r="B3185" t="str">
        <f>"1552378225949297"</f>
        <v>1552378225949297</v>
      </c>
      <c r="C3185" t="s">
        <v>40</v>
      </c>
      <c r="D3185">
        <v>5.6411790000000002</v>
      </c>
      <c r="E3185">
        <v>0.42353990000000002</v>
      </c>
      <c r="F3185" t="s">
        <v>61</v>
      </c>
      <c r="G3185">
        <v>-352.29180000000002</v>
      </c>
      <c r="H3185" s="1">
        <v>-3.8232209999999999E-7</v>
      </c>
      <c r="I3185">
        <v>216.1061</v>
      </c>
      <c r="J3185">
        <v>-375.577</v>
      </c>
      <c r="K3185">
        <v>1.109799</v>
      </c>
      <c r="L3185">
        <v>212.8109</v>
      </c>
      <c r="M3185">
        <v>0.99989189999999994</v>
      </c>
      <c r="N3185">
        <v>0</v>
      </c>
      <c r="O3185">
        <v>-9.5085550000000001E-3</v>
      </c>
      <c r="P3185">
        <v>0.99804029999999999</v>
      </c>
      <c r="Q3185">
        <v>-1.00917E-2</v>
      </c>
      <c r="R3185">
        <v>-6.1753570000000001E-2</v>
      </c>
      <c r="S3185">
        <v>3.0309140000000001</v>
      </c>
      <c r="T3185">
        <v>-0.142404</v>
      </c>
      <c r="U3185">
        <v>0.42242429999999997</v>
      </c>
      <c r="V3185">
        <v>5.226012E-2</v>
      </c>
      <c r="W3185">
        <v>1.118008E-3</v>
      </c>
      <c r="X3185">
        <v>0.99863290000000005</v>
      </c>
      <c r="Y3185">
        <v>-0.14727989999999999</v>
      </c>
      <c r="Z3185">
        <v>3.885828E-3</v>
      </c>
      <c r="AA3185">
        <v>0.98908720000000006</v>
      </c>
      <c r="AB3185">
        <v>31</v>
      </c>
      <c r="AC3185">
        <v>23.2851999999999</v>
      </c>
      <c r="AD3185">
        <v>-1.1097993823221</v>
      </c>
      <c r="AE3185">
        <v>3.2951999999999901</v>
      </c>
      <c r="AF3185">
        <v>-3.5086598061216998</v>
      </c>
      <c r="AG3185">
        <v>-1.1097993823221</v>
      </c>
      <c r="AH3185">
        <v>23.2011440100766</v>
      </c>
      <c r="AI3185">
        <v>92.707846268594594</v>
      </c>
      <c r="AJ3185">
        <v>98.599557392823996</v>
      </c>
      <c r="AK3185">
        <v>23.491177741450301</v>
      </c>
      <c r="AL3185">
        <v>89.935942848044107</v>
      </c>
      <c r="AM3185">
        <v>87.004349235612096</v>
      </c>
      <c r="AN3185">
        <v>1.00000001952335</v>
      </c>
    </row>
    <row r="3186" spans="1:40" x14ac:dyDescent="0.25">
      <c r="A3186" t="str">
        <f>"20190312161026427"</f>
        <v>20190312161026427</v>
      </c>
      <c r="B3186" t="str">
        <f>"1552378226419730"</f>
        <v>1552378226419730</v>
      </c>
      <c r="C3186" t="s">
        <v>40</v>
      </c>
      <c r="D3186">
        <v>5.6428929999999999</v>
      </c>
      <c r="E3186">
        <v>0.46893889999999999</v>
      </c>
      <c r="F3186" t="s">
        <v>61</v>
      </c>
      <c r="G3186">
        <v>-352.22379999999998</v>
      </c>
      <c r="H3186" s="1">
        <v>-4.1856039999999998E-7</v>
      </c>
      <c r="I3186">
        <v>216.10679999999999</v>
      </c>
      <c r="J3186">
        <v>-368.96069999999997</v>
      </c>
      <c r="K3186">
        <v>1.1097859999999999</v>
      </c>
      <c r="L3186">
        <v>212.7594</v>
      </c>
      <c r="M3186">
        <v>0.99991490000000005</v>
      </c>
      <c r="N3186">
        <v>0</v>
      </c>
      <c r="O3186">
        <v>-6.80475E-3</v>
      </c>
      <c r="P3186">
        <v>0.99809930000000002</v>
      </c>
      <c r="Q3186">
        <v>-1.077383E-2</v>
      </c>
      <c r="R3186">
        <v>-6.0680449999999997E-2</v>
      </c>
      <c r="S3186">
        <v>3.030945</v>
      </c>
      <c r="T3186">
        <v>-0.14403750000000001</v>
      </c>
      <c r="U3186">
        <v>0.4277649</v>
      </c>
      <c r="V3186">
        <v>5.3886570000000002E-2</v>
      </c>
      <c r="W3186">
        <v>3.5840669999999999E-4</v>
      </c>
      <c r="X3186">
        <v>0.99854699999999996</v>
      </c>
      <c r="Y3186">
        <v>-0.14631329999999901</v>
      </c>
      <c r="Z3186">
        <v>3.7791700000000001E-3</v>
      </c>
      <c r="AA3186">
        <v>0.98923110000000003</v>
      </c>
      <c r="AB3186">
        <v>32</v>
      </c>
      <c r="AC3186">
        <v>16.736899999999899</v>
      </c>
      <c r="AD3186">
        <v>-1.1097864185603901</v>
      </c>
      <c r="AE3186">
        <v>3.3473999999999902</v>
      </c>
      <c r="AF3186">
        <v>-3.4466488674893401</v>
      </c>
      <c r="AG3186">
        <v>-1.1097864185603901</v>
      </c>
      <c r="AH3186">
        <v>16.643371085530699</v>
      </c>
      <c r="AI3186">
        <v>93.735823487500895</v>
      </c>
      <c r="AJ3186">
        <v>101.699908925475</v>
      </c>
      <c r="AK3186">
        <v>17.032698418079999</v>
      </c>
      <c r="AL3186">
        <v>89.979464808322604</v>
      </c>
      <c r="AM3186">
        <v>86.911030600646896</v>
      </c>
      <c r="AN3186">
        <v>1.00000000104536</v>
      </c>
    </row>
    <row r="3187" spans="1:40" x14ac:dyDescent="0.25">
      <c r="A3187" t="str">
        <f>"20190312161026449"</f>
        <v>20190312161026449</v>
      </c>
      <c r="B3187" t="str">
        <f>"1552378226439250"</f>
        <v>1552378226439250</v>
      </c>
      <c r="C3187" t="s">
        <v>40</v>
      </c>
      <c r="D3187">
        <v>5.6060549999999996</v>
      </c>
      <c r="E3187">
        <v>0.47271279999999999</v>
      </c>
      <c r="F3187" t="s">
        <v>42</v>
      </c>
      <c r="G3187">
        <v>-368.0487</v>
      </c>
      <c r="H3187">
        <v>0.9276276</v>
      </c>
      <c r="I3187">
        <v>212.785</v>
      </c>
      <c r="J3187">
        <v>-368.64019999999999</v>
      </c>
      <c r="K3187">
        <v>1.1097889999999999</v>
      </c>
      <c r="L3187">
        <v>212.75729999999999</v>
      </c>
      <c r="M3187">
        <v>0.99991580000000002</v>
      </c>
      <c r="N3187">
        <v>0</v>
      </c>
      <c r="O3187">
        <v>-6.6739750000000004E-3</v>
      </c>
      <c r="P3187">
        <v>0.99814369999999997</v>
      </c>
      <c r="Q3187">
        <v>-1.0209019999999999E-2</v>
      </c>
      <c r="R3187">
        <v>-6.0043560000000003E-2</v>
      </c>
      <c r="S3187">
        <v>3.0043950000000001</v>
      </c>
      <c r="T3187">
        <v>-0.60017449999999894</v>
      </c>
      <c r="U3187">
        <v>8.4747310000000006E-2</v>
      </c>
      <c r="V3187">
        <v>5.3379959999999997E-2</v>
      </c>
      <c r="W3187">
        <v>9.22505E-4</v>
      </c>
      <c r="X3187">
        <v>0.99857379999999996</v>
      </c>
      <c r="Y3187">
        <v>-3.4063379999999997E-2</v>
      </c>
      <c r="Z3187">
        <v>4.6884500000000003E-3</v>
      </c>
      <c r="AA3187">
        <v>0.99940870000000004</v>
      </c>
      <c r="AB3187">
        <v>32</v>
      </c>
      <c r="AC3187">
        <v>0.59149999999999603</v>
      </c>
      <c r="AD3187">
        <v>-0.182161399999999</v>
      </c>
      <c r="AE3187">
        <v>2.7700000000010001E-2</v>
      </c>
      <c r="AF3187">
        <v>-2.8911265834882301E-2</v>
      </c>
      <c r="AG3187">
        <v>-0.182161399999999</v>
      </c>
      <c r="AH3187">
        <v>0.54018183239115902</v>
      </c>
      <c r="AI3187">
        <v>108.610459220344</v>
      </c>
      <c r="AJ3187">
        <v>93.063624934038998</v>
      </c>
      <c r="AK3187">
        <v>0.57080211018145799</v>
      </c>
      <c r="AL3187">
        <v>89.947144346917796</v>
      </c>
      <c r="AM3187">
        <v>86.940097800941501</v>
      </c>
      <c r="AN3187">
        <v>0.99999995259575702</v>
      </c>
    </row>
    <row r="3188" spans="1:40" x14ac:dyDescent="0.25">
      <c r="A3188" t="str">
        <f>"20190312161026472"</f>
        <v>20190312161026472</v>
      </c>
      <c r="B3188" t="str">
        <f>"1552378226469506"</f>
        <v>1552378226469506</v>
      </c>
      <c r="C3188" t="s">
        <v>40</v>
      </c>
      <c r="D3188">
        <v>5.6495610000000003</v>
      </c>
      <c r="E3188">
        <v>0.47411419999999999</v>
      </c>
      <c r="F3188" t="s">
        <v>42</v>
      </c>
      <c r="G3188">
        <v>-367.73770000000002</v>
      </c>
      <c r="H3188">
        <v>0.98575009999999996</v>
      </c>
      <c r="I3188">
        <v>212.7724</v>
      </c>
      <c r="J3188">
        <v>-368.32499999999999</v>
      </c>
      <c r="K3188">
        <v>1.109796</v>
      </c>
      <c r="L3188">
        <v>212.75530000000001</v>
      </c>
      <c r="M3188">
        <v>0.99991660000000004</v>
      </c>
      <c r="N3188">
        <v>0</v>
      </c>
      <c r="O3188">
        <v>-6.5453500000000001E-3</v>
      </c>
      <c r="P3188">
        <v>0.99814709999999995</v>
      </c>
      <c r="Q3188">
        <v>-9.8490699999999997E-3</v>
      </c>
      <c r="R3188">
        <v>-6.0043249999999999E-2</v>
      </c>
      <c r="S3188">
        <v>3.0043950000000001</v>
      </c>
      <c r="T3188">
        <v>-0.41294340000000002</v>
      </c>
      <c r="U3188">
        <v>5.0537110000000003E-2</v>
      </c>
      <c r="V3188">
        <v>5.3508100000000003E-2</v>
      </c>
      <c r="W3188">
        <v>1.2825169999999999E-3</v>
      </c>
      <c r="X3188">
        <v>0.99856659999999997</v>
      </c>
      <c r="Y3188">
        <v>-2.3084650000000002E-2</v>
      </c>
      <c r="Z3188">
        <v>2.4743450000000002E-3</v>
      </c>
      <c r="AA3188">
        <v>0.99973049999999997</v>
      </c>
      <c r="AB3188">
        <v>32</v>
      </c>
      <c r="AC3188">
        <v>0.58729999999996996</v>
      </c>
      <c r="AD3188">
        <v>-0.124045899999999</v>
      </c>
      <c r="AE3188">
        <v>1.7099999999999199E-2</v>
      </c>
      <c r="AF3188">
        <v>-2.0050246181491999E-2</v>
      </c>
      <c r="AG3188">
        <v>-0.124045899999999</v>
      </c>
      <c r="AH3188">
        <v>0.56211983307672897</v>
      </c>
      <c r="AI3188">
        <v>102.436650198043</v>
      </c>
      <c r="AJ3188">
        <v>92.042816484224204</v>
      </c>
      <c r="AK3188">
        <v>0.57599314615449904</v>
      </c>
      <c r="AL3188">
        <v>89.926517169198505</v>
      </c>
      <c r="AM3188">
        <v>86.932744360445795</v>
      </c>
      <c r="AN3188">
        <v>1.00000000812551</v>
      </c>
    </row>
    <row r="3189" spans="1:40" x14ac:dyDescent="0.25">
      <c r="A3189" t="str">
        <f>"20190312161026493"</f>
        <v>20190312161026493</v>
      </c>
      <c r="B3189" t="str">
        <f>"1552378226489026"</f>
        <v>1552378226489026</v>
      </c>
      <c r="C3189" t="s">
        <v>40</v>
      </c>
      <c r="D3189">
        <v>5.4654109999999996</v>
      </c>
      <c r="E3189">
        <v>0.47529450000000001</v>
      </c>
      <c r="F3189" t="s">
        <v>42</v>
      </c>
      <c r="G3189">
        <v>-367.43610000000001</v>
      </c>
      <c r="H3189">
        <v>1.020643</v>
      </c>
      <c r="I3189">
        <v>212.7655</v>
      </c>
      <c r="J3189">
        <v>-368.0179</v>
      </c>
      <c r="K3189">
        <v>1.109793</v>
      </c>
      <c r="L3189">
        <v>212.7535</v>
      </c>
      <c r="M3189">
        <v>0.99991739999999996</v>
      </c>
      <c r="N3189">
        <v>0</v>
      </c>
      <c r="O3189">
        <v>-6.4201859999999996E-3</v>
      </c>
      <c r="P3189">
        <v>0.9981428</v>
      </c>
      <c r="Q3189">
        <v>-9.8536730000000003E-3</v>
      </c>
      <c r="R3189">
        <v>-6.0117240000000002E-2</v>
      </c>
      <c r="S3189">
        <v>3.0047299999999999</v>
      </c>
      <c r="T3189">
        <v>-0.30149290000000001</v>
      </c>
      <c r="U3189">
        <v>3.567505E-2</v>
      </c>
      <c r="V3189">
        <v>5.3706940000000002E-2</v>
      </c>
      <c r="W3189">
        <v>1.2782259999999999E-3</v>
      </c>
      <c r="X3189">
        <v>0.99855590000000005</v>
      </c>
      <c r="Y3189">
        <v>-1.816856E-2</v>
      </c>
      <c r="Z3189">
        <v>1.551801E-3</v>
      </c>
      <c r="AA3189">
        <v>0.99983379999999999</v>
      </c>
      <c r="AB3189">
        <v>32</v>
      </c>
      <c r="AC3189">
        <v>0.58179999999998699</v>
      </c>
      <c r="AD3189">
        <v>-8.9149999999999993E-2</v>
      </c>
      <c r="AE3189">
        <v>1.2000000000000399E-2</v>
      </c>
      <c r="AF3189">
        <v>-1.5374413069115699E-2</v>
      </c>
      <c r="AG3189">
        <v>-8.9149999999999993E-2</v>
      </c>
      <c r="AH3189">
        <v>0.56837136312886305</v>
      </c>
      <c r="AI3189">
        <v>98.911100695892202</v>
      </c>
      <c r="AJ3189">
        <v>91.549469737748097</v>
      </c>
      <c r="AK3189">
        <v>0.57552593469120195</v>
      </c>
      <c r="AL3189">
        <v>89.926763023333706</v>
      </c>
      <c r="AM3189">
        <v>86.921335175053599</v>
      </c>
      <c r="AN3189">
        <v>0.99999997734533996</v>
      </c>
    </row>
    <row r="3190" spans="1:40" x14ac:dyDescent="0.25">
      <c r="A3190" t="str">
        <f>"20190312161026516"</f>
        <v>20190312161026516</v>
      </c>
      <c r="B3190" t="str">
        <f>"1552378226509522"</f>
        <v>1552378226509522</v>
      </c>
      <c r="C3190" t="s">
        <v>40</v>
      </c>
      <c r="D3190">
        <v>5.6222969999999997</v>
      </c>
      <c r="E3190">
        <v>0.47653640000000003</v>
      </c>
      <c r="F3190" t="s">
        <v>42</v>
      </c>
      <c r="G3190">
        <v>-367.14670000000001</v>
      </c>
      <c r="H3190">
        <v>1.0280670000000001</v>
      </c>
      <c r="I3190">
        <v>212.76079999999999</v>
      </c>
      <c r="J3190">
        <v>-367.69450000000001</v>
      </c>
      <c r="K3190">
        <v>1.1097919999999999</v>
      </c>
      <c r="L3190">
        <v>212.75149999999999</v>
      </c>
      <c r="M3190">
        <v>0.99991830000000004</v>
      </c>
      <c r="N3190">
        <v>0</v>
      </c>
      <c r="O3190">
        <v>-6.2872709999999997E-3</v>
      </c>
      <c r="P3190">
        <v>0.99818019999999996</v>
      </c>
      <c r="Q3190">
        <v>-9.6401920000000006E-3</v>
      </c>
      <c r="R3190">
        <v>-5.9528070000000002E-2</v>
      </c>
      <c r="S3190">
        <v>3.0043329999999999</v>
      </c>
      <c r="T3190">
        <v>-0.28192620000000002</v>
      </c>
      <c r="U3190">
        <v>2.5268550000000001E-2</v>
      </c>
      <c r="V3190">
        <v>5.3250270000000002E-2</v>
      </c>
      <c r="W3190">
        <v>1.4928020000000001E-3</v>
      </c>
      <c r="X3190">
        <v>0.99858009999999997</v>
      </c>
      <c r="Y3190">
        <v>-1.460589E-2</v>
      </c>
      <c r="Z3190">
        <v>1.2725239999999999E-3</v>
      </c>
      <c r="AA3190">
        <v>0.99989249999999996</v>
      </c>
      <c r="AB3190">
        <v>32</v>
      </c>
      <c r="AC3190">
        <v>0.54779999999999496</v>
      </c>
      <c r="AD3190">
        <v>-8.1725000000000006E-2</v>
      </c>
      <c r="AE3190">
        <v>9.2999999999960892E-3</v>
      </c>
      <c r="AF3190">
        <v>-1.24668033720336E-2</v>
      </c>
      <c r="AG3190">
        <v>-8.1725000000000006E-2</v>
      </c>
      <c r="AH3190">
        <v>0.53580866147903194</v>
      </c>
      <c r="AI3190">
        <v>98.669972382429293</v>
      </c>
      <c r="AJ3190">
        <v>91.332875729931203</v>
      </c>
      <c r="AK3190">
        <v>0.54214879740461297</v>
      </c>
      <c r="AL3190">
        <v>89.914468715516406</v>
      </c>
      <c r="AM3190">
        <v>86.947537172844406</v>
      </c>
      <c r="AN3190">
        <v>1.0000000179144399</v>
      </c>
    </row>
    <row r="3191" spans="1:40" x14ac:dyDescent="0.25">
      <c r="A3191" t="str">
        <f>"20190312161026538"</f>
        <v>20190312161026538</v>
      </c>
      <c r="B3191" t="str">
        <f>"1552378226529041"</f>
        <v>1552378226529041</v>
      </c>
      <c r="C3191" t="s">
        <v>40</v>
      </c>
      <c r="D3191">
        <v>5.6830679999999996</v>
      </c>
      <c r="E3191">
        <v>0.47807500000000003</v>
      </c>
      <c r="F3191" t="s">
        <v>42</v>
      </c>
      <c r="G3191">
        <v>-366.85379999999998</v>
      </c>
      <c r="H3191">
        <v>1.0380579999999999</v>
      </c>
      <c r="I3191">
        <v>212.75579999999999</v>
      </c>
      <c r="J3191">
        <v>-367.36520000000002</v>
      </c>
      <c r="K3191">
        <v>1.109799</v>
      </c>
      <c r="L3191">
        <v>212.74959999999999</v>
      </c>
      <c r="M3191">
        <v>0.99991909999999895</v>
      </c>
      <c r="N3191">
        <v>0</v>
      </c>
      <c r="O3191">
        <v>-6.1497000000000001E-3</v>
      </c>
      <c r="P3191">
        <v>0.998193</v>
      </c>
      <c r="Q3191">
        <v>-9.2959759999999992E-3</v>
      </c>
      <c r="R3191">
        <v>-5.9369680000000001E-2</v>
      </c>
      <c r="S3191">
        <v>3.0040279999999999</v>
      </c>
      <c r="T3191">
        <v>-0.25646149999999901</v>
      </c>
      <c r="U3191">
        <v>1.6281130000000001E-2</v>
      </c>
      <c r="V3191">
        <v>5.322909E-2</v>
      </c>
      <c r="W3191">
        <v>1.839462E-3</v>
      </c>
      <c r="X3191">
        <v>0.99858060000000004</v>
      </c>
      <c r="Y3191">
        <v>-1.1505349999999999E-2</v>
      </c>
      <c r="Z3191">
        <v>1.0143159999999999E-3</v>
      </c>
      <c r="AA3191">
        <v>0.99993330000000002</v>
      </c>
      <c r="AB3191">
        <v>32</v>
      </c>
      <c r="AC3191">
        <v>0.51140000000003705</v>
      </c>
      <c r="AD3191">
        <v>-7.1740999999999999E-2</v>
      </c>
      <c r="AE3191">
        <v>6.2000000000068597E-3</v>
      </c>
      <c r="AF3191">
        <v>-9.1647042712130894E-3</v>
      </c>
      <c r="AG3191">
        <v>-7.1740999999999999E-2</v>
      </c>
      <c r="AH3191">
        <v>0.50148469510952898</v>
      </c>
      <c r="AI3191">
        <v>98.1399946644068</v>
      </c>
      <c r="AJ3191">
        <v>91.046971990180793</v>
      </c>
      <c r="AK3191">
        <v>0.50667313162874095</v>
      </c>
      <c r="AL3191">
        <v>89.894606527929795</v>
      </c>
      <c r="AM3191">
        <v>86.948750503301596</v>
      </c>
      <c r="AN3191">
        <v>0.999999967169518</v>
      </c>
    </row>
    <row r="3192" spans="1:40" x14ac:dyDescent="0.25">
      <c r="A3192" t="str">
        <f>"20190312161026562"</f>
        <v>20190312161026562</v>
      </c>
      <c r="B3192" t="str">
        <f>"1552378226549542"</f>
        <v>1552378226549542</v>
      </c>
      <c r="C3192" t="s">
        <v>40</v>
      </c>
      <c r="D3192">
        <v>5.6407259999999999</v>
      </c>
      <c r="E3192">
        <v>0.47887030000000003</v>
      </c>
      <c r="F3192" t="s">
        <v>61</v>
      </c>
      <c r="G3192">
        <v>-353.76209999999998</v>
      </c>
      <c r="H3192" s="1">
        <v>5.4600079999999998E-7</v>
      </c>
      <c r="I3192">
        <v>212.7688</v>
      </c>
      <c r="J3192">
        <v>-367.04860000000002</v>
      </c>
      <c r="K3192">
        <v>1.1098049999999999</v>
      </c>
      <c r="L3192">
        <v>212.74780000000001</v>
      </c>
      <c r="M3192">
        <v>0.99991989999999997</v>
      </c>
      <c r="N3192">
        <v>0</v>
      </c>
      <c r="O3192">
        <v>-6.0159280000000002E-3</v>
      </c>
      <c r="P3192">
        <v>0.9981989</v>
      </c>
      <c r="Q3192">
        <v>-9.1391969999999999E-3</v>
      </c>
      <c r="R3192">
        <v>-5.9292499999999998E-2</v>
      </c>
      <c r="S3192">
        <v>3.003387</v>
      </c>
      <c r="T3192">
        <v>-0.24503</v>
      </c>
      <c r="U3192">
        <v>4.2419429999999998E-3</v>
      </c>
      <c r="V3192">
        <v>5.3285440000000003E-2</v>
      </c>
      <c r="W3192">
        <v>1.995864E-3</v>
      </c>
      <c r="X3192">
        <v>0.99857739999999995</v>
      </c>
      <c r="Y3192">
        <v>-7.3841330000000002E-3</v>
      </c>
      <c r="Z3192">
        <v>7.9073730000000001E-4</v>
      </c>
      <c r="AA3192">
        <v>0.99997239999999998</v>
      </c>
      <c r="AB3192">
        <v>32</v>
      </c>
      <c r="AC3192">
        <v>13.2865</v>
      </c>
      <c r="AD3192">
        <v>-1.1098044539992</v>
      </c>
      <c r="AE3192">
        <v>2.0999999999986502E-2</v>
      </c>
      <c r="AF3192">
        <v>-0.100235854883489</v>
      </c>
      <c r="AG3192">
        <v>-1.1098044539992</v>
      </c>
      <c r="AH3192">
        <v>13.1940777068681</v>
      </c>
      <c r="AI3192">
        <v>94.807911671578196</v>
      </c>
      <c r="AJ3192">
        <v>90.435269602375101</v>
      </c>
      <c r="AK3192">
        <v>13.2410497955258</v>
      </c>
      <c r="AL3192">
        <v>89.885645348708806</v>
      </c>
      <c r="AM3192">
        <v>86.945516697673497</v>
      </c>
      <c r="AN3192">
        <v>1.0000000726899201</v>
      </c>
    </row>
    <row r="3193" spans="1:40" x14ac:dyDescent="0.25">
      <c r="A3193" t="str">
        <f>"20190312161026607"</f>
        <v>20190312161026607</v>
      </c>
      <c r="B3193" t="str">
        <f>"1552378226599313"</f>
        <v>1552378226599313</v>
      </c>
      <c r="C3193" t="s">
        <v>40</v>
      </c>
      <c r="D3193">
        <v>5.6845720000000002</v>
      </c>
      <c r="E3193">
        <v>0.4804059</v>
      </c>
      <c r="F3193" t="s">
        <v>61</v>
      </c>
      <c r="G3193">
        <v>-352.95499999999998</v>
      </c>
      <c r="H3193" s="1">
        <v>1.178953E-7</v>
      </c>
      <c r="I3193">
        <v>212.73689999999999</v>
      </c>
      <c r="J3193">
        <v>-366.41239999999999</v>
      </c>
      <c r="K3193">
        <v>1.1098030000000001</v>
      </c>
      <c r="L3193">
        <v>212.74430000000001</v>
      </c>
      <c r="M3193">
        <v>0.99992159999999997</v>
      </c>
      <c r="N3193">
        <v>0</v>
      </c>
      <c r="O3193">
        <v>-5.7441769999999996E-3</v>
      </c>
      <c r="P3193">
        <v>0.99822500000000003</v>
      </c>
      <c r="Q3193">
        <v>-9.3019330000000001E-3</v>
      </c>
      <c r="R3193">
        <v>-5.8825450000000001E-2</v>
      </c>
      <c r="S3193">
        <v>3.003082</v>
      </c>
      <c r="T3193">
        <v>-0.23647989999999999</v>
      </c>
      <c r="U3193">
        <v>-2.319336E-3</v>
      </c>
      <c r="V3193">
        <v>5.308972E-2</v>
      </c>
      <c r="W3193">
        <v>1.8242029999999999E-3</v>
      </c>
      <c r="X3193">
        <v>0.99858809999999998</v>
      </c>
      <c r="Y3193">
        <v>-4.9391540000000003E-3</v>
      </c>
      <c r="Z3193">
        <v>6.4582419999999999E-4</v>
      </c>
      <c r="AA3193">
        <v>0.99998759999999998</v>
      </c>
      <c r="AB3193">
        <v>32</v>
      </c>
      <c r="AC3193">
        <v>13.4574</v>
      </c>
      <c r="AD3193">
        <v>-1.1098028821046999</v>
      </c>
      <c r="AE3193">
        <v>-7.40000000001828E-3</v>
      </c>
      <c r="AF3193">
        <v>-6.9434375663701406E-2</v>
      </c>
      <c r="AG3193">
        <v>-1.1098028821046999</v>
      </c>
      <c r="AH3193">
        <v>13.3663168811551</v>
      </c>
      <c r="AI3193">
        <v>94.746307397597704</v>
      </c>
      <c r="AJ3193">
        <v>90.297633291921002</v>
      </c>
      <c r="AK3193">
        <v>13.4124908401498</v>
      </c>
      <c r="AL3193">
        <v>89.895480811223194</v>
      </c>
      <c r="AM3193">
        <v>86.956747382221096</v>
      </c>
      <c r="AN3193">
        <v>1.00000001977393</v>
      </c>
    </row>
    <row r="3194" spans="1:40" x14ac:dyDescent="0.25">
      <c r="A3194" t="str">
        <f>"20190312161026628"</f>
        <v>20190312161026628</v>
      </c>
      <c r="B3194" t="str">
        <f>"1552378226619809"</f>
        <v>1552378226619809</v>
      </c>
      <c r="C3194" t="s">
        <v>40</v>
      </c>
      <c r="D3194">
        <v>5.7608879999999996</v>
      </c>
      <c r="E3194">
        <v>0.48079499999999997</v>
      </c>
      <c r="F3194" t="s">
        <v>42</v>
      </c>
      <c r="G3194">
        <v>-365.42559999999997</v>
      </c>
      <c r="H3194">
        <v>1.0391589999999999</v>
      </c>
      <c r="I3194">
        <v>212.73949999999999</v>
      </c>
      <c r="J3194">
        <v>-366.09820000000002</v>
      </c>
      <c r="K3194">
        <v>1.1097999999999999</v>
      </c>
      <c r="L3194">
        <v>212.74260000000001</v>
      </c>
      <c r="M3194">
        <v>0.99992250000000005</v>
      </c>
      <c r="N3194">
        <v>0</v>
      </c>
      <c r="O3194">
        <v>-5.6086019999999999E-3</v>
      </c>
      <c r="P3194">
        <v>0.99820730000000002</v>
      </c>
      <c r="Q3194">
        <v>-9.7645909999999995E-3</v>
      </c>
      <c r="R3194">
        <v>-5.9053799999999997E-2</v>
      </c>
      <c r="S3194">
        <v>3.0025019999999998</v>
      </c>
      <c r="T3194">
        <v>-0.21504210000000001</v>
      </c>
      <c r="U3194">
        <v>-1.382446E-2</v>
      </c>
      <c r="V3194">
        <v>5.3453489999999999E-2</v>
      </c>
      <c r="W3194">
        <v>1.3559500000000001E-3</v>
      </c>
      <c r="X3194">
        <v>0.99856940000000005</v>
      </c>
      <c r="Y3194">
        <v>-9.8780039999999997E-4</v>
      </c>
      <c r="Z3194">
        <v>4.365277E-4</v>
      </c>
      <c r="AA3194">
        <v>0.99999939999999998</v>
      </c>
      <c r="AB3194">
        <v>32</v>
      </c>
      <c r="AC3194">
        <v>0.67260000000004505</v>
      </c>
      <c r="AD3194">
        <v>-7.0640999999999898E-2</v>
      </c>
      <c r="AE3194">
        <v>-3.1000000000176399E-3</v>
      </c>
      <c r="AF3194">
        <v>-6.6528910793494799E-4</v>
      </c>
      <c r="AG3194">
        <v>-7.0640999999999898E-2</v>
      </c>
      <c r="AH3194">
        <v>0.66526863743765297</v>
      </c>
      <c r="AI3194">
        <v>96.061189897202993</v>
      </c>
      <c r="AJ3194">
        <v>90.057297523419393</v>
      </c>
      <c r="AK3194">
        <v>0.66900893375854698</v>
      </c>
      <c r="AL3194">
        <v>89.922309762439994</v>
      </c>
      <c r="AM3194">
        <v>86.935877387669095</v>
      </c>
      <c r="AN3194">
        <v>0.99999998040497096</v>
      </c>
    </row>
    <row r="3195" spans="1:40" x14ac:dyDescent="0.25">
      <c r="A3195" t="str">
        <f>"20190312161026672"</f>
        <v>20190312161026672</v>
      </c>
      <c r="B3195" t="str">
        <f>"1552378226659827"</f>
        <v>1552378226659827</v>
      </c>
      <c r="C3195" t="s">
        <v>40</v>
      </c>
      <c r="D3195">
        <v>5.7126199999999896</v>
      </c>
      <c r="E3195">
        <v>0.48143639999999999</v>
      </c>
      <c r="F3195" t="s">
        <v>42</v>
      </c>
      <c r="G3195">
        <v>-365.137</v>
      </c>
      <c r="H3195">
        <v>1.042063</v>
      </c>
      <c r="I3195">
        <v>212.73660000000001</v>
      </c>
      <c r="J3195">
        <v>-365.46359999999999</v>
      </c>
      <c r="K3195">
        <v>1.1097889999999999</v>
      </c>
      <c r="L3195">
        <v>212.73939999999999</v>
      </c>
      <c r="M3195">
        <v>0.99992409999999998</v>
      </c>
      <c r="N3195">
        <v>0</v>
      </c>
      <c r="O3195">
        <v>-5.3336499999999997E-3</v>
      </c>
      <c r="P3195">
        <v>0.99818620000000002</v>
      </c>
      <c r="Q3195">
        <v>-9.0347970000000007E-3</v>
      </c>
      <c r="R3195">
        <v>-5.9523319999999998E-2</v>
      </c>
      <c r="S3195">
        <v>3.0022579999999999</v>
      </c>
      <c r="T3195">
        <v>-0.21181520000000001</v>
      </c>
      <c r="U3195">
        <v>-1.7593379999999999E-2</v>
      </c>
      <c r="V3195">
        <v>5.4197540000000002E-2</v>
      </c>
      <c r="W3195">
        <v>2.075019E-3</v>
      </c>
      <c r="X3195">
        <v>0.99852810000000003</v>
      </c>
      <c r="Y3195">
        <v>5.3789970000000002E-4</v>
      </c>
      <c r="Z3195">
        <v>3.5689839999999902E-4</v>
      </c>
      <c r="AA3195">
        <v>0.99999979999999999</v>
      </c>
      <c r="AB3195">
        <v>32</v>
      </c>
      <c r="AC3195">
        <v>0.32660000000004102</v>
      </c>
      <c r="AD3195">
        <v>-6.7725999999999897E-2</v>
      </c>
      <c r="AE3195">
        <v>-2.7999999999792601E-3</v>
      </c>
      <c r="AF3195">
        <v>1.0142711721356399E-3</v>
      </c>
      <c r="AG3195">
        <v>-6.7725999999999897E-2</v>
      </c>
      <c r="AH3195">
        <v>0.31314570227258098</v>
      </c>
      <c r="AI3195">
        <v>102.20369646406201</v>
      </c>
      <c r="AJ3195">
        <v>89.814421038504705</v>
      </c>
      <c r="AK3195">
        <v>0.32038737595885203</v>
      </c>
      <c r="AL3195">
        <v>89.881110086279804</v>
      </c>
      <c r="AM3195">
        <v>86.893180827904501</v>
      </c>
      <c r="AN3195">
        <v>1.0000000227677499</v>
      </c>
    </row>
    <row r="3196" spans="1:40" x14ac:dyDescent="0.25">
      <c r="A3196" t="str">
        <f>"20190312161026694"</f>
        <v>20190312161026694</v>
      </c>
      <c r="B3196" t="str">
        <f>"1552378226689108"</f>
        <v>1552378226689108</v>
      </c>
      <c r="C3196" t="s">
        <v>40</v>
      </c>
      <c r="D3196">
        <v>5.748958</v>
      </c>
      <c r="E3196">
        <v>0.4827304</v>
      </c>
      <c r="F3196" t="s">
        <v>61</v>
      </c>
      <c r="G3196">
        <v>-349.1703</v>
      </c>
      <c r="H3196" s="1">
        <v>3.343207E-6</v>
      </c>
      <c r="I3196">
        <v>212.60650000000001</v>
      </c>
      <c r="J3196">
        <v>-365.14139999999998</v>
      </c>
      <c r="K3196">
        <v>1.1097919999999999</v>
      </c>
      <c r="L3196">
        <v>212.73779999999999</v>
      </c>
      <c r="M3196">
        <v>0.99992490000000001</v>
      </c>
      <c r="N3196">
        <v>0</v>
      </c>
      <c r="O3196">
        <v>-5.194153E-3</v>
      </c>
      <c r="P3196">
        <v>0.99818949999999995</v>
      </c>
      <c r="Q3196">
        <v>-9.2579719999999997E-3</v>
      </c>
      <c r="R3196">
        <v>-5.9431089999999999E-2</v>
      </c>
      <c r="S3196">
        <v>3.0021969999999998</v>
      </c>
      <c r="T3196">
        <v>-0.2044889</v>
      </c>
      <c r="U3196">
        <v>-2.44751E-2</v>
      </c>
      <c r="V3196">
        <v>5.42447E-2</v>
      </c>
      <c r="W3196">
        <v>1.847568E-3</v>
      </c>
      <c r="X3196">
        <v>0.99852600000000002</v>
      </c>
      <c r="Y3196">
        <v>2.9628839999999998E-3</v>
      </c>
      <c r="Z3196">
        <v>2.5260609999999998E-4</v>
      </c>
      <c r="AA3196">
        <v>0.99999559999999998</v>
      </c>
      <c r="AB3196">
        <v>32</v>
      </c>
      <c r="AC3196">
        <v>15.9710999999999</v>
      </c>
      <c r="AD3196">
        <v>-1.109788656793</v>
      </c>
      <c r="AE3196">
        <v>-0.13129999999998099</v>
      </c>
      <c r="AF3196">
        <v>4.8104524109188203E-2</v>
      </c>
      <c r="AG3196">
        <v>-1.109788656793</v>
      </c>
      <c r="AH3196">
        <v>15.894823827400399</v>
      </c>
      <c r="AI3196">
        <v>93.993934880169107</v>
      </c>
      <c r="AJ3196">
        <v>89.8265990348782</v>
      </c>
      <c r="AK3196">
        <v>15.9335924829299</v>
      </c>
      <c r="AL3196">
        <v>89.894142094910904</v>
      </c>
      <c r="AM3196">
        <v>86.890476204729694</v>
      </c>
      <c r="AN3196">
        <v>1.0000000368308</v>
      </c>
    </row>
    <row r="3197" spans="1:40" x14ac:dyDescent="0.25">
      <c r="A3197" t="str">
        <f>"20190312161026717"</f>
        <v>20190312161026717</v>
      </c>
      <c r="B3197" t="str">
        <f>"1552378226709601"</f>
        <v>1552378226709601</v>
      </c>
      <c r="C3197" t="s">
        <v>40</v>
      </c>
      <c r="D3197">
        <v>5.5480150000000004</v>
      </c>
      <c r="E3197">
        <v>0.51129780000000002</v>
      </c>
      <c r="F3197" t="s">
        <v>61</v>
      </c>
      <c r="G3197">
        <v>-348.68419999999998</v>
      </c>
      <c r="H3197" s="1">
        <v>3.084506E-6</v>
      </c>
      <c r="I3197">
        <v>212.54750000000001</v>
      </c>
      <c r="J3197">
        <v>-364.81290000000001</v>
      </c>
      <c r="K3197">
        <v>1.1097939999999999</v>
      </c>
      <c r="L3197">
        <v>212.7362</v>
      </c>
      <c r="M3197">
        <v>0.99992559999999997</v>
      </c>
      <c r="N3197">
        <v>0</v>
      </c>
      <c r="O3197">
        <v>-5.052038E-3</v>
      </c>
      <c r="P3197">
        <v>0.99821789999999999</v>
      </c>
      <c r="Q3197">
        <v>-9.2674809999999993E-3</v>
      </c>
      <c r="R3197">
        <v>-5.8951360000000001E-2</v>
      </c>
      <c r="S3197">
        <v>3.0015260000000001</v>
      </c>
      <c r="T3197">
        <v>-0.20240710000000001</v>
      </c>
      <c r="U3197">
        <v>-3.4698489999999999E-2</v>
      </c>
      <c r="V3197">
        <v>5.3906700000000002E-2</v>
      </c>
      <c r="W3197">
        <v>1.835171E-3</v>
      </c>
      <c r="X3197">
        <v>0.99854430000000005</v>
      </c>
      <c r="Y3197">
        <v>6.5040540000000004E-3</v>
      </c>
      <c r="Z3197">
        <v>1.21259E-4</v>
      </c>
      <c r="AA3197">
        <v>0.99997879999999995</v>
      </c>
      <c r="AB3197">
        <v>32</v>
      </c>
      <c r="AC3197">
        <v>16.128699999999998</v>
      </c>
      <c r="AD3197">
        <v>-1.109790915494</v>
      </c>
      <c r="AE3197">
        <v>-0.18869999999998299</v>
      </c>
      <c r="AF3197">
        <v>0.106704628629835</v>
      </c>
      <c r="AG3197">
        <v>-1.109790915494</v>
      </c>
      <c r="AH3197">
        <v>16.0534512028409</v>
      </c>
      <c r="AI3197">
        <v>93.954534844336393</v>
      </c>
      <c r="AJ3197">
        <v>89.619170061033898</v>
      </c>
      <c r="AK3197">
        <v>16.0921197259987</v>
      </c>
      <c r="AL3197">
        <v>89.894852389005294</v>
      </c>
      <c r="AM3197">
        <v>86.909870574250405</v>
      </c>
      <c r="AN3197">
        <v>1.0000000096099799</v>
      </c>
    </row>
    <row r="3198" spans="1:40" x14ac:dyDescent="0.25">
      <c r="A3198" t="str">
        <f>"20190312161026740"</f>
        <v>20190312161026740</v>
      </c>
      <c r="B3198" t="str">
        <f>"1552378226729121"</f>
        <v>1552378226729121</v>
      </c>
      <c r="C3198" t="s">
        <v>40</v>
      </c>
      <c r="D3198">
        <v>5.7542049999999998</v>
      </c>
      <c r="E3198">
        <v>0.5097988</v>
      </c>
      <c r="F3198" t="s">
        <v>61</v>
      </c>
      <c r="G3198">
        <v>-346.00880000000001</v>
      </c>
      <c r="H3198" s="1">
        <v>1.660799E-6</v>
      </c>
      <c r="I3198">
        <v>211.08920000000001</v>
      </c>
      <c r="J3198">
        <v>-364.4855</v>
      </c>
      <c r="K3198">
        <v>1.1097939999999999</v>
      </c>
      <c r="L3198">
        <v>212.7347</v>
      </c>
      <c r="M3198">
        <v>0.99992639999999999</v>
      </c>
      <c r="N3198">
        <v>0</v>
      </c>
      <c r="O3198">
        <v>-4.9105240000000003E-3</v>
      </c>
      <c r="P3198">
        <v>0.99824550000000001</v>
      </c>
      <c r="Q3198">
        <v>-9.5995249999999994E-3</v>
      </c>
      <c r="R3198">
        <v>-5.8431160000000003E-2</v>
      </c>
      <c r="S3198">
        <v>2.9882200000000001</v>
      </c>
      <c r="T3198">
        <v>-0.17636109999999999</v>
      </c>
      <c r="U3198">
        <v>-0.26173400000000002</v>
      </c>
      <c r="V3198">
        <v>5.3527720000000001E-2</v>
      </c>
      <c r="W3198">
        <v>1.50090799999999E-3</v>
      </c>
      <c r="X3198">
        <v>0.99856529999999999</v>
      </c>
      <c r="Y3198">
        <v>8.2227900000000007E-2</v>
      </c>
      <c r="Z3198">
        <v>-2.1307549999999998E-3</v>
      </c>
      <c r="AA3198">
        <v>0.99661129999999998</v>
      </c>
      <c r="AB3198">
        <v>32</v>
      </c>
      <c r="AC3198">
        <v>18.476699999999902</v>
      </c>
      <c r="AD3198">
        <v>-1.1097923392009901</v>
      </c>
      <c r="AE3198">
        <v>-1.64549999999999</v>
      </c>
      <c r="AF3198">
        <v>1.54919917552987</v>
      </c>
      <c r="AG3198">
        <v>-1.1097923392009901</v>
      </c>
      <c r="AH3198">
        <v>18.418631315395</v>
      </c>
      <c r="AI3198">
        <v>93.436015548343406</v>
      </c>
      <c r="AJ3198">
        <v>85.192143324468304</v>
      </c>
      <c r="AK3198">
        <v>18.516955382947302</v>
      </c>
      <c r="AL3198">
        <v>89.914004279374396</v>
      </c>
      <c r="AM3198">
        <v>86.931617840959603</v>
      </c>
      <c r="AN3198">
        <v>1.0000000639486499</v>
      </c>
    </row>
    <row r="3199" spans="1:40" x14ac:dyDescent="0.25">
      <c r="A3199" t="str">
        <f>"20190312161026786"</f>
        <v>20190312161026786</v>
      </c>
      <c r="B3199" t="str">
        <f>"1552378226779873"</f>
        <v>1552378226779873</v>
      </c>
      <c r="C3199" t="s">
        <v>40</v>
      </c>
      <c r="D3199">
        <v>5.637308</v>
      </c>
      <c r="E3199">
        <v>0.50913459999999999</v>
      </c>
      <c r="F3199" t="s">
        <v>61</v>
      </c>
      <c r="G3199">
        <v>-338.11559999999997</v>
      </c>
      <c r="H3199" s="1">
        <v>2.9605669999999998E-6</v>
      </c>
      <c r="I3199">
        <v>210.52959999999999</v>
      </c>
      <c r="J3199">
        <v>-363.82940000000002</v>
      </c>
      <c r="K3199">
        <v>1.1097939999999999</v>
      </c>
      <c r="L3199">
        <v>212.7319</v>
      </c>
      <c r="M3199">
        <v>0.99992769999999997</v>
      </c>
      <c r="N3199">
        <v>0</v>
      </c>
      <c r="O3199">
        <v>-4.6270340000000004E-3</v>
      </c>
      <c r="P3199">
        <v>0.99830600000000003</v>
      </c>
      <c r="Q3199">
        <v>-9.2783680000000004E-3</v>
      </c>
      <c r="R3199">
        <v>-5.7441529999999998E-2</v>
      </c>
      <c r="S3199">
        <v>2.9894409999999998</v>
      </c>
      <c r="T3199">
        <v>-0.12581210000000001</v>
      </c>
      <c r="U3199">
        <v>-0.2499847</v>
      </c>
      <c r="V3199">
        <v>5.2820779999999998E-2</v>
      </c>
      <c r="W3199">
        <v>1.8199119999999999E-3</v>
      </c>
      <c r="X3199">
        <v>0.99860230000000005</v>
      </c>
      <c r="Y3199">
        <v>7.8654539999999995E-2</v>
      </c>
      <c r="Z3199">
        <v>-1.4571880000000001E-3</v>
      </c>
      <c r="AA3199">
        <v>0.99690089999999998</v>
      </c>
      <c r="AB3199">
        <v>32</v>
      </c>
      <c r="AC3199">
        <v>25.713799999999999</v>
      </c>
      <c r="AD3199">
        <v>-1.1097910394329999</v>
      </c>
      <c r="AE3199">
        <v>-2.2023000000000001</v>
      </c>
      <c r="AF3199">
        <v>2.0794452273817998</v>
      </c>
      <c r="AG3199">
        <v>-1.1097910394329999</v>
      </c>
      <c r="AH3199">
        <v>25.676235835201801</v>
      </c>
      <c r="AI3199">
        <v>92.466859531114295</v>
      </c>
      <c r="AJ3199">
        <v>85.369883175371001</v>
      </c>
      <c r="AK3199">
        <v>25.784197006495798</v>
      </c>
      <c r="AL3199">
        <v>89.895726660563895</v>
      </c>
      <c r="AM3199">
        <v>86.972177998694505</v>
      </c>
      <c r="AN3199">
        <v>0.99999995022239097</v>
      </c>
    </row>
    <row r="3200" spans="1:40" x14ac:dyDescent="0.25">
      <c r="A3200" t="str">
        <f>"20190312161026830"</f>
        <v>20190312161026830</v>
      </c>
      <c r="B3200" t="str">
        <f>"1552378226819890"</f>
        <v>1552378226819890</v>
      </c>
      <c r="C3200" t="s">
        <v>40</v>
      </c>
      <c r="D3200">
        <v>5.5226899999999999</v>
      </c>
      <c r="E3200">
        <v>0.50925290000000001</v>
      </c>
      <c r="F3200" t="s">
        <v>61</v>
      </c>
      <c r="G3200">
        <v>-333.17399999999998</v>
      </c>
      <c r="H3200" s="1">
        <v>3.4312859999999998E-7</v>
      </c>
      <c r="I3200">
        <v>210.24969999999999</v>
      </c>
      <c r="J3200">
        <v>-363.19299999999998</v>
      </c>
      <c r="K3200">
        <v>1.1097999999999999</v>
      </c>
      <c r="L3200">
        <v>212.72929999999999</v>
      </c>
      <c r="M3200">
        <v>0.99992899999999996</v>
      </c>
      <c r="N3200">
        <v>0</v>
      </c>
      <c r="O3200">
        <v>-4.3519079999999998E-3</v>
      </c>
      <c r="P3200">
        <v>0.99833729999999998</v>
      </c>
      <c r="Q3200">
        <v>-9.1581389999999992E-3</v>
      </c>
      <c r="R3200">
        <v>-5.6914310000000003E-2</v>
      </c>
      <c r="S3200">
        <v>2.9901119999999999</v>
      </c>
      <c r="T3200">
        <v>-0.1082487</v>
      </c>
      <c r="U3200">
        <v>-0.2421112</v>
      </c>
      <c r="V3200">
        <v>5.2568240000000002E-2</v>
      </c>
      <c r="W3200">
        <v>1.9415050000000001E-3</v>
      </c>
      <c r="X3200">
        <v>0.99861540000000004</v>
      </c>
      <c r="Y3200">
        <v>7.6320890000000002E-2</v>
      </c>
      <c r="Z3200">
        <v>-1.221544E-3</v>
      </c>
      <c r="AA3200">
        <v>0.99708249999999998</v>
      </c>
      <c r="AB3200">
        <v>32</v>
      </c>
      <c r="AC3200">
        <v>30.018999999999998</v>
      </c>
      <c r="AD3200">
        <v>-1.1097996568713999</v>
      </c>
      <c r="AE3200">
        <v>-2.4796</v>
      </c>
      <c r="AF3200">
        <v>2.3457441757541799</v>
      </c>
      <c r="AG3200">
        <v>-1.1097996568713999</v>
      </c>
      <c r="AH3200">
        <v>29.988797204314501</v>
      </c>
      <c r="AI3200">
        <v>92.112937600175499</v>
      </c>
      <c r="AJ3200">
        <v>85.527392050354905</v>
      </c>
      <c r="AK3200">
        <v>30.100865914089201</v>
      </c>
      <c r="AL3200">
        <v>89.888759882505596</v>
      </c>
      <c r="AM3200">
        <v>86.986666949663103</v>
      </c>
      <c r="AN3200">
        <v>0.99999995320776003</v>
      </c>
    </row>
    <row r="3201" spans="1:40" x14ac:dyDescent="0.25">
      <c r="A3201" t="str">
        <f>"20190312161026874"</f>
        <v>20190312161026874</v>
      </c>
      <c r="B3201" t="str">
        <f>"1552378226869666"</f>
        <v>1552378226869666</v>
      </c>
      <c r="C3201" t="s">
        <v>40</v>
      </c>
      <c r="D3201">
        <v>5.7088380000000001</v>
      </c>
      <c r="E3201">
        <v>0.45668760000000003</v>
      </c>
      <c r="F3201" t="s">
        <v>61</v>
      </c>
      <c r="G3201">
        <v>-331.05939999999998</v>
      </c>
      <c r="H3201" s="1">
        <v>-7.769457E-7</v>
      </c>
      <c r="I3201">
        <v>210.13050000000001</v>
      </c>
      <c r="J3201">
        <v>-362.56799999999998</v>
      </c>
      <c r="K3201">
        <v>1.109796</v>
      </c>
      <c r="L3201">
        <v>212.7269</v>
      </c>
      <c r="M3201">
        <v>0.99992999999999999</v>
      </c>
      <c r="N3201">
        <v>0</v>
      </c>
      <c r="O3201">
        <v>-4.0813239999999999E-3</v>
      </c>
      <c r="P3201">
        <v>0.9983554</v>
      </c>
      <c r="Q3201">
        <v>-9.4142429999999992E-3</v>
      </c>
      <c r="R3201">
        <v>-5.6551249999999997E-2</v>
      </c>
      <c r="S3201">
        <v>2.990265</v>
      </c>
      <c r="T3201">
        <v>-0.1032749</v>
      </c>
      <c r="U3201">
        <v>-0.24183650000000001</v>
      </c>
      <c r="V3201">
        <v>5.2475380000000002E-2</v>
      </c>
      <c r="W3201">
        <v>1.6878279999999999E-3</v>
      </c>
      <c r="X3201">
        <v>0.99862079999999998</v>
      </c>
      <c r="Y3201">
        <v>7.6499570000000003E-2</v>
      </c>
      <c r="Z3201">
        <v>-1.1778030000000001E-3</v>
      </c>
      <c r="AA3201">
        <v>0.99706890000000004</v>
      </c>
      <c r="AB3201">
        <v>32</v>
      </c>
      <c r="AC3201">
        <v>31.508600000000001</v>
      </c>
      <c r="AD3201">
        <v>-1.1097967769457</v>
      </c>
      <c r="AE3201">
        <v>-2.5963999999999801</v>
      </c>
      <c r="AF3201">
        <v>2.4647365284862199</v>
      </c>
      <c r="AG3201">
        <v>-1.1097967769457</v>
      </c>
      <c r="AH3201">
        <v>31.480144353646399</v>
      </c>
      <c r="AI3201">
        <v>92.012906390052194</v>
      </c>
      <c r="AJ3201">
        <v>85.523162358248996</v>
      </c>
      <c r="AK3201">
        <v>31.595981762992999</v>
      </c>
      <c r="AL3201">
        <v>89.903294533936801</v>
      </c>
      <c r="AM3201">
        <v>86.991996351319202</v>
      </c>
      <c r="AN3201">
        <v>1.00000000823107</v>
      </c>
    </row>
    <row r="3202" spans="1:40" x14ac:dyDescent="0.25">
      <c r="A3202" t="str">
        <f>"20190312161026896"</f>
        <v>20190312161026896</v>
      </c>
      <c r="B3202" t="str">
        <f>"1552378226889186"</f>
        <v>1552378226889186</v>
      </c>
      <c r="C3202" t="s">
        <v>40</v>
      </c>
      <c r="D3202">
        <v>5.789663</v>
      </c>
      <c r="E3202">
        <v>0.43585679999999999</v>
      </c>
      <c r="F3202" t="s">
        <v>61</v>
      </c>
      <c r="G3202">
        <v>-336.33670000000001</v>
      </c>
      <c r="H3202" s="1">
        <v>1.849867E-6</v>
      </c>
      <c r="I3202">
        <v>214.28319999999999</v>
      </c>
      <c r="J3202">
        <v>-362.23970000000003</v>
      </c>
      <c r="K3202">
        <v>1.1097919999999999</v>
      </c>
      <c r="L3202">
        <v>212.72559999999999</v>
      </c>
      <c r="M3202">
        <v>0.99993069999999895</v>
      </c>
      <c r="N3202">
        <v>0</v>
      </c>
      <c r="O3202">
        <v>-3.9395979999999999E-3</v>
      </c>
      <c r="P3202">
        <v>0.99836829999999999</v>
      </c>
      <c r="Q3202">
        <v>-9.1300760000000009E-3</v>
      </c>
      <c r="R3202">
        <v>-5.6373449999999999E-2</v>
      </c>
      <c r="S3202">
        <v>3.013855</v>
      </c>
      <c r="T3202">
        <v>-0.1275105</v>
      </c>
      <c r="U3202">
        <v>0.1788177</v>
      </c>
      <c r="V3202">
        <v>5.2439119999999999E-2</v>
      </c>
      <c r="W3202">
        <v>1.9744070000000001E-3</v>
      </c>
      <c r="X3202">
        <v>0.99862220000000002</v>
      </c>
      <c r="Y3202">
        <v>-6.3100459999999997E-2</v>
      </c>
      <c r="Z3202">
        <v>1.499535E-3</v>
      </c>
      <c r="AA3202">
        <v>0.99800599999999995</v>
      </c>
      <c r="AB3202">
        <v>32</v>
      </c>
      <c r="AC3202">
        <v>25.902999999999999</v>
      </c>
      <c r="AD3202">
        <v>-1.1097901501330001</v>
      </c>
      <c r="AE3202">
        <v>1.5576000000000001</v>
      </c>
      <c r="AF3202">
        <v>-1.6566116530987001</v>
      </c>
      <c r="AG3202">
        <v>-1.1097901501330001</v>
      </c>
      <c r="AH3202">
        <v>25.8493837020517</v>
      </c>
      <c r="AI3202">
        <v>92.453340007280403</v>
      </c>
      <c r="AJ3202">
        <v>93.666904802552196</v>
      </c>
      <c r="AK3202">
        <v>25.926176619825998</v>
      </c>
      <c r="AL3202">
        <v>89.886874741636007</v>
      </c>
      <c r="AM3202">
        <v>86.994075247135598</v>
      </c>
      <c r="AN3202">
        <v>1.0000000289611</v>
      </c>
    </row>
    <row r="3203" spans="1:40" x14ac:dyDescent="0.25">
      <c r="A3203" t="str">
        <f>"20190312161026918"</f>
        <v>20190312161026918</v>
      </c>
      <c r="B3203" t="str">
        <f>"1552378226909682"</f>
        <v>1552378226909682</v>
      </c>
      <c r="C3203" t="s">
        <v>40</v>
      </c>
      <c r="D3203">
        <v>5.6590499999999997</v>
      </c>
      <c r="E3203">
        <v>0.42824479999999998</v>
      </c>
      <c r="F3203" t="s">
        <v>61</v>
      </c>
      <c r="G3203">
        <v>-334.64960000000002</v>
      </c>
      <c r="H3203" s="1">
        <v>8.8242219999999902E-7</v>
      </c>
      <c r="I3203">
        <v>215.87610000000001</v>
      </c>
      <c r="J3203">
        <v>-361.9194</v>
      </c>
      <c r="K3203">
        <v>1.1097969999999999</v>
      </c>
      <c r="L3203">
        <v>212.72450000000001</v>
      </c>
      <c r="M3203">
        <v>0.99993120000000002</v>
      </c>
      <c r="N3203">
        <v>0</v>
      </c>
      <c r="O3203">
        <v>-3.8009720000000001E-3</v>
      </c>
      <c r="P3203">
        <v>0.99832900000000002</v>
      </c>
      <c r="Q3203">
        <v>-9.5642850000000005E-3</v>
      </c>
      <c r="R3203">
        <v>-5.6990600000000002E-2</v>
      </c>
      <c r="S3203">
        <v>3.0233150000000002</v>
      </c>
      <c r="T3203">
        <v>-0.1216105</v>
      </c>
      <c r="U3203">
        <v>0.34523009999999998</v>
      </c>
      <c r="V3203">
        <v>5.3195060000000002E-2</v>
      </c>
      <c r="W3203">
        <v>1.542393E-3</v>
      </c>
      <c r="X3203">
        <v>0.998583</v>
      </c>
      <c r="Y3203">
        <v>-0.11713129999999999</v>
      </c>
      <c r="Z3203">
        <v>2.4995400000000002E-3</v>
      </c>
      <c r="AA3203">
        <v>0.99311329999999998</v>
      </c>
      <c r="AB3203">
        <v>32</v>
      </c>
      <c r="AC3203">
        <v>27.269799999999901</v>
      </c>
      <c r="AD3203">
        <v>-1.1097961175777999</v>
      </c>
      <c r="AE3203">
        <v>3.1516000000000002</v>
      </c>
      <c r="AF3203">
        <v>-3.2499236626088899</v>
      </c>
      <c r="AG3203">
        <v>-1.1097961175777999</v>
      </c>
      <c r="AH3203">
        <v>27.2131457543476</v>
      </c>
      <c r="AI3203">
        <v>92.318861122368503</v>
      </c>
      <c r="AJ3203">
        <v>96.810280794502901</v>
      </c>
      <c r="AK3203">
        <v>27.4289801684777</v>
      </c>
      <c r="AL3203">
        <v>89.911627360184895</v>
      </c>
      <c r="AM3203">
        <v>86.950704836289106</v>
      </c>
      <c r="AN3203">
        <v>1.0000000506367801</v>
      </c>
    </row>
    <row r="3204" spans="1:40" x14ac:dyDescent="0.25">
      <c r="A3204" t="str">
        <f>"20190312161026940"</f>
        <v>20190312161026940</v>
      </c>
      <c r="B3204" t="str">
        <f>"1552378226929202"</f>
        <v>1552378226929202</v>
      </c>
      <c r="C3204" t="s">
        <v>40</v>
      </c>
      <c r="D3204">
        <v>5.6053629999999997</v>
      </c>
      <c r="E3204">
        <v>0.42507689999999998</v>
      </c>
      <c r="F3204" t="s">
        <v>61</v>
      </c>
      <c r="G3204">
        <v>-332.57319999999999</v>
      </c>
      <c r="H3204" s="1">
        <v>-2.5596010000000002E-7</v>
      </c>
      <c r="I3204">
        <v>216.6403</v>
      </c>
      <c r="J3204">
        <v>-361.60149999999999</v>
      </c>
      <c r="K3204">
        <v>1.109796</v>
      </c>
      <c r="L3204">
        <v>212.7235</v>
      </c>
      <c r="M3204">
        <v>0.99993160000000003</v>
      </c>
      <c r="N3204">
        <v>0</v>
      </c>
      <c r="O3204">
        <v>-3.662939E-3</v>
      </c>
      <c r="P3204">
        <v>0.99830909999999995</v>
      </c>
      <c r="Q3204">
        <v>-9.6660770000000003E-3</v>
      </c>
      <c r="R3204">
        <v>-5.7320410000000002E-2</v>
      </c>
      <c r="S3204">
        <v>3.0269780000000002</v>
      </c>
      <c r="T3204">
        <v>-0.1144723</v>
      </c>
      <c r="U3204">
        <v>0.40390009999999998</v>
      </c>
      <c r="V3204">
        <v>5.3662580000000001E-2</v>
      </c>
      <c r="W3204">
        <v>1.4436879999999901E-3</v>
      </c>
      <c r="X3204">
        <v>0.9985581</v>
      </c>
      <c r="Y3204">
        <v>-0.13579340000000001</v>
      </c>
      <c r="Z3204">
        <v>2.6933230000000001E-3</v>
      </c>
      <c r="AA3204">
        <v>0.99073350000000004</v>
      </c>
      <c r="AB3204">
        <v>32</v>
      </c>
      <c r="AC3204">
        <v>29.028300000000002</v>
      </c>
      <c r="AD3204">
        <v>-1.1097962559601</v>
      </c>
      <c r="AE3204">
        <v>3.9167999999999901</v>
      </c>
      <c r="AF3204">
        <v>-4.0173422199574897</v>
      </c>
      <c r="AG3204">
        <v>-1.1097962559601</v>
      </c>
      <c r="AH3204">
        <v>28.972167388175901</v>
      </c>
      <c r="AI3204">
        <v>92.172906923454093</v>
      </c>
      <c r="AJ3204">
        <v>97.894415434118102</v>
      </c>
      <c r="AK3204">
        <v>29.270414575309299</v>
      </c>
      <c r="AL3204">
        <v>89.917282743413296</v>
      </c>
      <c r="AM3204">
        <v>86.923879919991293</v>
      </c>
      <c r="AN3204">
        <v>1.0000000179014501</v>
      </c>
    </row>
    <row r="3205" spans="1:40" x14ac:dyDescent="0.25">
      <c r="A3205" t="str">
        <f>"20190312161026961"</f>
        <v>20190312161026961</v>
      </c>
      <c r="B3205" t="str">
        <f>"1552378226949229"</f>
        <v>1552378226949229</v>
      </c>
      <c r="C3205" t="s">
        <v>40</v>
      </c>
      <c r="D3205">
        <v>5.6290800000000001</v>
      </c>
      <c r="E3205">
        <v>0.42394549999999998</v>
      </c>
      <c r="F3205" t="s">
        <v>61</v>
      </c>
      <c r="G3205">
        <v>-333.20310000000001</v>
      </c>
      <c r="H3205" s="1">
        <v>7.5006899999999999E-8</v>
      </c>
      <c r="I3205">
        <v>216.73820000000001</v>
      </c>
      <c r="J3205">
        <v>-361.29480000000001</v>
      </c>
      <c r="K3205">
        <v>1.1097950000000001</v>
      </c>
      <c r="L3205">
        <v>212.7225</v>
      </c>
      <c r="M3205">
        <v>0.99993220000000005</v>
      </c>
      <c r="N3205">
        <v>0</v>
      </c>
      <c r="O3205">
        <v>-3.5276410000000002E-3</v>
      </c>
      <c r="P3205">
        <v>0.99833349999999998</v>
      </c>
      <c r="Q3205">
        <v>-9.9844449999999998E-3</v>
      </c>
      <c r="R3205">
        <v>-5.6843200000000003E-2</v>
      </c>
      <c r="S3205">
        <v>3.0285340000000001</v>
      </c>
      <c r="T3205">
        <v>-0.1183536</v>
      </c>
      <c r="U3205">
        <v>0.42814639999999998</v>
      </c>
      <c r="V3205">
        <v>5.332042E-2</v>
      </c>
      <c r="W3205">
        <v>1.128499E-3</v>
      </c>
      <c r="X3205">
        <v>0.99857680000000004</v>
      </c>
      <c r="Y3205">
        <v>-0.143361299999999</v>
      </c>
      <c r="Z3205">
        <v>2.92348E-3</v>
      </c>
      <c r="AA3205">
        <v>0.98966609999999999</v>
      </c>
      <c r="AB3205">
        <v>32</v>
      </c>
      <c r="AC3205">
        <v>28.091699999999999</v>
      </c>
      <c r="AD3205">
        <v>-1.1097949249931001</v>
      </c>
      <c r="AE3205">
        <v>4.0157000000000096</v>
      </c>
      <c r="AF3205">
        <v>-4.1084946790664603</v>
      </c>
      <c r="AG3205">
        <v>-1.1097949249931001</v>
      </c>
      <c r="AH3205">
        <v>28.034480147348201</v>
      </c>
      <c r="AI3205">
        <v>92.243037561647895</v>
      </c>
      <c r="AJ3205">
        <v>98.337430989864501</v>
      </c>
      <c r="AK3205">
        <v>28.355659936519199</v>
      </c>
      <c r="AL3205">
        <v>89.935341755298595</v>
      </c>
      <c r="AM3205">
        <v>86.9435135055176</v>
      </c>
      <c r="AN3205">
        <v>0.99999998309860405</v>
      </c>
    </row>
    <row r="3206" spans="1:40" x14ac:dyDescent="0.25">
      <c r="A3206" t="str">
        <f>"20190312161026988"</f>
        <v>20190312161026988</v>
      </c>
      <c r="B3206" t="str">
        <f>"1552378226979485"</f>
        <v>1552378226979485</v>
      </c>
      <c r="C3206" t="s">
        <v>40</v>
      </c>
      <c r="D3206">
        <v>5.594665</v>
      </c>
      <c r="E3206">
        <v>0.42262919999999998</v>
      </c>
      <c r="F3206" t="s">
        <v>61</v>
      </c>
      <c r="G3206">
        <v>-333.69709999999998</v>
      </c>
      <c r="H3206" s="1">
        <v>3.387302E-7</v>
      </c>
      <c r="I3206">
        <v>216.7183</v>
      </c>
      <c r="J3206">
        <v>-360.9264</v>
      </c>
      <c r="K3206">
        <v>1.1097919999999999</v>
      </c>
      <c r="L3206">
        <v>212.72130000000001</v>
      </c>
      <c r="M3206">
        <v>0.9999325</v>
      </c>
      <c r="N3206">
        <v>0</v>
      </c>
      <c r="O3206">
        <v>-3.3576220000000002E-3</v>
      </c>
      <c r="P3206">
        <v>0.99833740000000004</v>
      </c>
      <c r="Q3206">
        <v>-1.040017E-2</v>
      </c>
      <c r="R3206">
        <v>-5.6696650000000001E-2</v>
      </c>
      <c r="S3206">
        <v>3.0287169999999999</v>
      </c>
      <c r="T3206">
        <v>-0.1217945</v>
      </c>
      <c r="U3206">
        <v>0.43852229999999998</v>
      </c>
      <c r="V3206">
        <v>5.3343849999999998E-2</v>
      </c>
      <c r="W3206">
        <v>7.1746500000000003E-4</v>
      </c>
      <c r="X3206">
        <v>0.99857589999999996</v>
      </c>
      <c r="Y3206">
        <v>-0.14649770000000001</v>
      </c>
      <c r="Z3206">
        <v>3.0634120000000002E-3</v>
      </c>
      <c r="AA3206">
        <v>0.98920629999999998</v>
      </c>
      <c r="AB3206">
        <v>32</v>
      </c>
      <c r="AC3206">
        <v>27.229299999999999</v>
      </c>
      <c r="AD3206">
        <v>-1.1097916612698</v>
      </c>
      <c r="AE3206">
        <v>3.9969999999999799</v>
      </c>
      <c r="AF3206">
        <v>-4.0817713874208001</v>
      </c>
      <c r="AG3206">
        <v>-1.1097916612698</v>
      </c>
      <c r="AH3206">
        <v>27.171541180480499</v>
      </c>
      <c r="AI3206">
        <v>92.312959254687698</v>
      </c>
      <c r="AJ3206">
        <v>98.543221734347796</v>
      </c>
      <c r="AK3206">
        <v>27.498820798593201</v>
      </c>
      <c r="AL3206">
        <v>89.958892278157506</v>
      </c>
      <c r="AM3206">
        <v>86.942170225147905</v>
      </c>
      <c r="AN3206">
        <v>0.99999995457482804</v>
      </c>
    </row>
    <row r="3207" spans="1:40" x14ac:dyDescent="0.25">
      <c r="A3207" t="str">
        <f>"20190312161027010"</f>
        <v>20190312161027010</v>
      </c>
      <c r="B3207" t="str">
        <f>"1552378226999005"</f>
        <v>1552378226999005</v>
      </c>
      <c r="C3207" t="s">
        <v>40</v>
      </c>
      <c r="D3207">
        <v>5.578074</v>
      </c>
      <c r="E3207">
        <v>0.42193330000000001</v>
      </c>
      <c r="F3207" t="s">
        <v>61</v>
      </c>
      <c r="G3207">
        <v>-333.10680000000002</v>
      </c>
      <c r="H3207" s="1">
        <v>1.887568E-8</v>
      </c>
      <c r="I3207">
        <v>216.84899999999999</v>
      </c>
      <c r="J3207">
        <v>-360.6046</v>
      </c>
      <c r="K3207">
        <v>1.109802</v>
      </c>
      <c r="L3207">
        <v>212.72040000000001</v>
      </c>
      <c r="M3207">
        <v>0.99993310000000002</v>
      </c>
      <c r="N3207">
        <v>0</v>
      </c>
      <c r="O3207">
        <v>-3.2012859999999998E-3</v>
      </c>
      <c r="P3207">
        <v>0.99835149999999995</v>
      </c>
      <c r="Q3207">
        <v>-1.067419E-2</v>
      </c>
      <c r="R3207">
        <v>-5.6395319999999999E-2</v>
      </c>
      <c r="S3207">
        <v>3.029236</v>
      </c>
      <c r="T3207">
        <v>-0.1208433</v>
      </c>
      <c r="U3207">
        <v>0.4494476</v>
      </c>
      <c r="V3207">
        <v>5.3198620000000002E-2</v>
      </c>
      <c r="W3207">
        <v>4.4805209999999998E-4</v>
      </c>
      <c r="X3207">
        <v>0.99858389999999997</v>
      </c>
      <c r="Y3207">
        <v>-0.14981029999999901</v>
      </c>
      <c r="Z3207">
        <v>3.0976910000000001E-3</v>
      </c>
      <c r="AA3207">
        <v>0.98870990000000003</v>
      </c>
      <c r="AB3207">
        <v>32</v>
      </c>
      <c r="AC3207">
        <v>27.497799999999899</v>
      </c>
      <c r="AD3207">
        <v>-1.10980198112432</v>
      </c>
      <c r="AE3207">
        <v>4.1285999999999996</v>
      </c>
      <c r="AF3207">
        <v>-4.2099062559987104</v>
      </c>
      <c r="AG3207">
        <v>-1.10980198112432</v>
      </c>
      <c r="AH3207">
        <v>27.440728577046499</v>
      </c>
      <c r="AI3207">
        <v>92.2892303967256</v>
      </c>
      <c r="AJ3207">
        <v>98.722205814212003</v>
      </c>
      <c r="AK3207">
        <v>27.783962207733101</v>
      </c>
      <c r="AL3207">
        <v>89.974328506083097</v>
      </c>
      <c r="AM3207">
        <v>86.950503895171906</v>
      </c>
      <c r="AN3207">
        <v>1.00000004962989</v>
      </c>
    </row>
    <row r="3208" spans="1:40" x14ac:dyDescent="0.25">
      <c r="A3208" t="str">
        <f>"20190312161027032"</f>
        <v>20190312161027032</v>
      </c>
      <c r="B3208" t="str">
        <f>"1552378227019500"</f>
        <v>1552378227019500</v>
      </c>
      <c r="C3208" t="s">
        <v>40</v>
      </c>
      <c r="D3208">
        <v>5.5790759999999997</v>
      </c>
      <c r="E3208">
        <v>0.42137069999999999</v>
      </c>
      <c r="F3208" t="s">
        <v>61</v>
      </c>
      <c r="G3208">
        <v>-332.85919999999999</v>
      </c>
      <c r="H3208" s="1">
        <v>-1.149939E-7</v>
      </c>
      <c r="I3208">
        <v>216.898</v>
      </c>
      <c r="J3208">
        <v>-360.2826</v>
      </c>
      <c r="K3208">
        <v>1.109815</v>
      </c>
      <c r="L3208">
        <v>212.71960000000001</v>
      </c>
      <c r="M3208">
        <v>0.99993350000000003</v>
      </c>
      <c r="N3208">
        <v>0</v>
      </c>
      <c r="O3208">
        <v>-3.0376650000000002E-3</v>
      </c>
      <c r="P3208">
        <v>0.9983476</v>
      </c>
      <c r="Q3208">
        <v>-9.5280750000000004E-3</v>
      </c>
      <c r="R3208">
        <v>-5.6671899999999997E-2</v>
      </c>
      <c r="S3208">
        <v>3.0294189999999999</v>
      </c>
      <c r="T3208">
        <v>-0.12117550000000001</v>
      </c>
      <c r="U3208">
        <v>0.45613100000000001</v>
      </c>
      <c r="V3208">
        <v>5.3638119999999997E-2</v>
      </c>
      <c r="W3208">
        <v>1.5991359999999999E-3</v>
      </c>
      <c r="X3208">
        <v>0.99855919999999998</v>
      </c>
      <c r="Y3208">
        <v>-0.1517712</v>
      </c>
      <c r="Z3208">
        <v>3.1379860000000002E-3</v>
      </c>
      <c r="AA3208">
        <v>0.98841069999999998</v>
      </c>
      <c r="AB3208">
        <v>32</v>
      </c>
      <c r="AC3208">
        <v>27.423400000000001</v>
      </c>
      <c r="AD3208">
        <v>-1.1098151149939</v>
      </c>
      <c r="AE3208">
        <v>4.1783999999999804</v>
      </c>
      <c r="AF3208">
        <v>-4.2548784816968404</v>
      </c>
      <c r="AG3208">
        <v>-1.1098151149939</v>
      </c>
      <c r="AH3208">
        <v>27.366775949976699</v>
      </c>
      <c r="AI3208">
        <v>92.294725359504099</v>
      </c>
      <c r="AJ3208">
        <v>98.837367320118204</v>
      </c>
      <c r="AK3208">
        <v>27.717794038842602</v>
      </c>
      <c r="AL3208">
        <v>89.908376220995294</v>
      </c>
      <c r="AM3208">
        <v>86.925282739277606</v>
      </c>
      <c r="AN3208">
        <v>1.0000000405288501</v>
      </c>
    </row>
    <row r="3209" spans="1:40" x14ac:dyDescent="0.25">
      <c r="A3209" t="str">
        <f>"20190312161027055"</f>
        <v>20190312161027055</v>
      </c>
      <c r="B3209" t="str">
        <f>"1552378227049288"</f>
        <v>1552378227049288</v>
      </c>
      <c r="C3209" t="s">
        <v>40</v>
      </c>
      <c r="D3209">
        <v>5.5568150000000003</v>
      </c>
      <c r="E3209">
        <v>0.42071829999999999</v>
      </c>
      <c r="F3209" t="s">
        <v>61</v>
      </c>
      <c r="G3209">
        <v>-331.72629999999998</v>
      </c>
      <c r="H3209" s="1">
        <v>-7.2463349999999999E-7</v>
      </c>
      <c r="I3209">
        <v>217.0521</v>
      </c>
      <c r="J3209">
        <v>-359.95800000000003</v>
      </c>
      <c r="K3209">
        <v>1.1098170000000001</v>
      </c>
      <c r="L3209">
        <v>212.71879999999999</v>
      </c>
      <c r="M3209">
        <v>0.99993410000000005</v>
      </c>
      <c r="N3209">
        <v>0</v>
      </c>
      <c r="O3209">
        <v>-2.8624660000000001E-3</v>
      </c>
      <c r="P3209">
        <v>0.99836029999999998</v>
      </c>
      <c r="Q3209">
        <v>-9.7882360000000005E-3</v>
      </c>
      <c r="R3209">
        <v>-5.6402019999999997E-2</v>
      </c>
      <c r="S3209">
        <v>3.029938</v>
      </c>
      <c r="T3209">
        <v>-0.11775579999999999</v>
      </c>
      <c r="U3209">
        <v>0.45970149999999999</v>
      </c>
      <c r="V3209">
        <v>5.3543319999999998E-2</v>
      </c>
      <c r="W3209">
        <v>1.343552E-3</v>
      </c>
      <c r="X3209">
        <v>0.99856460000000002</v>
      </c>
      <c r="Y3209">
        <v>-0.15271799999999999</v>
      </c>
      <c r="Z3209">
        <v>3.0602300000000002E-3</v>
      </c>
      <c r="AA3209">
        <v>0.98826510000000001</v>
      </c>
      <c r="AB3209">
        <v>32</v>
      </c>
      <c r="AC3209">
        <v>28.2317</v>
      </c>
      <c r="AD3209">
        <v>-1.1098177246334999</v>
      </c>
      <c r="AE3209">
        <v>4.3333000000000004</v>
      </c>
      <c r="AF3209">
        <v>-4.4074452092615797</v>
      </c>
      <c r="AG3209">
        <v>-1.1098177246334999</v>
      </c>
      <c r="AH3209">
        <v>28.176638858000999</v>
      </c>
      <c r="AI3209">
        <v>92.2285216589583</v>
      </c>
      <c r="AJ3209">
        <v>98.890276935256793</v>
      </c>
      <c r="AK3209">
        <v>28.540852229545699</v>
      </c>
      <c r="AL3209">
        <v>89.923020115860197</v>
      </c>
      <c r="AM3209">
        <v>86.930723160536402</v>
      </c>
      <c r="AN3209">
        <v>0.999999976310879</v>
      </c>
    </row>
    <row r="3210" spans="1:40" x14ac:dyDescent="0.25">
      <c r="A3210" t="str">
        <f>"20190312161027073"</f>
        <v>20190312161027073</v>
      </c>
      <c r="B3210" t="str">
        <f>"1552378227069784"</f>
        <v>1552378227069784</v>
      </c>
      <c r="C3210" t="s">
        <v>40</v>
      </c>
      <c r="D3210">
        <v>5.5677909999999997</v>
      </c>
      <c r="E3210">
        <v>0.42037200000000002</v>
      </c>
      <c r="F3210" t="s">
        <v>61</v>
      </c>
      <c r="G3210">
        <v>-331.51499999999999</v>
      </c>
      <c r="H3210" s="1">
        <v>-8.3865590000000002E-7</v>
      </c>
      <c r="I3210">
        <v>217.08920000000001</v>
      </c>
      <c r="J3210">
        <v>-359.68549999999999</v>
      </c>
      <c r="K3210">
        <v>1.1098209999999999</v>
      </c>
      <c r="L3210">
        <v>212.7182</v>
      </c>
      <c r="M3210">
        <v>0.9999344</v>
      </c>
      <c r="N3210">
        <v>0</v>
      </c>
      <c r="O3210">
        <v>-2.705748E-3</v>
      </c>
      <c r="P3210">
        <v>0.99835799999999997</v>
      </c>
      <c r="Q3210">
        <v>-1.0056280000000001E-2</v>
      </c>
      <c r="R3210">
        <v>-5.6397740000000002E-2</v>
      </c>
      <c r="S3210">
        <v>3.0300600000000002</v>
      </c>
      <c r="T3210">
        <v>-0.1182301</v>
      </c>
      <c r="U3210">
        <v>0.46559139999999999</v>
      </c>
      <c r="V3210">
        <v>5.3695569999999998E-2</v>
      </c>
      <c r="W3210">
        <v>1.079862E-3</v>
      </c>
      <c r="X3210">
        <v>0.99855680000000002</v>
      </c>
      <c r="Y3210">
        <v>-0.15443219999999999</v>
      </c>
      <c r="Z3210">
        <v>3.0991360000000002E-3</v>
      </c>
      <c r="AA3210">
        <v>0.9879985</v>
      </c>
      <c r="AB3210">
        <v>32</v>
      </c>
      <c r="AC3210">
        <v>28.170500000000001</v>
      </c>
      <c r="AD3210">
        <v>-1.1098218386559</v>
      </c>
      <c r="AE3210">
        <v>4.3710000000000004</v>
      </c>
      <c r="AF3210">
        <v>-4.4404809860913801</v>
      </c>
      <c r="AG3210">
        <v>-1.1098218386559</v>
      </c>
      <c r="AH3210">
        <v>28.115956677039598</v>
      </c>
      <c r="AI3210">
        <v>92.232817264318797</v>
      </c>
      <c r="AJ3210">
        <v>98.974852281040995</v>
      </c>
      <c r="AK3210">
        <v>28.4860772267184</v>
      </c>
      <c r="AL3210">
        <v>89.938128454872697</v>
      </c>
      <c r="AM3210">
        <v>86.921988457674999</v>
      </c>
      <c r="AN3210">
        <v>1.0000000315829001</v>
      </c>
    </row>
    <row r="3211" spans="1:40" x14ac:dyDescent="0.25">
      <c r="A3211" t="str">
        <f>"20190312161027098"</f>
        <v>20190312161027098</v>
      </c>
      <c r="B3211" t="str">
        <f>"1552378227089304"</f>
        <v>1552378227089304</v>
      </c>
      <c r="C3211" t="s">
        <v>40</v>
      </c>
      <c r="D3211">
        <v>5.5592819999999996</v>
      </c>
      <c r="E3211">
        <v>0.42001719999999998</v>
      </c>
      <c r="F3211" t="s">
        <v>61</v>
      </c>
      <c r="G3211">
        <v>-331.37520000000001</v>
      </c>
      <c r="H3211" s="1">
        <v>-9.1326370000000004E-7</v>
      </c>
      <c r="I3211">
        <v>217.09389999999999</v>
      </c>
      <c r="J3211">
        <v>-359.33710000000002</v>
      </c>
      <c r="K3211">
        <v>1.109834</v>
      </c>
      <c r="L3211">
        <v>212.7174</v>
      </c>
      <c r="M3211">
        <v>0.99993500000000002</v>
      </c>
      <c r="N3211">
        <v>0</v>
      </c>
      <c r="O3211">
        <v>-2.4930909999999998E-3</v>
      </c>
      <c r="P3211">
        <v>0.99837260000000005</v>
      </c>
      <c r="Q3211">
        <v>-9.9651740000000003E-3</v>
      </c>
      <c r="R3211">
        <v>-5.6155549999999999E-2</v>
      </c>
      <c r="S3211">
        <v>3.0301819999999999</v>
      </c>
      <c r="T3211">
        <v>-0.1187896</v>
      </c>
      <c r="U3211">
        <v>0.46835329999999997</v>
      </c>
      <c r="V3211">
        <v>5.3665579999999997E-2</v>
      </c>
      <c r="W3211">
        <v>1.176182E-3</v>
      </c>
      <c r="X3211">
        <v>0.99855830000000001</v>
      </c>
      <c r="Y3211">
        <v>-0.15509429999999999</v>
      </c>
      <c r="Z3211">
        <v>3.1180610000000001E-3</v>
      </c>
      <c r="AA3211">
        <v>0.98789479999999996</v>
      </c>
      <c r="AB3211">
        <v>32</v>
      </c>
      <c r="AC3211">
        <v>27.9619</v>
      </c>
      <c r="AD3211">
        <v>-1.1098349132637</v>
      </c>
      <c r="AE3211">
        <v>4.3764999999999903</v>
      </c>
      <c r="AF3211">
        <v>-4.4393758306083804</v>
      </c>
      <c r="AG3211">
        <v>-1.1098349132637</v>
      </c>
      <c r="AH3211">
        <v>27.907987199361099</v>
      </c>
      <c r="AI3211">
        <v>92.249070464167701</v>
      </c>
      <c r="AJ3211">
        <v>99.038419106696594</v>
      </c>
      <c r="AK3211">
        <v>28.280656654678101</v>
      </c>
      <c r="AL3211">
        <v>89.932609721822402</v>
      </c>
      <c r="AM3211">
        <v>86.923708895136301</v>
      </c>
      <c r="AN3211">
        <v>1.00000002818986</v>
      </c>
    </row>
    <row r="3212" spans="1:40" x14ac:dyDescent="0.25">
      <c r="A3212" t="str">
        <f>"20190312161027120"</f>
        <v>20190312161027120</v>
      </c>
      <c r="B3212" t="str">
        <f>"1552378227109804"</f>
        <v>1552378227109804</v>
      </c>
      <c r="C3212" t="s">
        <v>40</v>
      </c>
      <c r="D3212">
        <v>5.529242</v>
      </c>
      <c r="E3212">
        <v>0.41969400000000001</v>
      </c>
      <c r="F3212" t="s">
        <v>61</v>
      </c>
      <c r="G3212">
        <v>-330.91820000000001</v>
      </c>
      <c r="H3212" s="1">
        <v>-1.158561E-6</v>
      </c>
      <c r="I3212">
        <v>217.1412</v>
      </c>
      <c r="J3212">
        <v>-359.00689999999997</v>
      </c>
      <c r="K3212">
        <v>1.1098410000000001</v>
      </c>
      <c r="L3212">
        <v>212.71680000000001</v>
      </c>
      <c r="M3212">
        <v>0.99993540000000003</v>
      </c>
      <c r="N3212">
        <v>0</v>
      </c>
      <c r="O3212">
        <v>-2.28057E-3</v>
      </c>
      <c r="P3212">
        <v>0.99840589999999996</v>
      </c>
      <c r="Q3212">
        <v>-1.015221E-2</v>
      </c>
      <c r="R3212">
        <v>-5.552145E-2</v>
      </c>
      <c r="S3212">
        <v>3.030243</v>
      </c>
      <c r="T3212">
        <v>-0.118338899999999</v>
      </c>
      <c r="U3212">
        <v>0.47169489999999997</v>
      </c>
      <c r="V3212">
        <v>5.324388E-2</v>
      </c>
      <c r="W3212">
        <v>9.945074999999999E-4</v>
      </c>
      <c r="X3212">
        <v>0.9985811</v>
      </c>
      <c r="Y3212">
        <v>-0.15594549999999999</v>
      </c>
      <c r="Z3212">
        <v>3.1141879999999999E-3</v>
      </c>
      <c r="AA3212">
        <v>0.98776070000000005</v>
      </c>
      <c r="AB3212">
        <v>32</v>
      </c>
      <c r="AC3212">
        <v>28.0886999999999</v>
      </c>
      <c r="AD3212">
        <v>-1.1098421585609901</v>
      </c>
      <c r="AE3212">
        <v>4.4243999999999897</v>
      </c>
      <c r="AF3212">
        <v>-4.4816233842492901</v>
      </c>
      <c r="AG3212">
        <v>-1.1098421585609901</v>
      </c>
      <c r="AH3212">
        <v>28.035826251520799</v>
      </c>
      <c r="AI3212">
        <v>92.238568292834998</v>
      </c>
      <c r="AJ3212">
        <v>99.082089297023103</v>
      </c>
      <c r="AK3212">
        <v>28.413451944116701</v>
      </c>
      <c r="AL3212">
        <v>89.943018911384797</v>
      </c>
      <c r="AM3212">
        <v>86.947905824602998</v>
      </c>
      <c r="AN3212">
        <v>1.0000000565399101</v>
      </c>
    </row>
    <row r="3213" spans="1:40" x14ac:dyDescent="0.25">
      <c r="A3213" t="str">
        <f>"20190312161027142"</f>
        <v>20190312161027142</v>
      </c>
      <c r="B3213" t="str">
        <f>"1552378227139079"</f>
        <v>1552378227139079</v>
      </c>
      <c r="C3213" t="s">
        <v>40</v>
      </c>
      <c r="D3213">
        <v>5.5362640000000001</v>
      </c>
      <c r="E3213">
        <v>0.41927049999999999</v>
      </c>
      <c r="F3213" t="s">
        <v>61</v>
      </c>
      <c r="G3213">
        <v>-330.7704</v>
      </c>
      <c r="H3213" s="1">
        <v>-1.2378569999999999E-6</v>
      </c>
      <c r="I3213">
        <v>217.15639999999999</v>
      </c>
      <c r="J3213">
        <v>-358.69499999999999</v>
      </c>
      <c r="K3213">
        <v>1.1098589999999999</v>
      </c>
      <c r="L3213">
        <v>212.71629999999999</v>
      </c>
      <c r="M3213">
        <v>0.99993540000000003</v>
      </c>
      <c r="N3213">
        <v>0</v>
      </c>
      <c r="O3213">
        <v>-2.0672160000000002E-3</v>
      </c>
      <c r="P3213">
        <v>0.99844509999999997</v>
      </c>
      <c r="Q3213">
        <v>-1.040376E-2</v>
      </c>
      <c r="R3213">
        <v>-5.4768810000000001E-2</v>
      </c>
      <c r="S3213">
        <v>3.0300600000000002</v>
      </c>
      <c r="T3213">
        <v>-0.1190972</v>
      </c>
      <c r="U3213">
        <v>0.4764099</v>
      </c>
      <c r="V3213">
        <v>5.2704180000000003E-2</v>
      </c>
      <c r="W3213">
        <v>7.9328220000000004E-4</v>
      </c>
      <c r="X3213">
        <v>0.99860979999999999</v>
      </c>
      <c r="Y3213">
        <v>-0.15724170000000001</v>
      </c>
      <c r="Z3213">
        <v>3.1509149999999998E-3</v>
      </c>
      <c r="AA3213">
        <v>0.98755510000000002</v>
      </c>
      <c r="AB3213">
        <v>32</v>
      </c>
      <c r="AC3213">
        <v>27.924600000000002</v>
      </c>
      <c r="AD3213">
        <v>-1.1098602378569999</v>
      </c>
      <c r="AE3213">
        <v>4.4401000000000002</v>
      </c>
      <c r="AF3213">
        <v>-4.4909011463660198</v>
      </c>
      <c r="AG3213">
        <v>-1.1098602378569999</v>
      </c>
      <c r="AH3213">
        <v>27.872417949769901</v>
      </c>
      <c r="AI3213">
        <v>92.251268642989402</v>
      </c>
      <c r="AJ3213">
        <v>99.153030144586694</v>
      </c>
      <c r="AK3213">
        <v>28.253701796767501</v>
      </c>
      <c r="AL3213">
        <v>89.954548270767901</v>
      </c>
      <c r="AM3213">
        <v>86.9788720609465</v>
      </c>
      <c r="AN3213">
        <v>0.99999994627107902</v>
      </c>
    </row>
    <row r="3214" spans="1:40" x14ac:dyDescent="0.25">
      <c r="A3214" t="str">
        <f>"20190312161027163"</f>
        <v>20190312161027163</v>
      </c>
      <c r="B3214" t="str">
        <f>"1552378227159576"</f>
        <v>1552378227159576</v>
      </c>
      <c r="C3214" t="s">
        <v>40</v>
      </c>
      <c r="D3214">
        <v>5.5156589999999897</v>
      </c>
      <c r="E3214">
        <v>0.41902279999999997</v>
      </c>
      <c r="F3214" t="s">
        <v>61</v>
      </c>
      <c r="G3214">
        <v>-330.76150000000001</v>
      </c>
      <c r="H3214" s="1">
        <v>-1.242802E-6</v>
      </c>
      <c r="I3214">
        <v>217.16149999999999</v>
      </c>
      <c r="J3214">
        <v>-358.38709999999998</v>
      </c>
      <c r="K3214">
        <v>1.109883</v>
      </c>
      <c r="L3214">
        <v>212.7159</v>
      </c>
      <c r="M3214">
        <v>0.99993469999999995</v>
      </c>
      <c r="N3214">
        <v>0</v>
      </c>
      <c r="O3214">
        <v>-1.8566050000000001E-3</v>
      </c>
      <c r="P3214">
        <v>0.99845110000000004</v>
      </c>
      <c r="Q3214">
        <v>-1.1100499999999999E-2</v>
      </c>
      <c r="R3214">
        <v>-5.4520329999999999E-2</v>
      </c>
      <c r="S3214">
        <v>3.029846</v>
      </c>
      <c r="T3214">
        <v>-0.1203827</v>
      </c>
      <c r="U3214">
        <v>0.4821472</v>
      </c>
      <c r="V3214">
        <v>5.2666240000000003E-2</v>
      </c>
      <c r="W3214">
        <v>1.8769899999999999E-4</v>
      </c>
      <c r="X3214">
        <v>0.99861219999999995</v>
      </c>
      <c r="Y3214">
        <v>-0.158864899999999</v>
      </c>
      <c r="Z3214">
        <v>3.2083720000000001E-3</v>
      </c>
      <c r="AA3214">
        <v>0.98729509999999998</v>
      </c>
      <c r="AB3214">
        <v>32</v>
      </c>
      <c r="AC3214">
        <v>27.625599999999899</v>
      </c>
      <c r="AD3214">
        <v>-1.1098842428019999</v>
      </c>
      <c r="AE3214">
        <v>4.4455999999999802</v>
      </c>
      <c r="AF3214">
        <v>-4.4898213138317002</v>
      </c>
      <c r="AG3214">
        <v>-1.1098842428019999</v>
      </c>
      <c r="AH3214">
        <v>27.5739144020956</v>
      </c>
      <c r="AI3214">
        <v>92.275051900700205</v>
      </c>
      <c r="AJ3214">
        <v>99.248227168335703</v>
      </c>
      <c r="AK3214">
        <v>27.959096800802602</v>
      </c>
      <c r="AL3214">
        <v>89.989245639923695</v>
      </c>
      <c r="AM3214">
        <v>86.981050088885695</v>
      </c>
      <c r="AN3214">
        <v>1.0000000470277399</v>
      </c>
    </row>
    <row r="3215" spans="1:40" x14ac:dyDescent="0.25">
      <c r="A3215" t="str">
        <f>"20190312161027187"</f>
        <v>20190312161027187</v>
      </c>
      <c r="B3215" t="str">
        <f>"1552378227179097"</f>
        <v>1552378227179097</v>
      </c>
      <c r="C3215" t="s">
        <v>40</v>
      </c>
      <c r="D3215">
        <v>5.5104629999999997</v>
      </c>
      <c r="E3215">
        <v>0.4187669</v>
      </c>
      <c r="F3215" t="s">
        <v>61</v>
      </c>
      <c r="G3215">
        <v>-330.911</v>
      </c>
      <c r="H3215" s="1">
        <v>-1.161047E-6</v>
      </c>
      <c r="I3215">
        <v>217.11170000000001</v>
      </c>
      <c r="J3215">
        <v>-358.03800000000001</v>
      </c>
      <c r="K3215">
        <v>1.109907</v>
      </c>
      <c r="L3215">
        <v>212.71549999999999</v>
      </c>
      <c r="M3215">
        <v>0.99993399999999999</v>
      </c>
      <c r="N3215">
        <v>0</v>
      </c>
      <c r="O3215">
        <v>-1.6144499999999999E-3</v>
      </c>
      <c r="P3215">
        <v>0.99848119999999996</v>
      </c>
      <c r="Q3215">
        <v>-1.055682E-2</v>
      </c>
      <c r="R3215">
        <v>-5.4072849999999999E-2</v>
      </c>
      <c r="S3215">
        <v>3.029785</v>
      </c>
      <c r="T3215">
        <v>-0.12238690000000001</v>
      </c>
      <c r="U3215">
        <v>0.48472599999999999</v>
      </c>
      <c r="V3215">
        <v>5.2460279999999998E-2</v>
      </c>
      <c r="W3215">
        <v>8.2952169999999997E-4</v>
      </c>
      <c r="X3215">
        <v>0.99862269999999997</v>
      </c>
      <c r="Y3215">
        <v>-0.159443899999999</v>
      </c>
      <c r="Z3215">
        <v>3.2634909999999999E-3</v>
      </c>
      <c r="AA3215">
        <v>0.98720160000000001</v>
      </c>
      <c r="AB3215">
        <v>32</v>
      </c>
      <c r="AC3215">
        <v>27.126999999999999</v>
      </c>
      <c r="AD3215">
        <v>-1.1099081610470001</v>
      </c>
      <c r="AE3215">
        <v>4.3962000000000199</v>
      </c>
      <c r="AF3215">
        <v>-4.432761493438</v>
      </c>
      <c r="AG3215">
        <v>-1.1099081610470001</v>
      </c>
      <c r="AH3215">
        <v>27.075700399336299</v>
      </c>
      <c r="AI3215">
        <v>92.316592198912701</v>
      </c>
      <c r="AJ3215">
        <v>99.297826832205402</v>
      </c>
      <c r="AK3215">
        <v>27.458601980040601</v>
      </c>
      <c r="AL3215">
        <v>89.952471903694104</v>
      </c>
      <c r="AM3215">
        <v>86.992866038428502</v>
      </c>
      <c r="AN3215">
        <v>1.0000000330195999</v>
      </c>
    </row>
    <row r="3216" spans="1:40" x14ac:dyDescent="0.25">
      <c r="A3216" t="str">
        <f>"20190312161027211"</f>
        <v>20190312161027211</v>
      </c>
      <c r="B3216" t="str">
        <f>"1552378227199592"</f>
        <v>1552378227199592</v>
      </c>
      <c r="C3216" t="s">
        <v>40</v>
      </c>
      <c r="D3216">
        <v>5.5454999999999997</v>
      </c>
      <c r="E3216">
        <v>0.41936830000000003</v>
      </c>
      <c r="F3216" t="s">
        <v>61</v>
      </c>
      <c r="G3216">
        <v>-330.25310000000002</v>
      </c>
      <c r="H3216" s="1">
        <v>-1.514689E-6</v>
      </c>
      <c r="I3216">
        <v>217.1919</v>
      </c>
      <c r="J3216">
        <v>-357.70170000000002</v>
      </c>
      <c r="K3216">
        <v>1.1099270000000001</v>
      </c>
      <c r="L3216">
        <v>212.71530000000001</v>
      </c>
      <c r="M3216">
        <v>0.99993350000000003</v>
      </c>
      <c r="N3216">
        <v>0</v>
      </c>
      <c r="O3216">
        <v>-1.3770919999999999E-3</v>
      </c>
      <c r="P3216">
        <v>0.99852379999999996</v>
      </c>
      <c r="Q3216">
        <v>-1.079102E-2</v>
      </c>
      <c r="R3216">
        <v>-5.3237220000000002E-2</v>
      </c>
      <c r="S3216">
        <v>3.0297239999999999</v>
      </c>
      <c r="T3216">
        <v>-0.12102690000000001</v>
      </c>
      <c r="U3216">
        <v>0.48811339999999998</v>
      </c>
      <c r="V3216">
        <v>5.1861570000000003E-2</v>
      </c>
      <c r="W3216">
        <v>6.7264240000000002E-4</v>
      </c>
      <c r="X3216">
        <v>0.99865409999999999</v>
      </c>
      <c r="Y3216">
        <v>-0.16029099999999999</v>
      </c>
      <c r="Z3216">
        <v>3.2344209999999999E-3</v>
      </c>
      <c r="AA3216">
        <v>0.98706450000000001</v>
      </c>
      <c r="AB3216">
        <v>32</v>
      </c>
      <c r="AC3216">
        <v>27.448599999999999</v>
      </c>
      <c r="AD3216">
        <v>-1.1099285146889999</v>
      </c>
      <c r="AE3216">
        <v>4.4765999999999897</v>
      </c>
      <c r="AF3216">
        <v>-4.5072185845575001</v>
      </c>
      <c r="AG3216">
        <v>-1.1099285146889999</v>
      </c>
      <c r="AH3216">
        <v>27.398769344661101</v>
      </c>
      <c r="AI3216">
        <v>92.289059950829497</v>
      </c>
      <c r="AJ3216">
        <v>99.341740658334601</v>
      </c>
      <c r="AK3216">
        <v>27.789197942341598</v>
      </c>
      <c r="AL3216">
        <v>89.961460428115899</v>
      </c>
      <c r="AM3216">
        <v>87.027216747955805</v>
      </c>
      <c r="AN3216">
        <v>1.0000000431687299</v>
      </c>
    </row>
    <row r="3217" spans="1:40" x14ac:dyDescent="0.25">
      <c r="A3217" t="str">
        <f>"20190312161027254"</f>
        <v>20190312161027254</v>
      </c>
      <c r="B3217" t="str">
        <f>"1552378227239607"</f>
        <v>1552378227239607</v>
      </c>
      <c r="C3217" t="s">
        <v>40</v>
      </c>
      <c r="D3217">
        <v>5.435467</v>
      </c>
      <c r="E3217">
        <v>0.49392740000000002</v>
      </c>
      <c r="F3217" t="s">
        <v>61</v>
      </c>
      <c r="G3217">
        <v>-330.39510000000001</v>
      </c>
      <c r="H3217" s="1">
        <v>-1.434976E-6</v>
      </c>
      <c r="I3217">
        <v>217.09649999999999</v>
      </c>
      <c r="J3217">
        <v>-357.0797</v>
      </c>
      <c r="K3217">
        <v>1.109947</v>
      </c>
      <c r="L3217">
        <v>212.715</v>
      </c>
      <c r="M3217">
        <v>0.99993259999999995</v>
      </c>
      <c r="N3217">
        <v>0</v>
      </c>
      <c r="O3217">
        <v>-9.3405210000000003E-4</v>
      </c>
      <c r="P3217">
        <v>0.99854569999999998</v>
      </c>
      <c r="Q3217">
        <v>-1.017329E-2</v>
      </c>
      <c r="R3217">
        <v>-5.294745E-2</v>
      </c>
      <c r="S3217">
        <v>3.0290219999999999</v>
      </c>
      <c r="T3217">
        <v>-0.1231203</v>
      </c>
      <c r="U3217">
        <v>0.48599239999999999</v>
      </c>
      <c r="V3217">
        <v>5.2013799999999999E-2</v>
      </c>
      <c r="W3217">
        <v>1.4141239999999999E-3</v>
      </c>
      <c r="X3217">
        <v>0.99864540000000002</v>
      </c>
      <c r="Y3217">
        <v>-0.15921250000000001</v>
      </c>
      <c r="Z3217">
        <v>3.2515970000000002E-3</v>
      </c>
      <c r="AA3217">
        <v>0.98723899999999998</v>
      </c>
      <c r="AB3217">
        <v>32</v>
      </c>
      <c r="AC3217">
        <v>26.6845999999999</v>
      </c>
      <c r="AD3217">
        <v>-1.109948434976</v>
      </c>
      <c r="AE3217">
        <v>4.3814999999999804</v>
      </c>
      <c r="AF3217">
        <v>-4.3990134099509897</v>
      </c>
      <c r="AG3217">
        <v>-1.109948434976</v>
      </c>
      <c r="AH3217">
        <v>26.6356216767593</v>
      </c>
      <c r="AI3217">
        <v>92.354368495934395</v>
      </c>
      <c r="AJ3217">
        <v>99.378045665033696</v>
      </c>
      <c r="AK3217">
        <v>27.019245855809601</v>
      </c>
      <c r="AL3217">
        <v>89.918976638926395</v>
      </c>
      <c r="AM3217">
        <v>87.018480488894895</v>
      </c>
      <c r="AN3217">
        <v>1.00000003503914</v>
      </c>
    </row>
    <row r="3218" spans="1:40" x14ac:dyDescent="0.25">
      <c r="A3218" t="str">
        <f>"20190312161027276"</f>
        <v>20190312161027276</v>
      </c>
      <c r="B3218" t="str">
        <f>"1552378227269395"</f>
        <v>1552378227269395</v>
      </c>
      <c r="C3218" t="s">
        <v>40</v>
      </c>
      <c r="D3218">
        <v>5.3879830000000002</v>
      </c>
      <c r="E3218">
        <v>0.4977124</v>
      </c>
      <c r="F3218" t="s">
        <v>74</v>
      </c>
      <c r="G3218">
        <v>-302.5702</v>
      </c>
      <c r="H3218" s="1">
        <v>2.1973480000000002E-6</v>
      </c>
      <c r="I3218">
        <v>210.7277</v>
      </c>
      <c r="J3218">
        <v>-356.75940000000003</v>
      </c>
      <c r="K3218">
        <v>1.109947</v>
      </c>
      <c r="L3218">
        <v>212.715</v>
      </c>
      <c r="M3218">
        <v>0.99993209999999999</v>
      </c>
      <c r="N3218">
        <v>0</v>
      </c>
      <c r="O3218">
        <v>-7.0099959999999999E-4</v>
      </c>
      <c r="P3218">
        <v>0.99855700000000003</v>
      </c>
      <c r="Q3218">
        <v>-9.7198790000000007E-3</v>
      </c>
      <c r="R3218">
        <v>-5.2817179999999998E-2</v>
      </c>
      <c r="S3218">
        <v>2.9979550000000001</v>
      </c>
      <c r="T3218">
        <v>-6.104565E-2</v>
      </c>
      <c r="U3218">
        <v>-0.1092987</v>
      </c>
      <c r="V3218">
        <v>5.2116059999999999E-2</v>
      </c>
      <c r="W3218">
        <v>1.9229080000000001E-3</v>
      </c>
      <c r="X3218">
        <v>0.99863919999999995</v>
      </c>
      <c r="Y3218">
        <v>3.5725710000000001E-2</v>
      </c>
      <c r="Z3218">
        <v>-3.4930390000000001E-4</v>
      </c>
      <c r="AA3218">
        <v>0.99936159999999996</v>
      </c>
      <c r="AB3218">
        <v>32</v>
      </c>
      <c r="AC3218">
        <v>54.1892</v>
      </c>
      <c r="AD3218">
        <v>-1.109944802652</v>
      </c>
      <c r="AE3218">
        <v>-1.9873000000000001</v>
      </c>
      <c r="AF3218">
        <v>1.9484939534630701</v>
      </c>
      <c r="AG3218">
        <v>-1.109944802652</v>
      </c>
      <c r="AH3218">
        <v>54.167884599378702</v>
      </c>
      <c r="AI3218">
        <v>91.173115171335297</v>
      </c>
      <c r="AJ3218">
        <v>87.939879578814399</v>
      </c>
      <c r="AK3218">
        <v>54.214281588186999</v>
      </c>
      <c r="AL3218">
        <v>89.889825421132798</v>
      </c>
      <c r="AM3218">
        <v>87.012610865683598</v>
      </c>
      <c r="AN3218">
        <v>1.00000001653086</v>
      </c>
    </row>
    <row r="3219" spans="1:40" x14ac:dyDescent="0.25">
      <c r="A3219" t="str">
        <f>"20190312161027298"</f>
        <v>20190312161027298</v>
      </c>
      <c r="B3219" t="str">
        <f>"1552378227289890"</f>
        <v>1552378227289890</v>
      </c>
      <c r="C3219" t="s">
        <v>40</v>
      </c>
      <c r="D3219">
        <v>5.5426840000000004</v>
      </c>
      <c r="E3219">
        <v>0.49830269999999999</v>
      </c>
      <c r="F3219" t="s">
        <v>74</v>
      </c>
      <c r="G3219">
        <v>-297.14240000000001</v>
      </c>
      <c r="H3219" s="1">
        <v>2.1613540000000002E-6</v>
      </c>
      <c r="I3219">
        <v>209.94390000000001</v>
      </c>
      <c r="J3219">
        <v>-356.42959999999999</v>
      </c>
      <c r="K3219">
        <v>1.1099509999999999</v>
      </c>
      <c r="L3219">
        <v>212.715</v>
      </c>
      <c r="M3219">
        <v>0.99993169999999998</v>
      </c>
      <c r="N3219">
        <v>0</v>
      </c>
      <c r="O3219">
        <v>-4.619569E-4</v>
      </c>
      <c r="P3219">
        <v>0.99855510000000003</v>
      </c>
      <c r="Q3219">
        <v>-9.9268749999999999E-3</v>
      </c>
      <c r="R3219">
        <v>-5.2815470000000003E-2</v>
      </c>
      <c r="S3219">
        <v>2.9964599999999999</v>
      </c>
      <c r="T3219">
        <v>-5.5787919999999998E-2</v>
      </c>
      <c r="U3219">
        <v>-0.13928219999999999</v>
      </c>
      <c r="V3219">
        <v>5.2353469999999999E-2</v>
      </c>
      <c r="W3219">
        <v>1.76746E-3</v>
      </c>
      <c r="X3219">
        <v>0.99862709999999999</v>
      </c>
      <c r="Y3219">
        <v>4.5962759999999998E-2</v>
      </c>
      <c r="Z3219">
        <v>-4.1900230000000002E-4</v>
      </c>
      <c r="AA3219">
        <v>0.99894309999999997</v>
      </c>
      <c r="AB3219">
        <v>32</v>
      </c>
      <c r="AC3219">
        <v>59.287199999999899</v>
      </c>
      <c r="AD3219">
        <v>-1.1099488386459999</v>
      </c>
      <c r="AE3219">
        <v>-2.7710999999999899</v>
      </c>
      <c r="AF3219">
        <v>2.74275047569449</v>
      </c>
      <c r="AG3219">
        <v>-1.1099488386459999</v>
      </c>
      <c r="AH3219">
        <v>59.267746017751797</v>
      </c>
      <c r="AI3219">
        <v>91.071746276061702</v>
      </c>
      <c r="AJ3219">
        <v>87.350397156567894</v>
      </c>
      <c r="AK3219">
        <v>59.341556978403197</v>
      </c>
      <c r="AL3219">
        <v>89.898731953605804</v>
      </c>
      <c r="AM3219">
        <v>86.998990608394607</v>
      </c>
      <c r="AN3219">
        <v>1.00000004729515</v>
      </c>
    </row>
    <row r="3220" spans="1:40" x14ac:dyDescent="0.25">
      <c r="A3220" t="str">
        <f>"20190312161027321"</f>
        <v>20190312161027321</v>
      </c>
      <c r="B3220" t="str">
        <f>"1552378227309410"</f>
        <v>1552378227309410</v>
      </c>
      <c r="C3220" t="s">
        <v>40</v>
      </c>
      <c r="D3220">
        <v>5.4422990000000002</v>
      </c>
      <c r="E3220">
        <v>0.49910159999999998</v>
      </c>
      <c r="F3220" t="s">
        <v>74</v>
      </c>
      <c r="G3220">
        <v>-298.32130000000001</v>
      </c>
      <c r="H3220" s="1">
        <v>2.3704729999999999E-6</v>
      </c>
      <c r="I3220">
        <v>209.922</v>
      </c>
      <c r="J3220">
        <v>-356.1</v>
      </c>
      <c r="K3220">
        <v>1.1099509999999999</v>
      </c>
      <c r="L3220">
        <v>212.71510000000001</v>
      </c>
      <c r="M3220">
        <v>0.99993120000000002</v>
      </c>
      <c r="N3220">
        <v>0</v>
      </c>
      <c r="O3220">
        <v>-2.2524719999999999E-4</v>
      </c>
      <c r="P3220">
        <v>0.99852479999999999</v>
      </c>
      <c r="Q3220">
        <v>-1.0137719999999999E-2</v>
      </c>
      <c r="R3220">
        <v>-5.3344910000000002E-2</v>
      </c>
      <c r="S3220">
        <v>2.996124</v>
      </c>
      <c r="T3220">
        <v>-5.7230110000000001E-2</v>
      </c>
      <c r="U3220">
        <v>-0.14401249999999999</v>
      </c>
      <c r="V3220">
        <v>5.3119130000000001E-2</v>
      </c>
      <c r="W3220">
        <v>1.6015199999999999E-3</v>
      </c>
      <c r="X3220">
        <v>0.99858690000000006</v>
      </c>
      <c r="Y3220">
        <v>4.7777159999999999E-2</v>
      </c>
      <c r="Z3220">
        <v>-4.5170019999999999E-4</v>
      </c>
      <c r="AA3220">
        <v>0.99885789999999997</v>
      </c>
      <c r="AB3220">
        <v>32</v>
      </c>
      <c r="AC3220">
        <v>57.778700000000001</v>
      </c>
      <c r="AD3220">
        <v>-1.109948629527</v>
      </c>
      <c r="AE3220">
        <v>-2.7930999999999999</v>
      </c>
      <c r="AF3220">
        <v>2.7790613574699101</v>
      </c>
      <c r="AG3220">
        <v>-1.109948629527</v>
      </c>
      <c r="AH3220">
        <v>57.758062531992699</v>
      </c>
      <c r="AI3220">
        <v>91.099657466286303</v>
      </c>
      <c r="AJ3220">
        <v>87.245306140266194</v>
      </c>
      <c r="AK3220">
        <v>57.8355336747086</v>
      </c>
      <c r="AL3220">
        <v>89.908239624137906</v>
      </c>
      <c r="AM3220">
        <v>86.955061037381896</v>
      </c>
      <c r="AN3220">
        <v>1.00000000184493</v>
      </c>
    </row>
    <row r="3221" spans="1:40" x14ac:dyDescent="0.25">
      <c r="A3221" t="str">
        <f>"20190312161027366"</f>
        <v>20190312161027366</v>
      </c>
      <c r="B3221" t="str">
        <f>"1552378227359693"</f>
        <v>1552378227359693</v>
      </c>
      <c r="C3221" t="s">
        <v>40</v>
      </c>
      <c r="D3221">
        <v>5.4092469999999997</v>
      </c>
      <c r="E3221">
        <v>0.49984960000000001</v>
      </c>
      <c r="F3221" t="s">
        <v>74</v>
      </c>
      <c r="G3221">
        <v>-299.97710000000001</v>
      </c>
      <c r="H3221" s="1">
        <v>2.6573310000000002E-6</v>
      </c>
      <c r="I3221">
        <v>209.8691</v>
      </c>
      <c r="J3221">
        <v>-355.45319999999998</v>
      </c>
      <c r="K3221">
        <v>1.109955</v>
      </c>
      <c r="L3221">
        <v>212.71559999999999</v>
      </c>
      <c r="M3221">
        <v>0.99993030000000005</v>
      </c>
      <c r="N3221">
        <v>0</v>
      </c>
      <c r="O3221">
        <v>2.3517850000000001E-4</v>
      </c>
      <c r="P3221">
        <v>0.99853080000000005</v>
      </c>
      <c r="Q3221">
        <v>-9.8344639999999994E-3</v>
      </c>
      <c r="R3221">
        <v>-5.3286930000000003E-2</v>
      </c>
      <c r="S3221">
        <v>2.9957889999999998</v>
      </c>
      <c r="T3221">
        <v>-5.9247969999999997E-2</v>
      </c>
      <c r="U3221">
        <v>-0.15191650000000001</v>
      </c>
      <c r="V3221">
        <v>5.3520900000000003E-2</v>
      </c>
      <c r="W3221">
        <v>1.9786980000000001E-3</v>
      </c>
      <c r="X3221">
        <v>0.99856480000000003</v>
      </c>
      <c r="Y3221">
        <v>5.0869879999999999E-2</v>
      </c>
      <c r="Z3221">
        <v>-5.0730510000000003E-4</v>
      </c>
      <c r="AA3221">
        <v>0.99870510000000001</v>
      </c>
      <c r="AB3221">
        <v>32</v>
      </c>
      <c r="AC3221">
        <v>55.476099999999903</v>
      </c>
      <c r="AD3221">
        <v>-1.1099523426689999</v>
      </c>
      <c r="AE3221">
        <v>-2.84649999999999</v>
      </c>
      <c r="AF3221">
        <v>2.8584063712802399</v>
      </c>
      <c r="AG3221">
        <v>-1.1099523426689999</v>
      </c>
      <c r="AH3221">
        <v>55.453288747742597</v>
      </c>
      <c r="AI3221">
        <v>91.145158561952798</v>
      </c>
      <c r="AJ3221">
        <v>87.049231787867697</v>
      </c>
      <c r="AK3221">
        <v>55.5380024319104</v>
      </c>
      <c r="AL3221">
        <v>89.886628885191698</v>
      </c>
      <c r="AM3221">
        <v>86.932006505262095</v>
      </c>
      <c r="AN3221">
        <v>1.0000000308908099</v>
      </c>
    </row>
    <row r="3222" spans="1:40" x14ac:dyDescent="0.25">
      <c r="A3222" t="str">
        <f>"20190312161027388"</f>
        <v>20190312161027388</v>
      </c>
      <c r="B3222" t="str">
        <f>"1552378227379213"</f>
        <v>1552378227379213</v>
      </c>
      <c r="C3222" t="s">
        <v>40</v>
      </c>
      <c r="D3222">
        <v>5.4048790000000002</v>
      </c>
      <c r="E3222">
        <v>0.4999594</v>
      </c>
      <c r="F3222" t="s">
        <v>74</v>
      </c>
      <c r="G3222">
        <v>-299.6866</v>
      </c>
      <c r="H3222" s="1">
        <v>2.6126580000000001E-6</v>
      </c>
      <c r="I3222">
        <v>209.7808</v>
      </c>
      <c r="J3222">
        <v>-355.12540000000001</v>
      </c>
      <c r="K3222">
        <v>1.1099589999999999</v>
      </c>
      <c r="L3222">
        <v>212.71600000000001</v>
      </c>
      <c r="M3222">
        <v>0.99992979999999998</v>
      </c>
      <c r="N3222">
        <v>0</v>
      </c>
      <c r="O3222">
        <v>4.6947470000000002E-4</v>
      </c>
      <c r="P3222">
        <v>0.99852649999999998</v>
      </c>
      <c r="Q3222">
        <v>-1.0128450000000001E-2</v>
      </c>
      <c r="R3222">
        <v>-5.3312419999999999E-2</v>
      </c>
      <c r="S3222">
        <v>2.9953919999999998</v>
      </c>
      <c r="T3222">
        <v>-5.9618949999999997E-2</v>
      </c>
      <c r="U3222">
        <v>-0.15763849999999999</v>
      </c>
      <c r="V3222">
        <v>5.3780389999999997E-2</v>
      </c>
      <c r="W3222">
        <v>1.7150069999999999E-3</v>
      </c>
      <c r="X3222">
        <v>0.99855130000000003</v>
      </c>
      <c r="Y3222">
        <v>5.3012579999999997E-2</v>
      </c>
      <c r="Z3222">
        <v>-5.3649009999999996E-4</v>
      </c>
      <c r="AA3222">
        <v>0.99859370000000003</v>
      </c>
      <c r="AB3222">
        <v>32</v>
      </c>
      <c r="AC3222">
        <v>55.438800000000001</v>
      </c>
      <c r="AD3222">
        <v>-1.109956387342</v>
      </c>
      <c r="AE3222">
        <v>-2.93519999999998</v>
      </c>
      <c r="AF3222">
        <v>2.9600453911350502</v>
      </c>
      <c r="AG3222">
        <v>-1.109956387342</v>
      </c>
      <c r="AH3222">
        <v>55.415264557914298</v>
      </c>
      <c r="AI3222">
        <v>91.145836210047904</v>
      </c>
      <c r="AJ3222">
        <v>86.942411377410295</v>
      </c>
      <c r="AK3222">
        <v>55.5053638662338</v>
      </c>
      <c r="AL3222">
        <v>89.901737287437598</v>
      </c>
      <c r="AM3222">
        <v>86.917118712522907</v>
      </c>
      <c r="AN3222">
        <v>0.99999998516462596</v>
      </c>
    </row>
    <row r="3223" spans="1:40" x14ac:dyDescent="0.25">
      <c r="A3223" t="str">
        <f>"20190312161027411"</f>
        <v>20190312161027411</v>
      </c>
      <c r="B3223" t="str">
        <f>"1552378227399709"</f>
        <v>1552378227399709</v>
      </c>
      <c r="C3223" t="s">
        <v>40</v>
      </c>
      <c r="D3223">
        <v>5.4101619999999997</v>
      </c>
      <c r="E3223">
        <v>0.50002780000000002</v>
      </c>
      <c r="F3223" t="s">
        <v>74</v>
      </c>
      <c r="G3223">
        <v>-302.07560000000001</v>
      </c>
      <c r="H3223" s="1">
        <v>2.2850909999999999E-6</v>
      </c>
      <c r="I3223">
        <v>209.90809999999999</v>
      </c>
      <c r="J3223">
        <v>-354.7996</v>
      </c>
      <c r="K3223">
        <v>1.1099589999999999</v>
      </c>
      <c r="L3223">
        <v>212.71639999999999</v>
      </c>
      <c r="M3223">
        <v>0.99992950000000003</v>
      </c>
      <c r="N3223">
        <v>0</v>
      </c>
      <c r="O3223">
        <v>7.0319289999999895E-4</v>
      </c>
      <c r="P3223">
        <v>0.99850830000000002</v>
      </c>
      <c r="Q3223">
        <v>-1.090585E-2</v>
      </c>
      <c r="R3223">
        <v>-5.3503420000000003E-2</v>
      </c>
      <c r="S3223">
        <v>2.9952999999999999</v>
      </c>
      <c r="T3223">
        <v>-6.267035E-2</v>
      </c>
      <c r="U3223">
        <v>-0.15853879999999901</v>
      </c>
      <c r="V3223">
        <v>5.4204960000000003E-2</v>
      </c>
      <c r="W3223">
        <v>9.6446650000000004E-4</v>
      </c>
      <c r="X3223">
        <v>0.99852940000000001</v>
      </c>
      <c r="Y3223">
        <v>5.3545620000000002E-2</v>
      </c>
      <c r="Z3223">
        <v>-5.7441369999999999E-4</v>
      </c>
      <c r="AA3223">
        <v>0.99856529999999999</v>
      </c>
      <c r="AB3223">
        <v>32</v>
      </c>
      <c r="AC3223">
        <v>52.723999999999897</v>
      </c>
      <c r="AD3223">
        <v>-1.1099567149089999</v>
      </c>
      <c r="AE3223">
        <v>-2.8083</v>
      </c>
      <c r="AF3223">
        <v>2.8441201175101098</v>
      </c>
      <c r="AG3223">
        <v>-1.1099567149089999</v>
      </c>
      <c r="AH3223">
        <v>52.698722283268303</v>
      </c>
      <c r="AI3223">
        <v>91.204850056817804</v>
      </c>
      <c r="AJ3223">
        <v>86.910776314944698</v>
      </c>
      <c r="AK3223">
        <v>52.787085100816398</v>
      </c>
      <c r="AL3223">
        <v>89.944740133450395</v>
      </c>
      <c r="AM3223">
        <v>86.892760354777295</v>
      </c>
      <c r="AN3223">
        <v>1.0000000352742899</v>
      </c>
    </row>
    <row r="3224" spans="1:40" x14ac:dyDescent="0.25">
      <c r="A3224" t="str">
        <f>"20190312161027455"</f>
        <v>20190312161027455</v>
      </c>
      <c r="B3224" t="str">
        <f>"1552378227449485"</f>
        <v>1552378227449485</v>
      </c>
      <c r="C3224" t="s">
        <v>40</v>
      </c>
      <c r="D3224">
        <v>5.3870940000000003</v>
      </c>
      <c r="E3224">
        <v>0.50033830000000001</v>
      </c>
      <c r="F3224" t="s">
        <v>74</v>
      </c>
      <c r="G3224">
        <v>-304.86009999999999</v>
      </c>
      <c r="H3224" s="1">
        <v>1.791157E-6</v>
      </c>
      <c r="I3224">
        <v>210.0557</v>
      </c>
      <c r="J3224">
        <v>-354.17270000000002</v>
      </c>
      <c r="K3224">
        <v>1.109826</v>
      </c>
      <c r="L3224">
        <v>212.7174</v>
      </c>
      <c r="M3224">
        <v>0.99993379999999998</v>
      </c>
      <c r="N3224">
        <v>0</v>
      </c>
      <c r="O3224">
        <v>1.1493549999999999E-3</v>
      </c>
      <c r="P3224">
        <v>0.99848440000000005</v>
      </c>
      <c r="Q3224">
        <v>-1.036522E-2</v>
      </c>
      <c r="R3224">
        <v>-5.4051139999999998E-2</v>
      </c>
      <c r="S3224">
        <v>2.9951780000000001</v>
      </c>
      <c r="T3224">
        <v>-6.6571000000000005E-2</v>
      </c>
      <c r="U3224">
        <v>-0.15957639999999901</v>
      </c>
      <c r="V3224">
        <v>5.5198280000000002E-2</v>
      </c>
      <c r="W3224">
        <v>1.083199E-3</v>
      </c>
      <c r="X3224">
        <v>0.9984748</v>
      </c>
      <c r="Y3224">
        <v>5.4336420000000003E-2</v>
      </c>
      <c r="Z3224">
        <v>-6.2886629999999995E-4</v>
      </c>
      <c r="AA3224">
        <v>0.99852249999999998</v>
      </c>
      <c r="AB3224">
        <v>32</v>
      </c>
      <c r="AC3224">
        <v>49.312600000000003</v>
      </c>
      <c r="AD3224">
        <v>-1.1098242088429999</v>
      </c>
      <c r="AE3224">
        <v>-2.66169999999999</v>
      </c>
      <c r="AF3224">
        <v>2.7170074318578399</v>
      </c>
      <c r="AG3224">
        <v>-1.1098242088429999</v>
      </c>
      <c r="AH3224">
        <v>49.284617089542799</v>
      </c>
      <c r="AI3224">
        <v>91.288051764102505</v>
      </c>
      <c r="AJ3224">
        <v>86.844539983207497</v>
      </c>
      <c r="AK3224">
        <v>49.3719284697505</v>
      </c>
      <c r="AL3224">
        <v>89.937937255228803</v>
      </c>
      <c r="AM3224">
        <v>86.835761366556</v>
      </c>
      <c r="AN3224">
        <v>0.999999974835035</v>
      </c>
    </row>
    <row r="3225" spans="1:40" x14ac:dyDescent="0.25">
      <c r="A3225" t="str">
        <f>"20190312161027476"</f>
        <v>20190312161027476</v>
      </c>
      <c r="B3225" t="str">
        <f>"1552378227469980"</f>
        <v>1552378227469980</v>
      </c>
      <c r="C3225" t="s">
        <v>40</v>
      </c>
      <c r="D3225">
        <v>5.3860869999999998</v>
      </c>
      <c r="E3225">
        <v>0.50052759999999996</v>
      </c>
      <c r="F3225" t="s">
        <v>74</v>
      </c>
      <c r="G3225">
        <v>-308.49669999999998</v>
      </c>
      <c r="H3225" s="1">
        <v>1.146089E-6</v>
      </c>
      <c r="I3225">
        <v>210.227</v>
      </c>
      <c r="J3225">
        <v>-353.85210000000001</v>
      </c>
      <c r="K3225">
        <v>1.109521</v>
      </c>
      <c r="L3225">
        <v>212.71799999999999</v>
      </c>
      <c r="M3225">
        <v>0.99994609999999995</v>
      </c>
      <c r="N3225">
        <v>0</v>
      </c>
      <c r="O3225">
        <v>1.3693259999999999E-3</v>
      </c>
      <c r="P3225">
        <v>0.99852600000000002</v>
      </c>
      <c r="Q3225">
        <v>-9.0513599999999996E-3</v>
      </c>
      <c r="R3225">
        <v>-5.3514939999999997E-2</v>
      </c>
      <c r="S3225">
        <v>2.9949949999999999</v>
      </c>
      <c r="T3225">
        <v>-7.2771669999999997E-2</v>
      </c>
      <c r="U3225">
        <v>-0.16329959999999999</v>
      </c>
      <c r="V3225">
        <v>5.4881850000000003E-2</v>
      </c>
      <c r="W3225">
        <v>1.254383E-3</v>
      </c>
      <c r="X3225">
        <v>0.99849209999999999</v>
      </c>
      <c r="Y3225">
        <v>5.5793780000000001E-2</v>
      </c>
      <c r="Z3225">
        <v>-7.1047320000000005E-4</v>
      </c>
      <c r="AA3225">
        <v>0.9984421</v>
      </c>
      <c r="AB3225">
        <v>32</v>
      </c>
      <c r="AC3225">
        <v>45.355400000000003</v>
      </c>
      <c r="AD3225">
        <v>-1.1095198539110001</v>
      </c>
      <c r="AE3225">
        <v>-2.4909999999999801</v>
      </c>
      <c r="AF3225">
        <v>2.55158493358807</v>
      </c>
      <c r="AG3225">
        <v>-1.1095198539110001</v>
      </c>
      <c r="AH3225">
        <v>45.324904164640003</v>
      </c>
      <c r="AI3225">
        <v>91.400062021024297</v>
      </c>
      <c r="AJ3225">
        <v>86.777910417857996</v>
      </c>
      <c r="AK3225">
        <v>45.410225252836298</v>
      </c>
      <c r="AL3225">
        <v>89.928129131684102</v>
      </c>
      <c r="AM3225">
        <v>86.853918556616705</v>
      </c>
      <c r="AN3225">
        <v>1.0000000323492699</v>
      </c>
    </row>
    <row r="3226" spans="1:40" x14ac:dyDescent="0.25">
      <c r="A3226" t="str">
        <f>"20190312161027499"</f>
        <v>20190312161027499</v>
      </c>
      <c r="B3226" t="str">
        <f>"1552378227489504"</f>
        <v>1552378227489504</v>
      </c>
      <c r="C3226" t="s">
        <v>40</v>
      </c>
      <c r="D3226">
        <v>5.5582729999999998</v>
      </c>
      <c r="E3226">
        <v>0.5005733</v>
      </c>
      <c r="F3226" t="s">
        <v>74</v>
      </c>
      <c r="G3226">
        <v>-309.46559999999999</v>
      </c>
      <c r="H3226" s="1">
        <v>9.7420950000000008E-7</v>
      </c>
      <c r="I3226">
        <v>210.30109999999999</v>
      </c>
      <c r="J3226">
        <v>-353.51139999999998</v>
      </c>
      <c r="K3226">
        <v>1.109208</v>
      </c>
      <c r="L3226">
        <v>212.71870000000001</v>
      </c>
      <c r="M3226">
        <v>0.99995869999999998</v>
      </c>
      <c r="N3226">
        <v>0</v>
      </c>
      <c r="O3226">
        <v>1.6012719999999999E-3</v>
      </c>
      <c r="P3226">
        <v>0.99854609999999999</v>
      </c>
      <c r="Q3226">
        <v>-7.6624419999999898E-3</v>
      </c>
      <c r="R3226">
        <v>-5.3357130000000003E-2</v>
      </c>
      <c r="S3226">
        <v>2.9949949999999999</v>
      </c>
      <c r="T3226">
        <v>-7.4865459999999995E-2</v>
      </c>
      <c r="U3226">
        <v>-0.16308590000000001</v>
      </c>
      <c r="V3226">
        <v>5.495564E-2</v>
      </c>
      <c r="W3226">
        <v>1.2939609999999999E-3</v>
      </c>
      <c r="X3226">
        <v>0.99848789999999998</v>
      </c>
      <c r="Y3226">
        <v>5.5953250000000003E-2</v>
      </c>
      <c r="Z3226">
        <v>-7.3869399999999905E-4</v>
      </c>
      <c r="AA3226">
        <v>0.99843309999999996</v>
      </c>
      <c r="AB3226">
        <v>33</v>
      </c>
      <c r="AC3226">
        <v>44.0457999999999</v>
      </c>
      <c r="AD3226">
        <v>-1.1092070257905</v>
      </c>
      <c r="AE3226">
        <v>-2.4176000000000202</v>
      </c>
      <c r="AF3226">
        <v>2.4865568277602299</v>
      </c>
      <c r="AG3226">
        <v>-1.1092070257905</v>
      </c>
      <c r="AH3226">
        <v>44.014042916830697</v>
      </c>
      <c r="AI3226">
        <v>91.441319977460097</v>
      </c>
      <c r="AJ3226">
        <v>86.766533550543599</v>
      </c>
      <c r="AK3226">
        <v>44.0981777284318</v>
      </c>
      <c r="AL3226">
        <v>89.925861470825097</v>
      </c>
      <c r="AM3226">
        <v>86.8496838623456</v>
      </c>
      <c r="AN3226">
        <v>0.999999941574642</v>
      </c>
    </row>
    <row r="3227" spans="1:40" x14ac:dyDescent="0.25">
      <c r="A3227" t="str">
        <f>"20190312161027520"</f>
        <v>20190312161027520</v>
      </c>
      <c r="B3227" t="str">
        <f>"1552378227509997"</f>
        <v>1552378227509997</v>
      </c>
      <c r="C3227" t="s">
        <v>40</v>
      </c>
      <c r="D3227">
        <v>5.344805</v>
      </c>
      <c r="E3227">
        <v>0.50062770000000001</v>
      </c>
      <c r="F3227" t="s">
        <v>74</v>
      </c>
      <c r="G3227">
        <v>-307.1148</v>
      </c>
      <c r="H3227" s="1">
        <v>1.3912149999999999E-6</v>
      </c>
      <c r="I3227">
        <v>210.1985</v>
      </c>
      <c r="J3227">
        <v>-353.19130000000001</v>
      </c>
      <c r="K3227">
        <v>1.1089709999999999</v>
      </c>
      <c r="L3227">
        <v>212.71940000000001</v>
      </c>
      <c r="M3227">
        <v>0.99996879999999999</v>
      </c>
      <c r="N3227">
        <v>0</v>
      </c>
      <c r="O3227">
        <v>1.814628E-3</v>
      </c>
      <c r="P3227">
        <v>0.99858650000000004</v>
      </c>
      <c r="Q3227">
        <v>-6.2825069999999997E-3</v>
      </c>
      <c r="R3227">
        <v>-5.277975E-2</v>
      </c>
      <c r="S3227">
        <v>2.9951479999999999</v>
      </c>
      <c r="T3227">
        <v>-7.1605089999999996E-2</v>
      </c>
      <c r="U3227">
        <v>-0.16268920000000001</v>
      </c>
      <c r="V3227">
        <v>5.4591389999999997E-2</v>
      </c>
      <c r="W3227">
        <v>1.426999E-3</v>
      </c>
      <c r="X3227">
        <v>0.9985077</v>
      </c>
      <c r="Y3227">
        <v>5.6033090000000001E-2</v>
      </c>
      <c r="Z3227">
        <v>-7.1254969999999995E-4</v>
      </c>
      <c r="AA3227">
        <v>0.9984286</v>
      </c>
      <c r="AB3227">
        <v>33</v>
      </c>
      <c r="AC3227">
        <v>46.076500000000003</v>
      </c>
      <c r="AD3227">
        <v>-1.1089696087849901</v>
      </c>
      <c r="AE3227">
        <v>-2.5209000000000099</v>
      </c>
      <c r="AF3227">
        <v>2.6030066861466801</v>
      </c>
      <c r="AG3227">
        <v>-1.1089696087849901</v>
      </c>
      <c r="AH3227">
        <v>46.045256511681004</v>
      </c>
      <c r="AI3227">
        <v>91.377465855937004</v>
      </c>
      <c r="AJ3227">
        <v>86.764428375241295</v>
      </c>
      <c r="AK3227">
        <v>46.132104923012498</v>
      </c>
      <c r="AL3227">
        <v>89.918238947404902</v>
      </c>
      <c r="AM3227">
        <v>86.870584678987996</v>
      </c>
      <c r="AN3227">
        <v>0.99999994157378203</v>
      </c>
    </row>
    <row r="3228" spans="1:40" x14ac:dyDescent="0.25">
      <c r="A3228" t="str">
        <f>"20190312161027545"</f>
        <v>20190312161027545</v>
      </c>
      <c r="B3228" t="str">
        <f>"1552378227539277"</f>
        <v>1552378227539277</v>
      </c>
      <c r="C3228" t="s">
        <v>40</v>
      </c>
      <c r="D3228">
        <v>5.2988749999999998</v>
      </c>
      <c r="E3228">
        <v>0.50067600000000001</v>
      </c>
      <c r="F3228" t="s">
        <v>74</v>
      </c>
      <c r="G3228">
        <v>-303.02429999999998</v>
      </c>
      <c r="H3228" s="1">
        <v>2.1167980000000002E-6</v>
      </c>
      <c r="I3228">
        <v>210.01220000000001</v>
      </c>
      <c r="J3228">
        <v>-352.83909999999997</v>
      </c>
      <c r="K3228">
        <v>1.108757</v>
      </c>
      <c r="L3228">
        <v>212.72020000000001</v>
      </c>
      <c r="M3228">
        <v>0.99997760000000002</v>
      </c>
      <c r="N3228">
        <v>0</v>
      </c>
      <c r="O3228">
        <v>2.040357E-3</v>
      </c>
      <c r="P3228">
        <v>0.99862949999999995</v>
      </c>
      <c r="Q3228">
        <v>-4.8521370000000003E-3</v>
      </c>
      <c r="R3228">
        <v>-5.2112690000000003E-2</v>
      </c>
      <c r="S3228">
        <v>2.9952999999999999</v>
      </c>
      <c r="T3228">
        <v>-6.6212649999999998E-2</v>
      </c>
      <c r="U3228">
        <v>-0.16163640000000001</v>
      </c>
      <c r="V3228">
        <v>5.4149679999999999E-2</v>
      </c>
      <c r="W3228">
        <v>1.530472E-3</v>
      </c>
      <c r="X3228">
        <v>0.99853159999999996</v>
      </c>
      <c r="Y3228">
        <v>5.590813E-2</v>
      </c>
      <c r="Z3228">
        <v>-6.6248089999999999E-4</v>
      </c>
      <c r="AA3228">
        <v>0.99843570000000004</v>
      </c>
      <c r="AB3228">
        <v>33</v>
      </c>
      <c r="AC3228">
        <v>49.814799999999899</v>
      </c>
      <c r="AD3228">
        <v>-1.108754883202</v>
      </c>
      <c r="AE3228">
        <v>-2.70799999999999</v>
      </c>
      <c r="AF3228">
        <v>2.80824930190043</v>
      </c>
      <c r="AG3228">
        <v>-1.108754883202</v>
      </c>
      <c r="AH3228">
        <v>49.784580389596499</v>
      </c>
      <c r="AI3228">
        <v>91.273802012315997</v>
      </c>
      <c r="AJ3228">
        <v>86.771480210019803</v>
      </c>
      <c r="AK3228">
        <v>49.876046817092899</v>
      </c>
      <c r="AL3228">
        <v>89.912310374522406</v>
      </c>
      <c r="AM3228">
        <v>86.895929845451604</v>
      </c>
      <c r="AN3228">
        <v>0.99999994319359997</v>
      </c>
    </row>
    <row r="3229" spans="1:40" x14ac:dyDescent="0.25">
      <c r="A3229" t="str">
        <f>"20190312161027566"</f>
        <v>20190312161027566</v>
      </c>
      <c r="B3229" t="str">
        <f>"1552378227559773"</f>
        <v>1552378227559773</v>
      </c>
      <c r="C3229" t="s">
        <v>40</v>
      </c>
      <c r="D3229">
        <v>5.2570360000000003</v>
      </c>
      <c r="E3229">
        <v>0.50069859999999999</v>
      </c>
      <c r="F3229" t="s">
        <v>74</v>
      </c>
      <c r="G3229">
        <v>-297.86340000000001</v>
      </c>
      <c r="H3229" s="1">
        <v>2.289251E-6</v>
      </c>
      <c r="I3229">
        <v>209.78450000000001</v>
      </c>
      <c r="J3229">
        <v>-352.50799999999998</v>
      </c>
      <c r="K3229">
        <v>1.1086119999999999</v>
      </c>
      <c r="L3229">
        <v>212.721</v>
      </c>
      <c r="M3229">
        <v>0.99998379999999998</v>
      </c>
      <c r="N3229">
        <v>0</v>
      </c>
      <c r="O3229">
        <v>2.242225E-3</v>
      </c>
      <c r="P3229">
        <v>0.9986469</v>
      </c>
      <c r="Q3229">
        <v>-3.8474199999999998E-3</v>
      </c>
      <c r="R3229">
        <v>-5.1863310000000003E-2</v>
      </c>
      <c r="S3229">
        <v>2.9954830000000001</v>
      </c>
      <c r="T3229">
        <v>-6.041324E-2</v>
      </c>
      <c r="U3229">
        <v>-0.15995789999999999</v>
      </c>
      <c r="V3229">
        <v>5.4101900000000001E-2</v>
      </c>
      <c r="W3229">
        <v>1.398865E-3</v>
      </c>
      <c r="X3229">
        <v>0.99853440000000004</v>
      </c>
      <c r="Y3229">
        <v>5.555094E-2</v>
      </c>
      <c r="Z3229">
        <v>-6.0490920000000001E-4</v>
      </c>
      <c r="AA3229">
        <v>0.9984556</v>
      </c>
      <c r="AB3229">
        <v>34</v>
      </c>
      <c r="AC3229">
        <v>54.644599999999997</v>
      </c>
      <c r="AD3229">
        <v>-1.1086097107490001</v>
      </c>
      <c r="AE3229">
        <v>-2.9364999999999601</v>
      </c>
      <c r="AF3229">
        <v>3.05776486738938</v>
      </c>
      <c r="AG3229">
        <v>-1.1086097107490001</v>
      </c>
      <c r="AH3229">
        <v>54.615463897979602</v>
      </c>
      <c r="AI3229">
        <v>91.161038541943199</v>
      </c>
      <c r="AJ3229">
        <v>86.7955172888432</v>
      </c>
      <c r="AK3229">
        <v>54.712227502328197</v>
      </c>
      <c r="AL3229">
        <v>89.919850910061498</v>
      </c>
      <c r="AM3229">
        <v>86.898672111211596</v>
      </c>
      <c r="AN3229">
        <v>0.99999996019512805</v>
      </c>
    </row>
    <row r="3230" spans="1:40" x14ac:dyDescent="0.25">
      <c r="A3230" t="str">
        <f>"20190312161027589"</f>
        <v>20190312161027589</v>
      </c>
      <c r="B3230" t="str">
        <f>"1552378227580269"</f>
        <v>1552378227580269</v>
      </c>
      <c r="C3230" t="s">
        <v>40</v>
      </c>
      <c r="D3230">
        <v>5.2603749999999998</v>
      </c>
      <c r="E3230">
        <v>0.50082839999999995</v>
      </c>
      <c r="F3230" t="s">
        <v>74</v>
      </c>
      <c r="G3230">
        <v>-293.38409999999999</v>
      </c>
      <c r="H3230" s="1">
        <v>1.5055889999999999E-6</v>
      </c>
      <c r="I3230">
        <v>209.5753</v>
      </c>
      <c r="J3230">
        <v>-352.14929999999998</v>
      </c>
      <c r="K3230">
        <v>1.1085469999999999</v>
      </c>
      <c r="L3230">
        <v>212.72200000000001</v>
      </c>
      <c r="M3230">
        <v>0.99998799999999999</v>
      </c>
      <c r="N3230">
        <v>0</v>
      </c>
      <c r="O3230">
        <v>2.4520129999999998E-3</v>
      </c>
      <c r="P3230">
        <v>0.99864909999999996</v>
      </c>
      <c r="Q3230">
        <v>-2.783485E-3</v>
      </c>
      <c r="R3230">
        <v>-5.1889669999999999E-2</v>
      </c>
      <c r="S3230">
        <v>2.9955750000000001</v>
      </c>
      <c r="T3230">
        <v>-5.6168910000000002E-2</v>
      </c>
      <c r="U3230">
        <v>-0.15937809999999999</v>
      </c>
      <c r="V3230">
        <v>5.433764E-2</v>
      </c>
      <c r="W3230">
        <v>1.505199E-3</v>
      </c>
      <c r="X3230">
        <v>0.99852149999999995</v>
      </c>
      <c r="Y3230">
        <v>5.5567600000000002E-2</v>
      </c>
      <c r="Z3230">
        <v>-5.6649130000000002E-4</v>
      </c>
      <c r="AA3230">
        <v>0.99845470000000003</v>
      </c>
      <c r="AB3230">
        <v>34</v>
      </c>
      <c r="AC3230">
        <v>58.765199999999901</v>
      </c>
      <c r="AD3230">
        <v>-1.108545494411</v>
      </c>
      <c r="AE3230">
        <v>-3.1467000000000001</v>
      </c>
      <c r="AF3230">
        <v>3.2896176079854702</v>
      </c>
      <c r="AG3230">
        <v>-1.108545494411</v>
      </c>
      <c r="AH3230">
        <v>58.7364659237331</v>
      </c>
      <c r="AI3230">
        <v>91.079535385385796</v>
      </c>
      <c r="AJ3230">
        <v>86.794418908655899</v>
      </c>
      <c r="AK3230">
        <v>58.838957216539796</v>
      </c>
      <c r="AL3230">
        <v>89.913758418731604</v>
      </c>
      <c r="AM3230">
        <v>86.885144983301103</v>
      </c>
      <c r="AN3230">
        <v>1.00000001535352</v>
      </c>
    </row>
    <row r="3231" spans="1:40" x14ac:dyDescent="0.25">
      <c r="A3231" t="str">
        <f>"20190312161027613"</f>
        <v>20190312161027613</v>
      </c>
      <c r="B3231" t="str">
        <f>"1552378227599789"</f>
        <v>1552378227599789</v>
      </c>
      <c r="C3231" t="s">
        <v>40</v>
      </c>
      <c r="D3231">
        <v>5.3055760000000003</v>
      </c>
      <c r="E3231">
        <v>0.50091239999999904</v>
      </c>
      <c r="F3231" t="s">
        <v>74</v>
      </c>
      <c r="G3231">
        <v>-292.399</v>
      </c>
      <c r="H3231" s="1">
        <v>1.3460520000000001E-6</v>
      </c>
      <c r="I3231">
        <v>209.51830000000001</v>
      </c>
      <c r="J3231">
        <v>-351.7824</v>
      </c>
      <c r="K3231">
        <v>1.1086210000000001</v>
      </c>
      <c r="L3231">
        <v>212.72309999999999</v>
      </c>
      <c r="M3231">
        <v>0.99998920000000002</v>
      </c>
      <c r="N3231">
        <v>0</v>
      </c>
      <c r="O3231">
        <v>2.6590509999999999E-3</v>
      </c>
      <c r="P3231">
        <v>0.99865870000000001</v>
      </c>
      <c r="Q3231">
        <v>-2.0079049999999999E-3</v>
      </c>
      <c r="R3231">
        <v>-5.1737470000000001E-2</v>
      </c>
      <c r="S3231">
        <v>2.995514</v>
      </c>
      <c r="T3231">
        <v>-5.5575729999999997E-2</v>
      </c>
      <c r="U3231">
        <v>-0.16061400000000001</v>
      </c>
      <c r="V3231">
        <v>5.439194E-2</v>
      </c>
      <c r="W3231">
        <v>1.822773E-3</v>
      </c>
      <c r="X3231">
        <v>0.99851800000000002</v>
      </c>
      <c r="Y3231">
        <v>5.6186239999999998E-2</v>
      </c>
      <c r="Z3231">
        <v>-5.700875E-4</v>
      </c>
      <c r="AA3231">
        <v>0.99842010000000003</v>
      </c>
      <c r="AB3231">
        <v>34</v>
      </c>
      <c r="AC3231">
        <v>59.383400000000002</v>
      </c>
      <c r="AD3231">
        <v>-1.10861965394799</v>
      </c>
      <c r="AE3231">
        <v>-3.2047999999999699</v>
      </c>
      <c r="AF3231">
        <v>3.3615251301101901</v>
      </c>
      <c r="AG3231">
        <v>-1.10861965394799</v>
      </c>
      <c r="AH3231">
        <v>59.354041926849398</v>
      </c>
      <c r="AI3231">
        <v>91.068339234062293</v>
      </c>
      <c r="AJ3231">
        <v>86.758507652320105</v>
      </c>
      <c r="AK3231">
        <v>59.459491940241797</v>
      </c>
      <c r="AL3231">
        <v>89.8955627423598</v>
      </c>
      <c r="AM3231">
        <v>86.882027517052705</v>
      </c>
      <c r="AN3231">
        <v>1.00000000098118</v>
      </c>
    </row>
    <row r="3232" spans="1:40" x14ac:dyDescent="0.25">
      <c r="A3232" t="str">
        <f>"20190312161027636"</f>
        <v>20190312161027636</v>
      </c>
      <c r="B3232" t="str">
        <f>"1552378227630045"</f>
        <v>1552378227630045</v>
      </c>
      <c r="C3232" t="s">
        <v>40</v>
      </c>
      <c r="D3232">
        <v>5.2023320000000002</v>
      </c>
      <c r="E3232">
        <v>0.50114009999999998</v>
      </c>
      <c r="F3232" t="s">
        <v>74</v>
      </c>
      <c r="G3232">
        <v>-291.13679999999999</v>
      </c>
      <c r="H3232" s="1">
        <v>1.1347060000000001E-6</v>
      </c>
      <c r="I3232">
        <v>209.47110000000001</v>
      </c>
      <c r="J3232">
        <v>-351.42930000000001</v>
      </c>
      <c r="K3232">
        <v>1.108806</v>
      </c>
      <c r="L3232">
        <v>212.7242</v>
      </c>
      <c r="M3232">
        <v>0.9999884</v>
      </c>
      <c r="N3232">
        <v>0</v>
      </c>
      <c r="O3232">
        <v>2.8591340000000002E-3</v>
      </c>
      <c r="P3232">
        <v>0.99866750000000004</v>
      </c>
      <c r="Q3232">
        <v>-1.74501E-3</v>
      </c>
      <c r="R3232">
        <v>-5.1577749999999999E-2</v>
      </c>
      <c r="S3232">
        <v>2.9955750000000001</v>
      </c>
      <c r="T3232">
        <v>-5.4760099999999999E-2</v>
      </c>
      <c r="U3232">
        <v>-0.1606293</v>
      </c>
      <c r="V3232">
        <v>5.4431970000000003E-2</v>
      </c>
      <c r="W3232">
        <v>2.1689560000000001E-3</v>
      </c>
      <c r="X3232">
        <v>0.99851509999999999</v>
      </c>
      <c r="Y3232">
        <v>5.639023E-2</v>
      </c>
      <c r="Z3232">
        <v>-5.6722860000000001E-4</v>
      </c>
      <c r="AA3232">
        <v>0.99840859999999998</v>
      </c>
      <c r="AB3232">
        <v>34</v>
      </c>
      <c r="AC3232">
        <v>60.292499999999997</v>
      </c>
      <c r="AD3232">
        <v>-1.1088048652939999</v>
      </c>
      <c r="AE3232">
        <v>-3.2530999999999799</v>
      </c>
      <c r="AF3232">
        <v>3.4243175657780398</v>
      </c>
      <c r="AG3232">
        <v>-1.1088048652939999</v>
      </c>
      <c r="AH3232">
        <v>60.262630309813098</v>
      </c>
      <c r="AI3232">
        <v>91.052399939850503</v>
      </c>
      <c r="AJ3232">
        <v>86.747765841443794</v>
      </c>
      <c r="AK3232">
        <v>60.370025765091398</v>
      </c>
      <c r="AL3232">
        <v>89.875727874622896</v>
      </c>
      <c r="AM3232">
        <v>86.879728319112004</v>
      </c>
      <c r="AN3232">
        <v>0.99999997432811005</v>
      </c>
    </row>
    <row r="3233" spans="1:40" x14ac:dyDescent="0.25">
      <c r="A3233" t="str">
        <f>"20190312161027656"</f>
        <v>20190312161027656</v>
      </c>
      <c r="B3233" t="str">
        <f>"1552378227649566"</f>
        <v>1552378227649566</v>
      </c>
      <c r="C3233" t="s">
        <v>40</v>
      </c>
      <c r="D3233">
        <v>5.2003820000000003</v>
      </c>
      <c r="E3233">
        <v>0.50123039999999996</v>
      </c>
      <c r="F3233" t="s">
        <v>74</v>
      </c>
      <c r="G3233">
        <v>-293.71749999999997</v>
      </c>
      <c r="H3233" s="1">
        <v>1.5568789999999999E-6</v>
      </c>
      <c r="I3233">
        <v>209.60489999999999</v>
      </c>
      <c r="J3233">
        <v>-351.11849999999998</v>
      </c>
      <c r="K3233">
        <v>1.108981</v>
      </c>
      <c r="L3233">
        <v>212.7253</v>
      </c>
      <c r="M3233">
        <v>0.99998659999999995</v>
      </c>
      <c r="N3233">
        <v>0</v>
      </c>
      <c r="O3233">
        <v>3.043315E-3</v>
      </c>
      <c r="P3233">
        <v>0.99869129999999995</v>
      </c>
      <c r="Q3233">
        <v>-1.5259609999999999E-3</v>
      </c>
      <c r="R3233">
        <v>-5.1124429999999998E-2</v>
      </c>
      <c r="S3233">
        <v>2.9955440000000002</v>
      </c>
      <c r="T3233">
        <v>-5.7552699999999901E-2</v>
      </c>
      <c r="U3233">
        <v>-0.161911</v>
      </c>
      <c r="V3233">
        <v>5.416207E-2</v>
      </c>
      <c r="W3233">
        <v>2.712548E-3</v>
      </c>
      <c r="X3233">
        <v>0.99852850000000004</v>
      </c>
      <c r="Y3233">
        <v>5.699945E-2</v>
      </c>
      <c r="Z3233">
        <v>-6.0553309999999895E-4</v>
      </c>
      <c r="AA3233">
        <v>0.99837399999999998</v>
      </c>
      <c r="AB3233">
        <v>34</v>
      </c>
      <c r="AC3233">
        <v>57.401000000000003</v>
      </c>
      <c r="AD3233">
        <v>-1.1089794431209901</v>
      </c>
      <c r="AE3233">
        <v>-3.1204000000000098</v>
      </c>
      <c r="AF3233">
        <v>3.2938505751210698</v>
      </c>
      <c r="AG3233">
        <v>-1.1089794431209901</v>
      </c>
      <c r="AH3233">
        <v>57.3698871110441</v>
      </c>
      <c r="AI3233">
        <v>91.105588720926704</v>
      </c>
      <c r="AJ3233">
        <v>86.714011733588507</v>
      </c>
      <c r="AK3233">
        <v>57.4750661952679</v>
      </c>
      <c r="AL3233">
        <v>89.844582261404</v>
      </c>
      <c r="AM3233">
        <v>86.895211371747195</v>
      </c>
      <c r="AN3233">
        <v>1.00000002652779</v>
      </c>
    </row>
    <row r="3234" spans="1:40" x14ac:dyDescent="0.25">
      <c r="A3234" t="str">
        <f>"20190312161027945"</f>
        <v>20190312161027945</v>
      </c>
      <c r="B3234" t="str">
        <f>"1552378227939437"</f>
        <v>1552378227939437</v>
      </c>
      <c r="C3234" t="s">
        <v>40</v>
      </c>
      <c r="D3234">
        <v>4.8159010000000002</v>
      </c>
      <c r="E3234">
        <v>0.51551219999999998</v>
      </c>
      <c r="F3234" t="s">
        <v>74</v>
      </c>
      <c r="G3234">
        <v>-293.67570000000001</v>
      </c>
      <c r="H3234" s="1">
        <v>1.5464219999999999E-6</v>
      </c>
      <c r="I3234">
        <v>209.63300000000001</v>
      </c>
      <c r="J3234">
        <v>-346.62419999999997</v>
      </c>
      <c r="K3234">
        <v>1.1095919999999999</v>
      </c>
      <c r="L3234">
        <v>212.74850000000001</v>
      </c>
      <c r="M3234">
        <v>0.99994159999999999</v>
      </c>
      <c r="N3234">
        <v>0</v>
      </c>
      <c r="O3234">
        <v>6.1488869999999996E-3</v>
      </c>
      <c r="P3234">
        <v>0.99883219999999995</v>
      </c>
      <c r="Q3234">
        <v>-6.8613719999999897E-3</v>
      </c>
      <c r="R3234">
        <v>-4.7824739999999998E-2</v>
      </c>
      <c r="S3234">
        <v>2.9955440000000002</v>
      </c>
      <c r="T3234">
        <v>-5.783141E-2</v>
      </c>
      <c r="U3234">
        <v>-0.16125490000000001</v>
      </c>
      <c r="V3234">
        <v>5.3964760000000001E-2</v>
      </c>
      <c r="W3234">
        <v>2.0368719999999999E-3</v>
      </c>
      <c r="X3234">
        <v>0.99854080000000001</v>
      </c>
      <c r="Y3234">
        <v>5.9880709999999997E-2</v>
      </c>
      <c r="Z3234">
        <v>-6.9617219999999996E-4</v>
      </c>
      <c r="AA3234">
        <v>0.99820529999999996</v>
      </c>
      <c r="AB3234">
        <v>35</v>
      </c>
      <c r="AC3234">
        <v>52.948499999999903</v>
      </c>
      <c r="AD3234">
        <v>-1.1095904535779999</v>
      </c>
      <c r="AE3234">
        <v>-3.1155000000000199</v>
      </c>
      <c r="AF3234">
        <v>3.4395230272323598</v>
      </c>
      <c r="AG3234">
        <v>-1.1095904535779999</v>
      </c>
      <c r="AH3234">
        <v>52.905187906373101</v>
      </c>
      <c r="AI3234">
        <v>91.198968589403904</v>
      </c>
      <c r="AJ3234">
        <v>86.2802664234529</v>
      </c>
      <c r="AK3234">
        <v>53.028486844696801</v>
      </c>
      <c r="AL3234">
        <v>89.883295754578498</v>
      </c>
      <c r="AM3234">
        <v>86.906538001248407</v>
      </c>
      <c r="AN3234">
        <v>1.0000000367170201</v>
      </c>
    </row>
    <row r="3235" spans="1:40" x14ac:dyDescent="0.25">
      <c r="A3235" t="str">
        <f>"20190312161027967"</f>
        <v>20190312161027967</v>
      </c>
      <c r="B3235" t="str">
        <f>"1552378227959933"</f>
        <v>1552378227959933</v>
      </c>
      <c r="C3235" t="s">
        <v>40</v>
      </c>
      <c r="D3235">
        <v>5.0653620000000004</v>
      </c>
      <c r="E3235">
        <v>0.51598310000000003</v>
      </c>
      <c r="F3235" t="s">
        <v>42</v>
      </c>
      <c r="G3235">
        <v>-345.6902</v>
      </c>
      <c r="H3235">
        <v>0.84709219999999896</v>
      </c>
      <c r="I3235">
        <v>212.67359999999999</v>
      </c>
      <c r="J3235">
        <v>-346.2645</v>
      </c>
      <c r="K3235">
        <v>1.1095950000000001</v>
      </c>
      <c r="L3235">
        <v>212.7509</v>
      </c>
      <c r="M3235">
        <v>0.99993869999999896</v>
      </c>
      <c r="N3235">
        <v>0</v>
      </c>
      <c r="O3235">
        <v>6.3984200000000001E-3</v>
      </c>
      <c r="P3235">
        <v>0.99885760000000001</v>
      </c>
      <c r="Q3235">
        <v>-7.0120340000000003E-3</v>
      </c>
      <c r="R3235">
        <v>-4.7272340000000003E-2</v>
      </c>
      <c r="S3235">
        <v>2.9863590000000002</v>
      </c>
      <c r="T3235">
        <v>-0.83935649999999995</v>
      </c>
      <c r="U3235">
        <v>-0.23817440000000001</v>
      </c>
      <c r="V3235">
        <v>5.3661510000000003E-2</v>
      </c>
      <c r="W3235">
        <v>2.0478390000000001E-3</v>
      </c>
      <c r="X3235">
        <v>0.99855709999999998</v>
      </c>
      <c r="Y3235">
        <v>8.2456479999999999E-2</v>
      </c>
      <c r="Z3235">
        <v>-1.3112220000000001E-2</v>
      </c>
      <c r="AA3235">
        <v>0.99650839999999996</v>
      </c>
      <c r="AB3235">
        <v>35</v>
      </c>
      <c r="AC3235">
        <v>0.57429999999999304</v>
      </c>
      <c r="AD3235">
        <v>-0.26250279999999998</v>
      </c>
      <c r="AE3235">
        <v>-7.7300000000008098E-2</v>
      </c>
      <c r="AF3235">
        <v>6.7186105866421306E-2</v>
      </c>
      <c r="AG3235">
        <v>-0.26250279999999998</v>
      </c>
      <c r="AH3235">
        <v>0.476095407780396</v>
      </c>
      <c r="AI3235">
        <v>118.632620721235</v>
      </c>
      <c r="AJ3235">
        <v>81.967518025318498</v>
      </c>
      <c r="AK3235">
        <v>0.54780336813396402</v>
      </c>
      <c r="AL3235">
        <v>89.882667388120296</v>
      </c>
      <c r="AM3235">
        <v>86.923938063618706</v>
      </c>
      <c r="AN3235">
        <v>1.0000000166302201</v>
      </c>
    </row>
    <row r="3236" spans="1:40" x14ac:dyDescent="0.25">
      <c r="A3236" t="str">
        <f>"20190312161027993"</f>
        <v>20190312161027993</v>
      </c>
      <c r="B3236" t="str">
        <f>"1552378227989214"</f>
        <v>1552378227989214</v>
      </c>
      <c r="C3236" t="s">
        <v>40</v>
      </c>
      <c r="D3236">
        <v>5.1312509999999998</v>
      </c>
      <c r="E3236">
        <v>0.51762039999999998</v>
      </c>
      <c r="F3236" t="s">
        <v>42</v>
      </c>
      <c r="G3236">
        <v>-345.34660000000002</v>
      </c>
      <c r="H3236">
        <v>0.91959559999999996</v>
      </c>
      <c r="I3236">
        <v>212.67449999999999</v>
      </c>
      <c r="J3236">
        <v>-345.88150000000002</v>
      </c>
      <c r="K3236">
        <v>1.109599</v>
      </c>
      <c r="L3236">
        <v>212.75360000000001</v>
      </c>
      <c r="M3236">
        <v>0.99993560000000004</v>
      </c>
      <c r="N3236">
        <v>0</v>
      </c>
      <c r="O3236">
        <v>6.6641460000000001E-3</v>
      </c>
      <c r="P3236">
        <v>0.99890460000000003</v>
      </c>
      <c r="Q3236">
        <v>-6.6574080000000001E-3</v>
      </c>
      <c r="R3236">
        <v>-4.6317810000000001E-2</v>
      </c>
      <c r="S3236">
        <v>2.9873349999999999</v>
      </c>
      <c r="T3236">
        <v>-0.61838249999999995</v>
      </c>
      <c r="U3236">
        <v>-0.24858089999999999</v>
      </c>
      <c r="V3236">
        <v>5.2972600000000002E-2</v>
      </c>
      <c r="W3236">
        <v>2.5523310000000001E-3</v>
      </c>
      <c r="X3236">
        <v>0.9985927</v>
      </c>
      <c r="Y3236">
        <v>8.7579969999999993E-2</v>
      </c>
      <c r="Z3236">
        <v>-1.0317389999999999E-2</v>
      </c>
      <c r="AA3236">
        <v>0.99610410000000005</v>
      </c>
      <c r="AB3236">
        <v>35</v>
      </c>
      <c r="AC3236">
        <v>0.53489999999999305</v>
      </c>
      <c r="AD3236">
        <v>-0.19000339999999999</v>
      </c>
      <c r="AE3236">
        <v>-7.9100000000010995E-2</v>
      </c>
      <c r="AF3236">
        <v>7.3577932038281696E-2</v>
      </c>
      <c r="AG3236">
        <v>-0.19000339999999999</v>
      </c>
      <c r="AH3236">
        <v>0.47563181991730602</v>
      </c>
      <c r="AI3236">
        <v>111.54311845660401</v>
      </c>
      <c r="AJ3236">
        <v>81.206325062646002</v>
      </c>
      <c r="AK3236">
        <v>0.51743659728747304</v>
      </c>
      <c r="AL3236">
        <v>89.8537620463633</v>
      </c>
      <c r="AM3236">
        <v>86.9634624147034</v>
      </c>
      <c r="AN3236">
        <v>0.99999999561879105</v>
      </c>
    </row>
    <row r="3237" spans="1:40" x14ac:dyDescent="0.25">
      <c r="A3237" t="str">
        <f>"20190312161028014"</f>
        <v>20190312161028014</v>
      </c>
      <c r="B3237" t="str">
        <f>"1552378228009711"</f>
        <v>1552378228009711</v>
      </c>
      <c r="C3237" t="s">
        <v>40</v>
      </c>
      <c r="D3237">
        <v>5.1256599999999999</v>
      </c>
      <c r="E3237">
        <v>0.51790959999999997</v>
      </c>
      <c r="F3237" t="s">
        <v>42</v>
      </c>
      <c r="G3237">
        <v>-344.99619999999999</v>
      </c>
      <c r="H3237">
        <v>0.99443760000000003</v>
      </c>
      <c r="I3237">
        <v>212.67420000000001</v>
      </c>
      <c r="J3237">
        <v>-345.5401</v>
      </c>
      <c r="K3237">
        <v>1.1096010000000001</v>
      </c>
      <c r="L3237">
        <v>212.7561</v>
      </c>
      <c r="M3237">
        <v>0.99993290000000001</v>
      </c>
      <c r="N3237">
        <v>0</v>
      </c>
      <c r="O3237">
        <v>6.9010399999999998E-3</v>
      </c>
      <c r="P3237">
        <v>0.99893010000000004</v>
      </c>
      <c r="Q3237">
        <v>-6.3242369999999999E-3</v>
      </c>
      <c r="R3237">
        <v>-4.5812070000000003E-2</v>
      </c>
      <c r="S3237">
        <v>2.9883120000000001</v>
      </c>
      <c r="T3237">
        <v>-0.38883580000000001</v>
      </c>
      <c r="U3237">
        <v>-0.26695249999999998</v>
      </c>
      <c r="V3237">
        <v>5.270333E-2</v>
      </c>
      <c r="W3237">
        <v>3.0019869999999998E-3</v>
      </c>
      <c r="X3237">
        <v>0.99860570000000004</v>
      </c>
      <c r="Y3237">
        <v>9.4997380000000006E-2</v>
      </c>
      <c r="Z3237">
        <v>-7.034991E-3</v>
      </c>
      <c r="AA3237">
        <v>0.99545260000000002</v>
      </c>
      <c r="AB3237">
        <v>35</v>
      </c>
      <c r="AC3237">
        <v>0.54390000000000704</v>
      </c>
      <c r="AD3237">
        <v>-0.1151634</v>
      </c>
      <c r="AE3237">
        <v>-8.18999999999903E-2</v>
      </c>
      <c r="AF3237">
        <v>8.2054556417260005E-2</v>
      </c>
      <c r="AG3237">
        <v>-0.1151634</v>
      </c>
      <c r="AH3237">
        <v>0.52050383058467697</v>
      </c>
      <c r="AI3237">
        <v>102.328404328541</v>
      </c>
      <c r="AJ3237">
        <v>81.041363730900798</v>
      </c>
      <c r="AK3237">
        <v>0.53936981430342901</v>
      </c>
      <c r="AL3237">
        <v>89.827998556143399</v>
      </c>
      <c r="AM3237">
        <v>86.9789083139502</v>
      </c>
      <c r="AN3237">
        <v>0.99999999849576304</v>
      </c>
    </row>
    <row r="3238" spans="1:40" x14ac:dyDescent="0.25">
      <c r="A3238" t="str">
        <f>"20190312161028036"</f>
        <v>20190312161028036</v>
      </c>
      <c r="B3238" t="str">
        <f>"1552378228029229"</f>
        <v>1552378228029229</v>
      </c>
      <c r="C3238" t="s">
        <v>40</v>
      </c>
      <c r="D3238">
        <v>5.0582440000000002</v>
      </c>
      <c r="E3238">
        <v>0.51724689999999995</v>
      </c>
      <c r="F3238" t="s">
        <v>42</v>
      </c>
      <c r="G3238">
        <v>-344.67329999999998</v>
      </c>
      <c r="H3238">
        <v>1.0118069999999999</v>
      </c>
      <c r="I3238">
        <v>212.67769999999999</v>
      </c>
      <c r="J3238">
        <v>-345.20659999999998</v>
      </c>
      <c r="K3238">
        <v>1.1096010000000001</v>
      </c>
      <c r="L3238">
        <v>212.7587</v>
      </c>
      <c r="M3238">
        <v>0.99993030000000005</v>
      </c>
      <c r="N3238">
        <v>0</v>
      </c>
      <c r="O3238">
        <v>7.1323979999999999E-3</v>
      </c>
      <c r="P3238">
        <v>0.99896180000000001</v>
      </c>
      <c r="Q3238">
        <v>-6.2308229999999999E-3</v>
      </c>
      <c r="R3238">
        <v>-4.512878E-2</v>
      </c>
      <c r="S3238">
        <v>2.9887079999999999</v>
      </c>
      <c r="T3238">
        <v>-0.33730579999999999</v>
      </c>
      <c r="U3238">
        <v>-0.26966859999999998</v>
      </c>
      <c r="V3238">
        <v>5.2251249999999999E-2</v>
      </c>
      <c r="W3238">
        <v>3.194629E-3</v>
      </c>
      <c r="X3238">
        <v>0.99862890000000004</v>
      </c>
      <c r="Y3238">
        <v>9.6314090000000005E-2</v>
      </c>
      <c r="Z3238">
        <v>-6.2078280000000003E-3</v>
      </c>
      <c r="AA3238">
        <v>0.99533159999999998</v>
      </c>
      <c r="AB3238">
        <v>35</v>
      </c>
      <c r="AC3238">
        <v>0.533299999999997</v>
      </c>
      <c r="AD3238">
        <v>-9.7794000000000103E-2</v>
      </c>
      <c r="AE3238">
        <v>-8.1000000000017197E-2</v>
      </c>
      <c r="AF3238">
        <v>8.2103227636784501E-2</v>
      </c>
      <c r="AG3238">
        <v>-9.7794000000000103E-2</v>
      </c>
      <c r="AH3238">
        <v>0.51575667301278105</v>
      </c>
      <c r="AI3238">
        <v>100.60608639132001</v>
      </c>
      <c r="AJ3238">
        <v>80.954988298323002</v>
      </c>
      <c r="AK3238">
        <v>0.53132810219448301</v>
      </c>
      <c r="AL3238">
        <v>89.816960937052301</v>
      </c>
      <c r="AM3238">
        <v>87.004844780069604</v>
      </c>
      <c r="AN3238">
        <v>1.0000000393480999</v>
      </c>
    </row>
    <row r="3239" spans="1:40" x14ac:dyDescent="0.25">
      <c r="A3239" t="str">
        <f>"20190312161028057"</f>
        <v>20190312161028057</v>
      </c>
      <c r="B3239" t="str">
        <f>"1552378228049726"</f>
        <v>1552378228049726</v>
      </c>
      <c r="C3239" t="s">
        <v>40</v>
      </c>
      <c r="D3239">
        <v>5.0933380000000001</v>
      </c>
      <c r="E3239">
        <v>0.51679120000000001</v>
      </c>
      <c r="F3239" t="s">
        <v>42</v>
      </c>
      <c r="G3239">
        <v>-344.35379999999998</v>
      </c>
      <c r="H3239">
        <v>1.021784</v>
      </c>
      <c r="I3239">
        <v>212.68299999999999</v>
      </c>
      <c r="J3239">
        <v>-344.85879999999997</v>
      </c>
      <c r="K3239">
        <v>1.1095980000000001</v>
      </c>
      <c r="L3239">
        <v>212.76140000000001</v>
      </c>
      <c r="M3239">
        <v>0.99992760000000003</v>
      </c>
      <c r="N3239">
        <v>0</v>
      </c>
      <c r="O3239">
        <v>7.3738629999999996E-3</v>
      </c>
      <c r="P3239">
        <v>0.99899559999999998</v>
      </c>
      <c r="Q3239">
        <v>-5.8024349999999999E-3</v>
      </c>
      <c r="R3239">
        <v>-4.4430150000000002E-2</v>
      </c>
      <c r="S3239">
        <v>2.9892880000000002</v>
      </c>
      <c r="T3239">
        <v>-0.30803180000000002</v>
      </c>
      <c r="U3239">
        <v>-0.2633972</v>
      </c>
      <c r="V3239">
        <v>5.1793810000000003E-2</v>
      </c>
      <c r="W3239">
        <v>3.7139019999999998E-3</v>
      </c>
      <c r="X3239">
        <v>0.99865090000000001</v>
      </c>
      <c r="Y3239">
        <v>9.4581150000000003E-2</v>
      </c>
      <c r="Z3239">
        <v>-5.6073470000000004E-3</v>
      </c>
      <c r="AA3239">
        <v>0.99550130000000003</v>
      </c>
      <c r="AB3239">
        <v>35</v>
      </c>
      <c r="AC3239">
        <v>0.50499999999999501</v>
      </c>
      <c r="AD3239">
        <v>-8.7813999999999795E-2</v>
      </c>
      <c r="AE3239">
        <v>-7.8400000000016207E-2</v>
      </c>
      <c r="AF3239">
        <v>7.9766663159762399E-2</v>
      </c>
      <c r="AG3239">
        <v>-8.7813999999999795E-2</v>
      </c>
      <c r="AH3239">
        <v>0.489942198044445</v>
      </c>
      <c r="AI3239">
        <v>100.03206973048501</v>
      </c>
      <c r="AJ3239">
        <v>80.752903980867103</v>
      </c>
      <c r="AK3239">
        <v>0.50410056196384501</v>
      </c>
      <c r="AL3239">
        <v>89.787208601963897</v>
      </c>
      <c r="AM3239">
        <v>87.031084403428906</v>
      </c>
      <c r="AN3239">
        <v>1.0000000059465901</v>
      </c>
    </row>
    <row r="3240" spans="1:40" x14ac:dyDescent="0.25">
      <c r="A3240" t="str">
        <f>"20190312161028081"</f>
        <v>20190312161028081</v>
      </c>
      <c r="B3240" t="str">
        <f>"1552378228069245"</f>
        <v>1552378228069245</v>
      </c>
      <c r="C3240" t="s">
        <v>40</v>
      </c>
      <c r="D3240">
        <v>5.1525189999999998</v>
      </c>
      <c r="E3240">
        <v>0.51663649999999905</v>
      </c>
      <c r="F3240" t="s">
        <v>42</v>
      </c>
      <c r="G3240">
        <v>-344.03590000000003</v>
      </c>
      <c r="H3240">
        <v>1.0276299999999901</v>
      </c>
      <c r="I3240">
        <v>212.69030000000001</v>
      </c>
      <c r="J3240">
        <v>-344.48559999999998</v>
      </c>
      <c r="K3240">
        <v>1.1096010000000001</v>
      </c>
      <c r="L3240">
        <v>212.76439999999999</v>
      </c>
      <c r="M3240">
        <v>0.99992499999999995</v>
      </c>
      <c r="N3240">
        <v>0</v>
      </c>
      <c r="O3240">
        <v>7.6326369999999899E-3</v>
      </c>
      <c r="P3240">
        <v>0.99901890000000004</v>
      </c>
      <c r="Q3240">
        <v>-6.0283960000000001E-3</v>
      </c>
      <c r="R3240">
        <v>-4.3874990000000003E-2</v>
      </c>
      <c r="S3240">
        <v>2.9898069999999999</v>
      </c>
      <c r="T3240">
        <v>-0.29785450000000002</v>
      </c>
      <c r="U3240">
        <v>-0.25802609999999998</v>
      </c>
      <c r="V3240">
        <v>5.1497210000000002E-2</v>
      </c>
      <c r="W3240">
        <v>3.573236E-3</v>
      </c>
      <c r="X3240">
        <v>0.99866679999999997</v>
      </c>
      <c r="Y3240">
        <v>9.3089569999999996E-2</v>
      </c>
      <c r="Z3240">
        <v>-5.3741860000000004E-3</v>
      </c>
      <c r="AA3240">
        <v>0.99564330000000001</v>
      </c>
      <c r="AB3240">
        <v>35</v>
      </c>
      <c r="AC3240">
        <v>0.44969999999994997</v>
      </c>
      <c r="AD3240">
        <v>-8.1971000000000196E-2</v>
      </c>
      <c r="AE3240">
        <v>-7.4099999999987107E-2</v>
      </c>
      <c r="AF3240">
        <v>7.5101066426605703E-2</v>
      </c>
      <c r="AG3240">
        <v>-8.1971000000000196E-2</v>
      </c>
      <c r="AH3240">
        <v>0.43504857593348101</v>
      </c>
      <c r="AI3240">
        <v>100.51843319133501</v>
      </c>
      <c r="AJ3240">
        <v>80.205738384743398</v>
      </c>
      <c r="AK3240">
        <v>0.44902859423556002</v>
      </c>
      <c r="AL3240">
        <v>89.795268233387702</v>
      </c>
      <c r="AM3240">
        <v>87.048102814677904</v>
      </c>
      <c r="AN3240">
        <v>1.00000005403776</v>
      </c>
    </row>
    <row r="3241" spans="1:40" x14ac:dyDescent="0.25">
      <c r="A3241" t="str">
        <f>"20190312161028101"</f>
        <v>20190312161028101</v>
      </c>
      <c r="B3241" t="str">
        <f>"1552378228089745"</f>
        <v>1552378228089745</v>
      </c>
      <c r="C3241" t="s">
        <v>40</v>
      </c>
      <c r="D3241">
        <v>5.1380679999999996</v>
      </c>
      <c r="E3241">
        <v>0.51650829999999903</v>
      </c>
      <c r="F3241" t="s">
        <v>42</v>
      </c>
      <c r="G3241">
        <v>-343.71679999999998</v>
      </c>
      <c r="H3241">
        <v>1.0356320000000001</v>
      </c>
      <c r="I3241">
        <v>212.6985</v>
      </c>
      <c r="J3241">
        <v>-344.17340000000002</v>
      </c>
      <c r="K3241">
        <v>1.1096079999999999</v>
      </c>
      <c r="L3241">
        <v>212.767</v>
      </c>
      <c r="M3241">
        <v>0.99992259999999999</v>
      </c>
      <c r="N3241">
        <v>0</v>
      </c>
      <c r="O3241">
        <v>7.8493119999999902E-3</v>
      </c>
      <c r="P3241">
        <v>0.99902729999999995</v>
      </c>
      <c r="Q3241">
        <v>-5.6158769999999896E-3</v>
      </c>
      <c r="R3241">
        <v>-4.3736160000000003E-2</v>
      </c>
      <c r="S3241">
        <v>2.98996</v>
      </c>
      <c r="T3241">
        <v>-0.28785480000000002</v>
      </c>
      <c r="U3241">
        <v>-0.25518800000000003</v>
      </c>
      <c r="V3241">
        <v>5.1574750000000003E-2</v>
      </c>
      <c r="W3241">
        <v>4.0481620000000001E-3</v>
      </c>
      <c r="X3241">
        <v>0.99866089999999996</v>
      </c>
      <c r="Y3241">
        <v>9.2397530000000005E-2</v>
      </c>
      <c r="Z3241">
        <v>-5.1821489999999996E-3</v>
      </c>
      <c r="AA3241">
        <v>0.9957087</v>
      </c>
      <c r="AB3241">
        <v>35</v>
      </c>
      <c r="AC3241">
        <v>0.45660000000003698</v>
      </c>
      <c r="AD3241">
        <v>-7.3976E-2</v>
      </c>
      <c r="AE3241">
        <v>-6.85000000000002E-2</v>
      </c>
      <c r="AF3241">
        <v>7.0277943267988197E-2</v>
      </c>
      <c r="AG3241">
        <v>-7.3976E-2</v>
      </c>
      <c r="AH3241">
        <v>0.444634004297767</v>
      </c>
      <c r="AI3241">
        <v>99.332287487551795</v>
      </c>
      <c r="AJ3241">
        <v>81.018249147610405</v>
      </c>
      <c r="AK3241">
        <v>0.45619166549142998</v>
      </c>
      <c r="AL3241">
        <v>89.768056761648594</v>
      </c>
      <c r="AM3241">
        <v>87.043648549741704</v>
      </c>
      <c r="AN3241">
        <v>0.999999967820974</v>
      </c>
    </row>
    <row r="3242" spans="1:40" x14ac:dyDescent="0.25">
      <c r="A3242" t="str">
        <f>"20190312161028125"</f>
        <v>20190312161028125</v>
      </c>
      <c r="B3242" t="str">
        <f>"1552378228119998"</f>
        <v>1552378228119998</v>
      </c>
      <c r="C3242" t="s">
        <v>40</v>
      </c>
      <c r="D3242">
        <v>5.1874929999999999</v>
      </c>
      <c r="E3242">
        <v>0.51657339999999996</v>
      </c>
      <c r="F3242" t="s">
        <v>42</v>
      </c>
      <c r="G3242">
        <v>-343.39940000000001</v>
      </c>
      <c r="H3242">
        <v>1.039199</v>
      </c>
      <c r="I3242">
        <v>212.70099999999999</v>
      </c>
      <c r="J3242">
        <v>-343.78890000000001</v>
      </c>
      <c r="K3242">
        <v>1.1096140000000001</v>
      </c>
      <c r="L3242">
        <v>212.77019999999999</v>
      </c>
      <c r="M3242">
        <v>0.99992000000000003</v>
      </c>
      <c r="N3242">
        <v>0</v>
      </c>
      <c r="O3242">
        <v>8.1158529999999993E-3</v>
      </c>
      <c r="P3242">
        <v>0.99901660000000003</v>
      </c>
      <c r="Q3242">
        <v>-5.9886409999999899E-3</v>
      </c>
      <c r="R3242">
        <v>-4.393391E-2</v>
      </c>
      <c r="S3242">
        <v>2.9902950000000001</v>
      </c>
      <c r="T3242">
        <v>-0.27209060000000002</v>
      </c>
      <c r="U3242">
        <v>-0.254303</v>
      </c>
      <c r="V3242">
        <v>5.203866E-2</v>
      </c>
      <c r="W3242">
        <v>3.7415579999999999E-3</v>
      </c>
      <c r="X3242">
        <v>0.99863800000000003</v>
      </c>
      <c r="Y3242">
        <v>9.2408770000000001E-2</v>
      </c>
      <c r="Z3242">
        <v>-4.9237350000000003E-3</v>
      </c>
      <c r="AA3242">
        <v>0.99570899999999996</v>
      </c>
      <c r="AB3242">
        <v>35</v>
      </c>
      <c r="AC3242">
        <v>0.38949999999999801</v>
      </c>
      <c r="AD3242">
        <v>-7.0414999999999894E-2</v>
      </c>
      <c r="AE3242">
        <v>-6.9199999999995002E-2</v>
      </c>
      <c r="AF3242">
        <v>7.0136884170190206E-2</v>
      </c>
      <c r="AG3242">
        <v>-7.0414999999999894E-2</v>
      </c>
      <c r="AH3242">
        <v>0.37698181058636798</v>
      </c>
      <c r="AI3242">
        <v>100.4055825411</v>
      </c>
      <c r="AJ3242">
        <v>79.460708539731598</v>
      </c>
      <c r="AK3242">
        <v>0.38986246325990298</v>
      </c>
      <c r="AL3242">
        <v>89.785624004365701</v>
      </c>
      <c r="AM3242">
        <v>87.017035980410796</v>
      </c>
      <c r="AN3242">
        <v>0.99999993821742905</v>
      </c>
    </row>
    <row r="3243" spans="1:40" x14ac:dyDescent="0.25">
      <c r="A3243" t="str">
        <f>"20190312161028147"</f>
        <v>20190312161028147</v>
      </c>
      <c r="B3243" t="str">
        <f>"1552378228139517"</f>
        <v>1552378228139517</v>
      </c>
      <c r="C3243" t="s">
        <v>40</v>
      </c>
      <c r="D3243">
        <v>5.244561</v>
      </c>
      <c r="E3243">
        <v>0.51659880000000002</v>
      </c>
      <c r="F3243" t="s">
        <v>42</v>
      </c>
      <c r="G3243">
        <v>-342.7747</v>
      </c>
      <c r="H3243">
        <v>1.0232779999999999</v>
      </c>
      <c r="I3243">
        <v>212.6832</v>
      </c>
      <c r="J3243">
        <v>-343.44709999999998</v>
      </c>
      <c r="K3243">
        <v>1.109618</v>
      </c>
      <c r="L3243">
        <v>212.7732</v>
      </c>
      <c r="M3243">
        <v>0.99991739999999996</v>
      </c>
      <c r="N3243">
        <v>0</v>
      </c>
      <c r="O3243">
        <v>8.3528400000000003E-3</v>
      </c>
      <c r="P3243">
        <v>0.99901960000000001</v>
      </c>
      <c r="Q3243">
        <v>-6.2274169999999998E-3</v>
      </c>
      <c r="R3243">
        <v>-4.3833669999999998E-2</v>
      </c>
      <c r="S3243">
        <v>2.990173</v>
      </c>
      <c r="T3243">
        <v>-0.25465460000000001</v>
      </c>
      <c r="U3243">
        <v>-0.25611879999999998</v>
      </c>
      <c r="V3243">
        <v>5.2175249999999999E-2</v>
      </c>
      <c r="W3243">
        <v>3.554162E-3</v>
      </c>
      <c r="X3243">
        <v>0.99863159999999895</v>
      </c>
      <c r="Y3243">
        <v>9.3295450000000002E-2</v>
      </c>
      <c r="Z3243">
        <v>-4.6671899999999999E-3</v>
      </c>
      <c r="AA3243">
        <v>0.9956275</v>
      </c>
      <c r="AB3243">
        <v>35</v>
      </c>
      <c r="AC3243">
        <v>0.67239999999998101</v>
      </c>
      <c r="AD3243">
        <v>-8.6339999999999806E-2</v>
      </c>
      <c r="AE3243">
        <v>-9.0000000000003397E-2</v>
      </c>
      <c r="AF3243">
        <v>9.4089531013727107E-2</v>
      </c>
      <c r="AG3243">
        <v>-8.6339999999999806E-2</v>
      </c>
      <c r="AH3243">
        <v>0.66091928841150605</v>
      </c>
      <c r="AI3243">
        <v>97.369283849449104</v>
      </c>
      <c r="AJ3243">
        <v>81.897723928472203</v>
      </c>
      <c r="AK3243">
        <v>0.67314318034186005</v>
      </c>
      <c r="AL3243">
        <v>89.796361085021999</v>
      </c>
      <c r="AM3243">
        <v>87.009201421746596</v>
      </c>
      <c r="AN3243">
        <v>0.99999998064932205</v>
      </c>
    </row>
    <row r="3244" spans="1:40" x14ac:dyDescent="0.25">
      <c r="A3244" t="str">
        <f>"20190312161028169"</f>
        <v>20190312161028169</v>
      </c>
      <c r="B3244" t="str">
        <f>"1552378228160013"</f>
        <v>1552378228160013</v>
      </c>
      <c r="C3244" t="s">
        <v>40</v>
      </c>
      <c r="D3244">
        <v>5.2792760000000003</v>
      </c>
      <c r="E3244">
        <v>0.51661429999999997</v>
      </c>
      <c r="F3244" t="s">
        <v>42</v>
      </c>
      <c r="G3244">
        <v>-342.45549999999997</v>
      </c>
      <c r="H3244">
        <v>1.0287649999999999</v>
      </c>
      <c r="I3244">
        <v>212.68790000000001</v>
      </c>
      <c r="J3244">
        <v>-343.09399999999999</v>
      </c>
      <c r="K3244">
        <v>1.1096140000000001</v>
      </c>
      <c r="L3244">
        <v>212.7764</v>
      </c>
      <c r="M3244">
        <v>0.999915</v>
      </c>
      <c r="N3244">
        <v>0</v>
      </c>
      <c r="O3244">
        <v>8.5977169999999995E-3</v>
      </c>
      <c r="P3244">
        <v>0.99899320000000003</v>
      </c>
      <c r="Q3244">
        <v>-6.35931E-3</v>
      </c>
      <c r="R3244">
        <v>-4.4412769999999997E-2</v>
      </c>
      <c r="S3244">
        <v>2.990173</v>
      </c>
      <c r="T3244">
        <v>-0.2439009</v>
      </c>
      <c r="U3244">
        <v>-0.25633240000000002</v>
      </c>
      <c r="V3244">
        <v>5.2998700000000003E-2</v>
      </c>
      <c r="W3244">
        <v>3.4683320000000002E-3</v>
      </c>
      <c r="X3244">
        <v>0.99858860000000005</v>
      </c>
      <c r="Y3244">
        <v>9.3638109999999997E-2</v>
      </c>
      <c r="Z3244">
        <v>-4.5045859999999997E-3</v>
      </c>
      <c r="AA3244">
        <v>0.99559609999999998</v>
      </c>
      <c r="AB3244">
        <v>35</v>
      </c>
      <c r="AC3244">
        <v>0.63850000000002105</v>
      </c>
      <c r="AD3244">
        <v>-8.0848999999999893E-2</v>
      </c>
      <c r="AE3244">
        <v>-8.8499999999981996E-2</v>
      </c>
      <c r="AF3244">
        <v>9.2531006632060694E-2</v>
      </c>
      <c r="AG3244">
        <v>-8.0848999999999893E-2</v>
      </c>
      <c r="AH3244">
        <v>0.62783877736100002</v>
      </c>
      <c r="AI3244">
        <v>97.260220691473805</v>
      </c>
      <c r="AJ3244">
        <v>81.616090797725604</v>
      </c>
      <c r="AK3244">
        <v>0.63975001238569595</v>
      </c>
      <c r="AL3244">
        <v>89.801278824339207</v>
      </c>
      <c r="AM3244">
        <v>86.961956641520999</v>
      </c>
      <c r="AN3244">
        <v>1.0000000417892501</v>
      </c>
    </row>
    <row r="3245" spans="1:40" x14ac:dyDescent="0.25">
      <c r="A3245" t="str">
        <f>"20190312161028191"</f>
        <v>20190312161028191</v>
      </c>
      <c r="B3245" t="str">
        <f>"1552378228179537"</f>
        <v>1552378228179537</v>
      </c>
      <c r="C3245" t="s">
        <v>40</v>
      </c>
      <c r="D3245">
        <v>5.2653970000000001</v>
      </c>
      <c r="E3245">
        <v>0.51665269999999996</v>
      </c>
      <c r="F3245" t="s">
        <v>42</v>
      </c>
      <c r="G3245">
        <v>-342.13580000000002</v>
      </c>
      <c r="H3245">
        <v>1.0346439999999999</v>
      </c>
      <c r="I3245">
        <v>212.69329999999999</v>
      </c>
      <c r="J3245">
        <v>-342.74770000000001</v>
      </c>
      <c r="K3245">
        <v>1.1096200000000001</v>
      </c>
      <c r="L3245">
        <v>212.77959999999999</v>
      </c>
      <c r="M3245">
        <v>0.99991249999999998</v>
      </c>
      <c r="N3245">
        <v>0</v>
      </c>
      <c r="O3245">
        <v>8.8376759999999992E-3</v>
      </c>
      <c r="P3245">
        <v>0.99900900000000004</v>
      </c>
      <c r="Q3245">
        <v>-6.2499740000000002E-3</v>
      </c>
      <c r="R3245">
        <v>-4.4071680000000002E-2</v>
      </c>
      <c r="S3245">
        <v>2.990021</v>
      </c>
      <c r="T3245">
        <v>-0.23401549999999999</v>
      </c>
      <c r="U3245">
        <v>-0.258606</v>
      </c>
      <c r="V3245">
        <v>5.2897270000000003E-2</v>
      </c>
      <c r="W3245">
        <v>3.618058E-3</v>
      </c>
      <c r="X3245">
        <v>0.99859339999999996</v>
      </c>
      <c r="Y3245">
        <v>9.4655660000000003E-2</v>
      </c>
      <c r="Z3245">
        <v>-4.3810619999999998E-3</v>
      </c>
      <c r="AA3245">
        <v>0.99550039999999995</v>
      </c>
      <c r="AB3245">
        <v>35</v>
      </c>
      <c r="AC3245">
        <v>0.61189999999999101</v>
      </c>
      <c r="AD3245">
        <v>-7.4975999999999904E-2</v>
      </c>
      <c r="AE3245">
        <v>-8.6299999999994201E-2</v>
      </c>
      <c r="AF3245">
        <v>9.0374288482546694E-2</v>
      </c>
      <c r="AG3245">
        <v>-7.4975999999999904E-2</v>
      </c>
      <c r="AH3245">
        <v>0.60224783595164799</v>
      </c>
      <c r="AI3245">
        <v>97.018658253455797</v>
      </c>
      <c r="AJ3245">
        <v>81.465781305175199</v>
      </c>
      <c r="AK3245">
        <v>0.61358892469076498</v>
      </c>
      <c r="AL3245">
        <v>89.792700093261303</v>
      </c>
      <c r="AM3245">
        <v>86.967774598627699</v>
      </c>
      <c r="AN3245">
        <v>0.99999999502035197</v>
      </c>
    </row>
    <row r="3246" spans="1:40" x14ac:dyDescent="0.25">
      <c r="A3246" t="str">
        <f>"20190312161028215"</f>
        <v>20190312161028215</v>
      </c>
      <c r="B3246" t="str">
        <f>"1552378228209791"</f>
        <v>1552378228209791</v>
      </c>
      <c r="C3246" t="s">
        <v>40</v>
      </c>
      <c r="D3246">
        <v>5.3201470000000004</v>
      </c>
      <c r="E3246">
        <v>0.51687689999999997</v>
      </c>
      <c r="F3246" t="s">
        <v>42</v>
      </c>
      <c r="G3246">
        <v>-341.81639999999999</v>
      </c>
      <c r="H3246">
        <v>1.0393269999999999</v>
      </c>
      <c r="I3246">
        <v>212.69890000000001</v>
      </c>
      <c r="J3246">
        <v>-342.37419999999997</v>
      </c>
      <c r="K3246">
        <v>1.1096239999999999</v>
      </c>
      <c r="L3246">
        <v>212.78319999999999</v>
      </c>
      <c r="M3246">
        <v>0.99990979999999996</v>
      </c>
      <c r="N3246">
        <v>0</v>
      </c>
      <c r="O3246">
        <v>9.0962999999999999E-3</v>
      </c>
      <c r="P3246">
        <v>0.99900889999999998</v>
      </c>
      <c r="Q3246">
        <v>-6.4101890000000002E-3</v>
      </c>
      <c r="R3246">
        <v>-4.4048940000000002E-2</v>
      </c>
      <c r="S3246">
        <v>2.990173</v>
      </c>
      <c r="T3246">
        <v>-0.2258937</v>
      </c>
      <c r="U3246">
        <v>-0.25808720000000002</v>
      </c>
      <c r="V3246">
        <v>5.3133069999999998E-2</v>
      </c>
      <c r="W3246">
        <v>3.4964660000000002E-3</v>
      </c>
      <c r="X3246">
        <v>0.99858130000000001</v>
      </c>
      <c r="Y3246">
        <v>9.4757739999999993E-2</v>
      </c>
      <c r="Z3246">
        <v>-4.2525890000000002E-3</v>
      </c>
      <c r="AA3246">
        <v>0.99549129999999997</v>
      </c>
      <c r="AB3246">
        <v>35</v>
      </c>
      <c r="AC3246">
        <v>0.55779999999998597</v>
      </c>
      <c r="AD3246">
        <v>-7.0296999999999804E-2</v>
      </c>
      <c r="AE3246">
        <v>-8.4299999999984707E-2</v>
      </c>
      <c r="AF3246">
        <v>8.8004168256584706E-2</v>
      </c>
      <c r="AG3246">
        <v>-7.0296999999999804E-2</v>
      </c>
      <c r="AH3246">
        <v>0.54849319404316099</v>
      </c>
      <c r="AI3246">
        <v>97.2121798039406</v>
      </c>
      <c r="AJ3246">
        <v>80.884744666395704</v>
      </c>
      <c r="AK3246">
        <v>0.55993855533549597</v>
      </c>
      <c r="AL3246">
        <v>89.799666842904301</v>
      </c>
      <c r="AM3246">
        <v>86.954246413213397</v>
      </c>
      <c r="AN3246">
        <v>0.999999980555901</v>
      </c>
    </row>
    <row r="3247" spans="1:40" x14ac:dyDescent="0.25">
      <c r="A3247" t="str">
        <f>"20190312161028259"</f>
        <v>20190312161028259</v>
      </c>
      <c r="B3247" t="str">
        <f>"1552378228249805"</f>
        <v>1552378228249805</v>
      </c>
      <c r="C3247" t="s">
        <v>40</v>
      </c>
      <c r="D3247">
        <v>5.3944489999999998</v>
      </c>
      <c r="E3247">
        <v>0.51764279999999996</v>
      </c>
      <c r="F3247" t="s">
        <v>42</v>
      </c>
      <c r="G3247">
        <v>-341.49650000000003</v>
      </c>
      <c r="H3247">
        <v>1.0444329999999999</v>
      </c>
      <c r="I3247">
        <v>212.70670000000001</v>
      </c>
      <c r="J3247">
        <v>-341.65640000000002</v>
      </c>
      <c r="K3247">
        <v>1.109634</v>
      </c>
      <c r="L3247">
        <v>212.7903</v>
      </c>
      <c r="M3247">
        <v>0.99990449999999997</v>
      </c>
      <c r="N3247">
        <v>0</v>
      </c>
      <c r="O3247">
        <v>9.5937090000000006E-3</v>
      </c>
      <c r="P3247">
        <v>0.99901379999999995</v>
      </c>
      <c r="Q3247">
        <v>-7.0777649999999998E-3</v>
      </c>
      <c r="R3247">
        <v>-4.383869E-2</v>
      </c>
      <c r="S3247">
        <v>2.9900820000000001</v>
      </c>
      <c r="T3247">
        <v>-0.22220790000000001</v>
      </c>
      <c r="U3247">
        <v>-0.25993349999999998</v>
      </c>
      <c r="V3247">
        <v>5.3419580000000001E-2</v>
      </c>
      <c r="W3247">
        <v>2.8889779999999999E-3</v>
      </c>
      <c r="X3247">
        <v>0.99856800000000001</v>
      </c>
      <c r="Y3247">
        <v>9.5870700000000003E-2</v>
      </c>
      <c r="Z3247">
        <v>-4.2614829999999999E-3</v>
      </c>
      <c r="AA3247">
        <v>0.99538470000000001</v>
      </c>
      <c r="AB3247">
        <v>36</v>
      </c>
      <c r="AC3247">
        <v>0.15989999999999299</v>
      </c>
      <c r="AD3247">
        <v>-6.5200999999999995E-2</v>
      </c>
      <c r="AE3247">
        <v>-8.3599999999989905E-2</v>
      </c>
      <c r="AF3247">
        <v>7.5298109721673001E-2</v>
      </c>
      <c r="AG3247">
        <v>-6.5200999999999995E-2</v>
      </c>
      <c r="AH3247">
        <v>0.14071634030976399</v>
      </c>
      <c r="AI3247">
        <v>112.221867104824</v>
      </c>
      <c r="AJ3247">
        <v>61.848512432101003</v>
      </c>
      <c r="AK3247">
        <v>0.17240088212892099</v>
      </c>
      <c r="AL3247">
        <v>89.834473527241798</v>
      </c>
      <c r="AM3247">
        <v>86.937813230166299</v>
      </c>
      <c r="AN3247">
        <v>1.0000000241726299</v>
      </c>
    </row>
    <row r="3248" spans="1:40" x14ac:dyDescent="0.25">
      <c r="A3248" t="str">
        <f>"20190312161028348"</f>
        <v>20190312161028348</v>
      </c>
      <c r="B3248" t="str">
        <f>"1552378228339598"</f>
        <v>1552378228339598</v>
      </c>
      <c r="C3248" t="s">
        <v>40</v>
      </c>
      <c r="D3248">
        <v>5.4669530000000002</v>
      </c>
      <c r="E3248">
        <v>0.5185343</v>
      </c>
      <c r="F3248" t="s">
        <v>42</v>
      </c>
      <c r="G3248">
        <v>-339.58519999999999</v>
      </c>
      <c r="H3248">
        <v>1.0433159999999999</v>
      </c>
      <c r="I3248">
        <v>212.70660000000001</v>
      </c>
      <c r="J3248">
        <v>-340.24509999999998</v>
      </c>
      <c r="K3248">
        <v>1.1096410000000001</v>
      </c>
      <c r="L3248">
        <v>212.80520000000001</v>
      </c>
      <c r="M3248">
        <v>0.99989380000000005</v>
      </c>
      <c r="N3248">
        <v>0</v>
      </c>
      <c r="O3248">
        <v>1.0570349999999999E-2</v>
      </c>
      <c r="P3248">
        <v>0.99902639999999998</v>
      </c>
      <c r="Q3248">
        <v>-8.1041429999999994E-3</v>
      </c>
      <c r="R3248">
        <v>-4.3368160000000003E-2</v>
      </c>
      <c r="S3248">
        <v>2.989563</v>
      </c>
      <c r="T3248">
        <v>-0.19158149999999999</v>
      </c>
      <c r="U3248">
        <v>-0.27189639999999998</v>
      </c>
      <c r="V3248">
        <v>5.3925309999999997E-2</v>
      </c>
      <c r="W3248">
        <v>1.945797E-3</v>
      </c>
      <c r="X3248">
        <v>0.99854310000000002</v>
      </c>
      <c r="Y3248">
        <v>0.1008703</v>
      </c>
      <c r="Z3248">
        <v>-3.8975239999999999E-3</v>
      </c>
      <c r="AA3248">
        <v>0.99489190000000005</v>
      </c>
      <c r="AB3248">
        <v>36</v>
      </c>
      <c r="AC3248">
        <v>0.65989999999999305</v>
      </c>
      <c r="AD3248">
        <v>-6.6324999999999898E-2</v>
      </c>
      <c r="AE3248">
        <v>-9.8600000000004601E-2</v>
      </c>
      <c r="AF3248">
        <v>0.104537263622554</v>
      </c>
      <c r="AG3248">
        <v>-6.6324999999999898E-2</v>
      </c>
      <c r="AH3248">
        <v>0.652374604347566</v>
      </c>
      <c r="AI3248">
        <v>95.732511861030005</v>
      </c>
      <c r="AJ3248">
        <v>80.896251010549193</v>
      </c>
      <c r="AK3248">
        <v>0.66401782318574398</v>
      </c>
      <c r="AL3248">
        <v>89.888513976421905</v>
      </c>
      <c r="AM3248">
        <v>86.9088021418317</v>
      </c>
      <c r="AN3248">
        <v>1.00000002387108</v>
      </c>
    </row>
    <row r="3249" spans="1:40" x14ac:dyDescent="0.25">
      <c r="A3249" t="str">
        <f>"20190312161028370"</f>
        <v>20190312161028370</v>
      </c>
      <c r="B3249" t="str">
        <f>"1552378228359118"</f>
        <v>1552378228359118</v>
      </c>
      <c r="C3249" t="s">
        <v>40</v>
      </c>
      <c r="D3249">
        <v>5.0157980000000002</v>
      </c>
      <c r="E3249">
        <v>0.51856210000000003</v>
      </c>
      <c r="F3249" t="s">
        <v>42</v>
      </c>
      <c r="G3249">
        <v>-339.26080000000002</v>
      </c>
      <c r="H3249">
        <v>1.0493539999999999</v>
      </c>
      <c r="I3249">
        <v>212.715</v>
      </c>
      <c r="J3249">
        <v>-339.89350000000002</v>
      </c>
      <c r="K3249">
        <v>1.109642</v>
      </c>
      <c r="L3249">
        <v>212.8092</v>
      </c>
      <c r="M3249">
        <v>0.99989110000000003</v>
      </c>
      <c r="N3249">
        <v>0</v>
      </c>
      <c r="O3249">
        <v>1.0813400000000001E-2</v>
      </c>
      <c r="P3249">
        <v>0.99905409999999994</v>
      </c>
      <c r="Q3249">
        <v>-7.8585779999999997E-3</v>
      </c>
      <c r="R3249">
        <v>-4.276928E-2</v>
      </c>
      <c r="S3249">
        <v>2.9896240000000001</v>
      </c>
      <c r="T3249">
        <v>-0.18333279999999999</v>
      </c>
      <c r="U3249">
        <v>-0.27238459999999998</v>
      </c>
      <c r="V3249">
        <v>5.356934E-2</v>
      </c>
      <c r="W3249">
        <v>2.2066260000000002E-3</v>
      </c>
      <c r="X3249">
        <v>0.9985617</v>
      </c>
      <c r="Y3249">
        <v>0.1012893</v>
      </c>
      <c r="Z3249">
        <v>-3.757603E-3</v>
      </c>
      <c r="AA3249">
        <v>0.99484989999999995</v>
      </c>
      <c r="AB3249">
        <v>36</v>
      </c>
      <c r="AC3249">
        <v>0.63269999999999904</v>
      </c>
      <c r="AD3249">
        <v>-6.0287999999999897E-2</v>
      </c>
      <c r="AE3249">
        <v>-9.42000000000007E-2</v>
      </c>
      <c r="AF3249">
        <v>0.100146901772996</v>
      </c>
      <c r="AG3249">
        <v>-6.0287999999999897E-2</v>
      </c>
      <c r="AH3249">
        <v>0.626083032686367</v>
      </c>
      <c r="AI3249">
        <v>95.431648743160395</v>
      </c>
      <c r="AJ3249">
        <v>80.912077300224993</v>
      </c>
      <c r="AK3249">
        <v>0.63690188310012796</v>
      </c>
      <c r="AL3249">
        <v>89.873569541397998</v>
      </c>
      <c r="AM3249">
        <v>86.929225562637299</v>
      </c>
      <c r="AN3249">
        <v>1.0000000060466101</v>
      </c>
    </row>
    <row r="3250" spans="1:40" x14ac:dyDescent="0.25">
      <c r="A3250" t="str">
        <f>"20190312161028392"</f>
        <v>20190312161028392</v>
      </c>
      <c r="B3250" t="str">
        <f>"1552378228379614"</f>
        <v>1552378228379614</v>
      </c>
      <c r="C3250" t="s">
        <v>40</v>
      </c>
      <c r="D3250">
        <v>5.5147130000000004</v>
      </c>
      <c r="E3250">
        <v>0.51902009999999998</v>
      </c>
      <c r="F3250" t="s">
        <v>42</v>
      </c>
      <c r="G3250">
        <v>-338.93799999999999</v>
      </c>
      <c r="H3250">
        <v>1.052738</v>
      </c>
      <c r="I3250">
        <v>212.7225</v>
      </c>
      <c r="J3250">
        <v>-339.54969999999997</v>
      </c>
      <c r="K3250">
        <v>1.1096459999999999</v>
      </c>
      <c r="L3250">
        <v>212.81309999999999</v>
      </c>
      <c r="M3250">
        <v>0.99988840000000001</v>
      </c>
      <c r="N3250">
        <v>0</v>
      </c>
      <c r="O3250">
        <v>1.1051099999999999E-2</v>
      </c>
      <c r="P3250">
        <v>0.99908750000000002</v>
      </c>
      <c r="Q3250">
        <v>-7.9595369999999992E-3</v>
      </c>
      <c r="R3250">
        <v>-4.19642E-2</v>
      </c>
      <c r="S3250">
        <v>2.989868</v>
      </c>
      <c r="T3250">
        <v>-0.1781954</v>
      </c>
      <c r="U3250">
        <v>-0.270874</v>
      </c>
      <c r="V3250">
        <v>5.3002059999999997E-2</v>
      </c>
      <c r="W3250">
        <v>2.1193649999999998E-3</v>
      </c>
      <c r="X3250">
        <v>0.99859209999999998</v>
      </c>
      <c r="Y3250">
        <v>0.1010315</v>
      </c>
      <c r="Z3250">
        <v>-3.6587490000000002E-3</v>
      </c>
      <c r="AA3250">
        <v>0.99487650000000005</v>
      </c>
      <c r="AB3250">
        <v>36</v>
      </c>
      <c r="AC3250">
        <v>0.61169999999992797</v>
      </c>
      <c r="AD3250">
        <v>-5.6907999999999903E-2</v>
      </c>
      <c r="AE3250">
        <v>-9.0599999999994907E-2</v>
      </c>
      <c r="AF3250">
        <v>9.6537167940141194E-2</v>
      </c>
      <c r="AG3250">
        <v>-5.6907999999999903E-2</v>
      </c>
      <c r="AH3250">
        <v>0.60553294581314299</v>
      </c>
      <c r="AI3250">
        <v>95.302318086737998</v>
      </c>
      <c r="AJ3250">
        <v>80.941841486461399</v>
      </c>
      <c r="AK3250">
        <v>0.61581498335380302</v>
      </c>
      <c r="AL3250">
        <v>89.878569232805006</v>
      </c>
      <c r="AM3250">
        <v>86.961775026019794</v>
      </c>
      <c r="AN3250">
        <v>0.99999994612732701</v>
      </c>
    </row>
    <row r="3251" spans="1:40" x14ac:dyDescent="0.25">
      <c r="A3251" t="str">
        <f>"20190312161028415"</f>
        <v>20190312161028415</v>
      </c>
      <c r="B3251" t="str">
        <f>"1552378228409869"</f>
        <v>1552378228409869</v>
      </c>
      <c r="C3251" t="s">
        <v>40</v>
      </c>
      <c r="D3251">
        <v>5.5136409999999998</v>
      </c>
      <c r="E3251">
        <v>0.51926490000000003</v>
      </c>
      <c r="F3251" t="s">
        <v>61</v>
      </c>
      <c r="G3251">
        <v>-320.39339999999999</v>
      </c>
      <c r="H3251" s="1">
        <v>-1.3274500000000001E-6</v>
      </c>
      <c r="I3251">
        <v>211.06870000000001</v>
      </c>
      <c r="J3251">
        <v>-339.16980000000001</v>
      </c>
      <c r="K3251">
        <v>1.10965</v>
      </c>
      <c r="L3251">
        <v>212.8175</v>
      </c>
      <c r="M3251">
        <v>0.99988529999999998</v>
      </c>
      <c r="N3251">
        <v>0</v>
      </c>
      <c r="O3251">
        <v>1.131353E-2</v>
      </c>
      <c r="P3251">
        <v>0.99910410000000005</v>
      </c>
      <c r="Q3251">
        <v>-8.3627049999999998E-3</v>
      </c>
      <c r="R3251">
        <v>-4.1491609999999998E-2</v>
      </c>
      <c r="S3251">
        <v>2.9898989999999999</v>
      </c>
      <c r="T3251">
        <v>-0.1731927</v>
      </c>
      <c r="U3251">
        <v>-0.27226260000000002</v>
      </c>
      <c r="V3251">
        <v>5.2791869999999998E-2</v>
      </c>
      <c r="W3251">
        <v>1.730267E-3</v>
      </c>
      <c r="X3251">
        <v>0.99860409999999999</v>
      </c>
      <c r="Y3251">
        <v>0.10175919999999999</v>
      </c>
      <c r="Z3251">
        <v>-3.5922739999999999E-3</v>
      </c>
      <c r="AA3251">
        <v>0.99480259999999998</v>
      </c>
      <c r="AB3251">
        <v>36</v>
      </c>
      <c r="AC3251">
        <v>18.776399999999999</v>
      </c>
      <c r="AD3251">
        <v>-1.1096513274499999</v>
      </c>
      <c r="AE3251">
        <v>-1.7487999999999799</v>
      </c>
      <c r="AF3251">
        <v>1.9543591147614701</v>
      </c>
      <c r="AG3251">
        <v>-1.1096513274499999</v>
      </c>
      <c r="AH3251">
        <v>18.690694437000801</v>
      </c>
      <c r="AI3251">
        <v>93.379235600448894</v>
      </c>
      <c r="AJ3251">
        <v>84.030661165116797</v>
      </c>
      <c r="AK3251">
        <v>18.825326136757798</v>
      </c>
      <c r="AL3251">
        <v>89.900862960144195</v>
      </c>
      <c r="AM3251">
        <v>86.973837557247094</v>
      </c>
      <c r="AN3251">
        <v>1.0000000619493901</v>
      </c>
    </row>
    <row r="3252" spans="1:40" x14ac:dyDescent="0.25">
      <c r="A3252" t="str">
        <f>"20190312161028460"</f>
        <v>20190312161028460</v>
      </c>
      <c r="B3252" t="str">
        <f>"1552378228449887"</f>
        <v>1552378228449887</v>
      </c>
      <c r="C3252" t="s">
        <v>40</v>
      </c>
      <c r="D3252">
        <v>5.5131040000000002</v>
      </c>
      <c r="E3252">
        <v>0.51956749999999996</v>
      </c>
      <c r="F3252" t="s">
        <v>74</v>
      </c>
      <c r="G3252">
        <v>-318.89780000000002</v>
      </c>
      <c r="H3252" s="1">
        <v>4.8514489999999997E-6</v>
      </c>
      <c r="I3252">
        <v>210.96459999999999</v>
      </c>
      <c r="J3252">
        <v>-338.45080000000002</v>
      </c>
      <c r="K3252">
        <v>1.1096490000000001</v>
      </c>
      <c r="L3252">
        <v>212.8262</v>
      </c>
      <c r="M3252">
        <v>0.99987930000000003</v>
      </c>
      <c r="N3252">
        <v>0</v>
      </c>
      <c r="O3252">
        <v>1.1810879999999999E-2</v>
      </c>
      <c r="P3252">
        <v>0.99912389999999995</v>
      </c>
      <c r="Q3252">
        <v>-8.7770069999999999E-3</v>
      </c>
      <c r="R3252">
        <v>-4.0921949999999999E-2</v>
      </c>
      <c r="S3252">
        <v>2.98996</v>
      </c>
      <c r="T3252">
        <v>-0.16366410000000001</v>
      </c>
      <c r="U3252">
        <v>-0.27330019999999999</v>
      </c>
      <c r="V3252">
        <v>5.271957E-2</v>
      </c>
      <c r="W3252">
        <v>1.3392600000000001E-3</v>
      </c>
      <c r="X3252">
        <v>0.99860850000000001</v>
      </c>
      <c r="Y3252">
        <v>0.1026127</v>
      </c>
      <c r="Z3252">
        <v>-3.4452620000000002E-3</v>
      </c>
      <c r="AA3252">
        <v>0.99471540000000003</v>
      </c>
      <c r="AB3252">
        <v>36</v>
      </c>
      <c r="AC3252">
        <v>19.553000000000001</v>
      </c>
      <c r="AD3252">
        <v>-1.10964414855099</v>
      </c>
      <c r="AE3252">
        <v>-1.8616000000000099</v>
      </c>
      <c r="AF3252">
        <v>2.0857629170023801</v>
      </c>
      <c r="AG3252">
        <v>-1.10964414855099</v>
      </c>
      <c r="AH3252">
        <v>19.467513356245</v>
      </c>
      <c r="AI3252">
        <v>93.243792474219006</v>
      </c>
      <c r="AJ3252">
        <v>83.884618891704406</v>
      </c>
      <c r="AK3252">
        <v>19.610349139113598</v>
      </c>
      <c r="AL3252">
        <v>89.923266034573302</v>
      </c>
      <c r="AM3252">
        <v>86.977987578025605</v>
      </c>
      <c r="AN3252">
        <v>1.0000000414752901</v>
      </c>
    </row>
    <row r="3253" spans="1:40" x14ac:dyDescent="0.25">
      <c r="A3253" t="str">
        <f>"20190312161028503"</f>
        <v>20190312161028503</v>
      </c>
      <c r="B3253" t="str">
        <f>"1552378228499663"</f>
        <v>1552378228499663</v>
      </c>
      <c r="C3253" t="s">
        <v>40</v>
      </c>
      <c r="D3253">
        <v>5.4504929999999998</v>
      </c>
      <c r="E3253">
        <v>0.52026689999999998</v>
      </c>
      <c r="F3253" t="s">
        <v>74</v>
      </c>
      <c r="G3253">
        <v>-317.04270000000002</v>
      </c>
      <c r="H3253" s="1">
        <v>4.0287699999999999E-6</v>
      </c>
      <c r="I3253">
        <v>210.86240000000001</v>
      </c>
      <c r="J3253">
        <v>-337.7586</v>
      </c>
      <c r="K3253">
        <v>1.1096539999999999</v>
      </c>
      <c r="L3253">
        <v>212.8349</v>
      </c>
      <c r="M3253">
        <v>0.99987329999999996</v>
      </c>
      <c r="N3253">
        <v>0</v>
      </c>
      <c r="O3253">
        <v>1.228923E-2</v>
      </c>
      <c r="P3253">
        <v>0.99911450000000002</v>
      </c>
      <c r="Q3253">
        <v>-8.3663250000000008E-3</v>
      </c>
      <c r="R3253">
        <v>-4.1235099999999997E-2</v>
      </c>
      <c r="S3253">
        <v>2.990021</v>
      </c>
      <c r="T3253">
        <v>-0.15498110000000001</v>
      </c>
      <c r="U3253">
        <v>-0.27429199999999998</v>
      </c>
      <c r="V3253">
        <v>5.3509920000000002E-2</v>
      </c>
      <c r="W3253">
        <v>1.76889E-3</v>
      </c>
      <c r="X3253">
        <v>0.9985657</v>
      </c>
      <c r="Y3253">
        <v>0.1034297</v>
      </c>
      <c r="Z3253">
        <v>-3.3084640000000001E-3</v>
      </c>
      <c r="AA3253">
        <v>0.9946313</v>
      </c>
      <c r="AB3253">
        <v>36</v>
      </c>
      <c r="AC3253">
        <v>20.715899999999898</v>
      </c>
      <c r="AD3253">
        <v>-1.1096499712299901</v>
      </c>
      <c r="AE3253">
        <v>-1.9724999999999899</v>
      </c>
      <c r="AF3253">
        <v>2.22063227640274</v>
      </c>
      <c r="AG3253">
        <v>-1.1096499712299901</v>
      </c>
      <c r="AH3253">
        <v>20.631429401537901</v>
      </c>
      <c r="AI3253">
        <v>93.061009483384396</v>
      </c>
      <c r="AJ3253">
        <v>83.856707031391196</v>
      </c>
      <c r="AK3253">
        <v>20.780240853182999</v>
      </c>
      <c r="AL3253">
        <v>89.898650010540806</v>
      </c>
      <c r="AM3253">
        <v>86.932637472130395</v>
      </c>
      <c r="AN3253">
        <v>0.99999994886336296</v>
      </c>
    </row>
    <row r="3254" spans="1:40" x14ac:dyDescent="0.25">
      <c r="A3254" t="str">
        <f>"20190312161028526"</f>
        <v>20190312161028526</v>
      </c>
      <c r="B3254" t="str">
        <f>"1552378228519183"</f>
        <v>1552378228519183</v>
      </c>
      <c r="C3254" t="s">
        <v>40</v>
      </c>
      <c r="D3254">
        <v>5.4401129999999904</v>
      </c>
      <c r="E3254">
        <v>0.52067070000000004</v>
      </c>
      <c r="F3254" t="s">
        <v>74</v>
      </c>
      <c r="G3254">
        <v>-315.83</v>
      </c>
      <c r="H3254" s="1">
        <v>3.491033E-6</v>
      </c>
      <c r="I3254">
        <v>210.77459999999999</v>
      </c>
      <c r="J3254">
        <v>-337.38440000000003</v>
      </c>
      <c r="K3254">
        <v>1.1096569999999999</v>
      </c>
      <c r="L3254">
        <v>212.8398</v>
      </c>
      <c r="M3254">
        <v>0.99987000000000004</v>
      </c>
      <c r="N3254">
        <v>0</v>
      </c>
      <c r="O3254">
        <v>1.2547330000000001E-2</v>
      </c>
      <c r="P3254">
        <v>0.99909219999999999</v>
      </c>
      <c r="Q3254">
        <v>-8.7804919999999904E-3</v>
      </c>
      <c r="R3254">
        <v>-4.1687729999999999E-2</v>
      </c>
      <c r="S3254">
        <v>2.9898069999999999</v>
      </c>
      <c r="T3254">
        <v>-0.15129339999999999</v>
      </c>
      <c r="U3254">
        <v>-0.28091430000000001</v>
      </c>
      <c r="V3254">
        <v>5.4220329999999997E-2</v>
      </c>
      <c r="W3254">
        <v>1.364056E-3</v>
      </c>
      <c r="X3254">
        <v>0.99852810000000003</v>
      </c>
      <c r="Y3254">
        <v>0.10588069999999999</v>
      </c>
      <c r="Z3254">
        <v>-3.3046080000000001E-3</v>
      </c>
      <c r="AA3254">
        <v>0.99437339999999996</v>
      </c>
      <c r="AB3254">
        <v>36</v>
      </c>
      <c r="AC3254">
        <v>21.554400000000001</v>
      </c>
      <c r="AD3254">
        <v>-1.1096535089670001</v>
      </c>
      <c r="AE3254">
        <v>-2.0651999999999999</v>
      </c>
      <c r="AF3254">
        <v>2.32938392884921</v>
      </c>
      <c r="AG3254">
        <v>-1.1096535089670001</v>
      </c>
      <c r="AH3254">
        <v>21.470402570492499</v>
      </c>
      <c r="AI3254">
        <v>92.941352261325704</v>
      </c>
      <c r="AJ3254">
        <v>83.808039637916707</v>
      </c>
      <c r="AK3254">
        <v>21.624882587818998</v>
      </c>
      <c r="AL3254">
        <v>89.921845326731201</v>
      </c>
      <c r="AM3254">
        <v>86.891876975109497</v>
      </c>
      <c r="AN3254">
        <v>1.0000000356618399</v>
      </c>
    </row>
    <row r="3255" spans="1:40" x14ac:dyDescent="0.25">
      <c r="A3255" t="str">
        <f>"20190312161028549"</f>
        <v>20190312161028549</v>
      </c>
      <c r="B3255" t="str">
        <f>"1552378228539681"</f>
        <v>1552378228539681</v>
      </c>
      <c r="C3255" t="s">
        <v>40</v>
      </c>
      <c r="D3255">
        <v>5.3564259999999999</v>
      </c>
      <c r="E3255">
        <v>0.52113180000000003</v>
      </c>
      <c r="F3255" t="s">
        <v>74</v>
      </c>
      <c r="G3255">
        <v>-315.51459999999997</v>
      </c>
      <c r="H3255" s="1">
        <v>3.3511680000000002E-6</v>
      </c>
      <c r="I3255">
        <v>210.7517</v>
      </c>
      <c r="J3255">
        <v>-337.01310000000001</v>
      </c>
      <c r="K3255">
        <v>1.109659</v>
      </c>
      <c r="L3255">
        <v>212.84469999999999</v>
      </c>
      <c r="M3255">
        <v>0.9998667</v>
      </c>
      <c r="N3255">
        <v>0</v>
      </c>
      <c r="O3255">
        <v>1.2803230000000001E-2</v>
      </c>
      <c r="P3255">
        <v>0.99909190000000003</v>
      </c>
      <c r="Q3255">
        <v>-8.687864E-3</v>
      </c>
      <c r="R3255">
        <v>-4.1716370000000003E-2</v>
      </c>
      <c r="S3255">
        <v>2.9895019999999999</v>
      </c>
      <c r="T3255">
        <v>-0.15168499999999999</v>
      </c>
      <c r="U3255">
        <v>-0.28543089999999999</v>
      </c>
      <c r="V3255">
        <v>5.4504280000000002E-2</v>
      </c>
      <c r="W3255">
        <v>1.4651449999999999E-3</v>
      </c>
      <c r="X3255">
        <v>0.99851239999999997</v>
      </c>
      <c r="Y3255">
        <v>0.10763010000000001</v>
      </c>
      <c r="Z3255">
        <v>-3.370456E-3</v>
      </c>
      <c r="AA3255">
        <v>0.99418530000000005</v>
      </c>
      <c r="AB3255">
        <v>36</v>
      </c>
      <c r="AC3255">
        <v>21.4985</v>
      </c>
      <c r="AD3255">
        <v>-1.109655648832</v>
      </c>
      <c r="AE3255">
        <v>-2.09299999999998</v>
      </c>
      <c r="AF3255">
        <v>2.3618595106420899</v>
      </c>
      <c r="AG3255">
        <v>-1.109655648832</v>
      </c>
      <c r="AH3255">
        <v>21.4134260316027</v>
      </c>
      <c r="AI3255">
        <v>92.948595980429403</v>
      </c>
      <c r="AJ3255">
        <v>83.705828219047106</v>
      </c>
      <c r="AK3255">
        <v>21.5718457814327</v>
      </c>
      <c r="AL3255">
        <v>89.9160533398925</v>
      </c>
      <c r="AM3255">
        <v>86.8755829782055</v>
      </c>
      <c r="AN3255">
        <v>0.99999993807097198</v>
      </c>
    </row>
    <row r="3256" spans="1:40" x14ac:dyDescent="0.25">
      <c r="A3256" t="str">
        <f>"20190312161028570"</f>
        <v>20190312161028570</v>
      </c>
      <c r="B3256" t="str">
        <f>"1552378228559198"</f>
        <v>1552378228559198</v>
      </c>
      <c r="C3256" t="s">
        <v>40</v>
      </c>
      <c r="D3256">
        <v>5.4216689999999996</v>
      </c>
      <c r="E3256">
        <v>0.52165950000000005</v>
      </c>
      <c r="F3256" t="s">
        <v>74</v>
      </c>
      <c r="G3256">
        <v>-314.83159999999998</v>
      </c>
      <c r="H3256" s="1">
        <v>3.0482770000000001E-6</v>
      </c>
      <c r="I3256">
        <v>210.6979</v>
      </c>
      <c r="J3256">
        <v>-336.66860000000003</v>
      </c>
      <c r="K3256">
        <v>1.1096600000000001</v>
      </c>
      <c r="L3256">
        <v>212.8493</v>
      </c>
      <c r="M3256">
        <v>0.99986370000000002</v>
      </c>
      <c r="N3256">
        <v>0</v>
      </c>
      <c r="O3256">
        <v>1.304072E-2</v>
      </c>
      <c r="P3256">
        <v>0.99911249999999996</v>
      </c>
      <c r="Q3256">
        <v>-7.6027350000000002E-3</v>
      </c>
      <c r="R3256">
        <v>-4.1433959999999999E-2</v>
      </c>
      <c r="S3256">
        <v>2.9893489999999998</v>
      </c>
      <c r="T3256">
        <v>-0.14954589999999901</v>
      </c>
      <c r="U3256">
        <v>-0.28932190000000002</v>
      </c>
      <c r="V3256">
        <v>5.4458859999999998E-2</v>
      </c>
      <c r="W3256">
        <v>2.5580540000000001E-3</v>
      </c>
      <c r="X3256">
        <v>0.99851270000000003</v>
      </c>
      <c r="Y3256">
        <v>0.10915519999999999</v>
      </c>
      <c r="Z3256">
        <v>-3.372833E-3</v>
      </c>
      <c r="AA3256">
        <v>0.99401899999999999</v>
      </c>
      <c r="AB3256">
        <v>36</v>
      </c>
      <c r="AC3256">
        <v>21.837</v>
      </c>
      <c r="AD3256">
        <v>-1.1096569517229999</v>
      </c>
      <c r="AE3256">
        <v>-2.15139999999999</v>
      </c>
      <c r="AF3256">
        <v>2.42978793291178</v>
      </c>
      <c r="AG3256">
        <v>-1.1096569517229999</v>
      </c>
      <c r="AH3256">
        <v>21.751458787332599</v>
      </c>
      <c r="AI3256">
        <v>92.902407516599595</v>
      </c>
      <c r="AJ3256">
        <v>83.626090825782597</v>
      </c>
      <c r="AK3256">
        <v>21.914861791178598</v>
      </c>
      <c r="AL3256">
        <v>89.853434136554398</v>
      </c>
      <c r="AM3256">
        <v>86.878182429635302</v>
      </c>
      <c r="AN3256">
        <v>0.99999996156702697</v>
      </c>
    </row>
    <row r="3257" spans="1:40" x14ac:dyDescent="0.25">
      <c r="A3257" t="str">
        <f>"20190312161028592"</f>
        <v>20190312161028592</v>
      </c>
      <c r="B3257" t="str">
        <f>"1552378228579694"</f>
        <v>1552378228579694</v>
      </c>
      <c r="C3257" t="s">
        <v>40</v>
      </c>
      <c r="D3257">
        <v>5.3204279999999997</v>
      </c>
      <c r="E3257">
        <v>0.52213270000000001</v>
      </c>
      <c r="F3257" t="s">
        <v>74</v>
      </c>
      <c r="G3257">
        <v>-313.52179999999998</v>
      </c>
      <c r="H3257" s="1">
        <v>2.46742E-6</v>
      </c>
      <c r="I3257">
        <v>210.58099999999999</v>
      </c>
      <c r="J3257">
        <v>-336.32889999999998</v>
      </c>
      <c r="K3257">
        <v>1.109659</v>
      </c>
      <c r="L3257">
        <v>212.85390000000001</v>
      </c>
      <c r="M3257">
        <v>0.99986039999999998</v>
      </c>
      <c r="N3257">
        <v>0</v>
      </c>
      <c r="O3257">
        <v>1.327499E-2</v>
      </c>
      <c r="P3257">
        <v>0.9991466</v>
      </c>
      <c r="Q3257">
        <v>-7.5632140000000004E-3</v>
      </c>
      <c r="R3257">
        <v>-4.0607730000000002E-2</v>
      </c>
      <c r="S3257">
        <v>2.9894099999999999</v>
      </c>
      <c r="T3257">
        <v>-0.143312299999999</v>
      </c>
      <c r="U3257">
        <v>-0.29295349999999998</v>
      </c>
      <c r="V3257">
        <v>5.386697E-2</v>
      </c>
      <c r="W3257">
        <v>2.6047840000000002E-3</v>
      </c>
      <c r="X3257">
        <v>0.99854480000000001</v>
      </c>
      <c r="Y3257">
        <v>0.1105927</v>
      </c>
      <c r="Z3257">
        <v>-3.2777090000000002E-3</v>
      </c>
      <c r="AA3257">
        <v>0.99386039999999998</v>
      </c>
      <c r="AB3257">
        <v>36</v>
      </c>
      <c r="AC3257">
        <v>22.807099999999899</v>
      </c>
      <c r="AD3257">
        <v>-1.1096565325800001</v>
      </c>
      <c r="AE3257">
        <v>-2.2729000000000199</v>
      </c>
      <c r="AF3257">
        <v>2.5694566782497699</v>
      </c>
      <c r="AG3257">
        <v>-1.1096565325800001</v>
      </c>
      <c r="AH3257">
        <v>22.7216578068745</v>
      </c>
      <c r="AI3257">
        <v>92.778250200836098</v>
      </c>
      <c r="AJ3257">
        <v>83.548171066838293</v>
      </c>
      <c r="AK3257">
        <v>22.893387227197302</v>
      </c>
      <c r="AL3257">
        <v>89.850756712904101</v>
      </c>
      <c r="AM3257">
        <v>86.912145177536004</v>
      </c>
      <c r="AN3257">
        <v>1.00000007648185</v>
      </c>
    </row>
    <row r="3258" spans="1:40" x14ac:dyDescent="0.25">
      <c r="A3258" t="str">
        <f>"20190312161028616"</f>
        <v>20190312161028616</v>
      </c>
      <c r="B3258" t="str">
        <f>"1552378228609949"</f>
        <v>1552378228609949</v>
      </c>
      <c r="C3258" t="s">
        <v>40</v>
      </c>
      <c r="D3258">
        <v>5.385853</v>
      </c>
      <c r="E3258">
        <v>0.52288029999999996</v>
      </c>
      <c r="F3258" t="s">
        <v>74</v>
      </c>
      <c r="G3258">
        <v>-312.88060000000002</v>
      </c>
      <c r="H3258" s="1">
        <v>2.1830839999999999E-6</v>
      </c>
      <c r="I3258">
        <v>210.54470000000001</v>
      </c>
      <c r="J3258">
        <v>-335.93279999999999</v>
      </c>
      <c r="K3258">
        <v>1.109656</v>
      </c>
      <c r="L3258">
        <v>212.8595</v>
      </c>
      <c r="M3258">
        <v>0.99985670000000004</v>
      </c>
      <c r="N3258">
        <v>0</v>
      </c>
      <c r="O3258">
        <v>1.3548060000000001E-2</v>
      </c>
      <c r="P3258">
        <v>0.99915019999999999</v>
      </c>
      <c r="Q3258">
        <v>-8.9014319999999904E-3</v>
      </c>
      <c r="R3258">
        <v>-4.0246909999999997E-2</v>
      </c>
      <c r="S3258">
        <v>2.9895320000000001</v>
      </c>
      <c r="T3258">
        <v>-0.1414752</v>
      </c>
      <c r="U3258">
        <v>-0.29441830000000002</v>
      </c>
      <c r="V3258">
        <v>5.3779859999999999E-2</v>
      </c>
      <c r="W3258">
        <v>1.274411E-3</v>
      </c>
      <c r="X3258">
        <v>0.998552</v>
      </c>
      <c r="Y3258">
        <v>0.111345</v>
      </c>
      <c r="Z3258">
        <v>-3.266166E-3</v>
      </c>
      <c r="AA3258">
        <v>0.9937764</v>
      </c>
      <c r="AB3258">
        <v>36</v>
      </c>
      <c r="AC3258">
        <v>23.0521999999999</v>
      </c>
      <c r="AD3258">
        <v>-1.109653816916</v>
      </c>
      <c r="AE3258">
        <v>-2.3147999999999902</v>
      </c>
      <c r="AF3258">
        <v>2.6209038575364598</v>
      </c>
      <c r="AG3258">
        <v>-1.109653816916</v>
      </c>
      <c r="AH3258">
        <v>22.966037355956701</v>
      </c>
      <c r="AI3258">
        <v>92.7484068281329</v>
      </c>
      <c r="AJ3258">
        <v>83.489522285789505</v>
      </c>
      <c r="AK3258">
        <v>23.141722936269101</v>
      </c>
      <c r="AL3258">
        <v>89.926981608356897</v>
      </c>
      <c r="AM3258">
        <v>86.917151192340995</v>
      </c>
      <c r="AN3258">
        <v>0.99999999708450804</v>
      </c>
    </row>
    <row r="3259" spans="1:40" x14ac:dyDescent="0.25">
      <c r="A3259" t="str">
        <f>"20190312161028639"</f>
        <v>20190312161028639</v>
      </c>
      <c r="B3259" t="str">
        <f>"1552378228629469"</f>
        <v>1552378228629469</v>
      </c>
      <c r="C3259" t="s">
        <v>40</v>
      </c>
      <c r="D3259">
        <v>5.2991039999999998</v>
      </c>
      <c r="E3259">
        <v>0.52331039999999995</v>
      </c>
      <c r="F3259" t="s">
        <v>74</v>
      </c>
      <c r="G3259">
        <v>-312.75110000000001</v>
      </c>
      <c r="H3259" s="1">
        <v>2.1256379999999998E-6</v>
      </c>
      <c r="I3259">
        <v>210.54050000000001</v>
      </c>
      <c r="J3259">
        <v>-335.56439999999998</v>
      </c>
      <c r="K3259">
        <v>1.109658</v>
      </c>
      <c r="L3259">
        <v>212.8647</v>
      </c>
      <c r="M3259">
        <v>0.99985310000000005</v>
      </c>
      <c r="N3259">
        <v>0</v>
      </c>
      <c r="O3259">
        <v>1.3802E-2</v>
      </c>
      <c r="P3259">
        <v>0.99914480000000006</v>
      </c>
      <c r="Q3259">
        <v>-8.9888820000000001E-3</v>
      </c>
      <c r="R3259">
        <v>-4.036141E-2</v>
      </c>
      <c r="S3259">
        <v>2.989258</v>
      </c>
      <c r="T3259">
        <v>-0.14308870000000001</v>
      </c>
      <c r="U3259">
        <v>-0.29902649999999997</v>
      </c>
      <c r="V3259">
        <v>5.4147689999999998E-2</v>
      </c>
      <c r="W3259">
        <v>1.194302E-3</v>
      </c>
      <c r="X3259">
        <v>0.99853219999999998</v>
      </c>
      <c r="Y3259">
        <v>0.1131177</v>
      </c>
      <c r="Z3259">
        <v>-3.3578459999999998E-3</v>
      </c>
      <c r="AA3259">
        <v>0.99357589999999996</v>
      </c>
      <c r="AB3259">
        <v>36</v>
      </c>
      <c r="AC3259">
        <v>22.813299999999899</v>
      </c>
      <c r="AD3259">
        <v>-1.109655874362</v>
      </c>
      <c r="AE3259">
        <v>-2.3241999999999901</v>
      </c>
      <c r="AF3259">
        <v>2.6326992458788898</v>
      </c>
      <c r="AG3259">
        <v>-1.109655874362</v>
      </c>
      <c r="AH3259">
        <v>22.7258312921373</v>
      </c>
      <c r="AI3259">
        <v>92.776873779202106</v>
      </c>
      <c r="AJ3259">
        <v>83.391962198915806</v>
      </c>
      <c r="AK3259">
        <v>22.904712384080401</v>
      </c>
      <c r="AL3259">
        <v>89.931571518064899</v>
      </c>
      <c r="AM3259">
        <v>86.896045558384102</v>
      </c>
      <c r="AN3259">
        <v>0.99999997656322104</v>
      </c>
    </row>
    <row r="3260" spans="1:40" x14ac:dyDescent="0.25">
      <c r="A3260" t="str">
        <f>"20190312161028682"</f>
        <v>20190312161028682</v>
      </c>
      <c r="B3260" t="str">
        <f>"1552378228669489"</f>
        <v>1552378228669489</v>
      </c>
      <c r="C3260" t="s">
        <v>40</v>
      </c>
      <c r="D3260">
        <v>5.0417009999999998</v>
      </c>
      <c r="E3260">
        <v>0.52402519999999997</v>
      </c>
      <c r="F3260" t="s">
        <v>74</v>
      </c>
      <c r="G3260">
        <v>-312.16820000000001</v>
      </c>
      <c r="H3260" s="1">
        <v>1.867158E-6</v>
      </c>
      <c r="I3260">
        <v>210.494</v>
      </c>
      <c r="J3260">
        <v>-334.87119999999999</v>
      </c>
      <c r="K3260">
        <v>1.1096699999999999</v>
      </c>
      <c r="L3260">
        <v>212.87479999999999</v>
      </c>
      <c r="M3260">
        <v>0.99984629999999997</v>
      </c>
      <c r="N3260">
        <v>0</v>
      </c>
      <c r="O3260">
        <v>1.427954E-2</v>
      </c>
      <c r="P3260">
        <v>0.99920929999999997</v>
      </c>
      <c r="Q3260">
        <v>-7.9925220000000002E-3</v>
      </c>
      <c r="R3260">
        <v>-3.895067E-2</v>
      </c>
      <c r="S3260">
        <v>2.9890750000000001</v>
      </c>
      <c r="T3260">
        <v>-0.14176849999999999</v>
      </c>
      <c r="U3260">
        <v>-0.30287170000000002</v>
      </c>
      <c r="V3260">
        <v>5.3214339999999999E-2</v>
      </c>
      <c r="W3260">
        <v>2.2037649999999999E-3</v>
      </c>
      <c r="X3260">
        <v>0.99858069999999999</v>
      </c>
      <c r="Y3260">
        <v>0.1148636</v>
      </c>
      <c r="Z3260">
        <v>-3.390751E-3</v>
      </c>
      <c r="AA3260">
        <v>0.99337549999999997</v>
      </c>
      <c r="AB3260">
        <v>36</v>
      </c>
      <c r="AC3260">
        <v>22.7029999999999</v>
      </c>
      <c r="AD3260">
        <v>-1.1096681328419999</v>
      </c>
      <c r="AE3260">
        <v>-2.3807999999999598</v>
      </c>
      <c r="AF3260">
        <v>2.6983860281268499</v>
      </c>
      <c r="AG3260">
        <v>-1.1096681328419999</v>
      </c>
      <c r="AH3260">
        <v>22.613250663891399</v>
      </c>
      <c r="AI3260">
        <v>92.7895826183709</v>
      </c>
      <c r="AJ3260">
        <v>83.195205647090802</v>
      </c>
      <c r="AK3260">
        <v>22.8006963952819</v>
      </c>
      <c r="AL3260">
        <v>89.873733466591602</v>
      </c>
      <c r="AM3260">
        <v>86.949594724967</v>
      </c>
      <c r="AN3260">
        <v>1.00000001848715</v>
      </c>
    </row>
    <row r="3261" spans="1:40" x14ac:dyDescent="0.25">
      <c r="A3261" t="str">
        <f>"20190312161028706"</f>
        <v>20190312161028706</v>
      </c>
      <c r="B3261" t="str">
        <f>"1552378228699742"</f>
        <v>1552378228699742</v>
      </c>
      <c r="C3261" t="s">
        <v>40</v>
      </c>
      <c r="D3261">
        <v>5.3585399999999996</v>
      </c>
      <c r="E3261">
        <v>0.524458599999999</v>
      </c>
      <c r="F3261" t="s">
        <v>74</v>
      </c>
      <c r="G3261">
        <v>-310.1139</v>
      </c>
      <c r="H3261" s="1">
        <v>9.5616429999999993E-7</v>
      </c>
      <c r="I3261">
        <v>210.35079999999999</v>
      </c>
      <c r="J3261">
        <v>-334.49279999999999</v>
      </c>
      <c r="K3261">
        <v>1.109667</v>
      </c>
      <c r="L3261">
        <v>212.88040000000001</v>
      </c>
      <c r="M3261">
        <v>0.99984240000000002</v>
      </c>
      <c r="N3261">
        <v>0</v>
      </c>
      <c r="O3261">
        <v>1.453992E-2</v>
      </c>
      <c r="P3261">
        <v>0.99920240000000005</v>
      </c>
      <c r="Q3261">
        <v>-8.2137990000000008E-3</v>
      </c>
      <c r="R3261">
        <v>-3.9084599999999997E-2</v>
      </c>
      <c r="S3261">
        <v>2.989471</v>
      </c>
      <c r="T3261">
        <v>-0.133994</v>
      </c>
      <c r="U3261">
        <v>-0.30477910000000002</v>
      </c>
      <c r="V3261">
        <v>5.3608179999999998E-2</v>
      </c>
      <c r="W3261">
        <v>1.9887120000000001E-3</v>
      </c>
      <c r="X3261">
        <v>0.99856009999999995</v>
      </c>
      <c r="Y3261">
        <v>0.11575050000000001</v>
      </c>
      <c r="Z3261">
        <v>-3.2359250000000002E-3</v>
      </c>
      <c r="AA3261">
        <v>0.99327299999999996</v>
      </c>
      <c r="AB3261">
        <v>36</v>
      </c>
      <c r="AC3261">
        <v>24.378899999999899</v>
      </c>
      <c r="AD3261">
        <v>-1.1096660438357</v>
      </c>
      <c r="AE3261">
        <v>-2.5296000000000101</v>
      </c>
      <c r="AF3261">
        <v>2.8779191378559301</v>
      </c>
      <c r="AG3261">
        <v>-1.1096660438357</v>
      </c>
      <c r="AH3261">
        <v>24.289752092603599</v>
      </c>
      <c r="AI3261">
        <v>92.597568473321203</v>
      </c>
      <c r="AJ3261">
        <v>83.242934032450293</v>
      </c>
      <c r="AK3261">
        <v>24.4848082290432</v>
      </c>
      <c r="AL3261">
        <v>89.886055124342107</v>
      </c>
      <c r="AM3261">
        <v>86.926998474691999</v>
      </c>
      <c r="AN3261">
        <v>1.0000000326251699</v>
      </c>
    </row>
    <row r="3262" spans="1:40" x14ac:dyDescent="0.25">
      <c r="A3262" t="str">
        <f>"20190312161028728"</f>
        <v>20190312161028728</v>
      </c>
      <c r="B3262" t="str">
        <f>"1552378228719262"</f>
        <v>1552378228719262</v>
      </c>
      <c r="C3262" t="s">
        <v>40</v>
      </c>
      <c r="D3262">
        <v>5.323715</v>
      </c>
      <c r="E3262">
        <v>0.52469940000000004</v>
      </c>
      <c r="F3262" t="s">
        <v>74</v>
      </c>
      <c r="G3262">
        <v>-308.63029999999998</v>
      </c>
      <c r="H3262" s="1">
        <v>1.122389E-6</v>
      </c>
      <c r="I3262">
        <v>210.20939999999999</v>
      </c>
      <c r="J3262">
        <v>-334.1223</v>
      </c>
      <c r="K3262">
        <v>1.1096629999999901</v>
      </c>
      <c r="L3262">
        <v>212.8861</v>
      </c>
      <c r="M3262">
        <v>0.99983860000000002</v>
      </c>
      <c r="N3262">
        <v>0</v>
      </c>
      <c r="O3262">
        <v>1.4795239999999999E-2</v>
      </c>
      <c r="P3262">
        <v>0.99922750000000005</v>
      </c>
      <c r="Q3262">
        <v>-8.773622E-3</v>
      </c>
      <c r="R3262">
        <v>-3.8308679999999998E-2</v>
      </c>
      <c r="S3262">
        <v>2.9892880000000002</v>
      </c>
      <c r="T3262">
        <v>-0.12825929999999999</v>
      </c>
      <c r="U3262">
        <v>-0.30873109999999998</v>
      </c>
      <c r="V3262">
        <v>5.3088290000000003E-2</v>
      </c>
      <c r="W3262">
        <v>1.435104E-3</v>
      </c>
      <c r="X3262">
        <v>0.99858880000000005</v>
      </c>
      <c r="Y3262">
        <v>0.1173189</v>
      </c>
      <c r="Z3262">
        <v>-3.1420100000000002E-3</v>
      </c>
      <c r="AA3262">
        <v>0.99308929999999995</v>
      </c>
      <c r="AB3262">
        <v>36</v>
      </c>
      <c r="AC3262">
        <v>25.492000000000001</v>
      </c>
      <c r="AD3262">
        <v>-1.1096618776110001</v>
      </c>
      <c r="AE3262">
        <v>-2.6767000000000101</v>
      </c>
      <c r="AF3262">
        <v>3.04787457032092</v>
      </c>
      <c r="AG3262">
        <v>-1.1096618776110001</v>
      </c>
      <c r="AH3262">
        <v>25.401997058944101</v>
      </c>
      <c r="AI3262">
        <v>92.4835301891368</v>
      </c>
      <c r="AJ3262">
        <v>83.158038352602503</v>
      </c>
      <c r="AK3262">
        <v>25.608247567173301</v>
      </c>
      <c r="AL3262">
        <v>89.917774570134696</v>
      </c>
      <c r="AM3262">
        <v>86.956831329000195</v>
      </c>
      <c r="AN3262">
        <v>1.00000000877202</v>
      </c>
    </row>
    <row r="3263" spans="1:40" x14ac:dyDescent="0.25">
      <c r="A3263" t="str">
        <f>"20190312161028750"</f>
        <v>20190312161028750</v>
      </c>
      <c r="B3263" t="str">
        <f>"1552378228739758"</f>
        <v>1552378228739758</v>
      </c>
      <c r="C3263" t="s">
        <v>40</v>
      </c>
      <c r="D3263">
        <v>5.4092370000000001</v>
      </c>
      <c r="E3263">
        <v>0.52499479999999998</v>
      </c>
      <c r="F3263" t="s">
        <v>74</v>
      </c>
      <c r="G3263">
        <v>-307.7586</v>
      </c>
      <c r="H3263" s="1">
        <v>1.277008E-6</v>
      </c>
      <c r="I3263">
        <v>210.1653</v>
      </c>
      <c r="J3263">
        <v>-333.75490000000002</v>
      </c>
      <c r="K3263">
        <v>1.1096629999999901</v>
      </c>
      <c r="L3263">
        <v>212.89169999999999</v>
      </c>
      <c r="M3263">
        <v>0.99983480000000002</v>
      </c>
      <c r="N3263">
        <v>0</v>
      </c>
      <c r="O3263">
        <v>1.5048229999999999E-2</v>
      </c>
      <c r="P3263">
        <v>0.99925200000000003</v>
      </c>
      <c r="Q3263">
        <v>-8.7256539999999994E-3</v>
      </c>
      <c r="R3263">
        <v>-3.7676759999999997E-2</v>
      </c>
      <c r="S3263">
        <v>2.9893489999999998</v>
      </c>
      <c r="T3263">
        <v>-0.12582360000000001</v>
      </c>
      <c r="U3263">
        <v>-0.3085022</v>
      </c>
      <c r="V3263">
        <v>5.2709390000000002E-2</v>
      </c>
      <c r="W3263">
        <v>1.489464E-3</v>
      </c>
      <c r="X3263">
        <v>0.99860879999999996</v>
      </c>
      <c r="Y3263">
        <v>0.117497</v>
      </c>
      <c r="Z3263">
        <v>-3.0967019999999998E-3</v>
      </c>
      <c r="AA3263">
        <v>0.99306839999999996</v>
      </c>
      <c r="AB3263">
        <v>36</v>
      </c>
      <c r="AC3263">
        <v>25.996300000000002</v>
      </c>
      <c r="AD3263">
        <v>-1.1096617229919901</v>
      </c>
      <c r="AE3263">
        <v>-2.72639999999998</v>
      </c>
      <c r="AF3263">
        <v>3.1117019194618201</v>
      </c>
      <c r="AG3263">
        <v>-1.1096617229919901</v>
      </c>
      <c r="AH3263">
        <v>25.905638865955801</v>
      </c>
      <c r="AI3263">
        <v>92.435267507464701</v>
      </c>
      <c r="AJ3263">
        <v>83.150630670866406</v>
      </c>
      <c r="AK3263">
        <v>26.115439169739702</v>
      </c>
      <c r="AL3263">
        <v>89.9146599689482</v>
      </c>
      <c r="AM3263">
        <v>86.978570944758303</v>
      </c>
      <c r="AN3263">
        <v>1.0000000168673</v>
      </c>
    </row>
    <row r="3264" spans="1:40" x14ac:dyDescent="0.25">
      <c r="A3264" t="str">
        <f>"20190312161028771"</f>
        <v>20190312161028771</v>
      </c>
      <c r="B3264" t="str">
        <f>"1552378228759135"</f>
        <v>1552378228759135</v>
      </c>
      <c r="C3264" t="s">
        <v>40</v>
      </c>
      <c r="D3264">
        <v>5.4023399999999997</v>
      </c>
      <c r="E3264">
        <v>0.52493719999999999</v>
      </c>
      <c r="F3264" t="s">
        <v>74</v>
      </c>
      <c r="G3264">
        <v>-306.55630000000002</v>
      </c>
      <c r="H3264" s="1">
        <v>1.490285E-6</v>
      </c>
      <c r="I3264">
        <v>210.0787</v>
      </c>
      <c r="J3264">
        <v>-333.41899999999998</v>
      </c>
      <c r="K3264">
        <v>1.109666</v>
      </c>
      <c r="L3264">
        <v>212.89699999999999</v>
      </c>
      <c r="M3264">
        <v>0.99983129999999998</v>
      </c>
      <c r="N3264">
        <v>0</v>
      </c>
      <c r="O3264">
        <v>1.527923E-2</v>
      </c>
      <c r="P3264">
        <v>0.99927449999999995</v>
      </c>
      <c r="Q3264">
        <v>-8.5292110000000001E-3</v>
      </c>
      <c r="R3264">
        <v>-3.7119949999999999E-2</v>
      </c>
      <c r="S3264">
        <v>2.9895320000000001</v>
      </c>
      <c r="T3264">
        <v>-0.12196849999999999</v>
      </c>
      <c r="U3264">
        <v>-0.30918879999999999</v>
      </c>
      <c r="V3264">
        <v>5.2383569999999997E-2</v>
      </c>
      <c r="W3264">
        <v>1.691166E-3</v>
      </c>
      <c r="X3264">
        <v>0.9986256</v>
      </c>
      <c r="Y3264">
        <v>0.1179523</v>
      </c>
      <c r="Z3264">
        <v>-3.0203420000000001E-3</v>
      </c>
      <c r="AA3264">
        <v>0.99301470000000003</v>
      </c>
      <c r="AB3264">
        <v>36</v>
      </c>
      <c r="AC3264">
        <v>26.8627</v>
      </c>
      <c r="AD3264">
        <v>-1.109664509715</v>
      </c>
      <c r="AE3264">
        <v>-2.8183000000000198</v>
      </c>
      <c r="AF3264">
        <v>3.2229937930509398</v>
      </c>
      <c r="AG3264">
        <v>-1.109664509715</v>
      </c>
      <c r="AH3264">
        <v>26.7713146392082</v>
      </c>
      <c r="AI3264">
        <v>92.356540816627501</v>
      </c>
      <c r="AJ3264">
        <v>83.135209532317106</v>
      </c>
      <c r="AK3264">
        <v>26.987447671568599</v>
      </c>
      <c r="AL3264">
        <v>89.903103278946503</v>
      </c>
      <c r="AM3264">
        <v>86.997263868593606</v>
      </c>
      <c r="AN3264">
        <v>0.99999999371187198</v>
      </c>
    </row>
    <row r="3265" spans="1:40" x14ac:dyDescent="0.25">
      <c r="A3265" t="str">
        <f>"20190312161028794"</f>
        <v>20190312161028794</v>
      </c>
      <c r="B3265" t="str">
        <f>"1552378228789391"</f>
        <v>1552378228789391</v>
      </c>
      <c r="C3265" t="s">
        <v>40</v>
      </c>
      <c r="D3265">
        <v>5.4122919999999999</v>
      </c>
      <c r="E3265">
        <v>0.45780009999999999</v>
      </c>
      <c r="F3265" t="s">
        <v>74</v>
      </c>
      <c r="G3265">
        <v>-305.9676</v>
      </c>
      <c r="H3265" s="1">
        <v>1.59471E-6</v>
      </c>
      <c r="I3265">
        <v>210.078</v>
      </c>
      <c r="J3265">
        <v>-333.05889999999999</v>
      </c>
      <c r="K3265">
        <v>1.1096710000000001</v>
      </c>
      <c r="L3265">
        <v>212.90270000000001</v>
      </c>
      <c r="M3265">
        <v>0.99982729999999997</v>
      </c>
      <c r="N3265">
        <v>0</v>
      </c>
      <c r="O3265">
        <v>1.5527269999999999E-2</v>
      </c>
      <c r="P3265">
        <v>0.99928499999999998</v>
      </c>
      <c r="Q3265">
        <v>-8.4292550000000001E-3</v>
      </c>
      <c r="R3265">
        <v>-3.685484E-2</v>
      </c>
      <c r="S3265">
        <v>2.9897770000000001</v>
      </c>
      <c r="T3265">
        <v>-0.1208552</v>
      </c>
      <c r="U3265">
        <v>-0.30702210000000002</v>
      </c>
      <c r="V3265">
        <v>5.2366620000000003E-2</v>
      </c>
      <c r="W3265">
        <v>1.7970239999999999E-3</v>
      </c>
      <c r="X3265">
        <v>0.99862629999999997</v>
      </c>
      <c r="Y3265">
        <v>0.117480399999999</v>
      </c>
      <c r="Z3265">
        <v>-2.993154E-3</v>
      </c>
      <c r="AA3265">
        <v>0.99307069999999997</v>
      </c>
      <c r="AB3265">
        <v>36</v>
      </c>
      <c r="AC3265">
        <v>27.091299999999901</v>
      </c>
      <c r="AD3265">
        <v>-1.10966940528999</v>
      </c>
      <c r="AE3265">
        <v>-2.8247</v>
      </c>
      <c r="AF3265">
        <v>3.2396584087149498</v>
      </c>
      <c r="AG3265">
        <v>-1.10966940528999</v>
      </c>
      <c r="AH3265">
        <v>26.9993604439282</v>
      </c>
      <c r="AI3265">
        <v>92.336779638727194</v>
      </c>
      <c r="AJ3265">
        <v>83.157780640572099</v>
      </c>
      <c r="AK3265">
        <v>27.215661248173799</v>
      </c>
      <c r="AL3265">
        <v>89.897038052631601</v>
      </c>
      <c r="AM3265">
        <v>86.998235801215003</v>
      </c>
      <c r="AN3265">
        <v>0.99999998961858505</v>
      </c>
    </row>
    <row r="3266" spans="1:40" x14ac:dyDescent="0.25">
      <c r="A3266" t="str">
        <f>"20190312161028816"</f>
        <v>20190312161028816</v>
      </c>
      <c r="B3266" t="str">
        <f>"1552378228809887"</f>
        <v>1552378228809887</v>
      </c>
      <c r="C3266" t="s">
        <v>40</v>
      </c>
      <c r="D3266">
        <v>5.4106319999999997</v>
      </c>
      <c r="E3266">
        <v>0.4494843</v>
      </c>
      <c r="F3266" t="s">
        <v>74</v>
      </c>
      <c r="G3266">
        <v>-304.57659999999998</v>
      </c>
      <c r="H3266" s="1">
        <v>1.8414470000000001E-6</v>
      </c>
      <c r="I3266">
        <v>215.071</v>
      </c>
      <c r="J3266">
        <v>-332.68259999999998</v>
      </c>
      <c r="K3266">
        <v>1.1096729999999999</v>
      </c>
      <c r="L3266">
        <v>212.90880000000001</v>
      </c>
      <c r="M3266">
        <v>0.99982320000000002</v>
      </c>
      <c r="N3266">
        <v>0</v>
      </c>
      <c r="O3266">
        <v>1.5786339999999999E-2</v>
      </c>
      <c r="P3266">
        <v>0.99931130000000001</v>
      </c>
      <c r="Q3266">
        <v>-7.7263059999999996E-3</v>
      </c>
      <c r="R3266">
        <v>-3.6295260000000003E-2</v>
      </c>
      <c r="S3266">
        <v>3.0096129999999999</v>
      </c>
      <c r="T3266">
        <v>-0.117254399999999</v>
      </c>
      <c r="U3266">
        <v>0.2291107</v>
      </c>
      <c r="V3266">
        <v>5.2065510000000002E-2</v>
      </c>
      <c r="W3266">
        <v>2.5056010000000001E-3</v>
      </c>
      <c r="X3266">
        <v>0.99864050000000004</v>
      </c>
      <c r="Y3266">
        <v>-6.0122170000000003E-2</v>
      </c>
      <c r="Z3266">
        <v>5.5520889999999897E-4</v>
      </c>
      <c r="AA3266">
        <v>0.99819089999999999</v>
      </c>
      <c r="AB3266">
        <v>36</v>
      </c>
      <c r="AC3266">
        <v>28.105999999999899</v>
      </c>
      <c r="AD3266">
        <v>-1.1096711585529999</v>
      </c>
      <c r="AE3266">
        <v>2.1621999999999799</v>
      </c>
      <c r="AF3266">
        <v>-1.7155580310412299</v>
      </c>
      <c r="AG3266">
        <v>-1.1096711585529999</v>
      </c>
      <c r="AH3266">
        <v>28.093098405452899</v>
      </c>
      <c r="AI3266">
        <v>92.257793105736695</v>
      </c>
      <c r="AJ3266">
        <v>93.494535234589904</v>
      </c>
      <c r="AK3266">
        <v>28.1672981923445</v>
      </c>
      <c r="AL3266">
        <v>89.856439483295105</v>
      </c>
      <c r="AM3266">
        <v>87.015507122371005</v>
      </c>
      <c r="AN3266">
        <v>0.99999997180408995</v>
      </c>
    </row>
    <row r="3267" spans="1:40" x14ac:dyDescent="0.25">
      <c r="A3267" t="str">
        <f>"20190312161028841"</f>
        <v>20190312161028841</v>
      </c>
      <c r="B3267" t="str">
        <f>"1552378228829407"</f>
        <v>1552378228829407</v>
      </c>
      <c r="C3267" t="s">
        <v>40</v>
      </c>
      <c r="D3267">
        <v>5.3814260000000003</v>
      </c>
      <c r="E3267">
        <v>0.44781949999999998</v>
      </c>
      <c r="F3267" t="s">
        <v>74</v>
      </c>
      <c r="G3267">
        <v>-304.05739999999997</v>
      </c>
      <c r="H3267" s="1">
        <v>1.9335479999999998E-6</v>
      </c>
      <c r="I3267">
        <v>215.7328</v>
      </c>
      <c r="J3267">
        <v>-332.28460000000001</v>
      </c>
      <c r="K3267">
        <v>1.1096779999999999</v>
      </c>
      <c r="L3267">
        <v>212.9153</v>
      </c>
      <c r="M3267">
        <v>0.99981880000000001</v>
      </c>
      <c r="N3267">
        <v>0</v>
      </c>
      <c r="O3267">
        <v>1.6060370000000001E-2</v>
      </c>
      <c r="P3267">
        <v>0.99934270000000003</v>
      </c>
      <c r="Q3267">
        <v>-7.2838679999999998E-3</v>
      </c>
      <c r="R3267">
        <v>-3.5511359999999999E-2</v>
      </c>
      <c r="S3267">
        <v>3.0119929999999999</v>
      </c>
      <c r="T3267">
        <v>-0.11676159999999999</v>
      </c>
      <c r="U3267">
        <v>0.29714970000000002</v>
      </c>
      <c r="V3267">
        <v>5.155589E-2</v>
      </c>
      <c r="W3267">
        <v>2.953827E-3</v>
      </c>
      <c r="X3267">
        <v>0.99866580000000005</v>
      </c>
      <c r="Y3267">
        <v>-8.2133449999999997E-2</v>
      </c>
      <c r="Z3267">
        <v>9.6678729999999998E-4</v>
      </c>
      <c r="AA3267">
        <v>0.99662090000000003</v>
      </c>
      <c r="AB3267">
        <v>36</v>
      </c>
      <c r="AC3267">
        <v>28.2272</v>
      </c>
      <c r="AD3267">
        <v>-1.109676066452</v>
      </c>
      <c r="AE3267">
        <v>2.8174999999999901</v>
      </c>
      <c r="AF3267">
        <v>-2.36016207633641</v>
      </c>
      <c r="AG3267">
        <v>-1.109676066452</v>
      </c>
      <c r="AH3267">
        <v>28.225620284163</v>
      </c>
      <c r="AI3267">
        <v>92.243573551736205</v>
      </c>
      <c r="AJ3267">
        <v>94.7798232178897</v>
      </c>
      <c r="AK3267">
        <v>28.345853072800399</v>
      </c>
      <c r="AL3267">
        <v>89.830757943108296</v>
      </c>
      <c r="AM3267">
        <v>87.044742194394601</v>
      </c>
      <c r="AN3267">
        <v>1.0000000574886301</v>
      </c>
    </row>
    <row r="3268" spans="1:40" x14ac:dyDescent="0.25">
      <c r="A3268" t="str">
        <f>"20190312161028865"</f>
        <v>20190312161028865</v>
      </c>
      <c r="B3268" t="str">
        <f>"1552378228859193"</f>
        <v>1552378228859193</v>
      </c>
      <c r="C3268" t="s">
        <v>40</v>
      </c>
      <c r="D3268">
        <v>5.3780279999999996</v>
      </c>
      <c r="E3268">
        <v>0.4472563</v>
      </c>
      <c r="F3268" t="s">
        <v>74</v>
      </c>
      <c r="G3268">
        <v>-304.25060000000002</v>
      </c>
      <c r="H3268" s="1">
        <v>1.8992759999999999E-6</v>
      </c>
      <c r="I3268">
        <v>215.82570000000001</v>
      </c>
      <c r="J3268">
        <v>-331.90190000000001</v>
      </c>
      <c r="K3268">
        <v>1.109675</v>
      </c>
      <c r="L3268">
        <v>212.92169999999999</v>
      </c>
      <c r="M3268">
        <v>0.99981450000000005</v>
      </c>
      <c r="N3268">
        <v>0</v>
      </c>
      <c r="O3268">
        <v>1.632374E-2</v>
      </c>
      <c r="P3268">
        <v>0.99935160000000001</v>
      </c>
      <c r="Q3268">
        <v>-7.0909869999999896E-3</v>
      </c>
      <c r="R3268">
        <v>-3.5303050000000002E-2</v>
      </c>
      <c r="S3268">
        <v>3.0122070000000001</v>
      </c>
      <c r="T3268">
        <v>-0.1192328</v>
      </c>
      <c r="U3268">
        <v>0.31271359999999998</v>
      </c>
      <c r="V3268">
        <v>5.1610509999999998E-2</v>
      </c>
      <c r="W3268">
        <v>3.152668E-3</v>
      </c>
      <c r="X3268">
        <v>0.9986623</v>
      </c>
      <c r="Y3268">
        <v>-8.6954699999999996E-2</v>
      </c>
      <c r="Z3268">
        <v>1.071654E-3</v>
      </c>
      <c r="AA3268">
        <v>0.99621170000000003</v>
      </c>
      <c r="AB3268">
        <v>37</v>
      </c>
      <c r="AC3268">
        <v>27.6512999999999</v>
      </c>
      <c r="AD3268">
        <v>-1.1096731007239999</v>
      </c>
      <c r="AE3268">
        <v>2.9040000000000199</v>
      </c>
      <c r="AF3268">
        <v>-2.4483168260219399</v>
      </c>
      <c r="AG3268">
        <v>-1.1096731007239999</v>
      </c>
      <c r="AH3268">
        <v>27.650976033651101</v>
      </c>
      <c r="AI3268">
        <v>92.289181681369001</v>
      </c>
      <c r="AJ3268">
        <v>95.059978477821403</v>
      </c>
      <c r="AK3268">
        <v>27.7813265573226</v>
      </c>
      <c r="AL3268">
        <v>89.819365127768506</v>
      </c>
      <c r="AM3268">
        <v>87.041606506392498</v>
      </c>
      <c r="AN3268">
        <v>0.99999998674963397</v>
      </c>
    </row>
    <row r="3269" spans="1:40" x14ac:dyDescent="0.25">
      <c r="A3269" t="str">
        <f>"20190312161028887"</f>
        <v>20190312161028887</v>
      </c>
      <c r="B3269" t="str">
        <f>"1552378228879690"</f>
        <v>1552378228879690</v>
      </c>
      <c r="C3269" t="s">
        <v>40</v>
      </c>
      <c r="D3269">
        <v>5.3947510000000003</v>
      </c>
      <c r="E3269">
        <v>0.44741969999999998</v>
      </c>
      <c r="F3269" t="s">
        <v>74</v>
      </c>
      <c r="G3269">
        <v>-302.63709999999998</v>
      </c>
      <c r="H3269" s="1">
        <v>2.1854759999999998E-6</v>
      </c>
      <c r="I3269">
        <v>216.0095</v>
      </c>
      <c r="J3269">
        <v>-331.53989999999999</v>
      </c>
      <c r="K3269">
        <v>1.109675</v>
      </c>
      <c r="L3269">
        <v>212.92789999999999</v>
      </c>
      <c r="M3269">
        <v>0.99981039999999999</v>
      </c>
      <c r="N3269">
        <v>0</v>
      </c>
      <c r="O3269">
        <v>1.6572679999999999E-2</v>
      </c>
      <c r="P3269">
        <v>0.99933680000000003</v>
      </c>
      <c r="Q3269">
        <v>-6.9884140000000001E-3</v>
      </c>
      <c r="R3269">
        <v>-3.5739880000000002E-2</v>
      </c>
      <c r="S3269">
        <v>3.0123600000000001</v>
      </c>
      <c r="T3269">
        <v>-0.11422400000000001</v>
      </c>
      <c r="U3269">
        <v>0.31784059999999997</v>
      </c>
      <c r="V3269">
        <v>5.2295700000000001E-2</v>
      </c>
      <c r="W3269">
        <v>3.2609090000000002E-3</v>
      </c>
      <c r="X3269">
        <v>0.99862629999999997</v>
      </c>
      <c r="Y3269">
        <v>-8.8382219999999997E-2</v>
      </c>
      <c r="Z3269">
        <v>1.0441020000000001E-3</v>
      </c>
      <c r="AA3269">
        <v>0.99608609999999997</v>
      </c>
      <c r="AB3269">
        <v>37</v>
      </c>
      <c r="AC3269">
        <v>28.902799999999999</v>
      </c>
      <c r="AD3269">
        <v>-1.109672814524</v>
      </c>
      <c r="AE3269">
        <v>3.0815999999999999</v>
      </c>
      <c r="AF3269">
        <v>-2.5983677978068198</v>
      </c>
      <c r="AG3269">
        <v>-1.109672814524</v>
      </c>
      <c r="AH3269">
        <v>28.907770881210499</v>
      </c>
      <c r="AI3269">
        <v>92.189496023214602</v>
      </c>
      <c r="AJ3269">
        <v>95.136214286064899</v>
      </c>
      <c r="AK3269">
        <v>29.045517834745802</v>
      </c>
      <c r="AL3269">
        <v>89.8131633421403</v>
      </c>
      <c r="AM3269">
        <v>87.002293664234301</v>
      </c>
      <c r="AN3269">
        <v>0.99999998040884297</v>
      </c>
    </row>
    <row r="3270" spans="1:40" x14ac:dyDescent="0.25">
      <c r="A3270" t="str">
        <f>"20190312161028907"</f>
        <v>20190312161028907</v>
      </c>
      <c r="B3270" t="str">
        <f>"1552378228899209"</f>
        <v>1552378228899209</v>
      </c>
      <c r="C3270" t="s">
        <v>40</v>
      </c>
      <c r="D3270">
        <v>5.4178540000000002</v>
      </c>
      <c r="E3270">
        <v>0.44732949999999999</v>
      </c>
      <c r="F3270" t="s">
        <v>74</v>
      </c>
      <c r="G3270">
        <v>-302.54750000000001</v>
      </c>
      <c r="H3270" s="1">
        <v>2.2013710000000001E-6</v>
      </c>
      <c r="I3270">
        <v>215.96260000000001</v>
      </c>
      <c r="J3270">
        <v>-331.20069999999998</v>
      </c>
      <c r="K3270">
        <v>1.109677</v>
      </c>
      <c r="L3270">
        <v>212.93369999999999</v>
      </c>
      <c r="M3270">
        <v>0.99980650000000004</v>
      </c>
      <c r="N3270">
        <v>0</v>
      </c>
      <c r="O3270">
        <v>1.6805830000000001E-2</v>
      </c>
      <c r="P3270">
        <v>0.99934160000000005</v>
      </c>
      <c r="Q3270">
        <v>-6.6747330000000004E-3</v>
      </c>
      <c r="R3270">
        <v>-3.5663269999999997E-2</v>
      </c>
      <c r="S3270">
        <v>3.012451</v>
      </c>
      <c r="T3270">
        <v>-0.11530029999999999</v>
      </c>
      <c r="U3270">
        <v>0.31532290000000002</v>
      </c>
      <c r="V3270">
        <v>5.2452020000000002E-2</v>
      </c>
      <c r="W3270">
        <v>3.5794339999999998E-3</v>
      </c>
      <c r="X3270">
        <v>0.99861710000000004</v>
      </c>
      <c r="Y3270">
        <v>-8.7323289999999998E-2</v>
      </c>
      <c r="Z3270">
        <v>1.024853E-3</v>
      </c>
      <c r="AA3270">
        <v>0.9961795</v>
      </c>
      <c r="AB3270">
        <v>37</v>
      </c>
      <c r="AC3270">
        <v>28.653199999999899</v>
      </c>
      <c r="AD3270">
        <v>-1.1096747986290001</v>
      </c>
      <c r="AE3270">
        <v>3.0289000000000201</v>
      </c>
      <c r="AF3270">
        <v>-2.5431340679270802</v>
      </c>
      <c r="AG3270">
        <v>-1.1096747986290001</v>
      </c>
      <c r="AH3270">
        <v>28.6575520031591</v>
      </c>
      <c r="AI3270">
        <v>92.208821740285899</v>
      </c>
      <c r="AJ3270">
        <v>95.071268699962005</v>
      </c>
      <c r="AK3270">
        <v>28.791564665018399</v>
      </c>
      <c r="AL3270">
        <v>89.794913115082196</v>
      </c>
      <c r="AM3270">
        <v>86.993321820557099</v>
      </c>
      <c r="AN3270">
        <v>1.00000006958112</v>
      </c>
    </row>
    <row r="3271" spans="1:40" x14ac:dyDescent="0.25">
      <c r="A3271" t="str">
        <f>"20190312161028950"</f>
        <v>20190312161028950</v>
      </c>
      <c r="B3271" t="str">
        <f>"1552378228939225"</f>
        <v>1552378228939225</v>
      </c>
      <c r="C3271" t="s">
        <v>40</v>
      </c>
      <c r="D3271">
        <v>5.4365699999999997</v>
      </c>
      <c r="E3271">
        <v>0.447326</v>
      </c>
      <c r="F3271" t="s">
        <v>74</v>
      </c>
      <c r="G3271">
        <v>-301.63929999999999</v>
      </c>
      <c r="H3271" s="1">
        <v>2.3624649999999999E-6</v>
      </c>
      <c r="I3271">
        <v>216.0369</v>
      </c>
      <c r="J3271">
        <v>-330.48579999999998</v>
      </c>
      <c r="K3271">
        <v>1.109675</v>
      </c>
      <c r="L3271">
        <v>212.94630000000001</v>
      </c>
      <c r="M3271">
        <v>0.99979799999999996</v>
      </c>
      <c r="N3271">
        <v>0</v>
      </c>
      <c r="O3271">
        <v>1.7296860000000001E-2</v>
      </c>
      <c r="P3271">
        <v>0.99932940000000003</v>
      </c>
      <c r="Q3271">
        <v>-6.8933140000000002E-3</v>
      </c>
      <c r="R3271">
        <v>-3.5967119999999998E-2</v>
      </c>
      <c r="S3271">
        <v>3.0124819999999999</v>
      </c>
      <c r="T3271">
        <v>-0.1130825</v>
      </c>
      <c r="U3271">
        <v>0.31623839999999998</v>
      </c>
      <c r="V3271">
        <v>5.3245939999999999E-2</v>
      </c>
      <c r="W3271">
        <v>3.3705810000000001E-3</v>
      </c>
      <c r="X3271">
        <v>0.99857569999999996</v>
      </c>
      <c r="Y3271">
        <v>-8.7134879999999998E-2</v>
      </c>
      <c r="Z3271">
        <v>9.832364000000001E-4</v>
      </c>
      <c r="AA3271">
        <v>0.99619599999999997</v>
      </c>
      <c r="AB3271">
        <v>37</v>
      </c>
      <c r="AC3271">
        <v>28.846499999999899</v>
      </c>
      <c r="AD3271">
        <v>-1.1096726375349999</v>
      </c>
      <c r="AE3271">
        <v>3.09059999999999</v>
      </c>
      <c r="AF3271">
        <v>-2.5873722321765702</v>
      </c>
      <c r="AG3271">
        <v>-1.1096726375349999</v>
      </c>
      <c r="AH3271">
        <v>28.853431733867499</v>
      </c>
      <c r="AI3271">
        <v>92.193656426951407</v>
      </c>
      <c r="AJ3271">
        <v>95.124175779308004</v>
      </c>
      <c r="AK3271">
        <v>28.990453450253</v>
      </c>
      <c r="AL3271">
        <v>89.806879560758105</v>
      </c>
      <c r="AM3271">
        <v>86.947771488433801</v>
      </c>
      <c r="AN3271">
        <v>0.99999995978662404</v>
      </c>
    </row>
    <row r="3272" spans="1:40" x14ac:dyDescent="0.25">
      <c r="A3272" t="str">
        <f>"20190312161028971"</f>
        <v>20190312161028971</v>
      </c>
      <c r="B3272" t="str">
        <f>"1552378228959253"</f>
        <v>1552378228959253</v>
      </c>
      <c r="C3272" t="s">
        <v>40</v>
      </c>
      <c r="D3272">
        <v>5.4390070000000001</v>
      </c>
      <c r="E3272">
        <v>0.44732959999999999</v>
      </c>
      <c r="F3272" t="s">
        <v>74</v>
      </c>
      <c r="G3272">
        <v>-300.64499999999998</v>
      </c>
      <c r="H3272" s="1">
        <v>2.538854E-6</v>
      </c>
      <c r="I3272">
        <v>216.06950000000001</v>
      </c>
      <c r="J3272">
        <v>-330.1397</v>
      </c>
      <c r="K3272">
        <v>1.1096760000000001</v>
      </c>
      <c r="L3272">
        <v>212.95249999999999</v>
      </c>
      <c r="M3272">
        <v>0.99979379999999995</v>
      </c>
      <c r="N3272">
        <v>0</v>
      </c>
      <c r="O3272">
        <v>1.7534589999999999E-2</v>
      </c>
      <c r="P3272">
        <v>0.99931029999999998</v>
      </c>
      <c r="Q3272">
        <v>-7.0230789999999998E-3</v>
      </c>
      <c r="R3272">
        <v>-3.6470929999999999E-2</v>
      </c>
      <c r="S3272">
        <v>3.0126040000000001</v>
      </c>
      <c r="T3272">
        <v>-0.1120278</v>
      </c>
      <c r="U3272">
        <v>0.31530760000000002</v>
      </c>
      <c r="V3272">
        <v>5.3986800000000001E-2</v>
      </c>
      <c r="W3272">
        <v>3.2451730000000001E-3</v>
      </c>
      <c r="X3272">
        <v>0.99853630000000004</v>
      </c>
      <c r="Y3272">
        <v>-8.6590790000000001E-2</v>
      </c>
      <c r="Z3272">
        <v>9.5515330000000003E-4</v>
      </c>
      <c r="AA3272">
        <v>0.99624349999999995</v>
      </c>
      <c r="AB3272">
        <v>37</v>
      </c>
      <c r="AC3272">
        <v>29.494700000000002</v>
      </c>
      <c r="AD3272">
        <v>-1.109673461146</v>
      </c>
      <c r="AE3272">
        <v>3.1170000000000102</v>
      </c>
      <c r="AF3272">
        <v>-2.5956825895958202</v>
      </c>
      <c r="AG3272">
        <v>-1.109673461146</v>
      </c>
      <c r="AH3272">
        <v>29.503522843218398</v>
      </c>
      <c r="AI3272">
        <v>92.145687939471799</v>
      </c>
      <c r="AJ3272">
        <v>95.027864493200596</v>
      </c>
      <c r="AK3272">
        <v>29.638265864530801</v>
      </c>
      <c r="AL3272">
        <v>89.814064942839494</v>
      </c>
      <c r="AM3272">
        <v>86.905263121748007</v>
      </c>
      <c r="AN3272">
        <v>0.99999992406986205</v>
      </c>
    </row>
    <row r="3273" spans="1:40" x14ac:dyDescent="0.25">
      <c r="A3273" t="str">
        <f>"20190312161028995"</f>
        <v>20190312161028995</v>
      </c>
      <c r="B3273" t="str">
        <f>"1552378228989510"</f>
        <v>1552378228989510</v>
      </c>
      <c r="C3273" t="s">
        <v>40</v>
      </c>
      <c r="D3273">
        <v>5.4867169999999996</v>
      </c>
      <c r="E3273">
        <v>0.44725949999999998</v>
      </c>
      <c r="F3273" t="s">
        <v>74</v>
      </c>
      <c r="G3273">
        <v>-300.74149999999997</v>
      </c>
      <c r="H3273" s="1">
        <v>2.5217279999999999E-6</v>
      </c>
      <c r="I3273">
        <v>216.0163</v>
      </c>
      <c r="J3273">
        <v>-329.75290000000001</v>
      </c>
      <c r="K3273">
        <v>1.109669</v>
      </c>
      <c r="L3273">
        <v>212.95949999999999</v>
      </c>
      <c r="M3273">
        <v>0.99978909999999999</v>
      </c>
      <c r="N3273">
        <v>0</v>
      </c>
      <c r="O3273">
        <v>1.7800409999999999E-2</v>
      </c>
      <c r="P3273">
        <v>0.99931020000000004</v>
      </c>
      <c r="Q3273">
        <v>-7.4258229999999998E-3</v>
      </c>
      <c r="R3273">
        <v>-3.6388400000000001E-2</v>
      </c>
      <c r="S3273">
        <v>3.012756</v>
      </c>
      <c r="T3273">
        <v>-0.1137204</v>
      </c>
      <c r="U3273">
        <v>0.31398009999999998</v>
      </c>
      <c r="V3273">
        <v>5.4170210000000003E-2</v>
      </c>
      <c r="W3273">
        <v>2.84797E-3</v>
      </c>
      <c r="X3273">
        <v>0.99852759999999996</v>
      </c>
      <c r="Y3273">
        <v>-8.5885680000000006E-2</v>
      </c>
      <c r="Z3273">
        <v>9.4628289999999999E-4</v>
      </c>
      <c r="AA3273">
        <v>0.99630459999999998</v>
      </c>
      <c r="AB3273">
        <v>37</v>
      </c>
      <c r="AC3273">
        <v>29.011399999999998</v>
      </c>
      <c r="AD3273">
        <v>-1.109666478272</v>
      </c>
      <c r="AE3273">
        <v>3.0568</v>
      </c>
      <c r="AF3273">
        <v>-2.5362039743827598</v>
      </c>
      <c r="AG3273">
        <v>-1.109666478272</v>
      </c>
      <c r="AH3273">
        <v>29.019228815694099</v>
      </c>
      <c r="AI3273">
        <v>92.181558973283103</v>
      </c>
      <c r="AJ3273">
        <v>94.994808363671595</v>
      </c>
      <c r="AK3273">
        <v>29.150974792453901</v>
      </c>
      <c r="AL3273">
        <v>89.836823109303296</v>
      </c>
      <c r="AM3273">
        <v>86.894742873822395</v>
      </c>
      <c r="AN3273">
        <v>0.99999994527316005</v>
      </c>
    </row>
    <row r="3274" spans="1:40" x14ac:dyDescent="0.25">
      <c r="A3274" t="str">
        <f>"20190312161029018"</f>
        <v>20190312161029018</v>
      </c>
      <c r="B3274" t="str">
        <f>"1552378229010005"</f>
        <v>1552378229010005</v>
      </c>
      <c r="C3274" t="s">
        <v>40</v>
      </c>
      <c r="D3274">
        <v>5.5231640000000004</v>
      </c>
      <c r="E3274">
        <v>0.44704500000000003</v>
      </c>
      <c r="F3274" t="s">
        <v>74</v>
      </c>
      <c r="G3274">
        <v>-300.93329999999997</v>
      </c>
      <c r="H3274" s="1">
        <v>2.4876979999999999E-6</v>
      </c>
      <c r="I3274">
        <v>215.96969999999999</v>
      </c>
      <c r="J3274">
        <v>-329.375</v>
      </c>
      <c r="K3274">
        <v>1.1096649999999999</v>
      </c>
      <c r="L3274">
        <v>212.96639999999999</v>
      </c>
      <c r="M3274">
        <v>0.99978440000000002</v>
      </c>
      <c r="N3274">
        <v>0</v>
      </c>
      <c r="O3274">
        <v>1.8059840000000001E-2</v>
      </c>
      <c r="P3274">
        <v>0.99932460000000001</v>
      </c>
      <c r="Q3274">
        <v>-7.2077540000000002E-3</v>
      </c>
      <c r="R3274">
        <v>-3.6039380000000003E-2</v>
      </c>
      <c r="S3274">
        <v>3.0126949999999999</v>
      </c>
      <c r="T3274">
        <v>-0.1160007</v>
      </c>
      <c r="U3274">
        <v>0.31468200000000002</v>
      </c>
      <c r="V3274">
        <v>5.4080309999999999E-2</v>
      </c>
      <c r="W3274">
        <v>3.0706510000000002E-3</v>
      </c>
      <c r="X3274">
        <v>0.99853190000000003</v>
      </c>
      <c r="Y3274">
        <v>-8.5857130000000004E-2</v>
      </c>
      <c r="Z3274">
        <v>9.5475010000000001E-4</v>
      </c>
      <c r="AA3274">
        <v>0.99630700000000005</v>
      </c>
      <c r="AB3274">
        <v>37</v>
      </c>
      <c r="AC3274">
        <v>28.441700000000001</v>
      </c>
      <c r="AD3274">
        <v>-1.1096625123020001</v>
      </c>
      <c r="AE3274">
        <v>3.0032999999999901</v>
      </c>
      <c r="AF3274">
        <v>-2.4853890831698502</v>
      </c>
      <c r="AG3274">
        <v>-1.1096625123020001</v>
      </c>
      <c r="AH3274">
        <v>28.448476216278699</v>
      </c>
      <c r="AI3274">
        <v>92.225281693116798</v>
      </c>
      <c r="AJ3274">
        <v>94.992944279939096</v>
      </c>
      <c r="AK3274">
        <v>28.578388842167499</v>
      </c>
      <c r="AL3274">
        <v>89.824064386504503</v>
      </c>
      <c r="AM3274">
        <v>86.899899571591803</v>
      </c>
      <c r="AN3274">
        <v>1.00000003207243</v>
      </c>
    </row>
    <row r="3275" spans="1:40" x14ac:dyDescent="0.25">
      <c r="A3275" t="str">
        <f>"20190312161029043"</f>
        <v>20190312161029043</v>
      </c>
      <c r="B3275" t="str">
        <f>"1552378229039286"</f>
        <v>1552378229039286</v>
      </c>
      <c r="C3275" t="s">
        <v>40</v>
      </c>
      <c r="D3275">
        <v>5.5947719999999999</v>
      </c>
      <c r="E3275">
        <v>0.4469438</v>
      </c>
      <c r="F3275" t="s">
        <v>74</v>
      </c>
      <c r="G3275">
        <v>-299.7516</v>
      </c>
      <c r="H3275" s="1">
        <v>2.6241800000000001E-6</v>
      </c>
      <c r="I3275">
        <v>216.08590000000001</v>
      </c>
      <c r="J3275">
        <v>-328.9787</v>
      </c>
      <c r="K3275">
        <v>1.109666</v>
      </c>
      <c r="L3275">
        <v>212.97389999999999</v>
      </c>
      <c r="M3275">
        <v>0.99977930000000004</v>
      </c>
      <c r="N3275">
        <v>0</v>
      </c>
      <c r="O3275">
        <v>1.833197E-2</v>
      </c>
      <c r="P3275">
        <v>0.99934230000000002</v>
      </c>
      <c r="Q3275">
        <v>-7.3555440000000003E-3</v>
      </c>
      <c r="R3275">
        <v>-3.5513999999999997E-2</v>
      </c>
      <c r="S3275">
        <v>3.0126650000000001</v>
      </c>
      <c r="T3275">
        <v>-0.1128514</v>
      </c>
      <c r="U3275">
        <v>0.31724550000000001</v>
      </c>
      <c r="V3275">
        <v>5.3827159999999999E-2</v>
      </c>
      <c r="W3275">
        <v>2.9285549999999998E-3</v>
      </c>
      <c r="X3275">
        <v>0.99854589999999999</v>
      </c>
      <c r="Y3275">
        <v>-8.6427970000000007E-2</v>
      </c>
      <c r="Z3275">
        <v>9.2931980000000001E-4</v>
      </c>
      <c r="AA3275">
        <v>0.99625770000000002</v>
      </c>
      <c r="AB3275">
        <v>37</v>
      </c>
      <c r="AC3275">
        <v>29.2271</v>
      </c>
      <c r="AD3275">
        <v>-1.1096633758200001</v>
      </c>
      <c r="AE3275">
        <v>3.1120000000000201</v>
      </c>
      <c r="AF3275">
        <v>-2.5719925256039802</v>
      </c>
      <c r="AG3275">
        <v>-1.1096633758200001</v>
      </c>
      <c r="AH3275">
        <v>29.237566973026599</v>
      </c>
      <c r="AI3275">
        <v>92.165169652087698</v>
      </c>
      <c r="AJ3275">
        <v>95.027297437802702</v>
      </c>
      <c r="AK3275">
        <v>29.3714456719722</v>
      </c>
      <c r="AL3275">
        <v>89.832205906332206</v>
      </c>
      <c r="AM3275">
        <v>86.9144262157849</v>
      </c>
      <c r="AN3275">
        <v>0.99999992699742901</v>
      </c>
    </row>
    <row r="3276" spans="1:40" x14ac:dyDescent="0.25">
      <c r="A3276" t="str">
        <f>"20190312161029085"</f>
        <v>20190312161029085</v>
      </c>
      <c r="B3276" t="str">
        <f>"1552378229079809"</f>
        <v>1552378229079809</v>
      </c>
      <c r="C3276" t="s">
        <v>40</v>
      </c>
      <c r="D3276">
        <v>5.5728169999999997</v>
      </c>
      <c r="E3276">
        <v>0.48440030000000001</v>
      </c>
      <c r="F3276" t="s">
        <v>74</v>
      </c>
      <c r="G3276">
        <v>-299.93810000000002</v>
      </c>
      <c r="H3276" s="1">
        <v>2.657263E-6</v>
      </c>
      <c r="I3276">
        <v>216.0558</v>
      </c>
      <c r="J3276">
        <v>-328.28030000000001</v>
      </c>
      <c r="K3276">
        <v>1.109666</v>
      </c>
      <c r="L3276">
        <v>212.9872</v>
      </c>
      <c r="M3276">
        <v>0.9997703</v>
      </c>
      <c r="N3276">
        <v>0</v>
      </c>
      <c r="O3276">
        <v>1.88112E-2</v>
      </c>
      <c r="P3276">
        <v>0.99933870000000002</v>
      </c>
      <c r="Q3276">
        <v>-7.298138E-3</v>
      </c>
      <c r="R3276">
        <v>-3.5624490000000002E-2</v>
      </c>
      <c r="S3276">
        <v>3.0124819999999999</v>
      </c>
      <c r="T3276">
        <v>-0.1151093</v>
      </c>
      <c r="U3276">
        <v>0.31970209999999999</v>
      </c>
      <c r="V3276">
        <v>5.4416150000000003E-2</v>
      </c>
      <c r="W3276">
        <v>2.994834E-3</v>
      </c>
      <c r="X3276">
        <v>0.99851389999999995</v>
      </c>
      <c r="Y3276">
        <v>-8.6758399999999999E-2</v>
      </c>
      <c r="Z3276">
        <v>9.3596809999999995E-4</v>
      </c>
      <c r="AA3276">
        <v>0.99622889999999997</v>
      </c>
      <c r="AB3276">
        <v>37</v>
      </c>
      <c r="AC3276">
        <v>28.342199999999899</v>
      </c>
      <c r="AD3276">
        <v>-1.109663342737</v>
      </c>
      <c r="AE3276">
        <v>3.0686</v>
      </c>
      <c r="AF3276">
        <v>-2.5310431546005701</v>
      </c>
      <c r="AG3276">
        <v>-1.109663342737</v>
      </c>
      <c r="AH3276">
        <v>28.3519542117842</v>
      </c>
      <c r="AI3276">
        <v>92.232478625712503</v>
      </c>
      <c r="AJ3276">
        <v>95.101400728431301</v>
      </c>
      <c r="AK3276">
        <v>28.486327243289399</v>
      </c>
      <c r="AL3276">
        <v>89.828408403097697</v>
      </c>
      <c r="AM3276">
        <v>86.880629656078</v>
      </c>
      <c r="AN3276">
        <v>1.00000004745235</v>
      </c>
    </row>
    <row r="3277" spans="1:40" x14ac:dyDescent="0.25">
      <c r="A3277" t="str">
        <f>"20190312161029107"</f>
        <v>20190312161029107</v>
      </c>
      <c r="B3277" t="str">
        <f>"1552378229099330"</f>
        <v>1552378229099330</v>
      </c>
      <c r="C3277" t="s">
        <v>40</v>
      </c>
      <c r="D3277">
        <v>5.6943149999999996</v>
      </c>
      <c r="E3277">
        <v>0.48841689999999999</v>
      </c>
      <c r="F3277" t="s">
        <v>74</v>
      </c>
      <c r="G3277">
        <v>-306.21030000000002</v>
      </c>
      <c r="H3277" s="1">
        <v>1.55165E-6</v>
      </c>
      <c r="I3277">
        <v>213.1481</v>
      </c>
      <c r="J3277">
        <v>-327.9153</v>
      </c>
      <c r="K3277">
        <v>1.109667</v>
      </c>
      <c r="L3277">
        <v>212.99430000000001</v>
      </c>
      <c r="M3277">
        <v>0.99976540000000003</v>
      </c>
      <c r="N3277">
        <v>0</v>
      </c>
      <c r="O3277">
        <v>1.9061519999999998E-2</v>
      </c>
      <c r="P3277">
        <v>0.99935960000000001</v>
      </c>
      <c r="Q3277">
        <v>-6.8167790000000002E-3</v>
      </c>
      <c r="R3277">
        <v>-3.5126020000000001E-2</v>
      </c>
      <c r="S3277">
        <v>3.0016479999999999</v>
      </c>
      <c r="T3277">
        <v>-0.150921</v>
      </c>
      <c r="U3277">
        <v>2.1881100000000001E-2</v>
      </c>
      <c r="V3277">
        <v>5.4167920000000001E-2</v>
      </c>
      <c r="W3277">
        <v>3.4812060000000001E-3</v>
      </c>
      <c r="X3277">
        <v>0.99852580000000002</v>
      </c>
      <c r="Y3277">
        <v>1.1734939999999999E-2</v>
      </c>
      <c r="Z3277">
        <v>-1.2525959999999999E-3</v>
      </c>
      <c r="AA3277">
        <v>0.9999304</v>
      </c>
      <c r="AB3277">
        <v>37</v>
      </c>
      <c r="AC3277">
        <v>21.704999999999899</v>
      </c>
      <c r="AD3277">
        <v>-1.1096654483499999</v>
      </c>
      <c r="AE3277">
        <v>0.153799999999989</v>
      </c>
      <c r="AF3277">
        <v>0.25930240841337598</v>
      </c>
      <c r="AG3277">
        <v>-1.1096654483499999</v>
      </c>
      <c r="AH3277">
        <v>21.647409735531301</v>
      </c>
      <c r="AI3277">
        <v>92.934253932522694</v>
      </c>
      <c r="AJ3277">
        <v>89.313718209772404</v>
      </c>
      <c r="AK3277">
        <v>21.677383223171699</v>
      </c>
      <c r="AL3277">
        <v>89.800541191262994</v>
      </c>
      <c r="AM3277">
        <v>86.894868302535897</v>
      </c>
      <c r="AN3277">
        <v>1.00000002780899</v>
      </c>
    </row>
    <row r="3278" spans="1:40" x14ac:dyDescent="0.25">
      <c r="A3278" t="str">
        <f>"20190312161029129"</f>
        <v>20190312161029129</v>
      </c>
      <c r="B3278" t="str">
        <f>"1552378229119823"</f>
        <v>1552378229119823</v>
      </c>
      <c r="C3278" t="s">
        <v>40</v>
      </c>
      <c r="D3278">
        <v>5.5726789999999999</v>
      </c>
      <c r="E3278">
        <v>0.49037170000000002</v>
      </c>
      <c r="F3278" t="s">
        <v>74</v>
      </c>
      <c r="G3278">
        <v>-303.16460000000001</v>
      </c>
      <c r="H3278" s="1">
        <v>2.091913E-6</v>
      </c>
      <c r="I3278">
        <v>212.9205</v>
      </c>
      <c r="J3278">
        <v>-327.53530000000001</v>
      </c>
      <c r="K3278">
        <v>1.109674</v>
      </c>
      <c r="L3278">
        <v>213.0018</v>
      </c>
      <c r="M3278">
        <v>0.9997606</v>
      </c>
      <c r="N3278">
        <v>0</v>
      </c>
      <c r="O3278">
        <v>1.9321959999999999E-2</v>
      </c>
      <c r="P3278">
        <v>0.99938039999999995</v>
      </c>
      <c r="Q3278">
        <v>-6.2172950000000003E-3</v>
      </c>
      <c r="R3278">
        <v>-3.465037E-2</v>
      </c>
      <c r="S3278">
        <v>3.000702</v>
      </c>
      <c r="T3278">
        <v>-0.1345326</v>
      </c>
      <c r="U3278">
        <v>-8.9416500000000006E-3</v>
      </c>
      <c r="V3278">
        <v>5.3952470000000002E-2</v>
      </c>
      <c r="W3278">
        <v>4.0858309999999998E-3</v>
      </c>
      <c r="X3278">
        <v>0.99853519999999896</v>
      </c>
      <c r="Y3278">
        <v>2.2260410000000001E-2</v>
      </c>
      <c r="Z3278">
        <v>-1.364606E-3</v>
      </c>
      <c r="AA3278">
        <v>0.99975130000000001</v>
      </c>
      <c r="AB3278">
        <v>37</v>
      </c>
      <c r="AC3278">
        <v>24.370699999999999</v>
      </c>
      <c r="AD3278">
        <v>-1.1096719080869999</v>
      </c>
      <c r="AE3278">
        <v>-8.1299999999998804E-2</v>
      </c>
      <c r="AF3278">
        <v>0.55105686040606205</v>
      </c>
      <c r="AG3278">
        <v>-1.1096719080869999</v>
      </c>
      <c r="AH3278">
        <v>24.3141699154747</v>
      </c>
      <c r="AI3278">
        <v>92.612432996245204</v>
      </c>
      <c r="AJ3278">
        <v>88.701669511977599</v>
      </c>
      <c r="AK3278">
        <v>24.345716134169798</v>
      </c>
      <c r="AL3278">
        <v>89.765898489264401</v>
      </c>
      <c r="AM3278">
        <v>86.907223831009006</v>
      </c>
      <c r="AN3278">
        <v>1.0000000543365399</v>
      </c>
    </row>
    <row r="3279" spans="1:40" x14ac:dyDescent="0.25">
      <c r="A3279" t="str">
        <f>"20190312161029152"</f>
        <v>20190312161029152</v>
      </c>
      <c r="B3279" t="str">
        <f>"1552378229139344"</f>
        <v>1552378229139344</v>
      </c>
      <c r="C3279" t="s">
        <v>40</v>
      </c>
      <c r="D3279">
        <v>5.5679259999999999</v>
      </c>
      <c r="E3279">
        <v>0.49168400000000001</v>
      </c>
      <c r="F3279" t="s">
        <v>74</v>
      </c>
      <c r="G3279">
        <v>-301.19850000000002</v>
      </c>
      <c r="H3279" s="1">
        <v>2.4406699999999998E-6</v>
      </c>
      <c r="I3279">
        <v>212.79589999999999</v>
      </c>
      <c r="J3279">
        <v>-327.17270000000002</v>
      </c>
      <c r="K3279">
        <v>1.1096779999999999</v>
      </c>
      <c r="L3279">
        <v>213.00899999999999</v>
      </c>
      <c r="M3279">
        <v>0.99975559999999997</v>
      </c>
      <c r="N3279">
        <v>0</v>
      </c>
      <c r="O3279">
        <v>1.9570850000000001E-2</v>
      </c>
      <c r="P3279">
        <v>0.99939549999999999</v>
      </c>
      <c r="Q3279">
        <v>-6.4612030000000004E-3</v>
      </c>
      <c r="R3279">
        <v>-3.4164960000000001E-2</v>
      </c>
      <c r="S3279">
        <v>3.000305</v>
      </c>
      <c r="T3279">
        <v>-0.12641430000000001</v>
      </c>
      <c r="U3279">
        <v>-2.345276E-2</v>
      </c>
      <c r="V3279">
        <v>5.3716149999999997E-2</v>
      </c>
      <c r="W3279">
        <v>3.8469379999999998E-3</v>
      </c>
      <c r="X3279">
        <v>0.99854880000000001</v>
      </c>
      <c r="Y3279">
        <v>2.7344719999999999E-2</v>
      </c>
      <c r="Z3279">
        <v>-1.40004E-3</v>
      </c>
      <c r="AA3279">
        <v>0.99962510000000004</v>
      </c>
      <c r="AB3279">
        <v>37</v>
      </c>
      <c r="AC3279">
        <v>25.9742</v>
      </c>
      <c r="AD3279">
        <v>-1.1096755593300001</v>
      </c>
      <c r="AE3279">
        <v>-0.21310000000002499</v>
      </c>
      <c r="AF3279">
        <v>0.72010898058846695</v>
      </c>
      <c r="AG3279">
        <v>-1.1096755593300001</v>
      </c>
      <c r="AH3279">
        <v>25.917752338691901</v>
      </c>
      <c r="AI3279">
        <v>92.450692322855502</v>
      </c>
      <c r="AJ3279">
        <v>88.408481076462294</v>
      </c>
      <c r="AK3279">
        <v>25.9514898046464</v>
      </c>
      <c r="AL3279">
        <v>89.779586137151597</v>
      </c>
      <c r="AM3279">
        <v>86.920786390441606</v>
      </c>
      <c r="AN3279">
        <v>0.99999996484211795</v>
      </c>
    </row>
    <row r="3280" spans="1:40" x14ac:dyDescent="0.25">
      <c r="A3280" t="str">
        <f>"20190312161029174"</f>
        <v>20190312161029174</v>
      </c>
      <c r="B3280" t="str">
        <f>"1552378229169132"</f>
        <v>1552378229169132</v>
      </c>
      <c r="C3280" t="s">
        <v>40</v>
      </c>
      <c r="D3280">
        <v>5.5780089999999998</v>
      </c>
      <c r="E3280">
        <v>0.49247659999999999</v>
      </c>
      <c r="F3280" t="s">
        <v>74</v>
      </c>
      <c r="G3280">
        <v>-300.52839999999998</v>
      </c>
      <c r="H3280" s="1">
        <v>2.5595249999999999E-6</v>
      </c>
      <c r="I3280">
        <v>212.71860000000001</v>
      </c>
      <c r="J3280">
        <v>-326.80669999999998</v>
      </c>
      <c r="K3280">
        <v>1.109677</v>
      </c>
      <c r="L3280">
        <v>213.0164</v>
      </c>
      <c r="M3280">
        <v>0.99975060000000004</v>
      </c>
      <c r="N3280">
        <v>0</v>
      </c>
      <c r="O3280">
        <v>1.9821700000000001E-2</v>
      </c>
      <c r="P3280">
        <v>0.99940019999999996</v>
      </c>
      <c r="Q3280">
        <v>-6.8360799999999996E-3</v>
      </c>
      <c r="R3280">
        <v>-3.3956649999999998E-2</v>
      </c>
      <c r="S3280">
        <v>2.9998469999999999</v>
      </c>
      <c r="T3280">
        <v>-0.1249372</v>
      </c>
      <c r="U3280">
        <v>-3.2699579999999999E-2</v>
      </c>
      <c r="V3280">
        <v>5.3758670000000001E-2</v>
      </c>
      <c r="W3280">
        <v>3.4764380000000001E-3</v>
      </c>
      <c r="X3280">
        <v>0.99854790000000004</v>
      </c>
      <c r="Y3280">
        <v>3.0675419999999998E-2</v>
      </c>
      <c r="Z3280">
        <v>-1.463661E-3</v>
      </c>
      <c r="AA3280">
        <v>0.99952830000000004</v>
      </c>
      <c r="AB3280">
        <v>37</v>
      </c>
      <c r="AC3280">
        <v>26.278300000000002</v>
      </c>
      <c r="AD3280">
        <v>-1.1096744404750001</v>
      </c>
      <c r="AE3280">
        <v>-0.29779999999999501</v>
      </c>
      <c r="AF3280">
        <v>0.81719261179767899</v>
      </c>
      <c r="AG3280">
        <v>-1.1096744404750001</v>
      </c>
      <c r="AH3280">
        <v>26.220483368790799</v>
      </c>
      <c r="AI3280">
        <v>92.422188133283697</v>
      </c>
      <c r="AJ3280">
        <v>88.214886579989894</v>
      </c>
      <c r="AK3280">
        <v>26.256673993894498</v>
      </c>
      <c r="AL3280">
        <v>89.800814372532102</v>
      </c>
      <c r="AM3280">
        <v>86.918350906557905</v>
      </c>
      <c r="AN3280">
        <v>0.99999999440787302</v>
      </c>
    </row>
    <row r="3281" spans="1:40" x14ac:dyDescent="0.25">
      <c r="A3281" t="str">
        <f>"20190312161029197"</f>
        <v>20190312161029197</v>
      </c>
      <c r="B3281" t="str">
        <f>"1552378229189627"</f>
        <v>1552378229189627</v>
      </c>
      <c r="C3281" t="s">
        <v>40</v>
      </c>
      <c r="D3281">
        <v>5.6539960000000002</v>
      </c>
      <c r="E3281">
        <v>0.49273119999999998</v>
      </c>
      <c r="F3281" t="s">
        <v>74</v>
      </c>
      <c r="G3281">
        <v>-300.04379999999998</v>
      </c>
      <c r="H3281" s="1">
        <v>2.6454850000000001E-6</v>
      </c>
      <c r="I3281">
        <v>212.6746</v>
      </c>
      <c r="J3281">
        <v>-326.42059999999998</v>
      </c>
      <c r="K3281">
        <v>1.10968</v>
      </c>
      <c r="L3281">
        <v>213.02430000000001</v>
      </c>
      <c r="M3281">
        <v>0.99974529999999995</v>
      </c>
      <c r="N3281">
        <v>0</v>
      </c>
      <c r="O3281">
        <v>2.0086320000000001E-2</v>
      </c>
      <c r="P3281">
        <v>0.99943110000000002</v>
      </c>
      <c r="Q3281">
        <v>-6.2915899999999997E-3</v>
      </c>
      <c r="R3281">
        <v>-3.3140019999999999E-2</v>
      </c>
      <c r="S3281">
        <v>2.9996640000000001</v>
      </c>
      <c r="T3281">
        <v>-0.12437570000000001</v>
      </c>
      <c r="U3281">
        <v>-3.8314819999999999E-2</v>
      </c>
      <c r="V3281">
        <v>5.3206940000000001E-2</v>
      </c>
      <c r="W3281">
        <v>4.0262279999999998E-3</v>
      </c>
      <c r="X3281">
        <v>0.9985754</v>
      </c>
      <c r="Y3281">
        <v>3.2809720000000001E-2</v>
      </c>
      <c r="Z3281">
        <v>-1.512359E-3</v>
      </c>
      <c r="AA3281">
        <v>0.99946049999999997</v>
      </c>
      <c r="AB3281">
        <v>37</v>
      </c>
      <c r="AC3281">
        <v>26.376799999999999</v>
      </c>
      <c r="AD3281">
        <v>-1.109677354515</v>
      </c>
      <c r="AE3281">
        <v>-0.349700000000012</v>
      </c>
      <c r="AF3281">
        <v>0.87791678127747097</v>
      </c>
      <c r="AG3281">
        <v>-1.109677354515</v>
      </c>
      <c r="AH3281">
        <v>26.317881459953401</v>
      </c>
      <c r="AI3281">
        <v>92.413070690403202</v>
      </c>
      <c r="AJ3281">
        <v>88.089425203491302</v>
      </c>
      <c r="AK3281">
        <v>26.355891300544702</v>
      </c>
      <c r="AL3281">
        <v>89.769313507111406</v>
      </c>
      <c r="AM3281">
        <v>86.950001956773903</v>
      </c>
      <c r="AN3281">
        <v>1.0000000092306101</v>
      </c>
    </row>
    <row r="3282" spans="1:40" x14ac:dyDescent="0.25">
      <c r="A3282" t="str">
        <f>"20190312161029218"</f>
        <v>20190312161029218</v>
      </c>
      <c r="B3282" t="str">
        <f>"1552378229209147"</f>
        <v>1552378229209147</v>
      </c>
      <c r="C3282" t="s">
        <v>40</v>
      </c>
      <c r="D3282">
        <v>5.6552210000000001</v>
      </c>
      <c r="E3282">
        <v>0.49298819999999999</v>
      </c>
      <c r="F3282" t="s">
        <v>74</v>
      </c>
      <c r="G3282">
        <v>-298.95429999999999</v>
      </c>
      <c r="H3282" s="1">
        <v>2.4827500000000001E-6</v>
      </c>
      <c r="I3282">
        <v>212.678</v>
      </c>
      <c r="J3282">
        <v>-326.05560000000003</v>
      </c>
      <c r="K3282">
        <v>1.1096809999999999</v>
      </c>
      <c r="L3282">
        <v>213.03190000000001</v>
      </c>
      <c r="M3282">
        <v>0.99974019999999997</v>
      </c>
      <c r="N3282">
        <v>0</v>
      </c>
      <c r="O3282">
        <v>2.0336630000000001E-2</v>
      </c>
      <c r="P3282">
        <v>0.99943550000000003</v>
      </c>
      <c r="Q3282">
        <v>-6.0445480000000003E-3</v>
      </c>
      <c r="R3282">
        <v>-3.3050160000000002E-2</v>
      </c>
      <c r="S3282">
        <v>2.999695</v>
      </c>
      <c r="T3282">
        <v>-0.12119199999999999</v>
      </c>
      <c r="U3282">
        <v>-3.7826539999999999E-2</v>
      </c>
      <c r="V3282">
        <v>5.3367230000000002E-2</v>
      </c>
      <c r="W3282">
        <v>4.2779960000000001E-3</v>
      </c>
      <c r="X3282">
        <v>0.99856579999999995</v>
      </c>
      <c r="Y3282">
        <v>3.2899190000000002E-2</v>
      </c>
      <c r="Z3282">
        <v>-1.4855789999999999E-3</v>
      </c>
      <c r="AA3282">
        <v>0.99945759999999995</v>
      </c>
      <c r="AB3282">
        <v>37</v>
      </c>
      <c r="AC3282">
        <v>27.101299999999998</v>
      </c>
      <c r="AD3282">
        <v>-1.1096785172500001</v>
      </c>
      <c r="AE3282">
        <v>-0.35390000000000998</v>
      </c>
      <c r="AF3282">
        <v>0.90349063252297102</v>
      </c>
      <c r="AG3282">
        <v>-1.1096785172500001</v>
      </c>
      <c r="AH3282">
        <v>27.043165814954801</v>
      </c>
      <c r="AI3282">
        <v>92.348425248652205</v>
      </c>
      <c r="AJ3282">
        <v>88.086505356976502</v>
      </c>
      <c r="AK3282">
        <v>27.080998855836999</v>
      </c>
      <c r="AL3282">
        <v>89.754888139159704</v>
      </c>
      <c r="AM3282">
        <v>86.940801675175294</v>
      </c>
      <c r="AN3282">
        <v>1.0000000097086399</v>
      </c>
    </row>
    <row r="3283" spans="1:40" x14ac:dyDescent="0.25">
      <c r="A3283" t="str">
        <f>"20190312161029243"</f>
        <v>20190312161029243</v>
      </c>
      <c r="B3283" t="str">
        <f>"1552378229229643"</f>
        <v>1552378229229643</v>
      </c>
      <c r="C3283" t="s">
        <v>40</v>
      </c>
      <c r="D3283">
        <v>5.5516199999999998</v>
      </c>
      <c r="E3283">
        <v>0.49321599999999999</v>
      </c>
      <c r="F3283" t="s">
        <v>74</v>
      </c>
      <c r="G3283">
        <v>-299.38330000000002</v>
      </c>
      <c r="H3283" s="1">
        <v>2.5588570000000001E-6</v>
      </c>
      <c r="I3283">
        <v>212.6798</v>
      </c>
      <c r="J3283">
        <v>-325.6626</v>
      </c>
      <c r="K3283">
        <v>1.1096820000000001</v>
      </c>
      <c r="L3283">
        <v>213.0401</v>
      </c>
      <c r="M3283">
        <v>0.99973449999999997</v>
      </c>
      <c r="N3283">
        <v>0</v>
      </c>
      <c r="O3283">
        <v>2.0606070000000001E-2</v>
      </c>
      <c r="P3283">
        <v>0.99945070000000003</v>
      </c>
      <c r="Q3283">
        <v>-5.8311029999999998E-3</v>
      </c>
      <c r="R3283">
        <v>-3.262176E-2</v>
      </c>
      <c r="S3283">
        <v>2.9996339999999999</v>
      </c>
      <c r="T3283">
        <v>-0.12479750000000001</v>
      </c>
      <c r="U3283">
        <v>-3.9596560000000003E-2</v>
      </c>
      <c r="V3283">
        <v>5.3207980000000002E-2</v>
      </c>
      <c r="W3283">
        <v>4.4968609999999996E-3</v>
      </c>
      <c r="X3283">
        <v>0.9985733</v>
      </c>
      <c r="Y3283">
        <v>3.3754869999999999E-2</v>
      </c>
      <c r="Z3283">
        <v>-1.55876E-3</v>
      </c>
      <c r="AA3283">
        <v>0.99942889999999995</v>
      </c>
      <c r="AB3283">
        <v>37</v>
      </c>
      <c r="AC3283">
        <v>26.2792999999999</v>
      </c>
      <c r="AD3283">
        <v>-1.109679441143</v>
      </c>
      <c r="AE3283">
        <v>-0.36029999999999501</v>
      </c>
      <c r="AF3283">
        <v>0.90016063010583203</v>
      </c>
      <c r="AG3283">
        <v>-1.109679441143</v>
      </c>
      <c r="AH3283">
        <v>26.219552409994801</v>
      </c>
      <c r="AI3283">
        <v>92.422034410472904</v>
      </c>
      <c r="AJ3283">
        <v>88.033713346123605</v>
      </c>
      <c r="AK3283">
        <v>26.258457803202202</v>
      </c>
      <c r="AL3283">
        <v>89.742347968365806</v>
      </c>
      <c r="AM3283">
        <v>86.949936050930503</v>
      </c>
      <c r="AN3283">
        <v>0.99999997318371103</v>
      </c>
    </row>
    <row r="3284" spans="1:40" x14ac:dyDescent="0.25">
      <c r="A3284" t="str">
        <f>"20190312161029308"</f>
        <v>20190312161029308</v>
      </c>
      <c r="B3284" t="str">
        <f>"1552378229299446"</f>
        <v>1552378229299446</v>
      </c>
      <c r="C3284" t="s">
        <v>40</v>
      </c>
      <c r="D3284">
        <v>5.8426689999999999</v>
      </c>
      <c r="E3284">
        <v>0.4940312</v>
      </c>
      <c r="F3284" t="s">
        <v>74</v>
      </c>
      <c r="G3284">
        <v>-299.01639999999998</v>
      </c>
      <c r="H3284" s="1">
        <v>2.493771E-6</v>
      </c>
      <c r="I3284">
        <v>212.68379999999999</v>
      </c>
      <c r="J3284">
        <v>-324.56599999999997</v>
      </c>
      <c r="K3284">
        <v>1.10968</v>
      </c>
      <c r="L3284">
        <v>213.06370000000001</v>
      </c>
      <c r="M3284">
        <v>0.99971860000000001</v>
      </c>
      <c r="N3284">
        <v>0</v>
      </c>
      <c r="O3284">
        <v>2.1356960000000001E-2</v>
      </c>
      <c r="P3284">
        <v>0.99946009999999996</v>
      </c>
      <c r="Q3284">
        <v>-5.7514790000000003E-3</v>
      </c>
      <c r="R3284">
        <v>-3.2350329999999997E-2</v>
      </c>
      <c r="S3284">
        <v>2.999603</v>
      </c>
      <c r="T3284">
        <v>-0.1249183</v>
      </c>
      <c r="U3284">
        <v>-4.0115360000000003E-2</v>
      </c>
      <c r="V3284">
        <v>5.3686850000000001E-2</v>
      </c>
      <c r="W3284">
        <v>4.5912749999999997E-3</v>
      </c>
      <c r="X3284">
        <v>0.99854730000000003</v>
      </c>
      <c r="Y3284">
        <v>3.4676930000000002E-2</v>
      </c>
      <c r="Z3284">
        <v>-1.6107280000000001E-3</v>
      </c>
      <c r="AA3284">
        <v>0.99939730000000004</v>
      </c>
      <c r="AB3284">
        <v>37</v>
      </c>
      <c r="AC3284">
        <v>25.549600000000002</v>
      </c>
      <c r="AD3284">
        <v>-1.1096775062289901</v>
      </c>
      <c r="AE3284">
        <v>-0.37990000000002</v>
      </c>
      <c r="AF3284">
        <v>0.92376204682955099</v>
      </c>
      <c r="AG3284">
        <v>-1.1096775062289901</v>
      </c>
      <c r="AH3284">
        <v>25.4875897057941</v>
      </c>
      <c r="AI3284">
        <v>92.491332914354302</v>
      </c>
      <c r="AJ3284">
        <v>87.924303153816695</v>
      </c>
      <c r="AK3284">
        <v>25.5284537232065</v>
      </c>
      <c r="AL3284">
        <v>89.736938404640895</v>
      </c>
      <c r="AM3284">
        <v>86.922458133984804</v>
      </c>
      <c r="AN3284">
        <v>1.0000000340031601</v>
      </c>
    </row>
    <row r="3285" spans="1:40" x14ac:dyDescent="0.25">
      <c r="A3285" t="str">
        <f>"20190312161029330"</f>
        <v>20190312161029330</v>
      </c>
      <c r="B3285" t="str">
        <f>"1552378229319942"</f>
        <v>1552378229319942</v>
      </c>
      <c r="C3285" t="s">
        <v>40</v>
      </c>
      <c r="D3285">
        <v>5.6359729999999999</v>
      </c>
      <c r="E3285">
        <v>0.49416500000000002</v>
      </c>
      <c r="F3285" t="s">
        <v>74</v>
      </c>
      <c r="G3285">
        <v>-297.77280000000002</v>
      </c>
      <c r="H3285" s="1">
        <v>2.2731700000000001E-6</v>
      </c>
      <c r="I3285">
        <v>212.65530000000001</v>
      </c>
      <c r="J3285">
        <v>-324.19749999999999</v>
      </c>
      <c r="K3285">
        <v>1.109672</v>
      </c>
      <c r="L3285">
        <v>213.0718</v>
      </c>
      <c r="M3285">
        <v>0.99971319999999997</v>
      </c>
      <c r="N3285">
        <v>0</v>
      </c>
      <c r="O3285">
        <v>2.1609059999999999E-2</v>
      </c>
      <c r="P3285">
        <v>0.99945859999999997</v>
      </c>
      <c r="Q3285">
        <v>-5.5581279999999999E-3</v>
      </c>
      <c r="R3285">
        <v>-3.2436010000000001E-2</v>
      </c>
      <c r="S3285">
        <v>2.9994510000000001</v>
      </c>
      <c r="T3285">
        <v>-0.12422619999999999</v>
      </c>
      <c r="U3285">
        <v>-4.5715329999999998E-2</v>
      </c>
      <c r="V3285">
        <v>5.4024059999999999E-2</v>
      </c>
      <c r="W3285">
        <v>4.7901130000000004E-3</v>
      </c>
      <c r="X3285">
        <v>0.99852810000000003</v>
      </c>
      <c r="Y3285">
        <v>3.679354E-2</v>
      </c>
      <c r="Z3285">
        <v>-1.6561200000000001E-3</v>
      </c>
      <c r="AA3285">
        <v>0.99932149999999997</v>
      </c>
      <c r="AB3285">
        <v>37</v>
      </c>
      <c r="AC3285">
        <v>26.424699999999898</v>
      </c>
      <c r="AD3285">
        <v>-1.10966972683</v>
      </c>
      <c r="AE3285">
        <v>-0.41649999999998399</v>
      </c>
      <c r="AF3285">
        <v>0.98570825892430602</v>
      </c>
      <c r="AG3285">
        <v>-1.10966972683</v>
      </c>
      <c r="AH3285">
        <v>26.363049620516101</v>
      </c>
      <c r="AI3285">
        <v>92.408581995373595</v>
      </c>
      <c r="AJ3285">
        <v>87.858721665777296</v>
      </c>
      <c r="AK3285">
        <v>26.4047982944038</v>
      </c>
      <c r="AL3285">
        <v>89.725545679884803</v>
      </c>
      <c r="AM3285">
        <v>86.903106005033493</v>
      </c>
      <c r="AN3285">
        <v>0.999999955365522</v>
      </c>
    </row>
    <row r="3286" spans="1:40" x14ac:dyDescent="0.25">
      <c r="A3286" t="str">
        <f>"20190312161029352"</f>
        <v>20190312161029352</v>
      </c>
      <c r="B3286" t="str">
        <f>"1552378229339463"</f>
        <v>1552378229339463</v>
      </c>
      <c r="C3286" t="s">
        <v>40</v>
      </c>
      <c r="D3286">
        <v>5.615742</v>
      </c>
      <c r="E3286">
        <v>0.49434470000000003</v>
      </c>
      <c r="F3286" t="s">
        <v>74</v>
      </c>
      <c r="G3286">
        <v>-297.2242</v>
      </c>
      <c r="H3286" s="1">
        <v>2.175855E-6</v>
      </c>
      <c r="I3286">
        <v>212.64959999999999</v>
      </c>
      <c r="J3286">
        <v>-323.83749999999998</v>
      </c>
      <c r="K3286">
        <v>1.1096790000000001</v>
      </c>
      <c r="L3286">
        <v>213.07980000000001</v>
      </c>
      <c r="M3286">
        <v>0.99970780000000004</v>
      </c>
      <c r="N3286">
        <v>0</v>
      </c>
      <c r="O3286">
        <v>2.1855320000000001E-2</v>
      </c>
      <c r="P3286">
        <v>0.99946080000000004</v>
      </c>
      <c r="Q3286">
        <v>-5.280318E-3</v>
      </c>
      <c r="R3286">
        <v>-3.2411660000000002E-2</v>
      </c>
      <c r="S3286">
        <v>2.9994510000000001</v>
      </c>
      <c r="T3286">
        <v>-0.123395699999999</v>
      </c>
      <c r="U3286">
        <v>-4.695129E-2</v>
      </c>
      <c r="V3286">
        <v>5.4245740000000001E-2</v>
      </c>
      <c r="W3286">
        <v>5.0723979999999997E-3</v>
      </c>
      <c r="X3286">
        <v>0.99851469999999998</v>
      </c>
      <c r="Y3286">
        <v>3.74513E-2</v>
      </c>
      <c r="Z3286">
        <v>-1.6687029999999999E-3</v>
      </c>
      <c r="AA3286">
        <v>0.99929710000000005</v>
      </c>
      <c r="AB3286">
        <v>37</v>
      </c>
      <c r="AC3286">
        <v>26.613299999999899</v>
      </c>
      <c r="AD3286">
        <v>-1.1096768241449999</v>
      </c>
      <c r="AE3286">
        <v>-0.43020000000001302</v>
      </c>
      <c r="AF3286">
        <v>1.0100149056740499</v>
      </c>
      <c r="AG3286">
        <v>-1.1096768241449999</v>
      </c>
      <c r="AH3286">
        <v>26.551390162685799</v>
      </c>
      <c r="AI3286">
        <v>92.391473566274399</v>
      </c>
      <c r="AJ3286">
        <v>87.821518874932707</v>
      </c>
      <c r="AK3286">
        <v>26.593755513933999</v>
      </c>
      <c r="AL3286">
        <v>89.709371746955497</v>
      </c>
      <c r="AM3286">
        <v>86.890381583259</v>
      </c>
      <c r="AN3286">
        <v>0.99999996782285305</v>
      </c>
    </row>
    <row r="3287" spans="1:40" x14ac:dyDescent="0.25">
      <c r="A3287" t="str">
        <f>"20190312161029375"</f>
        <v>20190312161029375</v>
      </c>
      <c r="B3287" t="str">
        <f>"1552378229369251"</f>
        <v>1552378229369251</v>
      </c>
      <c r="C3287" t="s">
        <v>40</v>
      </c>
      <c r="D3287">
        <v>5.6636030000000002</v>
      </c>
      <c r="E3287">
        <v>0.49571749999999998</v>
      </c>
      <c r="F3287" t="s">
        <v>74</v>
      </c>
      <c r="G3287">
        <v>-296.64139999999998</v>
      </c>
      <c r="H3287" s="1">
        <v>2.072491E-6</v>
      </c>
      <c r="I3287">
        <v>212.64080000000001</v>
      </c>
      <c r="J3287">
        <v>-323.44959999999998</v>
      </c>
      <c r="K3287">
        <v>1.1096760000000001</v>
      </c>
      <c r="L3287">
        <v>213.08850000000001</v>
      </c>
      <c r="M3287">
        <v>0.99970190000000003</v>
      </c>
      <c r="N3287">
        <v>0</v>
      </c>
      <c r="O3287">
        <v>2.2120709999999998E-2</v>
      </c>
      <c r="P3287">
        <v>0.99945499999999998</v>
      </c>
      <c r="Q3287">
        <v>-4.8650209999999998E-3</v>
      </c>
      <c r="R3287">
        <v>-3.26503E-2</v>
      </c>
      <c r="S3287">
        <v>2.99939</v>
      </c>
      <c r="T3287">
        <v>-0.1223837</v>
      </c>
      <c r="U3287">
        <v>-4.8416140000000003E-2</v>
      </c>
      <c r="V3287">
        <v>5.4748999999999999E-2</v>
      </c>
      <c r="W3287">
        <v>5.4929619999999997E-3</v>
      </c>
      <c r="X3287">
        <v>0.99848499999999996</v>
      </c>
      <c r="Y3287">
        <v>3.8204780000000001E-2</v>
      </c>
      <c r="Z3287">
        <v>-1.681245E-3</v>
      </c>
      <c r="AA3287">
        <v>0.9992685</v>
      </c>
      <c r="AB3287">
        <v>37</v>
      </c>
      <c r="AC3287">
        <v>26.808199999999999</v>
      </c>
      <c r="AD3287">
        <v>-1.109673927509</v>
      </c>
      <c r="AE3287">
        <v>-0.44769999999999699</v>
      </c>
      <c r="AF3287">
        <v>1.0388590511403499</v>
      </c>
      <c r="AG3287">
        <v>-1.109673927509</v>
      </c>
      <c r="AH3287">
        <v>26.7459222169912</v>
      </c>
      <c r="AI3287">
        <v>92.374020384146306</v>
      </c>
      <c r="AJ3287">
        <v>87.775648477569504</v>
      </c>
      <c r="AK3287">
        <v>26.789082843406</v>
      </c>
      <c r="AL3287">
        <v>89.685274865225693</v>
      </c>
      <c r="AM3287">
        <v>86.861496617601802</v>
      </c>
      <c r="AN3287">
        <v>0.99999996042876504</v>
      </c>
    </row>
    <row r="3288" spans="1:40" x14ac:dyDescent="0.25">
      <c r="A3288" t="str">
        <f>"20190312161029397"</f>
        <v>20190312161029397</v>
      </c>
      <c r="B3288" t="str">
        <f>"1552378229389747"</f>
        <v>1552378229389747</v>
      </c>
      <c r="C3288" t="s">
        <v>40</v>
      </c>
      <c r="D3288">
        <v>5.6846519999999998</v>
      </c>
      <c r="E3288">
        <v>0.4950985</v>
      </c>
      <c r="F3288" t="s">
        <v>42</v>
      </c>
      <c r="G3288">
        <v>-322.56790000000001</v>
      </c>
      <c r="H3288">
        <v>1.0487519999999999</v>
      </c>
      <c r="I3288">
        <v>213.0718</v>
      </c>
      <c r="J3288">
        <v>-323.08120000000002</v>
      </c>
      <c r="K3288">
        <v>1.1096809999999999</v>
      </c>
      <c r="L3288">
        <v>213.09690000000001</v>
      </c>
      <c r="M3288">
        <v>0.99969620000000003</v>
      </c>
      <c r="N3288">
        <v>0</v>
      </c>
      <c r="O3288">
        <v>2.2372400000000001E-2</v>
      </c>
      <c r="P3288">
        <v>0.99945300000000004</v>
      </c>
      <c r="Q3288">
        <v>-4.8050530000000001E-3</v>
      </c>
      <c r="R3288">
        <v>-3.2722979999999999E-2</v>
      </c>
      <c r="S3288">
        <v>2.99884</v>
      </c>
      <c r="T3288">
        <v>-0.20719799999999999</v>
      </c>
      <c r="U3288">
        <v>-5.6854250000000002E-2</v>
      </c>
      <c r="V3288">
        <v>5.5072839999999998E-2</v>
      </c>
      <c r="W3288">
        <v>5.5578110000000002E-3</v>
      </c>
      <c r="X3288">
        <v>0.99846679999999999</v>
      </c>
      <c r="Y3288">
        <v>4.1168730000000001E-2</v>
      </c>
      <c r="Z3288">
        <v>-2.9642679999999999E-3</v>
      </c>
      <c r="AA3288">
        <v>0.99914780000000003</v>
      </c>
      <c r="AB3288">
        <v>37</v>
      </c>
      <c r="AC3288">
        <v>0.51330000000001497</v>
      </c>
      <c r="AD3288">
        <v>-6.0928999999999699E-2</v>
      </c>
      <c r="AE3288">
        <v>-2.5100000000009001E-2</v>
      </c>
      <c r="AF3288">
        <v>3.6071061663515702E-2</v>
      </c>
      <c r="AG3288">
        <v>-6.0928999999999699E-2</v>
      </c>
      <c r="AH3288">
        <v>0.505504454666586</v>
      </c>
      <c r="AI3288">
        <v>96.855503844095296</v>
      </c>
      <c r="AJ3288">
        <v>85.918487942008596</v>
      </c>
      <c r="AK3288">
        <v>0.51043924047656797</v>
      </c>
      <c r="AL3288">
        <v>89.6815592242923</v>
      </c>
      <c r="AM3288">
        <v>86.842912401567901</v>
      </c>
      <c r="AN3288">
        <v>0.99999992883550604</v>
      </c>
    </row>
    <row r="3289" spans="1:40" x14ac:dyDescent="0.25">
      <c r="A3289" t="str">
        <f>"20190312161029420"</f>
        <v>20190312161029420</v>
      </c>
      <c r="B3289" t="str">
        <f>"1552378229409271"</f>
        <v>1552378229409271</v>
      </c>
      <c r="C3289" t="s">
        <v>40</v>
      </c>
      <c r="D3289">
        <v>5.7353949999999996</v>
      </c>
      <c r="E3289">
        <v>0.49486380000000002</v>
      </c>
      <c r="F3289" t="s">
        <v>74</v>
      </c>
      <c r="G3289">
        <v>-306.19380000000001</v>
      </c>
      <c r="H3289" s="1">
        <v>1.5545779999999999E-6</v>
      </c>
      <c r="I3289">
        <v>212.8004</v>
      </c>
      <c r="J3289">
        <v>-322.69420000000002</v>
      </c>
      <c r="K3289">
        <v>1.1096900000000001</v>
      </c>
      <c r="L3289">
        <v>213.10579999999999</v>
      </c>
      <c r="M3289">
        <v>0.99969019999999997</v>
      </c>
      <c r="N3289">
        <v>0</v>
      </c>
      <c r="O3289">
        <v>2.2637250000000001E-2</v>
      </c>
      <c r="P3289">
        <v>0.99946699999999999</v>
      </c>
      <c r="Q3289">
        <v>-4.9322139999999999E-3</v>
      </c>
      <c r="R3289">
        <v>-3.2270729999999997E-2</v>
      </c>
      <c r="S3289">
        <v>2.9989620000000001</v>
      </c>
      <c r="T3289">
        <v>-0.19706309999999999</v>
      </c>
      <c r="U3289">
        <v>-5.264282E-2</v>
      </c>
      <c r="V3289">
        <v>5.4885639999999999E-2</v>
      </c>
      <c r="W3289">
        <v>5.4362189999999999E-3</v>
      </c>
      <c r="X3289">
        <v>0.99847790000000003</v>
      </c>
      <c r="Y3289">
        <v>4.0046310000000002E-2</v>
      </c>
      <c r="Z3289">
        <v>-2.8000569999999999E-3</v>
      </c>
      <c r="AA3289">
        <v>0.99919389999999997</v>
      </c>
      <c r="AB3289">
        <v>37</v>
      </c>
      <c r="AC3289">
        <v>16.500399999999999</v>
      </c>
      <c r="AD3289">
        <v>-1.109688445422</v>
      </c>
      <c r="AE3289">
        <v>-0.30539999999999101</v>
      </c>
      <c r="AF3289">
        <v>0.67580986034101198</v>
      </c>
      <c r="AG3289">
        <v>-1.109688445422</v>
      </c>
      <c r="AH3289">
        <v>16.415039935358301</v>
      </c>
      <c r="AI3289">
        <v>93.864157741870201</v>
      </c>
      <c r="AJ3289">
        <v>87.642454848773397</v>
      </c>
      <c r="AK3289">
        <v>16.4663797931617</v>
      </c>
      <c r="AL3289">
        <v>89.688526076641693</v>
      </c>
      <c r="AM3289">
        <v>86.853657077129796</v>
      </c>
      <c r="AN3289">
        <v>1.0000000513718099</v>
      </c>
    </row>
    <row r="3290" spans="1:40" x14ac:dyDescent="0.25">
      <c r="A3290" t="str">
        <f>"20190312161029442"</f>
        <v>20190312161029442</v>
      </c>
      <c r="B3290" t="str">
        <f>"1552378229429763"</f>
        <v>1552378229429763</v>
      </c>
      <c r="C3290" t="s">
        <v>40</v>
      </c>
      <c r="D3290">
        <v>5.8648930000000004</v>
      </c>
      <c r="E3290">
        <v>0.4946528</v>
      </c>
      <c r="F3290" t="s">
        <v>74</v>
      </c>
      <c r="G3290">
        <v>-305.61759999999998</v>
      </c>
      <c r="H3290" s="1">
        <v>1.6567939999999901E-6</v>
      </c>
      <c r="I3290">
        <v>212.82300000000001</v>
      </c>
      <c r="J3290">
        <v>-322.32139999999998</v>
      </c>
      <c r="K3290">
        <v>1.1096900000000001</v>
      </c>
      <c r="L3290">
        <v>213.11449999999999</v>
      </c>
      <c r="M3290">
        <v>0.99968449999999998</v>
      </c>
      <c r="N3290">
        <v>0</v>
      </c>
      <c r="O3290">
        <v>2.289186E-2</v>
      </c>
      <c r="P3290">
        <v>0.99948159999999997</v>
      </c>
      <c r="Q3290">
        <v>-4.765465E-3</v>
      </c>
      <c r="R3290">
        <v>-3.1846430000000002E-2</v>
      </c>
      <c r="S3290">
        <v>2.9990540000000001</v>
      </c>
      <c r="T3290">
        <v>-0.194887</v>
      </c>
      <c r="U3290">
        <v>-4.9667360000000001E-2</v>
      </c>
      <c r="V3290">
        <v>5.4716019999999997E-2</v>
      </c>
      <c r="W3290">
        <v>5.6074009999999997E-3</v>
      </c>
      <c r="X3290">
        <v>0.99848619999999999</v>
      </c>
      <c r="Y3290">
        <v>3.9313170000000001E-2</v>
      </c>
      <c r="Z3290">
        <v>-2.7618690000000001E-3</v>
      </c>
      <c r="AA3290">
        <v>0.99922310000000003</v>
      </c>
      <c r="AB3290">
        <v>37</v>
      </c>
      <c r="AC3290">
        <v>16.703800000000001</v>
      </c>
      <c r="AD3290">
        <v>-1.1096883432060001</v>
      </c>
      <c r="AE3290">
        <v>-0.29150000000001303</v>
      </c>
      <c r="AF3290">
        <v>0.67086520455686804</v>
      </c>
      <c r="AG3290">
        <v>-1.1096883432060001</v>
      </c>
      <c r="AH3290">
        <v>16.619423390480499</v>
      </c>
      <c r="AI3290">
        <v>93.816902329310196</v>
      </c>
      <c r="AJ3290">
        <v>87.688434370878198</v>
      </c>
      <c r="AK3290">
        <v>16.669934078267499</v>
      </c>
      <c r="AL3290">
        <v>89.678717901338004</v>
      </c>
      <c r="AM3290">
        <v>86.863387192248695</v>
      </c>
      <c r="AN3290">
        <v>0.99999998869052698</v>
      </c>
    </row>
    <row r="3291" spans="1:40" x14ac:dyDescent="0.25">
      <c r="A3291" t="str">
        <f>"20190312161029510"</f>
        <v>20190312161029510</v>
      </c>
      <c r="B3291" t="str">
        <f>"1552378229499569"</f>
        <v>1552378229499569</v>
      </c>
      <c r="C3291" t="s">
        <v>40</v>
      </c>
      <c r="D3291">
        <v>5.7381310000000001</v>
      </c>
      <c r="E3291">
        <v>0.49464010000000003</v>
      </c>
      <c r="F3291" t="s">
        <v>74</v>
      </c>
      <c r="G3291">
        <v>-305.1164</v>
      </c>
      <c r="H3291" s="1">
        <v>1.7456930000000001E-6</v>
      </c>
      <c r="I3291">
        <v>212.84520000000001</v>
      </c>
      <c r="J3291">
        <v>-321.19450000000001</v>
      </c>
      <c r="K3291">
        <v>1.1096790000000001</v>
      </c>
      <c r="L3291">
        <v>213.1413</v>
      </c>
      <c r="M3291">
        <v>0.99966619999999995</v>
      </c>
      <c r="N3291">
        <v>0</v>
      </c>
      <c r="O3291">
        <v>2.3662160000000002E-2</v>
      </c>
      <c r="P3291">
        <v>0.99950660000000002</v>
      </c>
      <c r="Q3291">
        <v>-5.2535409999999996E-3</v>
      </c>
      <c r="R3291">
        <v>-3.0971519999999999E-2</v>
      </c>
      <c r="S3291">
        <v>2.9991759999999998</v>
      </c>
      <c r="T3291">
        <v>-0.19344130000000001</v>
      </c>
      <c r="U3291">
        <v>-4.6936039999999998E-2</v>
      </c>
      <c r="V3291">
        <v>5.4611569999999998E-2</v>
      </c>
      <c r="W3291">
        <v>5.134385E-3</v>
      </c>
      <c r="X3291">
        <v>0.9984944</v>
      </c>
      <c r="Y3291">
        <v>3.9173350000000003E-2</v>
      </c>
      <c r="Z3291">
        <v>-2.7864500000000002E-3</v>
      </c>
      <c r="AA3291">
        <v>0.99922849999999996</v>
      </c>
      <c r="AB3291">
        <v>38</v>
      </c>
      <c r="AC3291">
        <v>16.078099999999999</v>
      </c>
      <c r="AD3291">
        <v>-1.1096772543069999</v>
      </c>
      <c r="AE3291">
        <v>-0.29609999999999498</v>
      </c>
      <c r="AF3291">
        <v>0.67327409186306497</v>
      </c>
      <c r="AG3291">
        <v>-1.1096772543069999</v>
      </c>
      <c r="AH3291">
        <v>15.9904468231114</v>
      </c>
      <c r="AI3291">
        <v>93.966245675195196</v>
      </c>
      <c r="AJ3291">
        <v>87.588998437150494</v>
      </c>
      <c r="AK3291">
        <v>16.043038091778399</v>
      </c>
      <c r="AL3291">
        <v>89.705820094848505</v>
      </c>
      <c r="AM3291">
        <v>86.869388557967397</v>
      </c>
      <c r="AN3291">
        <v>0.99999992615927302</v>
      </c>
    </row>
    <row r="3292" spans="1:40" x14ac:dyDescent="0.25">
      <c r="A3292" t="str">
        <f>"20190312161029530"</f>
        <v>20190312161029530</v>
      </c>
      <c r="B3292" t="str">
        <f>"1552378229519087"</f>
        <v>1552378229519087</v>
      </c>
      <c r="C3292" t="s">
        <v>40</v>
      </c>
      <c r="D3292">
        <v>5.741034</v>
      </c>
      <c r="E3292">
        <v>0.49463950000000001</v>
      </c>
      <c r="F3292" t="s">
        <v>42</v>
      </c>
      <c r="G3292">
        <v>-320.22000000000003</v>
      </c>
      <c r="H3292">
        <v>1.046859</v>
      </c>
      <c r="I3292">
        <v>213.1268</v>
      </c>
      <c r="J3292">
        <v>-320.84730000000002</v>
      </c>
      <c r="K3292">
        <v>1.1096809999999999</v>
      </c>
      <c r="L3292">
        <v>213.1497</v>
      </c>
      <c r="M3292">
        <v>0.99966060000000001</v>
      </c>
      <c r="N3292">
        <v>0</v>
      </c>
      <c r="O3292">
        <v>2.3899360000000001E-2</v>
      </c>
      <c r="P3292">
        <v>0.99949149999999998</v>
      </c>
      <c r="Q3292">
        <v>-5.7219569999999997E-3</v>
      </c>
      <c r="R3292">
        <v>-3.1367100000000002E-2</v>
      </c>
      <c r="S3292">
        <v>2.9991150000000002</v>
      </c>
      <c r="T3292">
        <v>-0.1934979</v>
      </c>
      <c r="U3292">
        <v>-4.3884279999999998E-2</v>
      </c>
      <c r="V3292">
        <v>5.5243920000000002E-2</v>
      </c>
      <c r="W3292">
        <v>4.6709050000000004E-3</v>
      </c>
      <c r="X3292">
        <v>0.99846199999999996</v>
      </c>
      <c r="Y3292">
        <v>3.8395249999999999E-2</v>
      </c>
      <c r="Z3292">
        <v>-2.7775500000000002E-3</v>
      </c>
      <c r="AA3292">
        <v>0.9992588</v>
      </c>
      <c r="AB3292">
        <v>38</v>
      </c>
      <c r="AC3292">
        <v>0.62729999999999098</v>
      </c>
      <c r="AD3292">
        <v>-6.2821999999999906E-2</v>
      </c>
      <c r="AE3292">
        <v>-2.2899999999992801E-2</v>
      </c>
      <c r="AF3292">
        <v>3.7510626173371697E-2</v>
      </c>
      <c r="AG3292">
        <v>-6.2821999999999906E-2</v>
      </c>
      <c r="AH3292">
        <v>0.620359951208454</v>
      </c>
      <c r="AI3292">
        <v>95.771989333860802</v>
      </c>
      <c r="AJ3292">
        <v>86.539771717846705</v>
      </c>
      <c r="AK3292">
        <v>0.62466000338045802</v>
      </c>
      <c r="AL3292">
        <v>89.732375893680299</v>
      </c>
      <c r="AM3292">
        <v>86.833109863450701</v>
      </c>
      <c r="AN3292">
        <v>1.0000000367472399</v>
      </c>
    </row>
    <row r="3293" spans="1:40" x14ac:dyDescent="0.25">
      <c r="A3293" t="str">
        <f>"20190312161029553"</f>
        <v>20190312161029553</v>
      </c>
      <c r="B3293" t="str">
        <f>"1552378229549343"</f>
        <v>1552378229549343</v>
      </c>
      <c r="C3293" t="s">
        <v>40</v>
      </c>
      <c r="D3293">
        <v>5.7242940000000004</v>
      </c>
      <c r="E3293">
        <v>0.49476969999999998</v>
      </c>
      <c r="F3293" t="s">
        <v>42</v>
      </c>
      <c r="G3293">
        <v>-319.8827</v>
      </c>
      <c r="H3293">
        <v>1.04757099999999</v>
      </c>
      <c r="I3293">
        <v>213.13499999999999</v>
      </c>
      <c r="J3293">
        <v>-320.47190000000001</v>
      </c>
      <c r="K3293">
        <v>1.1096870000000001</v>
      </c>
      <c r="L3293">
        <v>213.15889999999999</v>
      </c>
      <c r="M3293">
        <v>0.99965440000000005</v>
      </c>
      <c r="N3293">
        <v>0</v>
      </c>
      <c r="O3293">
        <v>2.415581E-2</v>
      </c>
      <c r="P3293">
        <v>0.99947819999999998</v>
      </c>
      <c r="Q3293">
        <v>-5.8784319999999899E-3</v>
      </c>
      <c r="R3293">
        <v>-3.1762640000000002E-2</v>
      </c>
      <c r="S3293">
        <v>2.998993</v>
      </c>
      <c r="T3293">
        <v>-0.19324740000000001</v>
      </c>
      <c r="U3293">
        <v>-4.5028690000000003E-2</v>
      </c>
      <c r="V3293">
        <v>5.5895210000000001E-2</v>
      </c>
      <c r="W3293">
        <v>4.5192729999999999E-3</v>
      </c>
      <c r="X3293">
        <v>0.99842640000000005</v>
      </c>
      <c r="Y3293">
        <v>3.903189E-2</v>
      </c>
      <c r="Z3293">
        <v>-2.8110639999999998E-3</v>
      </c>
      <c r="AA3293">
        <v>0.99923399999999996</v>
      </c>
      <c r="AB3293">
        <v>38</v>
      </c>
      <c r="AC3293">
        <v>0.58920000000000505</v>
      </c>
      <c r="AD3293">
        <v>-6.2116000000000199E-2</v>
      </c>
      <c r="AE3293">
        <v>-2.38999999999975E-2</v>
      </c>
      <c r="AF3293">
        <v>3.7707985428919698E-2</v>
      </c>
      <c r="AG3293">
        <v>-6.2116000000000199E-2</v>
      </c>
      <c r="AH3293">
        <v>0.58199289288001399</v>
      </c>
      <c r="AI3293">
        <v>96.079454838639506</v>
      </c>
      <c r="AJ3293">
        <v>86.292922399312801</v>
      </c>
      <c r="AK3293">
        <v>0.586511736441783</v>
      </c>
      <c r="AL3293">
        <v>89.741063845920706</v>
      </c>
      <c r="AM3293">
        <v>86.7957376137349</v>
      </c>
      <c r="AN3293">
        <v>0.99999998727317596</v>
      </c>
    </row>
    <row r="3294" spans="1:40" x14ac:dyDescent="0.25">
      <c r="A3294" t="str">
        <f>"20190312161029598"</f>
        <v>20190312161029598</v>
      </c>
      <c r="B3294" t="str">
        <f>"1552378229589868"</f>
        <v>1552378229589868</v>
      </c>
      <c r="C3294" t="s">
        <v>40</v>
      </c>
      <c r="D3294">
        <v>5.6130259999999996</v>
      </c>
      <c r="E3294">
        <v>0.49482379999999998</v>
      </c>
      <c r="F3294" t="s">
        <v>42</v>
      </c>
      <c r="G3294">
        <v>-319.54360000000003</v>
      </c>
      <c r="H3294">
        <v>1.0498190000000001</v>
      </c>
      <c r="I3294">
        <v>213.14400000000001</v>
      </c>
      <c r="J3294">
        <v>-319.70080000000002</v>
      </c>
      <c r="K3294">
        <v>1.109683</v>
      </c>
      <c r="L3294">
        <v>213.1782</v>
      </c>
      <c r="M3294">
        <v>0.99964140000000001</v>
      </c>
      <c r="N3294">
        <v>0</v>
      </c>
      <c r="O3294">
        <v>2.468213E-2</v>
      </c>
      <c r="P3294">
        <v>0.99952390000000002</v>
      </c>
      <c r="Q3294">
        <v>-5.6653110000000001E-3</v>
      </c>
      <c r="R3294">
        <v>-3.0327409999999999E-2</v>
      </c>
      <c r="S3294">
        <v>2.9989319999999999</v>
      </c>
      <c r="T3294">
        <v>-0.19358220000000001</v>
      </c>
      <c r="U3294">
        <v>-4.721069E-2</v>
      </c>
      <c r="V3294">
        <v>5.4987130000000002E-2</v>
      </c>
      <c r="W3294">
        <v>4.7419530000000001E-3</v>
      </c>
      <c r="X3294">
        <v>0.99847580000000002</v>
      </c>
      <c r="Y3294">
        <v>4.0280990000000003E-2</v>
      </c>
      <c r="Z3294">
        <v>-2.8901729999999998E-3</v>
      </c>
      <c r="AA3294">
        <v>0.99918419999999997</v>
      </c>
      <c r="AB3294">
        <v>38</v>
      </c>
      <c r="AC3294">
        <v>0.15719999999998799</v>
      </c>
      <c r="AD3294">
        <v>-5.9863999999999903E-2</v>
      </c>
      <c r="AE3294">
        <v>-3.4199999999998398E-2</v>
      </c>
      <c r="AF3294">
        <v>3.3439583058408502E-2</v>
      </c>
      <c r="AG3294">
        <v>-5.9863999999999903E-2</v>
      </c>
      <c r="AH3294">
        <v>0.13729699789365701</v>
      </c>
      <c r="AI3294">
        <v>112.959183461001</v>
      </c>
      <c r="AJ3294">
        <v>76.311745750607102</v>
      </c>
      <c r="AK3294">
        <v>0.15346781369958601</v>
      </c>
      <c r="AL3294">
        <v>89.728305087370401</v>
      </c>
      <c r="AM3294">
        <v>86.847844224521893</v>
      </c>
      <c r="AN3294">
        <v>0.99999999688476504</v>
      </c>
    </row>
    <row r="3295" spans="1:40" x14ac:dyDescent="0.25">
      <c r="A3295" t="str">
        <f>"20190312161029621"</f>
        <v>20190312161029621</v>
      </c>
      <c r="B3295" t="str">
        <f>"1552378229609387"</f>
        <v>1552378229609387</v>
      </c>
      <c r="C3295" t="s">
        <v>40</v>
      </c>
      <c r="D3295">
        <v>5.6415810000000004</v>
      </c>
      <c r="E3295">
        <v>0.48856300000000003</v>
      </c>
      <c r="F3295" t="s">
        <v>74</v>
      </c>
      <c r="G3295">
        <v>-302.4975</v>
      </c>
      <c r="H3295" s="1">
        <v>2.2102399999999999E-6</v>
      </c>
      <c r="I3295">
        <v>212.9273</v>
      </c>
      <c r="J3295">
        <v>-319.31970000000001</v>
      </c>
      <c r="K3295">
        <v>1.10968</v>
      </c>
      <c r="L3295">
        <v>213.18780000000001</v>
      </c>
      <c r="M3295">
        <v>0.99963500000000005</v>
      </c>
      <c r="N3295">
        <v>0</v>
      </c>
      <c r="O3295">
        <v>2.4941979999999999E-2</v>
      </c>
      <c r="P3295">
        <v>0.99955210000000005</v>
      </c>
      <c r="Q3295">
        <v>-5.8843069999999897E-3</v>
      </c>
      <c r="R3295">
        <v>-2.934486E-2</v>
      </c>
      <c r="S3295">
        <v>2.998993</v>
      </c>
      <c r="T3295">
        <v>-0.19344700000000001</v>
      </c>
      <c r="U3295">
        <v>-4.3731689999999997E-2</v>
      </c>
      <c r="V3295">
        <v>5.4265279999999999E-2</v>
      </c>
      <c r="W3295">
        <v>4.5278559999999898E-3</v>
      </c>
      <c r="X3295">
        <v>0.99851630000000002</v>
      </c>
      <c r="Y3295">
        <v>3.9383059999999998E-2</v>
      </c>
      <c r="Z3295">
        <v>-2.8759329999999998E-3</v>
      </c>
      <c r="AA3295">
        <v>0.99922010000000006</v>
      </c>
      <c r="AB3295">
        <v>38</v>
      </c>
      <c r="AC3295">
        <v>16.822199999999999</v>
      </c>
      <c r="AD3295">
        <v>-1.1096777897600001</v>
      </c>
      <c r="AE3295">
        <v>-0.260500000000007</v>
      </c>
      <c r="AF3295">
        <v>0.677075022983195</v>
      </c>
      <c r="AG3295">
        <v>-1.1096777897600001</v>
      </c>
      <c r="AH3295">
        <v>16.7376536902506</v>
      </c>
      <c r="AI3295">
        <v>93.789970581656704</v>
      </c>
      <c r="AJ3295">
        <v>87.683522292806501</v>
      </c>
      <c r="AK3295">
        <v>16.788057256234101</v>
      </c>
      <c r="AL3295">
        <v>89.740572077552102</v>
      </c>
      <c r="AM3295">
        <v>86.8892686337432</v>
      </c>
      <c r="AN3295">
        <v>1.00000001172956</v>
      </c>
    </row>
    <row r="3296" spans="1:40" x14ac:dyDescent="0.25">
      <c r="A3296" t="str">
        <f>"20190312161029643"</f>
        <v>20190312161029643</v>
      </c>
      <c r="B3296" t="str">
        <f>"1552378229629883"</f>
        <v>1552378229629883</v>
      </c>
      <c r="C3296" t="s">
        <v>40</v>
      </c>
      <c r="D3296">
        <v>5.776904</v>
      </c>
      <c r="E3296">
        <v>0.48746089999999997</v>
      </c>
      <c r="F3296" t="s">
        <v>74</v>
      </c>
      <c r="G3296">
        <v>-288.82639999999998</v>
      </c>
      <c r="H3296" s="1">
        <v>3.3394690000000002E-6</v>
      </c>
      <c r="I3296">
        <v>213.2517</v>
      </c>
      <c r="J3296">
        <v>-318.9402</v>
      </c>
      <c r="K3296">
        <v>1.1096820000000001</v>
      </c>
      <c r="L3296">
        <v>213.19749999999999</v>
      </c>
      <c r="M3296">
        <v>0.99962850000000003</v>
      </c>
      <c r="N3296">
        <v>0</v>
      </c>
      <c r="O3296">
        <v>2.520064E-2</v>
      </c>
      <c r="P3296">
        <v>0.99958179999999996</v>
      </c>
      <c r="Q3296">
        <v>-5.5728899999999996E-3</v>
      </c>
      <c r="R3296">
        <v>-2.838071E-2</v>
      </c>
      <c r="S3296">
        <v>3.0008849999999998</v>
      </c>
      <c r="T3296">
        <v>-0.1092046</v>
      </c>
      <c r="U3296">
        <v>6.286621E-3</v>
      </c>
      <c r="V3296">
        <v>5.3560190000000001E-2</v>
      </c>
      <c r="W3296">
        <v>4.8439950000000002E-3</v>
      </c>
      <c r="X3296">
        <v>0.99855289999999997</v>
      </c>
      <c r="Y3296">
        <v>2.3075740000000001E-2</v>
      </c>
      <c r="Z3296">
        <v>-1.3364710000000001E-3</v>
      </c>
      <c r="AA3296">
        <v>0.99973290000000004</v>
      </c>
      <c r="AB3296">
        <v>38</v>
      </c>
      <c r="AC3296">
        <v>30.113800000000001</v>
      </c>
      <c r="AD3296">
        <v>-1.1096786605310001</v>
      </c>
      <c r="AE3296">
        <v>5.4200000000008602E-2</v>
      </c>
      <c r="AF3296">
        <v>0.70378948842665801</v>
      </c>
      <c r="AG3296">
        <v>-1.1096786605310001</v>
      </c>
      <c r="AH3296">
        <v>30.0647767685495</v>
      </c>
      <c r="AI3296">
        <v>92.113225928811005</v>
      </c>
      <c r="AJ3296">
        <v>88.659002047858095</v>
      </c>
      <c r="AK3296">
        <v>30.0934795016524</v>
      </c>
      <c r="AL3296">
        <v>89.722458452387599</v>
      </c>
      <c r="AM3296">
        <v>86.929722062185306</v>
      </c>
      <c r="AN3296">
        <v>1.0000000261694</v>
      </c>
    </row>
    <row r="3297" spans="1:40" x14ac:dyDescent="0.25">
      <c r="A3297" t="str">
        <f>"20190312161029667"</f>
        <v>20190312161029667</v>
      </c>
      <c r="B3297" t="str">
        <f>"1552378229659670"</f>
        <v>1552378229659670</v>
      </c>
      <c r="C3297" t="s">
        <v>40</v>
      </c>
      <c r="D3297">
        <v>5.7647490000000001</v>
      </c>
      <c r="E3297">
        <v>0.48687760000000002</v>
      </c>
      <c r="F3297" t="s">
        <v>74</v>
      </c>
      <c r="G3297">
        <v>-284.3845</v>
      </c>
      <c r="H3297" s="1">
        <v>5.2914319999999999E-6</v>
      </c>
      <c r="I3297">
        <v>213.40110000000001</v>
      </c>
      <c r="J3297">
        <v>-318.55180000000001</v>
      </c>
      <c r="K3297">
        <v>1.109686</v>
      </c>
      <c r="L3297">
        <v>213.20750000000001</v>
      </c>
      <c r="M3297">
        <v>0.9996216</v>
      </c>
      <c r="N3297">
        <v>0</v>
      </c>
      <c r="O3297">
        <v>2.54652E-2</v>
      </c>
      <c r="P3297">
        <v>0.99960789999999999</v>
      </c>
      <c r="Q3297">
        <v>-4.8281330000000001E-3</v>
      </c>
      <c r="R3297">
        <v>-2.7586940000000001E-2</v>
      </c>
      <c r="S3297">
        <v>3.0012210000000001</v>
      </c>
      <c r="T3297">
        <v>-9.6377370000000004E-2</v>
      </c>
      <c r="U3297">
        <v>1.768494E-2</v>
      </c>
      <c r="V3297">
        <v>5.3031139999999997E-2</v>
      </c>
      <c r="W3297">
        <v>5.5930969999999896E-3</v>
      </c>
      <c r="X3297">
        <v>0.99857720000000005</v>
      </c>
      <c r="Y3297">
        <v>1.9552360000000001E-2</v>
      </c>
      <c r="Z3297">
        <v>-1.1313580000000001E-3</v>
      </c>
      <c r="AA3297">
        <v>0.99980820000000004</v>
      </c>
      <c r="AB3297">
        <v>38</v>
      </c>
      <c r="AC3297">
        <v>34.167299999999997</v>
      </c>
      <c r="AD3297">
        <v>-1.1096807085680001</v>
      </c>
      <c r="AE3297">
        <v>0.19360000000000299</v>
      </c>
      <c r="AF3297">
        <v>0.67587408721827003</v>
      </c>
      <c r="AG3297">
        <v>-1.1096807085680001</v>
      </c>
      <c r="AH3297">
        <v>34.125154548756598</v>
      </c>
      <c r="AI3297">
        <v>91.862121144213305</v>
      </c>
      <c r="AJ3297">
        <v>88.865362783012799</v>
      </c>
      <c r="AK3297">
        <v>34.149880966604599</v>
      </c>
      <c r="AL3297">
        <v>89.679537478080505</v>
      </c>
      <c r="AM3297">
        <v>86.960065931648501</v>
      </c>
      <c r="AN3297">
        <v>1.00000000445179</v>
      </c>
    </row>
    <row r="3298" spans="1:40" x14ac:dyDescent="0.25">
      <c r="A3298" t="str">
        <f>"20190312161030102"</f>
        <v>20190312161030102</v>
      </c>
      <c r="B3298" t="str">
        <f>"1552378230099885"</f>
        <v>1552378230099885</v>
      </c>
      <c r="C3298" t="s">
        <v>40</v>
      </c>
      <c r="D3298">
        <v>5.1960800000000003</v>
      </c>
      <c r="E3298">
        <v>0.48080729999999999</v>
      </c>
      <c r="F3298" t="s">
        <v>74</v>
      </c>
      <c r="G3298">
        <v>-281.00830000000002</v>
      </c>
      <c r="H3298" s="1">
        <v>6.7750840000000001E-6</v>
      </c>
      <c r="I3298">
        <v>213.51480000000001</v>
      </c>
      <c r="J3298">
        <v>-311.11250000000001</v>
      </c>
      <c r="K3298">
        <v>1.1096710000000001</v>
      </c>
      <c r="L3298">
        <v>213.4195</v>
      </c>
      <c r="M3298">
        <v>0.99947969999999997</v>
      </c>
      <c r="N3298">
        <v>0</v>
      </c>
      <c r="O3298">
        <v>3.0499740000000001E-2</v>
      </c>
      <c r="P3298">
        <v>0.99982380000000004</v>
      </c>
      <c r="Q3298">
        <v>-5.9616349999999999E-3</v>
      </c>
      <c r="R3298">
        <v>-1.7805809999999998E-2</v>
      </c>
      <c r="S3298">
        <v>3.001465</v>
      </c>
      <c r="T3298">
        <v>-8.8714719999999997E-2</v>
      </c>
      <c r="U3298">
        <v>2.4566649999999999E-2</v>
      </c>
      <c r="V3298">
        <v>4.8290859999999998E-2</v>
      </c>
      <c r="W3298">
        <v>4.5536040000000002E-3</v>
      </c>
      <c r="X3298">
        <v>0.99882289999999996</v>
      </c>
      <c r="Y3298">
        <v>2.229654E-2</v>
      </c>
      <c r="Z3298">
        <v>-1.2306229999999999E-3</v>
      </c>
      <c r="AA3298">
        <v>0.99975060000000004</v>
      </c>
      <c r="AB3298">
        <v>38</v>
      </c>
      <c r="AC3298">
        <v>30.104199999999899</v>
      </c>
      <c r="AD3298">
        <v>-1.10966422491599</v>
      </c>
      <c r="AE3298">
        <v>9.5300000000008794E-2</v>
      </c>
      <c r="AF3298">
        <v>0.821848512678925</v>
      </c>
      <c r="AG3298">
        <v>-1.10966422491599</v>
      </c>
      <c r="AH3298">
        <v>30.052267891590699</v>
      </c>
      <c r="AI3298">
        <v>92.113866305997007</v>
      </c>
      <c r="AJ3298">
        <v>88.433505323097094</v>
      </c>
      <c r="AK3298">
        <v>30.083975719605</v>
      </c>
      <c r="AL3298">
        <v>89.739096798181095</v>
      </c>
      <c r="AM3298">
        <v>87.232032192833401</v>
      </c>
      <c r="AN3298">
        <v>0.99999996401666802</v>
      </c>
    </row>
    <row r="3299" spans="1:40" x14ac:dyDescent="0.25">
      <c r="A3299" t="str">
        <f>"20190312161030125"</f>
        <v>20190312161030125</v>
      </c>
      <c r="B3299" t="str">
        <f>"1552378230119406"</f>
        <v>1552378230119406</v>
      </c>
      <c r="C3299" t="s">
        <v>40</v>
      </c>
      <c r="D3299">
        <v>4.7010360000000002</v>
      </c>
      <c r="E3299">
        <v>0.48089150000000003</v>
      </c>
      <c r="F3299" t="s">
        <v>74</v>
      </c>
      <c r="G3299">
        <v>-291.09739999999999</v>
      </c>
      <c r="H3299" s="1">
        <v>1.08908E-6</v>
      </c>
      <c r="I3299">
        <v>214.113</v>
      </c>
      <c r="J3299">
        <v>-310.7124</v>
      </c>
      <c r="K3299">
        <v>1.1096619999999999</v>
      </c>
      <c r="L3299">
        <v>213.43199999999999</v>
      </c>
      <c r="M3299">
        <v>0.99947229999999998</v>
      </c>
      <c r="N3299">
        <v>0</v>
      </c>
      <c r="O3299">
        <v>3.073859E-2</v>
      </c>
      <c r="P3299">
        <v>0.99983759999999999</v>
      </c>
      <c r="Q3299">
        <v>-6.9471630000000001E-3</v>
      </c>
      <c r="R3299">
        <v>-1.6631469999999999E-2</v>
      </c>
      <c r="S3299">
        <v>3.001404</v>
      </c>
      <c r="T3299">
        <v>-0.1664033</v>
      </c>
      <c r="U3299">
        <v>0.1039886</v>
      </c>
      <c r="V3299">
        <v>4.7356790000000003E-2</v>
      </c>
      <c r="W3299">
        <v>3.571804E-3</v>
      </c>
      <c r="X3299">
        <v>0.99887159999999997</v>
      </c>
      <c r="Y3299">
        <v>-3.9287819999999996E-3</v>
      </c>
      <c r="Z3299">
        <v>-1.5932590000000001E-3</v>
      </c>
      <c r="AA3299">
        <v>0.99999099999999996</v>
      </c>
      <c r="AB3299">
        <v>39</v>
      </c>
      <c r="AC3299">
        <v>19.614999999999998</v>
      </c>
      <c r="AD3299">
        <v>-1.10966091092</v>
      </c>
      <c r="AE3299">
        <v>0.68099999999998295</v>
      </c>
      <c r="AF3299">
        <v>-7.7459873655710804E-2</v>
      </c>
      <c r="AG3299">
        <v>-1.10966091092</v>
      </c>
      <c r="AH3299">
        <v>19.564126592750899</v>
      </c>
      <c r="AI3299">
        <v>93.246265150322898</v>
      </c>
      <c r="AJ3299">
        <v>90.226848902798096</v>
      </c>
      <c r="AK3299">
        <v>19.595723939330099</v>
      </c>
      <c r="AL3299">
        <v>89.795350259826904</v>
      </c>
      <c r="AM3299">
        <v>87.285623121426795</v>
      </c>
      <c r="AN3299">
        <v>0.99999994831473704</v>
      </c>
    </row>
    <row r="3300" spans="1:40" x14ac:dyDescent="0.25">
      <c r="A3300" t="str">
        <f>"20190312161030167"</f>
        <v>20190312161030167</v>
      </c>
      <c r="B3300" t="str">
        <f>"1552378230159425"</f>
        <v>1552378230159425</v>
      </c>
      <c r="C3300" t="s">
        <v>40</v>
      </c>
      <c r="D3300">
        <v>4.6701050000000004</v>
      </c>
      <c r="E3300">
        <v>0.48161130000000002</v>
      </c>
      <c r="F3300" t="s">
        <v>74</v>
      </c>
      <c r="G3300">
        <v>-292.63569999999999</v>
      </c>
      <c r="H3300" s="1">
        <v>1.3619400000000001E-6</v>
      </c>
      <c r="I3300">
        <v>214.0779</v>
      </c>
      <c r="J3300">
        <v>-309.9821</v>
      </c>
      <c r="K3300">
        <v>1.1096200000000001</v>
      </c>
      <c r="L3300">
        <v>213.45490000000001</v>
      </c>
      <c r="M3300">
        <v>0.99946080000000004</v>
      </c>
      <c r="N3300">
        <v>0</v>
      </c>
      <c r="O3300">
        <v>3.1111090000000001E-2</v>
      </c>
      <c r="P3300">
        <v>0.99986280000000005</v>
      </c>
      <c r="Q3300">
        <v>-6.7995399999999998E-3</v>
      </c>
      <c r="R3300">
        <v>-1.5113949999999999E-2</v>
      </c>
      <c r="S3300">
        <v>3.0009769999999998</v>
      </c>
      <c r="T3300">
        <v>-0.18421899999999999</v>
      </c>
      <c r="U3300">
        <v>0.1072388</v>
      </c>
      <c r="V3300">
        <v>4.6213280000000002E-2</v>
      </c>
      <c r="W3300">
        <v>3.724869E-3</v>
      </c>
      <c r="X3300">
        <v>0.9989247</v>
      </c>
      <c r="Y3300">
        <v>-4.6512999999999997E-3</v>
      </c>
      <c r="Z3300">
        <v>-1.7644189999999999E-3</v>
      </c>
      <c r="AA3300">
        <v>0.99998759999999998</v>
      </c>
      <c r="AB3300">
        <v>39</v>
      </c>
      <c r="AC3300">
        <v>17.346399999999999</v>
      </c>
      <c r="AD3300">
        <v>-1.1096186380599999</v>
      </c>
      <c r="AE3300">
        <v>0.62299999999999001</v>
      </c>
      <c r="AF3300">
        <v>-8.2665415038355394E-2</v>
      </c>
      <c r="AG3300">
        <v>-1.1096186380599999</v>
      </c>
      <c r="AH3300">
        <v>17.286740429301801</v>
      </c>
      <c r="AI3300">
        <v>93.672678482944207</v>
      </c>
      <c r="AJ3300">
        <v>90.273987065981402</v>
      </c>
      <c r="AK3300">
        <v>17.322513725289099</v>
      </c>
      <c r="AL3300">
        <v>89.786580244013706</v>
      </c>
      <c r="AM3300">
        <v>87.351212453886006</v>
      </c>
      <c r="AN3300">
        <v>1.00000004908375</v>
      </c>
    </row>
    <row r="3301" spans="1:40" x14ac:dyDescent="0.25">
      <c r="A3301" t="str">
        <f>"20190312161030190"</f>
        <v>20190312161030190</v>
      </c>
      <c r="B3301" t="str">
        <f>"1552378230179917"</f>
        <v>1552378230179917</v>
      </c>
      <c r="C3301" t="s">
        <v>40</v>
      </c>
      <c r="D3301">
        <v>5.0783290000000001</v>
      </c>
      <c r="E3301">
        <v>0.49455149999999998</v>
      </c>
      <c r="F3301" t="s">
        <v>74</v>
      </c>
      <c r="G3301">
        <v>-290.15620000000001</v>
      </c>
      <c r="H3301" s="1">
        <v>9.2212140000000005E-7</v>
      </c>
      <c r="I3301">
        <v>214.15170000000001</v>
      </c>
      <c r="J3301">
        <v>-309.58819999999997</v>
      </c>
      <c r="K3301">
        <v>1.1096029999999999</v>
      </c>
      <c r="L3301">
        <v>213.46729999999999</v>
      </c>
      <c r="M3301">
        <v>0.99945550000000005</v>
      </c>
      <c r="N3301">
        <v>0</v>
      </c>
      <c r="O3301">
        <v>3.1275909999999997E-2</v>
      </c>
      <c r="P3301">
        <v>0.99985429999999997</v>
      </c>
      <c r="Q3301">
        <v>-7.0321280000000003E-3</v>
      </c>
      <c r="R3301">
        <v>-1.5553630000000001E-2</v>
      </c>
      <c r="S3301">
        <v>3.0007929999999998</v>
      </c>
      <c r="T3301">
        <v>-0.1679496</v>
      </c>
      <c r="U3301">
        <v>0.1054688</v>
      </c>
      <c r="V3301">
        <v>4.6817589999999999E-2</v>
      </c>
      <c r="W3301">
        <v>3.4940819999999999E-3</v>
      </c>
      <c r="X3301">
        <v>0.99889740000000005</v>
      </c>
      <c r="Y3301">
        <v>-3.892525E-3</v>
      </c>
      <c r="Z3301">
        <v>-1.639387E-3</v>
      </c>
      <c r="AA3301">
        <v>0.99999110000000002</v>
      </c>
      <c r="AB3301">
        <v>39</v>
      </c>
      <c r="AC3301">
        <v>19.431999999999899</v>
      </c>
      <c r="AD3301">
        <v>-1.1096020778786</v>
      </c>
      <c r="AE3301">
        <v>0.68440000000001</v>
      </c>
      <c r="AF3301">
        <v>-7.6030477385030895E-2</v>
      </c>
      <c r="AG3301">
        <v>-1.1096020778786</v>
      </c>
      <c r="AH3301">
        <v>19.380784035136799</v>
      </c>
      <c r="AI3301">
        <v>93.276735372031794</v>
      </c>
      <c r="AJ3301">
        <v>90.224769189610697</v>
      </c>
      <c r="AK3301">
        <v>19.412670790525901</v>
      </c>
      <c r="AL3301">
        <v>89.799803451890199</v>
      </c>
      <c r="AM3301">
        <v>87.316552536842494</v>
      </c>
      <c r="AN3301">
        <v>1.00000005553459</v>
      </c>
    </row>
    <row r="3302" spans="1:40" x14ac:dyDescent="0.25">
      <c r="A3302" t="str">
        <f>"20190312161030211"</f>
        <v>20190312161030211</v>
      </c>
      <c r="B3302" t="str">
        <f>"1552378230199437"</f>
        <v>1552378230199437</v>
      </c>
      <c r="C3302" t="s">
        <v>40</v>
      </c>
      <c r="D3302">
        <v>4.9212720000000001</v>
      </c>
      <c r="E3302">
        <v>0.48842669999999999</v>
      </c>
      <c r="F3302" t="s">
        <v>42</v>
      </c>
      <c r="G3302">
        <v>-308.68290000000002</v>
      </c>
      <c r="H3302">
        <v>0.91538379999999997</v>
      </c>
      <c r="I3302">
        <v>213.4716</v>
      </c>
      <c r="J3302">
        <v>-309.2303</v>
      </c>
      <c r="K3302">
        <v>1.1095809999999999</v>
      </c>
      <c r="L3302">
        <v>213.4786</v>
      </c>
      <c r="M3302">
        <v>0.99945150000000005</v>
      </c>
      <c r="N3302">
        <v>0</v>
      </c>
      <c r="O3302">
        <v>3.1400860000000003E-2</v>
      </c>
      <c r="P3302">
        <v>0.99983789999999995</v>
      </c>
      <c r="Q3302">
        <v>-7.2645169999999998E-3</v>
      </c>
      <c r="R3302">
        <v>-1.6479299999999999E-2</v>
      </c>
      <c r="S3302">
        <v>2.9961549999999999</v>
      </c>
      <c r="T3302">
        <v>-0.64277740000000005</v>
      </c>
      <c r="U3302">
        <v>1.46637E-2</v>
      </c>
      <c r="V3302">
        <v>4.7867319999999998E-2</v>
      </c>
      <c r="W3302">
        <v>3.263293E-3</v>
      </c>
      <c r="X3302">
        <v>0.99884839999999997</v>
      </c>
      <c r="Y3302">
        <v>2.5222359999999999E-2</v>
      </c>
      <c r="Z3302">
        <v>-9.3352290000000004E-3</v>
      </c>
      <c r="AA3302">
        <v>0.99963829999999998</v>
      </c>
      <c r="AB3302">
        <v>39</v>
      </c>
      <c r="AC3302">
        <v>0.54739999999998101</v>
      </c>
      <c r="AD3302">
        <v>-0.19419719999999999</v>
      </c>
      <c r="AE3302">
        <v>-7.0000000000049996E-3</v>
      </c>
      <c r="AF3302">
        <v>2.1482993255176198E-2</v>
      </c>
      <c r="AG3302">
        <v>-0.19419719999999999</v>
      </c>
      <c r="AH3302">
        <v>0.48578136925070398</v>
      </c>
      <c r="AI3302">
        <v>111.77039448729199</v>
      </c>
      <c r="AJ3302">
        <v>87.467825160200803</v>
      </c>
      <c r="AK3302">
        <v>0.52360062089165804</v>
      </c>
      <c r="AL3302">
        <v>89.813026757132207</v>
      </c>
      <c r="AM3302">
        <v>87.256341619928506</v>
      </c>
      <c r="AN3302">
        <v>1.0000000277938701</v>
      </c>
    </row>
    <row r="3303" spans="1:40" x14ac:dyDescent="0.25">
      <c r="A3303" t="str">
        <f>"20190312161030233"</f>
        <v>20190312161030233</v>
      </c>
      <c r="B3303" t="str">
        <f>"1552378230229693"</f>
        <v>1552378230229693</v>
      </c>
      <c r="C3303" t="s">
        <v>40</v>
      </c>
      <c r="D3303">
        <v>5.3057309999999998</v>
      </c>
      <c r="E3303">
        <v>0.48634500000000003</v>
      </c>
      <c r="F3303" t="s">
        <v>42</v>
      </c>
      <c r="G3303">
        <v>-308.3116</v>
      </c>
      <c r="H3303">
        <v>0.96986070000000002</v>
      </c>
      <c r="I3303">
        <v>213.49549999999999</v>
      </c>
      <c r="J3303">
        <v>-308.84399999999999</v>
      </c>
      <c r="K3303">
        <v>1.109561</v>
      </c>
      <c r="L3303">
        <v>213.49080000000001</v>
      </c>
      <c r="M3303">
        <v>0.999448</v>
      </c>
      <c r="N3303">
        <v>0</v>
      </c>
      <c r="O3303">
        <v>3.1509269999999999E-2</v>
      </c>
      <c r="P3303">
        <v>0.99981500000000001</v>
      </c>
      <c r="Q3303">
        <v>-7.51849099999999E-3</v>
      </c>
      <c r="R3303">
        <v>-1.7701580000000001E-2</v>
      </c>
      <c r="S3303">
        <v>2.9980470000000001</v>
      </c>
      <c r="T3303">
        <v>-0.45602009999999998</v>
      </c>
      <c r="U3303">
        <v>5.577087E-2</v>
      </c>
      <c r="V3303">
        <v>4.919689E-2</v>
      </c>
      <c r="W3303">
        <v>3.0115239999999998E-3</v>
      </c>
      <c r="X3303">
        <v>0.99878449999999996</v>
      </c>
      <c r="Y3303">
        <v>1.241077E-2</v>
      </c>
      <c r="Z3303">
        <v>-5.7026489999999997E-3</v>
      </c>
      <c r="AA3303">
        <v>0.99990670000000004</v>
      </c>
      <c r="AB3303">
        <v>39</v>
      </c>
      <c r="AC3303">
        <v>0.53239999999999499</v>
      </c>
      <c r="AD3303">
        <v>-0.1397003</v>
      </c>
      <c r="AE3303">
        <v>4.6999999999854901E-3</v>
      </c>
      <c r="AF3303">
        <v>1.1300775326534699E-2</v>
      </c>
      <c r="AG3303">
        <v>-0.1397003</v>
      </c>
      <c r="AH3303">
        <v>0.49799806388814399</v>
      </c>
      <c r="AI3303">
        <v>105.666236359325</v>
      </c>
      <c r="AJ3303">
        <v>88.700043890521101</v>
      </c>
      <c r="AK3303">
        <v>0.51734510046912696</v>
      </c>
      <c r="AL3303">
        <v>89.827452113790599</v>
      </c>
      <c r="AM3303">
        <v>87.180074569080205</v>
      </c>
      <c r="AN3303">
        <v>0.99999994035135997</v>
      </c>
    </row>
    <row r="3304" spans="1:40" x14ac:dyDescent="0.25">
      <c r="A3304" t="str">
        <f>"20190312161030257"</f>
        <v>20190312161030257</v>
      </c>
      <c r="B3304" t="str">
        <f>"1552378230250188"</f>
        <v>1552378230250188</v>
      </c>
      <c r="C3304" t="s">
        <v>40</v>
      </c>
      <c r="D3304">
        <v>5.3244579999999999</v>
      </c>
      <c r="E3304">
        <v>0.48490689999999997</v>
      </c>
      <c r="F3304" t="s">
        <v>42</v>
      </c>
      <c r="G3304">
        <v>-307.93849999999998</v>
      </c>
      <c r="H3304">
        <v>1.025631</v>
      </c>
      <c r="I3304">
        <v>213.50970000000001</v>
      </c>
      <c r="J3304">
        <v>-308.4375</v>
      </c>
      <c r="K3304">
        <v>1.1095379999999999</v>
      </c>
      <c r="L3304">
        <v>213.50370000000001</v>
      </c>
      <c r="M3304">
        <v>0.99944529999999998</v>
      </c>
      <c r="N3304">
        <v>0</v>
      </c>
      <c r="O3304">
        <v>3.1598540000000001E-2</v>
      </c>
      <c r="P3304">
        <v>0.99979960000000001</v>
      </c>
      <c r="Q3304">
        <v>-6.5947380000000002E-3</v>
      </c>
      <c r="R3304">
        <v>-1.8913570000000001E-2</v>
      </c>
      <c r="S3304">
        <v>2.9995729999999998</v>
      </c>
      <c r="T3304">
        <v>-0.27824599999999999</v>
      </c>
      <c r="U3304">
        <v>6.3369750000000002E-2</v>
      </c>
      <c r="V3304">
        <v>5.0496890000000003E-2</v>
      </c>
      <c r="W3304">
        <v>3.9365820000000001E-3</v>
      </c>
      <c r="X3304">
        <v>0.99871650000000001</v>
      </c>
      <c r="Y3304">
        <v>1.0302489999999999E-2</v>
      </c>
      <c r="Z3304">
        <v>-3.4008530000000001E-3</v>
      </c>
      <c r="AA3304">
        <v>0.99994119999999997</v>
      </c>
      <c r="AB3304">
        <v>39</v>
      </c>
      <c r="AC3304">
        <v>0.49900000000002298</v>
      </c>
      <c r="AD3304">
        <v>-8.3906999999999898E-2</v>
      </c>
      <c r="AE3304">
        <v>6.0000000000002196E-3</v>
      </c>
      <c r="AF3304">
        <v>9.5028893334748506E-3</v>
      </c>
      <c r="AG3304">
        <v>-8.3906999999999898E-2</v>
      </c>
      <c r="AH3304">
        <v>0.48522293028841601</v>
      </c>
      <c r="AI3304">
        <v>99.808984530552493</v>
      </c>
      <c r="AJ3304">
        <v>88.878029413375302</v>
      </c>
      <c r="AK3304">
        <v>0.49251597094141097</v>
      </c>
      <c r="AL3304">
        <v>89.774449892160405</v>
      </c>
      <c r="AM3304">
        <v>87.105487976317093</v>
      </c>
      <c r="AN3304">
        <v>1.0000000399748801</v>
      </c>
    </row>
    <row r="3305" spans="1:40" x14ac:dyDescent="0.25">
      <c r="A3305" t="str">
        <f>"20190312161030280"</f>
        <v>20190312161030280</v>
      </c>
      <c r="B3305" t="str">
        <f>"1552378230269709"</f>
        <v>1552378230269709</v>
      </c>
      <c r="C3305" t="s">
        <v>40</v>
      </c>
      <c r="D3305">
        <v>5.3409240000000002</v>
      </c>
      <c r="E3305">
        <v>0.48551640000000001</v>
      </c>
      <c r="F3305" t="s">
        <v>74</v>
      </c>
      <c r="G3305">
        <v>-292.82889999999998</v>
      </c>
      <c r="H3305" s="1">
        <v>1.396211E-6</v>
      </c>
      <c r="I3305">
        <v>213.86429999999999</v>
      </c>
      <c r="J3305">
        <v>-308.02980000000002</v>
      </c>
      <c r="K3305">
        <v>1.109518</v>
      </c>
      <c r="L3305">
        <v>213.51669999999999</v>
      </c>
      <c r="M3305">
        <v>0.99944279999999996</v>
      </c>
      <c r="N3305">
        <v>0</v>
      </c>
      <c r="O3305">
        <v>3.1669559999999999E-2</v>
      </c>
      <c r="P3305">
        <v>0.9998013</v>
      </c>
      <c r="Q3305">
        <v>-5.7266119999999998E-3</v>
      </c>
      <c r="R3305">
        <v>-1.9094199999999999E-2</v>
      </c>
      <c r="S3305">
        <v>3.0005190000000002</v>
      </c>
      <c r="T3305">
        <v>-0.21329239999999999</v>
      </c>
      <c r="U3305">
        <v>6.9320679999999996E-2</v>
      </c>
      <c r="V3305">
        <v>5.074853E-2</v>
      </c>
      <c r="W3305">
        <v>4.8068030000000001E-3</v>
      </c>
      <c r="X3305">
        <v>0.99869989999999997</v>
      </c>
      <c r="Y3305">
        <v>8.4765039999999993E-3</v>
      </c>
      <c r="Z3305">
        <v>-2.5485939999999999E-3</v>
      </c>
      <c r="AA3305">
        <v>0.99996079999999998</v>
      </c>
      <c r="AB3305">
        <v>39</v>
      </c>
      <c r="AC3305">
        <v>15.200900000000001</v>
      </c>
      <c r="AD3305">
        <v>-1.1095166037890001</v>
      </c>
      <c r="AE3305">
        <v>0.34759999999999902</v>
      </c>
      <c r="AF3305">
        <v>0.133297164951032</v>
      </c>
      <c r="AG3305">
        <v>-1.1095166037890001</v>
      </c>
      <c r="AH3305">
        <v>15.1237525242683</v>
      </c>
      <c r="AI3305">
        <v>94.195683757841707</v>
      </c>
      <c r="AJ3305">
        <v>89.495021674895895</v>
      </c>
      <c r="AK3305">
        <v>15.164982217054501</v>
      </c>
      <c r="AL3305">
        <v>89.724589415792906</v>
      </c>
      <c r="AM3305">
        <v>87.091040265287106</v>
      </c>
      <c r="AN3305">
        <v>1.0000000044561199</v>
      </c>
    </row>
    <row r="3306" spans="1:40" x14ac:dyDescent="0.25">
      <c r="A3306" t="str">
        <f>"20190312161030302"</f>
        <v>20190312161030302</v>
      </c>
      <c r="B3306" t="str">
        <f>"1552378230299965"</f>
        <v>1552378230299965</v>
      </c>
      <c r="C3306" t="s">
        <v>40</v>
      </c>
      <c r="D3306">
        <v>5.5407739999999999</v>
      </c>
      <c r="E3306">
        <v>0.48748219999999998</v>
      </c>
      <c r="F3306" t="s">
        <v>74</v>
      </c>
      <c r="G3306">
        <v>-290.94650000000001</v>
      </c>
      <c r="H3306" s="1">
        <v>1.0623110000000001E-6</v>
      </c>
      <c r="I3306">
        <v>213.8775</v>
      </c>
      <c r="J3306">
        <v>-307.6465</v>
      </c>
      <c r="K3306">
        <v>1.1095060000000001</v>
      </c>
      <c r="L3306">
        <v>213.52889999999999</v>
      </c>
      <c r="M3306">
        <v>0.99944120000000003</v>
      </c>
      <c r="N3306">
        <v>0</v>
      </c>
      <c r="O3306">
        <v>3.1723950000000001E-2</v>
      </c>
      <c r="P3306">
        <v>0.99981830000000005</v>
      </c>
      <c r="Q3306">
        <v>-5.5653419999999896E-3</v>
      </c>
      <c r="R3306">
        <v>-1.8242999999999999E-2</v>
      </c>
      <c r="S3306">
        <v>3.000702</v>
      </c>
      <c r="T3306">
        <v>-0.19488910000000001</v>
      </c>
      <c r="U3306">
        <v>6.3385010000000006E-2</v>
      </c>
      <c r="V3306">
        <v>4.995264E-2</v>
      </c>
      <c r="W3306">
        <v>4.9717859999999997E-3</v>
      </c>
      <c r="X3306">
        <v>0.99873920000000005</v>
      </c>
      <c r="Y3306">
        <v>1.0521640000000001E-2</v>
      </c>
      <c r="Z3306">
        <v>-2.398968E-3</v>
      </c>
      <c r="AA3306">
        <v>0.99994179999999999</v>
      </c>
      <c r="AB3306">
        <v>39</v>
      </c>
      <c r="AC3306">
        <v>16.6999999999999</v>
      </c>
      <c r="AD3306">
        <v>-1.1095049376889901</v>
      </c>
      <c r="AE3306">
        <v>0.34860000000000402</v>
      </c>
      <c r="AF3306">
        <v>0.18059801937643599</v>
      </c>
      <c r="AG3306">
        <v>-1.1095049376889901</v>
      </c>
      <c r="AH3306">
        <v>16.6292844747238</v>
      </c>
      <c r="AI3306">
        <v>93.816889493933502</v>
      </c>
      <c r="AJ3306">
        <v>89.3777785489373</v>
      </c>
      <c r="AK3306">
        <v>16.6672348934264</v>
      </c>
      <c r="AL3306">
        <v>89.715136468345804</v>
      </c>
      <c r="AM3306">
        <v>87.136697485860097</v>
      </c>
      <c r="AN3306">
        <v>0.99999998725781902</v>
      </c>
    </row>
    <row r="3307" spans="1:40" x14ac:dyDescent="0.25">
      <c r="A3307" t="str">
        <f>"20190312161030323"</f>
        <v>20190312161030323</v>
      </c>
      <c r="B3307" t="str">
        <f>"1552378230309725"</f>
        <v>1552378230309725</v>
      </c>
      <c r="C3307" t="s">
        <v>40</v>
      </c>
      <c r="D3307">
        <v>5.4305409999999998</v>
      </c>
      <c r="E3307">
        <v>0.48859920000000001</v>
      </c>
      <c r="F3307" t="s">
        <v>74</v>
      </c>
      <c r="G3307">
        <v>-290.43619999999999</v>
      </c>
      <c r="H3307" s="1">
        <v>9.717926E-7</v>
      </c>
      <c r="I3307">
        <v>213.8151</v>
      </c>
      <c r="J3307">
        <v>-307.29140000000001</v>
      </c>
      <c r="K3307">
        <v>1.109491</v>
      </c>
      <c r="L3307">
        <v>213.5402</v>
      </c>
      <c r="M3307">
        <v>0.99943979999999999</v>
      </c>
      <c r="N3307">
        <v>0</v>
      </c>
      <c r="O3307">
        <v>3.1767259999999999E-2</v>
      </c>
      <c r="P3307">
        <v>0.99984249999999997</v>
      </c>
      <c r="Q3307">
        <v>-5.3621049999999998E-3</v>
      </c>
      <c r="R3307">
        <v>-1.6928929999999998E-2</v>
      </c>
      <c r="S3307">
        <v>3.0003359999999999</v>
      </c>
      <c r="T3307">
        <v>-0.19342419999999999</v>
      </c>
      <c r="U3307">
        <v>4.9896240000000001E-2</v>
      </c>
      <c r="V3307">
        <v>4.8683490000000003E-2</v>
      </c>
      <c r="W3307">
        <v>5.1782540000000002E-3</v>
      </c>
      <c r="X3307">
        <v>0.99880080000000004</v>
      </c>
      <c r="Y3307">
        <v>1.5047970000000001E-2</v>
      </c>
      <c r="Z3307">
        <v>-2.5299290000000002E-3</v>
      </c>
      <c r="AA3307">
        <v>0.99988359999999998</v>
      </c>
      <c r="AB3307">
        <v>39</v>
      </c>
      <c r="AC3307">
        <v>16.8552</v>
      </c>
      <c r="AD3307">
        <v>-1.1094900282073901</v>
      </c>
      <c r="AE3307">
        <v>0.27490000000000198</v>
      </c>
      <c r="AF3307">
        <v>0.25958751172940803</v>
      </c>
      <c r="AG3307">
        <v>-1.1094900282073901</v>
      </c>
      <c r="AH3307">
        <v>16.782726833747599</v>
      </c>
      <c r="AI3307">
        <v>93.781814559458098</v>
      </c>
      <c r="AJ3307">
        <v>89.113845858515106</v>
      </c>
      <c r="AK3307">
        <v>16.821363612238098</v>
      </c>
      <c r="AL3307">
        <v>89.703306564901794</v>
      </c>
      <c r="AM3307">
        <v>87.209500945548996</v>
      </c>
      <c r="AN3307">
        <v>0.99999996729685303</v>
      </c>
    </row>
    <row r="3308" spans="1:40" x14ac:dyDescent="0.25">
      <c r="A3308" t="str">
        <f>"20190312161030346"</f>
        <v>20190312161030346</v>
      </c>
      <c r="B3308" t="str">
        <f>"1552378230339981"</f>
        <v>1552378230339981</v>
      </c>
      <c r="C3308" t="s">
        <v>40</v>
      </c>
      <c r="D3308">
        <v>5.5688890000000004</v>
      </c>
      <c r="E3308">
        <v>0.49071199999999998</v>
      </c>
      <c r="F3308" t="s">
        <v>74</v>
      </c>
      <c r="G3308">
        <v>-289.81119999999999</v>
      </c>
      <c r="H3308" s="1">
        <v>2.8371069999999999E-6</v>
      </c>
      <c r="I3308">
        <v>213.80189999999999</v>
      </c>
      <c r="J3308">
        <v>-306.89519999999999</v>
      </c>
      <c r="K3308">
        <v>1.109483</v>
      </c>
      <c r="L3308">
        <v>213.55279999999999</v>
      </c>
      <c r="M3308">
        <v>0.99943820000000005</v>
      </c>
      <c r="N3308">
        <v>0</v>
      </c>
      <c r="O3308">
        <v>3.1810280000000003E-2</v>
      </c>
      <c r="P3308">
        <v>0.99986050000000004</v>
      </c>
      <c r="Q3308">
        <v>-5.9152900000000001E-3</v>
      </c>
      <c r="R3308">
        <v>-1.5615260000000001E-2</v>
      </c>
      <c r="S3308">
        <v>3.0001829999999998</v>
      </c>
      <c r="T3308">
        <v>-0.19042619999999999</v>
      </c>
      <c r="U3308">
        <v>4.4921879999999997E-2</v>
      </c>
      <c r="V3308">
        <v>4.7414459999999999E-2</v>
      </c>
      <c r="W3308">
        <v>4.6289440000000003E-3</v>
      </c>
      <c r="X3308">
        <v>0.99886459999999999</v>
      </c>
      <c r="Y3308">
        <v>1.674703E-2</v>
      </c>
      <c r="Z3308">
        <v>-2.5475580000000001E-3</v>
      </c>
      <c r="AA3308">
        <v>0.99985650000000004</v>
      </c>
      <c r="AB3308">
        <v>39</v>
      </c>
      <c r="AC3308">
        <v>17.084</v>
      </c>
      <c r="AD3308">
        <v>-1.109480162893</v>
      </c>
      <c r="AE3308">
        <v>0.24909999999999799</v>
      </c>
      <c r="AF3308">
        <v>0.29326656807411999</v>
      </c>
      <c r="AG3308">
        <v>-1.109480162893</v>
      </c>
      <c r="AH3308">
        <v>17.0115458848116</v>
      </c>
      <c r="AI3308">
        <v>93.730949907122394</v>
      </c>
      <c r="AJ3308">
        <v>89.012360636378205</v>
      </c>
      <c r="AK3308">
        <v>17.050209526655401</v>
      </c>
      <c r="AL3308">
        <v>89.734780104310801</v>
      </c>
      <c r="AM3308">
        <v>87.282303552091307</v>
      </c>
      <c r="AN3308">
        <v>1.0000000236363999</v>
      </c>
    </row>
    <row r="3309" spans="1:40" x14ac:dyDescent="0.25">
      <c r="A3309" t="str">
        <f>"20190312161030368"</f>
        <v>20190312161030368</v>
      </c>
      <c r="B3309" t="str">
        <f>"1552378230359501"</f>
        <v>1552378230359501</v>
      </c>
      <c r="C3309" t="s">
        <v>40</v>
      </c>
      <c r="D3309">
        <v>5.4171209999999999</v>
      </c>
      <c r="E3309">
        <v>0.4919288</v>
      </c>
      <c r="F3309" t="s">
        <v>42</v>
      </c>
      <c r="G3309">
        <v>-305.84480000000002</v>
      </c>
      <c r="H3309">
        <v>1.04433</v>
      </c>
      <c r="I3309">
        <v>213.56389999999999</v>
      </c>
      <c r="J3309">
        <v>-306.49439999999998</v>
      </c>
      <c r="K3309">
        <v>1.109477</v>
      </c>
      <c r="L3309">
        <v>213.56559999999999</v>
      </c>
      <c r="M3309">
        <v>0.99943709999999997</v>
      </c>
      <c r="N3309">
        <v>0</v>
      </c>
      <c r="O3309">
        <v>3.1848590000000003E-2</v>
      </c>
      <c r="P3309">
        <v>0.99987610000000005</v>
      </c>
      <c r="Q3309">
        <v>-5.4727309999999998E-3</v>
      </c>
      <c r="R3309">
        <v>-1.476885E-2</v>
      </c>
      <c r="S3309">
        <v>2.9997859999999998</v>
      </c>
      <c r="T3309">
        <v>-0.18618799999999999</v>
      </c>
      <c r="U3309">
        <v>3.2089230000000003E-2</v>
      </c>
      <c r="V3309">
        <v>4.6607000000000003E-2</v>
      </c>
      <c r="W3309">
        <v>5.075258E-3</v>
      </c>
      <c r="X3309">
        <v>0.99890040000000002</v>
      </c>
      <c r="Y3309">
        <v>2.1055629999999999E-2</v>
      </c>
      <c r="Z3309">
        <v>-2.627351E-3</v>
      </c>
      <c r="AA3309">
        <v>0.99977490000000002</v>
      </c>
      <c r="AB3309">
        <v>39</v>
      </c>
      <c r="AC3309">
        <v>0.64959999999996398</v>
      </c>
      <c r="AD3309">
        <v>-6.5146999999999997E-2</v>
      </c>
      <c r="AE3309">
        <v>-1.6999999999995901E-3</v>
      </c>
      <c r="AF3309">
        <v>2.2166193015484701E-2</v>
      </c>
      <c r="AG3309">
        <v>-6.5146999999999997E-2</v>
      </c>
      <c r="AH3309">
        <v>0.64275174672582702</v>
      </c>
      <c r="AI3309">
        <v>95.784113811813995</v>
      </c>
      <c r="AJ3309">
        <v>88.024857674522295</v>
      </c>
      <c r="AK3309">
        <v>0.64642499923881402</v>
      </c>
      <c r="AL3309">
        <v>89.709207885333299</v>
      </c>
      <c r="AM3309">
        <v>87.328613427017999</v>
      </c>
      <c r="AN3309">
        <v>0.99999998990646299</v>
      </c>
    </row>
    <row r="3310" spans="1:40" x14ac:dyDescent="0.25">
      <c r="A3310" t="str">
        <f>"20190312161030390"</f>
        <v>20190312161030390</v>
      </c>
      <c r="B3310" t="str">
        <f>"1552378230379997"</f>
        <v>1552378230379997</v>
      </c>
      <c r="C3310" t="s">
        <v>40</v>
      </c>
      <c r="D3310">
        <v>5.4896560000000001</v>
      </c>
      <c r="E3310">
        <v>0.4929384</v>
      </c>
      <c r="F3310" t="s">
        <v>42</v>
      </c>
      <c r="G3310">
        <v>-305.49329999999998</v>
      </c>
      <c r="H3310">
        <v>1.0484739999999999</v>
      </c>
      <c r="I3310">
        <v>213.57390000000001</v>
      </c>
      <c r="J3310">
        <v>-306.1062</v>
      </c>
      <c r="K3310">
        <v>1.1094619999999999</v>
      </c>
      <c r="L3310">
        <v>213.57810000000001</v>
      </c>
      <c r="M3310">
        <v>0.99943599999999999</v>
      </c>
      <c r="N3310">
        <v>0</v>
      </c>
      <c r="O3310">
        <v>3.1881649999999997E-2</v>
      </c>
      <c r="P3310">
        <v>0.99988030000000006</v>
      </c>
      <c r="Q3310">
        <v>-5.4721250000000004E-3</v>
      </c>
      <c r="R3310">
        <v>-1.4483909999999999E-2</v>
      </c>
      <c r="S3310">
        <v>2.9997560000000001</v>
      </c>
      <c r="T3310">
        <v>-0.1828642</v>
      </c>
      <c r="U3310">
        <v>2.5009159999999999E-2</v>
      </c>
      <c r="V3310">
        <v>4.6355550000000002E-2</v>
      </c>
      <c r="W3310">
        <v>5.0795500000000004E-3</v>
      </c>
      <c r="X3310">
        <v>0.99891209999999997</v>
      </c>
      <c r="Y3310">
        <v>2.3447099999999998E-2</v>
      </c>
      <c r="Z3310">
        <v>-2.6554450000000002E-3</v>
      </c>
      <c r="AA3310">
        <v>0.99972150000000004</v>
      </c>
      <c r="AB3310">
        <v>39</v>
      </c>
      <c r="AC3310">
        <v>0.61290000000002398</v>
      </c>
      <c r="AD3310">
        <v>-6.0988000000000202E-2</v>
      </c>
      <c r="AE3310">
        <v>-4.1999999999973101E-3</v>
      </c>
      <c r="AF3310">
        <v>2.35064719400686E-2</v>
      </c>
      <c r="AG3310">
        <v>-6.0988000000000202E-2</v>
      </c>
      <c r="AH3310">
        <v>0.60644988804327404</v>
      </c>
      <c r="AI3310">
        <v>95.738396996675405</v>
      </c>
      <c r="AJ3310">
        <v>87.7802819658652</v>
      </c>
      <c r="AK3310">
        <v>0.60996193084058004</v>
      </c>
      <c r="AL3310">
        <v>89.708961974868302</v>
      </c>
      <c r="AM3310">
        <v>87.343036224267493</v>
      </c>
      <c r="AN3310">
        <v>1.0000000111852001</v>
      </c>
    </row>
    <row r="3311" spans="1:40" x14ac:dyDescent="0.25">
      <c r="A3311" t="str">
        <f>"20190312161030413"</f>
        <v>20190312161030413</v>
      </c>
      <c r="B3311" t="str">
        <f>"1552378230409277"</f>
        <v>1552378230409277</v>
      </c>
      <c r="C3311" t="s">
        <v>40</v>
      </c>
      <c r="D3311">
        <v>5.4671690000000002</v>
      </c>
      <c r="E3311">
        <v>0.49376740000000002</v>
      </c>
      <c r="F3311" t="s">
        <v>42</v>
      </c>
      <c r="G3311">
        <v>-305.13650000000001</v>
      </c>
      <c r="H3311">
        <v>1.05054</v>
      </c>
      <c r="I3311">
        <v>213.58349999999999</v>
      </c>
      <c r="J3311">
        <v>-305.7303</v>
      </c>
      <c r="K3311">
        <v>1.1094459999999999</v>
      </c>
      <c r="L3311">
        <v>213.59010000000001</v>
      </c>
      <c r="M3311">
        <v>0.99943510000000002</v>
      </c>
      <c r="N3311">
        <v>0</v>
      </c>
      <c r="O3311">
        <v>3.1906900000000002E-2</v>
      </c>
      <c r="P3311">
        <v>0.99987550000000003</v>
      </c>
      <c r="Q3311">
        <v>-5.8851769999999897E-3</v>
      </c>
      <c r="R3311">
        <v>-1.465198E-2</v>
      </c>
      <c r="S3311">
        <v>2.9995729999999998</v>
      </c>
      <c r="T3311">
        <v>-0.1824248</v>
      </c>
      <c r="U3311">
        <v>1.7639160000000001E-2</v>
      </c>
      <c r="V3311">
        <v>4.6548569999999997E-2</v>
      </c>
      <c r="W3311">
        <v>4.6694739999999998E-3</v>
      </c>
      <c r="X3311">
        <v>0.99890509999999999</v>
      </c>
      <c r="Y3311">
        <v>2.5923829999999998E-2</v>
      </c>
      <c r="Z3311">
        <v>-2.726057E-3</v>
      </c>
      <c r="AA3311">
        <v>0.9996602</v>
      </c>
      <c r="AB3311">
        <v>39</v>
      </c>
      <c r="AC3311">
        <v>0.593799999999987</v>
      </c>
      <c r="AD3311">
        <v>-5.8905999999999903E-2</v>
      </c>
      <c r="AE3311">
        <v>-6.6000000000201401E-3</v>
      </c>
      <c r="AF3311">
        <v>2.5295113961121302E-2</v>
      </c>
      <c r="AG3311">
        <v>-5.8905999999999903E-2</v>
      </c>
      <c r="AH3311">
        <v>0.58750610686117299</v>
      </c>
      <c r="AI3311">
        <v>95.720332495535203</v>
      </c>
      <c r="AJ3311">
        <v>87.534649075252503</v>
      </c>
      <c r="AK3311">
        <v>0.59099338847865102</v>
      </c>
      <c r="AL3311">
        <v>89.732457871276495</v>
      </c>
      <c r="AM3311">
        <v>87.331970168898707</v>
      </c>
      <c r="AN3311">
        <v>0.99999998608124496</v>
      </c>
    </row>
    <row r="3312" spans="1:40" x14ac:dyDescent="0.25">
      <c r="A3312" t="str">
        <f>"20190312161030458"</f>
        <v>20190312161030458</v>
      </c>
      <c r="B3312" t="str">
        <f>"1552378230449297"</f>
        <v>1552378230449297</v>
      </c>
      <c r="C3312" t="s">
        <v>40</v>
      </c>
      <c r="D3312">
        <v>5.4220949999999997</v>
      </c>
      <c r="E3312">
        <v>0.49469689999999999</v>
      </c>
      <c r="F3312" t="s">
        <v>74</v>
      </c>
      <c r="G3312">
        <v>-287.4631</v>
      </c>
      <c r="H3312" s="1">
        <v>3.8961580000000002E-6</v>
      </c>
      <c r="I3312">
        <v>213.6532</v>
      </c>
      <c r="J3312">
        <v>-304.94099999999997</v>
      </c>
      <c r="K3312">
        <v>1.109424</v>
      </c>
      <c r="L3312">
        <v>213.61539999999999</v>
      </c>
      <c r="M3312">
        <v>0.99943389999999999</v>
      </c>
      <c r="N3312">
        <v>0</v>
      </c>
      <c r="O3312">
        <v>3.1941400000000002E-2</v>
      </c>
      <c r="P3312">
        <v>0.99987409999999999</v>
      </c>
      <c r="Q3312">
        <v>-6.7502339999999999E-3</v>
      </c>
      <c r="R3312">
        <v>-1.4372390000000001E-2</v>
      </c>
      <c r="S3312">
        <v>2.9994510000000001</v>
      </c>
      <c r="T3312">
        <v>-0.18216860000000001</v>
      </c>
      <c r="U3312">
        <v>1.036072E-2</v>
      </c>
      <c r="V3312">
        <v>4.6304110000000002E-2</v>
      </c>
      <c r="W3312">
        <v>3.811652E-3</v>
      </c>
      <c r="X3312">
        <v>0.99892009999999998</v>
      </c>
      <c r="Y3312">
        <v>2.8379430000000001E-2</v>
      </c>
      <c r="Z3312">
        <v>-2.7989730000000002E-3</v>
      </c>
      <c r="AA3312">
        <v>0.99959330000000002</v>
      </c>
      <c r="AB3312">
        <v>39</v>
      </c>
      <c r="AC3312">
        <v>17.477899999999899</v>
      </c>
      <c r="AD3312">
        <v>-1.109420103842</v>
      </c>
      <c r="AE3312">
        <v>3.7800000000004198E-2</v>
      </c>
      <c r="AF3312">
        <v>0.51843022234035996</v>
      </c>
      <c r="AG3312">
        <v>-1.109420103842</v>
      </c>
      <c r="AH3312">
        <v>17.400081011962801</v>
      </c>
      <c r="AI3312">
        <v>93.646596898375606</v>
      </c>
      <c r="AJ3312">
        <v>88.2933942228739</v>
      </c>
      <c r="AK3312">
        <v>17.4431190469226</v>
      </c>
      <c r="AL3312">
        <v>89.781607894830302</v>
      </c>
      <c r="AM3312">
        <v>87.346001620439907</v>
      </c>
      <c r="AN3312">
        <v>0.99999998273893498</v>
      </c>
    </row>
    <row r="3313" spans="1:40" x14ac:dyDescent="0.25">
      <c r="A3313" t="str">
        <f>"20190312161030481"</f>
        <v>20190312161030481</v>
      </c>
      <c r="B3313" t="str">
        <f>"1552378230469789"</f>
        <v>1552378230469789</v>
      </c>
      <c r="C3313" t="s">
        <v>40</v>
      </c>
      <c r="D3313">
        <v>5.467727</v>
      </c>
      <c r="E3313">
        <v>0.49531249999999999</v>
      </c>
      <c r="F3313" t="s">
        <v>74</v>
      </c>
      <c r="G3313">
        <v>-286.69600000000003</v>
      </c>
      <c r="H3313" s="1">
        <v>4.2384739999999999E-6</v>
      </c>
      <c r="I3313">
        <v>213.6352</v>
      </c>
      <c r="J3313">
        <v>-304.54149999999998</v>
      </c>
      <c r="K3313">
        <v>1.109407</v>
      </c>
      <c r="L3313">
        <v>213.62809999999999</v>
      </c>
      <c r="M3313">
        <v>0.99943369999999998</v>
      </c>
      <c r="N3313">
        <v>0</v>
      </c>
      <c r="O3313">
        <v>3.1943729999999997E-2</v>
      </c>
      <c r="P3313">
        <v>0.99988540000000004</v>
      </c>
      <c r="Q3313">
        <v>-7.1916580000000001E-3</v>
      </c>
      <c r="R3313">
        <v>-1.3324630000000001E-2</v>
      </c>
      <c r="S3313">
        <v>2.9992070000000002</v>
      </c>
      <c r="T3313">
        <v>-0.1823719</v>
      </c>
      <c r="U3313">
        <v>3.2653809999999999E-3</v>
      </c>
      <c r="V3313">
        <v>4.5259649999999998E-2</v>
      </c>
      <c r="W3313">
        <v>3.3743950000000001E-3</v>
      </c>
      <c r="X3313">
        <v>0.99896960000000001</v>
      </c>
      <c r="Y3313">
        <v>3.0741540000000001E-2</v>
      </c>
      <c r="Z3313">
        <v>-2.8742360000000001E-3</v>
      </c>
      <c r="AA3313">
        <v>0.99952319999999995</v>
      </c>
      <c r="AB3313">
        <v>39</v>
      </c>
      <c r="AC3313">
        <v>17.845500000000001</v>
      </c>
      <c r="AD3313">
        <v>-1.109402761526</v>
      </c>
      <c r="AE3313">
        <v>7.1000000000083201E-3</v>
      </c>
      <c r="AF3313">
        <v>0.56081992146930104</v>
      </c>
      <c r="AG3313">
        <v>-1.109402761526</v>
      </c>
      <c r="AH3313">
        <v>17.767950062260201</v>
      </c>
      <c r="AI3313">
        <v>93.571046127125797</v>
      </c>
      <c r="AJ3313">
        <v>88.192140903852604</v>
      </c>
      <c r="AK3313">
        <v>17.811382396843001</v>
      </c>
      <c r="AL3313">
        <v>89.806661049316403</v>
      </c>
      <c r="AM3313">
        <v>87.405912256410005</v>
      </c>
      <c r="AN3313">
        <v>1.0000000420919399</v>
      </c>
    </row>
    <row r="3314" spans="1:40" x14ac:dyDescent="0.25">
      <c r="A3314" t="str">
        <f>"20190312161030526"</f>
        <v>20190312161030526</v>
      </c>
      <c r="B3314" t="str">
        <f>"1552378230519567"</f>
        <v>1552378230519567</v>
      </c>
      <c r="C3314" t="s">
        <v>40</v>
      </c>
      <c r="D3314">
        <v>5.4218029999999997</v>
      </c>
      <c r="E3314">
        <v>0.49639040000000001</v>
      </c>
      <c r="F3314" t="s">
        <v>74</v>
      </c>
      <c r="G3314">
        <v>-286.23</v>
      </c>
      <c r="H3314" s="1">
        <v>4.4448939999999998E-6</v>
      </c>
      <c r="I3314">
        <v>213.6369</v>
      </c>
      <c r="J3314">
        <v>-303.7543</v>
      </c>
      <c r="K3314">
        <v>1.109356</v>
      </c>
      <c r="L3314">
        <v>213.6532</v>
      </c>
      <c r="M3314">
        <v>0.99943630000000006</v>
      </c>
      <c r="N3314">
        <v>0</v>
      </c>
      <c r="O3314">
        <v>3.1860340000000001E-2</v>
      </c>
      <c r="P3314">
        <v>0.99986569999999997</v>
      </c>
      <c r="Q3314">
        <v>-8.1598E-3</v>
      </c>
      <c r="R3314">
        <v>-1.4222230000000001E-2</v>
      </c>
      <c r="S3314">
        <v>2.9990540000000001</v>
      </c>
      <c r="T3314">
        <v>-0.18169779999999999</v>
      </c>
      <c r="U3314">
        <v>1.449585E-3</v>
      </c>
      <c r="V3314">
        <v>4.6073000000000003E-2</v>
      </c>
      <c r="W3314">
        <v>2.4102350000000002E-3</v>
      </c>
      <c r="X3314">
        <v>0.99893520000000002</v>
      </c>
      <c r="Y3314">
        <v>3.1263289999999999E-2</v>
      </c>
      <c r="Z3314">
        <v>-2.8745279999999999E-3</v>
      </c>
      <c r="AA3314">
        <v>0.99950709999999998</v>
      </c>
      <c r="AB3314">
        <v>39</v>
      </c>
      <c r="AC3314">
        <v>17.524299999999901</v>
      </c>
      <c r="AD3314">
        <v>-1.109351555106</v>
      </c>
      <c r="AE3314">
        <v>-1.6300000000001001E-2</v>
      </c>
      <c r="AF3314">
        <v>0.57235950809131697</v>
      </c>
      <c r="AG3314">
        <v>-1.109351555106</v>
      </c>
      <c r="AH3314">
        <v>17.444975076385401</v>
      </c>
      <c r="AI3314">
        <v>93.636671652035204</v>
      </c>
      <c r="AJ3314">
        <v>88.120832813775706</v>
      </c>
      <c r="AK3314">
        <v>17.4895800891567</v>
      </c>
      <c r="AL3314">
        <v>89.8619035776033</v>
      </c>
      <c r="AM3314">
        <v>87.359269144001402</v>
      </c>
      <c r="AN3314">
        <v>1.0000000321803899</v>
      </c>
    </row>
    <row r="3315" spans="1:40" x14ac:dyDescent="0.25">
      <c r="A3315" t="str">
        <f>"20190312161030548"</f>
        <v>20190312161030548</v>
      </c>
      <c r="B3315" t="str">
        <f>"1552378230540061"</f>
        <v>1552378230540061</v>
      </c>
      <c r="C3315" t="s">
        <v>40</v>
      </c>
      <c r="D3315">
        <v>5.4607449999999904</v>
      </c>
      <c r="E3315">
        <v>0.49612109999999898</v>
      </c>
      <c r="F3315" t="s">
        <v>42</v>
      </c>
      <c r="G3315">
        <v>-302.70499999999998</v>
      </c>
      <c r="H3315">
        <v>1.0440430000000001</v>
      </c>
      <c r="I3315">
        <v>213.6498</v>
      </c>
      <c r="J3315">
        <v>-303.34660000000002</v>
      </c>
      <c r="K3315">
        <v>1.109329</v>
      </c>
      <c r="L3315">
        <v>213.6661</v>
      </c>
      <c r="M3315">
        <v>0.99943930000000003</v>
      </c>
      <c r="N3315">
        <v>0</v>
      </c>
      <c r="O3315">
        <v>3.1763710000000001E-2</v>
      </c>
      <c r="P3315">
        <v>0.99985159999999995</v>
      </c>
      <c r="Q3315">
        <v>-7.9050390000000009E-3</v>
      </c>
      <c r="R3315">
        <v>-1.5308179999999999E-2</v>
      </c>
      <c r="S3315">
        <v>2.9987490000000001</v>
      </c>
      <c r="T3315">
        <v>-0.18669820000000001</v>
      </c>
      <c r="U3315">
        <v>-9.5062259999999996E-3</v>
      </c>
      <c r="V3315">
        <v>4.7061659999999998E-2</v>
      </c>
      <c r="W3315">
        <v>2.6658189999999998E-3</v>
      </c>
      <c r="X3315">
        <v>0.99888840000000001</v>
      </c>
      <c r="Y3315">
        <v>3.4804889999999998E-2</v>
      </c>
      <c r="Z3315">
        <v>-3.057939E-3</v>
      </c>
      <c r="AA3315">
        <v>0.99938950000000004</v>
      </c>
      <c r="AB3315">
        <v>39</v>
      </c>
      <c r="AC3315">
        <v>0.64160000000003903</v>
      </c>
      <c r="AD3315">
        <v>-6.52859999999999E-2</v>
      </c>
      <c r="AE3315">
        <v>-1.6300000000001001E-2</v>
      </c>
      <c r="AF3315">
        <v>3.6296934573069803E-2</v>
      </c>
      <c r="AG3315">
        <v>-6.52859999999999E-2</v>
      </c>
      <c r="AH3315">
        <v>0.63419615799930296</v>
      </c>
      <c r="AI3315">
        <v>95.867955516118101</v>
      </c>
      <c r="AJ3315">
        <v>86.724365380860604</v>
      </c>
      <c r="AK3315">
        <v>0.638580062385664</v>
      </c>
      <c r="AL3315">
        <v>89.8472596370205</v>
      </c>
      <c r="AM3315">
        <v>87.302559497935405</v>
      </c>
      <c r="AN3315">
        <v>0.99999997104372695</v>
      </c>
    </row>
    <row r="3316" spans="1:40" x14ac:dyDescent="0.25">
      <c r="A3316" t="str">
        <f>"20190312161030569"</f>
        <v>20190312161030569</v>
      </c>
      <c r="B3316" t="str">
        <f>"1552378230559581"</f>
        <v>1552378230559581</v>
      </c>
      <c r="C3316" t="s">
        <v>40</v>
      </c>
      <c r="D3316">
        <v>5.3789989999999896</v>
      </c>
      <c r="E3316">
        <v>0.46587339999999999</v>
      </c>
      <c r="F3316" t="s">
        <v>42</v>
      </c>
      <c r="G3316">
        <v>-302.3519</v>
      </c>
      <c r="H3316">
        <v>1.046959</v>
      </c>
      <c r="I3316">
        <v>213.66239999999999</v>
      </c>
      <c r="J3316">
        <v>-302.98849999999999</v>
      </c>
      <c r="K3316">
        <v>1.10931</v>
      </c>
      <c r="L3316">
        <v>213.67740000000001</v>
      </c>
      <c r="M3316">
        <v>0.99944299999999997</v>
      </c>
      <c r="N3316">
        <v>0</v>
      </c>
      <c r="O3316">
        <v>3.1650539999999998E-2</v>
      </c>
      <c r="P3316">
        <v>0.99985060000000003</v>
      </c>
      <c r="Q3316">
        <v>-7.1475250000000001E-3</v>
      </c>
      <c r="R3316">
        <v>-1.575905E-2</v>
      </c>
      <c r="S3316">
        <v>2.9988100000000002</v>
      </c>
      <c r="T3316">
        <v>-0.18806819999999999</v>
      </c>
      <c r="U3316">
        <v>-1.0589599999999999E-2</v>
      </c>
      <c r="V3316">
        <v>4.7399289999999997E-2</v>
      </c>
      <c r="W3316">
        <v>3.4239869999999999E-3</v>
      </c>
      <c r="X3316">
        <v>0.99887009999999998</v>
      </c>
      <c r="Y3316">
        <v>3.5050570000000003E-2</v>
      </c>
      <c r="Z3316">
        <v>-3.0808789999999999E-3</v>
      </c>
      <c r="AA3316">
        <v>0.99938079999999996</v>
      </c>
      <c r="AB3316">
        <v>39</v>
      </c>
      <c r="AC3316">
        <v>0.63659999999998695</v>
      </c>
      <c r="AD3316">
        <v>-6.2350999999999997E-2</v>
      </c>
      <c r="AE3316">
        <v>-1.5000000000014699E-2</v>
      </c>
      <c r="AF3316">
        <v>3.4808612549032301E-2</v>
      </c>
      <c r="AG3316">
        <v>-6.2350999999999997E-2</v>
      </c>
      <c r="AH3316">
        <v>0.62976823821169703</v>
      </c>
      <c r="AI3316">
        <v>95.645653043547398</v>
      </c>
      <c r="AJ3316">
        <v>86.836361013653601</v>
      </c>
      <c r="AK3316">
        <v>0.63380385023195696</v>
      </c>
      <c r="AL3316">
        <v>89.803819601974297</v>
      </c>
      <c r="AM3316">
        <v>87.283186698434307</v>
      </c>
      <c r="AN3316">
        <v>0.99999994652674296</v>
      </c>
    </row>
    <row r="3317" spans="1:40" x14ac:dyDescent="0.25">
      <c r="A3317" t="str">
        <f>"20190312161030591"</f>
        <v>20190312161030591</v>
      </c>
      <c r="B3317" t="str">
        <f>"1552378230580078"</f>
        <v>1552378230580078</v>
      </c>
      <c r="C3317" t="s">
        <v>40</v>
      </c>
      <c r="D3317">
        <v>5.2482340000000001</v>
      </c>
      <c r="E3317">
        <v>0.4668292</v>
      </c>
      <c r="F3317" t="s">
        <v>61</v>
      </c>
      <c r="G3317">
        <v>-266.58170000000001</v>
      </c>
      <c r="H3317" s="1">
        <v>1.886528E-6</v>
      </c>
      <c r="I3317">
        <v>216.42660000000001</v>
      </c>
      <c r="J3317">
        <v>-302.60829999999999</v>
      </c>
      <c r="K3317">
        <v>1.1092850000000001</v>
      </c>
      <c r="L3317">
        <v>213.6893</v>
      </c>
      <c r="M3317">
        <v>0.99944750000000004</v>
      </c>
      <c r="N3317">
        <v>0</v>
      </c>
      <c r="O3317">
        <v>3.1501670000000002E-2</v>
      </c>
      <c r="P3317">
        <v>0.99986549999999996</v>
      </c>
      <c r="Q3317">
        <v>-5.736087E-3</v>
      </c>
      <c r="R3317">
        <v>-1.537182E-2</v>
      </c>
      <c r="S3317">
        <v>3.0033569999999998</v>
      </c>
      <c r="T3317">
        <v>-9.1511729999999999E-2</v>
      </c>
      <c r="U3317">
        <v>0.2267914</v>
      </c>
      <c r="V3317">
        <v>4.686477E-2</v>
      </c>
      <c r="W3317">
        <v>4.8368420000000001E-3</v>
      </c>
      <c r="X3317">
        <v>0.99888949999999999</v>
      </c>
      <c r="Y3317">
        <v>-4.3841190000000002E-2</v>
      </c>
      <c r="Z3317">
        <v>-2.9110159999999998E-4</v>
      </c>
      <c r="AA3317">
        <v>0.99903850000000005</v>
      </c>
      <c r="AB3317">
        <v>39</v>
      </c>
      <c r="AC3317">
        <v>36.026599999999902</v>
      </c>
      <c r="AD3317">
        <v>-1.109283113472</v>
      </c>
      <c r="AE3317">
        <v>2.7372999999999998</v>
      </c>
      <c r="AF3317">
        <v>-1.59947180667389</v>
      </c>
      <c r="AG3317">
        <v>-1.109283113472</v>
      </c>
      <c r="AH3317">
        <v>36.060960415526097</v>
      </c>
      <c r="AI3317">
        <v>91.760209266172097</v>
      </c>
      <c r="AJ3317">
        <v>92.539670497808501</v>
      </c>
      <c r="AK3317">
        <v>36.113455735727001</v>
      </c>
      <c r="AL3317">
        <v>89.722868277618304</v>
      </c>
      <c r="AM3317">
        <v>87.313831062786605</v>
      </c>
      <c r="AN3317">
        <v>0.99999996745896702</v>
      </c>
    </row>
    <row r="3318" spans="1:40" x14ac:dyDescent="0.25">
      <c r="A3318" t="str">
        <f>"20190312161030613"</f>
        <v>20190312161030613</v>
      </c>
      <c r="B3318" t="str">
        <f>"1552378230609357"</f>
        <v>1552378230609357</v>
      </c>
      <c r="C3318" t="s">
        <v>40</v>
      </c>
      <c r="D3318">
        <v>5.2335539999999998</v>
      </c>
      <c r="E3318">
        <v>0.46626600000000001</v>
      </c>
      <c r="F3318" t="s">
        <v>61</v>
      </c>
      <c r="G3318">
        <v>-272.37740000000002</v>
      </c>
      <c r="H3318" s="1">
        <v>-3.2828379999999899E-7</v>
      </c>
      <c r="I3318">
        <v>215.91149999999999</v>
      </c>
      <c r="J3318">
        <v>-302.22039999999998</v>
      </c>
      <c r="K3318">
        <v>1.109264</v>
      </c>
      <c r="L3318">
        <v>213.70140000000001</v>
      </c>
      <c r="M3318">
        <v>0.99945309999999998</v>
      </c>
      <c r="N3318">
        <v>0</v>
      </c>
      <c r="O3318">
        <v>3.1321880000000003E-2</v>
      </c>
      <c r="P3318">
        <v>0.99986969999999997</v>
      </c>
      <c r="Q3318">
        <v>-5.1274770000000001E-3</v>
      </c>
      <c r="R3318">
        <v>-1.532185E-2</v>
      </c>
      <c r="S3318">
        <v>3.0032040000000002</v>
      </c>
      <c r="T3318">
        <v>-0.1101989</v>
      </c>
      <c r="U3318">
        <v>0.22076419999999999</v>
      </c>
      <c r="V3318">
        <v>4.6635799999999998E-2</v>
      </c>
      <c r="W3318">
        <v>5.4471859999999997E-3</v>
      </c>
      <c r="X3318">
        <v>0.99889709999999998</v>
      </c>
      <c r="Y3318">
        <v>-4.2029230000000001E-2</v>
      </c>
      <c r="Z3318">
        <v>-3.7717030000000002E-4</v>
      </c>
      <c r="AA3318">
        <v>0.99911629999999996</v>
      </c>
      <c r="AB3318">
        <v>39</v>
      </c>
      <c r="AC3318">
        <v>29.8429999999999</v>
      </c>
      <c r="AD3318">
        <v>-1.1092643282837999</v>
      </c>
      <c r="AE3318">
        <v>2.2100999999999802</v>
      </c>
      <c r="AF3318">
        <v>-1.2724755967082899</v>
      </c>
      <c r="AG3318">
        <v>-1.1092643282837999</v>
      </c>
      <c r="AH3318">
        <v>29.8565591645125</v>
      </c>
      <c r="AI3318">
        <v>92.1258102792074</v>
      </c>
      <c r="AJ3318">
        <v>92.440448178135398</v>
      </c>
      <c r="AK3318">
        <v>29.904243622573901</v>
      </c>
      <c r="AL3318">
        <v>89.687897686348293</v>
      </c>
      <c r="AM3318">
        <v>87.326956264813006</v>
      </c>
      <c r="AN3318">
        <v>0.99999999303268405</v>
      </c>
    </row>
    <row r="3319" spans="1:40" x14ac:dyDescent="0.25">
      <c r="A3319" t="str">
        <f>"20190312161030636"</f>
        <v>20190312161030636</v>
      </c>
      <c r="B3319" t="str">
        <f>"1552378230629853"</f>
        <v>1552378230629853</v>
      </c>
      <c r="C3319" t="s">
        <v>40</v>
      </c>
      <c r="D3319">
        <v>5.2358010000000004</v>
      </c>
      <c r="E3319">
        <v>0.46673100000000001</v>
      </c>
      <c r="F3319" t="s">
        <v>61</v>
      </c>
      <c r="G3319">
        <v>-268.63060000000002</v>
      </c>
      <c r="H3319" s="1">
        <v>2.98573E-6</v>
      </c>
      <c r="I3319">
        <v>216.2235</v>
      </c>
      <c r="J3319">
        <v>-301.82209999999998</v>
      </c>
      <c r="K3319">
        <v>1.109243</v>
      </c>
      <c r="L3319">
        <v>213.71369999999999</v>
      </c>
      <c r="M3319">
        <v>0.99945969999999995</v>
      </c>
      <c r="N3319">
        <v>0</v>
      </c>
      <c r="O3319">
        <v>3.111417E-2</v>
      </c>
      <c r="P3319">
        <v>0.99987159999999997</v>
      </c>
      <c r="Q3319">
        <v>-4.5566959999999998E-3</v>
      </c>
      <c r="R3319">
        <v>-1.537958E-2</v>
      </c>
      <c r="S3319">
        <v>3.0032960000000002</v>
      </c>
      <c r="T3319">
        <v>-9.9179980000000001E-2</v>
      </c>
      <c r="U3319">
        <v>0.2255096</v>
      </c>
      <c r="V3319">
        <v>4.64865E-2</v>
      </c>
      <c r="W3319">
        <v>6.0227190000000002E-3</v>
      </c>
      <c r="X3319">
        <v>0.99890080000000003</v>
      </c>
      <c r="Y3319">
        <v>-4.3804900000000001E-2</v>
      </c>
      <c r="Z3319">
        <v>-3.0332960000000001E-4</v>
      </c>
      <c r="AA3319">
        <v>0.99904009999999999</v>
      </c>
      <c r="AB3319">
        <v>39</v>
      </c>
      <c r="AC3319">
        <v>33.191499999999898</v>
      </c>
      <c r="AD3319">
        <v>-1.1092400142700001</v>
      </c>
      <c r="AE3319">
        <v>2.50980000000001</v>
      </c>
      <c r="AF3319">
        <v>-1.4741637197334001</v>
      </c>
      <c r="AG3319">
        <v>-1.1092400142700001</v>
      </c>
      <c r="AH3319">
        <v>33.216635529277099</v>
      </c>
      <c r="AI3319">
        <v>91.910751470075795</v>
      </c>
      <c r="AJ3319">
        <v>92.541135496303696</v>
      </c>
      <c r="AK3319">
        <v>33.267829023948501</v>
      </c>
      <c r="AL3319">
        <v>89.654921547029801</v>
      </c>
      <c r="AM3319">
        <v>87.335511258574201</v>
      </c>
      <c r="AN3319">
        <v>1.0000000380335199</v>
      </c>
    </row>
    <row r="3320" spans="1:40" x14ac:dyDescent="0.25">
      <c r="A3320" t="str">
        <f>"20190312161030659"</f>
        <v>20190312161030659</v>
      </c>
      <c r="B3320" t="str">
        <f>"1552378230649375"</f>
        <v>1552378230649375</v>
      </c>
      <c r="C3320" t="s">
        <v>40</v>
      </c>
      <c r="D3320">
        <v>5.2022180000000002</v>
      </c>
      <c r="E3320">
        <v>0.46715790000000001</v>
      </c>
      <c r="F3320" t="s">
        <v>61</v>
      </c>
      <c r="G3320">
        <v>-266.68099999999998</v>
      </c>
      <c r="H3320" s="1">
        <v>1.9446130000000001E-6</v>
      </c>
      <c r="I3320">
        <v>216.30709999999999</v>
      </c>
      <c r="J3320">
        <v>-301.41180000000003</v>
      </c>
      <c r="K3320">
        <v>1.109219</v>
      </c>
      <c r="L3320">
        <v>213.72620000000001</v>
      </c>
      <c r="M3320">
        <v>0.99946650000000004</v>
      </c>
      <c r="N3320">
        <v>0</v>
      </c>
      <c r="O3320">
        <v>3.088318E-2</v>
      </c>
      <c r="P3320">
        <v>0.99986699999999995</v>
      </c>
      <c r="Q3320">
        <v>-4.8181040000000001E-3</v>
      </c>
      <c r="R3320">
        <v>-1.558708E-2</v>
      </c>
      <c r="S3320">
        <v>3.0033569999999998</v>
      </c>
      <c r="T3320">
        <v>-9.4802139999999993E-2</v>
      </c>
      <c r="U3320">
        <v>0.22164919999999999</v>
      </c>
      <c r="V3320">
        <v>4.6463169999999998E-2</v>
      </c>
      <c r="W3320">
        <v>5.7700009999999899E-3</v>
      </c>
      <c r="X3320">
        <v>0.99890330000000005</v>
      </c>
      <c r="Y3320">
        <v>-4.275818E-2</v>
      </c>
      <c r="Z3320">
        <v>-2.9918069999999999E-4</v>
      </c>
      <c r="AA3320">
        <v>0.99908540000000001</v>
      </c>
      <c r="AB3320">
        <v>39</v>
      </c>
      <c r="AC3320">
        <v>34.730800000000002</v>
      </c>
      <c r="AD3320">
        <v>-1.109217055387</v>
      </c>
      <c r="AE3320">
        <v>2.5808999999999802</v>
      </c>
      <c r="AF3320">
        <v>-1.5054834770780099</v>
      </c>
      <c r="AG3320">
        <v>-1.109217055387</v>
      </c>
      <c r="AH3320">
        <v>34.7586830475772</v>
      </c>
      <c r="AI3320">
        <v>91.826088386789706</v>
      </c>
      <c r="AJ3320">
        <v>92.480070113602395</v>
      </c>
      <c r="AK3320">
        <v>34.808948421026003</v>
      </c>
      <c r="AL3320">
        <v>89.669401447543294</v>
      </c>
      <c r="AM3320">
        <v>87.336853205177206</v>
      </c>
      <c r="AN3320">
        <v>0.99999996091443799</v>
      </c>
    </row>
    <row r="3321" spans="1:40" x14ac:dyDescent="0.25">
      <c r="A3321" t="str">
        <f>"20190312161030681"</f>
        <v>20190312161030681</v>
      </c>
      <c r="B3321" t="str">
        <f>"1552378230669870"</f>
        <v>1552378230669870</v>
      </c>
      <c r="C3321" t="s">
        <v>40</v>
      </c>
      <c r="D3321">
        <v>4.7239209999999998</v>
      </c>
      <c r="E3321">
        <v>0.46491270000000001</v>
      </c>
      <c r="F3321" t="s">
        <v>61</v>
      </c>
      <c r="G3321">
        <v>-266.0333</v>
      </c>
      <c r="H3321" s="1">
        <v>1.60072999999999E-6</v>
      </c>
      <c r="I3321">
        <v>216.28819999999999</v>
      </c>
      <c r="J3321">
        <v>-301.02890000000002</v>
      </c>
      <c r="K3321">
        <v>1.1092029999999999</v>
      </c>
      <c r="L3321">
        <v>213.7379</v>
      </c>
      <c r="M3321">
        <v>0.99947330000000001</v>
      </c>
      <c r="N3321">
        <v>0</v>
      </c>
      <c r="O3321">
        <v>3.0657650000000002E-2</v>
      </c>
      <c r="P3321">
        <v>0.99985930000000001</v>
      </c>
      <c r="Q3321">
        <v>-5.3156030000000003E-3</v>
      </c>
      <c r="R3321">
        <v>-1.5911850000000002E-2</v>
      </c>
      <c r="S3321">
        <v>3.0032960000000002</v>
      </c>
      <c r="T3321">
        <v>-9.4161869999999995E-2</v>
      </c>
      <c r="U3321">
        <v>0.2174835</v>
      </c>
      <c r="V3321">
        <v>4.6562119999999999E-2</v>
      </c>
      <c r="W3321">
        <v>5.2864950000000004E-3</v>
      </c>
      <c r="X3321">
        <v>0.99890140000000005</v>
      </c>
      <c r="Y3321">
        <v>-4.1607199999999997E-2</v>
      </c>
      <c r="Z3321">
        <v>-3.0814870000000003E-4</v>
      </c>
      <c r="AA3321">
        <v>0.99913399999999997</v>
      </c>
      <c r="AB3321">
        <v>39</v>
      </c>
      <c r="AC3321">
        <v>34.995600000000003</v>
      </c>
      <c r="AD3321">
        <v>-1.1092013992700001</v>
      </c>
      <c r="AE3321">
        <v>2.5502999999999898</v>
      </c>
      <c r="AF3321">
        <v>-1.47468383266445</v>
      </c>
      <c r="AG3321">
        <v>-1.1092013992700001</v>
      </c>
      <c r="AH3321">
        <v>35.022341227098202</v>
      </c>
      <c r="AI3321">
        <v>91.812417792048805</v>
      </c>
      <c r="AJ3321">
        <v>92.411125998693606</v>
      </c>
      <c r="AK3321">
        <v>35.070919651155002</v>
      </c>
      <c r="AL3321">
        <v>89.697104734958401</v>
      </c>
      <c r="AM3321">
        <v>87.331184773531106</v>
      </c>
      <c r="AN3321">
        <v>0.99999999248511895</v>
      </c>
    </row>
    <row r="3322" spans="1:40" x14ac:dyDescent="0.25">
      <c r="A3322" t="str">
        <f>"20190312161030705"</f>
        <v>20190312161030705</v>
      </c>
      <c r="B3322" t="str">
        <f>"1552378230700126"</f>
        <v>1552378230700126</v>
      </c>
      <c r="C3322" t="s">
        <v>40</v>
      </c>
      <c r="D3322">
        <v>4.6884189999999997</v>
      </c>
      <c r="E3322">
        <v>0.45603830000000001</v>
      </c>
      <c r="F3322" t="s">
        <v>61</v>
      </c>
      <c r="G3322">
        <v>-266.68599999999998</v>
      </c>
      <c r="H3322" s="1">
        <v>1.9423730000000001E-6</v>
      </c>
      <c r="I3322">
        <v>216.41849999999999</v>
      </c>
      <c r="J3322">
        <v>-300.62479999999999</v>
      </c>
      <c r="K3322">
        <v>1.1091850000000001</v>
      </c>
      <c r="L3322">
        <v>213.7501</v>
      </c>
      <c r="M3322">
        <v>0.99948049999999999</v>
      </c>
      <c r="N3322">
        <v>0</v>
      </c>
      <c r="O3322">
        <v>3.0413679999999998E-2</v>
      </c>
      <c r="P3322">
        <v>0.99985170000000001</v>
      </c>
      <c r="Q3322">
        <v>-5.4646369999999996E-3</v>
      </c>
      <c r="R3322">
        <v>-1.6327459999999999E-2</v>
      </c>
      <c r="S3322">
        <v>3.0036619999999998</v>
      </c>
      <c r="T3322">
        <v>-9.7011570000000005E-2</v>
      </c>
      <c r="U3322">
        <v>0.2344513</v>
      </c>
      <c r="V3322">
        <v>4.6733619999999997E-2</v>
      </c>
      <c r="W3322">
        <v>5.1601340000000002E-3</v>
      </c>
      <c r="X3322">
        <v>0.99889399999999995</v>
      </c>
      <c r="Y3322">
        <v>-4.7450440000000003E-2</v>
      </c>
      <c r="Z3322">
        <v>-2.1529059999999999E-4</v>
      </c>
      <c r="AA3322">
        <v>0.99887360000000003</v>
      </c>
      <c r="AB3322">
        <v>39</v>
      </c>
      <c r="AC3322">
        <v>33.938800000000001</v>
      </c>
      <c r="AD3322">
        <v>-1.1091830576270001</v>
      </c>
      <c r="AE3322">
        <v>2.6683999999999899</v>
      </c>
      <c r="AF3322">
        <v>-1.6331692641920199</v>
      </c>
      <c r="AG3322">
        <v>-1.1091830576270001</v>
      </c>
      <c r="AH3322">
        <v>33.968199842040796</v>
      </c>
      <c r="AI3322">
        <v>91.868090942489204</v>
      </c>
      <c r="AJ3322">
        <v>92.752624628677793</v>
      </c>
      <c r="AK3322">
        <v>34.025521736038797</v>
      </c>
      <c r="AL3322">
        <v>89.704344770476297</v>
      </c>
      <c r="AM3322">
        <v>87.321349331535799</v>
      </c>
      <c r="AN3322">
        <v>0.99999994072859899</v>
      </c>
    </row>
    <row r="3323" spans="1:40" x14ac:dyDescent="0.25">
      <c r="A3323" t="str">
        <f>"20190312161030748"</f>
        <v>20190312161030748</v>
      </c>
      <c r="B3323" t="str">
        <f>"1552378230740141"</f>
        <v>1552378230740141</v>
      </c>
      <c r="C3323" t="s">
        <v>40</v>
      </c>
      <c r="D3323">
        <v>5.3404420000000004</v>
      </c>
      <c r="E3323">
        <v>0.47576499999999999</v>
      </c>
      <c r="F3323" t="s">
        <v>42</v>
      </c>
      <c r="G3323">
        <v>-299.5822</v>
      </c>
      <c r="H3323">
        <v>0.96180589999999999</v>
      </c>
      <c r="I3323">
        <v>213.8586</v>
      </c>
      <c r="J3323">
        <v>-299.84410000000003</v>
      </c>
      <c r="K3323">
        <v>1.1091610000000001</v>
      </c>
      <c r="L3323">
        <v>213.77330000000001</v>
      </c>
      <c r="M3323">
        <v>0.99949440000000001</v>
      </c>
      <c r="N3323">
        <v>0</v>
      </c>
      <c r="O3323">
        <v>2.9937459999999999E-2</v>
      </c>
      <c r="P3323">
        <v>0.99982579999999999</v>
      </c>
      <c r="Q3323">
        <v>-6.4038050000000003E-3</v>
      </c>
      <c r="R3323">
        <v>-1.7533130000000001E-2</v>
      </c>
      <c r="S3323">
        <v>3.0032350000000001</v>
      </c>
      <c r="T3323">
        <v>-0.42463060000000002</v>
      </c>
      <c r="U3323">
        <v>0.31315609999999999</v>
      </c>
      <c r="V3323">
        <v>4.7461719999999999E-2</v>
      </c>
      <c r="W3323">
        <v>4.277042E-3</v>
      </c>
      <c r="X3323">
        <v>0.99886390000000003</v>
      </c>
      <c r="Y3323">
        <v>-7.3458490000000001E-2</v>
      </c>
      <c r="Z3323">
        <v>9.5485899999999996E-4</v>
      </c>
      <c r="AA3323">
        <v>0.99729780000000001</v>
      </c>
      <c r="AB3323">
        <v>39</v>
      </c>
      <c r="AC3323">
        <v>0.261900000000025</v>
      </c>
      <c r="AD3323">
        <v>-0.14735509999999899</v>
      </c>
      <c r="AE3323">
        <v>8.5299999999989495E-2</v>
      </c>
      <c r="AF3323">
        <v>-6.0193236605145702E-2</v>
      </c>
      <c r="AG3323">
        <v>-0.14735509999999899</v>
      </c>
      <c r="AH3323">
        <v>0.205516944374351</v>
      </c>
      <c r="AI3323">
        <v>124.531521716425</v>
      </c>
      <c r="AJ3323">
        <v>106.324620574146</v>
      </c>
      <c r="AK3323">
        <v>0.25994992912863701</v>
      </c>
      <c r="AL3323">
        <v>89.754942797291605</v>
      </c>
      <c r="AM3323">
        <v>87.279596872638294</v>
      </c>
      <c r="AN3323">
        <v>0.99999999933841899</v>
      </c>
    </row>
    <row r="3324" spans="1:40" x14ac:dyDescent="0.25">
      <c r="A3324" t="str">
        <f>"20190312161030771"</f>
        <v>20190312161030771</v>
      </c>
      <c r="B3324" t="str">
        <f>"1552378230759662"</f>
        <v>1552378230759662</v>
      </c>
      <c r="C3324" t="s">
        <v>40</v>
      </c>
      <c r="D3324">
        <v>4.4930450000000004</v>
      </c>
      <c r="E3324">
        <v>0.4461292</v>
      </c>
      <c r="F3324" t="s">
        <v>42</v>
      </c>
      <c r="G3324">
        <v>-298.93830000000003</v>
      </c>
      <c r="H3324">
        <v>0.82289409999999896</v>
      </c>
      <c r="I3324">
        <v>213.82409999999999</v>
      </c>
      <c r="J3324">
        <v>-299.44650000000001</v>
      </c>
      <c r="K3324">
        <v>1.1091599999999999</v>
      </c>
      <c r="L3324">
        <v>213.785</v>
      </c>
      <c r="M3324">
        <v>0.99950119999999998</v>
      </c>
      <c r="N3324">
        <v>0</v>
      </c>
      <c r="O3324">
        <v>2.9694379999999999E-2</v>
      </c>
      <c r="P3324">
        <v>0.99980840000000004</v>
      </c>
      <c r="Q3324">
        <v>-7.2520479999999997E-3</v>
      </c>
      <c r="R3324">
        <v>-1.8189090000000002E-2</v>
      </c>
      <c r="S3324">
        <v>2.9974370000000001</v>
      </c>
      <c r="T3324">
        <v>-0.94726670000000002</v>
      </c>
      <c r="U3324">
        <v>0.16830439999999999</v>
      </c>
      <c r="V3324">
        <v>4.787342E-2</v>
      </c>
      <c r="W3324">
        <v>3.4635629999999998E-3</v>
      </c>
      <c r="X3324">
        <v>0.99884740000000005</v>
      </c>
      <c r="Y3324">
        <v>-2.6540029999999999E-2</v>
      </c>
      <c r="Z3324">
        <v>-5.0609390000000004E-3</v>
      </c>
      <c r="AA3324">
        <v>0.99963489999999999</v>
      </c>
      <c r="AB3324">
        <v>39</v>
      </c>
      <c r="AC3324">
        <v>0.50819999999998799</v>
      </c>
      <c r="AD3324">
        <v>-0.28626590000000002</v>
      </c>
      <c r="AE3324">
        <v>3.9099999999990503E-2</v>
      </c>
      <c r="AF3324">
        <v>-1.8238257233561199E-2</v>
      </c>
      <c r="AG3324">
        <v>-0.28626590000000002</v>
      </c>
      <c r="AH3324">
        <v>0.38704906282817397</v>
      </c>
      <c r="AI3324">
        <v>126.45667909020899</v>
      </c>
      <c r="AJ3324">
        <v>92.697856337026906</v>
      </c>
      <c r="AK3324">
        <v>0.481754892622686</v>
      </c>
      <c r="AL3324">
        <v>89.801552060166699</v>
      </c>
      <c r="AM3324">
        <v>87.255989771591103</v>
      </c>
      <c r="AN3324">
        <v>0.99999999454895505</v>
      </c>
    </row>
    <row r="3325" spans="1:40" x14ac:dyDescent="0.25">
      <c r="A3325" t="str">
        <f>"20190312161030802"</f>
        <v>20190312161030802</v>
      </c>
      <c r="B3325" t="str">
        <f>"1552378230799678"</f>
        <v>1552378230799678</v>
      </c>
      <c r="C3325" t="s">
        <v>40</v>
      </c>
      <c r="D3325">
        <v>4.6471349999999996</v>
      </c>
      <c r="E3325">
        <v>0.45138879999999998</v>
      </c>
      <c r="F3325" t="s">
        <v>74</v>
      </c>
      <c r="G3325">
        <v>-289.59210000000002</v>
      </c>
      <c r="H3325" s="1">
        <v>2.7858690000000001E-6</v>
      </c>
      <c r="I3325">
        <v>215.0471</v>
      </c>
      <c r="J3325">
        <v>-298.88319999999999</v>
      </c>
      <c r="K3325">
        <v>1.109151</v>
      </c>
      <c r="L3325">
        <v>213.8014</v>
      </c>
      <c r="M3325">
        <v>0.99951080000000003</v>
      </c>
      <c r="N3325">
        <v>0</v>
      </c>
      <c r="O3325">
        <v>2.9346230000000001E-2</v>
      </c>
      <c r="P3325">
        <v>0.99978299999999998</v>
      </c>
      <c r="Q3325">
        <v>-7.9102670000000003E-3</v>
      </c>
      <c r="R3325">
        <v>-1.9269580000000001E-2</v>
      </c>
      <c r="S3325">
        <v>3.0051570000000001</v>
      </c>
      <c r="T3325">
        <v>-0.33824209999999999</v>
      </c>
      <c r="U3325">
        <v>0.3848724</v>
      </c>
      <c r="V3325">
        <v>4.8604710000000002E-2</v>
      </c>
      <c r="W3325">
        <v>2.8727650000000002E-3</v>
      </c>
      <c r="X3325">
        <v>0.99881399999999998</v>
      </c>
      <c r="Y3325">
        <v>-9.7445470000000006E-2</v>
      </c>
      <c r="Z3325">
        <v>2.166968E-3</v>
      </c>
      <c r="AA3325">
        <v>0.99523850000000003</v>
      </c>
      <c r="AB3325">
        <v>39</v>
      </c>
      <c r="AC3325">
        <v>9.2910999999999699</v>
      </c>
      <c r="AD3325">
        <v>-1.1091482141310001</v>
      </c>
      <c r="AE3325">
        <v>1.24569999999999</v>
      </c>
      <c r="AF3325">
        <v>-0.95906248276073303</v>
      </c>
      <c r="AG3325">
        <v>-1.1091482141310001</v>
      </c>
      <c r="AH3325">
        <v>9.1949337076408497</v>
      </c>
      <c r="AI3325">
        <v>96.841370629822407</v>
      </c>
      <c r="AJ3325">
        <v>95.954610838787005</v>
      </c>
      <c r="AK3325">
        <v>9.3111125272256796</v>
      </c>
      <c r="AL3325">
        <v>89.835402469922897</v>
      </c>
      <c r="AM3325">
        <v>87.214046193361</v>
      </c>
      <c r="AN3325">
        <v>1.0000000386044601</v>
      </c>
    </row>
    <row r="3326" spans="1:40" x14ac:dyDescent="0.25">
      <c r="A3326" t="str">
        <f>"20190312161030826"</f>
        <v>20190312161030826</v>
      </c>
      <c r="B3326" t="str">
        <f>"1552378230820173"</f>
        <v>1552378230820173</v>
      </c>
      <c r="C3326" t="s">
        <v>40</v>
      </c>
      <c r="D3326">
        <v>5.0222600000000002</v>
      </c>
      <c r="E3326">
        <v>0.45186860000000001</v>
      </c>
      <c r="F3326" t="s">
        <v>61</v>
      </c>
      <c r="G3326">
        <v>-272.8716</v>
      </c>
      <c r="H3326" s="1">
        <v>-9.9058640000000005E-8</v>
      </c>
      <c r="I3326">
        <v>216.684</v>
      </c>
      <c r="J3326">
        <v>-298.4846</v>
      </c>
      <c r="K3326">
        <v>1.1091519999999999</v>
      </c>
      <c r="L3326">
        <v>213.81290000000001</v>
      </c>
      <c r="M3326">
        <v>0.99951730000000005</v>
      </c>
      <c r="N3326">
        <v>0</v>
      </c>
      <c r="O3326">
        <v>2.9095599999999999E-2</v>
      </c>
      <c r="P3326">
        <v>0.99977609999999995</v>
      </c>
      <c r="Q3326">
        <v>-7.760047E-3</v>
      </c>
      <c r="R3326">
        <v>-1.96876E-2</v>
      </c>
      <c r="S3326">
        <v>3.0060730000000002</v>
      </c>
      <c r="T3326">
        <v>-0.1281805</v>
      </c>
      <c r="U3326">
        <v>0.33312989999999998</v>
      </c>
      <c r="V3326">
        <v>4.8771960000000003E-2</v>
      </c>
      <c r="W3326">
        <v>3.0840030000000001E-3</v>
      </c>
      <c r="X3326">
        <v>0.99880519999999995</v>
      </c>
      <c r="Y3326">
        <v>-8.1131099999999998E-2</v>
      </c>
      <c r="Z3326">
        <v>4.8792650000000003E-4</v>
      </c>
      <c r="AA3326">
        <v>0.99670329999999996</v>
      </c>
      <c r="AB3326">
        <v>39</v>
      </c>
      <c r="AC3326">
        <v>25.613</v>
      </c>
      <c r="AD3326">
        <v>-1.1091520990586301</v>
      </c>
      <c r="AE3326">
        <v>2.87110000000001</v>
      </c>
      <c r="AF3326">
        <v>-2.1206870369281901</v>
      </c>
      <c r="AG3326">
        <v>-1.1091520990586301</v>
      </c>
      <c r="AH3326">
        <v>25.638214683453899</v>
      </c>
      <c r="AI3326">
        <v>92.468746143541097</v>
      </c>
      <c r="AJ3326">
        <v>94.728505408442501</v>
      </c>
      <c r="AK3326">
        <v>25.7496715327073</v>
      </c>
      <c r="AL3326">
        <v>89.823299367764307</v>
      </c>
      <c r="AM3326">
        <v>87.204450248008598</v>
      </c>
      <c r="AN3326">
        <v>1.00000002135189</v>
      </c>
    </row>
    <row r="3327" spans="1:40" x14ac:dyDescent="0.25">
      <c r="A3327" t="str">
        <f>"20190312161030870"</f>
        <v>20190312161030870</v>
      </c>
      <c r="B3327" t="str">
        <f>"1552378230859213"</f>
        <v>1552378230859213</v>
      </c>
      <c r="C3327" t="s">
        <v>40</v>
      </c>
      <c r="D3327">
        <v>5.0825699999999996</v>
      </c>
      <c r="E3327">
        <v>0.45571630000000002</v>
      </c>
      <c r="F3327" t="s">
        <v>61</v>
      </c>
      <c r="G3327">
        <v>-264.54640000000001</v>
      </c>
      <c r="H3327" s="1">
        <v>7.5630969999999904E-7</v>
      </c>
      <c r="I3327">
        <v>217.50540000000001</v>
      </c>
      <c r="J3327">
        <v>-297.68669999999997</v>
      </c>
      <c r="K3327">
        <v>1.1091549999999999</v>
      </c>
      <c r="L3327">
        <v>213.8356</v>
      </c>
      <c r="M3327">
        <v>0.99953099999999995</v>
      </c>
      <c r="N3327">
        <v>0</v>
      </c>
      <c r="O3327">
        <v>2.8571550000000001E-2</v>
      </c>
      <c r="P3327">
        <v>0.99978069999999997</v>
      </c>
      <c r="Q3327">
        <v>-7.7064050000000004E-3</v>
      </c>
      <c r="R3327">
        <v>-1.9481430000000001E-2</v>
      </c>
      <c r="S3327">
        <v>3.006348</v>
      </c>
      <c r="T3327">
        <v>-9.8252179999999995E-2</v>
      </c>
      <c r="U3327">
        <v>0.32708739999999997</v>
      </c>
      <c r="V3327">
        <v>4.8042689999999999E-2</v>
      </c>
      <c r="W3327">
        <v>3.277121E-3</v>
      </c>
      <c r="X3327">
        <v>0.9988399</v>
      </c>
      <c r="Y3327">
        <v>-7.9683879999999999E-2</v>
      </c>
      <c r="Z3327">
        <v>3.6755220000000001E-4</v>
      </c>
      <c r="AA3327">
        <v>0.99682009999999999</v>
      </c>
      <c r="AB3327">
        <v>39</v>
      </c>
      <c r="AC3327">
        <v>33.140299999999897</v>
      </c>
      <c r="AD3327">
        <v>-1.1091542436902999</v>
      </c>
      <c r="AE3327">
        <v>3.6698</v>
      </c>
      <c r="AF3327">
        <v>-2.7183663249963201</v>
      </c>
      <c r="AG3327">
        <v>-1.1091542436902999</v>
      </c>
      <c r="AH3327">
        <v>33.1948946728034</v>
      </c>
      <c r="AI3327">
        <v>91.907354646593902</v>
      </c>
      <c r="AJ3327">
        <v>94.681567760832905</v>
      </c>
      <c r="AK3327">
        <v>33.324477054436798</v>
      </c>
      <c r="AL3327">
        <v>89.812234460290796</v>
      </c>
      <c r="AM3327">
        <v>87.246281810817905</v>
      </c>
      <c r="AN3327">
        <v>0.99999999270824702</v>
      </c>
    </row>
    <row r="3328" spans="1:40" x14ac:dyDescent="0.25">
      <c r="A3328" t="str">
        <f>"20190312161030894"</f>
        <v>20190312161030894</v>
      </c>
      <c r="B3328" t="str">
        <f>"1552378230889470"</f>
        <v>1552378230889470</v>
      </c>
      <c r="C3328" t="s">
        <v>40</v>
      </c>
      <c r="D3328">
        <v>5.0491270000000004</v>
      </c>
      <c r="E3328">
        <v>0.45712629999999999</v>
      </c>
      <c r="F3328" t="s">
        <v>61</v>
      </c>
      <c r="G3328">
        <v>-254.28800000000001</v>
      </c>
      <c r="H3328" s="1">
        <v>5.9214799999999996E-7</v>
      </c>
      <c r="I3328">
        <v>218.11500000000001</v>
      </c>
      <c r="J3328">
        <v>-297.27269999999999</v>
      </c>
      <c r="K3328">
        <v>1.109154</v>
      </c>
      <c r="L3328">
        <v>213.84710000000001</v>
      </c>
      <c r="M3328">
        <v>0.99953820000000004</v>
      </c>
      <c r="N3328">
        <v>0</v>
      </c>
      <c r="O3328">
        <v>2.82841E-2</v>
      </c>
      <c r="P3328">
        <v>0.9997817</v>
      </c>
      <c r="Q3328">
        <v>-7.9966629999999993E-3</v>
      </c>
      <c r="R3328">
        <v>-1.9310419999999998E-2</v>
      </c>
      <c r="S3328">
        <v>3.0058590000000001</v>
      </c>
      <c r="T3328">
        <v>-7.6821680000000003E-2</v>
      </c>
      <c r="U3328">
        <v>0.296402</v>
      </c>
      <c r="V3328">
        <v>4.758453E-2</v>
      </c>
      <c r="W3328">
        <v>3.0663600000000002E-3</v>
      </c>
      <c r="X3328">
        <v>0.99886249999999999</v>
      </c>
      <c r="Y3328">
        <v>-6.993009E-2</v>
      </c>
      <c r="Z3328">
        <v>1.705845E-4</v>
      </c>
      <c r="AA3328">
        <v>0.99755190000000005</v>
      </c>
      <c r="AB3328">
        <v>40</v>
      </c>
      <c r="AC3328">
        <v>42.984699999999997</v>
      </c>
      <c r="AD3328">
        <v>-1.109153407852</v>
      </c>
      <c r="AE3328">
        <v>4.2678999999999903</v>
      </c>
      <c r="AF3328">
        <v>-3.0483239212715199</v>
      </c>
      <c r="AG3328">
        <v>-1.109153407852</v>
      </c>
      <c r="AH3328">
        <v>43.059831797057598</v>
      </c>
      <c r="AI3328">
        <v>91.471840796344196</v>
      </c>
      <c r="AJ3328">
        <v>94.049370204185195</v>
      </c>
      <c r="AK3328">
        <v>43.181843573451502</v>
      </c>
      <c r="AL3328">
        <v>89.8243102368005</v>
      </c>
      <c r="AM3328">
        <v>87.272564467556805</v>
      </c>
      <c r="AN3328">
        <v>0.99999999198261003</v>
      </c>
    </row>
    <row r="3329" spans="1:40" x14ac:dyDescent="0.25">
      <c r="A3329" t="str">
        <f>"20190312161030916"</f>
        <v>20190312161030916</v>
      </c>
      <c r="B3329" t="str">
        <f>"1552378230909966"</f>
        <v>1552378230909966</v>
      </c>
      <c r="C3329" t="s">
        <v>40</v>
      </c>
      <c r="D3329">
        <v>5.0555659999999998</v>
      </c>
      <c r="E3329">
        <v>0.45781250000000001</v>
      </c>
      <c r="F3329" t="s">
        <v>61</v>
      </c>
      <c r="G3329">
        <v>-247.87129999999999</v>
      </c>
      <c r="H3329" s="1">
        <v>2.480524E-6</v>
      </c>
      <c r="I3329">
        <v>218.5378</v>
      </c>
      <c r="J3329">
        <v>-296.87790000000001</v>
      </c>
      <c r="K3329">
        <v>1.109165</v>
      </c>
      <c r="L3329">
        <v>213.858</v>
      </c>
      <c r="M3329">
        <v>0.99954529999999997</v>
      </c>
      <c r="N3329">
        <v>0</v>
      </c>
      <c r="O3329">
        <v>2.7996879999999998E-2</v>
      </c>
      <c r="P3329">
        <v>0.99978730000000005</v>
      </c>
      <c r="Q3329">
        <v>-7.7114810000000001E-3</v>
      </c>
      <c r="R3329">
        <v>-1.913304E-2</v>
      </c>
      <c r="S3329">
        <v>3.0056150000000001</v>
      </c>
      <c r="T3329">
        <v>-6.7481639999999996E-2</v>
      </c>
      <c r="U3329">
        <v>0.285385099999999</v>
      </c>
      <c r="V3329">
        <v>4.7120670000000003E-2</v>
      </c>
      <c r="W3329">
        <v>3.4401990000000001E-3</v>
      </c>
      <c r="X3329">
        <v>0.99888330000000003</v>
      </c>
      <c r="Y3329">
        <v>-6.6605559999999994E-2</v>
      </c>
      <c r="Z3329">
        <v>1.190751E-4</v>
      </c>
      <c r="AA3329">
        <v>0.99777939999999998</v>
      </c>
      <c r="AB3329">
        <v>40</v>
      </c>
      <c r="AC3329">
        <v>49.006599999999999</v>
      </c>
      <c r="AD3329">
        <v>-1.109162519476</v>
      </c>
      <c r="AE3329">
        <v>4.6798000000000002</v>
      </c>
      <c r="AF3329">
        <v>-3.30417016232518</v>
      </c>
      <c r="AG3329">
        <v>-1.109162519476</v>
      </c>
      <c r="AH3329">
        <v>49.093494684816399</v>
      </c>
      <c r="AI3329">
        <v>91.291334988159093</v>
      </c>
      <c r="AJ3329">
        <v>93.850406842375406</v>
      </c>
      <c r="AK3329">
        <v>49.2170600739652</v>
      </c>
      <c r="AL3329">
        <v>89.802890731712296</v>
      </c>
      <c r="AM3329">
        <v>87.299168448367595</v>
      </c>
      <c r="AN3329">
        <v>1.0000000197646399</v>
      </c>
    </row>
    <row r="3330" spans="1:40" x14ac:dyDescent="0.25">
      <c r="A3330" t="str">
        <f>"20190312161030942"</f>
        <v>20190312161030942</v>
      </c>
      <c r="B3330" t="str">
        <f>"1552378230929486"</f>
        <v>1552378230929486</v>
      </c>
      <c r="C3330" t="s">
        <v>40</v>
      </c>
      <c r="D3330">
        <v>4.9856499999999997</v>
      </c>
      <c r="E3330">
        <v>0.45809250000000001</v>
      </c>
      <c r="F3330" t="s">
        <v>61</v>
      </c>
      <c r="G3330">
        <v>-242.7474</v>
      </c>
      <c r="H3330" s="1">
        <v>-2.6210089999999998E-7</v>
      </c>
      <c r="I3330">
        <v>218.9025</v>
      </c>
      <c r="J3330">
        <v>-296.43259999999998</v>
      </c>
      <c r="K3330">
        <v>1.1091719999999901</v>
      </c>
      <c r="L3330">
        <v>213.87020000000001</v>
      </c>
      <c r="M3330">
        <v>0.99955329999999998</v>
      </c>
      <c r="N3330">
        <v>0</v>
      </c>
      <c r="O3330">
        <v>2.765271E-2</v>
      </c>
      <c r="P3330">
        <v>0.99977879999999997</v>
      </c>
      <c r="Q3330">
        <v>-8.1328890000000008E-3</v>
      </c>
      <c r="R3330">
        <v>-1.939608E-2</v>
      </c>
      <c r="S3330">
        <v>3.0055540000000001</v>
      </c>
      <c r="T3330">
        <v>-6.1585550000000003E-2</v>
      </c>
      <c r="U3330">
        <v>0.28009030000000001</v>
      </c>
      <c r="V3330">
        <v>4.7039369999999997E-2</v>
      </c>
      <c r="W3330">
        <v>3.1536210000000001E-3</v>
      </c>
      <c r="X3330">
        <v>0.99888809999999995</v>
      </c>
      <c r="Y3330">
        <v>-6.5210389999999993E-2</v>
      </c>
      <c r="Z3330">
        <v>1.014488E-4</v>
      </c>
      <c r="AA3330">
        <v>0.99787150000000002</v>
      </c>
      <c r="AB3330">
        <v>40</v>
      </c>
      <c r="AC3330">
        <v>53.685199999999902</v>
      </c>
      <c r="AD3330">
        <v>-1.1091722621008999</v>
      </c>
      <c r="AE3330">
        <v>5.0322999999999896</v>
      </c>
      <c r="AF3330">
        <v>-3.5442389474846001</v>
      </c>
      <c r="AG3330">
        <v>-1.1091722621008999</v>
      </c>
      <c r="AH3330">
        <v>53.781076107294297</v>
      </c>
      <c r="AI3330">
        <v>91.178934902891001</v>
      </c>
      <c r="AJ3330">
        <v>93.770410262421606</v>
      </c>
      <c r="AK3330">
        <v>53.909146163545103</v>
      </c>
      <c r="AL3330">
        <v>89.819310534599595</v>
      </c>
      <c r="AM3330">
        <v>87.303834403133806</v>
      </c>
      <c r="AN3330">
        <v>1.0000000419885</v>
      </c>
    </row>
    <row r="3331" spans="1:40" x14ac:dyDescent="0.25">
      <c r="A3331" t="str">
        <f>"20190312161030982"</f>
        <v>20190312161030982</v>
      </c>
      <c r="B3331" t="str">
        <f>"1552378230969506"</f>
        <v>1552378230969506</v>
      </c>
      <c r="C3331" t="s">
        <v>40</v>
      </c>
      <c r="D3331">
        <v>5.2126530000000004</v>
      </c>
      <c r="E3331">
        <v>0.45946490000000001</v>
      </c>
      <c r="F3331" t="s">
        <v>61</v>
      </c>
      <c r="G3331">
        <v>-238.64099999999999</v>
      </c>
      <c r="H3331" s="1">
        <v>2.8613200000000002E-6</v>
      </c>
      <c r="I3331">
        <v>219.19649999999999</v>
      </c>
      <c r="J3331">
        <v>-295.73050000000001</v>
      </c>
      <c r="K3331">
        <v>1.1091869999999999</v>
      </c>
      <c r="L3331">
        <v>213.88900000000001</v>
      </c>
      <c r="M3331">
        <v>0.99956540000000005</v>
      </c>
      <c r="N3331">
        <v>0</v>
      </c>
      <c r="O3331">
        <v>2.708957E-2</v>
      </c>
      <c r="P3331">
        <v>0.99975320000000001</v>
      </c>
      <c r="Q3331">
        <v>-8.2023010000000004E-3</v>
      </c>
      <c r="R3331">
        <v>-2.0649339999999999E-2</v>
      </c>
      <c r="S3331">
        <v>3.005585</v>
      </c>
      <c r="T3331">
        <v>-5.7684899999999997E-2</v>
      </c>
      <c r="U3331">
        <v>0.27700809999999998</v>
      </c>
      <c r="V3331">
        <v>4.7729460000000001E-2</v>
      </c>
      <c r="W3331">
        <v>3.3753490000000001E-3</v>
      </c>
      <c r="X3331">
        <v>0.99885460000000004</v>
      </c>
      <c r="Y3331">
        <v>-6.4757880000000004E-2</v>
      </c>
      <c r="Z3331">
        <v>1.014667E-4</v>
      </c>
      <c r="AA3331">
        <v>0.99790100000000004</v>
      </c>
      <c r="AB3331">
        <v>40</v>
      </c>
      <c r="AC3331">
        <v>57.089500000000001</v>
      </c>
      <c r="AD3331">
        <v>-1.1091841386799901</v>
      </c>
      <c r="AE3331">
        <v>5.3074999999999699</v>
      </c>
      <c r="AF3331">
        <v>-3.75751116807472</v>
      </c>
      <c r="AG3331">
        <v>-1.1091841386799901</v>
      </c>
      <c r="AH3331">
        <v>57.1909300328212</v>
      </c>
      <c r="AI3331">
        <v>91.108688606246702</v>
      </c>
      <c r="AJ3331">
        <v>93.758997362635398</v>
      </c>
      <c r="AK3331">
        <v>57.324965395984002</v>
      </c>
      <c r="AL3331">
        <v>89.806606381300099</v>
      </c>
      <c r="AM3331">
        <v>87.264248410851593</v>
      </c>
      <c r="AN3331">
        <v>1.00000000313696</v>
      </c>
    </row>
    <row r="3332" spans="1:40" x14ac:dyDescent="0.25">
      <c r="A3332" t="str">
        <f>"20190312161031004"</f>
        <v>20190312161031004</v>
      </c>
      <c r="B3332" t="str">
        <f>"1552378230999757"</f>
        <v>1552378230999757</v>
      </c>
      <c r="C3332" t="s">
        <v>40</v>
      </c>
      <c r="D3332">
        <v>5.0903640000000001</v>
      </c>
      <c r="E3332">
        <v>0.51257059999999999</v>
      </c>
      <c r="F3332" t="s">
        <v>61</v>
      </c>
      <c r="G3332">
        <v>-234.13040000000001</v>
      </c>
      <c r="H3332" s="1">
        <v>4.5803799999999999E-7</v>
      </c>
      <c r="I3332">
        <v>219.26400000000001</v>
      </c>
      <c r="J3332">
        <v>-295.32979999999998</v>
      </c>
      <c r="K3332">
        <v>1.1092109999999999</v>
      </c>
      <c r="L3332">
        <v>213.89949999999999</v>
      </c>
      <c r="M3332">
        <v>0.99957220000000002</v>
      </c>
      <c r="N3332">
        <v>0</v>
      </c>
      <c r="O3332">
        <v>2.6753699999999998E-2</v>
      </c>
      <c r="P3332">
        <v>0.99974510000000005</v>
      </c>
      <c r="Q3332">
        <v>-8.2815270000000003E-3</v>
      </c>
      <c r="R3332">
        <v>-2.10149E-2</v>
      </c>
      <c r="S3332">
        <v>3.0057070000000001</v>
      </c>
      <c r="T3332">
        <v>-5.4121490000000001E-2</v>
      </c>
      <c r="U3332">
        <v>0.262268099999999</v>
      </c>
      <c r="V3332">
        <v>4.7759030000000001E-2</v>
      </c>
      <c r="W3332">
        <v>3.4921729999999999E-3</v>
      </c>
      <c r="X3332">
        <v>0.99885279999999999</v>
      </c>
      <c r="Y3332">
        <v>-6.0235629999999998E-2</v>
      </c>
      <c r="Z3332" s="1">
        <v>6.0604709999999898E-5</v>
      </c>
      <c r="AA3332">
        <v>0.99818419999999997</v>
      </c>
      <c r="AB3332">
        <v>40</v>
      </c>
      <c r="AC3332">
        <v>61.199399999999898</v>
      </c>
      <c r="AD3332">
        <v>-1.109210541962</v>
      </c>
      <c r="AE3332">
        <v>5.36450000000002</v>
      </c>
      <c r="AF3332">
        <v>-3.72394082732592</v>
      </c>
      <c r="AG3332">
        <v>-1.109210541962</v>
      </c>
      <c r="AH3332">
        <v>61.301037446415201</v>
      </c>
      <c r="AI3332">
        <v>91.034717278246902</v>
      </c>
      <c r="AJ3332">
        <v>93.476355612767307</v>
      </c>
      <c r="AK3332">
        <v>61.424061045478098</v>
      </c>
      <c r="AL3332">
        <v>89.799912822712997</v>
      </c>
      <c r="AM3332">
        <v>87.262551172794005</v>
      </c>
      <c r="AN3332">
        <v>1.00000001814332</v>
      </c>
    </row>
    <row r="3333" spans="1:40" x14ac:dyDescent="0.25">
      <c r="A3333" t="str">
        <f>"20190312161031027"</f>
        <v>20190312161031027</v>
      </c>
      <c r="B3333" t="str">
        <f>"1552378231020254"</f>
        <v>1552378231020254</v>
      </c>
      <c r="C3333" t="s">
        <v>40</v>
      </c>
      <c r="D3333">
        <v>4.6605530000000002</v>
      </c>
      <c r="E3333">
        <v>0.52006520000000001</v>
      </c>
      <c r="F3333" t="s">
        <v>55</v>
      </c>
      <c r="G3333">
        <v>-168.4109</v>
      </c>
      <c r="H3333">
        <v>1.725868</v>
      </c>
      <c r="I3333">
        <v>206.9365</v>
      </c>
      <c r="J3333">
        <v>-294.92509999999999</v>
      </c>
      <c r="K3333">
        <v>1.1092500000000001</v>
      </c>
      <c r="L3333">
        <v>213.90989999999999</v>
      </c>
      <c r="M3333">
        <v>0.99957870000000004</v>
      </c>
      <c r="N3333">
        <v>0</v>
      </c>
      <c r="O3333">
        <v>2.6395620000000002E-2</v>
      </c>
      <c r="P3333">
        <v>0.99974280000000004</v>
      </c>
      <c r="Q3333">
        <v>-8.3490500000000002E-3</v>
      </c>
      <c r="R3333">
        <v>-2.1093279999999999E-2</v>
      </c>
      <c r="S3333">
        <v>2.9974370000000001</v>
      </c>
      <c r="T3333">
        <v>1.4564280000000001E-2</v>
      </c>
      <c r="U3333">
        <v>-0.16444400000000001</v>
      </c>
      <c r="V3333">
        <v>4.7479849999999997E-2</v>
      </c>
      <c r="W3333">
        <v>3.6671709999999999E-3</v>
      </c>
      <c r="X3333">
        <v>0.99886549999999996</v>
      </c>
      <c r="Y3333">
        <v>8.1116709999999995E-2</v>
      </c>
      <c r="Z3333">
        <v>3.2509839999999998E-4</v>
      </c>
      <c r="AA3333">
        <v>0.99670460000000005</v>
      </c>
      <c r="AB3333">
        <v>39</v>
      </c>
      <c r="AC3333">
        <v>126.5142</v>
      </c>
      <c r="AD3333">
        <v>0.616617999999999</v>
      </c>
      <c r="AE3333">
        <v>-6.9733999999999901</v>
      </c>
      <c r="AF3333">
        <v>10.310389798433</v>
      </c>
      <c r="AG3333">
        <v>0.616617999999999</v>
      </c>
      <c r="AH3333">
        <v>126.283041469952</v>
      </c>
      <c r="AI3333">
        <v>89.721164743557097</v>
      </c>
      <c r="AJ3333">
        <v>85.332433982199106</v>
      </c>
      <c r="AK3333">
        <v>126.704739131791</v>
      </c>
      <c r="AL3333">
        <v>89.789886115505098</v>
      </c>
      <c r="AM3333">
        <v>87.278563614912798</v>
      </c>
      <c r="AN3333">
        <v>1.0000000356947001</v>
      </c>
    </row>
    <row r="3334" spans="1:40" x14ac:dyDescent="0.25">
      <c r="A3334" t="str">
        <f>"20190312161031049"</f>
        <v>20190312161031049</v>
      </c>
      <c r="B3334" t="str">
        <f>"1552378231039774"</f>
        <v>1552378231039774</v>
      </c>
      <c r="C3334" t="s">
        <v>40</v>
      </c>
      <c r="D3334">
        <v>5.0914780000000004</v>
      </c>
      <c r="E3334">
        <v>0.52246190000000003</v>
      </c>
      <c r="F3334" t="s">
        <v>55</v>
      </c>
      <c r="G3334">
        <v>-168.4118</v>
      </c>
      <c r="H3334">
        <v>1.8607880000000001</v>
      </c>
      <c r="I3334">
        <v>204.43549999999999</v>
      </c>
      <c r="J3334">
        <v>-294.52620000000002</v>
      </c>
      <c r="K3334">
        <v>1.1092949999999999</v>
      </c>
      <c r="L3334">
        <v>213.92009999999999</v>
      </c>
      <c r="M3334">
        <v>0.99958499999999995</v>
      </c>
      <c r="N3334">
        <v>0</v>
      </c>
      <c r="O3334">
        <v>2.602842E-2</v>
      </c>
      <c r="P3334">
        <v>0.99973140000000005</v>
      </c>
      <c r="Q3334">
        <v>-9.2173870000000005E-3</v>
      </c>
      <c r="R3334">
        <v>-2.1268490000000001E-2</v>
      </c>
      <c r="S3334">
        <v>2.9961850000000001</v>
      </c>
      <c r="T3334">
        <v>1.7799260000000001E-2</v>
      </c>
      <c r="U3334">
        <v>-0.22438050000000001</v>
      </c>
      <c r="V3334">
        <v>4.7287450000000002E-2</v>
      </c>
      <c r="W3334">
        <v>3.078758E-3</v>
      </c>
      <c r="X3334">
        <v>0.9988766</v>
      </c>
      <c r="Y3334">
        <v>0.1006098</v>
      </c>
      <c r="Z3334">
        <v>4.5286719999999999E-4</v>
      </c>
      <c r="AA3334">
        <v>0.99492590000000003</v>
      </c>
      <c r="AB3334">
        <v>39</v>
      </c>
      <c r="AC3334">
        <v>126.1144</v>
      </c>
      <c r="AD3334">
        <v>0.75149299999999997</v>
      </c>
      <c r="AE3334">
        <v>-9.4846000000000004</v>
      </c>
      <c r="AF3334">
        <v>12.763744146091501</v>
      </c>
      <c r="AG3334">
        <v>0.75149299999999997</v>
      </c>
      <c r="AH3334">
        <v>125.820335940783</v>
      </c>
      <c r="AI3334">
        <v>89.659538197924604</v>
      </c>
      <c r="AJ3334">
        <v>84.207490968685804</v>
      </c>
      <c r="AK3334">
        <v>126.468315568001</v>
      </c>
      <c r="AL3334">
        <v>89.823599885636497</v>
      </c>
      <c r="AM3334">
        <v>87.289605138886003</v>
      </c>
      <c r="AN3334">
        <v>1.0000000218529399</v>
      </c>
    </row>
    <row r="3335" spans="1:40" x14ac:dyDescent="0.25">
      <c r="A3335" t="str">
        <f>"20190312161031071"</f>
        <v>20190312161031071</v>
      </c>
      <c r="B3335" t="str">
        <f>"1552378231059294"</f>
        <v>1552378231059294</v>
      </c>
      <c r="C3335" t="s">
        <v>40</v>
      </c>
      <c r="D3335">
        <v>5.0914919999999997</v>
      </c>
      <c r="E3335">
        <v>0.52394779999999996</v>
      </c>
      <c r="F3335" t="s">
        <v>55</v>
      </c>
      <c r="G3335">
        <v>-168.41200000000001</v>
      </c>
      <c r="H3335">
        <v>1.6970670000000001</v>
      </c>
      <c r="I3335">
        <v>203.64080000000001</v>
      </c>
      <c r="J3335">
        <v>-294.14690000000002</v>
      </c>
      <c r="K3335">
        <v>1.109335</v>
      </c>
      <c r="L3335">
        <v>213.9297</v>
      </c>
      <c r="M3335">
        <v>0.9995908</v>
      </c>
      <c r="N3335">
        <v>0</v>
      </c>
      <c r="O3335">
        <v>2.5670780000000001E-2</v>
      </c>
      <c r="P3335">
        <v>0.99971750000000004</v>
      </c>
      <c r="Q3335">
        <v>-9.7483580000000004E-3</v>
      </c>
      <c r="R3335">
        <v>-2.169047E-2</v>
      </c>
      <c r="S3335">
        <v>2.9956670000000001</v>
      </c>
      <c r="T3335">
        <v>1.3962509999999999E-2</v>
      </c>
      <c r="U3335">
        <v>-0.2441711</v>
      </c>
      <c r="V3335">
        <v>4.735118E-2</v>
      </c>
      <c r="W3335">
        <v>2.8231739999999999E-3</v>
      </c>
      <c r="X3335">
        <v>0.99887429999999999</v>
      </c>
      <c r="Y3335">
        <v>0.1067985</v>
      </c>
      <c r="Z3335">
        <v>3.6795639999999999E-4</v>
      </c>
      <c r="AA3335">
        <v>0.99428059999999996</v>
      </c>
      <c r="AB3335">
        <v>39</v>
      </c>
      <c r="AC3335">
        <v>125.7349</v>
      </c>
      <c r="AD3335">
        <v>0.58773199999999903</v>
      </c>
      <c r="AE3335">
        <v>-10.2888999999999</v>
      </c>
      <c r="AF3335">
        <v>13.513185452628999</v>
      </c>
      <c r="AG3335">
        <v>0.58773199999999903</v>
      </c>
      <c r="AH3335">
        <v>125.42659018257</v>
      </c>
      <c r="AI3335">
        <v>89.7330664234468</v>
      </c>
      <c r="AJ3335">
        <v>83.850797463392496</v>
      </c>
      <c r="AK3335">
        <v>126.153799525846</v>
      </c>
      <c r="AL3335">
        <v>89.838243827809805</v>
      </c>
      <c r="AM3335">
        <v>87.285951517503406</v>
      </c>
      <c r="AN3335">
        <v>0.99999998587965799</v>
      </c>
    </row>
    <row r="3336" spans="1:40" x14ac:dyDescent="0.25">
      <c r="A3336" t="str">
        <f>"20190312161031094"</f>
        <v>20190312161031094</v>
      </c>
      <c r="B3336" t="str">
        <f>"1552378231089552"</f>
        <v>1552378231089552</v>
      </c>
      <c r="C3336" t="s">
        <v>40</v>
      </c>
      <c r="D3336">
        <v>5.1208749999999998</v>
      </c>
      <c r="E3336">
        <v>0.52524749999999998</v>
      </c>
      <c r="F3336" t="s">
        <v>55</v>
      </c>
      <c r="G3336">
        <v>-168.4119</v>
      </c>
      <c r="H3336">
        <v>0.95542910000000003</v>
      </c>
      <c r="I3336">
        <v>203.14410000000001</v>
      </c>
      <c r="J3336">
        <v>-293.75139999999999</v>
      </c>
      <c r="K3336">
        <v>1.109359</v>
      </c>
      <c r="L3336">
        <v>213.93950000000001</v>
      </c>
      <c r="M3336">
        <v>0.99959679999999995</v>
      </c>
      <c r="N3336">
        <v>0</v>
      </c>
      <c r="O3336">
        <v>2.5293969999999999E-2</v>
      </c>
      <c r="P3336">
        <v>0.99969430000000004</v>
      </c>
      <c r="Q3336">
        <v>-1.0277029999999999E-2</v>
      </c>
      <c r="R3336">
        <v>-2.2489740000000001E-2</v>
      </c>
      <c r="S3336">
        <v>2.9951780000000001</v>
      </c>
      <c r="T3336">
        <v>-3.6654470000000001E-3</v>
      </c>
      <c r="U3336">
        <v>-0.25692749999999998</v>
      </c>
      <c r="V3336">
        <v>4.7773160000000002E-2</v>
      </c>
      <c r="W3336">
        <v>2.5690209999999999E-3</v>
      </c>
      <c r="X3336">
        <v>0.99885489999999999</v>
      </c>
      <c r="Y3336">
        <v>0.11064259999999999</v>
      </c>
      <c r="Z3336" s="1">
        <v>-9.8483189999999999E-5</v>
      </c>
      <c r="AA3336">
        <v>0.99386019999999997</v>
      </c>
      <c r="AB3336">
        <v>39</v>
      </c>
      <c r="AC3336">
        <v>125.3395</v>
      </c>
      <c r="AD3336">
        <v>-0.15392990000000001</v>
      </c>
      <c r="AE3336">
        <v>-10.795400000000001</v>
      </c>
      <c r="AF3336">
        <v>13.9625220423192</v>
      </c>
      <c r="AG3336">
        <v>-0.15392990000000001</v>
      </c>
      <c r="AH3336">
        <v>125.026123313913</v>
      </c>
      <c r="AI3336">
        <v>90.070105677036494</v>
      </c>
      <c r="AJ3336">
        <v>83.627791806843803</v>
      </c>
      <c r="AK3336">
        <v>125.80344680135801</v>
      </c>
      <c r="AL3336">
        <v>89.852805776273897</v>
      </c>
      <c r="AM3336">
        <v>87.261748251074593</v>
      </c>
      <c r="AN3336">
        <v>0.99999999296964703</v>
      </c>
    </row>
    <row r="3337" spans="1:40" x14ac:dyDescent="0.25">
      <c r="A3337" t="str">
        <f>"20190312161031139"</f>
        <v>20190312161031139</v>
      </c>
      <c r="B3337" t="str">
        <f>"1552378231129569"</f>
        <v>1552378231129569</v>
      </c>
      <c r="C3337" t="s">
        <v>40</v>
      </c>
      <c r="D3337">
        <v>5.0983359999999998</v>
      </c>
      <c r="E3337">
        <v>0.52618900000000002</v>
      </c>
      <c r="F3337" t="s">
        <v>55</v>
      </c>
      <c r="G3337">
        <v>-168.4118</v>
      </c>
      <c r="H3337">
        <v>0.18991849999999999</v>
      </c>
      <c r="I3337">
        <v>202.6738</v>
      </c>
      <c r="J3337">
        <v>-292.95119999999997</v>
      </c>
      <c r="K3337">
        <v>1.1093980000000001</v>
      </c>
      <c r="L3337">
        <v>213.9589</v>
      </c>
      <c r="M3337">
        <v>0.99960950000000004</v>
      </c>
      <c r="N3337">
        <v>0</v>
      </c>
      <c r="O3337">
        <v>2.4528870000000001E-2</v>
      </c>
      <c r="P3337">
        <v>0.99967470000000003</v>
      </c>
      <c r="Q3337">
        <v>-1.029221E-2</v>
      </c>
      <c r="R3337">
        <v>-2.333998E-2</v>
      </c>
      <c r="S3337">
        <v>2.994659</v>
      </c>
      <c r="T3337">
        <v>-2.196681E-2</v>
      </c>
      <c r="U3337">
        <v>-0.26916499999999999</v>
      </c>
      <c r="V3337">
        <v>4.7858949999999997E-2</v>
      </c>
      <c r="W3337">
        <v>3.0406109999999999E-3</v>
      </c>
      <c r="X3337">
        <v>0.99884949999999995</v>
      </c>
      <c r="Y3337">
        <v>0.1139228</v>
      </c>
      <c r="Z3337">
        <v>-5.9659939999999999E-4</v>
      </c>
      <c r="AA3337">
        <v>0.99348939999999997</v>
      </c>
      <c r="AB3337">
        <v>39</v>
      </c>
      <c r="AC3337">
        <v>124.53939999999901</v>
      </c>
      <c r="AD3337">
        <v>-0.91947950000000001</v>
      </c>
      <c r="AE3337">
        <v>-11.2851</v>
      </c>
      <c r="AF3337">
        <v>14.336013344250301</v>
      </c>
      <c r="AG3337">
        <v>-0.91947950000000001</v>
      </c>
      <c r="AH3337">
        <v>124.218370653374</v>
      </c>
      <c r="AI3337">
        <v>90.421306195630805</v>
      </c>
      <c r="AJ3337">
        <v>83.416633142216398</v>
      </c>
      <c r="AK3337">
        <v>125.046272751076</v>
      </c>
      <c r="AL3337">
        <v>89.825785558300097</v>
      </c>
      <c r="AM3337">
        <v>87.256823654960101</v>
      </c>
      <c r="AN3337">
        <v>1.0000000240303</v>
      </c>
    </row>
    <row r="3338" spans="1:40" x14ac:dyDescent="0.25">
      <c r="A3338" t="str">
        <f>"20190312161031159"</f>
        <v>20190312161031159</v>
      </c>
      <c r="B3338" t="str">
        <f>"1552378231150061"</f>
        <v>1552378231150061</v>
      </c>
      <c r="C3338" t="s">
        <v>40</v>
      </c>
      <c r="D3338">
        <v>5.1313110000000002</v>
      </c>
      <c r="E3338">
        <v>0.52633529999999995</v>
      </c>
      <c r="F3338" t="s">
        <v>59</v>
      </c>
      <c r="G3338">
        <v>-184.39519999999999</v>
      </c>
      <c r="H3338" s="1">
        <v>5.21622499999999E-6</v>
      </c>
      <c r="I3338">
        <v>203.8443</v>
      </c>
      <c r="J3338">
        <v>-292.58580000000001</v>
      </c>
      <c r="K3338">
        <v>1.1094029999999999</v>
      </c>
      <c r="L3338">
        <v>213.9675</v>
      </c>
      <c r="M3338">
        <v>0.99961540000000004</v>
      </c>
      <c r="N3338">
        <v>0</v>
      </c>
      <c r="O3338">
        <v>2.4176980000000001E-2</v>
      </c>
      <c r="P3338">
        <v>0.99966060000000001</v>
      </c>
      <c r="Q3338">
        <v>-1.029264E-2</v>
      </c>
      <c r="R3338">
        <v>-2.3933099999999999E-2</v>
      </c>
      <c r="S3338">
        <v>2.9941409999999999</v>
      </c>
      <c r="T3338">
        <v>-3.0598759999999999E-2</v>
      </c>
      <c r="U3338">
        <v>-0.27897640000000001</v>
      </c>
      <c r="V3338">
        <v>4.8100289999999997E-2</v>
      </c>
      <c r="W3338">
        <v>3.230391E-3</v>
      </c>
      <c r="X3338">
        <v>0.99883730000000004</v>
      </c>
      <c r="Y3338">
        <v>0.11681279999999999</v>
      </c>
      <c r="Z3338">
        <v>-8.4219320000000005E-4</v>
      </c>
      <c r="AA3338">
        <v>0.99315359999999997</v>
      </c>
      <c r="AB3338">
        <v>39</v>
      </c>
      <c r="AC3338">
        <v>108.1906</v>
      </c>
      <c r="AD3338">
        <v>-1.109397783775</v>
      </c>
      <c r="AE3338">
        <v>-10.123199999999899</v>
      </c>
      <c r="AF3338">
        <v>12.7348763140832</v>
      </c>
      <c r="AG3338">
        <v>-1.109397783775</v>
      </c>
      <c r="AH3338">
        <v>107.902951256157</v>
      </c>
      <c r="AI3338">
        <v>90.585002496026306</v>
      </c>
      <c r="AJ3338">
        <v>83.268998830122698</v>
      </c>
      <c r="AK3338">
        <v>108.657511143806</v>
      </c>
      <c r="AL3338">
        <v>89.8149119099415</v>
      </c>
      <c r="AM3338">
        <v>87.242978210688904</v>
      </c>
      <c r="AN3338">
        <v>1.00000001259769</v>
      </c>
    </row>
    <row r="3339" spans="1:40" x14ac:dyDescent="0.25">
      <c r="A3339" t="str">
        <f>"20190312161031182"</f>
        <v>20190312161031182</v>
      </c>
      <c r="B3339" t="str">
        <f>"1552378231169583"</f>
        <v>1552378231169583</v>
      </c>
      <c r="C3339" t="s">
        <v>40</v>
      </c>
      <c r="D3339">
        <v>5.1502749999999997</v>
      </c>
      <c r="E3339">
        <v>0.52625840000000002</v>
      </c>
      <c r="F3339" t="s">
        <v>59</v>
      </c>
      <c r="G3339">
        <v>-187.82159999999999</v>
      </c>
      <c r="H3339" s="1">
        <v>5.8812550000000002E-6</v>
      </c>
      <c r="I3339">
        <v>204.1122</v>
      </c>
      <c r="J3339">
        <v>-292.20069999999998</v>
      </c>
      <c r="K3339">
        <v>1.1094010000000001</v>
      </c>
      <c r="L3339">
        <v>213.97649999999999</v>
      </c>
      <c r="M3339">
        <v>0.99962200000000001</v>
      </c>
      <c r="N3339">
        <v>0</v>
      </c>
      <c r="O3339">
        <v>2.3800789999999999E-2</v>
      </c>
      <c r="P3339">
        <v>0.99963500000000005</v>
      </c>
      <c r="Q3339">
        <v>-1.1539249999999999E-2</v>
      </c>
      <c r="R3339">
        <v>-2.443801E-2</v>
      </c>
      <c r="S3339">
        <v>2.9939580000000001</v>
      </c>
      <c r="T3339">
        <v>-3.1704429999999999E-2</v>
      </c>
      <c r="U3339">
        <v>-0.28164670000000003</v>
      </c>
      <c r="V3339">
        <v>4.8227529999999998E-2</v>
      </c>
      <c r="W3339">
        <v>2.163711E-3</v>
      </c>
      <c r="X3339">
        <v>0.998834</v>
      </c>
      <c r="Y3339">
        <v>0.1173223</v>
      </c>
      <c r="Z3339">
        <v>-8.7135679999999897E-4</v>
      </c>
      <c r="AA3339">
        <v>0.99309349999999996</v>
      </c>
      <c r="AB3339">
        <v>39</v>
      </c>
      <c r="AC3339">
        <v>104.37909999999999</v>
      </c>
      <c r="AD3339">
        <v>-1.109395118745</v>
      </c>
      <c r="AE3339">
        <v>-9.8642999999999805</v>
      </c>
      <c r="AF3339">
        <v>12.3446632581303</v>
      </c>
      <c r="AG3339">
        <v>-1.109395118745</v>
      </c>
      <c r="AH3339">
        <v>104.103069688792</v>
      </c>
      <c r="AI3339">
        <v>90.606313153681796</v>
      </c>
      <c r="AJ3339">
        <v>83.237379254186607</v>
      </c>
      <c r="AK3339">
        <v>104.83830686879401</v>
      </c>
      <c r="AL3339">
        <v>89.876028390905603</v>
      </c>
      <c r="AM3339">
        <v>87.235687222268098</v>
      </c>
      <c r="AN3339">
        <v>0.99999996792559498</v>
      </c>
    </row>
    <row r="3340" spans="1:40" x14ac:dyDescent="0.25">
      <c r="A3340" t="str">
        <f>"20190312161031205"</f>
        <v>20190312161031205</v>
      </c>
      <c r="B3340" t="str">
        <f>"1552378231199838"</f>
        <v>1552378231199838</v>
      </c>
      <c r="C3340" t="s">
        <v>40</v>
      </c>
      <c r="D3340">
        <v>5.199122</v>
      </c>
      <c r="E3340">
        <v>0.52586959999999905</v>
      </c>
      <c r="F3340" t="s">
        <v>61</v>
      </c>
      <c r="G3340">
        <v>-220.04040000000001</v>
      </c>
      <c r="H3340">
        <v>8.0001779999999995E-2</v>
      </c>
      <c r="I3340">
        <v>207.16370000000001</v>
      </c>
      <c r="J3340">
        <v>-291.7955</v>
      </c>
      <c r="K3340">
        <v>1.109402</v>
      </c>
      <c r="L3340">
        <v>213.98580000000001</v>
      </c>
      <c r="M3340">
        <v>0.9996292</v>
      </c>
      <c r="N3340">
        <v>0</v>
      </c>
      <c r="O3340">
        <v>2.339801E-2</v>
      </c>
      <c r="P3340">
        <v>0.99963650000000004</v>
      </c>
      <c r="Q3340">
        <v>-1.1280500000000001E-2</v>
      </c>
      <c r="R3340">
        <v>-2.449579E-2</v>
      </c>
      <c r="S3340">
        <v>2.993652</v>
      </c>
      <c r="T3340">
        <v>-4.2705769999999997E-2</v>
      </c>
      <c r="U3340">
        <v>-0.28263850000000001</v>
      </c>
      <c r="V3340">
        <v>4.7883340000000003E-2</v>
      </c>
      <c r="W3340">
        <v>2.5900020000000001E-3</v>
      </c>
      <c r="X3340">
        <v>0.9988496</v>
      </c>
      <c r="Y3340">
        <v>0.11725140000000001</v>
      </c>
      <c r="Z3340">
        <v>-1.167551E-3</v>
      </c>
      <c r="AA3340">
        <v>0.99310160000000003</v>
      </c>
      <c r="AB3340">
        <v>39</v>
      </c>
      <c r="AC3340">
        <v>71.755099999999999</v>
      </c>
      <c r="AD3340">
        <v>-1.0294002200000001</v>
      </c>
      <c r="AE3340">
        <v>-6.8220999999999998</v>
      </c>
      <c r="AF3340">
        <v>8.4975881606199497</v>
      </c>
      <c r="AG3340">
        <v>-1.0294002200000001</v>
      </c>
      <c r="AH3340">
        <v>71.561216720181903</v>
      </c>
      <c r="AI3340">
        <v>90.818387765945403</v>
      </c>
      <c r="AJ3340">
        <v>83.228081883826903</v>
      </c>
      <c r="AK3340">
        <v>72.071328611544899</v>
      </c>
      <c r="AL3340">
        <v>89.851603653956204</v>
      </c>
      <c r="AM3340">
        <v>87.255428081801995</v>
      </c>
      <c r="AN3340">
        <v>1.0000000228900301</v>
      </c>
    </row>
    <row r="3341" spans="1:40" x14ac:dyDescent="0.25">
      <c r="A3341" t="str">
        <f>"20190312161031228"</f>
        <v>20190312161031228</v>
      </c>
      <c r="B3341" t="str">
        <f>"1552378231219358"</f>
        <v>1552378231219358</v>
      </c>
      <c r="C3341" t="s">
        <v>40</v>
      </c>
      <c r="D3341">
        <v>5.1377490000000003</v>
      </c>
      <c r="E3341">
        <v>0.52571459999999903</v>
      </c>
      <c r="F3341" t="s">
        <v>59</v>
      </c>
      <c r="G3341">
        <v>-202.54409999999999</v>
      </c>
      <c r="H3341">
        <v>8.0001379999999997E-2</v>
      </c>
      <c r="I3341">
        <v>205.64490000000001</v>
      </c>
      <c r="J3341">
        <v>-291.39909999999998</v>
      </c>
      <c r="K3341">
        <v>1.1094059999999999</v>
      </c>
      <c r="L3341">
        <v>213.99469999999999</v>
      </c>
      <c r="M3341">
        <v>0.99963639999999998</v>
      </c>
      <c r="N3341">
        <v>0</v>
      </c>
      <c r="O3341">
        <v>2.2997819999999999E-2</v>
      </c>
      <c r="P3341">
        <v>0.99964969999999997</v>
      </c>
      <c r="Q3341">
        <v>-1.1081219999999999E-2</v>
      </c>
      <c r="R3341">
        <v>-2.4036499999999999E-2</v>
      </c>
      <c r="S3341">
        <v>2.9938349999999998</v>
      </c>
      <c r="T3341">
        <v>-3.4530039999999998E-2</v>
      </c>
      <c r="U3341">
        <v>-0.27978520000000001</v>
      </c>
      <c r="V3341">
        <v>4.7025160000000003E-2</v>
      </c>
      <c r="W3341">
        <v>2.9328470000000001E-3</v>
      </c>
      <c r="X3341">
        <v>0.99888940000000004</v>
      </c>
      <c r="Y3341">
        <v>0.1159149</v>
      </c>
      <c r="Z3341">
        <v>-9.3173379999999997E-4</v>
      </c>
      <c r="AA3341">
        <v>0.99325870000000005</v>
      </c>
      <c r="AB3341">
        <v>39</v>
      </c>
      <c r="AC3341">
        <v>88.854999999999905</v>
      </c>
      <c r="AD3341">
        <v>-1.02940462</v>
      </c>
      <c r="AE3341">
        <v>-8.3497999999999806</v>
      </c>
      <c r="AF3341">
        <v>10.389882672791501</v>
      </c>
      <c r="AG3341">
        <v>-1.02940462</v>
      </c>
      <c r="AH3341">
        <v>88.6276570727901</v>
      </c>
      <c r="AI3341">
        <v>90.660931225723601</v>
      </c>
      <c r="AJ3341">
        <v>83.313694005639405</v>
      </c>
      <c r="AK3341">
        <v>89.240522936825798</v>
      </c>
      <c r="AL3341">
        <v>89.831960004098406</v>
      </c>
      <c r="AM3341">
        <v>87.304651182126094</v>
      </c>
      <c r="AN3341">
        <v>1.0000000003484499</v>
      </c>
    </row>
    <row r="3342" spans="1:40" x14ac:dyDescent="0.25">
      <c r="A3342" t="str">
        <f>"20190312161031249"</f>
        <v>20190312161031249</v>
      </c>
      <c r="B3342" t="str">
        <f>"1552378231239854"</f>
        <v>1552378231239854</v>
      </c>
      <c r="C3342" t="s">
        <v>40</v>
      </c>
      <c r="D3342">
        <v>5.0291189999999997</v>
      </c>
      <c r="E3342">
        <v>0.52576089999999998</v>
      </c>
      <c r="F3342" t="s">
        <v>59</v>
      </c>
      <c r="G3342">
        <v>-179.95779999999999</v>
      </c>
      <c r="H3342">
        <v>1.353939E-2</v>
      </c>
      <c r="I3342">
        <v>203.6688</v>
      </c>
      <c r="J3342">
        <v>-291.0265</v>
      </c>
      <c r="K3342">
        <v>1.109415</v>
      </c>
      <c r="L3342">
        <v>214.00290000000001</v>
      </c>
      <c r="M3342">
        <v>0.99964339999999996</v>
      </c>
      <c r="N3342">
        <v>0</v>
      </c>
      <c r="O3342">
        <v>2.2618920000000001E-2</v>
      </c>
      <c r="P3342">
        <v>0.99963230000000003</v>
      </c>
      <c r="Q3342">
        <v>-1.167642E-2</v>
      </c>
      <c r="R3342">
        <v>-2.4477059999999998E-2</v>
      </c>
      <c r="S3342">
        <v>2.994049</v>
      </c>
      <c r="T3342">
        <v>-2.944219E-2</v>
      </c>
      <c r="U3342">
        <v>-0.27742</v>
      </c>
      <c r="V3342">
        <v>4.7086280000000001E-2</v>
      </c>
      <c r="W3342">
        <v>2.4550570000000001E-3</v>
      </c>
      <c r="X3342">
        <v>0.99888779999999999</v>
      </c>
      <c r="Y3342">
        <v>0.1147565</v>
      </c>
      <c r="Z3342">
        <v>-7.8502379999999998E-4</v>
      </c>
      <c r="AA3342">
        <v>0.99339339999999998</v>
      </c>
      <c r="AB3342">
        <v>39</v>
      </c>
      <c r="AC3342">
        <v>111.06870000000001</v>
      </c>
      <c r="AD3342">
        <v>-1.09587561</v>
      </c>
      <c r="AE3342">
        <v>-10.334099999999999</v>
      </c>
      <c r="AF3342">
        <v>12.8427232019857</v>
      </c>
      <c r="AG3342">
        <v>-1.09587561</v>
      </c>
      <c r="AH3342">
        <v>110.79581519279</v>
      </c>
      <c r="AI3342">
        <v>90.562922250105999</v>
      </c>
      <c r="AJ3342">
        <v>83.388156270260595</v>
      </c>
      <c r="AK3342">
        <v>111.543037195651</v>
      </c>
      <c r="AL3342">
        <v>89.859335452869104</v>
      </c>
      <c r="AM3342">
        <v>87.301148816713095</v>
      </c>
      <c r="AN3342">
        <v>0.99999999102897497</v>
      </c>
    </row>
    <row r="3343" spans="1:40" x14ac:dyDescent="0.25">
      <c r="A3343" t="str">
        <f>"20190312161031272"</f>
        <v>20190312161031272</v>
      </c>
      <c r="B3343" t="str">
        <f>"1552378231259374"</f>
        <v>1552378231259374</v>
      </c>
      <c r="C3343" t="s">
        <v>40</v>
      </c>
      <c r="D3343">
        <v>5.0265969999999998</v>
      </c>
      <c r="E3343">
        <v>0.52600290000000005</v>
      </c>
      <c r="F3343" t="s">
        <v>59</v>
      </c>
      <c r="G3343">
        <v>-186.4469</v>
      </c>
      <c r="H3343" s="1">
        <v>5.5251050000000002E-6</v>
      </c>
      <c r="I3343">
        <v>204.25739999999999</v>
      </c>
      <c r="J3343">
        <v>-290.64229999999998</v>
      </c>
      <c r="K3343">
        <v>1.1094219999999999</v>
      </c>
      <c r="L3343">
        <v>214.0112</v>
      </c>
      <c r="M3343">
        <v>0.99965079999999995</v>
      </c>
      <c r="N3343">
        <v>0</v>
      </c>
      <c r="O3343">
        <v>2.2226530000000001E-2</v>
      </c>
      <c r="P3343">
        <v>0.99960950000000004</v>
      </c>
      <c r="Q3343">
        <v>-1.209526E-2</v>
      </c>
      <c r="R3343">
        <v>-2.519337E-2</v>
      </c>
      <c r="S3343">
        <v>2.9938959999999999</v>
      </c>
      <c r="T3343">
        <v>-3.1760099999999999E-2</v>
      </c>
      <c r="U3343">
        <v>-0.27899170000000001</v>
      </c>
      <c r="V3343">
        <v>4.740954E-2</v>
      </c>
      <c r="W3343">
        <v>2.1412990000000002E-3</v>
      </c>
      <c r="X3343">
        <v>0.99887320000000002</v>
      </c>
      <c r="Y3343">
        <v>0.11488719999999999</v>
      </c>
      <c r="Z3343">
        <v>-8.433828E-4</v>
      </c>
      <c r="AA3343">
        <v>0.99337819999999999</v>
      </c>
      <c r="AB3343">
        <v>39</v>
      </c>
      <c r="AC3343">
        <v>104.195399999999</v>
      </c>
      <c r="AD3343">
        <v>-1.1094164748949999</v>
      </c>
      <c r="AE3343">
        <v>-9.7538000000000107</v>
      </c>
      <c r="AF3343">
        <v>12.066172633049399</v>
      </c>
      <c r="AG3343">
        <v>-1.1094164748949999</v>
      </c>
      <c r="AH3343">
        <v>103.941157770464</v>
      </c>
      <c r="AI3343">
        <v>90.607444588128899</v>
      </c>
      <c r="AJ3343">
        <v>83.3783678326228</v>
      </c>
      <c r="AK3343">
        <v>104.645055332729</v>
      </c>
      <c r="AL3343">
        <v>89.877312505918198</v>
      </c>
      <c r="AM3343">
        <v>87.282608494410496</v>
      </c>
      <c r="AN3343">
        <v>0.99999995966132804</v>
      </c>
    </row>
    <row r="3344" spans="1:40" x14ac:dyDescent="0.25">
      <c r="A3344" t="str">
        <f>"20190312161031296"</f>
        <v>20190312161031296</v>
      </c>
      <c r="B3344" t="str">
        <f>"1552378231289630"</f>
        <v>1552378231289630</v>
      </c>
      <c r="C3344" t="s">
        <v>40</v>
      </c>
      <c r="D3344">
        <v>5.0634790000000001</v>
      </c>
      <c r="E3344">
        <v>0.52614659999999902</v>
      </c>
      <c r="F3344" t="s">
        <v>59</v>
      </c>
      <c r="G3344">
        <v>-206.96719999999999</v>
      </c>
      <c r="H3344">
        <v>8.0000890000000005E-2</v>
      </c>
      <c r="I3344">
        <v>206.1018</v>
      </c>
      <c r="J3344">
        <v>-290.2269</v>
      </c>
      <c r="K3344">
        <v>1.109429</v>
      </c>
      <c r="L3344">
        <v>214.02</v>
      </c>
      <c r="M3344">
        <v>0.99965879999999996</v>
      </c>
      <c r="N3344">
        <v>0</v>
      </c>
      <c r="O3344">
        <v>2.1800940000000001E-2</v>
      </c>
      <c r="P3344">
        <v>0.99960369999999998</v>
      </c>
      <c r="Q3344">
        <v>-1.2295230000000001E-2</v>
      </c>
      <c r="R3344">
        <v>-2.532529E-2</v>
      </c>
      <c r="S3344">
        <v>2.9936219999999998</v>
      </c>
      <c r="T3344">
        <v>-3.6829349999999997E-2</v>
      </c>
      <c r="U3344">
        <v>-0.28297420000000001</v>
      </c>
      <c r="V3344">
        <v>4.7116190000000002E-2</v>
      </c>
      <c r="W3344">
        <v>2.0402100000000002E-3</v>
      </c>
      <c r="X3344">
        <v>0.99888739999999998</v>
      </c>
      <c r="Y3344">
        <v>0.11577999999999999</v>
      </c>
      <c r="Z3344">
        <v>-9.7826959999999991E-4</v>
      </c>
      <c r="AA3344">
        <v>0.9932744</v>
      </c>
      <c r="AB3344">
        <v>39</v>
      </c>
      <c r="AC3344">
        <v>83.259699999999995</v>
      </c>
      <c r="AD3344">
        <v>-1.02942811</v>
      </c>
      <c r="AE3344">
        <v>-7.9182000000000103</v>
      </c>
      <c r="AF3344">
        <v>9.7301712053632095</v>
      </c>
      <c r="AG3344">
        <v>-1.02942811</v>
      </c>
      <c r="AH3344">
        <v>83.054682834400396</v>
      </c>
      <c r="AI3344">
        <v>90.705297774404301</v>
      </c>
      <c r="AJ3344">
        <v>83.318040947799801</v>
      </c>
      <c r="AK3344">
        <v>83.629039780701703</v>
      </c>
      <c r="AL3344">
        <v>89.883104504515202</v>
      </c>
      <c r="AM3344">
        <v>87.299435918179199</v>
      </c>
      <c r="AN3344">
        <v>1.00000006784785</v>
      </c>
    </row>
    <row r="3345" spans="1:40" x14ac:dyDescent="0.25">
      <c r="A3345" t="str">
        <f>"20190312161031320"</f>
        <v>20190312161031320</v>
      </c>
      <c r="B3345" t="str">
        <f>"1552378231310126"</f>
        <v>1552378231310126</v>
      </c>
      <c r="C3345" t="s">
        <v>40</v>
      </c>
      <c r="D3345">
        <v>5.2177660000000001</v>
      </c>
      <c r="E3345">
        <v>0.52615400000000001</v>
      </c>
      <c r="F3345" t="s">
        <v>59</v>
      </c>
      <c r="G3345">
        <v>-209.15690000000001</v>
      </c>
      <c r="H3345">
        <v>8.0000650000000006E-2</v>
      </c>
      <c r="I3345">
        <v>206.32149999999999</v>
      </c>
      <c r="J3345">
        <v>-289.80130000000003</v>
      </c>
      <c r="K3345">
        <v>1.1094329999999999</v>
      </c>
      <c r="L3345">
        <v>214.02889999999999</v>
      </c>
      <c r="M3345">
        <v>0.99966699999999997</v>
      </c>
      <c r="N3345">
        <v>0</v>
      </c>
      <c r="O3345">
        <v>2.1363340000000001E-2</v>
      </c>
      <c r="P3345">
        <v>0.99959229999999999</v>
      </c>
      <c r="Q3345">
        <v>-1.2057709999999999E-2</v>
      </c>
      <c r="R3345">
        <v>-2.5891009999999999E-2</v>
      </c>
      <c r="S3345">
        <v>2.9935299999999998</v>
      </c>
      <c r="T3345">
        <v>-3.8011910000000003E-2</v>
      </c>
      <c r="U3345">
        <v>-0.2842712</v>
      </c>
      <c r="V3345">
        <v>4.7244370000000001E-2</v>
      </c>
      <c r="W3345">
        <v>2.3639820000000001E-3</v>
      </c>
      <c r="X3345">
        <v>0.99888060000000001</v>
      </c>
      <c r="Y3345">
        <v>0.1157739</v>
      </c>
      <c r="Z3345">
        <v>-1.0041049999999999E-3</v>
      </c>
      <c r="AA3345">
        <v>0.99327509999999997</v>
      </c>
      <c r="AB3345">
        <v>39</v>
      </c>
      <c r="AC3345">
        <v>80.644400000000005</v>
      </c>
      <c r="AD3345">
        <v>-1.02943235</v>
      </c>
      <c r="AE3345">
        <v>-7.7073999999999998</v>
      </c>
      <c r="AF3345">
        <v>9.4271326386883896</v>
      </c>
      <c r="AG3345">
        <v>-1.02943235</v>
      </c>
      <c r="AH3345">
        <v>80.448328059988398</v>
      </c>
      <c r="AI3345">
        <v>90.728146087856004</v>
      </c>
      <c r="AJ3345">
        <v>83.316420994194004</v>
      </c>
      <c r="AK3345">
        <v>81.005333456496402</v>
      </c>
      <c r="AL3345">
        <v>89.864553687273599</v>
      </c>
      <c r="AM3345">
        <v>87.2920815241756</v>
      </c>
      <c r="AN3345">
        <v>1.0000000359819701</v>
      </c>
    </row>
    <row r="3346" spans="1:40" x14ac:dyDescent="0.25">
      <c r="A3346" t="str">
        <f>"20190312161031344"</f>
        <v>20190312161031344</v>
      </c>
      <c r="B3346" t="str">
        <f>"1552378231329646"</f>
        <v>1552378231329646</v>
      </c>
      <c r="C3346" t="s">
        <v>40</v>
      </c>
      <c r="D3346">
        <v>5.0393990000000004</v>
      </c>
      <c r="E3346">
        <v>0.5261209</v>
      </c>
      <c r="F3346" t="s">
        <v>59</v>
      </c>
      <c r="G3346">
        <v>-189.76650000000001</v>
      </c>
      <c r="H3346" s="1">
        <v>6.1889129999999999E-6</v>
      </c>
      <c r="I3346">
        <v>204.46180000000001</v>
      </c>
      <c r="J3346">
        <v>-289.3974</v>
      </c>
      <c r="K3346">
        <v>1.1094329999999999</v>
      </c>
      <c r="L3346">
        <v>214.03710000000001</v>
      </c>
      <c r="M3346">
        <v>0.99967470000000003</v>
      </c>
      <c r="N3346">
        <v>0</v>
      </c>
      <c r="O3346">
        <v>2.0946679999999999E-2</v>
      </c>
      <c r="P3346">
        <v>0.99959149999999997</v>
      </c>
      <c r="Q3346">
        <v>-1.143779E-2</v>
      </c>
      <c r="R3346">
        <v>-2.6193290000000001E-2</v>
      </c>
      <c r="S3346">
        <v>2.993439</v>
      </c>
      <c r="T3346">
        <v>-3.3198480000000002E-2</v>
      </c>
      <c r="U3346">
        <v>-0.28628540000000002</v>
      </c>
      <c r="V3346">
        <v>4.7131039999999999E-2</v>
      </c>
      <c r="W3346">
        <v>3.0534859999999998E-3</v>
      </c>
      <c r="X3346">
        <v>0.99888399999999999</v>
      </c>
      <c r="Y3346">
        <v>0.1160277</v>
      </c>
      <c r="Z3346">
        <v>-8.7375490000000001E-4</v>
      </c>
      <c r="AA3346">
        <v>0.99324559999999995</v>
      </c>
      <c r="AB3346">
        <v>39</v>
      </c>
      <c r="AC3346">
        <v>99.630899999999997</v>
      </c>
      <c r="AD3346">
        <v>-1.10942681108699</v>
      </c>
      <c r="AE3346">
        <v>-9.5753000000000004</v>
      </c>
      <c r="AF3346">
        <v>11.658923794756699</v>
      </c>
      <c r="AG3346">
        <v>-1.10942681108699</v>
      </c>
      <c r="AH3346">
        <v>99.396231813584706</v>
      </c>
      <c r="AI3346">
        <v>90.635135349438102</v>
      </c>
      <c r="AJ3346">
        <v>83.309922059687906</v>
      </c>
      <c r="AK3346">
        <v>100.08382601919701</v>
      </c>
      <c r="AL3346">
        <v>89.825047859144505</v>
      </c>
      <c r="AM3346">
        <v>87.298576838224704</v>
      </c>
      <c r="AN3346">
        <v>0.99999995208211501</v>
      </c>
    </row>
    <row r="3347" spans="1:40" x14ac:dyDescent="0.25">
      <c r="A3347" t="str">
        <f>"20190312161031365"</f>
        <v>20190312161031365</v>
      </c>
      <c r="B3347" t="str">
        <f>"1552378231359902"</f>
        <v>1552378231359902</v>
      </c>
      <c r="C3347" t="s">
        <v>40</v>
      </c>
      <c r="D3347">
        <v>4.9386609999999997</v>
      </c>
      <c r="E3347">
        <v>0.52629950000000003</v>
      </c>
      <c r="F3347" t="s">
        <v>59</v>
      </c>
      <c r="G3347">
        <v>-177.44370000000001</v>
      </c>
      <c r="H3347">
        <v>8.0001379999999997E-2</v>
      </c>
      <c r="I3347">
        <v>203.298</v>
      </c>
      <c r="J3347">
        <v>-289.03379999999999</v>
      </c>
      <c r="K3347">
        <v>1.1094310000000001</v>
      </c>
      <c r="L3347">
        <v>214.0444</v>
      </c>
      <c r="M3347">
        <v>0.99968170000000001</v>
      </c>
      <c r="N3347">
        <v>0</v>
      </c>
      <c r="O3347">
        <v>2.057086E-2</v>
      </c>
      <c r="P3347">
        <v>0.99959070000000005</v>
      </c>
      <c r="Q3347">
        <v>-1.2060960000000001E-2</v>
      </c>
      <c r="R3347">
        <v>-2.5942219999999998E-2</v>
      </c>
      <c r="S3347">
        <v>2.9933779999999999</v>
      </c>
      <c r="T3347">
        <v>-2.7524590000000002E-2</v>
      </c>
      <c r="U3347">
        <v>-0.2871399</v>
      </c>
      <c r="V3347">
        <v>4.6504040000000003E-2</v>
      </c>
      <c r="W3347">
        <v>2.4850979999999998E-3</v>
      </c>
      <c r="X3347">
        <v>0.998915</v>
      </c>
      <c r="Y3347">
        <v>0.115939899999999</v>
      </c>
      <c r="Z3347">
        <v>-7.205833E-4</v>
      </c>
      <c r="AA3347">
        <v>0.99325600000000003</v>
      </c>
      <c r="AB3347">
        <v>39</v>
      </c>
      <c r="AC3347">
        <v>111.590099999999</v>
      </c>
      <c r="AD3347">
        <v>-1.0294296199999999</v>
      </c>
      <c r="AE3347">
        <v>-10.7463999999999</v>
      </c>
      <c r="AF3347">
        <v>13.0387753374045</v>
      </c>
      <c r="AG3347">
        <v>-1.0294296199999999</v>
      </c>
      <c r="AH3347">
        <v>111.336008038841</v>
      </c>
      <c r="AI3347">
        <v>90.526154705011194</v>
      </c>
      <c r="AJ3347">
        <v>83.320406832502599</v>
      </c>
      <c r="AK3347">
        <v>112.10163278769301</v>
      </c>
      <c r="AL3347">
        <v>89.857614224849399</v>
      </c>
      <c r="AM3347">
        <v>87.334545196204104</v>
      </c>
      <c r="AN3347">
        <v>0.99999998933669498</v>
      </c>
    </row>
    <row r="3348" spans="1:40" x14ac:dyDescent="0.25">
      <c r="A3348" t="str">
        <f>"20190312161031383"</f>
        <v>20190312161031383</v>
      </c>
      <c r="B3348" t="str">
        <f>"1552378231379422"</f>
        <v>1552378231379422</v>
      </c>
      <c r="C3348" t="s">
        <v>40</v>
      </c>
      <c r="D3348">
        <v>4.9612730000000003</v>
      </c>
      <c r="E3348">
        <v>0.52657229999999999</v>
      </c>
      <c r="F3348" t="s">
        <v>55</v>
      </c>
      <c r="G3348">
        <v>-168.4118</v>
      </c>
      <c r="H3348">
        <v>4.866409E-2</v>
      </c>
      <c r="I3348">
        <v>202.43889999999999</v>
      </c>
      <c r="J3348">
        <v>-288.7054</v>
      </c>
      <c r="K3348">
        <v>1.1094280000000001</v>
      </c>
      <c r="L3348">
        <v>214.05080000000001</v>
      </c>
      <c r="M3348">
        <v>0.99968800000000002</v>
      </c>
      <c r="N3348">
        <v>0</v>
      </c>
      <c r="O3348">
        <v>2.0230310000000001E-2</v>
      </c>
      <c r="P3348">
        <v>0.99959109999999995</v>
      </c>
      <c r="Q3348">
        <v>-1.241979E-2</v>
      </c>
      <c r="R3348">
        <v>-2.5753330000000001E-2</v>
      </c>
      <c r="S3348">
        <v>2.993439</v>
      </c>
      <c r="T3348">
        <v>-2.6323909999999999E-2</v>
      </c>
      <c r="U3348">
        <v>-0.28800959999999998</v>
      </c>
      <c r="V3348">
        <v>4.597474E-2</v>
      </c>
      <c r="W3348">
        <v>2.1694330000000001E-3</v>
      </c>
      <c r="X3348">
        <v>0.99894019999999994</v>
      </c>
      <c r="Y3348">
        <v>0.115886</v>
      </c>
      <c r="Z3348">
        <v>-6.8590250000000001E-4</v>
      </c>
      <c r="AA3348">
        <v>0.99326230000000004</v>
      </c>
      <c r="AB3348">
        <v>39</v>
      </c>
      <c r="AC3348">
        <v>120.2936</v>
      </c>
      <c r="AD3348">
        <v>-1.0607639099999999</v>
      </c>
      <c r="AE3348">
        <v>-11.6119</v>
      </c>
      <c r="AF3348">
        <v>14.0422792635578</v>
      </c>
      <c r="AG3348">
        <v>-1.0607639099999999</v>
      </c>
      <c r="AH3348">
        <v>120.024791753819</v>
      </c>
      <c r="AI3348">
        <v>90.5029295400889</v>
      </c>
      <c r="AJ3348">
        <v>83.327026163093805</v>
      </c>
      <c r="AK3348">
        <v>120.848092506817</v>
      </c>
      <c r="AL3348">
        <v>89.8757005418408</v>
      </c>
      <c r="AM3348">
        <v>87.364906261269596</v>
      </c>
      <c r="AN3348">
        <v>0.999999953166823</v>
      </c>
    </row>
    <row r="3349" spans="1:40" x14ac:dyDescent="0.25">
      <c r="A3349" t="str">
        <f>"20190312161031406"</f>
        <v>20190312161031406</v>
      </c>
      <c r="B3349" t="str">
        <f>"1552378231399918"</f>
        <v>1552378231399918</v>
      </c>
      <c r="C3349" t="s">
        <v>40</v>
      </c>
      <c r="D3349">
        <v>4.9236040000000001</v>
      </c>
      <c r="E3349">
        <v>0.52681599999999995</v>
      </c>
      <c r="F3349" t="s">
        <v>55</v>
      </c>
      <c r="G3349">
        <v>-168.4119</v>
      </c>
      <c r="H3349">
        <v>7.8483579999999997E-2</v>
      </c>
      <c r="I3349">
        <v>202.417</v>
      </c>
      <c r="J3349">
        <v>-288.31459999999998</v>
      </c>
      <c r="K3349">
        <v>1.1094360000000001</v>
      </c>
      <c r="L3349">
        <v>214.0583</v>
      </c>
      <c r="M3349">
        <v>0.99969549999999996</v>
      </c>
      <c r="N3349">
        <v>0</v>
      </c>
      <c r="O3349">
        <v>1.9824310000000001E-2</v>
      </c>
      <c r="P3349">
        <v>0.9995946</v>
      </c>
      <c r="Q3349">
        <v>-1.252459E-2</v>
      </c>
      <c r="R3349">
        <v>-2.5574980000000001E-2</v>
      </c>
      <c r="S3349">
        <v>2.9934690000000002</v>
      </c>
      <c r="T3349">
        <v>-2.565396E-2</v>
      </c>
      <c r="U3349">
        <v>-0.28950500000000001</v>
      </c>
      <c r="V3349">
        <v>4.5390609999999998E-2</v>
      </c>
      <c r="W3349">
        <v>2.1088740000000002E-3</v>
      </c>
      <c r="X3349">
        <v>0.9989671</v>
      </c>
      <c r="Y3349">
        <v>0.1159736</v>
      </c>
      <c r="Z3349">
        <v>-6.6532560000000002E-4</v>
      </c>
      <c r="AA3349">
        <v>0.99325209999999997</v>
      </c>
      <c r="AB3349">
        <v>39</v>
      </c>
      <c r="AC3349">
        <v>119.902699999999</v>
      </c>
      <c r="AD3349">
        <v>-1.03095242</v>
      </c>
      <c r="AE3349">
        <v>-11.641299999999999</v>
      </c>
      <c r="AF3349">
        <v>14.015230216704101</v>
      </c>
      <c r="AG3349">
        <v>-1.03095242</v>
      </c>
      <c r="AH3349">
        <v>119.63956353429001</v>
      </c>
      <c r="AI3349">
        <v>90.490361278935893</v>
      </c>
      <c r="AJ3349">
        <v>83.318512690362994</v>
      </c>
      <c r="AK3349">
        <v>120.462088241882</v>
      </c>
      <c r="AL3349">
        <v>89.879170332024501</v>
      </c>
      <c r="AM3349">
        <v>87.398409990698696</v>
      </c>
      <c r="AN3349">
        <v>1.0000000108540601</v>
      </c>
    </row>
    <row r="3350" spans="1:40" x14ac:dyDescent="0.25">
      <c r="A3350" t="str">
        <f>"20190312161031429"</f>
        <v>20190312161031429</v>
      </c>
      <c r="B3350" t="str">
        <f>"1552378231419438"</f>
        <v>1552378231419438</v>
      </c>
      <c r="C3350" t="s">
        <v>40</v>
      </c>
      <c r="D3350">
        <v>4.8704530000000004</v>
      </c>
      <c r="E3350">
        <v>0.52708149999999998</v>
      </c>
      <c r="F3350" t="s">
        <v>55</v>
      </c>
      <c r="G3350">
        <v>-168.4119</v>
      </c>
      <c r="H3350">
        <v>0.16794010000000001</v>
      </c>
      <c r="I3350">
        <v>202.40039999999999</v>
      </c>
      <c r="J3350">
        <v>-287.9194</v>
      </c>
      <c r="K3350">
        <v>1.1094409999999999</v>
      </c>
      <c r="L3350">
        <v>214.0658</v>
      </c>
      <c r="M3350">
        <v>0.99970300000000001</v>
      </c>
      <c r="N3350">
        <v>0</v>
      </c>
      <c r="O3350">
        <v>1.9413420000000001E-2</v>
      </c>
      <c r="P3350">
        <v>0.99959439999999999</v>
      </c>
      <c r="Q3350">
        <v>-1.194359E-2</v>
      </c>
      <c r="R3350">
        <v>-2.5856629999999999E-2</v>
      </c>
      <c r="S3350">
        <v>2.993439</v>
      </c>
      <c r="T3350">
        <v>-2.350414E-2</v>
      </c>
      <c r="U3350">
        <v>-0.29104609999999997</v>
      </c>
      <c r="V3350">
        <v>4.5262169999999997E-2</v>
      </c>
      <c r="W3350">
        <v>2.72733E-3</v>
      </c>
      <c r="X3350">
        <v>0.99897139999999995</v>
      </c>
      <c r="Y3350">
        <v>0.1160737</v>
      </c>
      <c r="Z3350">
        <v>-6.0673620000000004E-4</v>
      </c>
      <c r="AA3350">
        <v>0.99324040000000002</v>
      </c>
      <c r="AB3350">
        <v>39</v>
      </c>
      <c r="AC3350">
        <v>119.50749999999999</v>
      </c>
      <c r="AD3350">
        <v>-0.94150089999999997</v>
      </c>
      <c r="AE3350">
        <v>-11.6654</v>
      </c>
      <c r="AF3350">
        <v>13.982642524719401</v>
      </c>
      <c r="AG3350">
        <v>-0.94150089999999997</v>
      </c>
      <c r="AH3350">
        <v>119.25115151236299</v>
      </c>
      <c r="AI3350">
        <v>90.449269349395706</v>
      </c>
      <c r="AJ3350">
        <v>83.3123925312034</v>
      </c>
      <c r="AK3350">
        <v>120.07180290535899</v>
      </c>
      <c r="AL3350">
        <v>89.843735304839797</v>
      </c>
      <c r="AM3350">
        <v>87.405772686246195</v>
      </c>
      <c r="AN3350">
        <v>0.99999998018999803</v>
      </c>
    </row>
    <row r="3351" spans="1:40" x14ac:dyDescent="0.25">
      <c r="A3351" t="str">
        <f>"20190312161031450"</f>
        <v>20190312161031450</v>
      </c>
      <c r="B3351" t="str">
        <f>"1552378231439934"</f>
        <v>1552378231439934</v>
      </c>
      <c r="C3351" t="s">
        <v>40</v>
      </c>
      <c r="D3351">
        <v>4.8542899999999998</v>
      </c>
      <c r="E3351">
        <v>0.52739320000000001</v>
      </c>
      <c r="F3351" t="s">
        <v>55</v>
      </c>
      <c r="G3351">
        <v>-168.41200000000001</v>
      </c>
      <c r="H3351">
        <v>0.305809</v>
      </c>
      <c r="I3351">
        <v>202.3272</v>
      </c>
      <c r="J3351">
        <v>-287.55489999999998</v>
      </c>
      <c r="K3351">
        <v>1.109453</v>
      </c>
      <c r="L3351">
        <v>214.07249999999999</v>
      </c>
      <c r="M3351">
        <v>0.99970999999999999</v>
      </c>
      <c r="N3351">
        <v>0</v>
      </c>
      <c r="O3351">
        <v>1.9033890000000001E-2</v>
      </c>
      <c r="P3351">
        <v>0.99959109999999995</v>
      </c>
      <c r="Q3351">
        <v>-1.1436760000000001E-2</v>
      </c>
      <c r="R3351">
        <v>-2.621447E-2</v>
      </c>
      <c r="S3351">
        <v>2.993347</v>
      </c>
      <c r="T3351">
        <v>-2.0128010000000002E-2</v>
      </c>
      <c r="U3351">
        <v>-0.29402159999999999</v>
      </c>
      <c r="V3351">
        <v>4.5241419999999997E-2</v>
      </c>
      <c r="W3351">
        <v>3.262816E-3</v>
      </c>
      <c r="X3351">
        <v>0.99897069999999999</v>
      </c>
      <c r="Y3351">
        <v>0.11667859999999999</v>
      </c>
      <c r="Z3351">
        <v>-5.1905980000000005E-4</v>
      </c>
      <c r="AA3351">
        <v>0.99316959999999999</v>
      </c>
      <c r="AB3351">
        <v>39</v>
      </c>
      <c r="AC3351">
        <v>119.142899999999</v>
      </c>
      <c r="AD3351">
        <v>-0.80364399999999903</v>
      </c>
      <c r="AE3351">
        <v>-11.745299999999901</v>
      </c>
      <c r="AF3351">
        <v>14.0105400885313</v>
      </c>
      <c r="AG3351">
        <v>-0.80364399999999903</v>
      </c>
      <c r="AH3351">
        <v>118.89237090272</v>
      </c>
      <c r="AI3351">
        <v>90.384619320343106</v>
      </c>
      <c r="AJ3351">
        <v>83.279134583622294</v>
      </c>
      <c r="AK3351">
        <v>119.717738602602</v>
      </c>
      <c r="AL3351">
        <v>89.813054072026901</v>
      </c>
      <c r="AM3351">
        <v>87.406958546260199</v>
      </c>
      <c r="AN3351">
        <v>0.99999994575517603</v>
      </c>
    </row>
    <row r="3352" spans="1:40" x14ac:dyDescent="0.25">
      <c r="A3352" t="str">
        <f>"20190312161031473"</f>
        <v>20190312161031473</v>
      </c>
      <c r="B3352" t="str">
        <f>"1552378231459455"</f>
        <v>1552378231459455</v>
      </c>
      <c r="C3352" t="s">
        <v>40</v>
      </c>
      <c r="D3352">
        <v>4.8800239999999997</v>
      </c>
      <c r="E3352">
        <v>0.5275628</v>
      </c>
      <c r="F3352" t="s">
        <v>55</v>
      </c>
      <c r="G3352">
        <v>-168.41200000000001</v>
      </c>
      <c r="H3352">
        <v>0.35595890000000002</v>
      </c>
      <c r="I3352">
        <v>202.2294</v>
      </c>
      <c r="J3352">
        <v>-287.173</v>
      </c>
      <c r="K3352">
        <v>1.1094619999999999</v>
      </c>
      <c r="L3352">
        <v>214.07939999999999</v>
      </c>
      <c r="M3352">
        <v>0.99971690000000002</v>
      </c>
      <c r="N3352">
        <v>0</v>
      </c>
      <c r="O3352">
        <v>1.863627E-2</v>
      </c>
      <c r="P3352">
        <v>0.99958619999999998</v>
      </c>
      <c r="Q3352">
        <v>-1.077086E-2</v>
      </c>
      <c r="R3352">
        <v>-2.6675319999999999E-2</v>
      </c>
      <c r="S3352">
        <v>2.9931950000000001</v>
      </c>
      <c r="T3352">
        <v>-1.8929000000000001E-2</v>
      </c>
      <c r="U3352">
        <v>-0.29753109999999999</v>
      </c>
      <c r="V3352">
        <v>4.5305459999999999E-2</v>
      </c>
      <c r="W3352">
        <v>3.9547030000000004E-3</v>
      </c>
      <c r="X3352">
        <v>0.99896529999999994</v>
      </c>
      <c r="Y3352">
        <v>0.11744209999999999</v>
      </c>
      <c r="Z3352">
        <v>-4.8803630000000001E-4</v>
      </c>
      <c r="AA3352">
        <v>0.99307959999999995</v>
      </c>
      <c r="AB3352">
        <v>39</v>
      </c>
      <c r="AC3352">
        <v>118.761</v>
      </c>
      <c r="AD3352">
        <v>-0.75350309999999998</v>
      </c>
      <c r="AE3352">
        <v>-11.8499999999999</v>
      </c>
      <c r="AF3352">
        <v>14.0608853537085</v>
      </c>
      <c r="AG3352">
        <v>-0.75350309999999998</v>
      </c>
      <c r="AH3352">
        <v>118.51478244554001</v>
      </c>
      <c r="AI3352">
        <v>90.361737991045999</v>
      </c>
      <c r="AJ3352">
        <v>83.233916010121405</v>
      </c>
      <c r="AK3352">
        <v>119.348355338335</v>
      </c>
      <c r="AL3352">
        <v>89.773411606343899</v>
      </c>
      <c r="AM3352">
        <v>87.403279054946793</v>
      </c>
      <c r="AN3352">
        <v>0.99999994749285803</v>
      </c>
    </row>
    <row r="3353" spans="1:40" x14ac:dyDescent="0.25">
      <c r="A3353" t="str">
        <f>"20190312161031496"</f>
        <v>20190312161031496</v>
      </c>
      <c r="B3353" t="str">
        <f>"1552378231489729"</f>
        <v>1552378231489729</v>
      </c>
      <c r="C3353" t="s">
        <v>40</v>
      </c>
      <c r="D3353">
        <v>4.8555970000000004</v>
      </c>
      <c r="E3353">
        <v>0.52796350000000003</v>
      </c>
      <c r="F3353" t="s">
        <v>55</v>
      </c>
      <c r="G3353">
        <v>-168.41210000000001</v>
      </c>
      <c r="H3353">
        <v>0.44219969999999997</v>
      </c>
      <c r="I3353">
        <v>202.16650000000001</v>
      </c>
      <c r="J3353">
        <v>-286.76260000000002</v>
      </c>
      <c r="K3353">
        <v>1.109477</v>
      </c>
      <c r="L3353">
        <v>214.0866</v>
      </c>
      <c r="M3353">
        <v>0.99972450000000002</v>
      </c>
      <c r="N3353">
        <v>0</v>
      </c>
      <c r="O3353">
        <v>1.8209039999999999E-2</v>
      </c>
      <c r="P3353">
        <v>0.99957260000000003</v>
      </c>
      <c r="Q3353">
        <v>-1.059438E-2</v>
      </c>
      <c r="R3353">
        <v>-2.724588E-2</v>
      </c>
      <c r="S3353">
        <v>2.993042</v>
      </c>
      <c r="T3353">
        <v>-1.681566E-2</v>
      </c>
      <c r="U3353">
        <v>-0.3002319</v>
      </c>
      <c r="V3353">
        <v>4.5449160000000002E-2</v>
      </c>
      <c r="W3353">
        <v>4.1544959999999997E-3</v>
      </c>
      <c r="X3353">
        <v>0.99895800000000001</v>
      </c>
      <c r="Y3353">
        <v>0.1179105</v>
      </c>
      <c r="Z3353">
        <v>-4.3247020000000003E-4</v>
      </c>
      <c r="AA3353">
        <v>0.99302409999999997</v>
      </c>
      <c r="AB3353">
        <v>38</v>
      </c>
      <c r="AC3353">
        <v>118.3505</v>
      </c>
      <c r="AD3353">
        <v>-0.66727729999999996</v>
      </c>
      <c r="AE3353">
        <v>-11.9200999999999</v>
      </c>
      <c r="AF3353">
        <v>14.072965753178</v>
      </c>
      <c r="AG3353">
        <v>-0.66727729999999996</v>
      </c>
      <c r="AH3353">
        <v>118.110079134738</v>
      </c>
      <c r="AI3353">
        <v>90.321422519361704</v>
      </c>
      <c r="AJ3353">
        <v>83.205169808638601</v>
      </c>
      <c r="AK3353">
        <v>118.94740189385899</v>
      </c>
      <c r="AL3353">
        <v>89.7619642250867</v>
      </c>
      <c r="AM3353">
        <v>87.3950350849193</v>
      </c>
      <c r="AN3353">
        <v>0.99999998587285899</v>
      </c>
    </row>
    <row r="3354" spans="1:40" x14ac:dyDescent="0.25">
      <c r="A3354" t="str">
        <f>"20190312161031519"</f>
        <v>20190312161031519</v>
      </c>
      <c r="B3354" t="str">
        <f>"1552378231509248"</f>
        <v>1552378231509248</v>
      </c>
      <c r="C3354" t="s">
        <v>40</v>
      </c>
      <c r="D3354">
        <v>4.8707690000000001</v>
      </c>
      <c r="E3354">
        <v>0.5281728</v>
      </c>
      <c r="F3354" t="s">
        <v>55</v>
      </c>
      <c r="G3354">
        <v>-168.41210000000001</v>
      </c>
      <c r="H3354">
        <v>0.46288489999999999</v>
      </c>
      <c r="I3354">
        <v>202.02510000000001</v>
      </c>
      <c r="J3354">
        <v>-286.38010000000003</v>
      </c>
      <c r="K3354">
        <v>1.109477</v>
      </c>
      <c r="L3354">
        <v>214.0932</v>
      </c>
      <c r="M3354">
        <v>0.99973140000000005</v>
      </c>
      <c r="N3354">
        <v>0</v>
      </c>
      <c r="O3354">
        <v>1.7811009999999999E-2</v>
      </c>
      <c r="P3354">
        <v>0.99954180000000004</v>
      </c>
      <c r="Q3354">
        <v>-1.066807E-2</v>
      </c>
      <c r="R3354">
        <v>-2.8326270000000001E-2</v>
      </c>
      <c r="S3354">
        <v>2.9927980000000001</v>
      </c>
      <c r="T3354">
        <v>-1.6349909999999999E-2</v>
      </c>
      <c r="U3354">
        <v>-0.3050079</v>
      </c>
      <c r="V3354">
        <v>4.6130940000000002E-2</v>
      </c>
      <c r="W3354">
        <v>4.0982290000000001E-3</v>
      </c>
      <c r="X3354">
        <v>0.99892700000000001</v>
      </c>
      <c r="Y3354">
        <v>0.1190919</v>
      </c>
      <c r="Z3354">
        <v>-4.2154170000000002E-4</v>
      </c>
      <c r="AA3354">
        <v>0.99288310000000002</v>
      </c>
      <c r="AB3354">
        <v>38</v>
      </c>
      <c r="AC3354">
        <v>117.968</v>
      </c>
      <c r="AD3354">
        <v>-0.646592099999999</v>
      </c>
      <c r="AE3354">
        <v>-12.0680999999999</v>
      </c>
      <c r="AF3354">
        <v>14.167124309188001</v>
      </c>
      <c r="AG3354">
        <v>-0.646592099999999</v>
      </c>
      <c r="AH3354">
        <v>117.73081382976601</v>
      </c>
      <c r="AI3354">
        <v>90.312418488943507</v>
      </c>
      <c r="AJ3354">
        <v>83.138312042369193</v>
      </c>
      <c r="AK3354">
        <v>118.58191269141599</v>
      </c>
      <c r="AL3354">
        <v>89.765188118747503</v>
      </c>
      <c r="AM3354">
        <v>87.355931277503402</v>
      </c>
      <c r="AN3354">
        <v>1.0000000052176099</v>
      </c>
    </row>
    <row r="3355" spans="1:40" x14ac:dyDescent="0.25">
      <c r="A3355" t="str">
        <f>"20190312161031561"</f>
        <v>20190312161031561</v>
      </c>
      <c r="B3355" t="str">
        <f>"1552378231549264"</f>
        <v>1552378231549264</v>
      </c>
      <c r="C3355" t="s">
        <v>40</v>
      </c>
      <c r="D3355">
        <v>4.8794940000000002</v>
      </c>
      <c r="E3355">
        <v>0.5287579</v>
      </c>
      <c r="F3355" t="s">
        <v>55</v>
      </c>
      <c r="G3355">
        <v>-168.41220000000001</v>
      </c>
      <c r="H3355">
        <v>0.41468240000000001</v>
      </c>
      <c r="I3355">
        <v>201.8707</v>
      </c>
      <c r="J3355">
        <v>-285.64370000000002</v>
      </c>
      <c r="K3355">
        <v>1.1094980000000001</v>
      </c>
      <c r="L3355">
        <v>214.10550000000001</v>
      </c>
      <c r="M3355">
        <v>0.99974450000000004</v>
      </c>
      <c r="N3355">
        <v>0</v>
      </c>
      <c r="O3355">
        <v>1.7043510000000001E-2</v>
      </c>
      <c r="P3355">
        <v>0.99949809999999994</v>
      </c>
      <c r="Q3355">
        <v>-1.020823E-2</v>
      </c>
      <c r="R3355">
        <v>-2.9995879999999999E-2</v>
      </c>
      <c r="S3355">
        <v>2.992432</v>
      </c>
      <c r="T3355">
        <v>-1.7623659999999999E-2</v>
      </c>
      <c r="U3355">
        <v>-0.31004330000000002</v>
      </c>
      <c r="V3355">
        <v>4.7033129999999999E-2</v>
      </c>
      <c r="W3355">
        <v>4.5826920000000002E-3</v>
      </c>
      <c r="X3355">
        <v>0.99888279999999996</v>
      </c>
      <c r="Y3355">
        <v>0.1199948</v>
      </c>
      <c r="Z3355">
        <v>-4.5254010000000001E-4</v>
      </c>
      <c r="AA3355">
        <v>0.99277439999999995</v>
      </c>
      <c r="AB3355">
        <v>38</v>
      </c>
      <c r="AC3355">
        <v>117.2315</v>
      </c>
      <c r="AD3355">
        <v>-0.69481559999999898</v>
      </c>
      <c r="AE3355">
        <v>-12.2348</v>
      </c>
      <c r="AF3355">
        <v>14.2307844957264</v>
      </c>
      <c r="AG3355">
        <v>-0.69481559999999898</v>
      </c>
      <c r="AH3355">
        <v>117.001855578513</v>
      </c>
      <c r="AI3355">
        <v>90.337757938589107</v>
      </c>
      <c r="AJ3355">
        <v>83.065251013112999</v>
      </c>
      <c r="AK3355">
        <v>117.86616225574301</v>
      </c>
      <c r="AL3355">
        <v>89.737430165887005</v>
      </c>
      <c r="AM3355">
        <v>87.304177252227802</v>
      </c>
      <c r="AN3355">
        <v>0.99999998225970199</v>
      </c>
    </row>
    <row r="3356" spans="1:40" x14ac:dyDescent="0.25">
      <c r="A3356" t="str">
        <f>"20190312161031584"</f>
        <v>20190312161031584</v>
      </c>
      <c r="B3356" t="str">
        <f>"1552378231580029"</f>
        <v>1552378231580029</v>
      </c>
      <c r="C3356" t="s">
        <v>40</v>
      </c>
      <c r="D3356">
        <v>4.8866269999999998</v>
      </c>
      <c r="E3356">
        <v>0.52914649999999996</v>
      </c>
      <c r="F3356" t="s">
        <v>55</v>
      </c>
      <c r="G3356">
        <v>-168.41220000000001</v>
      </c>
      <c r="H3356">
        <v>0.38638109999999998</v>
      </c>
      <c r="I3356">
        <v>201.57730000000001</v>
      </c>
      <c r="J3356">
        <v>-285.25670000000002</v>
      </c>
      <c r="K3356">
        <v>1.1095010000000001</v>
      </c>
      <c r="L3356">
        <v>214.11170000000001</v>
      </c>
      <c r="M3356">
        <v>0.9997511</v>
      </c>
      <c r="N3356">
        <v>0</v>
      </c>
      <c r="O3356">
        <v>1.663976E-2</v>
      </c>
      <c r="P3356">
        <v>0.99947299999999994</v>
      </c>
      <c r="Q3356">
        <v>-1.034668E-2</v>
      </c>
      <c r="R3356">
        <v>-3.0767880000000001E-2</v>
      </c>
      <c r="S3356">
        <v>2.99173</v>
      </c>
      <c r="T3356">
        <v>-1.8453000000000001E-2</v>
      </c>
      <c r="U3356">
        <v>-0.31971739999999998</v>
      </c>
      <c r="V3356">
        <v>4.7401190000000003E-2</v>
      </c>
      <c r="W3356">
        <v>4.4544240000000002E-3</v>
      </c>
      <c r="X3356">
        <v>0.99886600000000003</v>
      </c>
      <c r="Y3356">
        <v>0.1227921</v>
      </c>
      <c r="Z3356">
        <v>-4.7998460000000002E-4</v>
      </c>
      <c r="AA3356">
        <v>0.99243230000000004</v>
      </c>
      <c r="AB3356">
        <v>38</v>
      </c>
      <c r="AC3356">
        <v>116.8445</v>
      </c>
      <c r="AD3356">
        <v>-0.72311990000000004</v>
      </c>
      <c r="AE3356">
        <v>-12.5344</v>
      </c>
      <c r="AF3356">
        <v>14.4765952462197</v>
      </c>
      <c r="AG3356">
        <v>-0.72311990000000004</v>
      </c>
      <c r="AH3356">
        <v>116.61531120870499</v>
      </c>
      <c r="AI3356">
        <v>90.352574602962093</v>
      </c>
      <c r="AJ3356">
        <v>82.923519346325605</v>
      </c>
      <c r="AK3356">
        <v>117.512661107711</v>
      </c>
      <c r="AL3356">
        <v>89.744779460708202</v>
      </c>
      <c r="AM3356">
        <v>87.283066822863006</v>
      </c>
      <c r="AN3356">
        <v>1.0000000003312901</v>
      </c>
    </row>
    <row r="3357" spans="1:40" x14ac:dyDescent="0.25">
      <c r="A3357" t="str">
        <f>"20190312161031607"</f>
        <v>20190312161031607</v>
      </c>
      <c r="B3357" t="str">
        <f>"1552378231599548"</f>
        <v>1552378231599548</v>
      </c>
      <c r="C3357" t="s">
        <v>40</v>
      </c>
      <c r="D3357">
        <v>4.8591819999999997</v>
      </c>
      <c r="E3357">
        <v>0.52955920000000001</v>
      </c>
      <c r="F3357" t="s">
        <v>55</v>
      </c>
      <c r="G3357">
        <v>-168.41229999999999</v>
      </c>
      <c r="H3357">
        <v>0.3979549</v>
      </c>
      <c r="I3357">
        <v>201.41130000000001</v>
      </c>
      <c r="J3357">
        <v>-284.86829999999998</v>
      </c>
      <c r="K3357">
        <v>1.109507</v>
      </c>
      <c r="L3357">
        <v>214.11770000000001</v>
      </c>
      <c r="M3357">
        <v>0.99975749999999997</v>
      </c>
      <c r="N3357">
        <v>0</v>
      </c>
      <c r="O3357">
        <v>1.6234950000000001E-2</v>
      </c>
      <c r="P3357">
        <v>0.99946299999999999</v>
      </c>
      <c r="Q3357">
        <v>-1.0341120000000001E-2</v>
      </c>
      <c r="R3357">
        <v>-3.109257E-2</v>
      </c>
      <c r="S3357">
        <v>2.9913940000000001</v>
      </c>
      <c r="T3357">
        <v>-1.8215780000000001E-2</v>
      </c>
      <c r="U3357">
        <v>-0.32514949999999998</v>
      </c>
      <c r="V3357">
        <v>4.7321200000000001E-2</v>
      </c>
      <c r="W3357">
        <v>4.4682510000000003E-3</v>
      </c>
      <c r="X3357">
        <v>0.99886969999999997</v>
      </c>
      <c r="Y3357">
        <v>0.1241834</v>
      </c>
      <c r="Z3357">
        <v>-4.7558620000000002E-4</v>
      </c>
      <c r="AA3357">
        <v>0.99225909999999995</v>
      </c>
      <c r="AB3357">
        <v>38</v>
      </c>
      <c r="AC3357">
        <v>116.456</v>
      </c>
      <c r="AD3357">
        <v>-0.71155210000000002</v>
      </c>
      <c r="AE3357">
        <v>-12.7064</v>
      </c>
      <c r="AF3357">
        <v>14.595053157300701</v>
      </c>
      <c r="AG3357">
        <v>-0.71155210000000002</v>
      </c>
      <c r="AH3357">
        <v>116.230049486133</v>
      </c>
      <c r="AI3357">
        <v>90.348023304200197</v>
      </c>
      <c r="AJ3357">
        <v>82.842807508045297</v>
      </c>
      <c r="AK3357">
        <v>117.144979775509</v>
      </c>
      <c r="AL3357">
        <v>89.743987216163902</v>
      </c>
      <c r="AM3357">
        <v>87.287654855290995</v>
      </c>
      <c r="AN3357">
        <v>0.99999996940726299</v>
      </c>
    </row>
    <row r="3358" spans="1:40" x14ac:dyDescent="0.25">
      <c r="A3358" t="str">
        <f>"20190312161031628"</f>
        <v>20190312161031628</v>
      </c>
      <c r="B3358" t="str">
        <f>"1552378231620044"</f>
        <v>1552378231620044</v>
      </c>
      <c r="C3358" t="s">
        <v>40</v>
      </c>
      <c r="D3358">
        <v>4.8511889999999998</v>
      </c>
      <c r="E3358">
        <v>0.52976119999999904</v>
      </c>
      <c r="F3358" t="s">
        <v>55</v>
      </c>
      <c r="G3358">
        <v>-168.41229999999999</v>
      </c>
      <c r="H3358">
        <v>0.40284920000000002</v>
      </c>
      <c r="I3358">
        <v>201.28700000000001</v>
      </c>
      <c r="J3358">
        <v>-284.49700000000001</v>
      </c>
      <c r="K3358">
        <v>1.1095109999999999</v>
      </c>
      <c r="L3358">
        <v>214.1234</v>
      </c>
      <c r="M3358">
        <v>0.99976370000000003</v>
      </c>
      <c r="N3358">
        <v>0</v>
      </c>
      <c r="O3358">
        <v>1.584733E-2</v>
      </c>
      <c r="P3358">
        <v>0.99945550000000005</v>
      </c>
      <c r="Q3358">
        <v>-1.019226E-2</v>
      </c>
      <c r="R3358">
        <v>-3.1379240000000003E-2</v>
      </c>
      <c r="S3358">
        <v>2.9911799999999999</v>
      </c>
      <c r="T3358">
        <v>-1.8149729999999999E-2</v>
      </c>
      <c r="U3358">
        <v>-0.3295593</v>
      </c>
      <c r="V3358">
        <v>4.7220690000000003E-2</v>
      </c>
      <c r="W3358">
        <v>4.6232219999999997E-3</v>
      </c>
      <c r="X3358">
        <v>0.99887380000000003</v>
      </c>
      <c r="Y3358">
        <v>0.1252518</v>
      </c>
      <c r="Z3358">
        <v>-4.7474369999999999E-4</v>
      </c>
      <c r="AA3358">
        <v>0.99212489999999998</v>
      </c>
      <c r="AB3358">
        <v>38</v>
      </c>
      <c r="AC3358">
        <v>116.0847</v>
      </c>
      <c r="AD3358">
        <v>-0.70666180000000001</v>
      </c>
      <c r="AE3358">
        <v>-12.8363999999999</v>
      </c>
      <c r="AF3358">
        <v>14.6740867118664</v>
      </c>
      <c r="AG3358">
        <v>-0.70666180000000001</v>
      </c>
      <c r="AH3358">
        <v>115.86243235521199</v>
      </c>
      <c r="AI3358">
        <v>90.346681609635993</v>
      </c>
      <c r="AJ3358">
        <v>82.7818656577805</v>
      </c>
      <c r="AK3358">
        <v>116.790116974824</v>
      </c>
      <c r="AL3358">
        <v>89.735107952778094</v>
      </c>
      <c r="AM3358">
        <v>87.293418380482805</v>
      </c>
      <c r="AN3358">
        <v>1.00000001803608</v>
      </c>
    </row>
    <row r="3359" spans="1:40" x14ac:dyDescent="0.25">
      <c r="A3359" t="str">
        <f>"20190312161031651"</f>
        <v>20190312161031651</v>
      </c>
      <c r="B3359" t="str">
        <f>"1552378231639564"</f>
        <v>1552378231639564</v>
      </c>
      <c r="C3359" t="s">
        <v>40</v>
      </c>
      <c r="D3359">
        <v>5.0443419999999897</v>
      </c>
      <c r="E3359">
        <v>0.49110480000000001</v>
      </c>
      <c r="F3359" t="s">
        <v>55</v>
      </c>
      <c r="G3359">
        <v>-168.41239999999999</v>
      </c>
      <c r="H3359">
        <v>0.4587212</v>
      </c>
      <c r="I3359">
        <v>201.23990000000001</v>
      </c>
      <c r="J3359">
        <v>-284.12819999999999</v>
      </c>
      <c r="K3359">
        <v>1.1095219999999999</v>
      </c>
      <c r="L3359">
        <v>214.12889999999999</v>
      </c>
      <c r="M3359">
        <v>0.99976969999999998</v>
      </c>
      <c r="N3359">
        <v>0</v>
      </c>
      <c r="O3359">
        <v>1.5462099999999999E-2</v>
      </c>
      <c r="P3359">
        <v>0.99946089999999999</v>
      </c>
      <c r="Q3359">
        <v>-9.7362449999999993E-3</v>
      </c>
      <c r="R3359">
        <v>-3.1359640000000001E-2</v>
      </c>
      <c r="S3359">
        <v>2.991028</v>
      </c>
      <c r="T3359">
        <v>-1.6767379999999998E-2</v>
      </c>
      <c r="U3359">
        <v>-0.331955</v>
      </c>
      <c r="V3359">
        <v>4.6816610000000002E-2</v>
      </c>
      <c r="W3359">
        <v>5.0852720000000001E-3</v>
      </c>
      <c r="X3359">
        <v>0.99889059999999996</v>
      </c>
      <c r="Y3359">
        <v>0.12566040000000001</v>
      </c>
      <c r="Z3359">
        <v>-4.3757699999999997E-4</v>
      </c>
      <c r="AA3359">
        <v>0.99207319999999999</v>
      </c>
      <c r="AB3359">
        <v>38</v>
      </c>
      <c r="AC3359">
        <v>115.7158</v>
      </c>
      <c r="AD3359">
        <v>-0.65080079999999896</v>
      </c>
      <c r="AE3359">
        <v>-12.8889999999999</v>
      </c>
      <c r="AF3359">
        <v>14.6764077320721</v>
      </c>
      <c r="AG3359">
        <v>-0.65080079999999896</v>
      </c>
      <c r="AH3359">
        <v>115.499042000599</v>
      </c>
      <c r="AI3359">
        <v>90.3202650945355</v>
      </c>
      <c r="AJ3359">
        <v>82.758263054595801</v>
      </c>
      <c r="AK3359">
        <v>116.429588974003</v>
      </c>
      <c r="AL3359">
        <v>89.708634133417902</v>
      </c>
      <c r="AM3359">
        <v>87.316590384850102</v>
      </c>
      <c r="AN3359">
        <v>1.00000004286578</v>
      </c>
    </row>
    <row r="3360" spans="1:40" x14ac:dyDescent="0.25">
      <c r="A3360" t="str">
        <f>"20190312161031673"</f>
        <v>20190312161031673</v>
      </c>
      <c r="B3360" t="str">
        <f>"1552378231660061"</f>
        <v>1552378231660061</v>
      </c>
      <c r="C3360" t="s">
        <v>40</v>
      </c>
      <c r="D3360">
        <v>5.0192399999999999</v>
      </c>
      <c r="E3360">
        <v>0.47320620000000002</v>
      </c>
      <c r="F3360" t="s">
        <v>61</v>
      </c>
      <c r="G3360">
        <v>-239.2961</v>
      </c>
      <c r="H3360" s="1">
        <v>3.4455330000000002E-6</v>
      </c>
      <c r="I3360">
        <v>213.80619999999999</v>
      </c>
      <c r="J3360">
        <v>-283.74059999999997</v>
      </c>
      <c r="K3360">
        <v>1.109529</v>
      </c>
      <c r="L3360">
        <v>214.1344</v>
      </c>
      <c r="M3360">
        <v>0.99977579999999999</v>
      </c>
      <c r="N3360">
        <v>0</v>
      </c>
      <c r="O3360">
        <v>1.505781E-2</v>
      </c>
      <c r="P3360">
        <v>0.99943059999999995</v>
      </c>
      <c r="Q3360">
        <v>-1.052778E-2</v>
      </c>
      <c r="R3360">
        <v>-3.2052509999999999E-2</v>
      </c>
      <c r="S3360">
        <v>3.0002140000000002</v>
      </c>
      <c r="T3360">
        <v>-7.4250099999999999E-2</v>
      </c>
      <c r="U3360">
        <v>-2.159119E-2</v>
      </c>
      <c r="V3360">
        <v>4.7104279999999998E-2</v>
      </c>
      <c r="W3360">
        <v>4.2965909999999998E-3</v>
      </c>
      <c r="X3360">
        <v>0.99888069999999896</v>
      </c>
      <c r="Y3360">
        <v>2.2243209999999999E-2</v>
      </c>
      <c r="Z3360">
        <v>-6.4782350000000002E-4</v>
      </c>
      <c r="AA3360">
        <v>0.99975239999999999</v>
      </c>
      <c r="AB3360">
        <v>38</v>
      </c>
      <c r="AC3360">
        <v>44.444499999999898</v>
      </c>
      <c r="AD3360">
        <v>-1.109525554467</v>
      </c>
      <c r="AE3360">
        <v>-0.32820000000000898</v>
      </c>
      <c r="AF3360">
        <v>0.99685256579899595</v>
      </c>
      <c r="AG3360">
        <v>-1.109525554467</v>
      </c>
      <c r="AH3360">
        <v>44.406843910911</v>
      </c>
      <c r="AI3360">
        <v>91.430903458574903</v>
      </c>
      <c r="AJ3360">
        <v>88.714030342941697</v>
      </c>
      <c r="AK3360">
        <v>44.431886614479602</v>
      </c>
      <c r="AL3360">
        <v>89.753822702948298</v>
      </c>
      <c r="AM3360">
        <v>87.300099472124003</v>
      </c>
      <c r="AN3360">
        <v>0.999999963360514</v>
      </c>
    </row>
    <row r="3361" spans="1:40" x14ac:dyDescent="0.25">
      <c r="A3361" t="str">
        <f>"20190312161031696"</f>
        <v>20190312161031696</v>
      </c>
      <c r="B3361" t="str">
        <f>"1552378231689340"</f>
        <v>1552378231689340</v>
      </c>
      <c r="C3361" t="s">
        <v>40</v>
      </c>
      <c r="D3361">
        <v>4.8652860000000002</v>
      </c>
      <c r="E3361">
        <v>0.46539799999999998</v>
      </c>
      <c r="F3361" t="s">
        <v>54</v>
      </c>
      <c r="G3361">
        <v>-157.8382</v>
      </c>
      <c r="H3361">
        <v>9.795189E-2</v>
      </c>
      <c r="I3361">
        <v>219.0472</v>
      </c>
      <c r="J3361">
        <v>-283.35160000000002</v>
      </c>
      <c r="K3361">
        <v>1.1095360000000001</v>
      </c>
      <c r="L3361">
        <v>214.13990000000001</v>
      </c>
      <c r="M3361">
        <v>0.9997817</v>
      </c>
      <c r="N3361">
        <v>0</v>
      </c>
      <c r="O3361">
        <v>1.4651030000000001E-2</v>
      </c>
      <c r="P3361">
        <v>0.99939699999999998</v>
      </c>
      <c r="Q3361">
        <v>-1.076062E-2</v>
      </c>
      <c r="R3361">
        <v>-3.3012840000000002E-2</v>
      </c>
      <c r="S3361">
        <v>3.0052189999999999</v>
      </c>
      <c r="T3361">
        <v>-2.4144410000000002E-2</v>
      </c>
      <c r="U3361">
        <v>0.1172638</v>
      </c>
      <c r="V3361">
        <v>4.7657270000000002E-2</v>
      </c>
      <c r="W3361">
        <v>4.0662820000000001E-3</v>
      </c>
      <c r="X3361">
        <v>0.99885550000000001</v>
      </c>
      <c r="Y3361">
        <v>-2.4344370000000001E-2</v>
      </c>
      <c r="Z3361" s="1">
        <v>-1.9908990000000001E-5</v>
      </c>
      <c r="AA3361">
        <v>0.99970360000000003</v>
      </c>
      <c r="AB3361">
        <v>38</v>
      </c>
      <c r="AC3361">
        <v>125.5134</v>
      </c>
      <c r="AD3361">
        <v>-1.01158411</v>
      </c>
      <c r="AE3361">
        <v>4.9072999999999896</v>
      </c>
      <c r="AF3361">
        <v>-3.0674695752860202</v>
      </c>
      <c r="AG3361">
        <v>-1.01158411</v>
      </c>
      <c r="AH3361">
        <v>125.56368661966199</v>
      </c>
      <c r="AI3361">
        <v>90.461446787587207</v>
      </c>
      <c r="AJ3361">
        <v>91.399434137862599</v>
      </c>
      <c r="AK3361">
        <v>125.60522309811699</v>
      </c>
      <c r="AL3361">
        <v>89.767018568021896</v>
      </c>
      <c r="AM3361">
        <v>87.268382374411004</v>
      </c>
      <c r="AN3361">
        <v>1.0000000299567</v>
      </c>
    </row>
    <row r="3362" spans="1:40" x14ac:dyDescent="0.25">
      <c r="A3362" t="str">
        <f>"20190312161031719"</f>
        <v>20190312161031719</v>
      </c>
      <c r="B3362" t="str">
        <f>"1552378231709837"</f>
        <v>1552378231709837</v>
      </c>
      <c r="C3362" t="s">
        <v>40</v>
      </c>
      <c r="D3362">
        <v>4.9659899999999997</v>
      </c>
      <c r="E3362">
        <v>0.46346589999999999</v>
      </c>
      <c r="F3362" t="s">
        <v>54</v>
      </c>
      <c r="G3362">
        <v>-157.8382</v>
      </c>
      <c r="H3362">
        <v>1.1614009999999999</v>
      </c>
      <c r="I3362">
        <v>221.4819</v>
      </c>
      <c r="J3362">
        <v>-282.95530000000002</v>
      </c>
      <c r="K3362">
        <v>1.109531</v>
      </c>
      <c r="L3362">
        <v>214.14529999999999</v>
      </c>
      <c r="M3362">
        <v>0.99978769999999995</v>
      </c>
      <c r="N3362">
        <v>0</v>
      </c>
      <c r="O3362">
        <v>1.423686E-2</v>
      </c>
      <c r="P3362">
        <v>0.99937069999999995</v>
      </c>
      <c r="Q3362">
        <v>-1.042364E-2</v>
      </c>
      <c r="R3362">
        <v>-3.3903000000000003E-2</v>
      </c>
      <c r="S3362">
        <v>3.0076290000000001</v>
      </c>
      <c r="T3362">
        <v>1.2441869999999999E-3</v>
      </c>
      <c r="U3362">
        <v>0.1759338</v>
      </c>
      <c r="V3362">
        <v>4.8133620000000002E-2</v>
      </c>
      <c r="W3362">
        <v>4.4038790000000003E-3</v>
      </c>
      <c r="X3362">
        <v>0.99883120000000003</v>
      </c>
      <c r="Y3362">
        <v>-4.417596E-2</v>
      </c>
      <c r="Z3362" s="1">
        <v>-3.2451629999999999E-6</v>
      </c>
      <c r="AA3362">
        <v>0.99902380000000002</v>
      </c>
      <c r="AB3362">
        <v>38</v>
      </c>
      <c r="AC3362">
        <v>125.11709999999999</v>
      </c>
      <c r="AD3362">
        <v>5.1869999999999999E-2</v>
      </c>
      <c r="AE3362">
        <v>7.3365999999999998</v>
      </c>
      <c r="AF3362">
        <v>-5.5543830528885296</v>
      </c>
      <c r="AG3362">
        <v>5.1869999999999999E-2</v>
      </c>
      <c r="AH3362">
        <v>125.208856954607</v>
      </c>
      <c r="AI3362">
        <v>89.976287524123705</v>
      </c>
      <c r="AJ3362">
        <v>92.540029553061203</v>
      </c>
      <c r="AK3362">
        <v>125.33200597403</v>
      </c>
      <c r="AL3362">
        <v>89.747675504914795</v>
      </c>
      <c r="AM3362">
        <v>87.241053922801996</v>
      </c>
      <c r="AN3362">
        <v>1.0000000028089899</v>
      </c>
    </row>
    <row r="3363" spans="1:40" x14ac:dyDescent="0.25">
      <c r="A3363" t="str">
        <f>"20190312161031744"</f>
        <v>20190312161031744</v>
      </c>
      <c r="B3363" t="str">
        <f>"1552378231740092"</f>
        <v>1552378231740092</v>
      </c>
      <c r="C3363" t="s">
        <v>40</v>
      </c>
      <c r="D3363">
        <v>5.0023569999999999</v>
      </c>
      <c r="E3363">
        <v>0.46171459999999998</v>
      </c>
      <c r="F3363" t="s">
        <v>54</v>
      </c>
      <c r="G3363">
        <v>-157.25</v>
      </c>
      <c r="H3363">
        <v>1.4641959999999901</v>
      </c>
      <c r="I3363">
        <v>222.01570000000001</v>
      </c>
      <c r="J3363">
        <v>-282.53879999999998</v>
      </c>
      <c r="K3363">
        <v>1.1095379999999999</v>
      </c>
      <c r="L3363">
        <v>214.1508</v>
      </c>
      <c r="M3363">
        <v>0.99979390000000001</v>
      </c>
      <c r="N3363">
        <v>0</v>
      </c>
      <c r="O3363">
        <v>1.380148E-2</v>
      </c>
      <c r="P3363">
        <v>0.99933950000000005</v>
      </c>
      <c r="Q3363">
        <v>-1.0341970000000001E-2</v>
      </c>
      <c r="R3363">
        <v>-3.4841329999999997E-2</v>
      </c>
      <c r="S3363">
        <v>3.0083920000000002</v>
      </c>
      <c r="T3363">
        <v>8.4892509999999997E-3</v>
      </c>
      <c r="U3363">
        <v>0.18835450000000001</v>
      </c>
      <c r="V3363">
        <v>4.8636520000000003E-2</v>
      </c>
      <c r="W3363">
        <v>4.4854170000000002E-3</v>
      </c>
      <c r="X3363">
        <v>0.99880650000000004</v>
      </c>
      <c r="Y3363">
        <v>-4.8705190000000002E-2</v>
      </c>
      <c r="Z3363" s="1">
        <v>-2.9745369999999999E-5</v>
      </c>
      <c r="AA3363">
        <v>0.99881319999999996</v>
      </c>
      <c r="AB3363">
        <v>38</v>
      </c>
      <c r="AC3363">
        <v>125.288799999999</v>
      </c>
      <c r="AD3363">
        <v>0.35465799999999897</v>
      </c>
      <c r="AE3363">
        <v>7.8648999999999996</v>
      </c>
      <c r="AF3363">
        <v>-6.1347392193878196</v>
      </c>
      <c r="AG3363">
        <v>0.35465799999999897</v>
      </c>
      <c r="AH3363">
        <v>125.384422758881</v>
      </c>
      <c r="AI3363">
        <v>89.838129224902303</v>
      </c>
      <c r="AJ3363">
        <v>92.801102240038304</v>
      </c>
      <c r="AK3363">
        <v>125.534912586757</v>
      </c>
      <c r="AL3363">
        <v>89.7430036817901</v>
      </c>
      <c r="AM3363">
        <v>87.212204863857593</v>
      </c>
      <c r="AN3363">
        <v>1.00000002724281</v>
      </c>
    </row>
    <row r="3364" spans="1:40" x14ac:dyDescent="0.25">
      <c r="A3364" t="str">
        <f>"20190312161031764"</f>
        <v>20190312161031764</v>
      </c>
      <c r="B3364" t="str">
        <f>"1552378231759613"</f>
        <v>1552378231759613</v>
      </c>
      <c r="C3364" t="s">
        <v>40</v>
      </c>
      <c r="D3364">
        <v>4.9845839999999999</v>
      </c>
      <c r="E3364">
        <v>0.46074589999999999</v>
      </c>
      <c r="F3364" t="s">
        <v>54</v>
      </c>
      <c r="G3364">
        <v>-168.35059999999999</v>
      </c>
      <c r="H3364">
        <v>1.2627360000000001</v>
      </c>
      <c r="I3364">
        <v>221.7295</v>
      </c>
      <c r="J3364">
        <v>-282.19380000000001</v>
      </c>
      <c r="K3364">
        <v>1.1095440000000001</v>
      </c>
      <c r="L3364">
        <v>214.15520000000001</v>
      </c>
      <c r="M3364">
        <v>0.99979879999999999</v>
      </c>
      <c r="N3364">
        <v>0</v>
      </c>
      <c r="O3364">
        <v>1.344038E-2</v>
      </c>
      <c r="P3364">
        <v>0.99932109999999996</v>
      </c>
      <c r="Q3364">
        <v>-1.0654540000000001E-2</v>
      </c>
      <c r="R3364">
        <v>-3.5265419999999999E-2</v>
      </c>
      <c r="S3364">
        <v>3.0090029999999999</v>
      </c>
      <c r="T3364">
        <v>4.038453E-3</v>
      </c>
      <c r="U3364">
        <v>0.199707</v>
      </c>
      <c r="V3364">
        <v>4.8699300000000001E-2</v>
      </c>
      <c r="W3364">
        <v>4.1726150000000002E-3</v>
      </c>
      <c r="X3364">
        <v>0.99880469999999999</v>
      </c>
      <c r="Y3364">
        <v>-5.2805789999999998E-2</v>
      </c>
      <c r="Z3364" s="1">
        <v>-1.7378589999999999E-5</v>
      </c>
      <c r="AA3364">
        <v>0.99860479999999996</v>
      </c>
      <c r="AB3364">
        <v>38</v>
      </c>
      <c r="AC3364">
        <v>113.8432</v>
      </c>
      <c r="AD3364">
        <v>0.15319199999999999</v>
      </c>
      <c r="AE3364">
        <v>7.5742999999999903</v>
      </c>
      <c r="AF3364">
        <v>-6.0433392776449004</v>
      </c>
      <c r="AG3364">
        <v>0.15319199999999999</v>
      </c>
      <c r="AH3364">
        <v>113.93452208024701</v>
      </c>
      <c r="AI3364">
        <v>89.9230704766114</v>
      </c>
      <c r="AJ3364">
        <v>93.036249646814696</v>
      </c>
      <c r="AK3364">
        <v>114.094788395737</v>
      </c>
      <c r="AL3364">
        <v>89.760926060639804</v>
      </c>
      <c r="AM3364">
        <v>87.208607044206303</v>
      </c>
      <c r="AN3364">
        <v>0.99999993063925596</v>
      </c>
    </row>
    <row r="3365" spans="1:40" x14ac:dyDescent="0.25">
      <c r="A3365" t="str">
        <f>"20190312161031786"</f>
        <v>20190312161031786</v>
      </c>
      <c r="B3365" t="str">
        <f>"1552378231779640"</f>
        <v>1552378231779640</v>
      </c>
      <c r="C3365" t="s">
        <v>40</v>
      </c>
      <c r="D3365">
        <v>5.0131620000000003</v>
      </c>
      <c r="E3365">
        <v>0.46000069999999998</v>
      </c>
      <c r="F3365" t="s">
        <v>54</v>
      </c>
      <c r="G3365">
        <v>-168.35059999999999</v>
      </c>
      <c r="H3365">
        <v>1.2715019999999999</v>
      </c>
      <c r="I3365">
        <v>221.95249999999999</v>
      </c>
      <c r="J3365">
        <v>-281.82650000000001</v>
      </c>
      <c r="K3365">
        <v>1.109548</v>
      </c>
      <c r="L3365">
        <v>214.15979999999999</v>
      </c>
      <c r="M3365">
        <v>0.99980400000000003</v>
      </c>
      <c r="N3365">
        <v>0</v>
      </c>
      <c r="O3365">
        <v>1.3056089999999999E-2</v>
      </c>
      <c r="P3365">
        <v>0.99932209999999999</v>
      </c>
      <c r="Q3365">
        <v>-1.045312E-2</v>
      </c>
      <c r="R3365">
        <v>-3.5305830000000003E-2</v>
      </c>
      <c r="S3365">
        <v>3.009369</v>
      </c>
      <c r="T3365">
        <v>4.2827129999999996E-3</v>
      </c>
      <c r="U3365">
        <v>0.20611570000000001</v>
      </c>
      <c r="V3365">
        <v>4.83559E-2</v>
      </c>
      <c r="W3365">
        <v>4.3743150000000001E-3</v>
      </c>
      <c r="X3365">
        <v>0.99882059999999995</v>
      </c>
      <c r="Y3365">
        <v>-5.5298390000000003E-2</v>
      </c>
      <c r="Z3365" s="1">
        <v>-2.0743939999999999E-5</v>
      </c>
      <c r="AA3365">
        <v>0.99846990000000002</v>
      </c>
      <c r="AB3365">
        <v>38</v>
      </c>
      <c r="AC3365">
        <v>113.4759</v>
      </c>
      <c r="AD3365">
        <v>0.16195399999999999</v>
      </c>
      <c r="AE3365">
        <v>7.7926999999999902</v>
      </c>
      <c r="AF3365">
        <v>-6.3103071811983602</v>
      </c>
      <c r="AG3365">
        <v>0.16195399999999999</v>
      </c>
      <c r="AH3365">
        <v>113.567749028243</v>
      </c>
      <c r="AI3365">
        <v>89.918418889032594</v>
      </c>
      <c r="AJ3365">
        <v>93.180326934069697</v>
      </c>
      <c r="AK3365">
        <v>113.743042974774</v>
      </c>
      <c r="AL3365">
        <v>89.749369415288498</v>
      </c>
      <c r="AM3365">
        <v>87.228303623603097</v>
      </c>
      <c r="AN3365">
        <v>1.00000000934044</v>
      </c>
    </row>
    <row r="3366" spans="1:40" x14ac:dyDescent="0.25">
      <c r="A3366" t="str">
        <f>"20190312161031808"</f>
        <v>20190312161031808</v>
      </c>
      <c r="B3366" t="str">
        <f>"1552378231800136"</f>
        <v>1552378231800136</v>
      </c>
      <c r="C3366" t="s">
        <v>40</v>
      </c>
      <c r="D3366">
        <v>5.0484309999999999</v>
      </c>
      <c r="E3366">
        <v>0.45959800000000001</v>
      </c>
      <c r="F3366" t="s">
        <v>54</v>
      </c>
      <c r="G3366">
        <v>-168.35059999999999</v>
      </c>
      <c r="H3366">
        <v>1.305445</v>
      </c>
      <c r="I3366">
        <v>222.1506</v>
      </c>
      <c r="J3366">
        <v>-281.4479</v>
      </c>
      <c r="K3366">
        <v>1.10955</v>
      </c>
      <c r="L3366">
        <v>214.1644</v>
      </c>
      <c r="M3366">
        <v>0.99980899999999995</v>
      </c>
      <c r="N3366">
        <v>0</v>
      </c>
      <c r="O3366">
        <v>1.2659999999999999E-2</v>
      </c>
      <c r="P3366">
        <v>0.99932399999999999</v>
      </c>
      <c r="Q3366">
        <v>-1.0406469999999999E-2</v>
      </c>
      <c r="R3366">
        <v>-3.5258099999999903E-2</v>
      </c>
      <c r="S3366">
        <v>3.0095830000000001</v>
      </c>
      <c r="T3366">
        <v>5.1970480000000001E-3</v>
      </c>
      <c r="U3366">
        <v>0.21192929999999999</v>
      </c>
      <c r="V3366">
        <v>4.7912759999999999E-2</v>
      </c>
      <c r="W3366">
        <v>4.4215210000000003E-3</v>
      </c>
      <c r="X3366">
        <v>0.9988418</v>
      </c>
      <c r="Y3366">
        <v>-5.7608409999999999E-2</v>
      </c>
      <c r="Z3366" s="1">
        <v>-2.7844309999999899E-5</v>
      </c>
      <c r="AA3366">
        <v>0.99833919999999998</v>
      </c>
      <c r="AB3366">
        <v>38</v>
      </c>
      <c r="AC3366">
        <v>113.0973</v>
      </c>
      <c r="AD3366">
        <v>0.19589500000000001</v>
      </c>
      <c r="AE3366">
        <v>7.9861999999999904</v>
      </c>
      <c r="AF3366">
        <v>-6.55356971974284</v>
      </c>
      <c r="AG3366">
        <v>0.19589500000000001</v>
      </c>
      <c r="AH3366">
        <v>113.189012860348</v>
      </c>
      <c r="AI3366">
        <v>89.9010047067557</v>
      </c>
      <c r="AJ3366">
        <v>93.313688552737403</v>
      </c>
      <c r="AK3366">
        <v>113.378747052622</v>
      </c>
      <c r="AL3366">
        <v>89.746664697909793</v>
      </c>
      <c r="AM3366">
        <v>87.253722957485195</v>
      </c>
      <c r="AN3366">
        <v>1.0000000619230001</v>
      </c>
    </row>
    <row r="3367" spans="1:40" x14ac:dyDescent="0.25">
      <c r="A3367" t="str">
        <f>"20190312161031830"</f>
        <v>20190312161031830</v>
      </c>
      <c r="B3367" t="str">
        <f>"1552378231819656"</f>
        <v>1552378231819656</v>
      </c>
      <c r="C3367" t="s">
        <v>40</v>
      </c>
      <c r="D3367">
        <v>5.0765770000000003</v>
      </c>
      <c r="E3367">
        <v>0.4591558</v>
      </c>
      <c r="F3367" t="s">
        <v>54</v>
      </c>
      <c r="G3367">
        <v>-168.35059999999999</v>
      </c>
      <c r="H3367">
        <v>1.1280790000000001</v>
      </c>
      <c r="I3367">
        <v>222.2602</v>
      </c>
      <c r="J3367">
        <v>-281.09140000000002</v>
      </c>
      <c r="K3367">
        <v>1.1095549999999901</v>
      </c>
      <c r="L3367">
        <v>214.16849999999999</v>
      </c>
      <c r="M3367">
        <v>0.99981370000000003</v>
      </c>
      <c r="N3367">
        <v>0</v>
      </c>
      <c r="O3367">
        <v>1.228662E-2</v>
      </c>
      <c r="P3367">
        <v>0.99933000000000005</v>
      </c>
      <c r="Q3367">
        <v>-1.05381E-2</v>
      </c>
      <c r="R3367">
        <v>-3.5049070000000002E-2</v>
      </c>
      <c r="S3367">
        <v>3.0096440000000002</v>
      </c>
      <c r="T3367">
        <v>4.9459929999999997E-4</v>
      </c>
      <c r="U3367">
        <v>0.21543880000000001</v>
      </c>
      <c r="V3367">
        <v>4.7330619999999997E-2</v>
      </c>
      <c r="W3367">
        <v>4.2894379999999996E-3</v>
      </c>
      <c r="X3367">
        <v>0.99887009999999998</v>
      </c>
      <c r="Y3367">
        <v>-5.9138139999999999E-2</v>
      </c>
      <c r="Z3367" s="1">
        <v>-2.836573E-6</v>
      </c>
      <c r="AA3367">
        <v>0.99824979999999996</v>
      </c>
      <c r="AB3367">
        <v>38</v>
      </c>
      <c r="AC3367">
        <v>112.74079999999999</v>
      </c>
      <c r="AD3367">
        <v>1.85240000000002E-2</v>
      </c>
      <c r="AE3367">
        <v>8.0916999999999994</v>
      </c>
      <c r="AF3367">
        <v>-6.7057320186737499</v>
      </c>
      <c r="AG3367">
        <v>1.85240000000002E-2</v>
      </c>
      <c r="AH3367">
        <v>112.83171568910301</v>
      </c>
      <c r="AI3367">
        <v>89.990610108376899</v>
      </c>
      <c r="AJ3367">
        <v>93.401160250051106</v>
      </c>
      <c r="AK3367">
        <v>113.030806643107</v>
      </c>
      <c r="AL3367">
        <v>89.754232560264001</v>
      </c>
      <c r="AM3367">
        <v>87.287116813302305</v>
      </c>
      <c r="AN3367">
        <v>1.0000000317709701</v>
      </c>
    </row>
    <row r="3368" spans="1:40" x14ac:dyDescent="0.25">
      <c r="A3368" t="str">
        <f>"20190312161031852"</f>
        <v>20190312161031852</v>
      </c>
      <c r="B3368" t="str">
        <f>"1552378231840152"</f>
        <v>1552378231840152</v>
      </c>
      <c r="C3368" t="s">
        <v>40</v>
      </c>
      <c r="D3368">
        <v>5.0916009999999998</v>
      </c>
      <c r="E3368">
        <v>0.45869880000000002</v>
      </c>
      <c r="F3368" t="s">
        <v>54</v>
      </c>
      <c r="G3368">
        <v>-168.35059999999999</v>
      </c>
      <c r="H3368">
        <v>1.1617390000000001</v>
      </c>
      <c r="I3368">
        <v>222.39060000000001</v>
      </c>
      <c r="J3368">
        <v>-280.71159999999998</v>
      </c>
      <c r="K3368">
        <v>1.109559</v>
      </c>
      <c r="L3368">
        <v>214.1728</v>
      </c>
      <c r="M3368">
        <v>0.9998184</v>
      </c>
      <c r="N3368">
        <v>0</v>
      </c>
      <c r="O3368">
        <v>1.1888930000000001E-2</v>
      </c>
      <c r="P3368">
        <v>0.99931429999999999</v>
      </c>
      <c r="Q3368">
        <v>-1.1007599999999999E-2</v>
      </c>
      <c r="R3368">
        <v>-3.5351269999999997E-2</v>
      </c>
      <c r="S3368">
        <v>3.009735</v>
      </c>
      <c r="T3368">
        <v>1.3946290000000001E-3</v>
      </c>
      <c r="U3368">
        <v>0.21949769999999999</v>
      </c>
      <c r="V3368">
        <v>4.7234810000000002E-2</v>
      </c>
      <c r="W3368">
        <v>3.8178510000000001E-3</v>
      </c>
      <c r="X3368">
        <v>0.99887649999999994</v>
      </c>
      <c r="Y3368">
        <v>-6.0872160000000002E-2</v>
      </c>
      <c r="Z3368" s="1">
        <v>-8.5829289999999998E-6</v>
      </c>
      <c r="AA3368">
        <v>0.99814559999999997</v>
      </c>
      <c r="AB3368">
        <v>38</v>
      </c>
      <c r="AC3368">
        <v>112.361</v>
      </c>
      <c r="AD3368">
        <v>5.2179999999999803E-2</v>
      </c>
      <c r="AE3368">
        <v>8.2178000000000093</v>
      </c>
      <c r="AF3368">
        <v>-6.88121734722053</v>
      </c>
      <c r="AG3368">
        <v>5.2179999999999803E-2</v>
      </c>
      <c r="AH3368">
        <v>112.450744595833</v>
      </c>
      <c r="AI3368">
        <v>89.973462944735004</v>
      </c>
      <c r="AJ3368">
        <v>93.501743757544105</v>
      </c>
      <c r="AK3368">
        <v>112.66110169481399</v>
      </c>
      <c r="AL3368">
        <v>89.7812527157066</v>
      </c>
      <c r="AM3368">
        <v>87.292617565771096</v>
      </c>
      <c r="AN3368">
        <v>0.99999998275712199</v>
      </c>
    </row>
    <row r="3369" spans="1:40" x14ac:dyDescent="0.25">
      <c r="A3369" t="str">
        <f>"20190312161031875"</f>
        <v>20190312161031875</v>
      </c>
      <c r="B3369" t="str">
        <f>"1552378231869940"</f>
        <v>1552378231869940</v>
      </c>
      <c r="C3369" t="s">
        <v>40</v>
      </c>
      <c r="D3369">
        <v>5.1033520000000001</v>
      </c>
      <c r="E3369">
        <v>0.45822960000000001</v>
      </c>
      <c r="F3369" t="s">
        <v>54</v>
      </c>
      <c r="G3369">
        <v>-168.35059999999999</v>
      </c>
      <c r="H3369">
        <v>1.0809420000000001</v>
      </c>
      <c r="I3369">
        <v>222.4693</v>
      </c>
      <c r="J3369">
        <v>-280.32089999999999</v>
      </c>
      <c r="K3369">
        <v>1.1095649999999999</v>
      </c>
      <c r="L3369">
        <v>214.17699999999999</v>
      </c>
      <c r="M3369">
        <v>0.99982340000000003</v>
      </c>
      <c r="N3369">
        <v>0</v>
      </c>
      <c r="O3369">
        <v>1.1479390000000001E-2</v>
      </c>
      <c r="P3369">
        <v>0.99929699999999999</v>
      </c>
      <c r="Q3369">
        <v>-1.0679660000000001E-2</v>
      </c>
      <c r="R3369">
        <v>-3.594083E-2</v>
      </c>
      <c r="S3369">
        <v>3.0099179999999999</v>
      </c>
      <c r="T3369">
        <v>-7.6508520000000005E-4</v>
      </c>
      <c r="U3369">
        <v>0.22224430000000001</v>
      </c>
      <c r="V3369">
        <v>4.7415279999999997E-2</v>
      </c>
      <c r="W3369">
        <v>4.1440050000000001E-3</v>
      </c>
      <c r="X3369">
        <v>0.9988667</v>
      </c>
      <c r="Y3369">
        <v>-6.2182500000000002E-2</v>
      </c>
      <c r="Z3369" s="1">
        <v>4.9783579999999997E-6</v>
      </c>
      <c r="AA3369">
        <v>0.99806479999999997</v>
      </c>
      <c r="AB3369">
        <v>38</v>
      </c>
      <c r="AC3369">
        <v>111.97029999999999</v>
      </c>
      <c r="AD3369">
        <v>-2.8622999999999801E-2</v>
      </c>
      <c r="AE3369">
        <v>8.2922999999999796</v>
      </c>
      <c r="AF3369">
        <v>-7.0062599917638302</v>
      </c>
      <c r="AG3369">
        <v>-2.8622999999999801E-2</v>
      </c>
      <c r="AH3369">
        <v>112.058114403891</v>
      </c>
      <c r="AI3369">
        <v>90.014606536558901</v>
      </c>
      <c r="AJ3369">
        <v>93.577672771213798</v>
      </c>
      <c r="AK3369">
        <v>112.276932190472</v>
      </c>
      <c r="AL3369">
        <v>89.762565331473098</v>
      </c>
      <c r="AM3369">
        <v>87.282262327064501</v>
      </c>
      <c r="AN3369">
        <v>1.0000000329619001</v>
      </c>
    </row>
    <row r="3370" spans="1:40" x14ac:dyDescent="0.25">
      <c r="A3370" t="str">
        <f>"20190312161031900"</f>
        <v>20190312161031900</v>
      </c>
      <c r="B3370" t="str">
        <f>"1552378231889459"</f>
        <v>1552378231889459</v>
      </c>
      <c r="C3370" t="s">
        <v>40</v>
      </c>
      <c r="D3370">
        <v>5.1045569999999998</v>
      </c>
      <c r="E3370">
        <v>0.4579686</v>
      </c>
      <c r="F3370" t="s">
        <v>54</v>
      </c>
      <c r="G3370">
        <v>-168.35059999999999</v>
      </c>
      <c r="H3370">
        <v>1.0886499999999999</v>
      </c>
      <c r="I3370">
        <v>222.52340000000001</v>
      </c>
      <c r="J3370">
        <v>-279.91860000000003</v>
      </c>
      <c r="K3370">
        <v>1.1095649999999999</v>
      </c>
      <c r="L3370">
        <v>214.18119999999999</v>
      </c>
      <c r="M3370">
        <v>0.99982800000000005</v>
      </c>
      <c r="N3370">
        <v>0</v>
      </c>
      <c r="O3370">
        <v>1.105769E-2</v>
      </c>
      <c r="P3370">
        <v>0.99929520000000005</v>
      </c>
      <c r="Q3370">
        <v>-1.0226900000000001E-2</v>
      </c>
      <c r="R3370">
        <v>-3.6120760000000002E-2</v>
      </c>
      <c r="S3370">
        <v>3.0101619999999998</v>
      </c>
      <c r="T3370">
        <v>-5.6076050000000005E-4</v>
      </c>
      <c r="U3370">
        <v>0.22438050000000001</v>
      </c>
      <c r="V3370">
        <v>4.7174239999999999E-2</v>
      </c>
      <c r="W3370">
        <v>4.5950890000000001E-3</v>
      </c>
      <c r="X3370">
        <v>0.99887610000000004</v>
      </c>
      <c r="Y3370">
        <v>-6.3301910000000003E-2</v>
      </c>
      <c r="Z3370" s="1">
        <v>3.8310030000000001E-6</v>
      </c>
      <c r="AA3370">
        <v>0.99799439999999995</v>
      </c>
      <c r="AB3370">
        <v>38</v>
      </c>
      <c r="AC3370">
        <v>111.568</v>
      </c>
      <c r="AD3370">
        <v>-2.0915E-2</v>
      </c>
      <c r="AE3370">
        <v>8.3422000000000196</v>
      </c>
      <c r="AF3370">
        <v>-7.10786847876523</v>
      </c>
      <c r="AG3370">
        <v>-2.0915E-2</v>
      </c>
      <c r="AH3370">
        <v>111.65342921582899</v>
      </c>
      <c r="AI3370">
        <v>90.0107110043528</v>
      </c>
      <c r="AJ3370">
        <v>93.6425397689991</v>
      </c>
      <c r="AK3370">
        <v>111.87944622406199</v>
      </c>
      <c r="AL3370">
        <v>89.736719865564993</v>
      </c>
      <c r="AM3370">
        <v>87.296083051521293</v>
      </c>
      <c r="AN3370">
        <v>0.99999999345685198</v>
      </c>
    </row>
    <row r="3371" spans="1:40" x14ac:dyDescent="0.25">
      <c r="A3371" t="str">
        <f>"20190312161031926"</f>
        <v>20190312161031926</v>
      </c>
      <c r="B3371" t="str">
        <f>"1552378231919715"</f>
        <v>1552378231919715</v>
      </c>
      <c r="C3371" t="s">
        <v>40</v>
      </c>
      <c r="D3371">
        <v>5.0900990000000004</v>
      </c>
      <c r="E3371">
        <v>0.4580013</v>
      </c>
      <c r="F3371" t="s">
        <v>54</v>
      </c>
      <c r="G3371">
        <v>-168.35059999999999</v>
      </c>
      <c r="H3371">
        <v>1.085558</v>
      </c>
      <c r="I3371">
        <v>222.54990000000001</v>
      </c>
      <c r="J3371">
        <v>-279.50380000000001</v>
      </c>
      <c r="K3371">
        <v>1.1095649999999999</v>
      </c>
      <c r="L3371">
        <v>214.18539999999999</v>
      </c>
      <c r="M3371">
        <v>0.99983290000000002</v>
      </c>
      <c r="N3371">
        <v>0</v>
      </c>
      <c r="O3371">
        <v>1.062198E-2</v>
      </c>
      <c r="P3371">
        <v>0.99929020000000002</v>
      </c>
      <c r="Q3371">
        <v>-9.6852440000000008E-3</v>
      </c>
      <c r="R3371">
        <v>-3.6410129999999999E-2</v>
      </c>
      <c r="S3371">
        <v>3.010284</v>
      </c>
      <c r="T3371">
        <v>-6.4623359999999995E-4</v>
      </c>
      <c r="U3371">
        <v>0.22579959999999999</v>
      </c>
      <c r="V3371">
        <v>4.7028819999999999E-2</v>
      </c>
      <c r="W3371">
        <v>5.134385E-3</v>
      </c>
      <c r="X3371">
        <v>0.99888030000000005</v>
      </c>
      <c r="Y3371">
        <v>-6.4201629999999996E-2</v>
      </c>
      <c r="Z3371" s="1">
        <v>4.604512E-6</v>
      </c>
      <c r="AA3371">
        <v>0.99793699999999996</v>
      </c>
      <c r="AB3371">
        <v>38</v>
      </c>
      <c r="AC3371">
        <v>111.1532</v>
      </c>
      <c r="AD3371">
        <v>-2.4006999999999799E-2</v>
      </c>
      <c r="AE3371">
        <v>8.3645000000000191</v>
      </c>
      <c r="AF3371">
        <v>-7.1832299237870396</v>
      </c>
      <c r="AG3371">
        <v>-2.4006999999999799E-2</v>
      </c>
      <c r="AH3371">
        <v>111.235780150453</v>
      </c>
      <c r="AI3371">
        <v>90.012339920500693</v>
      </c>
      <c r="AJ3371">
        <v>93.694837083041705</v>
      </c>
      <c r="AK3371">
        <v>111.467475768288</v>
      </c>
      <c r="AL3371">
        <v>89.705820105619907</v>
      </c>
      <c r="AM3371">
        <v>87.304417189846404</v>
      </c>
      <c r="AN3371">
        <v>0.99999996277400405</v>
      </c>
    </row>
    <row r="3372" spans="1:40" x14ac:dyDescent="0.25">
      <c r="A3372" t="str">
        <f>"20190312161031947"</f>
        <v>20190312161031947</v>
      </c>
      <c r="B3372" t="str">
        <f>"1552378231940211"</f>
        <v>1552378231940211</v>
      </c>
      <c r="C3372" t="s">
        <v>40</v>
      </c>
      <c r="D3372">
        <v>5.1360199999999896</v>
      </c>
      <c r="E3372">
        <v>0.43937130000000002</v>
      </c>
      <c r="F3372" t="s">
        <v>54</v>
      </c>
      <c r="G3372">
        <v>-168.35059999999999</v>
      </c>
      <c r="H3372">
        <v>0.98353860000000004</v>
      </c>
      <c r="I3372">
        <v>222.49019999999999</v>
      </c>
      <c r="J3372">
        <v>-279.14010000000002</v>
      </c>
      <c r="K3372">
        <v>1.1095680000000001</v>
      </c>
      <c r="L3372">
        <v>214.18889999999999</v>
      </c>
      <c r="M3372">
        <v>0.99983690000000003</v>
      </c>
      <c r="N3372">
        <v>0</v>
      </c>
      <c r="O3372">
        <v>1.024015E-2</v>
      </c>
      <c r="P3372">
        <v>0.99926760000000003</v>
      </c>
      <c r="Q3372">
        <v>-1.023046E-2</v>
      </c>
      <c r="R3372">
        <v>-3.6875360000000003E-2</v>
      </c>
      <c r="S3372">
        <v>3.010284</v>
      </c>
      <c r="T3372">
        <v>-3.4115310000000002E-3</v>
      </c>
      <c r="U3372">
        <v>0.22491459999999999</v>
      </c>
      <c r="V3372">
        <v>4.7111989999999999E-2</v>
      </c>
      <c r="W3372">
        <v>4.5865059999999997E-3</v>
      </c>
      <c r="X3372">
        <v>0.99887910000000002</v>
      </c>
      <c r="Y3372">
        <v>-6.4290929999999996E-2</v>
      </c>
      <c r="Z3372" s="1">
        <v>2.4790539999999999E-5</v>
      </c>
      <c r="AA3372">
        <v>0.99793120000000002</v>
      </c>
      <c r="AB3372">
        <v>37</v>
      </c>
      <c r="AC3372">
        <v>110.7895</v>
      </c>
      <c r="AD3372">
        <v>-0.12602940000000001</v>
      </c>
      <c r="AE3372">
        <v>8.3012999999999906</v>
      </c>
      <c r="AF3372">
        <v>-7.1662287716695401</v>
      </c>
      <c r="AG3372">
        <v>-0.12602940000000001</v>
      </c>
      <c r="AH3372">
        <v>110.86856312938301</v>
      </c>
      <c r="AI3372">
        <v>90.064995090488097</v>
      </c>
      <c r="AJ3372">
        <v>93.698291606774703</v>
      </c>
      <c r="AK3372">
        <v>111.09999553821601</v>
      </c>
      <c r="AL3372">
        <v>89.737211646357395</v>
      </c>
      <c r="AM3372">
        <v>87.299653889104206</v>
      </c>
      <c r="AN3372">
        <v>1.0000000160279201</v>
      </c>
    </row>
    <row r="3373" spans="1:40" x14ac:dyDescent="0.25">
      <c r="A3373" t="str">
        <f>"20190312161031989"</f>
        <v>20190312161031989</v>
      </c>
      <c r="B3373" t="str">
        <f>"1552378231980227"</f>
        <v>1552378231980227</v>
      </c>
      <c r="C3373" t="s">
        <v>40</v>
      </c>
      <c r="D3373">
        <v>5.1632639999999999</v>
      </c>
      <c r="E3373">
        <v>0.4398823</v>
      </c>
      <c r="F3373" t="s">
        <v>59</v>
      </c>
      <c r="G3373">
        <v>-200.9256</v>
      </c>
      <c r="H3373">
        <v>8.0000089999999996E-2</v>
      </c>
      <c r="I3373">
        <v>223.8631</v>
      </c>
      <c r="J3373">
        <v>-278.44720000000001</v>
      </c>
      <c r="K3373">
        <v>1.109569</v>
      </c>
      <c r="L3373">
        <v>214.1952</v>
      </c>
      <c r="M3373">
        <v>0.99984410000000001</v>
      </c>
      <c r="N3373">
        <v>0</v>
      </c>
      <c r="O3373">
        <v>9.5122550000000007E-3</v>
      </c>
      <c r="P3373">
        <v>0.99920019999999998</v>
      </c>
      <c r="Q3373">
        <v>-1.0813649999999999E-2</v>
      </c>
      <c r="R3373">
        <v>-3.8496450000000002E-2</v>
      </c>
      <c r="S3373">
        <v>3.015533</v>
      </c>
      <c r="T3373">
        <v>-3.9694670000000001E-2</v>
      </c>
      <c r="U3373">
        <v>0.37298579999999998</v>
      </c>
      <c r="V3373">
        <v>4.8004610000000003E-2</v>
      </c>
      <c r="W3373">
        <v>3.9971410000000001E-3</v>
      </c>
      <c r="X3373">
        <v>0.99883909999999998</v>
      </c>
      <c r="Y3373">
        <v>-0.11329699999999999</v>
      </c>
      <c r="Z3373">
        <v>6.1809729999999995E-4</v>
      </c>
      <c r="AA3373">
        <v>0.99356100000000003</v>
      </c>
      <c r="AB3373">
        <v>37</v>
      </c>
      <c r="AC3373">
        <v>77.521600000000007</v>
      </c>
      <c r="AD3373">
        <v>-1.0295689100000001</v>
      </c>
      <c r="AE3373">
        <v>9.6678999999999995</v>
      </c>
      <c r="AF3373">
        <v>-8.9284249361303392</v>
      </c>
      <c r="AG3373">
        <v>-1.0295689100000001</v>
      </c>
      <c r="AH3373">
        <v>77.596588282257997</v>
      </c>
      <c r="AI3373">
        <v>90.755186582995293</v>
      </c>
      <c r="AJ3373">
        <v>96.563706935260996</v>
      </c>
      <c r="AK3373">
        <v>78.115346104506401</v>
      </c>
      <c r="AL3373">
        <v>89.770980076999095</v>
      </c>
      <c r="AM3373">
        <v>87.248458929988502</v>
      </c>
      <c r="AN3373">
        <v>0.99999998370311705</v>
      </c>
    </row>
    <row r="3374" spans="1:40" x14ac:dyDescent="0.25">
      <c r="A3374" t="str">
        <f>"20190312161032010"</f>
        <v>20190312161032010</v>
      </c>
      <c r="B3374" t="str">
        <f>"1552378231999748"</f>
        <v>1552378231999748</v>
      </c>
      <c r="C3374" t="s">
        <v>40</v>
      </c>
      <c r="D3374">
        <v>5.1565000000000003</v>
      </c>
      <c r="E3374">
        <v>0.43949060000000001</v>
      </c>
      <c r="F3374" t="s">
        <v>59</v>
      </c>
      <c r="G3374">
        <v>-179.95779999999999</v>
      </c>
      <c r="H3374">
        <v>1.926452E-2</v>
      </c>
      <c r="I3374">
        <v>226.07310000000001</v>
      </c>
      <c r="J3374">
        <v>-278.0752</v>
      </c>
      <c r="K3374">
        <v>1.1095680000000001</v>
      </c>
      <c r="L3374">
        <v>214.19829999999999</v>
      </c>
      <c r="M3374">
        <v>0.99984779999999995</v>
      </c>
      <c r="N3374">
        <v>0</v>
      </c>
      <c r="O3374">
        <v>9.1218459999999994E-3</v>
      </c>
      <c r="P3374">
        <v>0.99916020000000005</v>
      </c>
      <c r="Q3374">
        <v>-1.1084790000000001E-2</v>
      </c>
      <c r="R3374">
        <v>-3.9448900000000002E-2</v>
      </c>
      <c r="S3374">
        <v>3.0160520000000002</v>
      </c>
      <c r="T3374">
        <v>-3.3388500000000002E-2</v>
      </c>
      <c r="U3374">
        <v>0.36373899999999998</v>
      </c>
      <c r="V3374">
        <v>4.8566209999999999E-2</v>
      </c>
      <c r="W3374">
        <v>3.7215310000000001E-3</v>
      </c>
      <c r="X3374">
        <v>0.99881299999999995</v>
      </c>
      <c r="Y3374">
        <v>-0.1106651</v>
      </c>
      <c r="Z3374">
        <v>5.0970620000000003E-4</v>
      </c>
      <c r="AA3374">
        <v>0.99385760000000001</v>
      </c>
      <c r="AB3374">
        <v>37</v>
      </c>
      <c r="AC3374">
        <v>98.117400000000004</v>
      </c>
      <c r="AD3374">
        <v>-1.09030348</v>
      </c>
      <c r="AE3374">
        <v>11.8748</v>
      </c>
      <c r="AF3374">
        <v>-10.9778590410956</v>
      </c>
      <c r="AG3374">
        <v>-1.09030348</v>
      </c>
      <c r="AH3374">
        <v>98.209696971634699</v>
      </c>
      <c r="AI3374">
        <v>90.632123090574794</v>
      </c>
      <c r="AJ3374">
        <v>96.378034064756093</v>
      </c>
      <c r="AK3374">
        <v>98.827358206444899</v>
      </c>
      <c r="AL3374">
        <v>89.786771481300804</v>
      </c>
      <c r="AM3374">
        <v>87.216246704149995</v>
      </c>
      <c r="AN3374">
        <v>0.99999996775787303</v>
      </c>
    </row>
    <row r="3375" spans="1:40" x14ac:dyDescent="0.25">
      <c r="A3375" t="str">
        <f>"20190312161032030"</f>
        <v>20190312161032030</v>
      </c>
      <c r="B3375" t="str">
        <f>"1552378232020243"</f>
        <v>1552378232020243</v>
      </c>
      <c r="C3375" t="s">
        <v>40</v>
      </c>
      <c r="D3375">
        <v>5.1582350000000003</v>
      </c>
      <c r="E3375">
        <v>0.43961499999999998</v>
      </c>
      <c r="F3375" t="s">
        <v>43</v>
      </c>
      <c r="G3375">
        <v>-148.87280000000001</v>
      </c>
      <c r="H3375">
        <v>-0.05</v>
      </c>
      <c r="I3375">
        <v>229.7784</v>
      </c>
      <c r="J3375">
        <v>-277.72739999999999</v>
      </c>
      <c r="K3375">
        <v>1.109572</v>
      </c>
      <c r="L3375">
        <v>214.2011</v>
      </c>
      <c r="M3375">
        <v>0.99985119999999905</v>
      </c>
      <c r="N3375">
        <v>0</v>
      </c>
      <c r="O3375">
        <v>8.7567659999999992E-3</v>
      </c>
      <c r="P3375">
        <v>0.99910180000000004</v>
      </c>
      <c r="Q3375">
        <v>-1.163701E-2</v>
      </c>
      <c r="R3375">
        <v>-4.0750099999999997E-2</v>
      </c>
      <c r="S3375">
        <v>3.0165410000000001</v>
      </c>
      <c r="T3375">
        <v>-2.7072909999999999E-2</v>
      </c>
      <c r="U3375">
        <v>0.36375429999999997</v>
      </c>
      <c r="V3375">
        <v>4.950152E-2</v>
      </c>
      <c r="W3375">
        <v>3.1650649999999999E-3</v>
      </c>
      <c r="X3375">
        <v>0.99876900000000002</v>
      </c>
      <c r="Y3375">
        <v>-0.1110159</v>
      </c>
      <c r="Z3375">
        <v>4.1806299999999998E-4</v>
      </c>
      <c r="AA3375">
        <v>0.99381850000000005</v>
      </c>
      <c r="AB3375">
        <v>37</v>
      </c>
      <c r="AC3375">
        <v>128.85459999999901</v>
      </c>
      <c r="AD3375">
        <v>-1.1595719999999901</v>
      </c>
      <c r="AE3375">
        <v>15.577299999999999</v>
      </c>
      <c r="AF3375">
        <v>-14.447075270308</v>
      </c>
      <c r="AG3375">
        <v>-1.1595719999999901</v>
      </c>
      <c r="AH3375">
        <v>128.97578586723199</v>
      </c>
      <c r="AI3375">
        <v>90.511909271640903</v>
      </c>
      <c r="AJ3375">
        <v>96.391279440832903</v>
      </c>
      <c r="AK3375">
        <v>129.787580034298</v>
      </c>
      <c r="AL3375">
        <v>89.818654824807993</v>
      </c>
      <c r="AM3375">
        <v>87.162597911438397</v>
      </c>
      <c r="AN3375">
        <v>0.99999996673988101</v>
      </c>
    </row>
    <row r="3376" spans="1:40" x14ac:dyDescent="0.25">
      <c r="A3376" t="str">
        <f>"20190312161032053"</f>
        <v>20190312161032053</v>
      </c>
      <c r="B3376" t="str">
        <f>"1552378232049524"</f>
        <v>1552378232049524</v>
      </c>
      <c r="C3376" t="s">
        <v>40</v>
      </c>
      <c r="D3376">
        <v>5.2220789999999999</v>
      </c>
      <c r="E3376">
        <v>0.4396369</v>
      </c>
      <c r="F3376" t="s">
        <v>43</v>
      </c>
      <c r="G3376">
        <v>-159.0514</v>
      </c>
      <c r="H3376">
        <v>-0.05</v>
      </c>
      <c r="I3376">
        <v>228.32</v>
      </c>
      <c r="J3376">
        <v>-277.35250000000002</v>
      </c>
      <c r="K3376">
        <v>1.109572</v>
      </c>
      <c r="L3376">
        <v>214.20400000000001</v>
      </c>
      <c r="M3376">
        <v>0.99985449999999998</v>
      </c>
      <c r="N3376">
        <v>0</v>
      </c>
      <c r="O3376">
        <v>8.3628419999999901E-3</v>
      </c>
      <c r="P3376">
        <v>0.99906519999999999</v>
      </c>
      <c r="Q3376">
        <v>-1.162263E-2</v>
      </c>
      <c r="R3376">
        <v>-4.163944E-2</v>
      </c>
      <c r="S3376">
        <v>3.0169980000000001</v>
      </c>
      <c r="T3376">
        <v>-2.9478790000000001E-2</v>
      </c>
      <c r="U3376">
        <v>0.35893249999999999</v>
      </c>
      <c r="V3376">
        <v>4.9996980000000003E-2</v>
      </c>
      <c r="W3376">
        <v>3.175078E-3</v>
      </c>
      <c r="X3376">
        <v>0.99874430000000003</v>
      </c>
      <c r="Y3376">
        <v>-0.1098229</v>
      </c>
      <c r="Z3376">
        <v>4.5321480000000002E-4</v>
      </c>
      <c r="AA3376">
        <v>0.99395109999999998</v>
      </c>
      <c r="AB3376">
        <v>37</v>
      </c>
      <c r="AC3376">
        <v>118.30110000000001</v>
      </c>
      <c r="AD3376">
        <v>-1.1595719999999901</v>
      </c>
      <c r="AE3376">
        <v>14.1159999999999</v>
      </c>
      <c r="AF3376">
        <v>-13.1248202111315</v>
      </c>
      <c r="AG3376">
        <v>-1.1595719999999901</v>
      </c>
      <c r="AH3376">
        <v>118.403808972753</v>
      </c>
      <c r="AI3376">
        <v>90.557685144396601</v>
      </c>
      <c r="AJ3376">
        <v>96.325297514803793</v>
      </c>
      <c r="AK3376">
        <v>119.134661169846</v>
      </c>
      <c r="AL3376">
        <v>89.818081121306307</v>
      </c>
      <c r="AM3376">
        <v>87.134174746653102</v>
      </c>
      <c r="AN3376">
        <v>0.99999997795595796</v>
      </c>
    </row>
    <row r="3377" spans="1:40" x14ac:dyDescent="0.25">
      <c r="A3377" t="str">
        <f>"20190312161032076"</f>
        <v>20190312161032076</v>
      </c>
      <c r="B3377" t="str">
        <f>"1552378232070020"</f>
        <v>1552378232070020</v>
      </c>
      <c r="C3377" t="s">
        <v>40</v>
      </c>
      <c r="D3377">
        <v>5.2291470000000002</v>
      </c>
      <c r="E3377">
        <v>0.43957780000000002</v>
      </c>
      <c r="F3377" t="s">
        <v>59</v>
      </c>
      <c r="G3377">
        <v>-192.16579999999999</v>
      </c>
      <c r="H3377" s="1">
        <v>1.632911E-6</v>
      </c>
      <c r="I3377">
        <v>224.26849999999999</v>
      </c>
      <c r="J3377">
        <v>-276.976</v>
      </c>
      <c r="K3377">
        <v>1.109569</v>
      </c>
      <c r="L3377">
        <v>214.20679999999999</v>
      </c>
      <c r="M3377">
        <v>0.99985800000000002</v>
      </c>
      <c r="N3377">
        <v>0</v>
      </c>
      <c r="O3377">
        <v>7.9668340000000008E-3</v>
      </c>
      <c r="P3377">
        <v>0.99906779999999995</v>
      </c>
      <c r="Q3377">
        <v>-1.17806E-2</v>
      </c>
      <c r="R3377">
        <v>-4.1529110000000001E-2</v>
      </c>
      <c r="S3377">
        <v>3.017242</v>
      </c>
      <c r="T3377">
        <v>-3.9300080000000001E-2</v>
      </c>
      <c r="U3377">
        <v>0.35647579999999901</v>
      </c>
      <c r="V3377">
        <v>4.9491319999999998E-2</v>
      </c>
      <c r="W3377">
        <v>3.0143850000000001E-3</v>
      </c>
      <c r="X3377">
        <v>0.99877000000000005</v>
      </c>
      <c r="Y3377">
        <v>-0.1094053</v>
      </c>
      <c r="Z3377">
        <v>6.0660830000000001E-4</v>
      </c>
      <c r="AA3377">
        <v>0.99399700000000002</v>
      </c>
      <c r="AB3377">
        <v>37</v>
      </c>
      <c r="AC3377">
        <v>84.810199999999995</v>
      </c>
      <c r="AD3377">
        <v>-1.1095673670890001</v>
      </c>
      <c r="AE3377">
        <v>10.0617</v>
      </c>
      <c r="AF3377">
        <v>-9.3840534073393496</v>
      </c>
      <c r="AG3377">
        <v>-1.1095673670890001</v>
      </c>
      <c r="AH3377">
        <v>84.873351037636795</v>
      </c>
      <c r="AI3377">
        <v>90.744461171969704</v>
      </c>
      <c r="AJ3377">
        <v>96.309302525935195</v>
      </c>
      <c r="AK3377">
        <v>85.397759422901899</v>
      </c>
      <c r="AL3377">
        <v>89.827288199264899</v>
      </c>
      <c r="AM3377">
        <v>87.163184450825398</v>
      </c>
      <c r="AN3377">
        <v>0.99999999508613502</v>
      </c>
    </row>
    <row r="3378" spans="1:40" x14ac:dyDescent="0.25">
      <c r="A3378" t="str">
        <f>"20190312161032098"</f>
        <v>20190312161032098</v>
      </c>
      <c r="B3378" t="str">
        <f>"1552378232089540"</f>
        <v>1552378232089540</v>
      </c>
      <c r="C3378" t="s">
        <v>40</v>
      </c>
      <c r="D3378">
        <v>5.3214769999999998</v>
      </c>
      <c r="E3378">
        <v>0.43959910000000002</v>
      </c>
      <c r="F3378" t="s">
        <v>59</v>
      </c>
      <c r="G3378">
        <v>-193.67590000000001</v>
      </c>
      <c r="H3378" s="1">
        <v>1.534518E-6</v>
      </c>
      <c r="I3378">
        <v>224.0667</v>
      </c>
      <c r="J3378">
        <v>-276.60570000000001</v>
      </c>
      <c r="K3378">
        <v>1.1095699999999999</v>
      </c>
      <c r="L3378">
        <v>214.20930000000001</v>
      </c>
      <c r="M3378">
        <v>0.999861</v>
      </c>
      <c r="N3378">
        <v>0</v>
      </c>
      <c r="O3378">
        <v>7.5773280000000004E-3</v>
      </c>
      <c r="P3378">
        <v>0.99900409999999995</v>
      </c>
      <c r="Q3378">
        <v>-1.3255329999999999E-2</v>
      </c>
      <c r="R3378">
        <v>-4.2607399999999997E-2</v>
      </c>
      <c r="S3378">
        <v>3.0171809999999999</v>
      </c>
      <c r="T3378">
        <v>-4.0189269999999999E-2</v>
      </c>
      <c r="U3378">
        <v>0.35713200000000001</v>
      </c>
      <c r="V3378">
        <v>5.0178449999999999E-2</v>
      </c>
      <c r="W3378">
        <v>1.5352409999999999E-3</v>
      </c>
      <c r="X3378">
        <v>0.99873909999999999</v>
      </c>
      <c r="Y3378">
        <v>-0.11000749999999999</v>
      </c>
      <c r="Z3378">
        <v>6.2950250000000005E-4</v>
      </c>
      <c r="AA3378">
        <v>0.9939306</v>
      </c>
      <c r="AB3378">
        <v>37</v>
      </c>
      <c r="AC3378">
        <v>82.9298</v>
      </c>
      <c r="AD3378">
        <v>-1.1095684654819999</v>
      </c>
      <c r="AE3378">
        <v>9.8573999999999806</v>
      </c>
      <c r="AF3378">
        <v>-9.2270325851213801</v>
      </c>
      <c r="AG3378">
        <v>-1.1095684654819999</v>
      </c>
      <c r="AH3378">
        <v>82.987470740613006</v>
      </c>
      <c r="AI3378">
        <v>90.761326010783193</v>
      </c>
      <c r="AJ3378">
        <v>96.344421787896906</v>
      </c>
      <c r="AK3378">
        <v>83.506224752592999</v>
      </c>
      <c r="AL3378">
        <v>89.912037136651705</v>
      </c>
      <c r="AM3378">
        <v>87.123775376801504</v>
      </c>
      <c r="AN3378">
        <v>1.0000000118390699</v>
      </c>
    </row>
    <row r="3379" spans="1:40" x14ac:dyDescent="0.25">
      <c r="A3379" t="str">
        <f>"20190312161032125"</f>
        <v>20190312161032125</v>
      </c>
      <c r="B3379" t="str">
        <f>"1552378232119795"</f>
        <v>1552378232119795</v>
      </c>
      <c r="C3379" t="s">
        <v>40</v>
      </c>
      <c r="D3379">
        <v>5.3039050000000003</v>
      </c>
      <c r="E3379">
        <v>0.43945519999999999</v>
      </c>
      <c r="F3379" t="s">
        <v>59</v>
      </c>
      <c r="G3379">
        <v>-204.53460000000001</v>
      </c>
      <c r="H3379">
        <v>7.9999790000000001E-2</v>
      </c>
      <c r="I3379">
        <v>222.65819999999999</v>
      </c>
      <c r="J3379">
        <v>-276.17079999999999</v>
      </c>
      <c r="K3379">
        <v>1.109578</v>
      </c>
      <c r="L3379">
        <v>214.2122</v>
      </c>
      <c r="M3379">
        <v>0.99986450000000004</v>
      </c>
      <c r="N3379">
        <v>0</v>
      </c>
      <c r="O3379">
        <v>7.1195249999999998E-3</v>
      </c>
      <c r="P3379">
        <v>0.99891079999999999</v>
      </c>
      <c r="Q3379">
        <v>-1.3687889999999999E-2</v>
      </c>
      <c r="R3379">
        <v>-4.4613689999999998E-2</v>
      </c>
      <c r="S3379">
        <v>3.0175480000000001</v>
      </c>
      <c r="T3379">
        <v>-4.3107149999999997E-2</v>
      </c>
      <c r="U3379">
        <v>0.35374450000000002</v>
      </c>
      <c r="V3379">
        <v>5.1726130000000002E-2</v>
      </c>
      <c r="W3379">
        <v>1.09512E-3</v>
      </c>
      <c r="X3379">
        <v>0.99866069999999996</v>
      </c>
      <c r="Y3379">
        <v>-0.10934670000000001</v>
      </c>
      <c r="Z3379">
        <v>6.769778E-4</v>
      </c>
      <c r="AA3379">
        <v>0.99400339999999998</v>
      </c>
      <c r="AB3379">
        <v>37</v>
      </c>
      <c r="AC3379">
        <v>71.636199999999903</v>
      </c>
      <c r="AD3379">
        <v>-1.0295782099999999</v>
      </c>
      <c r="AE3379">
        <v>8.4459999999999908</v>
      </c>
      <c r="AF3379">
        <v>-7.9340975678688199</v>
      </c>
      <c r="AG3379">
        <v>-1.0295782099999999</v>
      </c>
      <c r="AH3379">
        <v>71.679918717530995</v>
      </c>
      <c r="AI3379">
        <v>90.817919737415906</v>
      </c>
      <c r="AJ3379">
        <v>96.316236470119904</v>
      </c>
      <c r="AK3379">
        <v>72.125035063137503</v>
      </c>
      <c r="AL3379">
        <v>89.937254232944099</v>
      </c>
      <c r="AM3379">
        <v>87.034986061685004</v>
      </c>
      <c r="AN3379">
        <v>0.99999999276854001</v>
      </c>
    </row>
    <row r="3380" spans="1:40" x14ac:dyDescent="0.25">
      <c r="A3380" t="str">
        <f>"20190312161032149"</f>
        <v>20190312161032149</v>
      </c>
      <c r="B3380" t="str">
        <f>"1552378232140292"</f>
        <v>1552378232140292</v>
      </c>
      <c r="C3380" t="s">
        <v>40</v>
      </c>
      <c r="D3380">
        <v>5.3036240000000001</v>
      </c>
      <c r="E3380">
        <v>0.4393705</v>
      </c>
      <c r="F3380" t="s">
        <v>59</v>
      </c>
      <c r="G3380">
        <v>-205.0326</v>
      </c>
      <c r="H3380">
        <v>7.9999769999999998E-2</v>
      </c>
      <c r="I3380">
        <v>222.43389999999999</v>
      </c>
      <c r="J3380">
        <v>-275.77300000000002</v>
      </c>
      <c r="K3380">
        <v>1.1095820000000001</v>
      </c>
      <c r="L3380">
        <v>214.21459999999999</v>
      </c>
      <c r="M3380">
        <v>0.99986739999999996</v>
      </c>
      <c r="N3380">
        <v>0</v>
      </c>
      <c r="O3380">
        <v>6.7008160000000001E-3</v>
      </c>
      <c r="P3380">
        <v>0.99881489999999995</v>
      </c>
      <c r="Q3380">
        <v>-1.340451E-2</v>
      </c>
      <c r="R3380">
        <v>-4.6788370000000003E-2</v>
      </c>
      <c r="S3380">
        <v>3.0182500000000001</v>
      </c>
      <c r="T3380">
        <v>-4.3682930000000002E-2</v>
      </c>
      <c r="U3380">
        <v>0.34883120000000001</v>
      </c>
      <c r="V3380">
        <v>5.3482309999999998E-2</v>
      </c>
      <c r="W3380">
        <v>1.3716850000000001E-3</v>
      </c>
      <c r="X3380">
        <v>0.99856789999999995</v>
      </c>
      <c r="Y3380">
        <v>-0.1081395</v>
      </c>
      <c r="Z3380">
        <v>6.8325720000000001E-4</v>
      </c>
      <c r="AA3380">
        <v>0.99413549999999995</v>
      </c>
      <c r="AB3380">
        <v>37</v>
      </c>
      <c r="AC3380">
        <v>70.740399999999894</v>
      </c>
      <c r="AD3380">
        <v>-1.0295822299999999</v>
      </c>
      <c r="AE3380">
        <v>8.2193000000000005</v>
      </c>
      <c r="AF3380">
        <v>-7.7434263691365297</v>
      </c>
      <c r="AG3380">
        <v>-1.0295822299999999</v>
      </c>
      <c r="AH3380">
        <v>70.779100150148395</v>
      </c>
      <c r="AI3380">
        <v>90.828447080583402</v>
      </c>
      <c r="AJ3380">
        <v>96.243484041222999</v>
      </c>
      <c r="AK3380">
        <v>71.208859768762693</v>
      </c>
      <c r="AL3380">
        <v>89.921408217566395</v>
      </c>
      <c r="AM3380">
        <v>86.934223888579396</v>
      </c>
      <c r="AN3380">
        <v>1.00000004495654</v>
      </c>
    </row>
    <row r="3381" spans="1:40" x14ac:dyDescent="0.25">
      <c r="A3381" t="str">
        <f>"20190312161032192"</f>
        <v>20190312161032192</v>
      </c>
      <c r="B3381" t="str">
        <f>"1552378232179332"</f>
        <v>1552378232179332</v>
      </c>
      <c r="C3381" t="s">
        <v>40</v>
      </c>
      <c r="D3381">
        <v>5.5929440000000001</v>
      </c>
      <c r="E3381">
        <v>0.43934089999999998</v>
      </c>
      <c r="F3381" t="s">
        <v>59</v>
      </c>
      <c r="G3381">
        <v>-204.5309</v>
      </c>
      <c r="H3381">
        <v>7.9999829999999994E-2</v>
      </c>
      <c r="I3381">
        <v>222.30619999999999</v>
      </c>
      <c r="J3381">
        <v>-275.0557</v>
      </c>
      <c r="K3381">
        <v>1.1095790000000001</v>
      </c>
      <c r="L3381">
        <v>214.21850000000001</v>
      </c>
      <c r="M3381">
        <v>0.99987230000000005</v>
      </c>
      <c r="N3381">
        <v>0</v>
      </c>
      <c r="O3381">
        <v>5.9455790000000003E-3</v>
      </c>
      <c r="P3381">
        <v>0.99849149999999998</v>
      </c>
      <c r="Q3381">
        <v>-1.523762E-2</v>
      </c>
      <c r="R3381">
        <v>-5.275287E-2</v>
      </c>
      <c r="S3381">
        <v>3.019012</v>
      </c>
      <c r="T3381">
        <v>-4.363036E-2</v>
      </c>
      <c r="U3381">
        <v>0.34289550000000002</v>
      </c>
      <c r="V3381">
        <v>5.8688780000000003E-2</v>
      </c>
      <c r="W3381">
        <v>-4.784042E-4</v>
      </c>
      <c r="X3381">
        <v>0.99827619999999895</v>
      </c>
      <c r="Y3381">
        <v>-0.1069325</v>
      </c>
      <c r="Z3381">
        <v>6.8452409999999997E-4</v>
      </c>
      <c r="AA3381">
        <v>0.99426599999999998</v>
      </c>
      <c r="AB3381">
        <v>37</v>
      </c>
      <c r="AC3381">
        <v>70.524799999999999</v>
      </c>
      <c r="AD3381">
        <v>-1.0295791700000001</v>
      </c>
      <c r="AE3381">
        <v>8.0876999999999803</v>
      </c>
      <c r="AF3381">
        <v>-7.6665873716810804</v>
      </c>
      <c r="AG3381">
        <v>-1.0295791700000001</v>
      </c>
      <c r="AH3381">
        <v>70.5568022705353</v>
      </c>
      <c r="AI3381">
        <v>90.831121016648197</v>
      </c>
      <c r="AJ3381">
        <v>96.201336921207698</v>
      </c>
      <c r="AK3381">
        <v>70.979567072773406</v>
      </c>
      <c r="AL3381">
        <v>90.027410542973399</v>
      </c>
      <c r="AM3381">
        <v>86.635446820063507</v>
      </c>
      <c r="AN3381">
        <v>0.99999998662745304</v>
      </c>
    </row>
    <row r="3382" spans="1:40" x14ac:dyDescent="0.25">
      <c r="A3382" t="str">
        <f>"20190312161032212"</f>
        <v>20190312161032212</v>
      </c>
      <c r="B3382" t="str">
        <f>"1552378232199828"</f>
        <v>1552378232199828</v>
      </c>
      <c r="C3382" t="s">
        <v>40</v>
      </c>
      <c r="D3382">
        <v>5.5283350000000002</v>
      </c>
      <c r="E3382">
        <v>0.5254489</v>
      </c>
      <c r="F3382" t="s">
        <v>61</v>
      </c>
      <c r="G3382">
        <v>-212.57910000000001</v>
      </c>
      <c r="H3382">
        <v>8.0000500000000002E-2</v>
      </c>
      <c r="I3382">
        <v>220.94319999999999</v>
      </c>
      <c r="J3382">
        <v>-274.73099999999999</v>
      </c>
      <c r="K3382">
        <v>1.1095710000000001</v>
      </c>
      <c r="L3382">
        <v>214.2201</v>
      </c>
      <c r="M3382">
        <v>0.99987429999999999</v>
      </c>
      <c r="N3382">
        <v>0</v>
      </c>
      <c r="O3382">
        <v>5.6036860000000001E-3</v>
      </c>
      <c r="P3382">
        <v>0.99826409999999999</v>
      </c>
      <c r="Q3382">
        <v>-1.701886E-2</v>
      </c>
      <c r="R3382">
        <v>-5.6385070000000002E-2</v>
      </c>
      <c r="S3382">
        <v>3.020966</v>
      </c>
      <c r="T3382">
        <v>-4.9783830000000001E-2</v>
      </c>
      <c r="U3382">
        <v>0.32516479999999998</v>
      </c>
      <c r="V3382">
        <v>6.197656E-2</v>
      </c>
      <c r="W3382">
        <v>-2.269409E-3</v>
      </c>
      <c r="X3382">
        <v>0.99807500000000005</v>
      </c>
      <c r="Y3382">
        <v>-0.1014313</v>
      </c>
      <c r="Z3382">
        <v>7.4122610000000003E-4</v>
      </c>
      <c r="AA3382">
        <v>0.99484229999999996</v>
      </c>
      <c r="AB3382">
        <v>37</v>
      </c>
      <c r="AC3382">
        <v>62.151899999999898</v>
      </c>
      <c r="AD3382">
        <v>-1.0295704999999999</v>
      </c>
      <c r="AE3382">
        <v>6.7230999999999801</v>
      </c>
      <c r="AF3382">
        <v>-6.3729477850426601</v>
      </c>
      <c r="AG3382">
        <v>-1.0295704999999999</v>
      </c>
      <c r="AH3382">
        <v>62.171738878358902</v>
      </c>
      <c r="AI3382">
        <v>90.943792843462802</v>
      </c>
      <c r="AJ3382">
        <v>95.852693215292504</v>
      </c>
      <c r="AK3382">
        <v>62.505996464692799</v>
      </c>
      <c r="AL3382">
        <v>90.130027672562605</v>
      </c>
      <c r="AM3382">
        <v>86.446718209344496</v>
      </c>
      <c r="AN3382">
        <v>0.99999997491582104</v>
      </c>
    </row>
    <row r="3383" spans="1:40" x14ac:dyDescent="0.25">
      <c r="A3383" t="str">
        <f>"20190312161032233"</f>
        <v>20190312161032233</v>
      </c>
      <c r="B3383" t="str">
        <f>"1552378232219348"</f>
        <v>1552378232219348</v>
      </c>
      <c r="C3383" t="s">
        <v>40</v>
      </c>
      <c r="D3383">
        <v>5.4680689999999998</v>
      </c>
      <c r="E3383">
        <v>0.53522320000000001</v>
      </c>
      <c r="F3383" t="s">
        <v>55</v>
      </c>
      <c r="G3383">
        <v>-168.41249999999999</v>
      </c>
      <c r="H3383">
        <v>0.48386859999999998</v>
      </c>
      <c r="I3383">
        <v>200.935</v>
      </c>
      <c r="J3383">
        <v>-274.37790000000001</v>
      </c>
      <c r="K3383">
        <v>1.1095649999999999</v>
      </c>
      <c r="L3383">
        <v>214.2217</v>
      </c>
      <c r="M3383">
        <v>0.99987630000000005</v>
      </c>
      <c r="N3383">
        <v>0</v>
      </c>
      <c r="O3383">
        <v>5.2315219999999997E-3</v>
      </c>
      <c r="P3383">
        <v>0.99792029999999998</v>
      </c>
      <c r="Q3383">
        <v>-1.8040520000000001E-2</v>
      </c>
      <c r="R3383">
        <v>-6.1886740000000003E-2</v>
      </c>
      <c r="S3383">
        <v>2.9838559999999998</v>
      </c>
      <c r="T3383">
        <v>-1.755953E-2</v>
      </c>
      <c r="U3383">
        <v>-0.37284850000000003</v>
      </c>
      <c r="V3383">
        <v>6.710381E-2</v>
      </c>
      <c r="W3383">
        <v>-3.3048209999999999E-3</v>
      </c>
      <c r="X3383">
        <v>0.99774050000000003</v>
      </c>
      <c r="Y3383">
        <v>0.12917870000000001</v>
      </c>
      <c r="Z3383">
        <v>-4.0929589999999999E-4</v>
      </c>
      <c r="AA3383">
        <v>0.99162130000000004</v>
      </c>
      <c r="AB3383">
        <v>37</v>
      </c>
      <c r="AC3383">
        <v>105.9654</v>
      </c>
      <c r="AD3383">
        <v>-0.62569639999999904</v>
      </c>
      <c r="AE3383">
        <v>-13.2866999999999</v>
      </c>
      <c r="AF3383">
        <v>13.840464364513601</v>
      </c>
      <c r="AG3383">
        <v>-0.62569639999999904</v>
      </c>
      <c r="AH3383">
        <v>105.890797468752</v>
      </c>
      <c r="AI3383">
        <v>90.335694888341706</v>
      </c>
      <c r="AJ3383">
        <v>82.553365152081994</v>
      </c>
      <c r="AK3383">
        <v>106.79330942703599</v>
      </c>
      <c r="AL3383">
        <v>90.189352644903096</v>
      </c>
      <c r="AM3383">
        <v>86.152322446629199</v>
      </c>
      <c r="AN3383">
        <v>0.99999997424930298</v>
      </c>
    </row>
    <row r="3384" spans="1:40" x14ac:dyDescent="0.25">
      <c r="A3384" t="str">
        <f>"20190312161032257"</f>
        <v>20190312161032257</v>
      </c>
      <c r="B3384" t="str">
        <f>"1552378232249604"</f>
        <v>1552378232249604</v>
      </c>
      <c r="C3384" t="s">
        <v>40</v>
      </c>
      <c r="D3384">
        <v>5.4962390000000001</v>
      </c>
      <c r="E3384">
        <v>0.53823520000000002</v>
      </c>
      <c r="F3384" t="s">
        <v>55</v>
      </c>
      <c r="G3384">
        <v>-168.4135</v>
      </c>
      <c r="H3384">
        <v>0.32817079999999998</v>
      </c>
      <c r="I3384">
        <v>197.5976</v>
      </c>
      <c r="J3384">
        <v>-273.97500000000002</v>
      </c>
      <c r="K3384">
        <v>1.109564</v>
      </c>
      <c r="L3384">
        <v>214.2234</v>
      </c>
      <c r="M3384">
        <v>0.99987839999999995</v>
      </c>
      <c r="N3384">
        <v>0</v>
      </c>
      <c r="O3384">
        <v>4.806856E-3</v>
      </c>
      <c r="P3384">
        <v>0.99747339999999995</v>
      </c>
      <c r="Q3384">
        <v>-1.8728809999999999E-2</v>
      </c>
      <c r="R3384">
        <v>-6.8526760000000006E-2</v>
      </c>
      <c r="S3384">
        <v>2.9768979999999998</v>
      </c>
      <c r="T3384">
        <v>-2.1951080000000001E-2</v>
      </c>
      <c r="U3384">
        <v>-0.46702579999999999</v>
      </c>
      <c r="V3384">
        <v>7.331733E-2</v>
      </c>
      <c r="W3384">
        <v>-4.0100040000000002E-3</v>
      </c>
      <c r="X3384">
        <v>0.99730059999999998</v>
      </c>
      <c r="Y3384">
        <v>0.1597307</v>
      </c>
      <c r="Z3384">
        <v>-6.2056049999999999E-4</v>
      </c>
      <c r="AA3384">
        <v>0.98716040000000005</v>
      </c>
      <c r="AB3384">
        <v>37</v>
      </c>
      <c r="AC3384">
        <v>105.5615</v>
      </c>
      <c r="AD3384">
        <v>-0.78139320000000001</v>
      </c>
      <c r="AE3384">
        <v>-16.625799999999899</v>
      </c>
      <c r="AF3384">
        <v>17.132166647828502</v>
      </c>
      <c r="AG3384">
        <v>-0.78139320000000001</v>
      </c>
      <c r="AH3384">
        <v>105.474714131421</v>
      </c>
      <c r="AI3384">
        <v>90.418968517068507</v>
      </c>
      <c r="AJ3384">
        <v>80.774069572517107</v>
      </c>
      <c r="AK3384">
        <v>106.85989439676101</v>
      </c>
      <c r="AL3384">
        <v>90.229756921043005</v>
      </c>
      <c r="AM3384">
        <v>85.795419927505094</v>
      </c>
      <c r="AN3384">
        <v>0.99999999888538404</v>
      </c>
    </row>
    <row r="3385" spans="1:40" x14ac:dyDescent="0.25">
      <c r="A3385" t="str">
        <f>"20190312161032277"</f>
        <v>20190312161032277</v>
      </c>
      <c r="B3385" t="str">
        <f>"1552378232270100"</f>
        <v>1552378232270100</v>
      </c>
      <c r="C3385" t="s">
        <v>40</v>
      </c>
      <c r="D3385">
        <v>5.4713849999999997</v>
      </c>
      <c r="E3385">
        <v>0.54023690000000002</v>
      </c>
      <c r="F3385" t="s">
        <v>55</v>
      </c>
      <c r="G3385">
        <v>-168.41399999999999</v>
      </c>
      <c r="H3385">
        <v>0.25081160000000002</v>
      </c>
      <c r="I3385">
        <v>196.08519999999999</v>
      </c>
      <c r="J3385">
        <v>-273.64339999999999</v>
      </c>
      <c r="K3385">
        <v>1.109567</v>
      </c>
      <c r="L3385">
        <v>214.22460000000001</v>
      </c>
      <c r="M3385">
        <v>0.99988010000000005</v>
      </c>
      <c r="N3385">
        <v>0</v>
      </c>
      <c r="O3385">
        <v>4.4572769999999999E-3</v>
      </c>
      <c r="P3385">
        <v>0.99697100000000005</v>
      </c>
      <c r="Q3385">
        <v>-1.901251E-2</v>
      </c>
      <c r="R3385">
        <v>-7.5414980000000006E-2</v>
      </c>
      <c r="S3385">
        <v>2.9720759999999999</v>
      </c>
      <c r="T3385">
        <v>-2.417731E-2</v>
      </c>
      <c r="U3385">
        <v>-0.51068119999999995</v>
      </c>
      <c r="V3385">
        <v>7.9854250000000002E-2</v>
      </c>
      <c r="W3385">
        <v>-4.3110550000000003E-3</v>
      </c>
      <c r="X3385">
        <v>0.99679720000000005</v>
      </c>
      <c r="Y3385">
        <v>0.17373069999999999</v>
      </c>
      <c r="Z3385">
        <v>-7.3748460000000004E-4</v>
      </c>
      <c r="AA3385">
        <v>0.98479289999999997</v>
      </c>
      <c r="AB3385">
        <v>37</v>
      </c>
      <c r="AC3385">
        <v>105.229399999999</v>
      </c>
      <c r="AD3385">
        <v>-0.85875539999999995</v>
      </c>
      <c r="AE3385">
        <v>-18.139399999999998</v>
      </c>
      <c r="AF3385">
        <v>18.607104490455701</v>
      </c>
      <c r="AG3385">
        <v>-0.85875539999999995</v>
      </c>
      <c r="AH3385">
        <v>105.14069307648801</v>
      </c>
      <c r="AI3385">
        <v>90.460802983829694</v>
      </c>
      <c r="AJ3385">
        <v>79.964084444736699</v>
      </c>
      <c r="AK3385">
        <v>106.77793376423899</v>
      </c>
      <c r="AL3385">
        <v>90.247006028732898</v>
      </c>
      <c r="AM3385">
        <v>85.419769145644295</v>
      </c>
      <c r="AN3385">
        <v>0.99999997218305703</v>
      </c>
    </row>
    <row r="3386" spans="1:40" x14ac:dyDescent="0.25">
      <c r="A3386" t="str">
        <f>"20190312161032299"</f>
        <v>20190312161032299</v>
      </c>
      <c r="B3386" t="str">
        <f>"1552378232289620"</f>
        <v>1552378232289620</v>
      </c>
      <c r="C3386" t="s">
        <v>40</v>
      </c>
      <c r="D3386">
        <v>5.5291670000000002</v>
      </c>
      <c r="E3386">
        <v>0.54140650000000001</v>
      </c>
      <c r="F3386" t="s">
        <v>51</v>
      </c>
      <c r="G3386">
        <v>-234.68629999999999</v>
      </c>
      <c r="H3386">
        <v>0.74465429999999999</v>
      </c>
      <c r="I3386">
        <v>207.04230000000001</v>
      </c>
      <c r="J3386">
        <v>-273.28640000000001</v>
      </c>
      <c r="K3386">
        <v>1.1095660000000001</v>
      </c>
      <c r="L3386">
        <v>214.22579999999999</v>
      </c>
      <c r="M3386">
        <v>0.99988189999999999</v>
      </c>
      <c r="N3386">
        <v>0</v>
      </c>
      <c r="O3386">
        <v>4.0805260000000001E-3</v>
      </c>
      <c r="P3386">
        <v>0.99653400000000003</v>
      </c>
      <c r="Q3386">
        <v>-1.8554899999999999E-2</v>
      </c>
      <c r="R3386">
        <v>-8.1093929999999995E-2</v>
      </c>
      <c r="S3386">
        <v>2.9671940000000001</v>
      </c>
      <c r="T3386">
        <v>-2.7790189999999999E-2</v>
      </c>
      <c r="U3386">
        <v>-0.54704280000000005</v>
      </c>
      <c r="V3386">
        <v>8.5156090000000004E-2</v>
      </c>
      <c r="W3386">
        <v>-3.8687370000000001E-3</v>
      </c>
      <c r="X3386">
        <v>0.99636009999999997</v>
      </c>
      <c r="Y3386">
        <v>0.1853119</v>
      </c>
      <c r="Z3386">
        <v>-8.9843369999999896E-4</v>
      </c>
      <c r="AA3386">
        <v>0.98267939999999998</v>
      </c>
      <c r="AB3386">
        <v>37</v>
      </c>
      <c r="AC3386">
        <v>38.600099999999998</v>
      </c>
      <c r="AD3386">
        <v>-0.36491170000000001</v>
      </c>
      <c r="AE3386">
        <v>-7.18349999999998</v>
      </c>
      <c r="AF3386">
        <v>7.3403321289070398</v>
      </c>
      <c r="AG3386">
        <v>-0.36491170000000001</v>
      </c>
      <c r="AH3386">
        <v>38.5671314710196</v>
      </c>
      <c r="AI3386">
        <v>90.532541854729104</v>
      </c>
      <c r="AJ3386">
        <v>79.224000249074393</v>
      </c>
      <c r="AK3386">
        <v>39.261141937217999</v>
      </c>
      <c r="AL3386">
        <v>90.221662857788502</v>
      </c>
      <c r="AM3386">
        <v>85.114962582302994</v>
      </c>
      <c r="AN3386">
        <v>0.99999998783103605</v>
      </c>
    </row>
    <row r="3387" spans="1:40" x14ac:dyDescent="0.25">
      <c r="A3387" t="str">
        <f>"20190312161032323"</f>
        <v>20190312161032323</v>
      </c>
      <c r="B3387" t="str">
        <f>"1552378232319876"</f>
        <v>1552378232319876</v>
      </c>
      <c r="C3387" t="s">
        <v>40</v>
      </c>
      <c r="D3387">
        <v>5.5805720000000001</v>
      </c>
      <c r="E3387">
        <v>0.54209240000000003</v>
      </c>
      <c r="F3387" t="s">
        <v>51</v>
      </c>
      <c r="G3387">
        <v>-234.69839999999999</v>
      </c>
      <c r="H3387">
        <v>0.69060500000000002</v>
      </c>
      <c r="I3387">
        <v>206.76519999999999</v>
      </c>
      <c r="J3387">
        <v>-272.90030000000002</v>
      </c>
      <c r="K3387">
        <v>1.109564</v>
      </c>
      <c r="L3387">
        <v>214.2269</v>
      </c>
      <c r="M3387">
        <v>0.99988350000000004</v>
      </c>
      <c r="N3387">
        <v>0</v>
      </c>
      <c r="O3387">
        <v>3.6729050000000002E-3</v>
      </c>
      <c r="P3387">
        <v>0.99626519999999996</v>
      </c>
      <c r="Q3387">
        <v>-1.805176E-2</v>
      </c>
      <c r="R3387">
        <v>-8.4440959999999995E-2</v>
      </c>
      <c r="S3387">
        <v>2.9632260000000001</v>
      </c>
      <c r="T3387">
        <v>-3.2168870000000002E-2</v>
      </c>
      <c r="U3387">
        <v>-0.57290649999999999</v>
      </c>
      <c r="V3387">
        <v>8.8096560000000004E-2</v>
      </c>
      <c r="W3387">
        <v>-3.3761770000000002E-3</v>
      </c>
      <c r="X3387">
        <v>0.99610620000000005</v>
      </c>
      <c r="Y3387">
        <v>0.1934176</v>
      </c>
      <c r="Z3387">
        <v>-1.0797249999999999E-3</v>
      </c>
      <c r="AA3387">
        <v>0.98111590000000004</v>
      </c>
      <c r="AB3387">
        <v>37</v>
      </c>
      <c r="AC3387">
        <v>38.201900000000002</v>
      </c>
      <c r="AD3387">
        <v>-0.41895900000000003</v>
      </c>
      <c r="AE3387">
        <v>-7.4617000000000004</v>
      </c>
      <c r="AF3387">
        <v>7.6010963891663099</v>
      </c>
      <c r="AG3387">
        <v>-0.41895900000000003</v>
      </c>
      <c r="AH3387">
        <v>38.169811001528799</v>
      </c>
      <c r="AI3387">
        <v>90.616754706825802</v>
      </c>
      <c r="AJ3387">
        <v>78.737511980541996</v>
      </c>
      <c r="AK3387">
        <v>38.9215449957155</v>
      </c>
      <c r="AL3387">
        <v>90.193441063951298</v>
      </c>
      <c r="AM3387">
        <v>84.945858019759896</v>
      </c>
      <c r="AN3387">
        <v>0.99999998206670404</v>
      </c>
    </row>
    <row r="3388" spans="1:40" x14ac:dyDescent="0.25">
      <c r="A3388" t="str">
        <f>"20190312161032351"</f>
        <v>20190312161032351</v>
      </c>
      <c r="B3388" t="str">
        <f>"1552378232339396"</f>
        <v>1552378232339396</v>
      </c>
      <c r="C3388" t="s">
        <v>40</v>
      </c>
      <c r="D3388">
        <v>5.5740660000000002</v>
      </c>
      <c r="E3388">
        <v>0.542076</v>
      </c>
      <c r="F3388" t="s">
        <v>41</v>
      </c>
      <c r="G3388">
        <v>-182.6808</v>
      </c>
      <c r="H3388" s="1">
        <v>-4.2111719999999997E-6</v>
      </c>
      <c r="I3388">
        <v>196.30009999999999</v>
      </c>
      <c r="J3388">
        <v>-272.45639999999997</v>
      </c>
      <c r="K3388">
        <v>1.1095699999999999</v>
      </c>
      <c r="L3388">
        <v>214.22810000000001</v>
      </c>
      <c r="M3388">
        <v>0.99988520000000003</v>
      </c>
      <c r="N3388">
        <v>0</v>
      </c>
      <c r="O3388">
        <v>3.2041389999999999E-3</v>
      </c>
      <c r="P3388">
        <v>0.99610019999999999</v>
      </c>
      <c r="Q3388">
        <v>-1.7735069999999999E-2</v>
      </c>
      <c r="R3388">
        <v>-8.6430190000000004E-2</v>
      </c>
      <c r="S3388">
        <v>2.9607239999999999</v>
      </c>
      <c r="T3388">
        <v>-3.6412600000000003E-2</v>
      </c>
      <c r="U3388">
        <v>-0.58830260000000001</v>
      </c>
      <c r="V3388">
        <v>8.9618719999999999E-2</v>
      </c>
      <c r="W3388">
        <v>-3.0675500000000001E-3</v>
      </c>
      <c r="X3388">
        <v>0.99597139999999995</v>
      </c>
      <c r="Y3388">
        <v>0.19801949999999999</v>
      </c>
      <c r="Z3388">
        <v>-1.2448750000000001E-3</v>
      </c>
      <c r="AA3388">
        <v>0.98019730000000005</v>
      </c>
      <c r="AB3388">
        <v>37</v>
      </c>
      <c r="AC3388">
        <v>89.775599999999898</v>
      </c>
      <c r="AD3388">
        <v>-1.1095742111719999</v>
      </c>
      <c r="AE3388">
        <v>-17.928000000000001</v>
      </c>
      <c r="AF3388">
        <v>18.2129175767387</v>
      </c>
      <c r="AG3388">
        <v>-1.1095742111719999</v>
      </c>
      <c r="AH3388">
        <v>89.704511621744302</v>
      </c>
      <c r="AI3388">
        <v>90.694499175193201</v>
      </c>
      <c r="AJ3388">
        <v>78.523106981699897</v>
      </c>
      <c r="AK3388">
        <v>91.541471076681006</v>
      </c>
      <c r="AL3388">
        <v>90.175757948091501</v>
      </c>
      <c r="AM3388">
        <v>84.858302907518805</v>
      </c>
      <c r="AN3388">
        <v>0.99999997722769995</v>
      </c>
    </row>
    <row r="3389" spans="1:40" x14ac:dyDescent="0.25">
      <c r="A3389" t="str">
        <f>"20190312161032390"</f>
        <v>20190312161032390</v>
      </c>
      <c r="B3389" t="str">
        <f>"1552378232379411"</f>
        <v>1552378232379411</v>
      </c>
      <c r="C3389" t="s">
        <v>40</v>
      </c>
      <c r="D3389">
        <v>5.5952780000000004</v>
      </c>
      <c r="E3389">
        <v>0.5421513</v>
      </c>
      <c r="F3389" t="s">
        <v>51</v>
      </c>
      <c r="G3389">
        <v>-234.7296</v>
      </c>
      <c r="H3389">
        <v>0.55155940000000003</v>
      </c>
      <c r="I3389">
        <v>206.65719999999999</v>
      </c>
      <c r="J3389">
        <v>-271.82380000000001</v>
      </c>
      <c r="K3389">
        <v>1.1095820000000001</v>
      </c>
      <c r="L3389">
        <v>214.22929999999999</v>
      </c>
      <c r="M3389">
        <v>0.99988730000000003</v>
      </c>
      <c r="N3389">
        <v>0</v>
      </c>
      <c r="O3389">
        <v>2.5359129999999999E-3</v>
      </c>
      <c r="P3389">
        <v>0.99602880000000005</v>
      </c>
      <c r="Q3389">
        <v>-1.757593E-2</v>
      </c>
      <c r="R3389">
        <v>-8.7282040000000005E-2</v>
      </c>
      <c r="S3389">
        <v>2.9594420000000001</v>
      </c>
      <c r="T3389">
        <v>-4.3768759999999997E-2</v>
      </c>
      <c r="U3389">
        <v>-0.59388730000000001</v>
      </c>
      <c r="V3389">
        <v>8.9805070000000001E-2</v>
      </c>
      <c r="W3389">
        <v>-2.9154879999999999E-3</v>
      </c>
      <c r="X3389">
        <v>0.99595509999999998</v>
      </c>
      <c r="Y3389">
        <v>0.19921759999999999</v>
      </c>
      <c r="Z3389">
        <v>-1.4956889999999999E-3</v>
      </c>
      <c r="AA3389">
        <v>0.97995410000000005</v>
      </c>
      <c r="AB3389">
        <v>37</v>
      </c>
      <c r="AC3389">
        <v>37.094200000000001</v>
      </c>
      <c r="AD3389">
        <v>-0.55802259999999904</v>
      </c>
      <c r="AE3389">
        <v>-7.5720999999999998</v>
      </c>
      <c r="AF3389">
        <v>7.6644884943900298</v>
      </c>
      <c r="AG3389">
        <v>-0.55802259999999904</v>
      </c>
      <c r="AH3389">
        <v>37.066823611082498</v>
      </c>
      <c r="AI3389">
        <v>90.844629546159894</v>
      </c>
      <c r="AJ3389">
        <v>78.317315371363406</v>
      </c>
      <c r="AK3389">
        <v>37.855054955948098</v>
      </c>
      <c r="AL3389">
        <v>90.167045393278599</v>
      </c>
      <c r="AM3389">
        <v>84.847585059600803</v>
      </c>
      <c r="AN3389">
        <v>1.00000000594199</v>
      </c>
    </row>
    <row r="3390" spans="1:40" x14ac:dyDescent="0.25">
      <c r="A3390" t="str">
        <f>"20190312161032410"</f>
        <v>20190312161032410</v>
      </c>
      <c r="B3390" t="str">
        <f>"1552378232399908"</f>
        <v>1552378232399908</v>
      </c>
      <c r="C3390" t="s">
        <v>40</v>
      </c>
      <c r="D3390">
        <v>5.611116</v>
      </c>
      <c r="E3390">
        <v>0.54187989999999997</v>
      </c>
      <c r="F3390" t="s">
        <v>51</v>
      </c>
      <c r="G3390">
        <v>-234.744</v>
      </c>
      <c r="H3390">
        <v>0.48696040000000002</v>
      </c>
      <c r="I3390">
        <v>206.7484</v>
      </c>
      <c r="J3390">
        <v>-271.47919999999999</v>
      </c>
      <c r="K3390">
        <v>1.1095790000000001</v>
      </c>
      <c r="L3390">
        <v>214.22980000000001</v>
      </c>
      <c r="M3390">
        <v>0.99988809999999995</v>
      </c>
      <c r="N3390">
        <v>0</v>
      </c>
      <c r="O3390">
        <v>2.1717960000000001E-3</v>
      </c>
      <c r="P3390">
        <v>0.99616649999999995</v>
      </c>
      <c r="Q3390">
        <v>-1.752741E-2</v>
      </c>
      <c r="R3390">
        <v>-8.5706190000000002E-2</v>
      </c>
      <c r="S3390">
        <v>2.958771</v>
      </c>
      <c r="T3390">
        <v>-4.9678090000000001E-2</v>
      </c>
      <c r="U3390">
        <v>-0.59693909999999994</v>
      </c>
      <c r="V3390">
        <v>8.7866749999999993E-2</v>
      </c>
      <c r="W3390">
        <v>-2.8661680000000001E-3</v>
      </c>
      <c r="X3390">
        <v>0.99612809999999896</v>
      </c>
      <c r="Y3390">
        <v>0.19986889999999999</v>
      </c>
      <c r="Z3390">
        <v>-1.697165E-3</v>
      </c>
      <c r="AA3390">
        <v>0.97982119999999995</v>
      </c>
      <c r="AB3390">
        <v>37</v>
      </c>
      <c r="AC3390">
        <v>36.735199999999899</v>
      </c>
      <c r="AD3390">
        <v>-0.62261860000000002</v>
      </c>
      <c r="AE3390">
        <v>-7.4813999999999998</v>
      </c>
      <c r="AF3390">
        <v>7.5590874855152403</v>
      </c>
      <c r="AG3390">
        <v>-0.62261860000000002</v>
      </c>
      <c r="AH3390">
        <v>36.708738390163496</v>
      </c>
      <c r="AI3390">
        <v>90.951738033946498</v>
      </c>
      <c r="AJ3390">
        <v>78.364260661584495</v>
      </c>
      <c r="AK3390">
        <v>37.484115725627099</v>
      </c>
      <c r="AL3390">
        <v>90.1642195568934</v>
      </c>
      <c r="AM3390">
        <v>84.959084564462898</v>
      </c>
      <c r="AN3390">
        <v>0.99999998614208796</v>
      </c>
    </row>
    <row r="3391" spans="1:40" x14ac:dyDescent="0.25">
      <c r="A3391" t="str">
        <f>"20190312161032433"</f>
        <v>20190312161032433</v>
      </c>
      <c r="B3391" t="str">
        <f>"1552378232430163"</f>
        <v>1552378232430163</v>
      </c>
      <c r="C3391" t="s">
        <v>40</v>
      </c>
      <c r="D3391">
        <v>5.5130530000000002</v>
      </c>
      <c r="E3391">
        <v>0.54188819999999904</v>
      </c>
      <c r="F3391" t="s">
        <v>51</v>
      </c>
      <c r="G3391">
        <v>-234.75120000000001</v>
      </c>
      <c r="H3391">
        <v>0.45494649999999998</v>
      </c>
      <c r="I3391">
        <v>206.9093</v>
      </c>
      <c r="J3391">
        <v>-271.11430000000001</v>
      </c>
      <c r="K3391">
        <v>1.1095790000000001</v>
      </c>
      <c r="L3391">
        <v>214.2302</v>
      </c>
      <c r="M3391">
        <v>0.99988889999999997</v>
      </c>
      <c r="N3391">
        <v>0</v>
      </c>
      <c r="O3391">
        <v>1.785984E-3</v>
      </c>
      <c r="P3391">
        <v>0.99638899999999997</v>
      </c>
      <c r="Q3391">
        <v>-1.755992E-2</v>
      </c>
      <c r="R3391">
        <v>-8.3070199999999997E-2</v>
      </c>
      <c r="S3391">
        <v>2.9598390000000001</v>
      </c>
      <c r="T3391">
        <v>-5.2751659999999999E-2</v>
      </c>
      <c r="U3391">
        <v>-0.58995059999999999</v>
      </c>
      <c r="V3391">
        <v>8.4847060000000002E-2</v>
      </c>
      <c r="W3391">
        <v>-2.8956059999999998E-3</v>
      </c>
      <c r="X3391">
        <v>0.99638979999999999</v>
      </c>
      <c r="Y3391">
        <v>0.19719439999999999</v>
      </c>
      <c r="Z3391">
        <v>-1.7715210000000001E-3</v>
      </c>
      <c r="AA3391">
        <v>0.98036279999999998</v>
      </c>
      <c r="AB3391">
        <v>36</v>
      </c>
      <c r="AC3391">
        <v>36.363100000000003</v>
      </c>
      <c r="AD3391">
        <v>-0.65463249999999995</v>
      </c>
      <c r="AE3391">
        <v>-7.3208999999999902</v>
      </c>
      <c r="AF3391">
        <v>7.3835395908120303</v>
      </c>
      <c r="AG3391">
        <v>-0.65463249999999995</v>
      </c>
      <c r="AH3391">
        <v>36.338647118203099</v>
      </c>
      <c r="AI3391">
        <v>91.011396703473494</v>
      </c>
      <c r="AJ3391">
        <v>78.514598776505906</v>
      </c>
      <c r="AK3391">
        <v>37.086958286983297</v>
      </c>
      <c r="AL3391">
        <v>90.165906231317805</v>
      </c>
      <c r="AM3391">
        <v>85.132749365177304</v>
      </c>
      <c r="AN3391">
        <v>1.00000002083439</v>
      </c>
    </row>
    <row r="3392" spans="1:40" x14ac:dyDescent="0.25">
      <c r="A3392" t="str">
        <f>"20190312161032456"</f>
        <v>20190312161032456</v>
      </c>
      <c r="B3392" t="str">
        <f>"1552378232449684"</f>
        <v>1552378232449684</v>
      </c>
      <c r="C3392" t="s">
        <v>40</v>
      </c>
      <c r="D3392">
        <v>5.521935</v>
      </c>
      <c r="E3392">
        <v>0.54212609999999894</v>
      </c>
      <c r="F3392" t="s">
        <v>51</v>
      </c>
      <c r="G3392">
        <v>-234.75729999999999</v>
      </c>
      <c r="H3392">
        <v>0.42756749999999999</v>
      </c>
      <c r="I3392">
        <v>207.08189999999999</v>
      </c>
      <c r="J3392">
        <v>-270.73559999999998</v>
      </c>
      <c r="K3392">
        <v>1.1095790000000001</v>
      </c>
      <c r="L3392">
        <v>214.23050000000001</v>
      </c>
      <c r="M3392">
        <v>0.99988960000000005</v>
      </c>
      <c r="N3392">
        <v>0</v>
      </c>
      <c r="O3392">
        <v>1.385687E-3</v>
      </c>
      <c r="P3392">
        <v>0.99662759999999995</v>
      </c>
      <c r="Q3392">
        <v>-1.6773980000000001E-2</v>
      </c>
      <c r="R3392">
        <v>-8.0327549999999998E-2</v>
      </c>
      <c r="S3392">
        <v>2.9613339999999999</v>
      </c>
      <c r="T3392">
        <v>-5.5546999999999999E-2</v>
      </c>
      <c r="U3392">
        <v>-0.58224489999999995</v>
      </c>
      <c r="V3392">
        <v>8.1706490000000007E-2</v>
      </c>
      <c r="W3392">
        <v>-2.1063079999999999E-3</v>
      </c>
      <c r="X3392">
        <v>0.99665420000000005</v>
      </c>
      <c r="Y3392">
        <v>0.19424859999999999</v>
      </c>
      <c r="Z3392">
        <v>-1.8301210000000001E-3</v>
      </c>
      <c r="AA3392">
        <v>0.98095060000000001</v>
      </c>
      <c r="AB3392">
        <v>36</v>
      </c>
      <c r="AC3392">
        <v>35.978299999999898</v>
      </c>
      <c r="AD3392">
        <v>-0.68201149999999999</v>
      </c>
      <c r="AE3392">
        <v>-7.1486000000000098</v>
      </c>
      <c r="AF3392">
        <v>7.1959656824945304</v>
      </c>
      <c r="AG3392">
        <v>-0.68201149999999999</v>
      </c>
      <c r="AH3392">
        <v>35.955929045625098</v>
      </c>
      <c r="AI3392">
        <v>91.065530704381302</v>
      </c>
      <c r="AJ3392">
        <v>78.682743935275695</v>
      </c>
      <c r="AK3392">
        <v>36.675276349658198</v>
      </c>
      <c r="AL3392">
        <v>90.120682649111302</v>
      </c>
      <c r="AM3392">
        <v>85.313327949909194</v>
      </c>
      <c r="AN3392">
        <v>0.99999999070957502</v>
      </c>
    </row>
    <row r="3393" spans="1:40" x14ac:dyDescent="0.25">
      <c r="A3393" t="str">
        <f>"20190312161032477"</f>
        <v>20190312161032477</v>
      </c>
      <c r="B3393" t="str">
        <f>"1552378232470180"</f>
        <v>1552378232470180</v>
      </c>
      <c r="C3393" t="s">
        <v>40</v>
      </c>
      <c r="D3393">
        <v>5.4665160000000004</v>
      </c>
      <c r="E3393">
        <v>0.5423154</v>
      </c>
      <c r="F3393" t="s">
        <v>51</v>
      </c>
      <c r="G3393">
        <v>-234.6788</v>
      </c>
      <c r="H3393">
        <v>0.43381920000000002</v>
      </c>
      <c r="I3393">
        <v>207.2227</v>
      </c>
      <c r="J3393">
        <v>-270.37509999999997</v>
      </c>
      <c r="K3393">
        <v>1.1095809999999999</v>
      </c>
      <c r="L3393">
        <v>214.23060000000001</v>
      </c>
      <c r="M3393">
        <v>0.9998901</v>
      </c>
      <c r="N3393">
        <v>0</v>
      </c>
      <c r="O3393">
        <v>1.0042860000000001E-3</v>
      </c>
      <c r="P3393">
        <v>0.99681810000000004</v>
      </c>
      <c r="Q3393">
        <v>-1.6558199999999999E-2</v>
      </c>
      <c r="R3393">
        <v>-7.7970390000000001E-2</v>
      </c>
      <c r="S3393">
        <v>2.9628299999999999</v>
      </c>
      <c r="T3393">
        <v>-5.5523990000000002E-2</v>
      </c>
      <c r="U3393">
        <v>-0.57583619999999902</v>
      </c>
      <c r="V3393">
        <v>7.8969849999999994E-2</v>
      </c>
      <c r="W3393">
        <v>-1.8882809999999999E-3</v>
      </c>
      <c r="X3393">
        <v>0.99687519999999996</v>
      </c>
      <c r="Y3393">
        <v>0.19173680000000001</v>
      </c>
      <c r="Z3393">
        <v>-1.7984349999999999E-3</v>
      </c>
      <c r="AA3393">
        <v>0.98144469999999995</v>
      </c>
      <c r="AB3393">
        <v>36</v>
      </c>
      <c r="AC3393">
        <v>35.696299999999901</v>
      </c>
      <c r="AD3393">
        <v>-0.67576179999999897</v>
      </c>
      <c r="AE3393">
        <v>-7.0079000000000002</v>
      </c>
      <c r="AF3393">
        <v>7.0413198787240496</v>
      </c>
      <c r="AG3393">
        <v>-0.67576179999999897</v>
      </c>
      <c r="AH3393">
        <v>35.676931972506097</v>
      </c>
      <c r="AI3393">
        <v>91.0645865691165</v>
      </c>
      <c r="AJ3393">
        <v>78.8353978296539</v>
      </c>
      <c r="AK3393">
        <v>36.3714216743817</v>
      </c>
      <c r="AL3393">
        <v>90.108190597903899</v>
      </c>
      <c r="AM3393">
        <v>85.470636686131897</v>
      </c>
      <c r="AN3393">
        <v>0.99999998359459796</v>
      </c>
    </row>
    <row r="3394" spans="1:40" x14ac:dyDescent="0.25">
      <c r="A3394" t="str">
        <f>"20190312161032500"</f>
        <v>20190312161032500</v>
      </c>
      <c r="B3394" t="str">
        <f>"1552378232489700"</f>
        <v>1552378232489700</v>
      </c>
      <c r="C3394" t="s">
        <v>40</v>
      </c>
      <c r="D3394">
        <v>5.4355010000000004</v>
      </c>
      <c r="E3394">
        <v>0.54256729999999997</v>
      </c>
      <c r="F3394" t="s">
        <v>43</v>
      </c>
      <c r="G3394">
        <v>-211.2303</v>
      </c>
      <c r="H3394">
        <v>-0.05</v>
      </c>
      <c r="I3394">
        <v>202.851</v>
      </c>
      <c r="J3394">
        <v>-270.01339999999999</v>
      </c>
      <c r="K3394">
        <v>1.1095729999999999</v>
      </c>
      <c r="L3394">
        <v>214.23070000000001</v>
      </c>
      <c r="M3394">
        <v>0.99989050000000002</v>
      </c>
      <c r="N3394">
        <v>0</v>
      </c>
      <c r="O3394">
        <v>6.2151099999999896E-4</v>
      </c>
      <c r="P3394">
        <v>0.99691410000000003</v>
      </c>
      <c r="Q3394">
        <v>-1.704526E-2</v>
      </c>
      <c r="R3394">
        <v>-7.6627420000000002E-2</v>
      </c>
      <c r="S3394">
        <v>2.9639890000000002</v>
      </c>
      <c r="T3394">
        <v>-5.8111429999999999E-2</v>
      </c>
      <c r="U3394">
        <v>-0.57028199999999996</v>
      </c>
      <c r="V3394">
        <v>7.7244809999999997E-2</v>
      </c>
      <c r="W3394">
        <v>-2.375641E-3</v>
      </c>
      <c r="X3394">
        <v>0.99700929999999999</v>
      </c>
      <c r="Y3394">
        <v>0.1895133</v>
      </c>
      <c r="Z3394">
        <v>-1.852802E-3</v>
      </c>
      <c r="AA3394">
        <v>0.98187639999999998</v>
      </c>
      <c r="AB3394">
        <v>36</v>
      </c>
      <c r="AC3394">
        <v>58.783099999999898</v>
      </c>
      <c r="AD3394">
        <v>-1.159573</v>
      </c>
      <c r="AE3394">
        <v>-11.3797</v>
      </c>
      <c r="AF3394">
        <v>11.4119558495722</v>
      </c>
      <c r="AG3394">
        <v>-1.159573</v>
      </c>
      <c r="AH3394">
        <v>58.753978371826399</v>
      </c>
      <c r="AI3394">
        <v>91.109909789182197</v>
      </c>
      <c r="AJ3394">
        <v>79.008138417209096</v>
      </c>
      <c r="AK3394">
        <v>59.863238472137098</v>
      </c>
      <c r="AL3394">
        <v>90.136114334465304</v>
      </c>
      <c r="AM3394">
        <v>85.569772614394793</v>
      </c>
      <c r="AN3394">
        <v>0.99999997431429299</v>
      </c>
    </row>
    <row r="3395" spans="1:40" x14ac:dyDescent="0.25">
      <c r="A3395" t="str">
        <f>"20190312161032524"</f>
        <v>20190312161032524</v>
      </c>
      <c r="B3395" t="str">
        <f>"1552378232519955"</f>
        <v>1552378232519955</v>
      </c>
      <c r="C3395" t="s">
        <v>40</v>
      </c>
      <c r="D3395">
        <v>5.4031399999999996</v>
      </c>
      <c r="E3395">
        <v>0.54314479999999998</v>
      </c>
      <c r="F3395" t="s">
        <v>43</v>
      </c>
      <c r="G3395">
        <v>-213.15280000000001</v>
      </c>
      <c r="H3395">
        <v>-0.05</v>
      </c>
      <c r="I3395">
        <v>203.3355</v>
      </c>
      <c r="J3395">
        <v>-269.62990000000002</v>
      </c>
      <c r="K3395">
        <v>1.10958</v>
      </c>
      <c r="L3395">
        <v>214.23050000000001</v>
      </c>
      <c r="M3395">
        <v>0.99989070000000002</v>
      </c>
      <c r="N3395">
        <v>0</v>
      </c>
      <c r="O3395">
        <v>2.158532E-4</v>
      </c>
      <c r="P3395">
        <v>0.99701300000000004</v>
      </c>
      <c r="Q3395">
        <v>-1.7148960000000001E-2</v>
      </c>
      <c r="R3395">
        <v>-7.5305510000000006E-2</v>
      </c>
      <c r="S3395">
        <v>2.9645999999999999</v>
      </c>
      <c r="T3395">
        <v>-6.0457940000000002E-2</v>
      </c>
      <c r="U3395">
        <v>-0.56805419999999995</v>
      </c>
      <c r="V3395">
        <v>7.5518429999999998E-2</v>
      </c>
      <c r="W3395">
        <v>-2.479892E-3</v>
      </c>
      <c r="X3395">
        <v>0.99714130000000001</v>
      </c>
      <c r="Y3395">
        <v>0.18836310000000001</v>
      </c>
      <c r="Z3395">
        <v>-1.9075279999999999E-3</v>
      </c>
      <c r="AA3395">
        <v>0.98209760000000002</v>
      </c>
      <c r="AB3395">
        <v>36</v>
      </c>
      <c r="AC3395">
        <v>56.4771</v>
      </c>
      <c r="AD3395">
        <v>-1.1595799999999901</v>
      </c>
      <c r="AE3395">
        <v>-10.895</v>
      </c>
      <c r="AF3395">
        <v>10.9027606076362</v>
      </c>
      <c r="AG3395">
        <v>-1.1595799999999901</v>
      </c>
      <c r="AH3395">
        <v>56.4518028728899</v>
      </c>
      <c r="AI3395">
        <v>91.1554051956753</v>
      </c>
      <c r="AJ3395">
        <v>79.068826297532993</v>
      </c>
      <c r="AK3395">
        <v>57.506702759273601</v>
      </c>
      <c r="AL3395">
        <v>90.142087494060604</v>
      </c>
      <c r="AM3395">
        <v>85.668975924391106</v>
      </c>
      <c r="AN3395">
        <v>0.99999997764984305</v>
      </c>
    </row>
    <row r="3396" spans="1:40" x14ac:dyDescent="0.25">
      <c r="A3396" t="str">
        <f>"20190312161032550"</f>
        <v>20190312161032550</v>
      </c>
      <c r="B3396" t="str">
        <f>"1552378232539476"</f>
        <v>1552378232539476</v>
      </c>
      <c r="C3396" t="s">
        <v>40</v>
      </c>
      <c r="D3396">
        <v>5.43424</v>
      </c>
      <c r="E3396">
        <v>0.54359409999999997</v>
      </c>
      <c r="F3396" t="s">
        <v>61</v>
      </c>
      <c r="G3396">
        <v>-219.69810000000001</v>
      </c>
      <c r="H3396">
        <v>8.0000509999999997E-2</v>
      </c>
      <c r="I3396">
        <v>204.65049999999999</v>
      </c>
      <c r="J3396">
        <v>-269.21260000000001</v>
      </c>
      <c r="K3396">
        <v>1.1095820000000001</v>
      </c>
      <c r="L3396">
        <v>214.23009999999999</v>
      </c>
      <c r="M3396">
        <v>0.99989070000000002</v>
      </c>
      <c r="N3396">
        <v>0</v>
      </c>
      <c r="O3396">
        <v>-2.2627309999999999E-4</v>
      </c>
      <c r="P3396">
        <v>0.99702740000000001</v>
      </c>
      <c r="Q3396">
        <v>-1.6614799999999999E-2</v>
      </c>
      <c r="R3396">
        <v>-7.5231690000000004E-2</v>
      </c>
      <c r="S3396">
        <v>2.964966</v>
      </c>
      <c r="T3396">
        <v>-6.1136839999999998E-2</v>
      </c>
      <c r="U3396">
        <v>-0.56886289999999995</v>
      </c>
      <c r="V3396">
        <v>7.5004420000000002E-2</v>
      </c>
      <c r="W3396">
        <v>-1.9490709999999999E-3</v>
      </c>
      <c r="X3396">
        <v>0.99718130000000005</v>
      </c>
      <c r="Y3396">
        <v>0.1881641</v>
      </c>
      <c r="Z3396">
        <v>-1.9175939999999999E-3</v>
      </c>
      <c r="AA3396">
        <v>0.98213569999999994</v>
      </c>
      <c r="AB3396">
        <v>36</v>
      </c>
      <c r="AC3396">
        <v>49.514499999999998</v>
      </c>
      <c r="AD3396">
        <v>-1.02958149</v>
      </c>
      <c r="AE3396">
        <v>-9.5795999999999992</v>
      </c>
      <c r="AF3396">
        <v>9.5644085627897404</v>
      </c>
      <c r="AG3396">
        <v>-1.02958149</v>
      </c>
      <c r="AH3396">
        <v>49.496038061729202</v>
      </c>
      <c r="AI3396">
        <v>91.170016448178899</v>
      </c>
      <c r="AJ3396">
        <v>79.063199298122697</v>
      </c>
      <c r="AK3396">
        <v>50.4221750126733</v>
      </c>
      <c r="AL3396">
        <v>90.111673612588106</v>
      </c>
      <c r="AM3396">
        <v>85.698515561877699</v>
      </c>
      <c r="AN3396">
        <v>1.0000000034834899</v>
      </c>
    </row>
    <row r="3397" spans="1:40" x14ac:dyDescent="0.25">
      <c r="A3397" t="str">
        <f>"20190312161032571"</f>
        <v>20190312161032571</v>
      </c>
      <c r="B3397" t="str">
        <f>"1552378232559971"</f>
        <v>1552378232559971</v>
      </c>
      <c r="C3397" t="s">
        <v>40</v>
      </c>
      <c r="D3397">
        <v>5.2560449999999896</v>
      </c>
      <c r="E3397">
        <v>0.54382330000000001</v>
      </c>
      <c r="F3397" t="s">
        <v>43</v>
      </c>
      <c r="G3397">
        <v>-212.03319999999999</v>
      </c>
      <c r="H3397">
        <v>-0.05</v>
      </c>
      <c r="I3397">
        <v>203.19540000000001</v>
      </c>
      <c r="J3397">
        <v>-268.87090000000001</v>
      </c>
      <c r="K3397">
        <v>1.1095820000000001</v>
      </c>
      <c r="L3397">
        <v>214.22970000000001</v>
      </c>
      <c r="M3397">
        <v>0.99989059999999996</v>
      </c>
      <c r="N3397">
        <v>0</v>
      </c>
      <c r="O3397">
        <v>-5.8789129999999999E-4</v>
      </c>
      <c r="P3397">
        <v>0.9970405</v>
      </c>
      <c r="Q3397">
        <v>-1.6127300000000001E-2</v>
      </c>
      <c r="R3397">
        <v>-7.5169710000000001E-2</v>
      </c>
      <c r="S3397">
        <v>2.9647830000000002</v>
      </c>
      <c r="T3397">
        <v>-6.0124990000000003E-2</v>
      </c>
      <c r="U3397">
        <v>-0.57215879999999997</v>
      </c>
      <c r="V3397">
        <v>7.4582179999999998E-2</v>
      </c>
      <c r="W3397">
        <v>-1.464326E-3</v>
      </c>
      <c r="X3397">
        <v>0.99721380000000004</v>
      </c>
      <c r="Y3397">
        <v>0.18887409999999999</v>
      </c>
      <c r="Z3397">
        <v>-1.8856470000000001E-3</v>
      </c>
      <c r="AA3397">
        <v>0.98199950000000003</v>
      </c>
      <c r="AB3397">
        <v>36</v>
      </c>
      <c r="AC3397">
        <v>56.837699999999998</v>
      </c>
      <c r="AD3397">
        <v>-1.1595819999999999</v>
      </c>
      <c r="AE3397">
        <v>-11.0343</v>
      </c>
      <c r="AF3397">
        <v>10.996469267952101</v>
      </c>
      <c r="AG3397">
        <v>-1.1595819999999999</v>
      </c>
      <c r="AH3397">
        <v>56.821386270977499</v>
      </c>
      <c r="AI3397">
        <v>91.147810046182997</v>
      </c>
      <c r="AJ3397">
        <v>79.047121569363398</v>
      </c>
      <c r="AK3397">
        <v>57.887277570562702</v>
      </c>
      <c r="AL3397">
        <v>90.0838997292485</v>
      </c>
      <c r="AM3397">
        <v>85.722779679552701</v>
      </c>
      <c r="AN3397">
        <v>1.0000000043673101</v>
      </c>
    </row>
    <row r="3398" spans="1:40" x14ac:dyDescent="0.25">
      <c r="A3398" t="str">
        <f>"20190312161032592"</f>
        <v>20190312161032592</v>
      </c>
      <c r="B3398" t="str">
        <f>"1552378232579494"</f>
        <v>1552378232579494</v>
      </c>
      <c r="C3398" t="s">
        <v>40</v>
      </c>
      <c r="D3398">
        <v>5.3985260000000004</v>
      </c>
      <c r="E3398">
        <v>0.54422579999999998</v>
      </c>
      <c r="F3398" t="s">
        <v>43</v>
      </c>
      <c r="G3398">
        <v>-209.47319999999999</v>
      </c>
      <c r="H3398">
        <v>-0.05</v>
      </c>
      <c r="I3398">
        <v>202.73159999999999</v>
      </c>
      <c r="J3398">
        <v>-268.53160000000003</v>
      </c>
      <c r="K3398">
        <v>1.1095919999999999</v>
      </c>
      <c r="L3398">
        <v>214.22919999999999</v>
      </c>
      <c r="M3398">
        <v>0.99989059999999996</v>
      </c>
      <c r="N3398">
        <v>0</v>
      </c>
      <c r="O3398">
        <v>-9.4748179999999997E-4</v>
      </c>
      <c r="P3398">
        <v>0.99710589999999999</v>
      </c>
      <c r="Q3398">
        <v>-1.52082E-2</v>
      </c>
      <c r="R3398">
        <v>-7.448987E-2</v>
      </c>
      <c r="S3398">
        <v>2.9646910000000002</v>
      </c>
      <c r="T3398">
        <v>-5.7877659999999997E-2</v>
      </c>
      <c r="U3398">
        <v>-0.57389829999999997</v>
      </c>
      <c r="V3398">
        <v>7.3544600000000002E-2</v>
      </c>
      <c r="W3398">
        <v>-5.4654559999999896E-4</v>
      </c>
      <c r="X3398">
        <v>0.99729179999999995</v>
      </c>
      <c r="Y3398">
        <v>0.1890848</v>
      </c>
      <c r="Z3398">
        <v>-1.810217E-3</v>
      </c>
      <c r="AA3398">
        <v>0.98195909999999997</v>
      </c>
      <c r="AB3398">
        <v>36</v>
      </c>
      <c r="AC3398">
        <v>59.058399999999999</v>
      </c>
      <c r="AD3398">
        <v>-1.159592</v>
      </c>
      <c r="AE3398">
        <v>-11.4976</v>
      </c>
      <c r="AF3398">
        <v>11.437383655923099</v>
      </c>
      <c r="AG3398">
        <v>-1.159592</v>
      </c>
      <c r="AH3398">
        <v>59.047335772712202</v>
      </c>
      <c r="AI3398">
        <v>91.104525320677496</v>
      </c>
      <c r="AJ3398">
        <v>79.037644239931396</v>
      </c>
      <c r="AK3398">
        <v>60.156015994700503</v>
      </c>
      <c r="AL3398">
        <v>90.031314757104596</v>
      </c>
      <c r="AM3398">
        <v>85.782396392912901</v>
      </c>
      <c r="AN3398">
        <v>1.0000000206242401</v>
      </c>
    </row>
    <row r="3399" spans="1:40" x14ac:dyDescent="0.25">
      <c r="A3399" t="str">
        <f>"20190312161032614"</f>
        <v>20190312161032614</v>
      </c>
      <c r="B3399" t="str">
        <f>"1552378232609748"</f>
        <v>1552378232609748</v>
      </c>
      <c r="C3399" t="s">
        <v>40</v>
      </c>
      <c r="D3399">
        <v>5.6675509999999996</v>
      </c>
      <c r="E3399">
        <v>0.54440959999999905</v>
      </c>
      <c r="F3399" t="s">
        <v>43</v>
      </c>
      <c r="G3399">
        <v>-206.74010000000001</v>
      </c>
      <c r="H3399">
        <v>-0.05</v>
      </c>
      <c r="I3399">
        <v>202.24279999999999</v>
      </c>
      <c r="J3399">
        <v>-268.17750000000001</v>
      </c>
      <c r="K3399">
        <v>1.1095969999999999</v>
      </c>
      <c r="L3399">
        <v>214.22839999999999</v>
      </c>
      <c r="M3399">
        <v>0.99989019999999995</v>
      </c>
      <c r="N3399">
        <v>0</v>
      </c>
      <c r="O3399">
        <v>-1.3230430000000001E-3</v>
      </c>
      <c r="P3399">
        <v>0.99713439999999998</v>
      </c>
      <c r="Q3399">
        <v>-1.4426400000000001E-2</v>
      </c>
      <c r="R3399">
        <v>-7.4265380000000006E-2</v>
      </c>
      <c r="S3399">
        <v>2.9649049999999999</v>
      </c>
      <c r="T3399">
        <v>-5.5639979999999999E-2</v>
      </c>
      <c r="U3399">
        <v>-0.57513429999999999</v>
      </c>
      <c r="V3399">
        <v>7.2946010000000006E-2</v>
      </c>
      <c r="W3399">
        <v>2.3299860000000001E-4</v>
      </c>
      <c r="X3399">
        <v>0.99733590000000005</v>
      </c>
      <c r="Y3399">
        <v>0.18909999999999999</v>
      </c>
      <c r="Z3399">
        <v>-1.73321E-3</v>
      </c>
      <c r="AA3399">
        <v>0.9819563</v>
      </c>
      <c r="AB3399">
        <v>36</v>
      </c>
      <c r="AC3399">
        <v>61.437399999999997</v>
      </c>
      <c r="AD3399">
        <v>-1.159597</v>
      </c>
      <c r="AE3399">
        <v>-11.9856</v>
      </c>
      <c r="AF3399">
        <v>11.900212372404701</v>
      </c>
      <c r="AG3399">
        <v>-1.159597</v>
      </c>
      <c r="AH3399">
        <v>61.432122907929902</v>
      </c>
      <c r="AI3399">
        <v>91.061659478164998</v>
      </c>
      <c r="AJ3399">
        <v>79.036836190918194</v>
      </c>
      <c r="AK3399">
        <v>62.584865939664297</v>
      </c>
      <c r="AL3399">
        <v>89.9866501639479</v>
      </c>
      <c r="AM3399">
        <v>85.816786025854498</v>
      </c>
      <c r="AN3399">
        <v>1.0000000360460299</v>
      </c>
    </row>
    <row r="3400" spans="1:40" x14ac:dyDescent="0.25">
      <c r="A3400" t="str">
        <f>"20190312161032635"</f>
        <v>20190312161032635</v>
      </c>
      <c r="B3400" t="str">
        <f>"1552378232629269"</f>
        <v>1552378232629269</v>
      </c>
      <c r="C3400" t="s">
        <v>40</v>
      </c>
      <c r="D3400">
        <v>5.3319299999999998</v>
      </c>
      <c r="E3400">
        <v>0.47937150000000001</v>
      </c>
      <c r="F3400" t="s">
        <v>43</v>
      </c>
      <c r="G3400">
        <v>-204.71209999999999</v>
      </c>
      <c r="H3400">
        <v>-0.05</v>
      </c>
      <c r="I3400">
        <v>201.904</v>
      </c>
      <c r="J3400">
        <v>-267.84969999999998</v>
      </c>
      <c r="K3400">
        <v>1.109605</v>
      </c>
      <c r="L3400">
        <v>214.2277</v>
      </c>
      <c r="M3400">
        <v>0.99988960000000005</v>
      </c>
      <c r="N3400">
        <v>0</v>
      </c>
      <c r="O3400">
        <v>-1.6703579999999901E-3</v>
      </c>
      <c r="P3400">
        <v>0.99721309999999996</v>
      </c>
      <c r="Q3400">
        <v>-1.389058E-2</v>
      </c>
      <c r="R3400">
        <v>-7.3302660000000006E-2</v>
      </c>
      <c r="S3400">
        <v>2.9649960000000002</v>
      </c>
      <c r="T3400">
        <v>-5.4174420000000001E-2</v>
      </c>
      <c r="U3400">
        <v>-0.57577509999999998</v>
      </c>
      <c r="V3400">
        <v>7.1637419999999993E-2</v>
      </c>
      <c r="W3400">
        <v>7.6800960000000004E-4</v>
      </c>
      <c r="X3400">
        <v>0.99743040000000005</v>
      </c>
      <c r="Y3400">
        <v>0.1889595</v>
      </c>
      <c r="Z3400">
        <v>-1.679921E-3</v>
      </c>
      <c r="AA3400">
        <v>0.98198339999999995</v>
      </c>
      <c r="AB3400">
        <v>36</v>
      </c>
      <c r="AC3400">
        <v>63.1375999999999</v>
      </c>
      <c r="AD3400">
        <v>-1.159605</v>
      </c>
      <c r="AE3400">
        <v>-12.323699999999899</v>
      </c>
      <c r="AF3400">
        <v>12.2142399950868</v>
      </c>
      <c r="AG3400">
        <v>-1.159605</v>
      </c>
      <c r="AH3400">
        <v>63.137583098693099</v>
      </c>
      <c r="AI3400">
        <v>91.033045443886195</v>
      </c>
      <c r="AJ3400">
        <v>79.051130918213801</v>
      </c>
      <c r="AK3400">
        <v>64.318634484556497</v>
      </c>
      <c r="AL3400">
        <v>89.955996285046197</v>
      </c>
      <c r="AM3400">
        <v>85.891957973542702</v>
      </c>
      <c r="AN3400">
        <v>0.99999995631357996</v>
      </c>
    </row>
    <row r="3401" spans="1:40" x14ac:dyDescent="0.25">
      <c r="A3401" t="str">
        <f>"20190312161032659"</f>
        <v>20190312161032659</v>
      </c>
      <c r="B3401" t="str">
        <f>"1552378232649765"</f>
        <v>1552378232649765</v>
      </c>
      <c r="C3401" t="s">
        <v>40</v>
      </c>
      <c r="D3401">
        <v>5.2821499999999997</v>
      </c>
      <c r="E3401">
        <v>0.46736030000000001</v>
      </c>
      <c r="F3401" t="s">
        <v>59</v>
      </c>
      <c r="G3401">
        <v>-184.61869999999999</v>
      </c>
      <c r="H3401" s="1">
        <v>3.1940409999999999E-6</v>
      </c>
      <c r="I3401">
        <v>212.6832</v>
      </c>
      <c r="J3401">
        <v>-267.45139999999998</v>
      </c>
      <c r="K3401">
        <v>1.109604</v>
      </c>
      <c r="L3401">
        <v>214.22659999999999</v>
      </c>
      <c r="M3401">
        <v>0.99988900000000003</v>
      </c>
      <c r="N3401">
        <v>0</v>
      </c>
      <c r="O3401">
        <v>-2.0929999999999998E-3</v>
      </c>
      <c r="P3401">
        <v>0.9974248</v>
      </c>
      <c r="Q3401">
        <v>-1.2815440000000001E-2</v>
      </c>
      <c r="R3401">
        <v>-7.0567870000000005E-2</v>
      </c>
      <c r="S3401">
        <v>3.0037229999999999</v>
      </c>
      <c r="T3401">
        <v>-4.0044429999999999E-2</v>
      </c>
      <c r="U3401">
        <v>-5.5740360000000003E-2</v>
      </c>
      <c r="V3401">
        <v>6.8481559999999997E-2</v>
      </c>
      <c r="W3401">
        <v>1.845661E-3</v>
      </c>
      <c r="X3401">
        <v>0.9976507</v>
      </c>
      <c r="Y3401">
        <v>1.6459709999999999E-2</v>
      </c>
      <c r="Z3401" s="1">
        <v>-8.1800540000000007E-5</v>
      </c>
      <c r="AA3401">
        <v>0.99986450000000004</v>
      </c>
      <c r="AB3401">
        <v>36</v>
      </c>
      <c r="AC3401">
        <v>82.832699999999903</v>
      </c>
      <c r="AD3401">
        <v>-1.1096008059589999</v>
      </c>
      <c r="AE3401">
        <v>-1.5433999999999899</v>
      </c>
      <c r="AF3401">
        <v>1.36976320037558</v>
      </c>
      <c r="AG3401">
        <v>-1.1096008059589999</v>
      </c>
      <c r="AH3401">
        <v>82.820892630679694</v>
      </c>
      <c r="AI3401">
        <v>90.767474800177396</v>
      </c>
      <c r="AJ3401">
        <v>89.052479474709401</v>
      </c>
      <c r="AK3401">
        <v>82.839650659067004</v>
      </c>
      <c r="AL3401">
        <v>89.894251356879593</v>
      </c>
      <c r="AM3401">
        <v>86.073215697821198</v>
      </c>
      <c r="AN3401">
        <v>1.00000002486752</v>
      </c>
    </row>
    <row r="3402" spans="1:40" x14ac:dyDescent="0.25">
      <c r="A3402" t="str">
        <f>"20190312161032680"</f>
        <v>20190312161032680</v>
      </c>
      <c r="B3402" t="str">
        <f>"1552378232669284"</f>
        <v>1552378232669284</v>
      </c>
      <c r="C3402" t="s">
        <v>40</v>
      </c>
      <c r="D3402">
        <v>5.1669600000000004</v>
      </c>
      <c r="E3402">
        <v>0.46577689999999999</v>
      </c>
      <c r="F3402" t="s">
        <v>59</v>
      </c>
      <c r="G3402">
        <v>-206.63679999999999</v>
      </c>
      <c r="H3402" s="1">
        <v>5.1089990000000003E-6</v>
      </c>
      <c r="I3402">
        <v>215.2013</v>
      </c>
      <c r="J3402">
        <v>-267.11590000000001</v>
      </c>
      <c r="K3402">
        <v>1.1096109999999999</v>
      </c>
      <c r="L3402">
        <v>214.22559999999999</v>
      </c>
      <c r="M3402">
        <v>0.9998882</v>
      </c>
      <c r="N3402">
        <v>0</v>
      </c>
      <c r="O3402">
        <v>-2.4487760000000002E-3</v>
      </c>
      <c r="P3402">
        <v>0.9978399</v>
      </c>
      <c r="Q3402">
        <v>-1.117776E-2</v>
      </c>
      <c r="R3402">
        <v>-6.4738160000000003E-2</v>
      </c>
      <c r="S3402">
        <v>3.010437</v>
      </c>
      <c r="T3402">
        <v>-5.492723E-2</v>
      </c>
      <c r="U3402">
        <v>4.8248289999999999E-2</v>
      </c>
      <c r="V3402">
        <v>6.2297520000000002E-2</v>
      </c>
      <c r="W3402">
        <v>3.4912210000000001E-3</v>
      </c>
      <c r="X3402">
        <v>0.99805149999999998</v>
      </c>
      <c r="Y3402">
        <v>-1.8470150000000001E-2</v>
      </c>
      <c r="Z3402">
        <v>2.1315249999999999E-4</v>
      </c>
      <c r="AA3402">
        <v>0.99982939999999998</v>
      </c>
      <c r="AB3402">
        <v>36</v>
      </c>
      <c r="AC3402">
        <v>60.479100000000003</v>
      </c>
      <c r="AD3402">
        <v>-1.109605891001</v>
      </c>
      <c r="AE3402">
        <v>0.975700000000017</v>
      </c>
      <c r="AF3402">
        <v>-1.12343489686789</v>
      </c>
      <c r="AG3402">
        <v>-1.109605891001</v>
      </c>
      <c r="AH3402">
        <v>60.456184243735997</v>
      </c>
      <c r="AI3402">
        <v>91.051300667352507</v>
      </c>
      <c r="AJ3402">
        <v>91.064583738107004</v>
      </c>
      <c r="AK3402">
        <v>60.476801705392802</v>
      </c>
      <c r="AL3402">
        <v>89.799967361624198</v>
      </c>
      <c r="AM3402">
        <v>86.428280346707496</v>
      </c>
      <c r="AN3402">
        <v>0.99999998313723504</v>
      </c>
    </row>
    <row r="3403" spans="1:40" x14ac:dyDescent="0.25">
      <c r="A3403" t="str">
        <f>"20190312161032724"</f>
        <v>20190312161032724</v>
      </c>
      <c r="B3403" t="str">
        <f>"1552378232709300"</f>
        <v>1552378232709300</v>
      </c>
      <c r="C3403" t="s">
        <v>40</v>
      </c>
      <c r="D3403">
        <v>5.2032540000000003</v>
      </c>
      <c r="E3403">
        <v>0.46514810000000001</v>
      </c>
      <c r="F3403" t="s">
        <v>61</v>
      </c>
      <c r="G3403">
        <v>-209.9691</v>
      </c>
      <c r="H3403" s="1">
        <v>-1.601622E-6</v>
      </c>
      <c r="I3403">
        <v>215.7234</v>
      </c>
      <c r="J3403">
        <v>-266.4126</v>
      </c>
      <c r="K3403">
        <v>1.1096280000000001</v>
      </c>
      <c r="L3403">
        <v>214.22300000000001</v>
      </c>
      <c r="M3403">
        <v>0.99988630000000001</v>
      </c>
      <c r="N3403">
        <v>0</v>
      </c>
      <c r="O3403">
        <v>-3.1948969999999999E-3</v>
      </c>
      <c r="P3403">
        <v>0.99852680000000005</v>
      </c>
      <c r="Q3403">
        <v>-9.8778960000000006E-3</v>
      </c>
      <c r="R3403">
        <v>-5.3355720000000002E-2</v>
      </c>
      <c r="S3403">
        <v>3.0108950000000001</v>
      </c>
      <c r="T3403">
        <v>-5.8462140000000003E-2</v>
      </c>
      <c r="U3403">
        <v>7.8918459999999996E-2</v>
      </c>
      <c r="V3403">
        <v>5.0169440000000003E-2</v>
      </c>
      <c r="W3403">
        <v>4.8053710000000001E-3</v>
      </c>
      <c r="X3403">
        <v>0.99872919999999998</v>
      </c>
      <c r="Y3403">
        <v>-2.938984E-2</v>
      </c>
      <c r="Z3403">
        <v>3.4727919999999999E-4</v>
      </c>
      <c r="AA3403">
        <v>0.99956800000000001</v>
      </c>
      <c r="AB3403">
        <v>36</v>
      </c>
      <c r="AC3403">
        <v>56.4435</v>
      </c>
      <c r="AD3403">
        <v>-1.109629601622</v>
      </c>
      <c r="AE3403">
        <v>1.5004000000000099</v>
      </c>
      <c r="AF3403">
        <v>-1.6800942288285601</v>
      </c>
      <c r="AG3403">
        <v>-1.109629601622</v>
      </c>
      <c r="AH3403">
        <v>56.416629161453699</v>
      </c>
      <c r="AI3403">
        <v>91.126276691146202</v>
      </c>
      <c r="AJ3403">
        <v>91.705771297050006</v>
      </c>
      <c r="AK3403">
        <v>56.452546801818698</v>
      </c>
      <c r="AL3403">
        <v>89.724671473977097</v>
      </c>
      <c r="AM3403">
        <v>87.124262504394807</v>
      </c>
      <c r="AN3403">
        <v>1.0000000396164901</v>
      </c>
    </row>
    <row r="3404" spans="1:40" x14ac:dyDescent="0.25">
      <c r="A3404" t="str">
        <f>"20190312161032770"</f>
        <v>20190312161032770</v>
      </c>
      <c r="B3404" t="str">
        <f>"1552378232760053"</f>
        <v>1552378232760053</v>
      </c>
      <c r="C3404" t="s">
        <v>40</v>
      </c>
      <c r="D3404">
        <v>5.2721809999999998</v>
      </c>
      <c r="E3404">
        <v>0.46697830000000001</v>
      </c>
      <c r="F3404" t="s">
        <v>59</v>
      </c>
      <c r="G3404">
        <v>-193.20410000000001</v>
      </c>
      <c r="H3404" s="1">
        <v>3.1799269999999999E-6</v>
      </c>
      <c r="I3404">
        <v>217.0908</v>
      </c>
      <c r="J3404">
        <v>-265.65910000000002</v>
      </c>
      <c r="K3404">
        <v>1.1096379999999999</v>
      </c>
      <c r="L3404">
        <v>214.21969999999999</v>
      </c>
      <c r="M3404">
        <v>0.99988339999999998</v>
      </c>
      <c r="N3404">
        <v>0</v>
      </c>
      <c r="O3404">
        <v>-3.99548E-3</v>
      </c>
      <c r="P3404">
        <v>0.99887000000000004</v>
      </c>
      <c r="Q3404">
        <v>-9.5755230000000007E-3</v>
      </c>
      <c r="R3404">
        <v>-4.6550170000000002E-2</v>
      </c>
      <c r="S3404">
        <v>3.0103149999999999</v>
      </c>
      <c r="T3404">
        <v>-4.5627470000000003E-2</v>
      </c>
      <c r="U3404">
        <v>0.11791989999999899</v>
      </c>
      <c r="V3404">
        <v>4.2563120000000003E-2</v>
      </c>
      <c r="W3404">
        <v>5.112452E-3</v>
      </c>
      <c r="X3404">
        <v>0.99908070000000004</v>
      </c>
      <c r="Y3404">
        <v>-4.3129069999999999E-2</v>
      </c>
      <c r="Z3404">
        <v>3.8725119999999998E-4</v>
      </c>
      <c r="AA3404">
        <v>0.99906950000000005</v>
      </c>
      <c r="AB3404">
        <v>36</v>
      </c>
      <c r="AC3404">
        <v>72.454999999999998</v>
      </c>
      <c r="AD3404">
        <v>-1.109634820073</v>
      </c>
      <c r="AE3404">
        <v>2.87110000000001</v>
      </c>
      <c r="AF3404">
        <v>-3.15986106566102</v>
      </c>
      <c r="AG3404">
        <v>-1.109634820073</v>
      </c>
      <c r="AH3404">
        <v>72.425988458097507</v>
      </c>
      <c r="AI3404">
        <v>90.876922924200997</v>
      </c>
      <c r="AJ3404">
        <v>92.498163506923206</v>
      </c>
      <c r="AK3404">
        <v>72.503377959379705</v>
      </c>
      <c r="AL3404">
        <v>89.707076801611095</v>
      </c>
      <c r="AM3404">
        <v>87.560544033499099</v>
      </c>
      <c r="AN3404">
        <v>1.0000000007310299</v>
      </c>
    </row>
    <row r="3405" spans="1:40" x14ac:dyDescent="0.25">
      <c r="A3405" t="str">
        <f>"20190312161032813"</f>
        <v>20190312161032813</v>
      </c>
      <c r="B3405" t="str">
        <f>"1552378232809828"</f>
        <v>1552378232809828</v>
      </c>
      <c r="C3405" t="s">
        <v>40</v>
      </c>
      <c r="D3405">
        <v>5.2059480000000002</v>
      </c>
      <c r="E3405">
        <v>0.46969729999999998</v>
      </c>
      <c r="F3405" t="s">
        <v>61</v>
      </c>
      <c r="G3405">
        <v>-210.19980000000001</v>
      </c>
      <c r="H3405" s="1">
        <v>-1.513294E-6</v>
      </c>
      <c r="I3405">
        <v>216.51070000000001</v>
      </c>
      <c r="J3405">
        <v>-264.98759999999999</v>
      </c>
      <c r="K3405">
        <v>1.1096490000000001</v>
      </c>
      <c r="L3405">
        <v>214.21619999999999</v>
      </c>
      <c r="M3405">
        <v>0.9998804</v>
      </c>
      <c r="N3405">
        <v>0</v>
      </c>
      <c r="O3405">
        <v>-4.7095349999999999E-3</v>
      </c>
      <c r="P3405">
        <v>0.99905069999999996</v>
      </c>
      <c r="Q3405">
        <v>-8.6128579999999993E-3</v>
      </c>
      <c r="R3405">
        <v>-4.2706000000000001E-2</v>
      </c>
      <c r="S3405">
        <v>3.0086059999999999</v>
      </c>
      <c r="T3405">
        <v>-6.0196640000000003E-2</v>
      </c>
      <c r="U3405">
        <v>0.1242828</v>
      </c>
      <c r="V3405">
        <v>3.8005709999999998E-2</v>
      </c>
      <c r="W3405">
        <v>6.0746929999999999E-3</v>
      </c>
      <c r="X3405">
        <v>0.99925909999999996</v>
      </c>
      <c r="Y3405">
        <v>-4.5969360000000001E-2</v>
      </c>
      <c r="Z3405">
        <v>5.5383069999999997E-4</v>
      </c>
      <c r="AA3405">
        <v>0.99894269999999996</v>
      </c>
      <c r="AB3405">
        <v>36</v>
      </c>
      <c r="AC3405">
        <v>54.787799999999898</v>
      </c>
      <c r="AD3405">
        <v>-1.109650513294</v>
      </c>
      <c r="AE3405">
        <v>2.2945000000000202</v>
      </c>
      <c r="AF3405">
        <v>-2.5514828038019801</v>
      </c>
      <c r="AG3405">
        <v>-1.109650513294</v>
      </c>
      <c r="AH3405">
        <v>54.753963855499201</v>
      </c>
      <c r="AI3405">
        <v>91.159746178570401</v>
      </c>
      <c r="AJ3405">
        <v>92.667998959196197</v>
      </c>
      <c r="AK3405">
        <v>54.8246107751716</v>
      </c>
      <c r="AL3405">
        <v>89.651943603344407</v>
      </c>
      <c r="AM3405">
        <v>87.821868537408506</v>
      </c>
      <c r="AN3405">
        <v>1.00000004241022</v>
      </c>
    </row>
    <row r="3406" spans="1:40" x14ac:dyDescent="0.25">
      <c r="A3406" t="str">
        <f>"20190312161032835"</f>
        <v>20190312161032835</v>
      </c>
      <c r="B3406" t="str">
        <f>"1552378232830325"</f>
        <v>1552378232830325</v>
      </c>
      <c r="C3406" t="s">
        <v>40</v>
      </c>
      <c r="D3406">
        <v>5.2869020000000004</v>
      </c>
      <c r="E3406">
        <v>0.47102040000000001</v>
      </c>
      <c r="F3406" t="s">
        <v>61</v>
      </c>
      <c r="G3406">
        <v>-216.7611</v>
      </c>
      <c r="H3406" s="1">
        <v>1.9986050000000002E-6</v>
      </c>
      <c r="I3406">
        <v>216.04660000000001</v>
      </c>
      <c r="J3406">
        <v>-264.64460000000003</v>
      </c>
      <c r="K3406">
        <v>1.1096509999999999</v>
      </c>
      <c r="L3406">
        <v>214.21420000000001</v>
      </c>
      <c r="M3406">
        <v>0.99987859999999995</v>
      </c>
      <c r="N3406">
        <v>0</v>
      </c>
      <c r="O3406">
        <v>-5.0742519999999996E-3</v>
      </c>
      <c r="P3406">
        <v>0.99907509999999999</v>
      </c>
      <c r="Q3406">
        <v>-8.2843769999999903E-3</v>
      </c>
      <c r="R3406">
        <v>-4.2193340000000003E-2</v>
      </c>
      <c r="S3406">
        <v>3.0071409999999998</v>
      </c>
      <c r="T3406">
        <v>-6.9191459999999996E-2</v>
      </c>
      <c r="U3406">
        <v>0.11413570000000001</v>
      </c>
      <c r="V3406">
        <v>3.712857E-2</v>
      </c>
      <c r="W3406">
        <v>6.4013200000000003E-3</v>
      </c>
      <c r="X3406">
        <v>0.99929000000000001</v>
      </c>
      <c r="Y3406">
        <v>-4.2985549999999997E-2</v>
      </c>
      <c r="Z3406">
        <v>6.1099639999999996E-4</v>
      </c>
      <c r="AA3406">
        <v>0.99907550000000001</v>
      </c>
      <c r="AB3406">
        <v>36</v>
      </c>
      <c r="AC3406">
        <v>47.883499999999998</v>
      </c>
      <c r="AD3406">
        <v>-1.109649001395</v>
      </c>
      <c r="AE3406">
        <v>1.8324</v>
      </c>
      <c r="AF3406">
        <v>-2.0742634062429102</v>
      </c>
      <c r="AG3406">
        <v>-1.109649001395</v>
      </c>
      <c r="AH3406">
        <v>47.847926088554402</v>
      </c>
      <c r="AI3406">
        <v>91.327271407613296</v>
      </c>
      <c r="AJ3406">
        <v>92.482284645400995</v>
      </c>
      <c r="AK3406">
        <v>47.905719079881699</v>
      </c>
      <c r="AL3406">
        <v>89.633228877948198</v>
      </c>
      <c r="AM3406">
        <v>87.872156971513206</v>
      </c>
      <c r="AN3406">
        <v>1.00000000585399</v>
      </c>
    </row>
    <row r="3407" spans="1:40" x14ac:dyDescent="0.25">
      <c r="A3407" t="str">
        <f>"20190312161032858"</f>
        <v>20190312161032858</v>
      </c>
      <c r="B3407" t="str">
        <f>"1552378232849846"</f>
        <v>1552378232849846</v>
      </c>
      <c r="C3407" t="s">
        <v>40</v>
      </c>
      <c r="D3407">
        <v>5.3217429999999997</v>
      </c>
      <c r="E3407">
        <v>0.47170190000000001</v>
      </c>
      <c r="F3407" t="s">
        <v>61</v>
      </c>
      <c r="G3407">
        <v>-215.92949999999999</v>
      </c>
      <c r="H3407" s="1">
        <v>1.561754E-6</v>
      </c>
      <c r="I3407">
        <v>215.9162</v>
      </c>
      <c r="J3407">
        <v>-264.26159999999999</v>
      </c>
      <c r="K3407">
        <v>1.1096469999999901</v>
      </c>
      <c r="L3407">
        <v>214.21190000000001</v>
      </c>
      <c r="M3407">
        <v>0.9998766</v>
      </c>
      <c r="N3407">
        <v>0</v>
      </c>
      <c r="O3407">
        <v>-5.4818769999999996E-3</v>
      </c>
      <c r="P3407">
        <v>0.99908200000000003</v>
      </c>
      <c r="Q3407">
        <v>-8.2557610000000003E-3</v>
      </c>
      <c r="R3407">
        <v>-4.2032550000000002E-2</v>
      </c>
      <c r="S3407">
        <v>3.0066220000000001</v>
      </c>
      <c r="T3407">
        <v>-6.8485859999999996E-2</v>
      </c>
      <c r="U3407">
        <v>0.1050415</v>
      </c>
      <c r="V3407">
        <v>3.6560549999999997E-2</v>
      </c>
      <c r="W3407">
        <v>6.4261159999999999E-3</v>
      </c>
      <c r="X3407">
        <v>0.99931080000000005</v>
      </c>
      <c r="Y3407">
        <v>-4.0382139999999997E-2</v>
      </c>
      <c r="Z3407">
        <v>5.845491E-4</v>
      </c>
      <c r="AA3407">
        <v>0.99918410000000002</v>
      </c>
      <c r="AB3407">
        <v>36</v>
      </c>
      <c r="AC3407">
        <v>48.332099999999997</v>
      </c>
      <c r="AD3407">
        <v>-1.1096454382459999</v>
      </c>
      <c r="AE3407">
        <v>1.7042999999999799</v>
      </c>
      <c r="AF3407">
        <v>-1.9682175613047199</v>
      </c>
      <c r="AG3407">
        <v>-1.1096454382459999</v>
      </c>
      <c r="AH3407">
        <v>48.2966040819189</v>
      </c>
      <c r="AI3407">
        <v>91.315084502320701</v>
      </c>
      <c r="AJ3407">
        <v>92.333667025732694</v>
      </c>
      <c r="AK3407">
        <v>48.349427703054303</v>
      </c>
      <c r="AL3407">
        <v>89.631808148490194</v>
      </c>
      <c r="AM3407">
        <v>87.904724601742103</v>
      </c>
      <c r="AN3407">
        <v>1.0000000218898899</v>
      </c>
    </row>
    <row r="3408" spans="1:40" x14ac:dyDescent="0.25">
      <c r="A3408" t="str">
        <f>"20190312161032904"</f>
        <v>20190312161032904</v>
      </c>
      <c r="B3408" t="str">
        <f>"1552378232899621"</f>
        <v>1552378232899621</v>
      </c>
      <c r="C3408" t="s">
        <v>40</v>
      </c>
      <c r="D3408">
        <v>5.2595190000000001</v>
      </c>
      <c r="E3408">
        <v>0.47282940000000001</v>
      </c>
      <c r="F3408" t="s">
        <v>61</v>
      </c>
      <c r="G3408">
        <v>-215.97489999999999</v>
      </c>
      <c r="H3408" s="1">
        <v>1.590153E-6</v>
      </c>
      <c r="I3408">
        <v>215.81960000000001</v>
      </c>
      <c r="J3408">
        <v>-263.53919999999999</v>
      </c>
      <c r="K3408">
        <v>1.10965</v>
      </c>
      <c r="L3408">
        <v>214.20699999999999</v>
      </c>
      <c r="M3408">
        <v>0.99987230000000005</v>
      </c>
      <c r="N3408">
        <v>0</v>
      </c>
      <c r="O3408">
        <v>-6.2508819999999897E-3</v>
      </c>
      <c r="P3408">
        <v>0.99899090000000001</v>
      </c>
      <c r="Q3408">
        <v>-8.1176180000000001E-3</v>
      </c>
      <c r="R3408">
        <v>-4.4176729999999997E-2</v>
      </c>
      <c r="S3408">
        <v>3.0064389999999999</v>
      </c>
      <c r="T3408">
        <v>-6.9089059999999994E-2</v>
      </c>
      <c r="U3408">
        <v>0.1000977</v>
      </c>
      <c r="V3408">
        <v>3.7936709999999998E-2</v>
      </c>
      <c r="W3408">
        <v>6.5543809999999997E-3</v>
      </c>
      <c r="X3408">
        <v>0.9992586</v>
      </c>
      <c r="Y3408">
        <v>-3.9511360000000002E-2</v>
      </c>
      <c r="Z3408">
        <v>5.9741459999999998E-4</v>
      </c>
      <c r="AA3408">
        <v>0.99921890000000002</v>
      </c>
      <c r="AB3408">
        <v>36</v>
      </c>
      <c r="AC3408">
        <v>47.564300000000003</v>
      </c>
      <c r="AD3408">
        <v>-1.1096484098469901</v>
      </c>
      <c r="AE3408">
        <v>1.61260000000001</v>
      </c>
      <c r="AF3408">
        <v>-1.9088817360725301</v>
      </c>
      <c r="AG3408">
        <v>-1.1096484098469901</v>
      </c>
      <c r="AH3408">
        <v>47.5274515548832</v>
      </c>
      <c r="AI3408">
        <v>91.336394651550194</v>
      </c>
      <c r="AJ3408">
        <v>92.2999784458828</v>
      </c>
      <c r="AK3408">
        <v>47.5787116300721</v>
      </c>
      <c r="AL3408">
        <v>89.624458924367403</v>
      </c>
      <c r="AM3408">
        <v>87.825818086066207</v>
      </c>
      <c r="AN3408">
        <v>0.99999995177493695</v>
      </c>
    </row>
    <row r="3409" spans="1:40" x14ac:dyDescent="0.25">
      <c r="A3409" t="str">
        <f>"20190312161032929"</f>
        <v>20190312161032929</v>
      </c>
      <c r="B3409" t="str">
        <f>"1552378232920116"</f>
        <v>1552378232920116</v>
      </c>
      <c r="C3409" t="s">
        <v>40</v>
      </c>
      <c r="D3409">
        <v>5.3876189999999999</v>
      </c>
      <c r="E3409">
        <v>0.47326390000000002</v>
      </c>
      <c r="F3409" t="s">
        <v>61</v>
      </c>
      <c r="G3409">
        <v>-219.16550000000001</v>
      </c>
      <c r="H3409" s="1">
        <v>3.303883E-6</v>
      </c>
      <c r="I3409">
        <v>215.4573</v>
      </c>
      <c r="J3409">
        <v>-263.14609999999999</v>
      </c>
      <c r="K3409">
        <v>1.109658</v>
      </c>
      <c r="L3409">
        <v>214.20410000000001</v>
      </c>
      <c r="M3409">
        <v>0.99986960000000003</v>
      </c>
      <c r="N3409">
        <v>0</v>
      </c>
      <c r="O3409">
        <v>-6.6691169999999996E-3</v>
      </c>
      <c r="P3409">
        <v>0.99893920000000003</v>
      </c>
      <c r="Q3409">
        <v>-7.8487409999999994E-3</v>
      </c>
      <c r="R3409">
        <v>-4.5376819999999998E-2</v>
      </c>
      <c r="S3409">
        <v>3.0061339999999999</v>
      </c>
      <c r="T3409">
        <v>-7.5174089999999999E-2</v>
      </c>
      <c r="U3409">
        <v>8.4701540000000006E-2</v>
      </c>
      <c r="V3409">
        <v>3.8719240000000002E-2</v>
      </c>
      <c r="W3409">
        <v>6.8180669999999997E-3</v>
      </c>
      <c r="X3409">
        <v>0.99922690000000003</v>
      </c>
      <c r="Y3409">
        <v>-3.4818660000000001E-2</v>
      </c>
      <c r="Z3409">
        <v>6.0193490000000002E-4</v>
      </c>
      <c r="AA3409">
        <v>0.99939350000000005</v>
      </c>
      <c r="AB3409">
        <v>35</v>
      </c>
      <c r="AC3409">
        <v>43.980599999999903</v>
      </c>
      <c r="AD3409">
        <v>-1.109654696117</v>
      </c>
      <c r="AE3409">
        <v>1.2531999999999901</v>
      </c>
      <c r="AF3409">
        <v>-1.54553256120437</v>
      </c>
      <c r="AG3409">
        <v>-1.109654696117</v>
      </c>
      <c r="AH3409">
        <v>43.943312303960496</v>
      </c>
      <c r="AI3409">
        <v>91.445629763279499</v>
      </c>
      <c r="AJ3409">
        <v>92.014322591093602</v>
      </c>
      <c r="AK3409">
        <v>43.984482498783102</v>
      </c>
      <c r="AL3409">
        <v>89.609350522156106</v>
      </c>
      <c r="AM3409">
        <v>87.780944745141895</v>
      </c>
      <c r="AN3409">
        <v>1.0000000316337001</v>
      </c>
    </row>
    <row r="3410" spans="1:40" x14ac:dyDescent="0.25">
      <c r="A3410" t="str">
        <f>"20190312161032951"</f>
        <v>20190312161032951</v>
      </c>
      <c r="B3410" t="str">
        <f>"1552378232939636"</f>
        <v>1552378232939636</v>
      </c>
      <c r="C3410" t="s">
        <v>40</v>
      </c>
      <c r="D3410">
        <v>5.2670349999999999</v>
      </c>
      <c r="E3410">
        <v>0.47360720000000001</v>
      </c>
      <c r="F3410" t="s">
        <v>61</v>
      </c>
      <c r="G3410">
        <v>-218.13980000000001</v>
      </c>
      <c r="H3410" s="1">
        <v>2.7619950000000001E-6</v>
      </c>
      <c r="I3410">
        <v>215.36689999999999</v>
      </c>
      <c r="J3410">
        <v>-262.80009999999999</v>
      </c>
      <c r="K3410">
        <v>1.109661</v>
      </c>
      <c r="L3410">
        <v>214.20140000000001</v>
      </c>
      <c r="M3410">
        <v>0.99986710000000001</v>
      </c>
      <c r="N3410">
        <v>0</v>
      </c>
      <c r="O3410">
        <v>-7.037293E-3</v>
      </c>
      <c r="P3410">
        <v>0.99892230000000004</v>
      </c>
      <c r="Q3410">
        <v>-7.3120340000000002E-3</v>
      </c>
      <c r="R3410">
        <v>-4.5835260000000003E-2</v>
      </c>
      <c r="S3410">
        <v>3.0061040000000001</v>
      </c>
      <c r="T3410">
        <v>-7.4117180000000005E-2</v>
      </c>
      <c r="U3410">
        <v>7.7667239999999999E-2</v>
      </c>
      <c r="V3410">
        <v>3.881039E-2</v>
      </c>
      <c r="W3410">
        <v>7.351158E-3</v>
      </c>
      <c r="X3410">
        <v>0.99921950000000004</v>
      </c>
      <c r="Y3410">
        <v>-3.2850850000000001E-2</v>
      </c>
      <c r="Z3410">
        <v>5.783238E-4</v>
      </c>
      <c r="AA3410">
        <v>0.99946009999999996</v>
      </c>
      <c r="AB3410">
        <v>35</v>
      </c>
      <c r="AC3410">
        <v>44.6602999999999</v>
      </c>
      <c r="AD3410">
        <v>-1.109658238005</v>
      </c>
      <c r="AE3410">
        <v>1.16549999999998</v>
      </c>
      <c r="AF3410">
        <v>-1.4788803660832399</v>
      </c>
      <c r="AG3410">
        <v>-1.109658238005</v>
      </c>
      <c r="AH3410">
        <v>44.6234612450979</v>
      </c>
      <c r="AI3410">
        <v>91.423707757902704</v>
      </c>
      <c r="AJ3410">
        <v>91.898162965072004</v>
      </c>
      <c r="AK3410">
        <v>44.661747861398297</v>
      </c>
      <c r="AL3410">
        <v>89.578805856389394</v>
      </c>
      <c r="AM3410">
        <v>87.775709592589394</v>
      </c>
      <c r="AN3410">
        <v>0.99999994753806998</v>
      </c>
    </row>
    <row r="3411" spans="1:40" x14ac:dyDescent="0.25">
      <c r="A3411" t="str">
        <f>"20190312161032974"</f>
        <v>20190312161032974</v>
      </c>
      <c r="B3411" t="str">
        <f>"1552378232969892"</f>
        <v>1552378232969892</v>
      </c>
      <c r="C3411" t="s">
        <v>40</v>
      </c>
      <c r="D3411">
        <v>5.2464250000000003</v>
      </c>
      <c r="E3411">
        <v>0.4740162</v>
      </c>
      <c r="F3411" t="s">
        <v>61</v>
      </c>
      <c r="G3411">
        <v>-215.9701</v>
      </c>
      <c r="H3411" s="1">
        <v>1.6083670000000001E-6</v>
      </c>
      <c r="I3411">
        <v>215.34479999999999</v>
      </c>
      <c r="J3411">
        <v>-262.4332</v>
      </c>
      <c r="K3411">
        <v>1.1096699999999999</v>
      </c>
      <c r="L3411">
        <v>214.1985</v>
      </c>
      <c r="M3411">
        <v>0.99986439999999999</v>
      </c>
      <c r="N3411">
        <v>0</v>
      </c>
      <c r="O3411">
        <v>-7.4281140000000004E-3</v>
      </c>
      <c r="P3411">
        <v>0.99890330000000005</v>
      </c>
      <c r="Q3411">
        <v>-7.399989E-3</v>
      </c>
      <c r="R3411">
        <v>-4.6236310000000003E-2</v>
      </c>
      <c r="S3411">
        <v>3.0061040000000001</v>
      </c>
      <c r="T3411">
        <v>-7.1231130000000004E-2</v>
      </c>
      <c r="U3411">
        <v>7.3394780000000007E-2</v>
      </c>
      <c r="V3411">
        <v>3.8820899999999998E-2</v>
      </c>
      <c r="W3411">
        <v>7.2591309999999899E-3</v>
      </c>
      <c r="X3411">
        <v>0.99921979999999999</v>
      </c>
      <c r="Y3411">
        <v>-3.1822990000000002E-2</v>
      </c>
      <c r="Z3411">
        <v>5.5290549999999997E-4</v>
      </c>
      <c r="AA3411">
        <v>0.99949339999999998</v>
      </c>
      <c r="AB3411">
        <v>35</v>
      </c>
      <c r="AC3411">
        <v>46.463099999999997</v>
      </c>
      <c r="AD3411">
        <v>-1.1096683916329999</v>
      </c>
      <c r="AE3411">
        <v>1.1462999999999901</v>
      </c>
      <c r="AF3411">
        <v>-1.4905891565691201</v>
      </c>
      <c r="AG3411">
        <v>-1.1096683916329999</v>
      </c>
      <c r="AH3411">
        <v>46.426836911107401</v>
      </c>
      <c r="AI3411">
        <v>91.368486239169201</v>
      </c>
      <c r="AJ3411">
        <v>91.838917881915293</v>
      </c>
      <c r="AK3411">
        <v>46.464011939818903</v>
      </c>
      <c r="AL3411">
        <v>89.584078770809199</v>
      </c>
      <c r="AM3411">
        <v>87.775108518929201</v>
      </c>
      <c r="AN3411">
        <v>0.99999998298586201</v>
      </c>
    </row>
    <row r="3412" spans="1:40" x14ac:dyDescent="0.25">
      <c r="A3412" t="str">
        <f>"20190312161032998"</f>
        <v>20190312161032998</v>
      </c>
      <c r="B3412" t="str">
        <f>"1552378232989412"</f>
        <v>1552378232989412</v>
      </c>
      <c r="C3412" t="s">
        <v>40</v>
      </c>
      <c r="D3412">
        <v>5.2491190000000003</v>
      </c>
      <c r="E3412">
        <v>0.47433589999999998</v>
      </c>
      <c r="F3412" t="s">
        <v>61</v>
      </c>
      <c r="G3412">
        <v>-214.5736</v>
      </c>
      <c r="H3412" s="1">
        <v>8.6735919999999996E-7</v>
      </c>
      <c r="I3412">
        <v>215.29580000000001</v>
      </c>
      <c r="J3412">
        <v>-262.06369999999998</v>
      </c>
      <c r="K3412">
        <v>1.1096760000000001</v>
      </c>
      <c r="L3412">
        <v>214.1953</v>
      </c>
      <c r="M3412">
        <v>0.99986140000000001</v>
      </c>
      <c r="N3412">
        <v>0</v>
      </c>
      <c r="O3412">
        <v>-7.8219129999999998E-3</v>
      </c>
      <c r="P3412">
        <v>0.99887530000000002</v>
      </c>
      <c r="Q3412">
        <v>-6.9995830000000002E-3</v>
      </c>
      <c r="R3412">
        <v>-4.6895640000000002E-2</v>
      </c>
      <c r="S3412">
        <v>3.0059809999999998</v>
      </c>
      <c r="T3412">
        <v>-6.9696430000000004E-2</v>
      </c>
      <c r="U3412">
        <v>6.8923949999999998E-2</v>
      </c>
      <c r="V3412">
        <v>3.9087209999999997E-2</v>
      </c>
      <c r="W3412">
        <v>7.6553699999999999E-3</v>
      </c>
      <c r="X3412">
        <v>0.9992065</v>
      </c>
      <c r="Y3412">
        <v>-3.0732559999999999E-2</v>
      </c>
      <c r="Z3412">
        <v>5.3751880000000001E-4</v>
      </c>
      <c r="AA3412">
        <v>0.99952750000000001</v>
      </c>
      <c r="AB3412">
        <v>35</v>
      </c>
      <c r="AC3412">
        <v>47.490099999999899</v>
      </c>
      <c r="AD3412">
        <v>-1.1096751326408001</v>
      </c>
      <c r="AE3412">
        <v>1.10050000000001</v>
      </c>
      <c r="AF3412">
        <v>-1.4711670684943401</v>
      </c>
      <c r="AG3412">
        <v>-1.1096751326408001</v>
      </c>
      <c r="AH3412">
        <v>47.454142309538597</v>
      </c>
      <c r="AI3412">
        <v>91.338926351546803</v>
      </c>
      <c r="AJ3412">
        <v>91.775707467462794</v>
      </c>
      <c r="AK3412">
        <v>47.489907704451902</v>
      </c>
      <c r="AL3412">
        <v>89.561375333793507</v>
      </c>
      <c r="AM3412">
        <v>87.759831551417406</v>
      </c>
      <c r="AN3412">
        <v>1.0000000221588301</v>
      </c>
    </row>
    <row r="3413" spans="1:40" x14ac:dyDescent="0.25">
      <c r="A3413" t="str">
        <f>"20190312161033017"</f>
        <v>20190312161033017</v>
      </c>
      <c r="B3413" t="str">
        <f>"1552378233009909"</f>
        <v>1552378233009909</v>
      </c>
      <c r="C3413" t="s">
        <v>40</v>
      </c>
      <c r="D3413">
        <v>5.2260169999999997</v>
      </c>
      <c r="E3413">
        <v>0.47450219999999999</v>
      </c>
      <c r="F3413" t="s">
        <v>61</v>
      </c>
      <c r="G3413">
        <v>-212.23009999999999</v>
      </c>
      <c r="H3413" s="1">
        <v>-3.7828669999999997E-7</v>
      </c>
      <c r="I3413">
        <v>215.26310000000001</v>
      </c>
      <c r="J3413">
        <v>-261.7595</v>
      </c>
      <c r="K3413">
        <v>1.109675</v>
      </c>
      <c r="L3413">
        <v>214.1926</v>
      </c>
      <c r="M3413">
        <v>0.99985880000000005</v>
      </c>
      <c r="N3413">
        <v>0</v>
      </c>
      <c r="O3413">
        <v>-8.1463439999999998E-3</v>
      </c>
      <c r="P3413">
        <v>0.99889609999999995</v>
      </c>
      <c r="Q3413">
        <v>-6.2167100000000003E-3</v>
      </c>
      <c r="R3413">
        <v>-4.6560860000000003E-2</v>
      </c>
      <c r="S3413">
        <v>3.005951</v>
      </c>
      <c r="T3413">
        <v>-6.6935540000000002E-2</v>
      </c>
      <c r="U3413">
        <v>6.4407350000000002E-2</v>
      </c>
      <c r="V3413">
        <v>3.8428799999999999E-2</v>
      </c>
      <c r="W3413">
        <v>8.4359280000000005E-3</v>
      </c>
      <c r="X3413">
        <v>0.99922569999999999</v>
      </c>
      <c r="Y3413">
        <v>-2.9557E-2</v>
      </c>
      <c r="Z3413">
        <v>5.1038310000000003E-4</v>
      </c>
      <c r="AA3413">
        <v>0.99956299999999998</v>
      </c>
      <c r="AB3413">
        <v>35</v>
      </c>
      <c r="AC3413">
        <v>49.529400000000003</v>
      </c>
      <c r="AD3413">
        <v>-1.1096753782866999</v>
      </c>
      <c r="AE3413">
        <v>1.0705</v>
      </c>
      <c r="AF3413">
        <v>-1.4732524254378101</v>
      </c>
      <c r="AG3413">
        <v>-1.1096753782866999</v>
      </c>
      <c r="AH3413">
        <v>49.494202238252903</v>
      </c>
      <c r="AI3413">
        <v>91.283805560687597</v>
      </c>
      <c r="AJ3413">
        <v>91.704972005861606</v>
      </c>
      <c r="AK3413">
        <v>49.528556483662101</v>
      </c>
      <c r="AL3413">
        <v>89.516651181094304</v>
      </c>
      <c r="AM3413">
        <v>87.797571182347795</v>
      </c>
      <c r="AN3413">
        <v>0.99999996854557505</v>
      </c>
    </row>
    <row r="3414" spans="1:40" x14ac:dyDescent="0.25">
      <c r="A3414" t="str">
        <f>"20190312161033039"</f>
        <v>20190312161033039</v>
      </c>
      <c r="B3414" t="str">
        <f>"1552378233029429"</f>
        <v>1552378233029429</v>
      </c>
      <c r="C3414" t="s">
        <v>40</v>
      </c>
      <c r="D3414">
        <v>5.1283430000000001</v>
      </c>
      <c r="E3414">
        <v>0.47460930000000001</v>
      </c>
      <c r="F3414" t="s">
        <v>59</v>
      </c>
      <c r="G3414">
        <v>-209.43100000000001</v>
      </c>
      <c r="H3414" s="1">
        <v>6.3387690000000004E-6</v>
      </c>
      <c r="I3414">
        <v>215.3083</v>
      </c>
      <c r="J3414">
        <v>-261.42180000000002</v>
      </c>
      <c r="K3414">
        <v>1.109677</v>
      </c>
      <c r="L3414">
        <v>214.18950000000001</v>
      </c>
      <c r="M3414">
        <v>0.99985590000000002</v>
      </c>
      <c r="N3414">
        <v>0</v>
      </c>
      <c r="O3414">
        <v>-8.5065319999999903E-3</v>
      </c>
      <c r="P3414">
        <v>0.99889810000000001</v>
      </c>
      <c r="Q3414">
        <v>-6.1234339999999996E-3</v>
      </c>
      <c r="R3414">
        <v>-4.6530540000000002E-2</v>
      </c>
      <c r="S3414">
        <v>3.0059200000000001</v>
      </c>
      <c r="T3414">
        <v>-6.3743110000000006E-2</v>
      </c>
      <c r="U3414">
        <v>6.4086909999999997E-2</v>
      </c>
      <c r="V3414">
        <v>3.8038530000000001E-2</v>
      </c>
      <c r="W3414">
        <v>8.5265250000000001E-3</v>
      </c>
      <c r="X3414">
        <v>0.99923989999999996</v>
      </c>
      <c r="Y3414">
        <v>-2.9811520000000001E-2</v>
      </c>
      <c r="Z3414">
        <v>4.9638739999999996E-4</v>
      </c>
      <c r="AA3414">
        <v>0.99955539999999998</v>
      </c>
      <c r="AB3414">
        <v>35</v>
      </c>
      <c r="AC3414">
        <v>51.9908</v>
      </c>
      <c r="AD3414">
        <v>-1.1096706612309899</v>
      </c>
      <c r="AE3414">
        <v>1.11879999999999</v>
      </c>
      <c r="AF3414">
        <v>-1.5603581566214599</v>
      </c>
      <c r="AG3414">
        <v>-1.1096706612309899</v>
      </c>
      <c r="AH3414">
        <v>51.955742931824702</v>
      </c>
      <c r="AI3414">
        <v>91.222985887785697</v>
      </c>
      <c r="AJ3414">
        <v>91.720215471193995</v>
      </c>
      <c r="AK3414">
        <v>51.991011820806001</v>
      </c>
      <c r="AL3414">
        <v>89.511460186092407</v>
      </c>
      <c r="AM3414">
        <v>87.819947568683403</v>
      </c>
      <c r="AN3414">
        <v>1.0000000045725701</v>
      </c>
    </row>
    <row r="3415" spans="1:40" x14ac:dyDescent="0.25">
      <c r="A3415" t="str">
        <f>"20190312161033062"</f>
        <v>20190312161033062</v>
      </c>
      <c r="B3415" t="str">
        <f>"1552378233049925"</f>
        <v>1552378233049925</v>
      </c>
      <c r="C3415" t="s">
        <v>40</v>
      </c>
      <c r="D3415">
        <v>5.2345069999999998</v>
      </c>
      <c r="E3415">
        <v>0.47470279999999998</v>
      </c>
      <c r="F3415" t="s">
        <v>59</v>
      </c>
      <c r="G3415">
        <v>-208.90029999999999</v>
      </c>
      <c r="H3415" s="1">
        <v>6.1044469999999998E-6</v>
      </c>
      <c r="I3415">
        <v>215.2963</v>
      </c>
      <c r="J3415">
        <v>-261.0532</v>
      </c>
      <c r="K3415">
        <v>1.1096790000000001</v>
      </c>
      <c r="L3415">
        <v>214.18600000000001</v>
      </c>
      <c r="M3415">
        <v>0.99985259999999998</v>
      </c>
      <c r="N3415">
        <v>0</v>
      </c>
      <c r="O3415">
        <v>-8.8999749999999992E-3</v>
      </c>
      <c r="P3415">
        <v>0.99890230000000002</v>
      </c>
      <c r="Q3415">
        <v>-6.0506960000000004E-3</v>
      </c>
      <c r="R3415">
        <v>-4.6451569999999998E-2</v>
      </c>
      <c r="S3415">
        <v>3.0058590000000001</v>
      </c>
      <c r="T3415">
        <v>-6.3507560000000005E-2</v>
      </c>
      <c r="U3415">
        <v>6.3339229999999996E-2</v>
      </c>
      <c r="V3415">
        <v>3.7566479999999999E-2</v>
      </c>
      <c r="W3415">
        <v>8.5961400000000004E-3</v>
      </c>
      <c r="X3415">
        <v>0.99925710000000001</v>
      </c>
      <c r="Y3415">
        <v>-2.9956699999999999E-2</v>
      </c>
      <c r="Z3415">
        <v>5.0440999999999995E-4</v>
      </c>
      <c r="AA3415">
        <v>0.99955110000000003</v>
      </c>
      <c r="AB3415">
        <v>35</v>
      </c>
      <c r="AC3415">
        <v>52.152900000000002</v>
      </c>
      <c r="AD3415">
        <v>-1.109672895553</v>
      </c>
      <c r="AE3415">
        <v>1.11030000000002</v>
      </c>
      <c r="AF3415">
        <v>-1.57375340749937</v>
      </c>
      <c r="AG3415">
        <v>-1.109672895553</v>
      </c>
      <c r="AH3415">
        <v>52.117367234849503</v>
      </c>
      <c r="AI3415">
        <v>91.219190803488502</v>
      </c>
      <c r="AJ3415">
        <v>91.729596907089899</v>
      </c>
      <c r="AK3415">
        <v>52.152929363698298</v>
      </c>
      <c r="AL3415">
        <v>89.507471363893302</v>
      </c>
      <c r="AM3415">
        <v>87.847012956125894</v>
      </c>
      <c r="AN3415">
        <v>0.99999994297144801</v>
      </c>
    </row>
    <row r="3416" spans="1:40" x14ac:dyDescent="0.25">
      <c r="A3416" t="str">
        <f>"20190312161033081"</f>
        <v>20190312161033081</v>
      </c>
      <c r="B3416" t="str">
        <f>"1552378233069445"</f>
        <v>1552378233069445</v>
      </c>
      <c r="C3416" t="s">
        <v>40</v>
      </c>
      <c r="D3416">
        <v>5.2055369999999996</v>
      </c>
      <c r="E3416">
        <v>0.47476390000000002</v>
      </c>
      <c r="F3416" t="s">
        <v>59</v>
      </c>
      <c r="G3416">
        <v>-207.465</v>
      </c>
      <c r="H3416" s="1">
        <v>5.4672529999999898E-6</v>
      </c>
      <c r="I3416">
        <v>215.30459999999999</v>
      </c>
      <c r="J3416">
        <v>-260.7654</v>
      </c>
      <c r="K3416">
        <v>1.1096760000000001</v>
      </c>
      <c r="L3416">
        <v>214.1831</v>
      </c>
      <c r="M3416">
        <v>0.99984989999999996</v>
      </c>
      <c r="N3416">
        <v>0</v>
      </c>
      <c r="O3416">
        <v>-9.2071240000000006E-3</v>
      </c>
      <c r="P3416">
        <v>0.99888770000000005</v>
      </c>
      <c r="Q3416">
        <v>-5.8558719999999998E-3</v>
      </c>
      <c r="R3416">
        <v>-4.6791060000000002E-2</v>
      </c>
      <c r="S3416">
        <v>3.005798</v>
      </c>
      <c r="T3416">
        <v>-6.2242390000000002E-2</v>
      </c>
      <c r="U3416">
        <v>6.2744140000000004E-2</v>
      </c>
      <c r="V3416">
        <v>3.7599349999999997E-2</v>
      </c>
      <c r="W3416">
        <v>8.7878219999999903E-3</v>
      </c>
      <c r="X3416">
        <v>0.99925419999999998</v>
      </c>
      <c r="Y3416">
        <v>-3.006663E-2</v>
      </c>
      <c r="Z3416">
        <v>5.0187219999999995E-4</v>
      </c>
      <c r="AA3416">
        <v>0.99954779999999999</v>
      </c>
      <c r="AB3416">
        <v>35</v>
      </c>
      <c r="AC3416">
        <v>53.300400000000003</v>
      </c>
      <c r="AD3416">
        <v>-1.109670532747</v>
      </c>
      <c r="AE3416">
        <v>1.1214999999999899</v>
      </c>
      <c r="AF3416">
        <v>-1.6115505101284799</v>
      </c>
      <c r="AG3416">
        <v>-1.109670532747</v>
      </c>
      <c r="AH3416">
        <v>53.264736641748698</v>
      </c>
      <c r="AI3416">
        <v>91.192931361241804</v>
      </c>
      <c r="AJ3416">
        <v>91.732983013865706</v>
      </c>
      <c r="AK3416">
        <v>53.300662596751998</v>
      </c>
      <c r="AL3416">
        <v>89.496488380563804</v>
      </c>
      <c r="AM3416">
        <v>87.845124658115594</v>
      </c>
      <c r="AN3416">
        <v>0.99999994657678104</v>
      </c>
    </row>
    <row r="3417" spans="1:40" x14ac:dyDescent="0.25">
      <c r="A3417" t="str">
        <f>"20190312161033102"</f>
        <v>20190312161033102</v>
      </c>
      <c r="B3417" t="str">
        <f>"1552378233089940"</f>
        <v>1552378233089940</v>
      </c>
      <c r="C3417" t="s">
        <v>40</v>
      </c>
      <c r="D3417">
        <v>5.1638460000000004</v>
      </c>
      <c r="E3417">
        <v>0.47484559999999998</v>
      </c>
      <c r="F3417" t="s">
        <v>59</v>
      </c>
      <c r="G3417">
        <v>-206.87039999999999</v>
      </c>
      <c r="H3417" s="1">
        <v>5.2054010000000004E-6</v>
      </c>
      <c r="I3417">
        <v>215.2835</v>
      </c>
      <c r="J3417">
        <v>-260.41849999999999</v>
      </c>
      <c r="K3417">
        <v>1.1096779999999999</v>
      </c>
      <c r="L3417">
        <v>214.17949999999999</v>
      </c>
      <c r="M3417">
        <v>0.99984640000000002</v>
      </c>
      <c r="N3417">
        <v>0</v>
      </c>
      <c r="O3417">
        <v>-9.5774420000000002E-3</v>
      </c>
      <c r="P3417">
        <v>0.99889609999999995</v>
      </c>
      <c r="Q3417">
        <v>-5.8131579999999997E-3</v>
      </c>
      <c r="R3417">
        <v>-4.6619859999999999E-2</v>
      </c>
      <c r="S3417">
        <v>3.00589</v>
      </c>
      <c r="T3417">
        <v>-6.1889769999999997E-2</v>
      </c>
      <c r="U3417">
        <v>6.1370849999999998E-2</v>
      </c>
      <c r="V3417">
        <v>3.7057560000000003E-2</v>
      </c>
      <c r="W3417">
        <v>8.8273980000000002E-3</v>
      </c>
      <c r="X3417">
        <v>0.99927410000000005</v>
      </c>
      <c r="Y3417">
        <v>-2.9979769999999999E-2</v>
      </c>
      <c r="Z3417">
        <v>5.0574660000000005E-4</v>
      </c>
      <c r="AA3417">
        <v>0.99955039999999995</v>
      </c>
      <c r="AB3417">
        <v>35</v>
      </c>
      <c r="AC3417">
        <v>53.548099999999998</v>
      </c>
      <c r="AD3417">
        <v>-1.1096727945989999</v>
      </c>
      <c r="AE3417">
        <v>1.1040000000000101</v>
      </c>
      <c r="AF3417">
        <v>-1.6161646825378699</v>
      </c>
      <c r="AG3417">
        <v>-1.1096727945989999</v>
      </c>
      <c r="AH3417">
        <v>53.512098433216899</v>
      </c>
      <c r="AI3417">
        <v>91.187422913664903</v>
      </c>
      <c r="AJ3417">
        <v>91.729913019670306</v>
      </c>
      <c r="AK3417">
        <v>53.547997541630302</v>
      </c>
      <c r="AL3417">
        <v>89.494220759644307</v>
      </c>
      <c r="AM3417">
        <v>87.876189071759299</v>
      </c>
      <c r="AN3417">
        <v>0.99999995631970595</v>
      </c>
    </row>
    <row r="3418" spans="1:40" x14ac:dyDescent="0.25">
      <c r="A3418" t="str">
        <f>"20190312161033128"</f>
        <v>20190312161033128</v>
      </c>
      <c r="B3418" t="str">
        <f>"1552378233120198"</f>
        <v>1552378233120198</v>
      </c>
      <c r="C3418" t="s">
        <v>40</v>
      </c>
      <c r="D3418">
        <v>5.1081000000000003</v>
      </c>
      <c r="E3418">
        <v>0.47489579999999998</v>
      </c>
      <c r="F3418" t="s">
        <v>59</v>
      </c>
      <c r="G3418">
        <v>-209.07910000000001</v>
      </c>
      <c r="H3418" s="1">
        <v>6.1898740000000004E-6</v>
      </c>
      <c r="I3418">
        <v>215.226</v>
      </c>
      <c r="J3418">
        <v>-260.03989999999999</v>
      </c>
      <c r="K3418">
        <v>1.109677</v>
      </c>
      <c r="L3418">
        <v>214.1755</v>
      </c>
      <c r="M3418">
        <v>0.99984260000000003</v>
      </c>
      <c r="N3418">
        <v>0</v>
      </c>
      <c r="O3418">
        <v>-9.9817269999999993E-3</v>
      </c>
      <c r="P3418">
        <v>0.9989209</v>
      </c>
      <c r="Q3418">
        <v>-5.6566749999999999E-3</v>
      </c>
      <c r="R3418">
        <v>-4.6102650000000002E-2</v>
      </c>
      <c r="S3418">
        <v>3.0057369999999999</v>
      </c>
      <c r="T3418">
        <v>-6.4967269999999994E-2</v>
      </c>
      <c r="U3418">
        <v>6.1264039999999999E-2</v>
      </c>
      <c r="V3418">
        <v>3.6136309999999998E-2</v>
      </c>
      <c r="W3418">
        <v>8.9804559999999995E-3</v>
      </c>
      <c r="X3418">
        <v>0.99930649999999999</v>
      </c>
      <c r="Y3418">
        <v>-3.0348429999999999E-2</v>
      </c>
      <c r="Z3418">
        <v>5.4363719999999999E-4</v>
      </c>
      <c r="AA3418">
        <v>0.99953930000000002</v>
      </c>
      <c r="AB3418">
        <v>35</v>
      </c>
      <c r="AC3418">
        <v>50.9607999999999</v>
      </c>
      <c r="AD3418">
        <v>-1.109670810126</v>
      </c>
      <c r="AE3418">
        <v>1.05049999999999</v>
      </c>
      <c r="AF3418">
        <v>-1.55844055391456</v>
      </c>
      <c r="AG3418">
        <v>-1.109670810126</v>
      </c>
      <c r="AH3418">
        <v>50.9236385289597</v>
      </c>
      <c r="AI3418">
        <v>91.247743817537796</v>
      </c>
      <c r="AJ3418">
        <v>91.752903139193094</v>
      </c>
      <c r="AK3418">
        <v>50.959563060284196</v>
      </c>
      <c r="AL3418">
        <v>89.4854508469964</v>
      </c>
      <c r="AM3418">
        <v>87.929007484483293</v>
      </c>
      <c r="AN3418">
        <v>0.99999998121631595</v>
      </c>
    </row>
    <row r="3419" spans="1:40" x14ac:dyDescent="0.25">
      <c r="A3419" t="str">
        <f>"20190312161033151"</f>
        <v>20190312161033151</v>
      </c>
      <c r="B3419" t="str">
        <f>"1552378233139717"</f>
        <v>1552378233139717</v>
      </c>
      <c r="C3419" t="s">
        <v>40</v>
      </c>
      <c r="D3419">
        <v>5.1403790000000003</v>
      </c>
      <c r="E3419">
        <v>0.47494320000000001</v>
      </c>
      <c r="F3419" t="s">
        <v>59</v>
      </c>
      <c r="G3419">
        <v>-208.8064</v>
      </c>
      <c r="H3419" s="1">
        <v>6.0678359999999999E-6</v>
      </c>
      <c r="I3419">
        <v>215.2388</v>
      </c>
      <c r="J3419">
        <v>-259.66390000000001</v>
      </c>
      <c r="K3419">
        <v>1.10968</v>
      </c>
      <c r="L3419">
        <v>214.1713</v>
      </c>
      <c r="M3419">
        <v>0.99983840000000002</v>
      </c>
      <c r="N3419">
        <v>0</v>
      </c>
      <c r="O3419">
        <v>-1.038327E-2</v>
      </c>
      <c r="P3419">
        <v>0.99895009999999995</v>
      </c>
      <c r="Q3419">
        <v>-5.2172950000000003E-3</v>
      </c>
      <c r="R3419">
        <v>-4.5513049999999999E-2</v>
      </c>
      <c r="S3419">
        <v>3.0057369999999999</v>
      </c>
      <c r="T3419">
        <v>-6.5101499999999896E-2</v>
      </c>
      <c r="U3419">
        <v>6.2377929999999998E-2</v>
      </c>
      <c r="V3419">
        <v>3.5145679999999999E-2</v>
      </c>
      <c r="W3419">
        <v>9.4172219999999994E-3</v>
      </c>
      <c r="X3419">
        <v>0.9993379</v>
      </c>
      <c r="Y3419">
        <v>-3.11198E-2</v>
      </c>
      <c r="Z3419">
        <v>5.6180610000000001E-4</v>
      </c>
      <c r="AA3419">
        <v>0.9995155</v>
      </c>
      <c r="AB3419">
        <v>35</v>
      </c>
      <c r="AC3419">
        <v>50.857500000000002</v>
      </c>
      <c r="AD3419">
        <v>-1.1096739321639999</v>
      </c>
      <c r="AE3419">
        <v>1.0674999999999899</v>
      </c>
      <c r="AF3419">
        <v>-1.59480754410814</v>
      </c>
      <c r="AG3419">
        <v>-1.1096739321639999</v>
      </c>
      <c r="AH3419">
        <v>50.819488936240397</v>
      </c>
      <c r="AI3419">
        <v>91.250273531074996</v>
      </c>
      <c r="AJ3419">
        <v>91.797455363658401</v>
      </c>
      <c r="AK3419">
        <v>50.856614545987298</v>
      </c>
      <c r="AL3419">
        <v>89.460424987290295</v>
      </c>
      <c r="AM3419">
        <v>87.9857968671175</v>
      </c>
      <c r="AN3419">
        <v>1.0000000706346299</v>
      </c>
    </row>
    <row r="3420" spans="1:40" x14ac:dyDescent="0.25">
      <c r="A3420" t="str">
        <f>"20190312161033173"</f>
        <v>20190312161033173</v>
      </c>
      <c r="B3420" t="str">
        <f>"1552378233169972"</f>
        <v>1552378233169972</v>
      </c>
      <c r="C3420" t="s">
        <v>40</v>
      </c>
      <c r="D3420">
        <v>5.3119519999999998</v>
      </c>
      <c r="E3420">
        <v>0.47504459999999998</v>
      </c>
      <c r="F3420" t="s">
        <v>59</v>
      </c>
      <c r="G3420">
        <v>-207.9847</v>
      </c>
      <c r="H3420" s="1">
        <v>5.7011759999999999E-6</v>
      </c>
      <c r="I3420">
        <v>215.26480000000001</v>
      </c>
      <c r="J3420">
        <v>-259.3177</v>
      </c>
      <c r="K3420">
        <v>1.1096870000000001</v>
      </c>
      <c r="L3420">
        <v>214.16739999999999</v>
      </c>
      <c r="M3420">
        <v>0.99983449999999996</v>
      </c>
      <c r="N3420">
        <v>0</v>
      </c>
      <c r="O3420">
        <v>-1.075311E-2</v>
      </c>
      <c r="P3420">
        <v>0.99897069999999999</v>
      </c>
      <c r="Q3420">
        <v>-4.9044290000000001E-3</v>
      </c>
      <c r="R3420">
        <v>-4.5093469999999997E-2</v>
      </c>
      <c r="S3420">
        <v>3.0057070000000001</v>
      </c>
      <c r="T3420">
        <v>-6.4539550000000001E-2</v>
      </c>
      <c r="U3420">
        <v>6.3598630000000003E-2</v>
      </c>
      <c r="V3420">
        <v>3.4356400000000002E-2</v>
      </c>
      <c r="W3420">
        <v>9.7271489999999992E-3</v>
      </c>
      <c r="X3420">
        <v>0.99936230000000004</v>
      </c>
      <c r="Y3420">
        <v>-3.1895369999999999E-2</v>
      </c>
      <c r="Z3420">
        <v>5.7322639999999995E-4</v>
      </c>
      <c r="AA3420">
        <v>0.99949100000000002</v>
      </c>
      <c r="AB3420">
        <v>35</v>
      </c>
      <c r="AC3420">
        <v>51.332999999999998</v>
      </c>
      <c r="AD3420">
        <v>-1.1096812988239999</v>
      </c>
      <c r="AE3420">
        <v>1.0974000000000199</v>
      </c>
      <c r="AF3420">
        <v>-1.6486153182435099</v>
      </c>
      <c r="AG3420">
        <v>-1.1096812988239999</v>
      </c>
      <c r="AH3420">
        <v>51.294270465411898</v>
      </c>
      <c r="AI3420">
        <v>91.238682996504494</v>
      </c>
      <c r="AJ3420">
        <v>91.840872162481006</v>
      </c>
      <c r="AK3420">
        <v>51.332752776675903</v>
      </c>
      <c r="AL3420">
        <v>89.442666622646001</v>
      </c>
      <c r="AM3420">
        <v>88.031042621094301</v>
      </c>
      <c r="AN3420">
        <v>0.99999999315495902</v>
      </c>
    </row>
    <row r="3421" spans="1:40" x14ac:dyDescent="0.25">
      <c r="A3421" t="str">
        <f>"20190312161033195"</f>
        <v>20190312161033195</v>
      </c>
      <c r="B3421" t="str">
        <f>"1552378233189493"</f>
        <v>1552378233189493</v>
      </c>
      <c r="C3421" t="s">
        <v>40</v>
      </c>
      <c r="D3421">
        <v>5.2569919999999897</v>
      </c>
      <c r="E3421">
        <v>0.50365909999999903</v>
      </c>
      <c r="F3421" t="s">
        <v>59</v>
      </c>
      <c r="G3421">
        <v>-208.94919999999999</v>
      </c>
      <c r="H3421" s="1">
        <v>6.1308200000000004E-6</v>
      </c>
      <c r="I3421">
        <v>215.24260000000001</v>
      </c>
      <c r="J3421">
        <v>-258.98230000000001</v>
      </c>
      <c r="K3421">
        <v>1.109686</v>
      </c>
      <c r="L3421">
        <v>214.1634</v>
      </c>
      <c r="M3421">
        <v>0.99983069999999996</v>
      </c>
      <c r="N3421">
        <v>0</v>
      </c>
      <c r="O3421">
        <v>-1.111175E-2</v>
      </c>
      <c r="P3421">
        <v>0.99895449999999997</v>
      </c>
      <c r="Q3421">
        <v>-4.9250170000000003E-3</v>
      </c>
      <c r="R3421">
        <v>-4.5449870000000003E-2</v>
      </c>
      <c r="S3421">
        <v>3.005646</v>
      </c>
      <c r="T3421">
        <v>-6.6218139999999995E-2</v>
      </c>
      <c r="U3421">
        <v>6.4163209999999998E-2</v>
      </c>
      <c r="V3421">
        <v>3.4354629999999997E-2</v>
      </c>
      <c r="W3421">
        <v>9.7028310000000003E-3</v>
      </c>
      <c r="X3421">
        <v>0.99936259999999999</v>
      </c>
      <c r="Y3421">
        <v>-3.2441230000000001E-2</v>
      </c>
      <c r="Z3421">
        <v>6.0205440000000001E-4</v>
      </c>
      <c r="AA3421">
        <v>0.99947350000000001</v>
      </c>
      <c r="AB3421">
        <v>35</v>
      </c>
      <c r="AC3421">
        <v>50.033099999999997</v>
      </c>
      <c r="AD3421">
        <v>-1.1096798691800001</v>
      </c>
      <c r="AE3421">
        <v>1.0792000000000099</v>
      </c>
      <c r="AF3421">
        <v>-1.6343448929593301</v>
      </c>
      <c r="AG3421">
        <v>-1.1096798691800001</v>
      </c>
      <c r="AH3421">
        <v>49.9934367826298</v>
      </c>
      <c r="AI3421">
        <v>91.270878902729706</v>
      </c>
      <c r="AJ3421">
        <v>91.8724003295833</v>
      </c>
      <c r="AK3421">
        <v>50.032451408860702</v>
      </c>
      <c r="AL3421">
        <v>89.444060008706899</v>
      </c>
      <c r="AM3421">
        <v>88.031144570118798</v>
      </c>
      <c r="AN3421">
        <v>0.99999999590530497</v>
      </c>
    </row>
    <row r="3422" spans="1:40" x14ac:dyDescent="0.25">
      <c r="A3422" t="str">
        <f>"20190312161033215"</f>
        <v>20190312161033215</v>
      </c>
      <c r="B3422" t="str">
        <f>"1552378233209989"</f>
        <v>1552378233209989</v>
      </c>
      <c r="C3422" t="s">
        <v>40</v>
      </c>
      <c r="D3422">
        <v>5.2604369999999996</v>
      </c>
      <c r="E3422">
        <v>0.50791359999999997</v>
      </c>
      <c r="F3422" t="s">
        <v>61</v>
      </c>
      <c r="G3422">
        <v>-225.48439999999999</v>
      </c>
      <c r="H3422" s="1">
        <v>1.481901E-6</v>
      </c>
      <c r="I3422">
        <v>212.3244</v>
      </c>
      <c r="J3422">
        <v>-258.6619</v>
      </c>
      <c r="K3422">
        <v>1.1096919999999999</v>
      </c>
      <c r="L3422">
        <v>214.15950000000001</v>
      </c>
      <c r="M3422">
        <v>0.99982700000000002</v>
      </c>
      <c r="N3422">
        <v>0</v>
      </c>
      <c r="O3422">
        <v>-1.145441E-2</v>
      </c>
      <c r="P3422">
        <v>0.99892270000000005</v>
      </c>
      <c r="Q3422">
        <v>-4.6958479999999999E-3</v>
      </c>
      <c r="R3422">
        <v>-4.616754E-2</v>
      </c>
      <c r="S3422">
        <v>2.9951629999999998</v>
      </c>
      <c r="T3422">
        <v>-9.9220630000000004E-2</v>
      </c>
      <c r="U3422">
        <v>-0.16442870000000001</v>
      </c>
      <c r="V3422">
        <v>3.4730280000000002E-2</v>
      </c>
      <c r="W3422">
        <v>9.9283649999999998E-3</v>
      </c>
      <c r="X3422">
        <v>0.9993474</v>
      </c>
      <c r="Y3422">
        <v>4.335609E-2</v>
      </c>
      <c r="Z3422">
        <v>-3.3832570000000002E-4</v>
      </c>
      <c r="AA3422">
        <v>0.99905960000000005</v>
      </c>
      <c r="AB3422">
        <v>35</v>
      </c>
      <c r="AC3422">
        <v>33.177500000000002</v>
      </c>
      <c r="AD3422">
        <v>-1.109690518099</v>
      </c>
      <c r="AE3422">
        <v>-1.8351000000000099</v>
      </c>
      <c r="AF3422">
        <v>1.4532892349671001</v>
      </c>
      <c r="AG3422">
        <v>-1.109690518099</v>
      </c>
      <c r="AH3422">
        <v>33.159362729341197</v>
      </c>
      <c r="AI3422">
        <v>91.914872618188895</v>
      </c>
      <c r="AJ3422">
        <v>87.490479924677999</v>
      </c>
      <c r="AK3422">
        <v>33.209739524158401</v>
      </c>
      <c r="AL3422">
        <v>89.431137239421403</v>
      </c>
      <c r="AM3422">
        <v>88.009603133701404</v>
      </c>
      <c r="AN3422">
        <v>0.99999999533360495</v>
      </c>
    </row>
    <row r="3423" spans="1:40" x14ac:dyDescent="0.25">
      <c r="A3423" t="str">
        <f>"20190312161033239"</f>
        <v>20190312161033239</v>
      </c>
      <c r="B3423" t="str">
        <f>"1552378233229509"</f>
        <v>1552378233229509</v>
      </c>
      <c r="C3423" t="s">
        <v>40</v>
      </c>
      <c r="D3423">
        <v>5.2748699999999999</v>
      </c>
      <c r="E3423">
        <v>0.50911689999999998</v>
      </c>
      <c r="F3423" t="s">
        <v>61</v>
      </c>
      <c r="G3423">
        <v>-218.25540000000001</v>
      </c>
      <c r="H3423" s="1">
        <v>2.9947150000000001E-6</v>
      </c>
      <c r="I3423">
        <v>211.45009999999999</v>
      </c>
      <c r="J3423">
        <v>-258.29239999999999</v>
      </c>
      <c r="K3423">
        <v>1.109696</v>
      </c>
      <c r="L3423">
        <v>214.15479999999999</v>
      </c>
      <c r="M3423">
        <v>0.9998224</v>
      </c>
      <c r="N3423">
        <v>0</v>
      </c>
      <c r="O3423">
        <v>-1.184964E-2</v>
      </c>
      <c r="P3423">
        <v>0.99889600000000001</v>
      </c>
      <c r="Q3423">
        <v>-4.3233400000000002E-3</v>
      </c>
      <c r="R3423">
        <v>-4.6778960000000001E-2</v>
      </c>
      <c r="S3423">
        <v>2.993576</v>
      </c>
      <c r="T3423">
        <v>-8.2212919999999995E-2</v>
      </c>
      <c r="U3423">
        <v>-0.2007294</v>
      </c>
      <c r="V3423">
        <v>3.4947020000000002E-2</v>
      </c>
      <c r="W3423">
        <v>1.029599E-2</v>
      </c>
      <c r="X3423">
        <v>0.99933609999999995</v>
      </c>
      <c r="Y3423">
        <v>5.505786E-2</v>
      </c>
      <c r="Z3423">
        <v>-4.3004129999999998E-4</v>
      </c>
      <c r="AA3423">
        <v>0.99848309999999996</v>
      </c>
      <c r="AB3423">
        <v>35</v>
      </c>
      <c r="AC3423">
        <v>40.0369999999999</v>
      </c>
      <c r="AD3423">
        <v>-1.109693005285</v>
      </c>
      <c r="AE3423">
        <v>-2.7046999999999999</v>
      </c>
      <c r="AF3423">
        <v>2.2283310165111199</v>
      </c>
      <c r="AG3423">
        <v>-1.109693005285</v>
      </c>
      <c r="AH3423">
        <v>40.035625348556799</v>
      </c>
      <c r="AI3423">
        <v>91.585244911812197</v>
      </c>
      <c r="AJ3423">
        <v>86.814278133829205</v>
      </c>
      <c r="AK3423">
        <v>40.112942733426202</v>
      </c>
      <c r="AL3423">
        <v>89.410072787005902</v>
      </c>
      <c r="AM3423">
        <v>87.997169192390501</v>
      </c>
      <c r="AN3423">
        <v>0.99999997119008399</v>
      </c>
    </row>
    <row r="3424" spans="1:40" x14ac:dyDescent="0.25">
      <c r="A3424" t="str">
        <f>"20190312161033259"</f>
        <v>20190312161033259</v>
      </c>
      <c r="B3424" t="str">
        <f>"1552378233250005"</f>
        <v>1552378233250005</v>
      </c>
      <c r="C3424" t="s">
        <v>40</v>
      </c>
      <c r="D3424">
        <v>5.2529050000000002</v>
      </c>
      <c r="E3424">
        <v>0.50997380000000003</v>
      </c>
      <c r="F3424" t="s">
        <v>61</v>
      </c>
      <c r="G3424">
        <v>-217.9529</v>
      </c>
      <c r="H3424" s="1">
        <v>2.8404789999999998E-6</v>
      </c>
      <c r="I3424">
        <v>211.29640000000001</v>
      </c>
      <c r="J3424">
        <v>-257.97379999999998</v>
      </c>
      <c r="K3424">
        <v>1.1097030000000001</v>
      </c>
      <c r="L3424">
        <v>214.1507</v>
      </c>
      <c r="M3424">
        <v>0.9998184</v>
      </c>
      <c r="N3424">
        <v>0</v>
      </c>
      <c r="O3424">
        <v>-1.2190640000000001E-2</v>
      </c>
      <c r="P3424">
        <v>0.99882850000000001</v>
      </c>
      <c r="Q3424">
        <v>-3.673506E-3</v>
      </c>
      <c r="R3424">
        <v>-4.8250410000000001E-2</v>
      </c>
      <c r="S3424">
        <v>2.9930270000000001</v>
      </c>
      <c r="T3424">
        <v>-8.2334640000000001E-2</v>
      </c>
      <c r="U3424">
        <v>-0.21208189999999999</v>
      </c>
      <c r="V3424">
        <v>3.6079100000000003E-2</v>
      </c>
      <c r="W3424">
        <v>1.094064E-2</v>
      </c>
      <c r="X3424">
        <v>0.99928899999999998</v>
      </c>
      <c r="Y3424">
        <v>5.8497319999999998E-2</v>
      </c>
      <c r="Z3424">
        <v>-4.6857650000000002E-4</v>
      </c>
      <c r="AA3424">
        <v>0.99828740000000005</v>
      </c>
      <c r="AB3424">
        <v>35</v>
      </c>
      <c r="AC3424">
        <v>40.020899999999898</v>
      </c>
      <c r="AD3424">
        <v>-1.1097001595209901</v>
      </c>
      <c r="AE3424">
        <v>-2.8542999999999901</v>
      </c>
      <c r="AF3424">
        <v>2.3643465126075802</v>
      </c>
      <c r="AG3424">
        <v>-1.1097001595209901</v>
      </c>
      <c r="AH3424">
        <v>40.022109952687401</v>
      </c>
      <c r="AI3424">
        <v>91.585480519308504</v>
      </c>
      <c r="AJ3424">
        <v>86.619123439850696</v>
      </c>
      <c r="AK3424">
        <v>40.107241913907799</v>
      </c>
      <c r="AL3424">
        <v>89.373134966788896</v>
      </c>
      <c r="AM3424">
        <v>87.932247194545198</v>
      </c>
      <c r="AN3424">
        <v>0.99999995229070804</v>
      </c>
    </row>
    <row r="3425" spans="1:40" x14ac:dyDescent="0.25">
      <c r="A3425" t="str">
        <f>"20190312161033281"</f>
        <v>20190312161033281</v>
      </c>
      <c r="B3425" t="str">
        <f>"1552378233269525"</f>
        <v>1552378233269525</v>
      </c>
      <c r="C3425" t="s">
        <v>40</v>
      </c>
      <c r="D3425">
        <v>5.2918479999999999</v>
      </c>
      <c r="E3425">
        <v>0.51041389999999998</v>
      </c>
      <c r="F3425" t="s">
        <v>61</v>
      </c>
      <c r="G3425">
        <v>-214.96510000000001</v>
      </c>
      <c r="H3425" s="1">
        <v>1.266013E-6</v>
      </c>
      <c r="I3425">
        <v>210.94139999999999</v>
      </c>
      <c r="J3425">
        <v>-257.63049999999998</v>
      </c>
      <c r="K3425">
        <v>1.109707</v>
      </c>
      <c r="L3425">
        <v>214.14609999999999</v>
      </c>
      <c r="M3425">
        <v>0.99981390000000003</v>
      </c>
      <c r="N3425">
        <v>0</v>
      </c>
      <c r="O3425">
        <v>-1.2558100000000001E-2</v>
      </c>
      <c r="P3425">
        <v>0.99876109999999896</v>
      </c>
      <c r="Q3425">
        <v>-3.320932E-3</v>
      </c>
      <c r="R3425">
        <v>-4.9653969999999999E-2</v>
      </c>
      <c r="S3425">
        <v>2.9924469999999999</v>
      </c>
      <c r="T3425">
        <v>-7.7210429999999997E-2</v>
      </c>
      <c r="U3425">
        <v>-0.2232971</v>
      </c>
      <c r="V3425">
        <v>3.7116099999999999E-2</v>
      </c>
      <c r="W3425">
        <v>1.1287749999999999E-2</v>
      </c>
      <c r="X3425">
        <v>0.9992472</v>
      </c>
      <c r="Y3425">
        <v>6.1866560000000001E-2</v>
      </c>
      <c r="Z3425">
        <v>-4.7338520000000001E-4</v>
      </c>
      <c r="AA3425">
        <v>0.99808430000000004</v>
      </c>
      <c r="AB3425">
        <v>35</v>
      </c>
      <c r="AC3425">
        <v>42.665399999999899</v>
      </c>
      <c r="AD3425">
        <v>-1.109705733987</v>
      </c>
      <c r="AE3425">
        <v>-3.2046999999999999</v>
      </c>
      <c r="AF3425">
        <v>2.66679946066008</v>
      </c>
      <c r="AG3425">
        <v>-1.109705733987</v>
      </c>
      <c r="AH3425">
        <v>42.673577647132497</v>
      </c>
      <c r="AI3425">
        <v>91.486714347916902</v>
      </c>
      <c r="AJ3425">
        <v>86.424065706454002</v>
      </c>
      <c r="AK3425">
        <v>42.771222748306698</v>
      </c>
      <c r="AL3425">
        <v>89.353245825237394</v>
      </c>
      <c r="AM3425">
        <v>87.872779946173694</v>
      </c>
      <c r="AN3425">
        <v>0.99999999244355597</v>
      </c>
    </row>
    <row r="3426" spans="1:40" x14ac:dyDescent="0.25">
      <c r="A3426" t="str">
        <f>"20190312161033887"</f>
        <v>20190312161033887</v>
      </c>
      <c r="B3426" t="str">
        <f>"1552378233879783"</f>
        <v>1552378233879783</v>
      </c>
      <c r="C3426" t="s">
        <v>40</v>
      </c>
      <c r="D3426">
        <v>6.0546680000000004</v>
      </c>
      <c r="E3426">
        <v>0.50539299999999998</v>
      </c>
      <c r="F3426" t="s">
        <v>61</v>
      </c>
      <c r="G3426">
        <v>-213.05459999999999</v>
      </c>
      <c r="H3426" s="1">
        <v>2.597687E-7</v>
      </c>
      <c r="I3426">
        <v>210.70249999999999</v>
      </c>
      <c r="J3426">
        <v>-248.41210000000001</v>
      </c>
      <c r="K3426">
        <v>1.109877</v>
      </c>
      <c r="L3426">
        <v>213.9776</v>
      </c>
      <c r="M3426">
        <v>0.99965660000000001</v>
      </c>
      <c r="N3426">
        <v>0</v>
      </c>
      <c r="O3426">
        <v>-2.1799590000000001E-2</v>
      </c>
      <c r="P3426">
        <v>0.9980426</v>
      </c>
      <c r="Q3426">
        <v>9.4454499999999998E-4</v>
      </c>
      <c r="R3426">
        <v>-6.2534880000000001E-2</v>
      </c>
      <c r="S3426">
        <v>2.9920200000000001</v>
      </c>
      <c r="T3426">
        <v>-7.4485540000000003E-2</v>
      </c>
      <c r="U3426">
        <v>-0.23114009999999999</v>
      </c>
      <c r="V3426">
        <v>4.0769840000000002E-2</v>
      </c>
      <c r="W3426">
        <v>1.5457800000000001E-2</v>
      </c>
      <c r="X3426">
        <v>0.99904899999999996</v>
      </c>
      <c r="Y3426">
        <v>5.5256989999999999E-2</v>
      </c>
      <c r="Z3426">
        <v>-1.4495980000000001E-4</v>
      </c>
      <c r="AA3426">
        <v>0.99847220000000003</v>
      </c>
      <c r="AB3426">
        <v>34</v>
      </c>
      <c r="AC3426">
        <v>35.357500000000002</v>
      </c>
      <c r="AD3426">
        <v>-1.1098767402312999</v>
      </c>
      <c r="AE3426">
        <v>-3.2751000000000001</v>
      </c>
      <c r="AF3426">
        <v>2.5010176419824699</v>
      </c>
      <c r="AG3426">
        <v>-1.1098767402312999</v>
      </c>
      <c r="AH3426">
        <v>35.385928698984799</v>
      </c>
      <c r="AI3426">
        <v>91.792021007914698</v>
      </c>
      <c r="AJ3426">
        <v>85.957154092701401</v>
      </c>
      <c r="AK3426">
        <v>35.4915604829324</v>
      </c>
      <c r="AL3426">
        <v>89.114298037248801</v>
      </c>
      <c r="AM3426">
        <v>87.663133298046006</v>
      </c>
      <c r="AN3426">
        <v>1.0000000139177301</v>
      </c>
    </row>
    <row r="3427" spans="1:40" x14ac:dyDescent="0.25">
      <c r="A3427" t="str">
        <f>"20190312161033911"</f>
        <v>20190312161033911</v>
      </c>
      <c r="B3427" t="str">
        <f>"1552378233900277"</f>
        <v>1552378233900277</v>
      </c>
      <c r="C3427" t="s">
        <v>40</v>
      </c>
      <c r="D3427">
        <v>5.57782</v>
      </c>
      <c r="E3427">
        <v>0.50227860000000002</v>
      </c>
      <c r="F3427" t="s">
        <v>59</v>
      </c>
      <c r="G3427">
        <v>-190.7216</v>
      </c>
      <c r="H3427" s="1">
        <v>4.2913900000000003E-6</v>
      </c>
      <c r="I3427">
        <v>209.5496</v>
      </c>
      <c r="J3427">
        <v>-248.0463</v>
      </c>
      <c r="K3427">
        <v>1.10989</v>
      </c>
      <c r="L3427">
        <v>213.96940000000001</v>
      </c>
      <c r="M3427">
        <v>0.99965130000000002</v>
      </c>
      <c r="N3427">
        <v>0</v>
      </c>
      <c r="O3427">
        <v>-2.2037620000000001E-2</v>
      </c>
      <c r="P3427">
        <v>0.998054</v>
      </c>
      <c r="Q3427">
        <v>1.1903489999999901E-3</v>
      </c>
      <c r="R3427">
        <v>-6.2347949999999999E-2</v>
      </c>
      <c r="S3427">
        <v>2.9915310000000002</v>
      </c>
      <c r="T3427">
        <v>-5.7552220000000001E-2</v>
      </c>
      <c r="U3427">
        <v>-0.22961429999999999</v>
      </c>
      <c r="V3427">
        <v>4.0344339999999999E-2</v>
      </c>
      <c r="W3427">
        <v>1.5701900000000001E-2</v>
      </c>
      <c r="X3427">
        <v>0.99906249999999996</v>
      </c>
      <c r="Y3427">
        <v>5.452978E-2</v>
      </c>
      <c r="Z3427">
        <v>-1.004775E-4</v>
      </c>
      <c r="AA3427">
        <v>0.99851210000000001</v>
      </c>
      <c r="AB3427">
        <v>33</v>
      </c>
      <c r="AC3427">
        <v>57.3247</v>
      </c>
      <c r="AD3427">
        <v>-1.10988570861</v>
      </c>
      <c r="AE3427">
        <v>-4.4198000000000004</v>
      </c>
      <c r="AF3427">
        <v>3.1541173666608699</v>
      </c>
      <c r="AG3427">
        <v>-1.10988570861</v>
      </c>
      <c r="AH3427">
        <v>57.386802399562903</v>
      </c>
      <c r="AI3427">
        <v>91.106317808142094</v>
      </c>
      <c r="AJ3427">
        <v>86.854050755045193</v>
      </c>
      <c r="AK3427">
        <v>57.484131656443502</v>
      </c>
      <c r="AL3427">
        <v>89.100310469828798</v>
      </c>
      <c r="AM3427">
        <v>87.687526923366704</v>
      </c>
      <c r="AN3427">
        <v>1.00000004716994</v>
      </c>
    </row>
    <row r="3428" spans="1:40" x14ac:dyDescent="0.25">
      <c r="A3428" t="str">
        <f>"20190312161033934"</f>
        <v>20190312161033934</v>
      </c>
      <c r="B3428" t="str">
        <f>"1552378233929558"</f>
        <v>1552378233929558</v>
      </c>
      <c r="C3428" t="s">
        <v>40</v>
      </c>
      <c r="D3428">
        <v>5.3818210000000004</v>
      </c>
      <c r="E3428">
        <v>0.49856460000000002</v>
      </c>
      <c r="F3428" t="s">
        <v>59</v>
      </c>
      <c r="G3428">
        <v>-179.9513</v>
      </c>
      <c r="H3428">
        <v>5.646557E-2</v>
      </c>
      <c r="I3428">
        <v>209.3177</v>
      </c>
      <c r="J3428">
        <v>-247.71299999999999</v>
      </c>
      <c r="K3428">
        <v>1.1098980000000001</v>
      </c>
      <c r="L3428">
        <v>213.96180000000001</v>
      </c>
      <c r="M3428">
        <v>0.99964679999999995</v>
      </c>
      <c r="N3428">
        <v>0</v>
      </c>
      <c r="O3428">
        <v>-2.2247240000000001E-2</v>
      </c>
      <c r="P3428">
        <v>0.99802120000000005</v>
      </c>
      <c r="Q3428">
        <v>1.621272E-3</v>
      </c>
      <c r="R3428">
        <v>-6.2859419999999999E-2</v>
      </c>
      <c r="S3428">
        <v>2.9931489999999998</v>
      </c>
      <c r="T3428">
        <v>-4.6303749999999998E-2</v>
      </c>
      <c r="U3428">
        <v>-0.20446780000000001</v>
      </c>
      <c r="V3428">
        <v>4.0646969999999998E-2</v>
      </c>
      <c r="W3428">
        <v>1.61291E-2</v>
      </c>
      <c r="X3428">
        <v>0.99904340000000003</v>
      </c>
      <c r="Y3428">
        <v>4.5935549999999999E-2</v>
      </c>
      <c r="Z3428" s="1">
        <v>-1.118306E-5</v>
      </c>
      <c r="AA3428">
        <v>0.99894439999999995</v>
      </c>
      <c r="AB3428">
        <v>33</v>
      </c>
      <c r="AC3428">
        <v>67.761699999999905</v>
      </c>
      <c r="AD3428">
        <v>-1.05343243</v>
      </c>
      <c r="AE3428">
        <v>-4.6440999999999999</v>
      </c>
      <c r="AF3428">
        <v>3.13452619912526</v>
      </c>
      <c r="AG3428">
        <v>-1.05343243</v>
      </c>
      <c r="AH3428">
        <v>67.831937595930796</v>
      </c>
      <c r="AI3428">
        <v>90.888785701839794</v>
      </c>
      <c r="AJ3428">
        <v>87.354233754590496</v>
      </c>
      <c r="AK3428">
        <v>67.912493198202</v>
      </c>
      <c r="AL3428">
        <v>89.075830587662495</v>
      </c>
      <c r="AM3428">
        <v>87.670155206306404</v>
      </c>
      <c r="AN3428">
        <v>1.0000000195602701</v>
      </c>
    </row>
    <row r="3429" spans="1:40" x14ac:dyDescent="0.25">
      <c r="A3429" t="str">
        <f>"20190312161033957"</f>
        <v>20190312161033957</v>
      </c>
      <c r="B3429" t="str">
        <f>"1552378233950054"</f>
        <v>1552378233950054</v>
      </c>
      <c r="C3429" t="s">
        <v>40</v>
      </c>
      <c r="D3429">
        <v>5.6698950000000004</v>
      </c>
      <c r="E3429">
        <v>0.49657679999999998</v>
      </c>
      <c r="F3429" t="s">
        <v>55</v>
      </c>
      <c r="G3429">
        <v>-169.39230000000001</v>
      </c>
      <c r="H3429">
        <v>0.4690647</v>
      </c>
      <c r="I3429">
        <v>209.33760000000001</v>
      </c>
      <c r="J3429">
        <v>-247.35130000000001</v>
      </c>
      <c r="K3429">
        <v>1.1099060000000001</v>
      </c>
      <c r="L3429">
        <v>213.95349999999999</v>
      </c>
      <c r="M3429">
        <v>0.99964180000000002</v>
      </c>
      <c r="N3429">
        <v>0</v>
      </c>
      <c r="O3429">
        <v>-2.2470739999999999E-2</v>
      </c>
      <c r="P3429">
        <v>0.99804689999999996</v>
      </c>
      <c r="Q3429">
        <v>1.6179339999999999E-3</v>
      </c>
      <c r="R3429">
        <v>-6.2447259999999997E-2</v>
      </c>
      <c r="S3429">
        <v>2.9948429999999999</v>
      </c>
      <c r="T3429">
        <v>-2.4502989999999999E-2</v>
      </c>
      <c r="U3429">
        <v>-0.1768188</v>
      </c>
      <c r="V3429">
        <v>4.0010869999999997E-2</v>
      </c>
      <c r="W3429">
        <v>1.6123370000000001E-2</v>
      </c>
      <c r="X3429">
        <v>0.99906919999999999</v>
      </c>
      <c r="Y3429">
        <v>3.6489090000000002E-2</v>
      </c>
      <c r="Z3429" s="1">
        <v>3.4524289999999997E-5</v>
      </c>
      <c r="AA3429">
        <v>0.99933399999999994</v>
      </c>
      <c r="AB3429">
        <v>33</v>
      </c>
      <c r="AC3429">
        <v>77.959000000000003</v>
      </c>
      <c r="AD3429">
        <v>-0.64084129999999995</v>
      </c>
      <c r="AE3429">
        <v>-4.6158999999999804</v>
      </c>
      <c r="AF3429">
        <v>2.8625599305867802</v>
      </c>
      <c r="AG3429">
        <v>-0.64084129999999995</v>
      </c>
      <c r="AH3429">
        <v>78.037790154918994</v>
      </c>
      <c r="AI3429">
        <v>90.470182464282203</v>
      </c>
      <c r="AJ3429">
        <v>87.899234469011105</v>
      </c>
      <c r="AK3429">
        <v>78.092903769748304</v>
      </c>
      <c r="AL3429">
        <v>89.076158962908806</v>
      </c>
      <c r="AM3429">
        <v>87.706635760083799</v>
      </c>
      <c r="AN3429">
        <v>1.00000004958347</v>
      </c>
    </row>
    <row r="3430" spans="1:40" x14ac:dyDescent="0.25">
      <c r="A3430" t="str">
        <f>"20190312161033979"</f>
        <v>20190312161033979</v>
      </c>
      <c r="B3430" t="str">
        <f>"1552378233969574"</f>
        <v>1552378233969574</v>
      </c>
      <c r="C3430" t="s">
        <v>40</v>
      </c>
      <c r="D3430">
        <v>4.9645070000000002</v>
      </c>
      <c r="E3430">
        <v>0.49587949999999997</v>
      </c>
      <c r="F3430" t="s">
        <v>55</v>
      </c>
      <c r="G3430">
        <v>-169.39230000000001</v>
      </c>
      <c r="H3430">
        <v>0.72783089999999995</v>
      </c>
      <c r="I3430">
        <v>209.7902</v>
      </c>
      <c r="J3430">
        <v>-247.0343</v>
      </c>
      <c r="K3430">
        <v>1.109907</v>
      </c>
      <c r="L3430">
        <v>213.9462</v>
      </c>
      <c r="M3430">
        <v>0.99963760000000002</v>
      </c>
      <c r="N3430">
        <v>0</v>
      </c>
      <c r="O3430">
        <v>-2.266578E-2</v>
      </c>
      <c r="P3430">
        <v>0.99805779999999999</v>
      </c>
      <c r="Q3430">
        <v>1.267298E-3</v>
      </c>
      <c r="R3430">
        <v>-6.2283039999999998E-2</v>
      </c>
      <c r="S3430">
        <v>2.9958499999999999</v>
      </c>
      <c r="T3430">
        <v>-1.4681339999999999E-2</v>
      </c>
      <c r="U3430">
        <v>-0.1599884</v>
      </c>
      <c r="V3430">
        <v>3.9651060000000002E-2</v>
      </c>
      <c r="W3430">
        <v>1.577009E-2</v>
      </c>
      <c r="X3430">
        <v>0.99908909999999995</v>
      </c>
      <c r="Y3430">
        <v>3.0677650000000001E-2</v>
      </c>
      <c r="Z3430" s="1">
        <v>3.5868190000000003E-5</v>
      </c>
      <c r="AA3430">
        <v>0.99952929999999995</v>
      </c>
      <c r="AB3430">
        <v>33</v>
      </c>
      <c r="AC3430">
        <v>77.641999999999996</v>
      </c>
      <c r="AD3430">
        <v>-0.38207609999999897</v>
      </c>
      <c r="AE3430">
        <v>-4.1559999999999997</v>
      </c>
      <c r="AF3430">
        <v>2.3948721416944201</v>
      </c>
      <c r="AG3430">
        <v>-0.38207609999999897</v>
      </c>
      <c r="AH3430">
        <v>77.714381768803307</v>
      </c>
      <c r="AI3430">
        <v>90.281553867349402</v>
      </c>
      <c r="AJ3430">
        <v>88.234912866484393</v>
      </c>
      <c r="AK3430">
        <v>77.752212369993501</v>
      </c>
      <c r="AL3430">
        <v>89.096402913654501</v>
      </c>
      <c r="AM3430">
        <v>87.727283036683801</v>
      </c>
      <c r="AN3430">
        <v>0.99999996601827001</v>
      </c>
    </row>
    <row r="3431" spans="1:40" x14ac:dyDescent="0.25">
      <c r="A3431" t="str">
        <f>"20190312161034040"</f>
        <v>20190312161034040</v>
      </c>
      <c r="B3431" t="str">
        <f>"1552378234029616"</f>
        <v>1552378234029616</v>
      </c>
      <c r="C3431" t="s">
        <v>40</v>
      </c>
      <c r="D3431">
        <v>4.724939</v>
      </c>
      <c r="E3431">
        <v>0.50097979999999998</v>
      </c>
      <c r="F3431" t="s">
        <v>55</v>
      </c>
      <c r="G3431">
        <v>-169.3922</v>
      </c>
      <c r="H3431">
        <v>0.70457080000000005</v>
      </c>
      <c r="I3431">
        <v>209.9605</v>
      </c>
      <c r="J3431">
        <v>-246.12190000000001</v>
      </c>
      <c r="K3431">
        <v>1.1099209999999999</v>
      </c>
      <c r="L3431">
        <v>213.9247</v>
      </c>
      <c r="M3431">
        <v>0.99962450000000003</v>
      </c>
      <c r="N3431">
        <v>0</v>
      </c>
      <c r="O3431">
        <v>-2.3232389999999999E-2</v>
      </c>
      <c r="P3431">
        <v>0.99810469999999896</v>
      </c>
      <c r="Q3431">
        <v>1.138682E-3</v>
      </c>
      <c r="R3431">
        <v>-6.1529779999999999E-2</v>
      </c>
      <c r="S3431">
        <v>2.9962620000000002</v>
      </c>
      <c r="T3431">
        <v>-1.5640850000000001E-2</v>
      </c>
      <c r="U3431">
        <v>-0.15380859999999999</v>
      </c>
      <c r="V3431">
        <v>3.833019E-2</v>
      </c>
      <c r="W3431">
        <v>1.5633729999999998E-2</v>
      </c>
      <c r="X3431">
        <v>0.9991428</v>
      </c>
      <c r="Y3431">
        <v>2.8047800000000001E-2</v>
      </c>
      <c r="Z3431" s="1">
        <v>4.8024089999999999E-5</v>
      </c>
      <c r="AA3431">
        <v>0.99960660000000001</v>
      </c>
      <c r="AB3431">
        <v>33</v>
      </c>
      <c r="AC3431">
        <v>76.729699999999994</v>
      </c>
      <c r="AD3431">
        <v>-0.40535019999999899</v>
      </c>
      <c r="AE3431">
        <v>-3.9641999999999999</v>
      </c>
      <c r="AF3431">
        <v>2.1802666044154</v>
      </c>
      <c r="AG3431">
        <v>-0.40535019999999899</v>
      </c>
      <c r="AH3431">
        <v>76.798955575020699</v>
      </c>
      <c r="AI3431">
        <v>90.302286492254794</v>
      </c>
      <c r="AJ3431">
        <v>88.373851179153803</v>
      </c>
      <c r="AK3431">
        <v>76.830966729990905</v>
      </c>
      <c r="AL3431">
        <v>89.104216738567601</v>
      </c>
      <c r="AM3431">
        <v>87.803035077008005</v>
      </c>
      <c r="AN3431">
        <v>0.99999997588549405</v>
      </c>
    </row>
    <row r="3432" spans="1:40" x14ac:dyDescent="0.25">
      <c r="A3432" t="str">
        <f>"20190312161034074"</f>
        <v>20190312161034074</v>
      </c>
      <c r="B3432" t="str">
        <f>"1552378234069632"</f>
        <v>1552378234069632</v>
      </c>
      <c r="C3432" t="s">
        <v>40</v>
      </c>
      <c r="D3432">
        <v>5.5471729999999999</v>
      </c>
      <c r="E3432">
        <v>0.49093769999999998</v>
      </c>
      <c r="F3432" t="s">
        <v>42</v>
      </c>
      <c r="G3432">
        <v>-245.43270000000001</v>
      </c>
      <c r="H3432">
        <v>0.8482809</v>
      </c>
      <c r="I3432">
        <v>213.88339999999999</v>
      </c>
      <c r="J3432">
        <v>-245.62270000000001</v>
      </c>
      <c r="K3432">
        <v>1.1099250000000001</v>
      </c>
      <c r="L3432">
        <v>213.9128</v>
      </c>
      <c r="M3432">
        <v>0.99961730000000004</v>
      </c>
      <c r="N3432">
        <v>0</v>
      </c>
      <c r="O3432">
        <v>-2.3544989999999998E-2</v>
      </c>
      <c r="P3432">
        <v>0.99810310000000002</v>
      </c>
      <c r="Q3432">
        <v>1.862233E-3</v>
      </c>
      <c r="R3432">
        <v>-6.1538500000000003E-2</v>
      </c>
      <c r="S3432">
        <v>2.9960019999999998</v>
      </c>
      <c r="T3432">
        <v>-1.1373740000000001</v>
      </c>
      <c r="U3432">
        <v>-0.17805480000000001</v>
      </c>
      <c r="V3432">
        <v>3.8026619999999997E-2</v>
      </c>
      <c r="W3432">
        <v>1.6352229999999999E-2</v>
      </c>
      <c r="X3432">
        <v>0.99914289999999994</v>
      </c>
      <c r="Y3432">
        <v>3.5008379999999999E-2</v>
      </c>
      <c r="Z3432">
        <v>2.2131809999999998E-3</v>
      </c>
      <c r="AA3432">
        <v>0.99938459999999996</v>
      </c>
      <c r="AB3432">
        <v>33</v>
      </c>
      <c r="AC3432">
        <v>0.189999999999997</v>
      </c>
      <c r="AD3432">
        <v>-0.26164409999999899</v>
      </c>
      <c r="AE3432">
        <v>-2.9400000000009599E-2</v>
      </c>
      <c r="AF3432">
        <v>8.7369961747752693E-3</v>
      </c>
      <c r="AG3432">
        <v>-0.26164409999999899</v>
      </c>
      <c r="AH3432">
        <v>6.68444119404661E-2</v>
      </c>
      <c r="AI3432">
        <v>165.55189670993801</v>
      </c>
      <c r="AJ3432">
        <v>82.553287228391298</v>
      </c>
      <c r="AK3432">
        <v>0.27018909225694998</v>
      </c>
      <c r="AL3432">
        <v>89.063044454328093</v>
      </c>
      <c r="AM3432">
        <v>87.820418116376501</v>
      </c>
      <c r="AN3432">
        <v>0.99999997693750298</v>
      </c>
    </row>
    <row r="3433" spans="1:40" x14ac:dyDescent="0.25">
      <c r="A3433" t="str">
        <f>"20190312161034096"</f>
        <v>20190312161034096</v>
      </c>
      <c r="B3433" t="str">
        <f>"1552378234090128"</f>
        <v>1552378234090128</v>
      </c>
      <c r="C3433" t="s">
        <v>40</v>
      </c>
      <c r="D3433">
        <v>5.3012610000000002</v>
      </c>
      <c r="E3433">
        <v>0.4915485</v>
      </c>
      <c r="F3433" t="s">
        <v>42</v>
      </c>
      <c r="G3433">
        <v>-244.7534</v>
      </c>
      <c r="H3433">
        <v>1.0342260000000001</v>
      </c>
      <c r="I3433">
        <v>213.881</v>
      </c>
      <c r="J3433">
        <v>-245.2824</v>
      </c>
      <c r="K3433">
        <v>1.1099289999999999</v>
      </c>
      <c r="L3433">
        <v>213.90450000000001</v>
      </c>
      <c r="M3433">
        <v>0.99961250000000001</v>
      </c>
      <c r="N3433">
        <v>0</v>
      </c>
      <c r="O3433">
        <v>-2.3757830000000001E-2</v>
      </c>
      <c r="P3433">
        <v>0.99809910000000002</v>
      </c>
      <c r="Q3433">
        <v>2.2664220000000001E-3</v>
      </c>
      <c r="R3433">
        <v>-6.158864E-2</v>
      </c>
      <c r="S3433">
        <v>2.9994960000000002</v>
      </c>
      <c r="T3433">
        <v>-0.2613047</v>
      </c>
      <c r="U3433">
        <v>-0.1088257</v>
      </c>
      <c r="V3433">
        <v>3.786453E-2</v>
      </c>
      <c r="W3433">
        <v>1.6753190000000001E-2</v>
      </c>
      <c r="X3433">
        <v>0.99914239999999999</v>
      </c>
      <c r="Y3433">
        <v>1.2544909999999999E-2</v>
      </c>
      <c r="Z3433">
        <v>1.5197330000000001E-3</v>
      </c>
      <c r="AA3433">
        <v>0.99992009999999998</v>
      </c>
      <c r="AB3433">
        <v>33</v>
      </c>
      <c r="AC3433">
        <v>0.52899999999999603</v>
      </c>
      <c r="AD3433">
        <v>-7.5703000000000006E-2</v>
      </c>
      <c r="AE3433">
        <v>-2.3500000000041099E-2</v>
      </c>
      <c r="AF3433">
        <v>1.0705345011065801E-2</v>
      </c>
      <c r="AG3433">
        <v>-7.5703000000000006E-2</v>
      </c>
      <c r="AH3433">
        <v>0.51880518793834696</v>
      </c>
      <c r="AI3433">
        <v>98.300151030014305</v>
      </c>
      <c r="AJ3433">
        <v>88.817891438543299</v>
      </c>
      <c r="AK3433">
        <v>0.52440859227566905</v>
      </c>
      <c r="AL3433">
        <v>89.0400679773213</v>
      </c>
      <c r="AM3433">
        <v>87.829698683712607</v>
      </c>
      <c r="AN3433">
        <v>0.99999996374252698</v>
      </c>
    </row>
    <row r="3434" spans="1:40" x14ac:dyDescent="0.25">
      <c r="A3434" t="str">
        <f>"20190312161034119"</f>
        <v>20190312161034119</v>
      </c>
      <c r="B3434" t="str">
        <f>"1552378234109648"</f>
        <v>1552378234109648</v>
      </c>
      <c r="C3434" t="s">
        <v>40</v>
      </c>
      <c r="D3434">
        <v>5.3583869999999996</v>
      </c>
      <c r="E3434">
        <v>0.48804120000000001</v>
      </c>
      <c r="F3434" t="s">
        <v>61</v>
      </c>
      <c r="G3434">
        <v>-227.0034</v>
      </c>
      <c r="H3434" s="1">
        <v>2.2518390000000002E-6</v>
      </c>
      <c r="I3434">
        <v>213.20359999999999</v>
      </c>
      <c r="J3434">
        <v>-244.95169999999999</v>
      </c>
      <c r="K3434">
        <v>1.109931</v>
      </c>
      <c r="L3434">
        <v>213.8964</v>
      </c>
      <c r="M3434">
        <v>0.99960749999999998</v>
      </c>
      <c r="N3434">
        <v>0</v>
      </c>
      <c r="O3434">
        <v>-2.3963160000000001E-2</v>
      </c>
      <c r="P3434">
        <v>0.99808680000000005</v>
      </c>
      <c r="Q3434">
        <v>2.8821070000000001E-3</v>
      </c>
      <c r="R3434">
        <v>-6.1763119999999998E-2</v>
      </c>
      <c r="S3434">
        <v>2.9990389999999998</v>
      </c>
      <c r="T3434">
        <v>-0.1821063</v>
      </c>
      <c r="U3434">
        <v>-0.1150055</v>
      </c>
      <c r="V3434">
        <v>3.7833970000000001E-2</v>
      </c>
      <c r="W3434">
        <v>1.7364879999999999E-2</v>
      </c>
      <c r="X3434">
        <v>0.99913320000000005</v>
      </c>
      <c r="Y3434">
        <v>1.4377819999999999E-2</v>
      </c>
      <c r="Z3434">
        <v>1.0171309999999999E-3</v>
      </c>
      <c r="AA3434">
        <v>0.99989609999999995</v>
      </c>
      <c r="AB3434">
        <v>33</v>
      </c>
      <c r="AC3434">
        <v>17.9482999999999</v>
      </c>
      <c r="AD3434">
        <v>-1.1099287481610001</v>
      </c>
      <c r="AE3434">
        <v>-0.69280000000000497</v>
      </c>
      <c r="AF3434">
        <v>0.26145933923853698</v>
      </c>
      <c r="AG3434">
        <v>-1.1099287481610001</v>
      </c>
      <c r="AH3434">
        <v>17.891429267268698</v>
      </c>
      <c r="AI3434">
        <v>93.549524963852406</v>
      </c>
      <c r="AJ3434">
        <v>89.1627583153617</v>
      </c>
      <c r="AK3434">
        <v>17.927731145846298</v>
      </c>
      <c r="AL3434">
        <v>89.005015705133602</v>
      </c>
      <c r="AM3434">
        <v>87.831428685504306</v>
      </c>
      <c r="AN3434">
        <v>1.0000000498428001</v>
      </c>
    </row>
    <row r="3435" spans="1:40" x14ac:dyDescent="0.25">
      <c r="A3435" t="str">
        <f>"20190312161034141"</f>
        <v>20190312161034141</v>
      </c>
      <c r="B3435" t="str">
        <f>"1552378234130145"</f>
        <v>1552378234130145</v>
      </c>
      <c r="C3435" t="s">
        <v>40</v>
      </c>
      <c r="D3435">
        <v>5.3624869999999998</v>
      </c>
      <c r="E3435">
        <v>0.48901889999999998</v>
      </c>
      <c r="F3435" t="s">
        <v>61</v>
      </c>
      <c r="G3435">
        <v>-223.9444</v>
      </c>
      <c r="H3435" s="1">
        <v>6.2056109999999996E-7</v>
      </c>
      <c r="I3435">
        <v>213.28120000000001</v>
      </c>
      <c r="J3435">
        <v>-244.63509999999999</v>
      </c>
      <c r="K3435">
        <v>1.1099380000000001</v>
      </c>
      <c r="L3435">
        <v>213.8886</v>
      </c>
      <c r="M3435">
        <v>0.99960300000000002</v>
      </c>
      <c r="N3435">
        <v>0</v>
      </c>
      <c r="O3435">
        <v>-2.415571E-2</v>
      </c>
      <c r="P3435">
        <v>0.99805080000000002</v>
      </c>
      <c r="Q3435">
        <v>3.3019730000000001E-3</v>
      </c>
      <c r="R3435">
        <v>-6.2320399999999998E-2</v>
      </c>
      <c r="S3435">
        <v>3.0007779999999999</v>
      </c>
      <c r="T3435">
        <v>-0.1585473</v>
      </c>
      <c r="U3435">
        <v>-8.7875369999999994E-2</v>
      </c>
      <c r="V3435">
        <v>3.8199650000000002E-2</v>
      </c>
      <c r="W3435">
        <v>1.7781580000000002E-2</v>
      </c>
      <c r="X3435">
        <v>0.99911190000000005</v>
      </c>
      <c r="Y3435">
        <v>5.1416889999999996E-3</v>
      </c>
      <c r="Z3435">
        <v>1.139335E-3</v>
      </c>
      <c r="AA3435">
        <v>0.99998609999999999</v>
      </c>
      <c r="AB3435">
        <v>33</v>
      </c>
      <c r="AC3435">
        <v>20.6907</v>
      </c>
      <c r="AD3435">
        <v>-1.10993737943889</v>
      </c>
      <c r="AE3435">
        <v>-0.60739999999998395</v>
      </c>
      <c r="AF3435">
        <v>0.107063773492556</v>
      </c>
      <c r="AG3435">
        <v>-1.10993737943889</v>
      </c>
      <c r="AH3435">
        <v>20.639990371712599</v>
      </c>
      <c r="AI3435">
        <v>93.078135058718701</v>
      </c>
      <c r="AJ3435">
        <v>89.702797955250006</v>
      </c>
      <c r="AK3435">
        <v>20.6700901348363</v>
      </c>
      <c r="AL3435">
        <v>88.981136809799594</v>
      </c>
      <c r="AM3435">
        <v>87.810442271929304</v>
      </c>
      <c r="AN3435">
        <v>0.99999999328451405</v>
      </c>
    </row>
    <row r="3436" spans="1:40" x14ac:dyDescent="0.25">
      <c r="A3436" t="str">
        <f>"20190312161034168"</f>
        <v>20190312161034168</v>
      </c>
      <c r="B3436" t="str">
        <f>"1552378234160400"</f>
        <v>1552378234160400</v>
      </c>
      <c r="C3436" t="s">
        <v>40</v>
      </c>
      <c r="D3436">
        <v>5.4320690000000003</v>
      </c>
      <c r="E3436">
        <v>0.49001509999999998</v>
      </c>
      <c r="F3436" t="s">
        <v>61</v>
      </c>
      <c r="G3436">
        <v>-218.03059999999999</v>
      </c>
      <c r="H3436" s="1">
        <v>2.8063440000000001E-6</v>
      </c>
      <c r="I3436">
        <v>213.023</v>
      </c>
      <c r="J3436">
        <v>-244.2518</v>
      </c>
      <c r="K3436">
        <v>1.1099479999999999</v>
      </c>
      <c r="L3436">
        <v>213.87909999999999</v>
      </c>
      <c r="M3436">
        <v>0.99959770000000003</v>
      </c>
      <c r="N3436">
        <v>0</v>
      </c>
      <c r="O3436">
        <v>-2.4377260000000001E-2</v>
      </c>
      <c r="P3436">
        <v>0.99800520000000004</v>
      </c>
      <c r="Q3436">
        <v>3.9636330000000003E-3</v>
      </c>
      <c r="R3436">
        <v>-6.3007930000000004E-2</v>
      </c>
      <c r="S3436">
        <v>3.0001829999999998</v>
      </c>
      <c r="T3436">
        <v>-0.12516730000000001</v>
      </c>
      <c r="U3436">
        <v>-9.7610470000000005E-2</v>
      </c>
      <c r="V3436">
        <v>3.8666579999999999E-2</v>
      </c>
      <c r="W3436">
        <v>1.8439029999999999E-2</v>
      </c>
      <c r="X3436">
        <v>0.99908200000000003</v>
      </c>
      <c r="Y3436">
        <v>8.1551279999999993E-3</v>
      </c>
      <c r="Z3436">
        <v>8.4623969999999995E-4</v>
      </c>
      <c r="AA3436">
        <v>0.99996640000000003</v>
      </c>
      <c r="AB3436">
        <v>33</v>
      </c>
      <c r="AC3436">
        <v>26.2212</v>
      </c>
      <c r="AD3436">
        <v>-1.1099451936560001</v>
      </c>
      <c r="AE3436">
        <v>-0.85609999999999697</v>
      </c>
      <c r="AF3436">
        <v>0.21619037823255399</v>
      </c>
      <c r="AG3436">
        <v>-1.1099451936560001</v>
      </c>
      <c r="AH3436">
        <v>26.187404250980499</v>
      </c>
      <c r="AI3436">
        <v>92.426929001376806</v>
      </c>
      <c r="AJ3436">
        <v>89.527004863257602</v>
      </c>
      <c r="AK3436">
        <v>26.2118076068178</v>
      </c>
      <c r="AL3436">
        <v>88.943461497706394</v>
      </c>
      <c r="AM3436">
        <v>87.783638675630698</v>
      </c>
      <c r="AN3436">
        <v>0.99999997248011796</v>
      </c>
    </row>
    <row r="3437" spans="1:40" x14ac:dyDescent="0.25">
      <c r="A3437" t="str">
        <f>"20190312161034209"</f>
        <v>20190312161034209</v>
      </c>
      <c r="B3437" t="str">
        <f>"1552378234200434"</f>
        <v>1552378234200434</v>
      </c>
      <c r="C3437" t="s">
        <v>40</v>
      </c>
      <c r="D3437">
        <v>5.6204910000000003</v>
      </c>
      <c r="E3437">
        <v>0.4910738</v>
      </c>
      <c r="F3437" t="s">
        <v>61</v>
      </c>
      <c r="G3437">
        <v>-210.8622</v>
      </c>
      <c r="H3437" s="1">
        <v>-9.932139000000001E-7</v>
      </c>
      <c r="I3437">
        <v>212.67769999999999</v>
      </c>
      <c r="J3437">
        <v>-243.637</v>
      </c>
      <c r="K3437">
        <v>1.1099730000000001</v>
      </c>
      <c r="L3437">
        <v>213.86369999999999</v>
      </c>
      <c r="M3437">
        <v>0.99958999999999998</v>
      </c>
      <c r="N3437">
        <v>0</v>
      </c>
      <c r="O3437">
        <v>-2.469464E-2</v>
      </c>
      <c r="P3437">
        <v>0.99790199999999996</v>
      </c>
      <c r="Q3437">
        <v>4.3921350000000001E-3</v>
      </c>
      <c r="R3437">
        <v>-6.4594840000000001E-2</v>
      </c>
      <c r="S3437">
        <v>2.9995729999999998</v>
      </c>
      <c r="T3437">
        <v>-9.9712850000000006E-2</v>
      </c>
      <c r="U3437">
        <v>-0.1079254</v>
      </c>
      <c r="V3437">
        <v>3.9937540000000001E-2</v>
      </c>
      <c r="W3437">
        <v>1.8861909999999999E-2</v>
      </c>
      <c r="X3437">
        <v>0.99902420000000003</v>
      </c>
      <c r="Y3437">
        <v>1.127217E-2</v>
      </c>
      <c r="Z3437">
        <v>6.3310419999999996E-4</v>
      </c>
      <c r="AA3437">
        <v>0.9999363</v>
      </c>
      <c r="AB3437">
        <v>33</v>
      </c>
      <c r="AC3437">
        <v>32.774799999999999</v>
      </c>
      <c r="AD3437">
        <v>-1.1099739932138999</v>
      </c>
      <c r="AE3437">
        <v>-1.1859999999999999</v>
      </c>
      <c r="AF3437">
        <v>0.375760939932755</v>
      </c>
      <c r="AG3437">
        <v>-1.1099739932138999</v>
      </c>
      <c r="AH3437">
        <v>32.7565727374934</v>
      </c>
      <c r="AI3437">
        <v>91.940627977796197</v>
      </c>
      <c r="AJ3437">
        <v>89.342770934944198</v>
      </c>
      <c r="AK3437">
        <v>32.777527302349803</v>
      </c>
      <c r="AL3437">
        <v>88.919228143079096</v>
      </c>
      <c r="AM3437">
        <v>87.710731448876203</v>
      </c>
      <c r="AN3437">
        <v>1.00000006546786</v>
      </c>
    </row>
    <row r="3438" spans="1:40" x14ac:dyDescent="0.25">
      <c r="A3438" t="str">
        <f>"20190312161034233"</f>
        <v>20190312161034233</v>
      </c>
      <c r="B3438" t="str">
        <f>"1552378234229714"</f>
        <v>1552378234229714</v>
      </c>
      <c r="C3438" t="s">
        <v>40</v>
      </c>
      <c r="D3438">
        <v>5.4289120000000004</v>
      </c>
      <c r="E3438">
        <v>0.49163669999999998</v>
      </c>
      <c r="F3438" t="s">
        <v>59</v>
      </c>
      <c r="G3438">
        <v>-205.4787</v>
      </c>
      <c r="H3438" s="1">
        <v>4.8471380000000003E-6</v>
      </c>
      <c r="I3438">
        <v>212.32230000000001</v>
      </c>
      <c r="J3438">
        <v>-243.28319999999999</v>
      </c>
      <c r="K3438">
        <v>1.109988</v>
      </c>
      <c r="L3438">
        <v>213.85480000000001</v>
      </c>
      <c r="M3438">
        <v>0.99958619999999998</v>
      </c>
      <c r="N3438">
        <v>0</v>
      </c>
      <c r="O3438">
        <v>-2.484954E-2</v>
      </c>
      <c r="P3438">
        <v>0.99787590000000004</v>
      </c>
      <c r="Q3438">
        <v>4.3851209999999996E-3</v>
      </c>
      <c r="R3438">
        <v>-6.4997730000000004E-2</v>
      </c>
      <c r="S3438">
        <v>2.998856</v>
      </c>
      <c r="T3438">
        <v>-8.723235E-2</v>
      </c>
      <c r="U3438">
        <v>-0.1211395</v>
      </c>
      <c r="V3438">
        <v>4.018526E-2</v>
      </c>
      <c r="W3438">
        <v>1.885237E-2</v>
      </c>
      <c r="X3438">
        <v>0.99901439999999997</v>
      </c>
      <c r="Y3438">
        <v>1.552191E-2</v>
      </c>
      <c r="Z3438">
        <v>4.9670409999999997E-4</v>
      </c>
      <c r="AA3438">
        <v>0.99987939999999997</v>
      </c>
      <c r="AB3438">
        <v>33</v>
      </c>
      <c r="AC3438">
        <v>37.804499999999898</v>
      </c>
      <c r="AD3438">
        <v>-1.1099831528620001</v>
      </c>
      <c r="AE3438">
        <v>-1.53249999999999</v>
      </c>
      <c r="AF3438">
        <v>0.59199410481398695</v>
      </c>
      <c r="AG3438">
        <v>-1.1099831528620001</v>
      </c>
      <c r="AH3438">
        <v>37.7983778990952</v>
      </c>
      <c r="AI3438">
        <v>91.681852235426106</v>
      </c>
      <c r="AJ3438">
        <v>89.102713062580605</v>
      </c>
      <c r="AK3438">
        <v>37.819305803023198</v>
      </c>
      <c r="AL3438">
        <v>88.919774791994598</v>
      </c>
      <c r="AM3438">
        <v>87.696524512521094</v>
      </c>
      <c r="AN3438">
        <v>1.0000000191916201</v>
      </c>
    </row>
    <row r="3439" spans="1:40" x14ac:dyDescent="0.25">
      <c r="A3439" t="str">
        <f>"20190312161034254"</f>
        <v>20190312161034254</v>
      </c>
      <c r="B3439" t="str">
        <f>"1552378234250210"</f>
        <v>1552378234250210</v>
      </c>
      <c r="C3439" t="s">
        <v>40</v>
      </c>
      <c r="D3439">
        <v>5.4084479999999999</v>
      </c>
      <c r="E3439">
        <v>0.49226310000000001</v>
      </c>
      <c r="F3439" t="s">
        <v>59</v>
      </c>
      <c r="G3439">
        <v>-198.04419999999999</v>
      </c>
      <c r="H3439" s="1">
        <v>2.7718389999999999E-6</v>
      </c>
      <c r="I3439">
        <v>211.93799999999999</v>
      </c>
      <c r="J3439">
        <v>-242.97200000000001</v>
      </c>
      <c r="K3439">
        <v>1.110007</v>
      </c>
      <c r="L3439">
        <v>213.84690000000001</v>
      </c>
      <c r="M3439">
        <v>0.99958320000000001</v>
      </c>
      <c r="N3439">
        <v>0</v>
      </c>
      <c r="O3439">
        <v>-2.496545E-2</v>
      </c>
      <c r="P3439">
        <v>0.9978783</v>
      </c>
      <c r="Q3439">
        <v>4.8595849999999996E-3</v>
      </c>
      <c r="R3439">
        <v>-6.4925720000000006E-2</v>
      </c>
      <c r="S3439">
        <v>2.9984280000000001</v>
      </c>
      <c r="T3439">
        <v>-7.3569540000000003E-2</v>
      </c>
      <c r="U3439">
        <v>-0.12704469999999901</v>
      </c>
      <c r="V3439">
        <v>3.9996990000000003E-2</v>
      </c>
      <c r="W3439">
        <v>1.9324839999999999E-2</v>
      </c>
      <c r="X3439">
        <v>0.99901289999999998</v>
      </c>
      <c r="Y3439">
        <v>1.7375829999999998E-2</v>
      </c>
      <c r="Z3439">
        <v>3.9908279999999999E-4</v>
      </c>
      <c r="AA3439">
        <v>0.99984899999999999</v>
      </c>
      <c r="AB3439">
        <v>33</v>
      </c>
      <c r="AC3439">
        <v>44.927799999999998</v>
      </c>
      <c r="AD3439">
        <v>-1.1100042281610001</v>
      </c>
      <c r="AE3439">
        <v>-1.90890000000001</v>
      </c>
      <c r="AF3439">
        <v>0.78606532292527098</v>
      </c>
      <c r="AG3439">
        <v>-1.1100042281610001</v>
      </c>
      <c r="AH3439">
        <v>44.934076656282798</v>
      </c>
      <c r="AI3439">
        <v>91.414870558671396</v>
      </c>
      <c r="AJ3439">
        <v>88.997784415456096</v>
      </c>
      <c r="AK3439">
        <v>44.954657745679</v>
      </c>
      <c r="AL3439">
        <v>88.8926992913985</v>
      </c>
      <c r="AM3439">
        <v>87.707301430906796</v>
      </c>
      <c r="AN3439">
        <v>0.99999999150824703</v>
      </c>
    </row>
    <row r="3440" spans="1:40" x14ac:dyDescent="0.25">
      <c r="A3440" t="str">
        <f>"20190312161034278"</f>
        <v>20190312161034278</v>
      </c>
      <c r="B3440" t="str">
        <f>"1552378234269730"</f>
        <v>1552378234269730</v>
      </c>
      <c r="C3440" t="s">
        <v>40</v>
      </c>
      <c r="D3440">
        <v>5.4824830000000002</v>
      </c>
      <c r="E3440">
        <v>0.49275869999999999</v>
      </c>
      <c r="F3440" t="s">
        <v>59</v>
      </c>
      <c r="G3440">
        <v>-193.2373</v>
      </c>
      <c r="H3440" s="1">
        <v>3.6489549999999999E-6</v>
      </c>
      <c r="I3440">
        <v>211.6584</v>
      </c>
      <c r="J3440">
        <v>-242.61750000000001</v>
      </c>
      <c r="K3440">
        <v>1.1100289999999999</v>
      </c>
      <c r="L3440">
        <v>213.83789999999999</v>
      </c>
      <c r="M3440">
        <v>0.99958080000000005</v>
      </c>
      <c r="N3440">
        <v>0</v>
      </c>
      <c r="O3440">
        <v>-2.506622E-2</v>
      </c>
      <c r="P3440">
        <v>0.99787210000000004</v>
      </c>
      <c r="Q3440">
        <v>4.6886489999999996E-3</v>
      </c>
      <c r="R3440">
        <v>-6.5032670000000001E-2</v>
      </c>
      <c r="S3440">
        <v>2.9981080000000002</v>
      </c>
      <c r="T3440">
        <v>-6.6913130000000001E-2</v>
      </c>
      <c r="U3440">
        <v>-0.1319275</v>
      </c>
      <c r="V3440">
        <v>4.0002200000000002E-2</v>
      </c>
      <c r="W3440">
        <v>1.9152249999999999E-2</v>
      </c>
      <c r="X3440">
        <v>0.99901600000000002</v>
      </c>
      <c r="Y3440">
        <v>1.890414E-2</v>
      </c>
      <c r="Z3440">
        <v>3.4820970000000001E-4</v>
      </c>
      <c r="AA3440">
        <v>0.99982119999999997</v>
      </c>
      <c r="AB3440">
        <v>33</v>
      </c>
      <c r="AC3440">
        <v>49.380200000000002</v>
      </c>
      <c r="AD3440">
        <v>-1.110025351045</v>
      </c>
      <c r="AE3440">
        <v>-2.1794999999999898</v>
      </c>
      <c r="AF3440">
        <v>0.94043586452995798</v>
      </c>
      <c r="AG3440">
        <v>-1.110025351045</v>
      </c>
      <c r="AH3440">
        <v>49.394407609591397</v>
      </c>
      <c r="AI3440">
        <v>91.287140575032794</v>
      </c>
      <c r="AJ3440">
        <v>88.909259181794397</v>
      </c>
      <c r="AK3440">
        <v>49.4158282233306</v>
      </c>
      <c r="AL3440">
        <v>88.902589784091305</v>
      </c>
      <c r="AM3440">
        <v>87.707010210899497</v>
      </c>
      <c r="AN3440">
        <v>0.99999997647045102</v>
      </c>
    </row>
    <row r="3441" spans="1:40" x14ac:dyDescent="0.25">
      <c r="A3441" t="str">
        <f>"20190312161034299"</f>
        <v>20190312161034299</v>
      </c>
      <c r="B3441" t="str">
        <f>"1552378234290225"</f>
        <v>1552378234290225</v>
      </c>
      <c r="C3441" t="s">
        <v>40</v>
      </c>
      <c r="D3441">
        <v>5.5908639999999998</v>
      </c>
      <c r="E3441">
        <v>0.49288890000000002</v>
      </c>
      <c r="F3441" t="s">
        <v>59</v>
      </c>
      <c r="G3441">
        <v>-189.70519999999999</v>
      </c>
      <c r="H3441" s="1">
        <v>4.2054249999999996E-6</v>
      </c>
      <c r="I3441">
        <v>211.4348</v>
      </c>
      <c r="J3441">
        <v>-242.31909999999999</v>
      </c>
      <c r="K3441">
        <v>1.11005</v>
      </c>
      <c r="L3441">
        <v>213.8304</v>
      </c>
      <c r="M3441">
        <v>0.99957949999999995</v>
      </c>
      <c r="N3441">
        <v>0</v>
      </c>
      <c r="O3441">
        <v>-2.5123739999999999E-2</v>
      </c>
      <c r="P3441">
        <v>0.99785190000000001</v>
      </c>
      <c r="Q3441">
        <v>4.300056E-3</v>
      </c>
      <c r="R3441">
        <v>-6.5369460000000004E-2</v>
      </c>
      <c r="S3441">
        <v>2.9978180000000001</v>
      </c>
      <c r="T3441">
        <v>-6.2889929999999997E-2</v>
      </c>
      <c r="U3441">
        <v>-0.1361542</v>
      </c>
      <c r="V3441">
        <v>4.028089E-2</v>
      </c>
      <c r="W3441">
        <v>1.876274E-2</v>
      </c>
      <c r="X3441">
        <v>0.99901220000000002</v>
      </c>
      <c r="Y3441">
        <v>2.0257239999999999E-2</v>
      </c>
      <c r="Z3441">
        <v>3.143183E-4</v>
      </c>
      <c r="AA3441">
        <v>0.99979479999999998</v>
      </c>
      <c r="AB3441">
        <v>33</v>
      </c>
      <c r="AC3441">
        <v>52.613900000000001</v>
      </c>
      <c r="AD3441">
        <v>-1.110045794575</v>
      </c>
      <c r="AE3441">
        <v>-2.3956</v>
      </c>
      <c r="AF3441">
        <v>1.07237080746888</v>
      </c>
      <c r="AG3441">
        <v>-1.110045794575</v>
      </c>
      <c r="AH3441">
        <v>52.634101409255699</v>
      </c>
      <c r="AI3441">
        <v>91.207930218267194</v>
      </c>
      <c r="AJ3441">
        <v>88.832813324654495</v>
      </c>
      <c r="AK3441">
        <v>52.656726179801403</v>
      </c>
      <c r="AL3441">
        <v>88.924911082343797</v>
      </c>
      <c r="AM3441">
        <v>87.691043713342907</v>
      </c>
      <c r="AN3441">
        <v>0.99999998313016902</v>
      </c>
    </row>
    <row r="3442" spans="1:40" x14ac:dyDescent="0.25">
      <c r="A3442" t="str">
        <f>"20190312161034324"</f>
        <v>20190312161034324</v>
      </c>
      <c r="B3442" t="str">
        <f>"1552378234319506"</f>
        <v>1552378234319506</v>
      </c>
      <c r="C3442" t="s">
        <v>40</v>
      </c>
      <c r="D3442">
        <v>5.4597049999999996</v>
      </c>
      <c r="E3442">
        <v>0.493529</v>
      </c>
      <c r="F3442" t="s">
        <v>59</v>
      </c>
      <c r="G3442">
        <v>-192.8518</v>
      </c>
      <c r="H3442" s="1">
        <v>3.726929E-6</v>
      </c>
      <c r="I3442">
        <v>211.54859999999999</v>
      </c>
      <c r="J3442">
        <v>-241.95060000000001</v>
      </c>
      <c r="K3442">
        <v>1.1100779999999999</v>
      </c>
      <c r="L3442">
        <v>213.821</v>
      </c>
      <c r="M3442">
        <v>0.99957839999999998</v>
      </c>
      <c r="N3442">
        <v>0</v>
      </c>
      <c r="O3442">
        <v>-2.5167950000000001E-2</v>
      </c>
      <c r="P3442">
        <v>0.99785299999999999</v>
      </c>
      <c r="Q3442">
        <v>4.3684520000000001E-3</v>
      </c>
      <c r="R3442">
        <v>-6.5349840000000006E-2</v>
      </c>
      <c r="S3442">
        <v>2.9977109999999998</v>
      </c>
      <c r="T3442">
        <v>-6.7268610000000006E-2</v>
      </c>
      <c r="U3442">
        <v>-0.13827509999999901</v>
      </c>
      <c r="V3442">
        <v>4.0215639999999997E-2</v>
      </c>
      <c r="W3442">
        <v>1.8829490000000001E-2</v>
      </c>
      <c r="X3442">
        <v>0.99901359999999995</v>
      </c>
      <c r="Y3442">
        <v>2.0920520000000001E-2</v>
      </c>
      <c r="Z3442">
        <v>3.2975620000000002E-4</v>
      </c>
      <c r="AA3442">
        <v>0.99978109999999998</v>
      </c>
      <c r="AB3442">
        <v>33</v>
      </c>
      <c r="AC3442">
        <v>49.098799999999997</v>
      </c>
      <c r="AD3442">
        <v>-1.110074273071</v>
      </c>
      <c r="AE3442">
        <v>-2.2724000000000002</v>
      </c>
      <c r="AF3442">
        <v>1.03530628940309</v>
      </c>
      <c r="AG3442">
        <v>-1.110074273071</v>
      </c>
      <c r="AH3442">
        <v>49.115389224358701</v>
      </c>
      <c r="AI3442">
        <v>91.294454284529806</v>
      </c>
      <c r="AJ3442">
        <v>88.792437593646596</v>
      </c>
      <c r="AK3442">
        <v>49.138839858760001</v>
      </c>
      <c r="AL3442">
        <v>88.921085942430096</v>
      </c>
      <c r="AM3442">
        <v>87.694783122254094</v>
      </c>
      <c r="AN3442">
        <v>1.00000001018961</v>
      </c>
    </row>
    <row r="3443" spans="1:40" x14ac:dyDescent="0.25">
      <c r="A3443" t="str">
        <f>"20190312161034348"</f>
        <v>20190312161034348</v>
      </c>
      <c r="B3443" t="str">
        <f>"1552378234340002"</f>
        <v>1552378234340002</v>
      </c>
      <c r="C3443" t="s">
        <v>40</v>
      </c>
      <c r="D3443">
        <v>5.5766429999999998</v>
      </c>
      <c r="E3443">
        <v>0.49392039999999998</v>
      </c>
      <c r="F3443" t="s">
        <v>59</v>
      </c>
      <c r="G3443">
        <v>-190.2304</v>
      </c>
      <c r="H3443" s="1">
        <v>4.2094419999999998E-6</v>
      </c>
      <c r="I3443">
        <v>211.34819999999999</v>
      </c>
      <c r="J3443">
        <v>-241.59010000000001</v>
      </c>
      <c r="K3443">
        <v>1.1100939999999999</v>
      </c>
      <c r="L3443">
        <v>213.81190000000001</v>
      </c>
      <c r="M3443">
        <v>0.99957799999999997</v>
      </c>
      <c r="N3443">
        <v>0</v>
      </c>
      <c r="O3443">
        <v>-2.5186179999999999E-2</v>
      </c>
      <c r="P3443">
        <v>0.99783860000000002</v>
      </c>
      <c r="Q3443">
        <v>4.4160889999999998E-3</v>
      </c>
      <c r="R3443">
        <v>-6.5565059999999994E-2</v>
      </c>
      <c r="S3443">
        <v>2.9973299999999998</v>
      </c>
      <c r="T3443">
        <v>-6.4331890000000003E-2</v>
      </c>
      <c r="U3443">
        <v>-0.14331050000000001</v>
      </c>
      <c r="V3443">
        <v>4.0412240000000002E-2</v>
      </c>
      <c r="W3443">
        <v>1.8874780000000001E-2</v>
      </c>
      <c r="X3443">
        <v>0.99900480000000003</v>
      </c>
      <c r="Y3443">
        <v>2.2583550000000001E-2</v>
      </c>
      <c r="Z3443">
        <v>2.9794450000000003E-4</v>
      </c>
      <c r="AA3443">
        <v>0.99974490000000005</v>
      </c>
      <c r="AB3443">
        <v>33</v>
      </c>
      <c r="AC3443">
        <v>51.359699999999997</v>
      </c>
      <c r="AD3443">
        <v>-1.1100897905580001</v>
      </c>
      <c r="AE3443">
        <v>-2.46370000000001</v>
      </c>
      <c r="AF3443">
        <v>1.1686834242319599</v>
      </c>
      <c r="AG3443">
        <v>-1.1100897905580001</v>
      </c>
      <c r="AH3443">
        <v>51.3815132530925</v>
      </c>
      <c r="AI3443">
        <v>91.237354141014194</v>
      </c>
      <c r="AJ3443">
        <v>88.6970200000316</v>
      </c>
      <c r="AK3443">
        <v>51.406789672833099</v>
      </c>
      <c r="AL3443">
        <v>88.918490542650801</v>
      </c>
      <c r="AM3443">
        <v>87.683505598269207</v>
      </c>
      <c r="AN3443">
        <v>0.99999999844245302</v>
      </c>
    </row>
    <row r="3444" spans="1:40" x14ac:dyDescent="0.25">
      <c r="A3444" t="str">
        <f>"20190312161034370"</f>
        <v>20190312161034370</v>
      </c>
      <c r="B3444" t="str">
        <f>"1552378234359523"</f>
        <v>1552378234359523</v>
      </c>
      <c r="C3444" t="s">
        <v>40</v>
      </c>
      <c r="D3444">
        <v>5.6062000000000003</v>
      </c>
      <c r="E3444">
        <v>0.49394080000000001</v>
      </c>
      <c r="F3444" t="s">
        <v>59</v>
      </c>
      <c r="G3444">
        <v>-187.1318</v>
      </c>
      <c r="H3444" s="1">
        <v>3.774698E-6</v>
      </c>
      <c r="I3444">
        <v>211.1403</v>
      </c>
      <c r="J3444">
        <v>-241.28639999999999</v>
      </c>
      <c r="K3444">
        <v>1.110107</v>
      </c>
      <c r="L3444">
        <v>213.80430000000001</v>
      </c>
      <c r="M3444">
        <v>0.99957790000000002</v>
      </c>
      <c r="N3444">
        <v>0</v>
      </c>
      <c r="O3444">
        <v>-2.519037E-2</v>
      </c>
      <c r="P3444">
        <v>0.997834</v>
      </c>
      <c r="Q3444">
        <v>4.1983990000000002E-3</v>
      </c>
      <c r="R3444">
        <v>-6.5649760000000001E-2</v>
      </c>
      <c r="S3444">
        <v>2.9971160000000001</v>
      </c>
      <c r="T3444">
        <v>-6.1093929999999998E-2</v>
      </c>
      <c r="U3444">
        <v>-0.14703369999999999</v>
      </c>
      <c r="V3444">
        <v>4.0492239999999999E-2</v>
      </c>
      <c r="W3444">
        <v>1.8655000000000001E-2</v>
      </c>
      <c r="X3444">
        <v>0.9990057</v>
      </c>
      <c r="Y3444">
        <v>2.3821450000000001E-2</v>
      </c>
      <c r="Z3444">
        <v>2.7043850000000002E-4</v>
      </c>
      <c r="AA3444">
        <v>0.99971620000000005</v>
      </c>
      <c r="AB3444">
        <v>33</v>
      </c>
      <c r="AC3444">
        <v>54.154599999999903</v>
      </c>
      <c r="AD3444">
        <v>-1.110103225302</v>
      </c>
      <c r="AE3444">
        <v>-2.6640000000000099</v>
      </c>
      <c r="AF3444">
        <v>1.29829292765682</v>
      </c>
      <c r="AG3444">
        <v>-1.110103225302</v>
      </c>
      <c r="AH3444">
        <v>54.181813583069697</v>
      </c>
      <c r="AI3444">
        <v>91.173402726351398</v>
      </c>
      <c r="AJ3444">
        <v>88.627353561814104</v>
      </c>
      <c r="AK3444">
        <v>54.208733769083302</v>
      </c>
      <c r="AL3444">
        <v>88.931085238644698</v>
      </c>
      <c r="AM3444">
        <v>87.678926969219305</v>
      </c>
      <c r="AN3444">
        <v>1.0000000095788499</v>
      </c>
    </row>
    <row r="3445" spans="1:40" x14ac:dyDescent="0.25">
      <c r="A3445" t="str">
        <f>"20190312161034391"</f>
        <v>20190312161034391</v>
      </c>
      <c r="B3445" t="str">
        <f>"1552378234380019"</f>
        <v>1552378234380019</v>
      </c>
      <c r="C3445" t="s">
        <v>40</v>
      </c>
      <c r="D3445">
        <v>5.4013989999999996</v>
      </c>
      <c r="E3445">
        <v>0.43819619999999998</v>
      </c>
      <c r="F3445" t="s">
        <v>59</v>
      </c>
      <c r="G3445">
        <v>-186.286</v>
      </c>
      <c r="H3445" s="1">
        <v>3.628581E-6</v>
      </c>
      <c r="I3445">
        <v>211.09559999999999</v>
      </c>
      <c r="J3445">
        <v>-240.9691</v>
      </c>
      <c r="K3445">
        <v>1.1101099999999999</v>
      </c>
      <c r="L3445">
        <v>213.7963</v>
      </c>
      <c r="M3445">
        <v>0.99957810000000002</v>
      </c>
      <c r="N3445">
        <v>0</v>
      </c>
      <c r="O3445">
        <v>-2.518747E-2</v>
      </c>
      <c r="P3445">
        <v>0.99786779999999997</v>
      </c>
      <c r="Q3445">
        <v>3.6589919999999998E-3</v>
      </c>
      <c r="R3445">
        <v>-6.5169379999999999E-2</v>
      </c>
      <c r="S3445">
        <v>2.9970400000000001</v>
      </c>
      <c r="T3445">
        <v>-6.0490969999999998E-2</v>
      </c>
      <c r="U3445">
        <v>-0.14759829999999999</v>
      </c>
      <c r="V3445">
        <v>4.0013550000000002E-2</v>
      </c>
      <c r="W3445">
        <v>1.8113400000000002E-2</v>
      </c>
      <c r="X3445">
        <v>0.99903489999999995</v>
      </c>
      <c r="Y3445">
        <v>2.4013429999999999E-2</v>
      </c>
      <c r="Z3445">
        <v>2.6578069999999999E-4</v>
      </c>
      <c r="AA3445">
        <v>0.99971160000000003</v>
      </c>
      <c r="AB3445">
        <v>33</v>
      </c>
      <c r="AC3445">
        <v>54.683100000000003</v>
      </c>
      <c r="AD3445">
        <v>-1.110106371419</v>
      </c>
      <c r="AE3445">
        <v>-2.7007000000000101</v>
      </c>
      <c r="AF3445">
        <v>1.32182654518696</v>
      </c>
      <c r="AG3445">
        <v>-1.110106371419</v>
      </c>
      <c r="AH3445">
        <v>54.711286106626503</v>
      </c>
      <c r="AI3445">
        <v>91.162047917661098</v>
      </c>
      <c r="AJ3445">
        <v>88.616001247109907</v>
      </c>
      <c r="AK3445">
        <v>54.738509196109497</v>
      </c>
      <c r="AL3445">
        <v>88.962121822012406</v>
      </c>
      <c r="AM3445">
        <v>87.706403650903994</v>
      </c>
      <c r="AN3445">
        <v>0.99999995543058495</v>
      </c>
    </row>
    <row r="3446" spans="1:40" x14ac:dyDescent="0.25">
      <c r="A3446" t="str">
        <f>"20190312161034418"</f>
        <v>20190312161034418</v>
      </c>
      <c r="B3446" t="str">
        <f>"1552378234410274"</f>
        <v>1552378234410274</v>
      </c>
      <c r="C3446" t="s">
        <v>40</v>
      </c>
      <c r="D3446">
        <v>5.402647</v>
      </c>
      <c r="E3446">
        <v>0.42761830000000001</v>
      </c>
      <c r="F3446" t="s">
        <v>59</v>
      </c>
      <c r="G3446">
        <v>-179.93430000000001</v>
      </c>
      <c r="H3446">
        <v>7.3490109999999997E-2</v>
      </c>
      <c r="I3446">
        <v>219.79560000000001</v>
      </c>
      <c r="J3446">
        <v>-240.58969999999999</v>
      </c>
      <c r="K3446">
        <v>1.110114</v>
      </c>
      <c r="L3446">
        <v>213.7867</v>
      </c>
      <c r="M3446">
        <v>0.99957839999999998</v>
      </c>
      <c r="N3446">
        <v>0</v>
      </c>
      <c r="O3446">
        <v>-2.5180660000000001E-2</v>
      </c>
      <c r="P3446">
        <v>0.99785849999999998</v>
      </c>
      <c r="Q3446">
        <v>3.44166E-3</v>
      </c>
      <c r="R3446">
        <v>-6.5322119999999997E-2</v>
      </c>
      <c r="S3446">
        <v>3.0260470000000002</v>
      </c>
      <c r="T3446">
        <v>-5.1394580000000002E-2</v>
      </c>
      <c r="U3446">
        <v>0.29743960000000003</v>
      </c>
      <c r="V3446">
        <v>4.0173100000000003E-2</v>
      </c>
      <c r="W3446">
        <v>1.7892189999999999E-2</v>
      </c>
      <c r="X3446">
        <v>0.99903260000000005</v>
      </c>
      <c r="Y3446">
        <v>-0.122832</v>
      </c>
      <c r="Z3446">
        <v>1.4672660000000001E-3</v>
      </c>
      <c r="AA3446">
        <v>0.99242640000000004</v>
      </c>
      <c r="AB3446">
        <v>33</v>
      </c>
      <c r="AC3446">
        <v>60.655399999999901</v>
      </c>
      <c r="AD3446">
        <v>-1.03662389</v>
      </c>
      <c r="AE3446">
        <v>6.0089000000000103</v>
      </c>
      <c r="AF3446">
        <v>-7.5323182186714099</v>
      </c>
      <c r="AG3446">
        <v>-1.03662389</v>
      </c>
      <c r="AH3446">
        <v>60.467349574253198</v>
      </c>
      <c r="AI3446">
        <v>90.974624588821499</v>
      </c>
      <c r="AJ3446">
        <v>97.100664057812807</v>
      </c>
      <c r="AK3446">
        <v>60.943504751298804</v>
      </c>
      <c r="AL3446">
        <v>88.974798396047603</v>
      </c>
      <c r="AM3446">
        <v>87.697262696299404</v>
      </c>
      <c r="AN3446">
        <v>1.00000007214468</v>
      </c>
    </row>
    <row r="3447" spans="1:40" x14ac:dyDescent="0.25">
      <c r="A3447" t="str">
        <f>"20190312161034436"</f>
        <v>20190312161034436</v>
      </c>
      <c r="B3447" t="str">
        <f>"1552378234429795"</f>
        <v>1552378234429795</v>
      </c>
      <c r="C3447" t="s">
        <v>40</v>
      </c>
      <c r="D3447">
        <v>5.3287319999999996</v>
      </c>
      <c r="E3447">
        <v>0.42466799999999999</v>
      </c>
      <c r="F3447" t="s">
        <v>59</v>
      </c>
      <c r="G3447">
        <v>-192.61770000000001</v>
      </c>
      <c r="H3447" s="1">
        <v>2.9896129999999999E-6</v>
      </c>
      <c r="I3447">
        <v>219.8244</v>
      </c>
      <c r="J3447">
        <v>-240.32380000000001</v>
      </c>
      <c r="K3447">
        <v>1.1101240000000001</v>
      </c>
      <c r="L3447">
        <v>213.78</v>
      </c>
      <c r="M3447">
        <v>0.99957850000000004</v>
      </c>
      <c r="N3447">
        <v>0</v>
      </c>
      <c r="O3447">
        <v>-2.5176420000000001E-2</v>
      </c>
      <c r="P3447">
        <v>0.99786660000000005</v>
      </c>
      <c r="Q3447">
        <v>3.4433810000000001E-3</v>
      </c>
      <c r="R3447">
        <v>-6.5196409999999996E-2</v>
      </c>
      <c r="S3447">
        <v>3.0316770000000002</v>
      </c>
      <c r="T3447">
        <v>-7.0155380000000003E-2</v>
      </c>
      <c r="U3447">
        <v>0.38156129999999999</v>
      </c>
      <c r="V3447">
        <v>4.0051459999999997E-2</v>
      </c>
      <c r="W3447">
        <v>1.7891710000000002E-2</v>
      </c>
      <c r="X3447">
        <v>0.99903739999999996</v>
      </c>
      <c r="Y3447">
        <v>-0.14976929999999999</v>
      </c>
      <c r="Z3447">
        <v>2.3063329999999998E-3</v>
      </c>
      <c r="AA3447">
        <v>0.98871830000000005</v>
      </c>
      <c r="AB3447">
        <v>32</v>
      </c>
      <c r="AC3447">
        <v>47.7060999999999</v>
      </c>
      <c r="AD3447">
        <v>-1.1101210103869901</v>
      </c>
      <c r="AE3447">
        <v>6.0443999999999898</v>
      </c>
      <c r="AF3447">
        <v>-7.2398196189981601</v>
      </c>
      <c r="AG3447">
        <v>-1.1101210103869901</v>
      </c>
      <c r="AH3447">
        <v>47.513461166987597</v>
      </c>
      <c r="AI3447">
        <v>91.323168081102395</v>
      </c>
      <c r="AJ3447">
        <v>98.663750239877501</v>
      </c>
      <c r="AK3447">
        <v>48.0746955147942</v>
      </c>
      <c r="AL3447">
        <v>88.974825807606805</v>
      </c>
      <c r="AM3447">
        <v>87.704238693885898</v>
      </c>
      <c r="AN3447">
        <v>0.99999997966680698</v>
      </c>
    </row>
    <row r="3448" spans="1:40" x14ac:dyDescent="0.25">
      <c r="A3448" t="str">
        <f>"20190312161034459"</f>
        <v>20190312161034459</v>
      </c>
      <c r="B3448" t="str">
        <f>"1552378234450290"</f>
        <v>1552378234450290</v>
      </c>
      <c r="C3448" t="s">
        <v>40</v>
      </c>
      <c r="D3448">
        <v>9.5639409999999998</v>
      </c>
      <c r="E3448">
        <v>0.42265360000000002</v>
      </c>
      <c r="F3448" t="s">
        <v>59</v>
      </c>
      <c r="G3448">
        <v>-199.73249999999999</v>
      </c>
      <c r="H3448" s="1">
        <v>1.836964E-6</v>
      </c>
      <c r="I3448">
        <v>219.20599999999999</v>
      </c>
      <c r="J3448">
        <v>-239.9922</v>
      </c>
      <c r="K3448">
        <v>1.1101369999999999</v>
      </c>
      <c r="L3448">
        <v>213.77160000000001</v>
      </c>
      <c r="M3448">
        <v>0.99957870000000004</v>
      </c>
      <c r="N3448">
        <v>0</v>
      </c>
      <c r="O3448">
        <v>-2.517049E-2</v>
      </c>
      <c r="P3448">
        <v>0.99786229999999998</v>
      </c>
      <c r="Q3448">
        <v>3.7576770000000001E-3</v>
      </c>
      <c r="R3448">
        <v>-6.5246869999999998E-2</v>
      </c>
      <c r="S3448">
        <v>3.0331570000000001</v>
      </c>
      <c r="T3448">
        <v>-8.2953209999999999E-2</v>
      </c>
      <c r="U3448">
        <v>0.4054565</v>
      </c>
      <c r="V3448">
        <v>4.0107660000000003E-2</v>
      </c>
      <c r="W3448">
        <v>1.8202079999999999E-2</v>
      </c>
      <c r="X3448">
        <v>0.99902959999999996</v>
      </c>
      <c r="Y3448">
        <v>-0.15733829999999999</v>
      </c>
      <c r="Z3448">
        <v>2.827099E-3</v>
      </c>
      <c r="AA3448">
        <v>0.98754070000000005</v>
      </c>
      <c r="AB3448">
        <v>32</v>
      </c>
      <c r="AC3448">
        <v>40.259700000000002</v>
      </c>
      <c r="AD3448">
        <v>-1.1101351630359999</v>
      </c>
      <c r="AE3448">
        <v>5.4343999999999797</v>
      </c>
      <c r="AF3448">
        <v>-6.4413301061102297</v>
      </c>
      <c r="AG3448">
        <v>-1.1101351630359999</v>
      </c>
      <c r="AH3448">
        <v>40.080211724125</v>
      </c>
      <c r="AI3448">
        <v>91.566473231314504</v>
      </c>
      <c r="AJ3448">
        <v>99.129991849484199</v>
      </c>
      <c r="AK3448">
        <v>40.609684872783497</v>
      </c>
      <c r="AL3448">
        <v>88.957040083381898</v>
      </c>
      <c r="AM3448">
        <v>87.701002817483101</v>
      </c>
      <c r="AN3448">
        <v>1.0000000408915799</v>
      </c>
    </row>
    <row r="3449" spans="1:40" x14ac:dyDescent="0.25">
      <c r="A3449" t="str">
        <f>"20190312161034479"</f>
        <v>20190312161034479</v>
      </c>
      <c r="B3449" t="str">
        <f>"1552378234469810"</f>
        <v>1552378234469810</v>
      </c>
      <c r="C3449" t="s">
        <v>40</v>
      </c>
      <c r="D3449">
        <v>5.3526069999999999</v>
      </c>
      <c r="E3449">
        <v>0.42090090000000002</v>
      </c>
      <c r="F3449" t="s">
        <v>59</v>
      </c>
      <c r="G3449">
        <v>-196.3424</v>
      </c>
      <c r="H3449" s="1">
        <v>2.3255960000000001E-6</v>
      </c>
      <c r="I3449">
        <v>219.83369999999999</v>
      </c>
      <c r="J3449">
        <v>-239.69479999999999</v>
      </c>
      <c r="K3449">
        <v>1.110141</v>
      </c>
      <c r="L3449">
        <v>213.76419999999999</v>
      </c>
      <c r="M3449">
        <v>0.999579</v>
      </c>
      <c r="N3449">
        <v>0</v>
      </c>
      <c r="O3449">
        <v>-2.5161200000000002E-2</v>
      </c>
      <c r="P3449">
        <v>0.99787090000000001</v>
      </c>
      <c r="Q3449">
        <v>4.1921800000000002E-3</v>
      </c>
      <c r="R3449">
        <v>-6.5084450000000002E-2</v>
      </c>
      <c r="S3449">
        <v>3.0342859999999998</v>
      </c>
      <c r="T3449">
        <v>-7.7170249999999996E-2</v>
      </c>
      <c r="U3449">
        <v>0.421402</v>
      </c>
      <c r="V3449">
        <v>3.9954509999999999E-2</v>
      </c>
      <c r="W3449">
        <v>1.8633540000000001E-2</v>
      </c>
      <c r="X3449">
        <v>0.99902769999999996</v>
      </c>
      <c r="Y3449">
        <v>-0.16238129999999901</v>
      </c>
      <c r="Z3449">
        <v>2.691766E-3</v>
      </c>
      <c r="AA3449">
        <v>0.98672439999999995</v>
      </c>
      <c r="AB3449">
        <v>32</v>
      </c>
      <c r="AC3449">
        <v>43.352399999999903</v>
      </c>
      <c r="AD3449">
        <v>-1.110138674404</v>
      </c>
      <c r="AE3449">
        <v>6.0694999999999997</v>
      </c>
      <c r="AF3449">
        <v>-7.1538894347775202</v>
      </c>
      <c r="AG3449">
        <v>-1.110138674404</v>
      </c>
      <c r="AH3449">
        <v>43.158183951198502</v>
      </c>
      <c r="AI3449">
        <v>91.453642467456703</v>
      </c>
      <c r="AJ3449">
        <v>99.411756230151099</v>
      </c>
      <c r="AK3449">
        <v>43.761162963144798</v>
      </c>
      <c r="AL3449">
        <v>88.932314965305295</v>
      </c>
      <c r="AM3449">
        <v>87.709767758456394</v>
      </c>
      <c r="AN3449">
        <v>0.99999995852477996</v>
      </c>
    </row>
    <row r="3450" spans="1:40" x14ac:dyDescent="0.25">
      <c r="A3450" t="str">
        <f>"20190312161034502"</f>
        <v>20190312161034502</v>
      </c>
      <c r="B3450" t="str">
        <f>"1552378234490306"</f>
        <v>1552378234490306</v>
      </c>
      <c r="C3450" t="s">
        <v>40</v>
      </c>
      <c r="D3450">
        <v>5.3287820000000004</v>
      </c>
      <c r="E3450">
        <v>0.42027219999999998</v>
      </c>
      <c r="F3450" t="s">
        <v>59</v>
      </c>
      <c r="G3450">
        <v>-191.1268</v>
      </c>
      <c r="H3450" s="1">
        <v>2.932322E-6</v>
      </c>
      <c r="I3450">
        <v>220.7345</v>
      </c>
      <c r="J3450">
        <v>-239.37469999999999</v>
      </c>
      <c r="K3450">
        <v>1.1101529999999999</v>
      </c>
      <c r="L3450">
        <v>213.7561</v>
      </c>
      <c r="M3450">
        <v>0.99957949999999995</v>
      </c>
      <c r="N3450">
        <v>0</v>
      </c>
      <c r="O3450">
        <v>-2.5141839999999999E-2</v>
      </c>
      <c r="P3450">
        <v>0.99788829999999995</v>
      </c>
      <c r="Q3450">
        <v>4.2129949999999998E-3</v>
      </c>
      <c r="R3450">
        <v>-6.4818130000000002E-2</v>
      </c>
      <c r="S3450">
        <v>3.03511</v>
      </c>
      <c r="T3450">
        <v>-6.93748E-2</v>
      </c>
      <c r="U3450">
        <v>0.4355927</v>
      </c>
      <c r="V3450">
        <v>3.9706579999999998E-2</v>
      </c>
      <c r="W3450">
        <v>1.865166E-2</v>
      </c>
      <c r="X3450">
        <v>0.99903730000000002</v>
      </c>
      <c r="Y3450">
        <v>-0.16685759999999999</v>
      </c>
      <c r="Z3450">
        <v>2.4689500000000001E-3</v>
      </c>
      <c r="AA3450">
        <v>0.98597789999999996</v>
      </c>
      <c r="AB3450">
        <v>32</v>
      </c>
      <c r="AC3450">
        <v>48.247899999999902</v>
      </c>
      <c r="AD3450">
        <v>-1.1101500676780001</v>
      </c>
      <c r="AE3450">
        <v>6.9783999999999899</v>
      </c>
      <c r="AF3450">
        <v>-8.1851165846020297</v>
      </c>
      <c r="AG3450">
        <v>-1.1101500676780001</v>
      </c>
      <c r="AH3450">
        <v>48.032268706965901</v>
      </c>
      <c r="AI3450">
        <v>91.305209256598602</v>
      </c>
      <c r="AJ3450">
        <v>99.670802961423107</v>
      </c>
      <c r="AK3450">
        <v>48.737330700546899</v>
      </c>
      <c r="AL3450">
        <v>88.931276642279499</v>
      </c>
      <c r="AM3450">
        <v>87.723986207915502</v>
      </c>
      <c r="AN3450">
        <v>1.00000001185367</v>
      </c>
    </row>
    <row r="3451" spans="1:40" x14ac:dyDescent="0.25">
      <c r="A3451" t="str">
        <f>"20190312161034525"</f>
        <v>20190312161034525</v>
      </c>
      <c r="B3451" t="str">
        <f>"1552378234519586"</f>
        <v>1552378234519586</v>
      </c>
      <c r="C3451" t="s">
        <v>40</v>
      </c>
      <c r="D3451">
        <v>5.2983250000000002</v>
      </c>
      <c r="E3451">
        <v>0.41935539999999999</v>
      </c>
      <c r="F3451" t="s">
        <v>59</v>
      </c>
      <c r="G3451">
        <v>-194.95529999999999</v>
      </c>
      <c r="H3451" s="1">
        <v>2.43592E-6</v>
      </c>
      <c r="I3451">
        <v>220.21770000000001</v>
      </c>
      <c r="J3451">
        <v>-239.04560000000001</v>
      </c>
      <c r="K3451">
        <v>1.110163</v>
      </c>
      <c r="L3451">
        <v>213.74780000000001</v>
      </c>
      <c r="M3451">
        <v>0.99958040000000004</v>
      </c>
      <c r="N3451">
        <v>0</v>
      </c>
      <c r="O3451">
        <v>-2.5107020000000001E-2</v>
      </c>
      <c r="P3451">
        <v>0.99789600000000001</v>
      </c>
      <c r="Q3451">
        <v>4.4177560000000001E-3</v>
      </c>
      <c r="R3451">
        <v>-6.4685950000000006E-2</v>
      </c>
      <c r="S3451">
        <v>3.035355</v>
      </c>
      <c r="T3451">
        <v>-7.5861100000000001E-2</v>
      </c>
      <c r="U3451">
        <v>0.44154359999999998</v>
      </c>
      <c r="V3451">
        <v>3.9608459999999998E-2</v>
      </c>
      <c r="W3451">
        <v>1.8854280000000001E-2</v>
      </c>
      <c r="X3451">
        <v>0.99903739999999996</v>
      </c>
      <c r="Y3451">
        <v>-0.16869519999999999</v>
      </c>
      <c r="Z3451">
        <v>2.721106E-3</v>
      </c>
      <c r="AA3451">
        <v>0.98566450000000005</v>
      </c>
      <c r="AB3451">
        <v>32</v>
      </c>
      <c r="AC3451">
        <v>44.090299999999999</v>
      </c>
      <c r="AD3451">
        <v>-1.1101605640799901</v>
      </c>
      <c r="AE3451">
        <v>6.4698999999999902</v>
      </c>
      <c r="AF3451">
        <v>-7.5702532866924903</v>
      </c>
      <c r="AG3451">
        <v>-1.1101605640799901</v>
      </c>
      <c r="AH3451">
        <v>43.886704195250402</v>
      </c>
      <c r="AI3451">
        <v>91.427968563792902</v>
      </c>
      <c r="AJ3451">
        <v>99.786946061334703</v>
      </c>
      <c r="AK3451">
        <v>44.548669973682998</v>
      </c>
      <c r="AL3451">
        <v>88.919665338788406</v>
      </c>
      <c r="AM3451">
        <v>87.729604860956499</v>
      </c>
      <c r="AN3451">
        <v>1.0000000202883199</v>
      </c>
    </row>
    <row r="3452" spans="1:40" x14ac:dyDescent="0.25">
      <c r="A3452" t="str">
        <f>"20190312161034547"</f>
        <v>20190312161034547</v>
      </c>
      <c r="B3452" t="str">
        <f>"1552378234540082"</f>
        <v>1552378234540082</v>
      </c>
      <c r="C3452" t="s">
        <v>40</v>
      </c>
      <c r="D3452">
        <v>5.2880260000000003</v>
      </c>
      <c r="E3452">
        <v>0.41881289999999999</v>
      </c>
      <c r="F3452" t="s">
        <v>59</v>
      </c>
      <c r="G3452">
        <v>-194.6044</v>
      </c>
      <c r="H3452" s="1">
        <v>2.4600970000000001E-6</v>
      </c>
      <c r="I3452">
        <v>220.3254</v>
      </c>
      <c r="J3452">
        <v>-238.71889999999999</v>
      </c>
      <c r="K3452">
        <v>1.1101810000000001</v>
      </c>
      <c r="L3452">
        <v>213.7397</v>
      </c>
      <c r="M3452">
        <v>0.99958179999999996</v>
      </c>
      <c r="N3452">
        <v>0</v>
      </c>
      <c r="O3452">
        <v>-2.5050449999999998E-2</v>
      </c>
      <c r="P3452">
        <v>0.99792530000000002</v>
      </c>
      <c r="Q3452">
        <v>5.1164879999999998E-3</v>
      </c>
      <c r="R3452">
        <v>-6.4179050000000001E-2</v>
      </c>
      <c r="S3452">
        <v>3.0357820000000002</v>
      </c>
      <c r="T3452">
        <v>-7.5835109999999997E-2</v>
      </c>
      <c r="U3452">
        <v>0.4493103</v>
      </c>
      <c r="V3452">
        <v>3.915677E-2</v>
      </c>
      <c r="W3452">
        <v>1.9550809999999998E-2</v>
      </c>
      <c r="X3452">
        <v>0.99904179999999998</v>
      </c>
      <c r="Y3452">
        <v>-0.17108709999999999</v>
      </c>
      <c r="Z3452">
        <v>2.7476000000000002E-3</v>
      </c>
      <c r="AA3452">
        <v>0.98525209999999996</v>
      </c>
      <c r="AB3452">
        <v>32</v>
      </c>
      <c r="AC3452">
        <v>44.1144999999999</v>
      </c>
      <c r="AD3452">
        <v>-1.110178539903</v>
      </c>
      <c r="AE3452">
        <v>6.5857000000000001</v>
      </c>
      <c r="AF3452">
        <v>-7.6840759251408999</v>
      </c>
      <c r="AG3452">
        <v>-1.110178539903</v>
      </c>
      <c r="AH3452">
        <v>43.908459639199101</v>
      </c>
      <c r="AI3452">
        <v>91.426681373038605</v>
      </c>
      <c r="AJ3452">
        <v>99.926366405920007</v>
      </c>
      <c r="AK3452">
        <v>44.5895766642941</v>
      </c>
      <c r="AL3452">
        <v>88.879749729661</v>
      </c>
      <c r="AM3452">
        <v>87.755479409285897</v>
      </c>
      <c r="AN3452">
        <v>1.0000000024778599</v>
      </c>
    </row>
    <row r="3453" spans="1:40" x14ac:dyDescent="0.25">
      <c r="A3453" t="str">
        <f>"20190312161034570"</f>
        <v>20190312161034570</v>
      </c>
      <c r="B3453" t="str">
        <f>"1552378234559602"</f>
        <v>1552378234559602</v>
      </c>
      <c r="C3453" t="s">
        <v>40</v>
      </c>
      <c r="D3453">
        <v>5.2684699999999998</v>
      </c>
      <c r="E3453">
        <v>0.41827439999999999</v>
      </c>
      <c r="F3453" t="s">
        <v>59</v>
      </c>
      <c r="G3453">
        <v>-192.44280000000001</v>
      </c>
      <c r="H3453" s="1">
        <v>2.7186749999999999E-6</v>
      </c>
      <c r="I3453">
        <v>220.67850000000001</v>
      </c>
      <c r="J3453">
        <v>-238.39689999999999</v>
      </c>
      <c r="K3453">
        <v>1.1102030000000001</v>
      </c>
      <c r="L3453">
        <v>213.73169999999999</v>
      </c>
      <c r="M3453">
        <v>0.99958369999999996</v>
      </c>
      <c r="N3453">
        <v>0</v>
      </c>
      <c r="O3453">
        <v>-2.497624E-2</v>
      </c>
      <c r="P3453">
        <v>0.99793810000000005</v>
      </c>
      <c r="Q3453">
        <v>4.8882480000000004E-3</v>
      </c>
      <c r="R3453">
        <v>-6.3997520000000002E-2</v>
      </c>
      <c r="S3453">
        <v>3.0358890000000001</v>
      </c>
      <c r="T3453">
        <v>-7.2831989999999999E-2</v>
      </c>
      <c r="U3453">
        <v>0.4552155</v>
      </c>
      <c r="V3453">
        <v>3.9048289999999999E-2</v>
      </c>
      <c r="W3453">
        <v>1.9320540000000001E-2</v>
      </c>
      <c r="X3453">
        <v>0.99905049999999995</v>
      </c>
      <c r="Y3453">
        <v>-0.17288770000000001</v>
      </c>
      <c r="Z3453">
        <v>2.6580649999999998E-3</v>
      </c>
      <c r="AA3453">
        <v>0.98493799999999998</v>
      </c>
      <c r="AB3453">
        <v>32</v>
      </c>
      <c r="AC3453">
        <v>45.954099999999897</v>
      </c>
      <c r="AD3453">
        <v>-1.110200281325</v>
      </c>
      <c r="AE3453">
        <v>6.9468000000000201</v>
      </c>
      <c r="AF3453">
        <v>-8.0878977711187492</v>
      </c>
      <c r="AG3453">
        <v>-1.110200281325</v>
      </c>
      <c r="AH3453">
        <v>45.740138452756099</v>
      </c>
      <c r="AI3453">
        <v>91.369173236018895</v>
      </c>
      <c r="AJ3453">
        <v>100.027547475934</v>
      </c>
      <c r="AK3453">
        <v>46.462962676717197</v>
      </c>
      <c r="AL3453">
        <v>88.892945693067105</v>
      </c>
      <c r="AM3453">
        <v>87.761710772503406</v>
      </c>
      <c r="AN3453">
        <v>0.99999997688403197</v>
      </c>
    </row>
    <row r="3454" spans="1:40" x14ac:dyDescent="0.25">
      <c r="A3454" t="str">
        <f>"20190312161034611"</f>
        <v>20190312161034611</v>
      </c>
      <c r="B3454" t="str">
        <f>"1552378234599618"</f>
        <v>1552378234599618</v>
      </c>
      <c r="C3454" t="s">
        <v>40</v>
      </c>
      <c r="D3454">
        <v>5.2672089999999896</v>
      </c>
      <c r="E3454">
        <v>0.4174387</v>
      </c>
      <c r="F3454" t="s">
        <v>59</v>
      </c>
      <c r="G3454">
        <v>-191.8691</v>
      </c>
      <c r="H3454" s="1">
        <v>2.7841939999999998E-6</v>
      </c>
      <c r="I3454">
        <v>220.78110000000001</v>
      </c>
      <c r="J3454">
        <v>-237.81030000000001</v>
      </c>
      <c r="K3454">
        <v>1.110233</v>
      </c>
      <c r="L3454">
        <v>213.71729999999999</v>
      </c>
      <c r="M3454">
        <v>0.99958849999999999</v>
      </c>
      <c r="N3454">
        <v>0</v>
      </c>
      <c r="O3454">
        <v>-2.479251E-2</v>
      </c>
      <c r="P3454">
        <v>0.99787599999999999</v>
      </c>
      <c r="Q3454">
        <v>4.9040330000000004E-3</v>
      </c>
      <c r="R3454">
        <v>-6.495919E-2</v>
      </c>
      <c r="S3454">
        <v>3.036057</v>
      </c>
      <c r="T3454">
        <v>-7.2443370000000007E-2</v>
      </c>
      <c r="U3454">
        <v>0.4599915</v>
      </c>
      <c r="V3454">
        <v>4.019379E-2</v>
      </c>
      <c r="W3454">
        <v>1.9331979999999999E-2</v>
      </c>
      <c r="X3454">
        <v>0.99900489999999997</v>
      </c>
      <c r="Y3454">
        <v>-0.1742138</v>
      </c>
      <c r="Z3454">
        <v>2.6548029999999999E-3</v>
      </c>
      <c r="AA3454">
        <v>0.98470429999999998</v>
      </c>
      <c r="AB3454">
        <v>32</v>
      </c>
      <c r="AC3454">
        <v>45.941200000000002</v>
      </c>
      <c r="AD3454">
        <v>-1.110230215806</v>
      </c>
      <c r="AE3454">
        <v>7.0638000000000103</v>
      </c>
      <c r="AF3454">
        <v>-8.1960684429900503</v>
      </c>
      <c r="AG3454">
        <v>-1.110230215806</v>
      </c>
      <c r="AH3454">
        <v>45.725840350846298</v>
      </c>
      <c r="AI3454">
        <v>91.369066269649196</v>
      </c>
      <c r="AJ3454">
        <v>100.161994871388</v>
      </c>
      <c r="AK3454">
        <v>46.467845063499098</v>
      </c>
      <c r="AL3454">
        <v>88.892290163757195</v>
      </c>
      <c r="AM3454">
        <v>87.696014201962896</v>
      </c>
      <c r="AN3454">
        <v>1.00000002821464</v>
      </c>
    </row>
    <row r="3455" spans="1:40" x14ac:dyDescent="0.25">
      <c r="A3455" t="str">
        <f>"20190312161034662"</f>
        <v>20190312161034662</v>
      </c>
      <c r="B3455" t="str">
        <f>"1552378234649394"</f>
        <v>1552378234649394</v>
      </c>
      <c r="C3455" t="s">
        <v>40</v>
      </c>
      <c r="D3455">
        <v>5.2173860000000003</v>
      </c>
      <c r="E3455">
        <v>0.41989860000000001</v>
      </c>
      <c r="F3455" t="s">
        <v>59</v>
      </c>
      <c r="G3455">
        <v>-188.9787</v>
      </c>
      <c r="H3455" s="1">
        <v>2.8976739999999999E-6</v>
      </c>
      <c r="I3455">
        <v>221.17349999999999</v>
      </c>
      <c r="J3455">
        <v>-237.07499999999999</v>
      </c>
      <c r="K3455">
        <v>1.110269</v>
      </c>
      <c r="L3455">
        <v>213.6994</v>
      </c>
      <c r="M3455">
        <v>0.99959620000000005</v>
      </c>
      <c r="N3455">
        <v>0</v>
      </c>
      <c r="O3455">
        <v>-2.4485980000000001E-2</v>
      </c>
      <c r="P3455">
        <v>0.9977994</v>
      </c>
      <c r="Q3455">
        <v>5.1867780000000004E-3</v>
      </c>
      <c r="R3455">
        <v>-6.6103599999999998E-2</v>
      </c>
      <c r="S3455">
        <v>3.036896</v>
      </c>
      <c r="T3455">
        <v>-6.9046620000000003E-2</v>
      </c>
      <c r="U3455">
        <v>0.46371459999999998</v>
      </c>
      <c r="V3455">
        <v>4.164474E-2</v>
      </c>
      <c r="W3455">
        <v>1.960945E-2</v>
      </c>
      <c r="X3455">
        <v>0.9989401</v>
      </c>
      <c r="Y3455">
        <v>-0.175056399999999</v>
      </c>
      <c r="Z3455">
        <v>2.532023E-3</v>
      </c>
      <c r="AA3455">
        <v>0.98455519999999996</v>
      </c>
      <c r="AB3455">
        <v>32</v>
      </c>
      <c r="AC3455">
        <v>48.0962999999999</v>
      </c>
      <c r="AD3455">
        <v>-1.1102661023260001</v>
      </c>
      <c r="AE3455">
        <v>7.4740999999999902</v>
      </c>
      <c r="AF3455">
        <v>-8.6451678387266302</v>
      </c>
      <c r="AG3455">
        <v>-1.1102661023260001</v>
      </c>
      <c r="AH3455">
        <v>47.873937155191499</v>
      </c>
      <c r="AI3455">
        <v>91.307395707054994</v>
      </c>
      <c r="AJ3455">
        <v>100.23626604252399</v>
      </c>
      <c r="AK3455">
        <v>48.660923506618197</v>
      </c>
      <c r="AL3455">
        <v>88.876389335841495</v>
      </c>
      <c r="AM3455">
        <v>87.612782809968905</v>
      </c>
      <c r="AN3455">
        <v>1.0000000691434801</v>
      </c>
    </row>
    <row r="3456" spans="1:40" x14ac:dyDescent="0.25">
      <c r="A3456" t="str">
        <f>"20190312161034679"</f>
        <v>20190312161034679</v>
      </c>
      <c r="B3456" t="str">
        <f>"1552378234669891"</f>
        <v>1552378234669891</v>
      </c>
      <c r="C3456" t="s">
        <v>40</v>
      </c>
      <c r="D3456">
        <v>5.1489929999999999</v>
      </c>
      <c r="E3456">
        <v>0.52075369999999999</v>
      </c>
      <c r="F3456" t="s">
        <v>59</v>
      </c>
      <c r="G3456">
        <v>-187.57820000000001</v>
      </c>
      <c r="H3456" s="1">
        <v>2.8769010000000002E-6</v>
      </c>
      <c r="I3456">
        <v>220.8809</v>
      </c>
      <c r="J3456">
        <v>-236.81489999999999</v>
      </c>
      <c r="K3456">
        <v>1.1102810000000001</v>
      </c>
      <c r="L3456">
        <v>213.69309999999999</v>
      </c>
      <c r="M3456">
        <v>0.99959929999999997</v>
      </c>
      <c r="N3456">
        <v>0</v>
      </c>
      <c r="O3456">
        <v>-2.4360039999999999E-2</v>
      </c>
      <c r="P3456">
        <v>0.99776410000000004</v>
      </c>
      <c r="Q3456">
        <v>5.1306579999999997E-3</v>
      </c>
      <c r="R3456">
        <v>-6.6638600000000006E-2</v>
      </c>
      <c r="S3456">
        <v>3.0361630000000002</v>
      </c>
      <c r="T3456">
        <v>-6.8104390000000001E-2</v>
      </c>
      <c r="U3456">
        <v>0.4405212</v>
      </c>
      <c r="V3456">
        <v>4.2305860000000001E-2</v>
      </c>
      <c r="W3456">
        <v>1.9550809999999998E-2</v>
      </c>
      <c r="X3456">
        <v>0.99891339999999995</v>
      </c>
      <c r="Y3456">
        <v>-0.16760810000000001</v>
      </c>
      <c r="Z3456">
        <v>2.413555E-3</v>
      </c>
      <c r="AA3456">
        <v>0.98585080000000003</v>
      </c>
      <c r="AB3456">
        <v>32</v>
      </c>
      <c r="AC3456">
        <v>49.2366999999999</v>
      </c>
      <c r="AD3456">
        <v>-1.11027812309899</v>
      </c>
      <c r="AE3456">
        <v>7.18780000000001</v>
      </c>
      <c r="AF3456">
        <v>-8.3810264422073804</v>
      </c>
      <c r="AG3456">
        <v>-1.11027812309899</v>
      </c>
      <c r="AH3456">
        <v>49.022565176765298</v>
      </c>
      <c r="AI3456">
        <v>91.278881802171995</v>
      </c>
      <c r="AJ3456">
        <v>99.701641953983</v>
      </c>
      <c r="AK3456">
        <v>49.7462181300832</v>
      </c>
      <c r="AL3456">
        <v>88.879749727255401</v>
      </c>
      <c r="AM3456">
        <v>87.574865327540905</v>
      </c>
      <c r="AN3456">
        <v>1.0000000003307701</v>
      </c>
    </row>
    <row r="3457" spans="1:40" x14ac:dyDescent="0.25">
      <c r="A3457" t="str">
        <f>"20190312161034700"</f>
        <v>20190312161034700</v>
      </c>
      <c r="B3457" t="str">
        <f>"1552378234690386"</f>
        <v>1552378234690386</v>
      </c>
      <c r="C3457" t="s">
        <v>40</v>
      </c>
      <c r="D3457">
        <v>5.1185260000000001</v>
      </c>
      <c r="E3457">
        <v>0.52306900000000001</v>
      </c>
      <c r="F3457" t="s">
        <v>59</v>
      </c>
      <c r="G3457">
        <v>-183.2749</v>
      </c>
      <c r="H3457" s="1">
        <v>4.0197379999999996E-6</v>
      </c>
      <c r="I3457">
        <v>207.166</v>
      </c>
      <c r="J3457">
        <v>-236.52799999999999</v>
      </c>
      <c r="K3457">
        <v>1.1102920000000001</v>
      </c>
      <c r="L3457">
        <v>213.68620000000001</v>
      </c>
      <c r="M3457">
        <v>0.99960289999999996</v>
      </c>
      <c r="N3457">
        <v>0</v>
      </c>
      <c r="O3457">
        <v>-2.4212259999999999E-2</v>
      </c>
      <c r="P3457">
        <v>0.99778299999999998</v>
      </c>
      <c r="Q3457">
        <v>5.8497660000000002E-3</v>
      </c>
      <c r="R3457">
        <v>-6.6295099999999996E-2</v>
      </c>
      <c r="S3457">
        <v>2.982758</v>
      </c>
      <c r="T3457">
        <v>-6.1854359999999997E-2</v>
      </c>
      <c r="U3457">
        <v>-0.36363220000000002</v>
      </c>
      <c r="V3457">
        <v>4.2108979999999997E-2</v>
      </c>
      <c r="W3457">
        <v>2.0267830000000001E-2</v>
      </c>
      <c r="X3457">
        <v>0.9989074</v>
      </c>
      <c r="Y3457">
        <v>9.6927749999999993E-2</v>
      </c>
      <c r="Z3457">
        <v>-5.011735E-4</v>
      </c>
      <c r="AA3457">
        <v>0.99529129999999999</v>
      </c>
      <c r="AB3457">
        <v>32</v>
      </c>
      <c r="AC3457">
        <v>53.253099999999897</v>
      </c>
      <c r="AD3457">
        <v>-1.110287980262</v>
      </c>
      <c r="AE3457">
        <v>-6.5202000000000098</v>
      </c>
      <c r="AF3457">
        <v>5.22653786886882</v>
      </c>
      <c r="AG3457">
        <v>-1.110287980262</v>
      </c>
      <c r="AH3457">
        <v>53.372512341981199</v>
      </c>
      <c r="AI3457">
        <v>91.186058706854496</v>
      </c>
      <c r="AJ3457">
        <v>84.407105723119798</v>
      </c>
      <c r="AK3457">
        <v>53.6393000624427</v>
      </c>
      <c r="AL3457">
        <v>88.838659329652401</v>
      </c>
      <c r="AM3457">
        <v>87.586123383959901</v>
      </c>
      <c r="AN3457">
        <v>0.999999972452154</v>
      </c>
    </row>
    <row r="3458" spans="1:40" x14ac:dyDescent="0.25">
      <c r="A3458" t="str">
        <f>"20190312161034745"</f>
        <v>20190312161034745</v>
      </c>
      <c r="B3458" t="str">
        <f>"1552378234740163"</f>
        <v>1552378234740163</v>
      </c>
      <c r="C3458" t="s">
        <v>40</v>
      </c>
      <c r="D3458">
        <v>5.1210269999999998</v>
      </c>
      <c r="E3458">
        <v>0.522922</v>
      </c>
      <c r="F3458" t="s">
        <v>59</v>
      </c>
      <c r="G3458">
        <v>-179.95779999999999</v>
      </c>
      <c r="H3458">
        <v>4.1936769999999998E-2</v>
      </c>
      <c r="I3458">
        <v>206.45509999999999</v>
      </c>
      <c r="J3458">
        <v>-235.89609999999999</v>
      </c>
      <c r="K3458">
        <v>1.1103270000000001</v>
      </c>
      <c r="L3458">
        <v>213.67140000000001</v>
      </c>
      <c r="M3458">
        <v>0.99961160000000004</v>
      </c>
      <c r="N3458">
        <v>0</v>
      </c>
      <c r="O3458">
        <v>-2.3849189999999999E-2</v>
      </c>
      <c r="P3458">
        <v>0.99785950000000001</v>
      </c>
      <c r="Q3458">
        <v>5.7441860000000001E-3</v>
      </c>
      <c r="R3458">
        <v>-6.5140749999999997E-2</v>
      </c>
      <c r="S3458">
        <v>2.9816739999999999</v>
      </c>
      <c r="T3458">
        <v>-5.6310300000000001E-2</v>
      </c>
      <c r="U3458">
        <v>-0.38113399999999997</v>
      </c>
      <c r="V3458">
        <v>4.1315129999999999E-2</v>
      </c>
      <c r="W3458">
        <v>2.0158180000000001E-2</v>
      </c>
      <c r="X3458">
        <v>0.99894280000000002</v>
      </c>
      <c r="Y3458">
        <v>0.1030847</v>
      </c>
      <c r="Z3458">
        <v>-5.2098870000000003E-4</v>
      </c>
      <c r="AA3458">
        <v>0.99467240000000001</v>
      </c>
      <c r="AB3458">
        <v>32</v>
      </c>
      <c r="AC3458">
        <v>55.938299999999998</v>
      </c>
      <c r="AD3458">
        <v>-1.0683902300000001</v>
      </c>
      <c r="AE3458">
        <v>-7.2163000000000102</v>
      </c>
      <c r="AF3458">
        <v>5.87791610547856</v>
      </c>
      <c r="AG3458">
        <v>-1.0683902300000001</v>
      </c>
      <c r="AH3458">
        <v>56.074386377435502</v>
      </c>
      <c r="AI3458">
        <v>91.085583020646695</v>
      </c>
      <c r="AJ3458">
        <v>84.015906968957296</v>
      </c>
      <c r="AK3458">
        <v>56.3917384288916</v>
      </c>
      <c r="AL3458">
        <v>88.844943133367394</v>
      </c>
      <c r="AM3458">
        <v>87.631661962290494</v>
      </c>
      <c r="AN3458">
        <v>1.0000000049298301</v>
      </c>
    </row>
    <row r="3459" spans="1:40" x14ac:dyDescent="0.25">
      <c r="A3459" t="str">
        <f>"20190312161034768"</f>
        <v>20190312161034768</v>
      </c>
      <c r="B3459" t="str">
        <f>"1552378234759683"</f>
        <v>1552378234759683</v>
      </c>
      <c r="C3459" t="s">
        <v>40</v>
      </c>
      <c r="D3459">
        <v>5.1306539999999998</v>
      </c>
      <c r="E3459">
        <v>0.52232409999999996</v>
      </c>
      <c r="F3459" t="s">
        <v>59</v>
      </c>
      <c r="G3459">
        <v>-191.1962</v>
      </c>
      <c r="H3459" s="1">
        <v>4.6951810000000001E-6</v>
      </c>
      <c r="I3459">
        <v>208.03049999999999</v>
      </c>
      <c r="J3459">
        <v>-235.5565</v>
      </c>
      <c r="K3459">
        <v>1.110347</v>
      </c>
      <c r="L3459">
        <v>213.6635</v>
      </c>
      <c r="M3459">
        <v>0.99961690000000003</v>
      </c>
      <c r="N3459">
        <v>0</v>
      </c>
      <c r="O3459">
        <v>-2.363285E-2</v>
      </c>
      <c r="P3459">
        <v>0.99785520000000005</v>
      </c>
      <c r="Q3459">
        <v>6.3292369999999997E-3</v>
      </c>
      <c r="R3459">
        <v>-6.5155660000000004E-2</v>
      </c>
      <c r="S3459">
        <v>2.9822850000000001</v>
      </c>
      <c r="T3459">
        <v>-7.4078320000000003E-2</v>
      </c>
      <c r="U3459">
        <v>-0.37634279999999998</v>
      </c>
      <c r="V3459">
        <v>4.1545190000000003E-2</v>
      </c>
      <c r="W3459">
        <v>2.0741229999999999E-2</v>
      </c>
      <c r="X3459">
        <v>0.99892130000000001</v>
      </c>
      <c r="Y3459">
        <v>0.1016919</v>
      </c>
      <c r="Z3459">
        <v>-6.7338279999999999E-4</v>
      </c>
      <c r="AA3459">
        <v>0.99481569999999997</v>
      </c>
      <c r="AB3459">
        <v>32</v>
      </c>
      <c r="AC3459">
        <v>44.360300000000002</v>
      </c>
      <c r="AD3459">
        <v>-1.110342304819</v>
      </c>
      <c r="AE3459">
        <v>-5.6330000000000098</v>
      </c>
      <c r="AF3459">
        <v>4.5801333405572002</v>
      </c>
      <c r="AG3459">
        <v>-1.110342304819</v>
      </c>
      <c r="AH3459">
        <v>44.453636995653497</v>
      </c>
      <c r="AI3459">
        <v>91.423278516875797</v>
      </c>
      <c r="AJ3459">
        <v>84.117475784447294</v>
      </c>
      <c r="AK3459">
        <v>44.702755212542499</v>
      </c>
      <c r="AL3459">
        <v>88.811529814878398</v>
      </c>
      <c r="AM3459">
        <v>87.618438004736404</v>
      </c>
      <c r="AN3459">
        <v>0.99999998251386901</v>
      </c>
    </row>
    <row r="3460" spans="1:40" x14ac:dyDescent="0.25">
      <c r="A3460" t="str">
        <f>"20190312161034795"</f>
        <v>20190312161034795</v>
      </c>
      <c r="B3460" t="str">
        <f>"1552378234789938"</f>
        <v>1552378234789938</v>
      </c>
      <c r="C3460" t="s">
        <v>40</v>
      </c>
      <c r="D3460">
        <v>5.1336969999999997</v>
      </c>
      <c r="E3460">
        <v>0.52221139999999999</v>
      </c>
      <c r="F3460" t="s">
        <v>59</v>
      </c>
      <c r="G3460">
        <v>-188.67869999999999</v>
      </c>
      <c r="H3460" s="1">
        <v>4.8153539999999997E-6</v>
      </c>
      <c r="I3460">
        <v>207.82560000000001</v>
      </c>
      <c r="J3460">
        <v>-235.17140000000001</v>
      </c>
      <c r="K3460">
        <v>1.1103559999999999</v>
      </c>
      <c r="L3460">
        <v>213.65469999999999</v>
      </c>
      <c r="M3460">
        <v>0.99962309999999999</v>
      </c>
      <c r="N3460">
        <v>0</v>
      </c>
      <c r="O3460">
        <v>-2.3373000000000001E-2</v>
      </c>
      <c r="P3460">
        <v>0.99787559999999997</v>
      </c>
      <c r="Q3460">
        <v>6.8727909999999996E-3</v>
      </c>
      <c r="R3460">
        <v>-6.4786709999999997E-2</v>
      </c>
      <c r="S3460">
        <v>2.9826510000000002</v>
      </c>
      <c r="T3460">
        <v>-7.0646760000000003E-2</v>
      </c>
      <c r="U3460">
        <v>-0.37144470000000002</v>
      </c>
      <c r="V3460">
        <v>4.1434869999999999E-2</v>
      </c>
      <c r="W3460">
        <v>2.128184E-2</v>
      </c>
      <c r="X3460">
        <v>0.99891450000000004</v>
      </c>
      <c r="Y3460">
        <v>0.10032919999999999</v>
      </c>
      <c r="Z3460">
        <v>-6.3223469999999999E-4</v>
      </c>
      <c r="AA3460">
        <v>0.99495409999999995</v>
      </c>
      <c r="AB3460">
        <v>32</v>
      </c>
      <c r="AC3460">
        <v>46.492699999999999</v>
      </c>
      <c r="AD3460">
        <v>-1.1103511846459999</v>
      </c>
      <c r="AE3460">
        <v>-5.82909999999998</v>
      </c>
      <c r="AF3460">
        <v>4.7380600899267904</v>
      </c>
      <c r="AG3460">
        <v>-1.1103511846459999</v>
      </c>
      <c r="AH3460">
        <v>46.590091892400302</v>
      </c>
      <c r="AI3460">
        <v>91.358231541238496</v>
      </c>
      <c r="AJ3460">
        <v>84.193170067023303</v>
      </c>
      <c r="AK3460">
        <v>46.843556181307399</v>
      </c>
      <c r="AL3460">
        <v>88.780548289768205</v>
      </c>
      <c r="AM3460">
        <v>87.624738652734706</v>
      </c>
      <c r="AN3460">
        <v>0.99999997173797595</v>
      </c>
    </row>
    <row r="3461" spans="1:40" x14ac:dyDescent="0.25">
      <c r="A3461" t="str">
        <f>"20190312161034819"</f>
        <v>20190312161034819</v>
      </c>
      <c r="B3461" t="str">
        <f>"1552378234809458"</f>
        <v>1552378234809458</v>
      </c>
      <c r="C3461" t="s">
        <v>40</v>
      </c>
      <c r="D3461">
        <v>5.1709239999999896</v>
      </c>
      <c r="E3461">
        <v>0.52221549999999906</v>
      </c>
      <c r="F3461" t="s">
        <v>59</v>
      </c>
      <c r="G3461">
        <v>-192.15809999999999</v>
      </c>
      <c r="H3461" s="1">
        <v>4.3768869999999998E-6</v>
      </c>
      <c r="I3461">
        <v>208.32759999999999</v>
      </c>
      <c r="J3461">
        <v>-234.8348</v>
      </c>
      <c r="K3461">
        <v>1.1103670000000001</v>
      </c>
      <c r="L3461">
        <v>213.64709999999999</v>
      </c>
      <c r="M3461">
        <v>0.99962879999999998</v>
      </c>
      <c r="N3461">
        <v>0</v>
      </c>
      <c r="O3461">
        <v>-2.3127209999999999E-2</v>
      </c>
      <c r="P3461">
        <v>0.99786989999999998</v>
      </c>
      <c r="Q3461">
        <v>7.0644499999999999E-3</v>
      </c>
      <c r="R3461">
        <v>-6.4853389999999997E-2</v>
      </c>
      <c r="S3461">
        <v>2.9829409999999998</v>
      </c>
      <c r="T3461">
        <v>-7.7002169999999995E-2</v>
      </c>
      <c r="U3461">
        <v>-0.36943049999999999</v>
      </c>
      <c r="V3461">
        <v>4.1746610000000003E-2</v>
      </c>
      <c r="W3461">
        <v>2.1471110000000002E-2</v>
      </c>
      <c r="X3461">
        <v>0.99889749999999999</v>
      </c>
      <c r="Y3461">
        <v>9.9896449999999998E-2</v>
      </c>
      <c r="Z3461">
        <v>-6.8980429999999904E-4</v>
      </c>
      <c r="AA3461">
        <v>0.99499760000000004</v>
      </c>
      <c r="AB3461">
        <v>32</v>
      </c>
      <c r="AC3461">
        <v>42.676699999999997</v>
      </c>
      <c r="AD3461">
        <v>-1.1103626231129999</v>
      </c>
      <c r="AE3461">
        <v>-5.3194999999999997</v>
      </c>
      <c r="AF3461">
        <v>4.3280965093114601</v>
      </c>
      <c r="AG3461">
        <v>-1.1103626231129999</v>
      </c>
      <c r="AH3461">
        <v>42.759818015717599</v>
      </c>
      <c r="AI3461">
        <v>91.479931498397406</v>
      </c>
      <c r="AJ3461">
        <v>84.220275820552502</v>
      </c>
      <c r="AK3461">
        <v>42.992643106536399</v>
      </c>
      <c r="AL3461">
        <v>88.769701475659602</v>
      </c>
      <c r="AM3461">
        <v>87.606848120160294</v>
      </c>
      <c r="AN3461">
        <v>1.0000000017586801</v>
      </c>
    </row>
    <row r="3462" spans="1:40" x14ac:dyDescent="0.25">
      <c r="A3462" t="str">
        <f>"20190312161034840"</f>
        <v>20190312161034840</v>
      </c>
      <c r="B3462" t="str">
        <f>"1552378234829955"</f>
        <v>1552378234829955</v>
      </c>
      <c r="C3462" t="s">
        <v>40</v>
      </c>
      <c r="D3462">
        <v>5.1801700000000004</v>
      </c>
      <c r="E3462">
        <v>0.52229199999999998</v>
      </c>
      <c r="F3462" t="s">
        <v>59</v>
      </c>
      <c r="G3462">
        <v>-190.98929999999999</v>
      </c>
      <c r="H3462" s="1">
        <v>4.6768660000000004E-6</v>
      </c>
      <c r="I3462">
        <v>208.21209999999999</v>
      </c>
      <c r="J3462">
        <v>-234.53700000000001</v>
      </c>
      <c r="K3462">
        <v>1.1103719999999999</v>
      </c>
      <c r="L3462">
        <v>213.6404</v>
      </c>
      <c r="M3462">
        <v>0.99963429999999998</v>
      </c>
      <c r="N3462">
        <v>0</v>
      </c>
      <c r="O3462">
        <v>-2.2893469999999999E-2</v>
      </c>
      <c r="P3462">
        <v>0.99787680000000001</v>
      </c>
      <c r="Q3462">
        <v>6.9401380000000002E-3</v>
      </c>
      <c r="R3462">
        <v>-6.4758129999999997E-2</v>
      </c>
      <c r="S3462">
        <v>2.9828950000000001</v>
      </c>
      <c r="T3462">
        <v>-7.5540070000000001E-2</v>
      </c>
      <c r="U3462">
        <v>-0.369751</v>
      </c>
      <c r="V3462">
        <v>4.1884459999999998E-2</v>
      </c>
      <c r="W3462">
        <v>2.134525E-2</v>
      </c>
      <c r="X3462">
        <v>0.99889450000000002</v>
      </c>
      <c r="Y3462">
        <v>0.10023700000000001</v>
      </c>
      <c r="Z3462">
        <v>-6.8690329999999999E-4</v>
      </c>
      <c r="AA3462">
        <v>0.99496329999999999</v>
      </c>
      <c r="AB3462">
        <v>32</v>
      </c>
      <c r="AC3462">
        <v>43.547699999999999</v>
      </c>
      <c r="AD3462">
        <v>-1.1103673231340001</v>
      </c>
      <c r="AE3462">
        <v>-5.4283000000000001</v>
      </c>
      <c r="AF3462">
        <v>4.42698166577539</v>
      </c>
      <c r="AG3462">
        <v>-1.1103673231340001</v>
      </c>
      <c r="AH3462">
        <v>43.632636686263503</v>
      </c>
      <c r="AI3462">
        <v>91.450311023874207</v>
      </c>
      <c r="AJ3462">
        <v>84.206576640459701</v>
      </c>
      <c r="AK3462">
        <v>43.870697127545903</v>
      </c>
      <c r="AL3462">
        <v>88.776914465005603</v>
      </c>
      <c r="AM3462">
        <v>87.598947808788097</v>
      </c>
      <c r="AN3462">
        <v>1.00000007490864</v>
      </c>
    </row>
    <row r="3463" spans="1:40" x14ac:dyDescent="0.25">
      <c r="A3463" t="str">
        <f>"20190312161034866"</f>
        <v>20190312161034866</v>
      </c>
      <c r="B3463" t="str">
        <f>"1552378234860210"</f>
        <v>1552378234860210</v>
      </c>
      <c r="C3463" t="s">
        <v>40</v>
      </c>
      <c r="D3463">
        <v>5.1523500000000002</v>
      </c>
      <c r="E3463">
        <v>0.52206819999999998</v>
      </c>
      <c r="F3463" t="s">
        <v>59</v>
      </c>
      <c r="G3463">
        <v>-190.61359999999999</v>
      </c>
      <c r="H3463" s="1">
        <v>4.7672650000000002E-6</v>
      </c>
      <c r="I3463">
        <v>208.19200000000001</v>
      </c>
      <c r="J3463">
        <v>-234.19110000000001</v>
      </c>
      <c r="K3463">
        <v>1.1103889999999901</v>
      </c>
      <c r="L3463">
        <v>213.6328</v>
      </c>
      <c r="M3463">
        <v>0.9996408</v>
      </c>
      <c r="N3463">
        <v>0</v>
      </c>
      <c r="O3463">
        <v>-2.2605790000000001E-2</v>
      </c>
      <c r="P3463">
        <v>0.99792069999999999</v>
      </c>
      <c r="Q3463">
        <v>6.5180969999999996E-3</v>
      </c>
      <c r="R3463">
        <v>-6.4123699999999895E-2</v>
      </c>
      <c r="S3463">
        <v>2.98291</v>
      </c>
      <c r="T3463">
        <v>-7.5406909999999994E-2</v>
      </c>
      <c r="U3463">
        <v>-0.37001040000000002</v>
      </c>
      <c r="V3463">
        <v>4.1536139999999999E-2</v>
      </c>
      <c r="W3463">
        <v>2.0920959999999999E-2</v>
      </c>
      <c r="X3463">
        <v>0.99891790000000003</v>
      </c>
      <c r="Y3463">
        <v>0.1006078</v>
      </c>
      <c r="Z3463">
        <v>-6.9759170000000003E-4</v>
      </c>
      <c r="AA3463">
        <v>0.99492590000000003</v>
      </c>
      <c r="AB3463">
        <v>32</v>
      </c>
      <c r="AC3463">
        <v>43.577500000000001</v>
      </c>
      <c r="AD3463">
        <v>-1.11038423273499</v>
      </c>
      <c r="AE3463">
        <v>-5.4407999999999896</v>
      </c>
      <c r="AF3463">
        <v>4.45135769011143</v>
      </c>
      <c r="AG3463">
        <v>-1.11038423273499</v>
      </c>
      <c r="AH3463">
        <v>43.661455335115299</v>
      </c>
      <c r="AI3463">
        <v>91.449304567397803</v>
      </c>
      <c r="AJ3463">
        <v>84.178713863113202</v>
      </c>
      <c r="AK3463">
        <v>43.901824795899898</v>
      </c>
      <c r="AL3463">
        <v>88.801229775299504</v>
      </c>
      <c r="AM3463">
        <v>87.618948100352895</v>
      </c>
      <c r="AN3463">
        <v>0.99999995421691401</v>
      </c>
    </row>
    <row r="3464" spans="1:40" x14ac:dyDescent="0.25">
      <c r="A3464" t="str">
        <f>"20190312161034886"</f>
        <v>20190312161034886</v>
      </c>
      <c r="B3464" t="str">
        <f>"1552378234879731"</f>
        <v>1552378234879731</v>
      </c>
      <c r="C3464" t="s">
        <v>40</v>
      </c>
      <c r="D3464">
        <v>5.1190810000000004</v>
      </c>
      <c r="E3464">
        <v>0.5218737</v>
      </c>
      <c r="F3464" t="s">
        <v>59</v>
      </c>
      <c r="G3464">
        <v>-191.99289999999999</v>
      </c>
      <c r="H3464" s="1">
        <v>4.3693660000000004E-6</v>
      </c>
      <c r="I3464">
        <v>208.45249999999999</v>
      </c>
      <c r="J3464">
        <v>-233.89429999999999</v>
      </c>
      <c r="K3464">
        <v>1.1103989999999999</v>
      </c>
      <c r="L3464">
        <v>213.62639999999999</v>
      </c>
      <c r="M3464">
        <v>0.9996467</v>
      </c>
      <c r="N3464">
        <v>0</v>
      </c>
      <c r="O3464">
        <v>-2.2346789999999998E-2</v>
      </c>
      <c r="P3464">
        <v>0.99797959999999997</v>
      </c>
      <c r="Q3464">
        <v>6.0092030000000003E-3</v>
      </c>
      <c r="R3464">
        <v>-6.3252160000000002E-2</v>
      </c>
      <c r="S3464">
        <v>2.9832459999999998</v>
      </c>
      <c r="T3464">
        <v>-7.849979E-2</v>
      </c>
      <c r="U3464">
        <v>-0.3662262</v>
      </c>
      <c r="V3464">
        <v>4.0921890000000002E-2</v>
      </c>
      <c r="W3464">
        <v>2.0410379999999999E-2</v>
      </c>
      <c r="X3464">
        <v>0.99895389999999995</v>
      </c>
      <c r="Y3464">
        <v>9.9606929999999996E-2</v>
      </c>
      <c r="Z3464">
        <v>-7.1983349999999997E-4</v>
      </c>
      <c r="AA3464">
        <v>0.99502659999999998</v>
      </c>
      <c r="AB3464">
        <v>32</v>
      </c>
      <c r="AC3464">
        <v>41.901400000000002</v>
      </c>
      <c r="AD3464">
        <v>-1.110394630634</v>
      </c>
      <c r="AE3464">
        <v>-5.1738999999999997</v>
      </c>
      <c r="AF3464">
        <v>4.2332207681277803</v>
      </c>
      <c r="AG3464">
        <v>-1.110394630634</v>
      </c>
      <c r="AH3464">
        <v>41.9775298090128</v>
      </c>
      <c r="AI3464">
        <v>91.507598490746204</v>
      </c>
      <c r="AJ3464">
        <v>84.241479664050502</v>
      </c>
      <c r="AK3464">
        <v>42.205048787722198</v>
      </c>
      <c r="AL3464">
        <v>88.830490204595904</v>
      </c>
      <c r="AM3464">
        <v>87.654204685775099</v>
      </c>
      <c r="AN3464">
        <v>1.00000003950906</v>
      </c>
    </row>
    <row r="3465" spans="1:40" x14ac:dyDescent="0.25">
      <c r="A3465" t="str">
        <f>"20190312161034909"</f>
        <v>20190312161034909</v>
      </c>
      <c r="B3465" t="str">
        <f>"1552378234900227"</f>
        <v>1552378234900227</v>
      </c>
      <c r="C3465" t="s">
        <v>40</v>
      </c>
      <c r="D3465">
        <v>5.0957129999999999</v>
      </c>
      <c r="E3465">
        <v>0.52188429999999997</v>
      </c>
      <c r="F3465" t="s">
        <v>59</v>
      </c>
      <c r="G3465">
        <v>-192.14940000000001</v>
      </c>
      <c r="H3465" s="1">
        <v>4.3002900000000003E-6</v>
      </c>
      <c r="I3465">
        <v>208.55950000000001</v>
      </c>
      <c r="J3465">
        <v>-233.56620000000001</v>
      </c>
      <c r="K3465">
        <v>1.1103989999999999</v>
      </c>
      <c r="L3465">
        <v>213.61930000000001</v>
      </c>
      <c r="M3465">
        <v>0.99965320000000002</v>
      </c>
      <c r="N3465">
        <v>0</v>
      </c>
      <c r="O3465">
        <v>-2.205112E-2</v>
      </c>
      <c r="P3465">
        <v>0.99800250000000001</v>
      </c>
      <c r="Q3465">
        <v>6.195674E-3</v>
      </c>
      <c r="R3465">
        <v>-6.2868179999999996E-2</v>
      </c>
      <c r="S3465">
        <v>2.9836119999999999</v>
      </c>
      <c r="T3465">
        <v>-7.9362509999999997E-2</v>
      </c>
      <c r="U3465">
        <v>-0.36213679999999998</v>
      </c>
      <c r="V3465">
        <v>4.0832769999999997E-2</v>
      </c>
      <c r="W3465">
        <v>2.0594399999999999E-2</v>
      </c>
      <c r="X3465">
        <v>0.9989538</v>
      </c>
      <c r="Y3465">
        <v>9.8542350000000001E-2</v>
      </c>
      <c r="Z3465">
        <v>-7.2143550000000004E-4</v>
      </c>
      <c r="AA3465">
        <v>0.99513260000000003</v>
      </c>
      <c r="AB3465">
        <v>32</v>
      </c>
      <c r="AC3465">
        <v>41.416800000000002</v>
      </c>
      <c r="AD3465">
        <v>-1.1103946997099901</v>
      </c>
      <c r="AE3465">
        <v>-5.0597999999999903</v>
      </c>
      <c r="AF3465">
        <v>4.1422543316282097</v>
      </c>
      <c r="AG3465">
        <v>-1.1103946997099901</v>
      </c>
      <c r="AH3465">
        <v>41.488929749213803</v>
      </c>
      <c r="AI3465">
        <v>91.5254969008638</v>
      </c>
      <c r="AJ3465">
        <v>84.298484132160695</v>
      </c>
      <c r="AK3465">
        <v>41.709981288322801</v>
      </c>
      <c r="AL3465">
        <v>88.819944454336294</v>
      </c>
      <c r="AM3465">
        <v>87.659307454016698</v>
      </c>
      <c r="AN3465">
        <v>1.00000006947583</v>
      </c>
    </row>
    <row r="3466" spans="1:40" x14ac:dyDescent="0.25">
      <c r="A3466" t="str">
        <f>"20190312161034931"</f>
        <v>20190312161034931</v>
      </c>
      <c r="B3466" t="str">
        <f>"1552378234919747"</f>
        <v>1552378234919747</v>
      </c>
      <c r="C3466" t="s">
        <v>40</v>
      </c>
      <c r="D3466">
        <v>5.0997579999999996</v>
      </c>
      <c r="E3466">
        <v>0.52186809999999995</v>
      </c>
      <c r="F3466" t="s">
        <v>59</v>
      </c>
      <c r="G3466">
        <v>-191.51410000000001</v>
      </c>
      <c r="H3466" s="1">
        <v>4.4476560000000003E-6</v>
      </c>
      <c r="I3466">
        <v>208.53139999999999</v>
      </c>
      <c r="J3466">
        <v>-233.26329999999999</v>
      </c>
      <c r="K3466">
        <v>1.110412</v>
      </c>
      <c r="L3466">
        <v>213.6129</v>
      </c>
      <c r="M3466">
        <v>0.99965950000000003</v>
      </c>
      <c r="N3466">
        <v>0</v>
      </c>
      <c r="O3466">
        <v>-2.177196E-2</v>
      </c>
      <c r="P3466">
        <v>0.99803540000000002</v>
      </c>
      <c r="Q3466">
        <v>5.7784319999999896E-3</v>
      </c>
      <c r="R3466">
        <v>-6.2390540000000001E-2</v>
      </c>
      <c r="S3466">
        <v>2.983749</v>
      </c>
      <c r="T3466">
        <v>-7.8786369999999994E-2</v>
      </c>
      <c r="U3466">
        <v>-0.36100769999999999</v>
      </c>
      <c r="V3466">
        <v>4.0633120000000002E-2</v>
      </c>
      <c r="W3466">
        <v>2.017439E-2</v>
      </c>
      <c r="X3466">
        <v>0.99897040000000004</v>
      </c>
      <c r="Y3466">
        <v>9.8443959999999997E-2</v>
      </c>
      <c r="Z3466">
        <v>-7.2222679999999905E-4</v>
      </c>
      <c r="AA3466">
        <v>0.99514230000000004</v>
      </c>
      <c r="AB3466">
        <v>32</v>
      </c>
      <c r="AC3466">
        <v>41.749199999999902</v>
      </c>
      <c r="AD3466">
        <v>-1.110407552344</v>
      </c>
      <c r="AE3466">
        <v>-5.0815000000000001</v>
      </c>
      <c r="AF3466">
        <v>4.1683336458577296</v>
      </c>
      <c r="AG3466">
        <v>-1.110407552344</v>
      </c>
      <c r="AH3466">
        <v>41.8207951114303</v>
      </c>
      <c r="AI3466">
        <v>91.513439814106803</v>
      </c>
      <c r="AJ3466">
        <v>84.308053270151902</v>
      </c>
      <c r="AK3466">
        <v>42.042679672776799</v>
      </c>
      <c r="AL3466">
        <v>88.844014125922001</v>
      </c>
      <c r="AM3466">
        <v>87.670778191887507</v>
      </c>
      <c r="AN3466">
        <v>0.99999995826448196</v>
      </c>
    </row>
    <row r="3467" spans="1:40" x14ac:dyDescent="0.25">
      <c r="A3467" t="str">
        <f>"20190312161034951"</f>
        <v>20190312161034951</v>
      </c>
      <c r="B3467" t="str">
        <f>"1552378234940243"</f>
        <v>1552378234940243</v>
      </c>
      <c r="C3467" t="s">
        <v>40</v>
      </c>
      <c r="D3467">
        <v>5.0977949999999996</v>
      </c>
      <c r="E3467">
        <v>0.52196659999999995</v>
      </c>
      <c r="F3467" t="s">
        <v>59</v>
      </c>
      <c r="G3467">
        <v>-193.21629999999999</v>
      </c>
      <c r="H3467" s="1">
        <v>4.0500649999999997E-6</v>
      </c>
      <c r="I3467">
        <v>208.78980000000001</v>
      </c>
      <c r="J3467">
        <v>-232.97399999999999</v>
      </c>
      <c r="K3467">
        <v>1.1104149999999999</v>
      </c>
      <c r="L3467">
        <v>213.6069</v>
      </c>
      <c r="M3467">
        <v>0.99966540000000004</v>
      </c>
      <c r="N3467">
        <v>0</v>
      </c>
      <c r="O3467">
        <v>-2.1502259999999999E-2</v>
      </c>
      <c r="P3467">
        <v>0.99803109999999995</v>
      </c>
      <c r="Q3467">
        <v>6.5001969999999897E-3</v>
      </c>
      <c r="R3467">
        <v>-6.2383760000000003E-2</v>
      </c>
      <c r="S3467">
        <v>2.9839169999999999</v>
      </c>
      <c r="T3467">
        <v>-8.2736970000000007E-2</v>
      </c>
      <c r="U3467">
        <v>-0.359375</v>
      </c>
      <c r="V3467">
        <v>4.0895769999999998E-2</v>
      </c>
      <c r="W3467">
        <v>2.0893309999999998E-2</v>
      </c>
      <c r="X3467">
        <v>0.99894490000000002</v>
      </c>
      <c r="Y3467">
        <v>9.8166379999999998E-2</v>
      </c>
      <c r="Z3467">
        <v>-7.6202039999999902E-4</v>
      </c>
      <c r="AA3467">
        <v>0.99516970000000005</v>
      </c>
      <c r="AB3467">
        <v>32</v>
      </c>
      <c r="AC3467">
        <v>39.7577</v>
      </c>
      <c r="AD3467">
        <v>-1.1104109499349999</v>
      </c>
      <c r="AE3467">
        <v>-4.8170999999999804</v>
      </c>
      <c r="AF3467">
        <v>3.9579745013077798</v>
      </c>
      <c r="AG3467">
        <v>-1.1104109499349999</v>
      </c>
      <c r="AH3467">
        <v>39.821481833107697</v>
      </c>
      <c r="AI3467">
        <v>91.589435339436605</v>
      </c>
      <c r="AJ3467">
        <v>84.323846034218107</v>
      </c>
      <c r="AK3467">
        <v>40.033098681157099</v>
      </c>
      <c r="AL3467">
        <v>88.802814349555206</v>
      </c>
      <c r="AM3467">
        <v>87.655679213094302</v>
      </c>
      <c r="AN3467">
        <v>0.999999953821328</v>
      </c>
    </row>
    <row r="3468" spans="1:40" x14ac:dyDescent="0.25">
      <c r="A3468" t="str">
        <f>"20190312161034970"</f>
        <v>20190312161034970</v>
      </c>
      <c r="B3468" t="str">
        <f>"1552378234959763"</f>
        <v>1552378234959763</v>
      </c>
      <c r="C3468" t="s">
        <v>40</v>
      </c>
      <c r="D3468">
        <v>5.0505769999999997</v>
      </c>
      <c r="E3468">
        <v>0.52201830000000005</v>
      </c>
      <c r="F3468" t="s">
        <v>59</v>
      </c>
      <c r="G3468">
        <v>-191.01349999999999</v>
      </c>
      <c r="H3468" s="1">
        <v>4.5543020000000002E-6</v>
      </c>
      <c r="I3468">
        <v>208.5437</v>
      </c>
      <c r="J3468">
        <v>-232.7056</v>
      </c>
      <c r="K3468">
        <v>1.1104290000000001</v>
      </c>
      <c r="L3468">
        <v>213.60140000000001</v>
      </c>
      <c r="M3468">
        <v>0.99967079999999997</v>
      </c>
      <c r="N3468">
        <v>0</v>
      </c>
      <c r="O3468">
        <v>-2.1250939999999999E-2</v>
      </c>
      <c r="P3468">
        <v>0.99806459999999997</v>
      </c>
      <c r="Q3468">
        <v>6.7108100000000002E-3</v>
      </c>
      <c r="R3468">
        <v>-6.1824579999999997E-2</v>
      </c>
      <c r="S3468">
        <v>2.9839169999999999</v>
      </c>
      <c r="T3468">
        <v>-7.8964110000000004E-2</v>
      </c>
      <c r="U3468">
        <v>-0.36006159999999998</v>
      </c>
      <c r="V3468">
        <v>4.058697E-2</v>
      </c>
      <c r="W3468">
        <v>2.1100689999999998E-2</v>
      </c>
      <c r="X3468">
        <v>0.99895319999999999</v>
      </c>
      <c r="Y3468">
        <v>9.8644609999999994E-2</v>
      </c>
      <c r="Z3468">
        <v>-7.4019889999999897E-4</v>
      </c>
      <c r="AA3468">
        <v>0.99512239999999996</v>
      </c>
      <c r="AB3468">
        <v>31</v>
      </c>
      <c r="AC3468">
        <v>41.692100000000003</v>
      </c>
      <c r="AD3468">
        <v>-1.1104244456979999</v>
      </c>
      <c r="AE3468">
        <v>-5.0577000000000103</v>
      </c>
      <c r="AF3468">
        <v>4.1675562589938702</v>
      </c>
      <c r="AG3468">
        <v>-1.1104244456979999</v>
      </c>
      <c r="AH3468">
        <v>41.760980654199699</v>
      </c>
      <c r="AI3468">
        <v>91.515610986234194</v>
      </c>
      <c r="AJ3468">
        <v>84.3010103645871</v>
      </c>
      <c r="AK3468">
        <v>41.9831046115211</v>
      </c>
      <c r="AL3468">
        <v>88.790929808369199</v>
      </c>
      <c r="AM3468">
        <v>87.673380735279594</v>
      </c>
      <c r="AN3468">
        <v>1.0000000185212401</v>
      </c>
    </row>
    <row r="3469" spans="1:40" x14ac:dyDescent="0.25">
      <c r="A3469" t="str">
        <f>"20190312161034999"</f>
        <v>20190312161034999</v>
      </c>
      <c r="B3469" t="str">
        <f>"1552378234990019"</f>
        <v>1552378234990019</v>
      </c>
      <c r="C3469" t="s">
        <v>40</v>
      </c>
      <c r="D3469">
        <v>5.0233480000000004</v>
      </c>
      <c r="E3469">
        <v>0.52218500000000001</v>
      </c>
      <c r="F3469" t="s">
        <v>59</v>
      </c>
      <c r="G3469">
        <v>-189.9308</v>
      </c>
      <c r="H3469" s="1">
        <v>4.8154499999999998E-6</v>
      </c>
      <c r="I3469">
        <v>208.45359999999999</v>
      </c>
      <c r="J3469">
        <v>-232.3047</v>
      </c>
      <c r="K3469">
        <v>1.110425</v>
      </c>
      <c r="L3469">
        <v>213.5933</v>
      </c>
      <c r="M3469">
        <v>0.99967870000000003</v>
      </c>
      <c r="N3469">
        <v>0</v>
      </c>
      <c r="O3469">
        <v>-2.0876470000000001E-2</v>
      </c>
      <c r="P3469">
        <v>0.99809619999999999</v>
      </c>
      <c r="Q3469">
        <v>6.8736580000000004E-3</v>
      </c>
      <c r="R3469">
        <v>-6.1292630000000001E-2</v>
      </c>
      <c r="S3469">
        <v>2.9841000000000002</v>
      </c>
      <c r="T3469">
        <v>-7.7466489999999999E-2</v>
      </c>
      <c r="U3469">
        <v>-0.35913089999999998</v>
      </c>
      <c r="V3469">
        <v>4.0428600000000002E-2</v>
      </c>
      <c r="W3469">
        <v>2.1259440000000001E-2</v>
      </c>
      <c r="X3469">
        <v>0.99895630000000002</v>
      </c>
      <c r="Y3469">
        <v>9.8704990000000006E-2</v>
      </c>
      <c r="Z3469">
        <v>-7.3659259999999999E-4</v>
      </c>
      <c r="AA3469">
        <v>0.99511649999999996</v>
      </c>
      <c r="AB3469">
        <v>31</v>
      </c>
      <c r="AC3469">
        <v>42.3738999999999</v>
      </c>
      <c r="AD3469">
        <v>-1.1104201845499999</v>
      </c>
      <c r="AE3469">
        <v>-5.1397000000000004</v>
      </c>
      <c r="AF3469">
        <v>4.2509938540092103</v>
      </c>
      <c r="AG3469">
        <v>-1.1104201845499999</v>
      </c>
      <c r="AH3469">
        <v>42.443249212651402</v>
      </c>
      <c r="AI3469">
        <v>91.491199786930494</v>
      </c>
      <c r="AJ3469">
        <v>84.280493486792906</v>
      </c>
      <c r="AK3469">
        <v>42.670052559849402</v>
      </c>
      <c r="AL3469">
        <v>88.781832116157005</v>
      </c>
      <c r="AM3469">
        <v>87.682456448902798</v>
      </c>
      <c r="AN3469">
        <v>1.00000006239838</v>
      </c>
    </row>
    <row r="3470" spans="1:40" x14ac:dyDescent="0.25">
      <c r="A3470" t="str">
        <f>"20190312161035023"</f>
        <v>20190312161035023</v>
      </c>
      <c r="B3470" t="str">
        <f>"1552378235020274"</f>
        <v>1552378235020274</v>
      </c>
      <c r="C3470" t="s">
        <v>40</v>
      </c>
      <c r="D3470">
        <v>4.9898579999999999</v>
      </c>
      <c r="E3470">
        <v>0.52232460000000003</v>
      </c>
      <c r="F3470" t="s">
        <v>59</v>
      </c>
      <c r="G3470">
        <v>-188.74700000000001</v>
      </c>
      <c r="H3470" s="1">
        <v>4.6401499999999999E-6</v>
      </c>
      <c r="I3470">
        <v>208.3554</v>
      </c>
      <c r="J3470">
        <v>-231.9693</v>
      </c>
      <c r="K3470">
        <v>1.1104259999999999</v>
      </c>
      <c r="L3470">
        <v>213.5866</v>
      </c>
      <c r="M3470">
        <v>0.99968520000000005</v>
      </c>
      <c r="N3470">
        <v>0</v>
      </c>
      <c r="O3470">
        <v>-2.0564599999999999E-2</v>
      </c>
      <c r="P3470">
        <v>0.99808810000000003</v>
      </c>
      <c r="Q3470">
        <v>6.8706380000000001E-3</v>
      </c>
      <c r="R3470">
        <v>-6.142152E-2</v>
      </c>
      <c r="S3470">
        <v>2.9842219999999999</v>
      </c>
      <c r="T3470">
        <v>-7.6076980000000002E-2</v>
      </c>
      <c r="U3470">
        <v>-0.35885620000000001</v>
      </c>
      <c r="V3470">
        <v>4.0869540000000003E-2</v>
      </c>
      <c r="W3470">
        <v>2.125324E-2</v>
      </c>
      <c r="X3470">
        <v>0.9989384</v>
      </c>
      <c r="Y3470">
        <v>9.8921079999999995E-2</v>
      </c>
      <c r="Z3470">
        <v>-7.3401869999999896E-4</v>
      </c>
      <c r="AA3470">
        <v>0.99509499999999995</v>
      </c>
      <c r="AB3470">
        <v>31</v>
      </c>
      <c r="AC3470">
        <v>43.222299999999898</v>
      </c>
      <c r="AD3470">
        <v>-1.1104213598499999</v>
      </c>
      <c r="AE3470">
        <v>-5.2312000000000003</v>
      </c>
      <c r="AF3470">
        <v>4.3383303031762601</v>
      </c>
      <c r="AG3470">
        <v>-1.1104213598499999</v>
      </c>
      <c r="AH3470">
        <v>43.292584744791597</v>
      </c>
      <c r="AI3470">
        <v>91.461951457137701</v>
      </c>
      <c r="AJ3470">
        <v>84.2775198267951</v>
      </c>
      <c r="AK3470">
        <v>43.5235802674922</v>
      </c>
      <c r="AL3470">
        <v>88.782187321668601</v>
      </c>
      <c r="AM3470">
        <v>87.657165925587293</v>
      </c>
      <c r="AN3470">
        <v>0.99999997325243395</v>
      </c>
    </row>
    <row r="3471" spans="1:40" x14ac:dyDescent="0.25">
      <c r="A3471" t="str">
        <f>"20190312161035058"</f>
        <v>20190312161035058</v>
      </c>
      <c r="B3471" t="str">
        <f>"1552378235049558"</f>
        <v>1552378235049558</v>
      </c>
      <c r="C3471" t="s">
        <v>40</v>
      </c>
      <c r="D3471">
        <v>4.9636579999999997</v>
      </c>
      <c r="E3471">
        <v>0.52249630000000002</v>
      </c>
      <c r="F3471" t="s">
        <v>59</v>
      </c>
      <c r="G3471">
        <v>-188.51</v>
      </c>
      <c r="H3471" s="1">
        <v>4.603213E-6</v>
      </c>
      <c r="I3471">
        <v>208.34100000000001</v>
      </c>
      <c r="J3471">
        <v>-231.48230000000001</v>
      </c>
      <c r="K3471">
        <v>1.11043</v>
      </c>
      <c r="L3471">
        <v>213.5771</v>
      </c>
      <c r="M3471">
        <v>0.99969459999999999</v>
      </c>
      <c r="N3471">
        <v>0</v>
      </c>
      <c r="O3471">
        <v>-2.0113389999999998E-2</v>
      </c>
      <c r="P3471">
        <v>0.99813810000000003</v>
      </c>
      <c r="Q3471">
        <v>7.5263689999999998E-3</v>
      </c>
      <c r="R3471">
        <v>-6.0532549999999997E-2</v>
      </c>
      <c r="S3471">
        <v>2.9840849999999999</v>
      </c>
      <c r="T3471">
        <v>-7.6245899999999894E-2</v>
      </c>
      <c r="U3471">
        <v>-0.3601837</v>
      </c>
      <c r="V3471">
        <v>4.0429949999999999E-2</v>
      </c>
      <c r="W3471">
        <v>2.1903499999999999E-2</v>
      </c>
      <c r="X3471">
        <v>0.99894229999999995</v>
      </c>
      <c r="Y3471">
        <v>9.9811430000000007E-2</v>
      </c>
      <c r="Z3471">
        <v>-7.5847209999999998E-4</v>
      </c>
      <c r="AA3471">
        <v>0.9950061</v>
      </c>
      <c r="AB3471">
        <v>31</v>
      </c>
      <c r="AC3471">
        <v>42.972299999999997</v>
      </c>
      <c r="AD3471">
        <v>-1.1104253967869999</v>
      </c>
      <c r="AE3471">
        <v>-5.23610000000002</v>
      </c>
      <c r="AF3471">
        <v>4.3677589895414597</v>
      </c>
      <c r="AG3471">
        <v>-1.1104253967869999</v>
      </c>
      <c r="AH3471">
        <v>43.040612618114899</v>
      </c>
      <c r="AI3471">
        <v>91.470325336952001</v>
      </c>
      <c r="AJ3471">
        <v>84.205464186163297</v>
      </c>
      <c r="AK3471">
        <v>43.275913597464097</v>
      </c>
      <c r="AL3471">
        <v>88.744921562499698</v>
      </c>
      <c r="AM3471">
        <v>87.682346699777995</v>
      </c>
      <c r="AN3471">
        <v>1.0000000314492701</v>
      </c>
    </row>
    <row r="3472" spans="1:40" x14ac:dyDescent="0.25">
      <c r="A3472" t="str">
        <f>"20190312161035080"</f>
        <v>20190312161035080</v>
      </c>
      <c r="B3472" t="str">
        <f>"1552378235070051"</f>
        <v>1552378235070051</v>
      </c>
      <c r="C3472" t="s">
        <v>40</v>
      </c>
      <c r="D3472">
        <v>5.0112819999999996</v>
      </c>
      <c r="E3472">
        <v>0.52274880000000001</v>
      </c>
      <c r="F3472" t="s">
        <v>59</v>
      </c>
      <c r="G3472">
        <v>-185.9725</v>
      </c>
      <c r="H3472" s="1">
        <v>4.2368499999999999E-6</v>
      </c>
      <c r="I3472">
        <v>208.10409999999999</v>
      </c>
      <c r="J3472">
        <v>-231.1653</v>
      </c>
      <c r="K3472">
        <v>1.1104309999999999</v>
      </c>
      <c r="L3472">
        <v>213.5711</v>
      </c>
      <c r="M3472">
        <v>0.99970040000000004</v>
      </c>
      <c r="N3472">
        <v>0</v>
      </c>
      <c r="O3472">
        <v>-1.9820250000000001E-2</v>
      </c>
      <c r="P3472">
        <v>0.99814040000000004</v>
      </c>
      <c r="Q3472">
        <v>7.0826519999999896E-3</v>
      </c>
      <c r="R3472">
        <v>-6.0543149999999997E-2</v>
      </c>
      <c r="S3472">
        <v>2.984375</v>
      </c>
      <c r="T3472">
        <v>-7.2817919999999994E-2</v>
      </c>
      <c r="U3472">
        <v>-0.358902</v>
      </c>
      <c r="V3472">
        <v>4.0734060000000002E-2</v>
      </c>
      <c r="W3472">
        <v>2.1456329999999999E-2</v>
      </c>
      <c r="X3472">
        <v>0.99893960000000004</v>
      </c>
      <c r="Y3472">
        <v>9.9672670000000005E-2</v>
      </c>
      <c r="Z3472">
        <v>-7.297645E-4</v>
      </c>
      <c r="AA3472">
        <v>0.99502000000000002</v>
      </c>
      <c r="AB3472">
        <v>31</v>
      </c>
      <c r="AC3472">
        <v>45.192799999999998</v>
      </c>
      <c r="AD3472">
        <v>-1.11042676315</v>
      </c>
      <c r="AE3472">
        <v>-5.4670000000000103</v>
      </c>
      <c r="AF3472">
        <v>4.5673831625968297</v>
      </c>
      <c r="AG3472">
        <v>-1.11042676315</v>
      </c>
      <c r="AH3472">
        <v>45.265355140708799</v>
      </c>
      <c r="AI3472">
        <v>91.398172452185705</v>
      </c>
      <c r="AJ3472">
        <v>84.238219415383199</v>
      </c>
      <c r="AK3472">
        <v>45.508750944898303</v>
      </c>
      <c r="AL3472">
        <v>88.770548477001398</v>
      </c>
      <c r="AM3472">
        <v>87.664926466653398</v>
      </c>
      <c r="AN3472">
        <v>0.99999998109465604</v>
      </c>
    </row>
    <row r="3473" spans="1:40" x14ac:dyDescent="0.25">
      <c r="A3473" t="str">
        <f>"20190312161035103"</f>
        <v>20190312161035103</v>
      </c>
      <c r="B3473" t="str">
        <f>"1552378235100307"</f>
        <v>1552378235100307</v>
      </c>
      <c r="C3473" t="s">
        <v>40</v>
      </c>
      <c r="D3473">
        <v>4.9708969999999999</v>
      </c>
      <c r="E3473">
        <v>0.52282259999999903</v>
      </c>
      <c r="F3473" t="s">
        <v>59</v>
      </c>
      <c r="G3473">
        <v>-184.708</v>
      </c>
      <c r="H3473" s="1">
        <v>4.067031E-6</v>
      </c>
      <c r="I3473">
        <v>207.95</v>
      </c>
      <c r="J3473">
        <v>-230.84819999999999</v>
      </c>
      <c r="K3473">
        <v>1.11043</v>
      </c>
      <c r="L3473">
        <v>213.5651</v>
      </c>
      <c r="M3473">
        <v>0.99970630000000005</v>
      </c>
      <c r="N3473">
        <v>0</v>
      </c>
      <c r="O3473">
        <v>-1.952723E-2</v>
      </c>
      <c r="P3473">
        <v>0.99815830000000005</v>
      </c>
      <c r="Q3473">
        <v>6.4597500000000002E-3</v>
      </c>
      <c r="R3473">
        <v>-6.031922E-2</v>
      </c>
      <c r="S3473">
        <v>2.9841769999999999</v>
      </c>
      <c r="T3473">
        <v>-7.1328039999999995E-2</v>
      </c>
      <c r="U3473">
        <v>-0.36106870000000002</v>
      </c>
      <c r="V3473">
        <v>4.0802810000000002E-2</v>
      </c>
      <c r="W3473">
        <v>2.0830379999999999E-2</v>
      </c>
      <c r="X3473">
        <v>0.99895009999999995</v>
      </c>
      <c r="Y3473">
        <v>0.1006848</v>
      </c>
      <c r="Z3473">
        <v>-7.3387789999999995E-4</v>
      </c>
      <c r="AA3473">
        <v>0.99491810000000003</v>
      </c>
      <c r="AB3473">
        <v>31</v>
      </c>
      <c r="AC3473">
        <v>46.140199999999901</v>
      </c>
      <c r="AD3473">
        <v>-1.1104259329690001</v>
      </c>
      <c r="AE3473">
        <v>-5.6151000000000098</v>
      </c>
      <c r="AF3473">
        <v>4.7102576933131797</v>
      </c>
      <c r="AG3473">
        <v>-1.1104259329690001</v>
      </c>
      <c r="AH3473">
        <v>46.214682673732597</v>
      </c>
      <c r="AI3473">
        <v>91.369321665800001</v>
      </c>
      <c r="AJ3473">
        <v>84.180438756247</v>
      </c>
      <c r="AK3473">
        <v>46.467369926904901</v>
      </c>
      <c r="AL3473">
        <v>88.806420858679303</v>
      </c>
      <c r="AM3473">
        <v>87.661014315454494</v>
      </c>
      <c r="AN3473">
        <v>1.0000000381624199</v>
      </c>
    </row>
    <row r="3474" spans="1:40" x14ac:dyDescent="0.25">
      <c r="A3474" t="str">
        <f>"20190312161035127"</f>
        <v>20190312161035127</v>
      </c>
      <c r="B3474" t="str">
        <f>"1552378235119827"</f>
        <v>1552378235119827</v>
      </c>
      <c r="C3474" t="s">
        <v>40</v>
      </c>
      <c r="D3474">
        <v>4.9664869999999999</v>
      </c>
      <c r="E3474">
        <v>0.52282799999999996</v>
      </c>
      <c r="F3474" t="s">
        <v>59</v>
      </c>
      <c r="G3474">
        <v>-185.452</v>
      </c>
      <c r="H3474" s="1">
        <v>4.1544749999999997E-6</v>
      </c>
      <c r="I3474">
        <v>208.07599999999999</v>
      </c>
      <c r="J3474">
        <v>-230.5104</v>
      </c>
      <c r="K3474">
        <v>1.11043</v>
      </c>
      <c r="L3474">
        <v>213.55889999999999</v>
      </c>
      <c r="M3474">
        <v>0.9997123</v>
      </c>
      <c r="N3474">
        <v>0</v>
      </c>
      <c r="O3474">
        <v>-1.9214789999999999E-2</v>
      </c>
      <c r="P3474">
        <v>0.99817659999999997</v>
      </c>
      <c r="Q3474">
        <v>6.7819819999999998E-3</v>
      </c>
      <c r="R3474">
        <v>-5.9980770000000003E-2</v>
      </c>
      <c r="S3474">
        <v>2.9841920000000002</v>
      </c>
      <c r="T3474">
        <v>-7.2995660000000004E-2</v>
      </c>
      <c r="U3474">
        <v>-0.36083979999999999</v>
      </c>
      <c r="V3474">
        <v>4.0776220000000002E-2</v>
      </c>
      <c r="W3474">
        <v>2.1149310000000001E-2</v>
      </c>
      <c r="X3474">
        <v>0.99894450000000001</v>
      </c>
      <c r="Y3474">
        <v>0.1009187</v>
      </c>
      <c r="Z3474">
        <v>-7.6148890000000003E-4</v>
      </c>
      <c r="AA3474">
        <v>0.99489439999999996</v>
      </c>
      <c r="AB3474">
        <v>31</v>
      </c>
      <c r="AC3474">
        <v>45.058399999999999</v>
      </c>
      <c r="AD3474">
        <v>-1.110425845525</v>
      </c>
      <c r="AE3474">
        <v>-5.4828999999999999</v>
      </c>
      <c r="AF3474">
        <v>4.6132496987898701</v>
      </c>
      <c r="AG3474">
        <v>-1.110425845525</v>
      </c>
      <c r="AH3474">
        <v>45.128435061894898</v>
      </c>
      <c r="AI3474">
        <v>91.4022253119076</v>
      </c>
      <c r="AJ3474">
        <v>84.163219715044406</v>
      </c>
      <c r="AK3474">
        <v>45.377205395192199</v>
      </c>
      <c r="AL3474">
        <v>88.788143508532102</v>
      </c>
      <c r="AM3474">
        <v>87.662523783805</v>
      </c>
      <c r="AN3474">
        <v>1.0000000537556</v>
      </c>
    </row>
    <row r="3475" spans="1:40" x14ac:dyDescent="0.25">
      <c r="A3475" t="str">
        <f>"20190312161035148"</f>
        <v>20190312161035148</v>
      </c>
      <c r="B3475" t="str">
        <f>"1552378235140323"</f>
        <v>1552378235140323</v>
      </c>
      <c r="C3475" t="s">
        <v>40</v>
      </c>
      <c r="D3475">
        <v>4.9962330000000001</v>
      </c>
      <c r="E3475">
        <v>0.52294169999999995</v>
      </c>
      <c r="F3475" t="s">
        <v>59</v>
      </c>
      <c r="G3475">
        <v>-185.506</v>
      </c>
      <c r="H3475" s="1">
        <v>4.1439649999999997E-6</v>
      </c>
      <c r="I3475">
        <v>208.1328</v>
      </c>
      <c r="J3475">
        <v>-230.22569999999999</v>
      </c>
      <c r="K3475">
        <v>1.11043</v>
      </c>
      <c r="L3475">
        <v>213.55369999999999</v>
      </c>
      <c r="M3475">
        <v>0.99971739999999998</v>
      </c>
      <c r="N3475">
        <v>0</v>
      </c>
      <c r="O3475">
        <v>-1.895169E-2</v>
      </c>
      <c r="P3475">
        <v>0.9981717</v>
      </c>
      <c r="Q3475">
        <v>5.9535200000000003E-3</v>
      </c>
      <c r="R3475">
        <v>-6.0146520000000002E-2</v>
      </c>
      <c r="S3475">
        <v>2.9843440000000001</v>
      </c>
      <c r="T3475">
        <v>-7.3634859999999996E-2</v>
      </c>
      <c r="U3475">
        <v>-0.35981750000000001</v>
      </c>
      <c r="V3475">
        <v>4.1205579999999999E-2</v>
      </c>
      <c r="W3475">
        <v>2.0317410000000001E-2</v>
      </c>
      <c r="X3475">
        <v>0.9989441</v>
      </c>
      <c r="Y3475">
        <v>0.1008381</v>
      </c>
      <c r="Z3475">
        <v>-7.7360359999999997E-4</v>
      </c>
      <c r="AA3475">
        <v>0.99490259999999997</v>
      </c>
      <c r="AB3475">
        <v>31</v>
      </c>
      <c r="AC3475">
        <v>44.719700000000003</v>
      </c>
      <c r="AD3475">
        <v>-1.110425856035</v>
      </c>
      <c r="AE3475">
        <v>-5.4208999999999801</v>
      </c>
      <c r="AF3475">
        <v>4.5695483905575296</v>
      </c>
      <c r="AG3475">
        <v>-1.110425856035</v>
      </c>
      <c r="AH3475">
        <v>44.787198027626197</v>
      </c>
      <c r="AI3475">
        <v>91.412932777802297</v>
      </c>
      <c r="AJ3475">
        <v>84.174384535437298</v>
      </c>
      <c r="AK3475">
        <v>45.033397886915097</v>
      </c>
      <c r="AL3475">
        <v>88.835818058754498</v>
      </c>
      <c r="AM3475">
        <v>87.637937726829193</v>
      </c>
      <c r="AN3475">
        <v>1.0000000059485199</v>
      </c>
    </row>
    <row r="3476" spans="1:40" x14ac:dyDescent="0.25">
      <c r="A3476" t="str">
        <f>"20190312161035170"</f>
        <v>20190312161035170</v>
      </c>
      <c r="B3476" t="str">
        <f>"1552378235159843"</f>
        <v>1552378235159843</v>
      </c>
      <c r="C3476" t="s">
        <v>40</v>
      </c>
      <c r="D3476">
        <v>5.0183090000000004</v>
      </c>
      <c r="E3476">
        <v>0.52314209999999906</v>
      </c>
      <c r="F3476" t="s">
        <v>59</v>
      </c>
      <c r="G3476">
        <v>-186.9632</v>
      </c>
      <c r="H3476" s="1">
        <v>4.3379699999999901E-6</v>
      </c>
      <c r="I3476">
        <v>208.3152</v>
      </c>
      <c r="J3476">
        <v>-229.9178</v>
      </c>
      <c r="K3476">
        <v>1.1104259999999999</v>
      </c>
      <c r="L3476">
        <v>213.54820000000001</v>
      </c>
      <c r="M3476">
        <v>0.99972280000000002</v>
      </c>
      <c r="N3476">
        <v>0</v>
      </c>
      <c r="O3476">
        <v>-1.8666660000000002E-2</v>
      </c>
      <c r="P3476">
        <v>0.99815849999999995</v>
      </c>
      <c r="Q3476">
        <v>5.5151319999999998E-3</v>
      </c>
      <c r="R3476">
        <v>-6.041034E-2</v>
      </c>
      <c r="S3476">
        <v>2.9841769999999999</v>
      </c>
      <c r="T3476">
        <v>-7.6595430000000006E-2</v>
      </c>
      <c r="U3476">
        <v>-0.36134339999999998</v>
      </c>
      <c r="V3476">
        <v>4.1754619999999999E-2</v>
      </c>
      <c r="W3476">
        <v>1.9875469999999999E-2</v>
      </c>
      <c r="X3476">
        <v>0.99893019999999999</v>
      </c>
      <c r="Y3476">
        <v>0.1016273</v>
      </c>
      <c r="Z3476">
        <v>-8.2209259999999995E-4</v>
      </c>
      <c r="AA3476">
        <v>0.99482219999999999</v>
      </c>
      <c r="AB3476">
        <v>31</v>
      </c>
      <c r="AC3476">
        <v>42.954599999999999</v>
      </c>
      <c r="AD3476">
        <v>-1.11042166202999</v>
      </c>
      <c r="AE3476">
        <v>-5.2329999999999997</v>
      </c>
      <c r="AF3476">
        <v>4.4272711889500096</v>
      </c>
      <c r="AG3476">
        <v>-1.11042166202999</v>
      </c>
      <c r="AH3476">
        <v>43.016480343983403</v>
      </c>
      <c r="AI3476">
        <v>91.470930664126101</v>
      </c>
      <c r="AJ3476">
        <v>84.123788183781997</v>
      </c>
      <c r="AK3476">
        <v>43.257962823419199</v>
      </c>
      <c r="AL3476">
        <v>88.861144479016005</v>
      </c>
      <c r="AM3476">
        <v>87.606467739420495</v>
      </c>
      <c r="AN3476">
        <v>1.00000001353555</v>
      </c>
    </row>
    <row r="3477" spans="1:40" x14ac:dyDescent="0.25">
      <c r="A3477" t="str">
        <f>"20190312161035194"</f>
        <v>20190312161035194</v>
      </c>
      <c r="B3477" t="str">
        <f>"1552378235190099"</f>
        <v>1552378235190099</v>
      </c>
      <c r="C3477" t="s">
        <v>40</v>
      </c>
      <c r="D3477">
        <v>5.0502060000000002</v>
      </c>
      <c r="E3477">
        <v>0.5233042</v>
      </c>
      <c r="F3477" t="s">
        <v>59</v>
      </c>
      <c r="G3477">
        <v>-188.4914</v>
      </c>
      <c r="H3477" s="1">
        <v>4.5436879999999999E-6</v>
      </c>
      <c r="I3477">
        <v>208.5001</v>
      </c>
      <c r="J3477">
        <v>-229.59229999999999</v>
      </c>
      <c r="K3477">
        <v>1.110419</v>
      </c>
      <c r="L3477">
        <v>213.54239999999999</v>
      </c>
      <c r="M3477">
        <v>0.99972850000000002</v>
      </c>
      <c r="N3477">
        <v>0</v>
      </c>
      <c r="O3477">
        <v>-1.8365300000000001E-2</v>
      </c>
      <c r="P3477">
        <v>0.99814729999999996</v>
      </c>
      <c r="Q3477">
        <v>5.0022419999999996E-3</v>
      </c>
      <c r="R3477">
        <v>-6.0640590000000001E-2</v>
      </c>
      <c r="S3477">
        <v>2.9839479999999998</v>
      </c>
      <c r="T3477">
        <v>-7.9983589999999993E-2</v>
      </c>
      <c r="U3477">
        <v>-0.36361690000000002</v>
      </c>
      <c r="V3477">
        <v>4.2286560000000001E-2</v>
      </c>
      <c r="W3477">
        <v>1.935916E-2</v>
      </c>
      <c r="X3477">
        <v>0.99891790000000003</v>
      </c>
      <c r="Y3477">
        <v>0.1026803</v>
      </c>
      <c r="Z3477">
        <v>-8.8057199999999895E-4</v>
      </c>
      <c r="AA3477">
        <v>0.99471399999999999</v>
      </c>
      <c r="AB3477">
        <v>31</v>
      </c>
      <c r="AC3477">
        <v>41.100900000000003</v>
      </c>
      <c r="AD3477">
        <v>-1.110414456312</v>
      </c>
      <c r="AE3477">
        <v>-5.0422999999999796</v>
      </c>
      <c r="AF3477">
        <v>4.2834612559993799</v>
      </c>
      <c r="AG3477">
        <v>-1.110414456312</v>
      </c>
      <c r="AH3477">
        <v>41.156984177992797</v>
      </c>
      <c r="AI3477">
        <v>91.537165121791702</v>
      </c>
      <c r="AJ3477">
        <v>84.058266448949297</v>
      </c>
      <c r="AK3477">
        <v>41.394183253495697</v>
      </c>
      <c r="AL3477">
        <v>88.890732486900504</v>
      </c>
      <c r="AM3477">
        <v>87.5759812647198</v>
      </c>
      <c r="AN3477">
        <v>0.99999995058647295</v>
      </c>
    </row>
    <row r="3478" spans="1:40" x14ac:dyDescent="0.25">
      <c r="A3478" t="str">
        <f>"20190312161035219"</f>
        <v>20190312161035219</v>
      </c>
      <c r="B3478" t="str">
        <f>"1552378235209618"</f>
        <v>1552378235209618</v>
      </c>
      <c r="C3478" t="s">
        <v>40</v>
      </c>
      <c r="D3478">
        <v>5.0000589999999896</v>
      </c>
      <c r="E3478">
        <v>0.52340109999999995</v>
      </c>
      <c r="F3478" t="s">
        <v>59</v>
      </c>
      <c r="G3478">
        <v>-188.98079999999999</v>
      </c>
      <c r="H3478" s="1">
        <v>4.6067929999999997E-6</v>
      </c>
      <c r="I3478">
        <v>208.56720000000001</v>
      </c>
      <c r="J3478">
        <v>-229.2364</v>
      </c>
      <c r="K3478">
        <v>1.1104240000000001</v>
      </c>
      <c r="L3478">
        <v>213.53630000000001</v>
      </c>
      <c r="M3478">
        <v>0.99973449999999997</v>
      </c>
      <c r="N3478">
        <v>0</v>
      </c>
      <c r="O3478">
        <v>-1.8035450000000001E-2</v>
      </c>
      <c r="P3478">
        <v>0.99814159999999996</v>
      </c>
      <c r="Q3478">
        <v>5.4801980000000004E-3</v>
      </c>
      <c r="R3478">
        <v>-6.069045E-2</v>
      </c>
      <c r="S3478">
        <v>2.9837799999999999</v>
      </c>
      <c r="T3478">
        <v>-8.1583740000000002E-2</v>
      </c>
      <c r="U3478">
        <v>-0.36553960000000002</v>
      </c>
      <c r="V3478">
        <v>4.2665830000000002E-2</v>
      </c>
      <c r="W3478">
        <v>1.983304E-2</v>
      </c>
      <c r="X3478">
        <v>0.99889249999999996</v>
      </c>
      <c r="Y3478">
        <v>0.103645</v>
      </c>
      <c r="Z3478">
        <v>-9.2031380000000002E-4</v>
      </c>
      <c r="AA3478">
        <v>0.99461390000000005</v>
      </c>
      <c r="AB3478">
        <v>31</v>
      </c>
      <c r="AC3478">
        <v>40.255600000000001</v>
      </c>
      <c r="AD3478">
        <v>-1.1104193932069999</v>
      </c>
      <c r="AE3478">
        <v>-4.9690999999999903</v>
      </c>
      <c r="AF3478">
        <v>4.2390120624367702</v>
      </c>
      <c r="AG3478">
        <v>-1.1104193932069999</v>
      </c>
      <c r="AH3478">
        <v>40.308470202143504</v>
      </c>
      <c r="AI3478">
        <v>91.569337551149502</v>
      </c>
      <c r="AJ3478">
        <v>83.996596154079498</v>
      </c>
      <c r="AK3478">
        <v>40.545961877003002</v>
      </c>
      <c r="AL3478">
        <v>88.863575973880799</v>
      </c>
      <c r="AM3478">
        <v>87.554204303015197</v>
      </c>
      <c r="AN3478">
        <v>0.99999997454073897</v>
      </c>
    </row>
    <row r="3479" spans="1:40" x14ac:dyDescent="0.25">
      <c r="A3479" t="str">
        <f>"20190312161035241"</f>
        <v>20190312161035241</v>
      </c>
      <c r="B3479" t="str">
        <f>"1552378235230116"</f>
        <v>1552378235230116</v>
      </c>
      <c r="C3479" t="s">
        <v>40</v>
      </c>
      <c r="D3479">
        <v>5.0595879999999998</v>
      </c>
      <c r="E3479">
        <v>0.52360280000000003</v>
      </c>
      <c r="F3479" t="s">
        <v>59</v>
      </c>
      <c r="G3479">
        <v>-188.61799999999999</v>
      </c>
      <c r="H3479" s="1">
        <v>4.549789E-6</v>
      </c>
      <c r="I3479">
        <v>208.5463</v>
      </c>
      <c r="J3479">
        <v>-228.92449999999999</v>
      </c>
      <c r="K3479">
        <v>1.110425</v>
      </c>
      <c r="L3479">
        <v>213.5309</v>
      </c>
      <c r="M3479">
        <v>0.99973979999999996</v>
      </c>
      <c r="N3479">
        <v>0</v>
      </c>
      <c r="O3479">
        <v>-1.7746720000000001E-2</v>
      </c>
      <c r="P3479">
        <v>0.99813680000000005</v>
      </c>
      <c r="Q3479">
        <v>6.3152290000000003E-3</v>
      </c>
      <c r="R3479">
        <v>-6.0689409999999999E-2</v>
      </c>
      <c r="S3479">
        <v>2.9837189999999998</v>
      </c>
      <c r="T3479">
        <v>-8.1568360000000006E-2</v>
      </c>
      <c r="U3479">
        <v>-0.3665466</v>
      </c>
      <c r="V3479">
        <v>4.295322E-2</v>
      </c>
      <c r="W3479">
        <v>2.0663999999999998E-2</v>
      </c>
      <c r="X3479">
        <v>0.99886330000000001</v>
      </c>
      <c r="Y3479">
        <v>0.1042651</v>
      </c>
      <c r="Z3479">
        <v>-9.3644099999999999E-4</v>
      </c>
      <c r="AA3479">
        <v>0.99454909999999996</v>
      </c>
      <c r="AB3479">
        <v>31</v>
      </c>
      <c r="AC3479">
        <v>40.3065</v>
      </c>
      <c r="AD3479">
        <v>-1.110420450211</v>
      </c>
      <c r="AE3479">
        <v>-4.9846000000000004</v>
      </c>
      <c r="AF3479">
        <v>4.2652447675763101</v>
      </c>
      <c r="AG3479">
        <v>-1.110420450211</v>
      </c>
      <c r="AH3479">
        <v>40.358450934019302</v>
      </c>
      <c r="AI3479">
        <v>91.567311616334905</v>
      </c>
      <c r="AJ3479">
        <v>83.967143714932504</v>
      </c>
      <c r="AK3479">
        <v>40.5983978538221</v>
      </c>
      <c r="AL3479">
        <v>88.815955661548998</v>
      </c>
      <c r="AM3479">
        <v>87.537678143463495</v>
      </c>
      <c r="AN3479">
        <v>0.99999993604562698</v>
      </c>
    </row>
    <row r="3480" spans="1:40" x14ac:dyDescent="0.25">
      <c r="A3480" t="str">
        <f>"20190312161035261"</f>
        <v>20190312161035261</v>
      </c>
      <c r="B3480" t="str">
        <f>"1552378235249635"</f>
        <v>1552378235249635</v>
      </c>
      <c r="C3480" t="s">
        <v>40</v>
      </c>
      <c r="D3480">
        <v>5.0523790000000002</v>
      </c>
      <c r="E3480">
        <v>0.52391019999999999</v>
      </c>
      <c r="F3480" t="s">
        <v>59</v>
      </c>
      <c r="G3480">
        <v>-186.90989999999999</v>
      </c>
      <c r="H3480" s="1">
        <v>4.3171590000000003E-6</v>
      </c>
      <c r="I3480">
        <v>208.34729999999999</v>
      </c>
      <c r="J3480">
        <v>-228.65620000000001</v>
      </c>
      <c r="K3480">
        <v>1.1104270000000001</v>
      </c>
      <c r="L3480">
        <v>213.5264</v>
      </c>
      <c r="M3480">
        <v>0.99974410000000002</v>
      </c>
      <c r="N3480">
        <v>0</v>
      </c>
      <c r="O3480">
        <v>-1.749817E-2</v>
      </c>
      <c r="P3480">
        <v>0.99817630000000002</v>
      </c>
      <c r="Q3480">
        <v>6.2818809999999996E-3</v>
      </c>
      <c r="R3480">
        <v>-6.0039759999999998E-2</v>
      </c>
      <c r="S3480">
        <v>2.9837039999999999</v>
      </c>
      <c r="T3480">
        <v>-7.8857540000000004E-2</v>
      </c>
      <c r="U3480">
        <v>-0.36811830000000001</v>
      </c>
      <c r="V3480">
        <v>4.2551039999999998E-2</v>
      </c>
      <c r="W3480">
        <v>2.062729E-2</v>
      </c>
      <c r="X3480">
        <v>0.99888129999999997</v>
      </c>
      <c r="Y3480">
        <v>0.10503079999999999</v>
      </c>
      <c r="Z3480">
        <v>-9.2192429999999996E-4</v>
      </c>
      <c r="AA3480">
        <v>0.99446860000000004</v>
      </c>
      <c r="AB3480">
        <v>31</v>
      </c>
      <c r="AC3480">
        <v>41.746299999999998</v>
      </c>
      <c r="AD3480">
        <v>-1.110422682841</v>
      </c>
      <c r="AE3480">
        <v>-5.1791</v>
      </c>
      <c r="AF3480">
        <v>4.4446509250642796</v>
      </c>
      <c r="AG3480">
        <v>-1.110422682841</v>
      </c>
      <c r="AH3480">
        <v>41.801414051813701</v>
      </c>
      <c r="AI3480">
        <v>91.5131354184674</v>
      </c>
      <c r="AJ3480">
        <v>83.930671729032497</v>
      </c>
      <c r="AK3480">
        <v>42.051708373280199</v>
      </c>
      <c r="AL3480">
        <v>88.818059470958303</v>
      </c>
      <c r="AM3480">
        <v>87.560749302385602</v>
      </c>
      <c r="AN3480">
        <v>0.999999963793757</v>
      </c>
    </row>
    <row r="3481" spans="1:40" x14ac:dyDescent="0.25">
      <c r="A3481" t="str">
        <f>"20190312161035282"</f>
        <v>20190312161035282</v>
      </c>
      <c r="B3481" t="str">
        <f>"1552378235270131"</f>
        <v>1552378235270131</v>
      </c>
      <c r="C3481" t="s">
        <v>40</v>
      </c>
      <c r="D3481">
        <v>4.9868489999999897</v>
      </c>
      <c r="E3481">
        <v>0.52431319999999904</v>
      </c>
      <c r="F3481" t="s">
        <v>59</v>
      </c>
      <c r="G3481">
        <v>-187.2782</v>
      </c>
      <c r="H3481" s="1">
        <v>4.3589319999999999E-6</v>
      </c>
      <c r="I3481">
        <v>208.41399999999999</v>
      </c>
      <c r="J3481">
        <v>-228.3663</v>
      </c>
      <c r="K3481">
        <v>1.1104259999999999</v>
      </c>
      <c r="L3481">
        <v>213.52170000000001</v>
      </c>
      <c r="M3481">
        <v>0.99974890000000005</v>
      </c>
      <c r="N3481">
        <v>0</v>
      </c>
      <c r="O3481">
        <v>-1.7229950000000001E-2</v>
      </c>
      <c r="P3481">
        <v>0.99819789999999997</v>
      </c>
      <c r="Q3481">
        <v>5.7033600000000002E-3</v>
      </c>
      <c r="R3481">
        <v>-5.9736009999999999E-2</v>
      </c>
      <c r="S3481">
        <v>2.9838260000000001</v>
      </c>
      <c r="T3481">
        <v>-8.0074190000000003E-2</v>
      </c>
      <c r="U3481">
        <v>-0.36866759999999998</v>
      </c>
      <c r="V3481">
        <v>4.2515600000000001E-2</v>
      </c>
      <c r="W3481">
        <v>2.0046149999999999E-2</v>
      </c>
      <c r="X3481">
        <v>0.99889470000000002</v>
      </c>
      <c r="Y3481">
        <v>0.1054718</v>
      </c>
      <c r="Z3481">
        <v>-9.4915400000000001E-4</v>
      </c>
      <c r="AA3481">
        <v>0.99442180000000002</v>
      </c>
      <c r="AB3481">
        <v>31</v>
      </c>
      <c r="AC3481">
        <v>41.088099999999997</v>
      </c>
      <c r="AD3481">
        <v>-1.1104216410679999</v>
      </c>
      <c r="AE3481">
        <v>-5.1076999999999897</v>
      </c>
      <c r="AF3481">
        <v>4.3957613653009098</v>
      </c>
      <c r="AG3481">
        <v>-1.1104216410679999</v>
      </c>
      <c r="AH3481">
        <v>41.140423290677802</v>
      </c>
      <c r="AI3481">
        <v>91.537349281192306</v>
      </c>
      <c r="AJ3481">
        <v>83.901213860506999</v>
      </c>
      <c r="AK3481">
        <v>41.389493627462599</v>
      </c>
      <c r="AL3481">
        <v>88.851363297623493</v>
      </c>
      <c r="AM3481">
        <v>87.562811115285399</v>
      </c>
      <c r="AN3481">
        <v>1.0000000230306301</v>
      </c>
    </row>
    <row r="3482" spans="1:40" x14ac:dyDescent="0.25">
      <c r="A3482" t="str">
        <f>"20190312161035306"</f>
        <v>20190312161035306</v>
      </c>
      <c r="B3482" t="str">
        <f>"1552378235300386"</f>
        <v>1552378235300386</v>
      </c>
      <c r="C3482" t="s">
        <v>40</v>
      </c>
      <c r="D3482">
        <v>5.0565810000000004</v>
      </c>
      <c r="E3482">
        <v>0.52483369999999996</v>
      </c>
      <c r="F3482" t="s">
        <v>59</v>
      </c>
      <c r="G3482">
        <v>-189.22710000000001</v>
      </c>
      <c r="H3482" s="1">
        <v>4.61907E-6</v>
      </c>
      <c r="I3482">
        <v>208.65600000000001</v>
      </c>
      <c r="J3482">
        <v>-228.042</v>
      </c>
      <c r="K3482">
        <v>1.1104309999999999</v>
      </c>
      <c r="L3482">
        <v>213.5164</v>
      </c>
      <c r="M3482">
        <v>0.99975400000000003</v>
      </c>
      <c r="N3482">
        <v>0</v>
      </c>
      <c r="O3482">
        <v>-1.692954E-2</v>
      </c>
      <c r="P3482">
        <v>0.99823530000000005</v>
      </c>
      <c r="Q3482">
        <v>5.6550380000000003E-3</v>
      </c>
      <c r="R3482">
        <v>-5.9111070000000002E-2</v>
      </c>
      <c r="S3482">
        <v>2.9837039999999999</v>
      </c>
      <c r="T3482">
        <v>-8.4650870000000003E-2</v>
      </c>
      <c r="U3482">
        <v>-0.37092589999999998</v>
      </c>
      <c r="V3482">
        <v>4.2190499999999999E-2</v>
      </c>
      <c r="W3482">
        <v>1.999418E-2</v>
      </c>
      <c r="X3482">
        <v>0.99890950000000001</v>
      </c>
      <c r="Y3482">
        <v>0.1065125</v>
      </c>
      <c r="Z3482">
        <v>-1.0265649999999999E-3</v>
      </c>
      <c r="AA3482">
        <v>0.9943109</v>
      </c>
      <c r="AB3482">
        <v>31</v>
      </c>
      <c r="AC3482">
        <v>38.814900000000002</v>
      </c>
      <c r="AD3482">
        <v>-1.1104263809299999</v>
      </c>
      <c r="AE3482">
        <v>-4.8604000000000198</v>
      </c>
      <c r="AF3482">
        <v>4.1991337637189101</v>
      </c>
      <c r="AG3482">
        <v>-1.1104263809299999</v>
      </c>
      <c r="AH3482">
        <v>38.860315359844002</v>
      </c>
      <c r="AI3482">
        <v>91.627303233906602</v>
      </c>
      <c r="AJ3482">
        <v>83.832712569728599</v>
      </c>
      <c r="AK3482">
        <v>39.102300200622501</v>
      </c>
      <c r="AL3482">
        <v>88.854341526712801</v>
      </c>
      <c r="AM3482">
        <v>87.581460912143598</v>
      </c>
      <c r="AN3482">
        <v>0.99999999735718603</v>
      </c>
    </row>
    <row r="3483" spans="1:40" x14ac:dyDescent="0.25">
      <c r="A3483" t="str">
        <f>"20190312161035327"</f>
        <v>20190312161035327</v>
      </c>
      <c r="B3483" t="str">
        <f>"1552378235319907"</f>
        <v>1552378235319907</v>
      </c>
      <c r="C3483" t="s">
        <v>40</v>
      </c>
      <c r="D3483">
        <v>5.0791919999999999</v>
      </c>
      <c r="E3483">
        <v>0.52524130000000002</v>
      </c>
      <c r="F3483" t="s">
        <v>59</v>
      </c>
      <c r="G3483">
        <v>-189.92259999999999</v>
      </c>
      <c r="H3483" s="1">
        <v>4.7105820000000002E-6</v>
      </c>
      <c r="I3483">
        <v>208.74610000000001</v>
      </c>
      <c r="J3483">
        <v>-227.74100000000001</v>
      </c>
      <c r="K3483">
        <v>1.110425</v>
      </c>
      <c r="L3483">
        <v>213.51159999999999</v>
      </c>
      <c r="M3483">
        <v>0.99975879999999995</v>
      </c>
      <c r="N3483">
        <v>0</v>
      </c>
      <c r="O3483">
        <v>-1.6650470000000001E-2</v>
      </c>
      <c r="P3483">
        <v>0.99827759999999999</v>
      </c>
      <c r="Q3483">
        <v>6.2343099999999999E-3</v>
      </c>
      <c r="R3483">
        <v>-5.8332799999999997E-2</v>
      </c>
      <c r="S3483">
        <v>2.9837039999999999</v>
      </c>
      <c r="T3483">
        <v>-8.6915850000000003E-2</v>
      </c>
      <c r="U3483">
        <v>-0.37338260000000001</v>
      </c>
      <c r="V3483">
        <v>4.1690159999999997E-2</v>
      </c>
      <c r="W3483">
        <v>2.0570080000000001E-2</v>
      </c>
      <c r="X3483">
        <v>0.9989188</v>
      </c>
      <c r="Y3483">
        <v>0.1075936</v>
      </c>
      <c r="Z3483">
        <v>-1.0777429999999999E-3</v>
      </c>
      <c r="AA3483">
        <v>0.99419440000000003</v>
      </c>
      <c r="AB3483">
        <v>31</v>
      </c>
      <c r="AC3483">
        <v>37.818399999999997</v>
      </c>
      <c r="AD3483">
        <v>-1.110420289418</v>
      </c>
      <c r="AE3483">
        <v>-4.7654999999999701</v>
      </c>
      <c r="AF3483">
        <v>4.1315742636605899</v>
      </c>
      <c r="AG3483">
        <v>-1.110420289418</v>
      </c>
      <c r="AH3483">
        <v>37.860382092025702</v>
      </c>
      <c r="AI3483">
        <v>91.670057272238907</v>
      </c>
      <c r="AJ3483">
        <v>83.772150815975607</v>
      </c>
      <c r="AK3483">
        <v>38.101331620685798</v>
      </c>
      <c r="AL3483">
        <v>88.821338081268607</v>
      </c>
      <c r="AM3483">
        <v>87.610131300055002</v>
      </c>
      <c r="AN3483">
        <v>0.99999998331273499</v>
      </c>
    </row>
    <row r="3484" spans="1:40" x14ac:dyDescent="0.25">
      <c r="A3484" t="str">
        <f>"20190312161035352"</f>
        <v>20190312161035352</v>
      </c>
      <c r="B3484" t="str">
        <f>"1552378235340403"</f>
        <v>1552378235340403</v>
      </c>
      <c r="C3484" t="s">
        <v>40</v>
      </c>
      <c r="D3484">
        <v>5.1211080000000004</v>
      </c>
      <c r="E3484">
        <v>0.52567019999999998</v>
      </c>
      <c r="F3484" t="s">
        <v>59</v>
      </c>
      <c r="G3484">
        <v>-189.26089999999999</v>
      </c>
      <c r="H3484" s="1">
        <v>4.6146080000000001E-6</v>
      </c>
      <c r="I3484">
        <v>208.68559999999999</v>
      </c>
      <c r="J3484">
        <v>-227.4058</v>
      </c>
      <c r="K3484">
        <v>1.1104320000000001</v>
      </c>
      <c r="L3484">
        <v>213.50640000000001</v>
      </c>
      <c r="M3484">
        <v>0.99976399999999999</v>
      </c>
      <c r="N3484">
        <v>0</v>
      </c>
      <c r="O3484">
        <v>-1.6339699999999999E-2</v>
      </c>
      <c r="P3484">
        <v>0.99830039999999998</v>
      </c>
      <c r="Q3484">
        <v>6.5904350000000004E-3</v>
      </c>
      <c r="R3484">
        <v>-5.7904650000000002E-2</v>
      </c>
      <c r="S3484">
        <v>2.9838559999999998</v>
      </c>
      <c r="T3484">
        <v>-8.6105349999999997E-2</v>
      </c>
      <c r="U3484">
        <v>-0.37422179999999999</v>
      </c>
      <c r="V3484">
        <v>4.157197E-2</v>
      </c>
      <c r="W3484">
        <v>2.0922389999999999E-2</v>
      </c>
      <c r="X3484">
        <v>0.99891640000000004</v>
      </c>
      <c r="Y3484">
        <v>0.10817209999999999</v>
      </c>
      <c r="Z3484">
        <v>-1.0848629999999999E-3</v>
      </c>
      <c r="AA3484">
        <v>0.9941316</v>
      </c>
      <c r="AB3484">
        <v>31</v>
      </c>
      <c r="AC3484">
        <v>38.1449</v>
      </c>
      <c r="AD3484">
        <v>-1.1104273853919999</v>
      </c>
      <c r="AE3484">
        <v>-4.8208000000000197</v>
      </c>
      <c r="AF3484">
        <v>4.1933184706682303</v>
      </c>
      <c r="AG3484">
        <v>-1.1104273853919999</v>
      </c>
      <c r="AH3484">
        <v>38.186732944574203</v>
      </c>
      <c r="AI3484">
        <v>91.655680718567496</v>
      </c>
      <c r="AJ3484">
        <v>83.733408375342606</v>
      </c>
      <c r="AK3484">
        <v>38.4323241784166</v>
      </c>
      <c r="AL3484">
        <v>88.801147848882493</v>
      </c>
      <c r="AM3484">
        <v>87.616892944533902</v>
      </c>
      <c r="AN3484">
        <v>0.99999997464097601</v>
      </c>
    </row>
    <row r="3485" spans="1:40" x14ac:dyDescent="0.25">
      <c r="A3485" t="str">
        <f>"20190312161035374"</f>
        <v>20190312161035374</v>
      </c>
      <c r="B3485" t="str">
        <f>"1552378235369682"</f>
        <v>1552378235369682</v>
      </c>
      <c r="C3485" t="s">
        <v>40</v>
      </c>
      <c r="D3485">
        <v>5.140104</v>
      </c>
      <c r="E3485">
        <v>0.52613310000000002</v>
      </c>
      <c r="F3485" t="s">
        <v>59</v>
      </c>
      <c r="G3485">
        <v>-189.37700000000001</v>
      </c>
      <c r="H3485" s="1">
        <v>4.6263780000000001E-6</v>
      </c>
      <c r="I3485">
        <v>208.7105</v>
      </c>
      <c r="J3485">
        <v>-227.0976</v>
      </c>
      <c r="K3485">
        <v>1.1104309999999999</v>
      </c>
      <c r="L3485">
        <v>213.5017</v>
      </c>
      <c r="M3485">
        <v>0.99976860000000001</v>
      </c>
      <c r="N3485">
        <v>0</v>
      </c>
      <c r="O3485">
        <v>-1.6053600000000001E-2</v>
      </c>
      <c r="P3485">
        <v>0.99830719999999995</v>
      </c>
      <c r="Q3485">
        <v>6.7039919999999998E-3</v>
      </c>
      <c r="R3485">
        <v>-5.7775050000000001E-2</v>
      </c>
      <c r="S3485">
        <v>2.9838559999999998</v>
      </c>
      <c r="T3485">
        <v>-8.7127570000000001E-2</v>
      </c>
      <c r="U3485">
        <v>-0.37629699999999999</v>
      </c>
      <c r="V3485">
        <v>4.1728139999999997E-2</v>
      </c>
      <c r="W3485">
        <v>2.1032039999999998E-2</v>
      </c>
      <c r="X3485">
        <v>0.99890760000000001</v>
      </c>
      <c r="Y3485">
        <v>0.1091357</v>
      </c>
      <c r="Z3485">
        <v>-1.1200159999999999E-3</v>
      </c>
      <c r="AA3485">
        <v>0.99402619999999997</v>
      </c>
      <c r="AB3485">
        <v>31</v>
      </c>
      <c r="AC3485">
        <v>37.720599999999898</v>
      </c>
      <c r="AD3485">
        <v>-1.1104263736219999</v>
      </c>
      <c r="AE3485">
        <v>-4.7911999999999999</v>
      </c>
      <c r="AF3485">
        <v>4.1814028326149302</v>
      </c>
      <c r="AG3485">
        <v>-1.1104263736219999</v>
      </c>
      <c r="AH3485">
        <v>37.760458020380597</v>
      </c>
      <c r="AI3485">
        <v>91.674191000781306</v>
      </c>
      <c r="AJ3485">
        <v>83.681098139296594</v>
      </c>
      <c r="AK3485">
        <v>38.007490923352997</v>
      </c>
      <c r="AL3485">
        <v>88.794864000890698</v>
      </c>
      <c r="AM3485">
        <v>87.607929853324904</v>
      </c>
      <c r="AN3485">
        <v>0.99999998885608998</v>
      </c>
    </row>
    <row r="3486" spans="1:40" x14ac:dyDescent="0.25">
      <c r="A3486" t="str">
        <f>"20190312161035396"</f>
        <v>20190312161035396</v>
      </c>
      <c r="B3486" t="str">
        <f>"1552378235390178"</f>
        <v>1552378235390178</v>
      </c>
      <c r="C3486" t="s">
        <v>40</v>
      </c>
      <c r="D3486">
        <v>5.1522730000000001</v>
      </c>
      <c r="E3486">
        <v>0.53936419999999996</v>
      </c>
      <c r="F3486" t="s">
        <v>59</v>
      </c>
      <c r="G3486">
        <v>-190.10409999999999</v>
      </c>
      <c r="H3486" s="1">
        <v>4.6665159999999997E-6</v>
      </c>
      <c r="I3486">
        <v>208.79660000000001</v>
      </c>
      <c r="J3486">
        <v>-226.8109</v>
      </c>
      <c r="K3486">
        <v>1.1104240000000001</v>
      </c>
      <c r="L3486">
        <v>213.4973</v>
      </c>
      <c r="M3486">
        <v>0.99977289999999996</v>
      </c>
      <c r="N3486">
        <v>0</v>
      </c>
      <c r="O3486">
        <v>-1.578705E-2</v>
      </c>
      <c r="P3486">
        <v>0.99832330000000002</v>
      </c>
      <c r="Q3486">
        <v>6.4051129999999996E-3</v>
      </c>
      <c r="R3486">
        <v>-5.7530789999999998E-2</v>
      </c>
      <c r="S3486">
        <v>2.9837340000000001</v>
      </c>
      <c r="T3486">
        <v>-8.9562180000000005E-2</v>
      </c>
      <c r="U3486">
        <v>-0.37948609999999999</v>
      </c>
      <c r="V3486">
        <v>4.1750240000000001E-2</v>
      </c>
      <c r="W3486">
        <v>2.0730269999999999E-2</v>
      </c>
      <c r="X3486">
        <v>0.99891300000000005</v>
      </c>
      <c r="Y3486">
        <v>0.1104484</v>
      </c>
      <c r="Z3486">
        <v>-1.1788510000000001E-3</v>
      </c>
      <c r="AA3486">
        <v>0.99388120000000002</v>
      </c>
      <c r="AB3486">
        <v>31</v>
      </c>
      <c r="AC3486">
        <v>36.706800000000001</v>
      </c>
      <c r="AD3486">
        <v>-1.110419333484</v>
      </c>
      <c r="AE3486">
        <v>-4.7006999999999799</v>
      </c>
      <c r="AF3486">
        <v>4.1168559382218</v>
      </c>
      <c r="AG3486">
        <v>-1.110419333484</v>
      </c>
      <c r="AH3486">
        <v>36.743360056558998</v>
      </c>
      <c r="AI3486">
        <v>91.720248588487493</v>
      </c>
      <c r="AJ3486">
        <v>83.607041243075003</v>
      </c>
      <c r="AK3486">
        <v>36.989945149434703</v>
      </c>
      <c r="AL3486">
        <v>88.812157937325793</v>
      </c>
      <c r="AM3486">
        <v>87.606677364253699</v>
      </c>
      <c r="AN3486">
        <v>1.0000000041016599</v>
      </c>
    </row>
    <row r="3487" spans="1:40" x14ac:dyDescent="0.25">
      <c r="A3487" t="str">
        <f>"20190312161035420"</f>
        <v>20190312161035420</v>
      </c>
      <c r="B3487" t="str">
        <f>"1552378235409699"</f>
        <v>1552378235409699</v>
      </c>
      <c r="C3487" t="s">
        <v>40</v>
      </c>
      <c r="D3487">
        <v>5.2166319999999997</v>
      </c>
      <c r="E3487">
        <v>0.53830519999999904</v>
      </c>
      <c r="F3487" t="s">
        <v>59</v>
      </c>
      <c r="G3487">
        <v>-206.04730000000001</v>
      </c>
      <c r="H3487" s="1">
        <v>5.2909529999999996E-6</v>
      </c>
      <c r="I3487">
        <v>210.12970000000001</v>
      </c>
      <c r="J3487">
        <v>-226.4684</v>
      </c>
      <c r="K3487">
        <v>1.1104210000000001</v>
      </c>
      <c r="L3487">
        <v>213.4923</v>
      </c>
      <c r="M3487">
        <v>0.99977800000000006</v>
      </c>
      <c r="N3487">
        <v>0</v>
      </c>
      <c r="O3487">
        <v>-1.5469E-2</v>
      </c>
      <c r="P3487">
        <v>0.99829939999999995</v>
      </c>
      <c r="Q3487">
        <v>5.8825099999999996E-3</v>
      </c>
      <c r="R3487">
        <v>-5.7998130000000002E-2</v>
      </c>
      <c r="S3487">
        <v>2.9782410000000001</v>
      </c>
      <c r="T3487">
        <v>-0.1592741</v>
      </c>
      <c r="U3487">
        <v>-0.48304750000000002</v>
      </c>
      <c r="V3487">
        <v>4.2536169999999998E-2</v>
      </c>
      <c r="W3487">
        <v>2.0203949999999998E-2</v>
      </c>
      <c r="X3487">
        <v>0.99889059999999996</v>
      </c>
      <c r="Y3487">
        <v>0.14463010000000001</v>
      </c>
      <c r="Z3487">
        <v>-3.0184320000000001E-3</v>
      </c>
      <c r="AA3487">
        <v>0.98948119999999995</v>
      </c>
      <c r="AB3487">
        <v>31</v>
      </c>
      <c r="AC3487">
        <v>20.421099999999999</v>
      </c>
      <c r="AD3487">
        <v>-1.1104157090469999</v>
      </c>
      <c r="AE3487">
        <v>-3.36259999999998</v>
      </c>
      <c r="AF3487">
        <v>3.0375271615483901</v>
      </c>
      <c r="AG3487">
        <v>-1.1104157090469999</v>
      </c>
      <c r="AH3487">
        <v>20.411917948917001</v>
      </c>
      <c r="AI3487">
        <v>93.0799919628884</v>
      </c>
      <c r="AJ3487">
        <v>81.535846215349594</v>
      </c>
      <c r="AK3487">
        <v>20.666542735962398</v>
      </c>
      <c r="AL3487">
        <v>88.842320140253804</v>
      </c>
      <c r="AM3487">
        <v>87.561623375262798</v>
      </c>
      <c r="AN3487">
        <v>0.99999997806111496</v>
      </c>
    </row>
    <row r="3488" spans="1:40" x14ac:dyDescent="0.25">
      <c r="A3488" t="str">
        <f>"20190312161035443"</f>
        <v>20190312161035443</v>
      </c>
      <c r="B3488" t="str">
        <f>"1552378235439955"</f>
        <v>1552378235439955</v>
      </c>
      <c r="C3488" t="s">
        <v>40</v>
      </c>
      <c r="D3488">
        <v>5.151497</v>
      </c>
      <c r="E3488">
        <v>0.5379062</v>
      </c>
      <c r="F3488" t="s">
        <v>59</v>
      </c>
      <c r="G3488">
        <v>-202.9376</v>
      </c>
      <c r="H3488" s="1">
        <v>3.9466490000000003E-6</v>
      </c>
      <c r="I3488">
        <v>209.73240000000001</v>
      </c>
      <c r="J3488">
        <v>-226.1499</v>
      </c>
      <c r="K3488">
        <v>1.110422</v>
      </c>
      <c r="L3488">
        <v>213.48769999999999</v>
      </c>
      <c r="M3488">
        <v>0.99978239999999996</v>
      </c>
      <c r="N3488">
        <v>0</v>
      </c>
      <c r="O3488">
        <v>-1.517289E-2</v>
      </c>
      <c r="P3488">
        <v>0.99827580000000005</v>
      </c>
      <c r="Q3488">
        <v>5.6438240000000004E-3</v>
      </c>
      <c r="R3488">
        <v>-5.8425619999999998E-2</v>
      </c>
      <c r="S3488">
        <v>2.9782869999999999</v>
      </c>
      <c r="T3488">
        <v>-0.14054520000000001</v>
      </c>
      <c r="U3488">
        <v>-0.47589110000000001</v>
      </c>
      <c r="V3488">
        <v>4.3260029999999998E-2</v>
      </c>
      <c r="W3488">
        <v>1.9961759999999999E-2</v>
      </c>
      <c r="X3488">
        <v>0.99886439999999999</v>
      </c>
      <c r="Y3488">
        <v>0.14264460000000001</v>
      </c>
      <c r="Z3488">
        <v>-2.631712E-3</v>
      </c>
      <c r="AA3488">
        <v>0.9897705</v>
      </c>
      <c r="AB3488">
        <v>31</v>
      </c>
      <c r="AC3488">
        <v>23.212299999999999</v>
      </c>
      <c r="AD3488">
        <v>-1.110418053351</v>
      </c>
      <c r="AE3488">
        <v>-3.7552999999999699</v>
      </c>
      <c r="AF3488">
        <v>3.3950626654196498</v>
      </c>
      <c r="AG3488">
        <v>-1.110418053351</v>
      </c>
      <c r="AH3488">
        <v>23.214841526146699</v>
      </c>
      <c r="AI3488">
        <v>92.709718332683494</v>
      </c>
      <c r="AJ3488">
        <v>81.679741075238596</v>
      </c>
      <c r="AK3488">
        <v>23.4880468715353</v>
      </c>
      <c r="AL3488">
        <v>88.856199424933095</v>
      </c>
      <c r="AM3488">
        <v>87.520114663889004</v>
      </c>
      <c r="AN3488">
        <v>0.999999995822629</v>
      </c>
    </row>
    <row r="3489" spans="1:40" x14ac:dyDescent="0.25">
      <c r="A3489" t="str">
        <f>"20190312161035464"</f>
        <v>20190312161035464</v>
      </c>
      <c r="B3489" t="str">
        <f>"1552378235459475"</f>
        <v>1552378235459475</v>
      </c>
      <c r="C3489" t="s">
        <v>40</v>
      </c>
      <c r="D3489">
        <v>5.2363429999999997</v>
      </c>
      <c r="E3489">
        <v>0.53843949999999996</v>
      </c>
      <c r="F3489" t="s">
        <v>59</v>
      </c>
      <c r="G3489">
        <v>-201.4161</v>
      </c>
      <c r="H3489" s="1">
        <v>3.2938519999999999E-6</v>
      </c>
      <c r="I3489">
        <v>209.5496</v>
      </c>
      <c r="J3489">
        <v>-225.87260000000001</v>
      </c>
      <c r="K3489">
        <v>1.110422</v>
      </c>
      <c r="L3489">
        <v>213.4837</v>
      </c>
      <c r="M3489">
        <v>0.99978650000000002</v>
      </c>
      <c r="N3489">
        <v>0</v>
      </c>
      <c r="O3489">
        <v>-1.4915629999999999E-2</v>
      </c>
      <c r="P3489">
        <v>0.99824669999999904</v>
      </c>
      <c r="Q3489">
        <v>5.7901999999999997E-3</v>
      </c>
      <c r="R3489">
        <v>-5.8906849999999997E-2</v>
      </c>
      <c r="S3489">
        <v>2.97818</v>
      </c>
      <c r="T3489">
        <v>-0.13370470000000001</v>
      </c>
      <c r="U3489">
        <v>-0.4741821</v>
      </c>
      <c r="V3489">
        <v>4.3998740000000001E-2</v>
      </c>
      <c r="W3489">
        <v>2.010574E-2</v>
      </c>
      <c r="X3489">
        <v>0.99882919999999997</v>
      </c>
      <c r="Y3489">
        <v>0.14236399999999999</v>
      </c>
      <c r="Z3489">
        <v>-2.5091610000000002E-3</v>
      </c>
      <c r="AA3489">
        <v>0.9898112</v>
      </c>
      <c r="AB3489">
        <v>31</v>
      </c>
      <c r="AC3489">
        <v>24.456499999999998</v>
      </c>
      <c r="AD3489">
        <v>-1.110418706148</v>
      </c>
      <c r="AE3489">
        <v>-3.9340999999999999</v>
      </c>
      <c r="AF3489">
        <v>3.5616836237292802</v>
      </c>
      <c r="AG3489">
        <v>-1.110418706148</v>
      </c>
      <c r="AH3489">
        <v>24.4633051508658</v>
      </c>
      <c r="AI3489">
        <v>92.571861753263093</v>
      </c>
      <c r="AJ3489">
        <v>81.7163442432322</v>
      </c>
      <c r="AK3489">
        <v>24.746149576103399</v>
      </c>
      <c r="AL3489">
        <v>88.847948270188098</v>
      </c>
      <c r="AM3489">
        <v>87.477733499418605</v>
      </c>
      <c r="AN3489">
        <v>0.99999995033758604</v>
      </c>
    </row>
    <row r="3490" spans="1:40" x14ac:dyDescent="0.25">
      <c r="A3490" t="str">
        <f>"20190312161035483"</f>
        <v>20190312161035483</v>
      </c>
      <c r="B3490" t="str">
        <f>"1552378235479971"</f>
        <v>1552378235479971</v>
      </c>
      <c r="C3490" t="s">
        <v>40</v>
      </c>
      <c r="D3490">
        <v>5.2907900000000003</v>
      </c>
      <c r="E3490">
        <v>0.53936229999999996</v>
      </c>
      <c r="F3490" t="s">
        <v>59</v>
      </c>
      <c r="G3490">
        <v>-201.63120000000001</v>
      </c>
      <c r="H3490" s="1">
        <v>3.384532E-6</v>
      </c>
      <c r="I3490">
        <v>209.5761</v>
      </c>
      <c r="J3490">
        <v>-225.6045</v>
      </c>
      <c r="K3490">
        <v>1.1104339999999999</v>
      </c>
      <c r="L3490">
        <v>213.48</v>
      </c>
      <c r="M3490">
        <v>0.99979010000000001</v>
      </c>
      <c r="N3490">
        <v>0</v>
      </c>
      <c r="O3490">
        <v>-1.466661E-2</v>
      </c>
      <c r="P3490">
        <v>0.99826550000000003</v>
      </c>
      <c r="Q3490">
        <v>6.2346349999999997E-3</v>
      </c>
      <c r="R3490">
        <v>-5.8540729999999999E-2</v>
      </c>
      <c r="S3490">
        <v>2.9777369999999999</v>
      </c>
      <c r="T3490">
        <v>-0.13639999999999999</v>
      </c>
      <c r="U3490">
        <v>-0.47999570000000003</v>
      </c>
      <c r="V3490">
        <v>4.3880679999999998E-2</v>
      </c>
      <c r="W3490">
        <v>2.0546729999999999E-2</v>
      </c>
      <c r="X3490">
        <v>0.99882550000000003</v>
      </c>
      <c r="Y3490">
        <v>0.14450959999999999</v>
      </c>
      <c r="Z3490">
        <v>-2.6197999999999998E-3</v>
      </c>
      <c r="AA3490">
        <v>0.98949989999999999</v>
      </c>
      <c r="AB3490">
        <v>31</v>
      </c>
      <c r="AC3490">
        <v>23.973299999999899</v>
      </c>
      <c r="AD3490">
        <v>-1.1104306154679999</v>
      </c>
      <c r="AE3490">
        <v>-3.9038999999999899</v>
      </c>
      <c r="AF3490">
        <v>3.5444288830988899</v>
      </c>
      <c r="AG3490">
        <v>-1.1104306154679999</v>
      </c>
      <c r="AH3490">
        <v>23.977868331372498</v>
      </c>
      <c r="AI3490">
        <v>92.623047420168803</v>
      </c>
      <c r="AJ3490">
        <v>81.591381894288403</v>
      </c>
      <c r="AK3490">
        <v>24.263845572698301</v>
      </c>
      <c r="AL3490">
        <v>88.822676276493496</v>
      </c>
      <c r="AM3490">
        <v>87.484483381197407</v>
      </c>
      <c r="AN3490">
        <v>1.0000000308206001</v>
      </c>
    </row>
    <row r="3491" spans="1:40" x14ac:dyDescent="0.25">
      <c r="A3491" t="str">
        <f>"20190312161035506"</f>
        <v>20190312161035506</v>
      </c>
      <c r="B3491" t="str">
        <f>"1552378235499491"</f>
        <v>1552378235499491</v>
      </c>
      <c r="C3491" t="s">
        <v>40</v>
      </c>
      <c r="D3491">
        <v>5.2609940000000002</v>
      </c>
      <c r="E3491">
        <v>0.53962710000000003</v>
      </c>
      <c r="F3491" t="s">
        <v>59</v>
      </c>
      <c r="G3491">
        <v>-203.39009999999999</v>
      </c>
      <c r="H3491" s="1">
        <v>4.1367779999999997E-6</v>
      </c>
      <c r="I3491">
        <v>209.85290000000001</v>
      </c>
      <c r="J3491">
        <v>-225.303</v>
      </c>
      <c r="K3491">
        <v>1.1104339999999999</v>
      </c>
      <c r="L3491">
        <v>213.4759</v>
      </c>
      <c r="M3491">
        <v>0.99979419999999997</v>
      </c>
      <c r="N3491">
        <v>0</v>
      </c>
      <c r="O3491">
        <v>-1.438647E-2</v>
      </c>
      <c r="P3491">
        <v>0.99826119999999996</v>
      </c>
      <c r="Q3491">
        <v>6.3934069999999898E-3</v>
      </c>
      <c r="R3491">
        <v>-5.8595330000000001E-2</v>
      </c>
      <c r="S3491">
        <v>2.977646</v>
      </c>
      <c r="T3491">
        <v>-0.14884339999999999</v>
      </c>
      <c r="U3491">
        <v>-0.48617549999999998</v>
      </c>
      <c r="V3491">
        <v>4.4215480000000001E-2</v>
      </c>
      <c r="W3491">
        <v>2.0702140000000001E-2</v>
      </c>
      <c r="X3491">
        <v>0.99880749999999996</v>
      </c>
      <c r="Y3491">
        <v>0.1467639</v>
      </c>
      <c r="Z3491">
        <v>-2.927968E-3</v>
      </c>
      <c r="AA3491">
        <v>0.98916720000000002</v>
      </c>
      <c r="AB3491">
        <v>31</v>
      </c>
      <c r="AC3491">
        <v>21.9129</v>
      </c>
      <c r="AD3491">
        <v>-1.110429863222</v>
      </c>
      <c r="AE3491">
        <v>-3.62299999999999</v>
      </c>
      <c r="AF3491">
        <v>3.29909703239165</v>
      </c>
      <c r="AG3491">
        <v>-1.110429863222</v>
      </c>
      <c r="AH3491">
        <v>21.9079981037967</v>
      </c>
      <c r="AI3491">
        <v>92.869317225584396</v>
      </c>
      <c r="AJ3491">
        <v>81.436249242101198</v>
      </c>
      <c r="AK3491">
        <v>22.182819402101</v>
      </c>
      <c r="AL3491">
        <v>88.813770014221703</v>
      </c>
      <c r="AM3491">
        <v>87.465269856412206</v>
      </c>
      <c r="AN3491">
        <v>1.0000000046642299</v>
      </c>
    </row>
    <row r="3492" spans="1:40" x14ac:dyDescent="0.25">
      <c r="A3492" t="str">
        <f>"20190312161035528"</f>
        <v>20190312161035528</v>
      </c>
      <c r="B3492" t="str">
        <f>"1552378235519987"</f>
        <v>1552378235519987</v>
      </c>
      <c r="C3492" t="s">
        <v>40</v>
      </c>
      <c r="D3492">
        <v>5.2524069999999998</v>
      </c>
      <c r="E3492">
        <v>0.53977209999999998</v>
      </c>
      <c r="F3492" t="s">
        <v>59</v>
      </c>
      <c r="G3492">
        <v>-203.24709999999999</v>
      </c>
      <c r="H3492" s="1">
        <v>4.0726569999999999E-6</v>
      </c>
      <c r="I3492">
        <v>209.86109999999999</v>
      </c>
      <c r="J3492">
        <v>-224.98759999999999</v>
      </c>
      <c r="K3492">
        <v>1.1104350000000001</v>
      </c>
      <c r="L3492">
        <v>213.4717</v>
      </c>
      <c r="M3492">
        <v>0.99979850000000003</v>
      </c>
      <c r="N3492">
        <v>0</v>
      </c>
      <c r="O3492">
        <v>-1.409381E-2</v>
      </c>
      <c r="P3492">
        <v>0.99823980000000001</v>
      </c>
      <c r="Q3492">
        <v>5.913354E-3</v>
      </c>
      <c r="R3492">
        <v>-5.9009659999999999E-2</v>
      </c>
      <c r="S3492">
        <v>2.977554</v>
      </c>
      <c r="T3492">
        <v>-0.14990870000000001</v>
      </c>
      <c r="U3492">
        <v>-0.48799130000000002</v>
      </c>
      <c r="V3492">
        <v>4.4922749999999997E-2</v>
      </c>
      <c r="W3492">
        <v>2.02192E-2</v>
      </c>
      <c r="X3492">
        <v>0.9987859</v>
      </c>
      <c r="Y3492">
        <v>0.14764189999999999</v>
      </c>
      <c r="Z3492">
        <v>-2.9854069999999998E-3</v>
      </c>
      <c r="AA3492">
        <v>0.98903640000000004</v>
      </c>
      <c r="AB3492">
        <v>30</v>
      </c>
      <c r="AC3492">
        <v>21.740500000000001</v>
      </c>
      <c r="AD3492">
        <v>-1.110430927343</v>
      </c>
      <c r="AE3492">
        <v>-3.6105999999999998</v>
      </c>
      <c r="AF3492">
        <v>3.2954370872942298</v>
      </c>
      <c r="AG3492">
        <v>-1.110430927343</v>
      </c>
      <c r="AH3492">
        <v>21.7340542253927</v>
      </c>
      <c r="AI3492">
        <v>92.891802902427699</v>
      </c>
      <c r="AJ3492">
        <v>81.378170661845104</v>
      </c>
      <c r="AK3492">
        <v>22.010499210899901</v>
      </c>
      <c r="AL3492">
        <v>88.841446309663596</v>
      </c>
      <c r="AM3492">
        <v>87.424722897038905</v>
      </c>
      <c r="AN3492">
        <v>1.0000000717774999</v>
      </c>
    </row>
    <row r="3493" spans="1:40" x14ac:dyDescent="0.25">
      <c r="A3493" t="str">
        <f>"20190312161035553"</f>
        <v>20190312161035553</v>
      </c>
      <c r="B3493" t="str">
        <f>"1552378235539508"</f>
        <v>1552378235539508</v>
      </c>
      <c r="C3493" t="s">
        <v>40</v>
      </c>
      <c r="D3493">
        <v>5.296036</v>
      </c>
      <c r="E3493">
        <v>0.54020679999999999</v>
      </c>
      <c r="F3493" t="s">
        <v>59</v>
      </c>
      <c r="G3493">
        <v>-203.13380000000001</v>
      </c>
      <c r="H3493" s="1">
        <v>4.021304E-6</v>
      </c>
      <c r="I3493">
        <v>209.87370000000001</v>
      </c>
      <c r="J3493">
        <v>-224.6694</v>
      </c>
      <c r="K3493">
        <v>1.1104369999999999</v>
      </c>
      <c r="L3493">
        <v>213.4675</v>
      </c>
      <c r="M3493">
        <v>0.99980259999999999</v>
      </c>
      <c r="N3493">
        <v>0</v>
      </c>
      <c r="O3493">
        <v>-1.37977E-2</v>
      </c>
      <c r="P3493">
        <v>0.99822560000000005</v>
      </c>
      <c r="Q3493">
        <v>6.6411550000000001E-3</v>
      </c>
      <c r="R3493">
        <v>-5.9175249999999999E-2</v>
      </c>
      <c r="S3493">
        <v>2.9772029999999998</v>
      </c>
      <c r="T3493">
        <v>-0.15127669999999999</v>
      </c>
      <c r="U3493">
        <v>-0.49015809999999999</v>
      </c>
      <c r="V3493">
        <v>4.538379E-2</v>
      </c>
      <c r="W3493">
        <v>2.0942889999999999E-2</v>
      </c>
      <c r="X3493">
        <v>0.99875009999999997</v>
      </c>
      <c r="Y3493">
        <v>0.14864959999999999</v>
      </c>
      <c r="Z3493">
        <v>-3.0531339999999999E-3</v>
      </c>
      <c r="AA3493">
        <v>0.98888520000000002</v>
      </c>
      <c r="AB3493">
        <v>30</v>
      </c>
      <c r="AC3493">
        <v>21.535599999999899</v>
      </c>
      <c r="AD3493">
        <v>-1.1104329786959899</v>
      </c>
      <c r="AE3493">
        <v>-3.5937999999999799</v>
      </c>
      <c r="AF3493">
        <v>3.2877812862996501</v>
      </c>
      <c r="AG3493">
        <v>-1.1104329786959899</v>
      </c>
      <c r="AH3493">
        <v>21.527456257197102</v>
      </c>
      <c r="AI3493">
        <v>92.919036426942796</v>
      </c>
      <c r="AJ3493">
        <v>81.316599036877406</v>
      </c>
      <c r="AK3493">
        <v>21.8053649382957</v>
      </c>
      <c r="AL3493">
        <v>88.799973091569001</v>
      </c>
      <c r="AM3493">
        <v>87.398235955938205</v>
      </c>
      <c r="AN3493">
        <v>1.00000002764316</v>
      </c>
    </row>
    <row r="3494" spans="1:40" x14ac:dyDescent="0.25">
      <c r="A3494" t="str">
        <f>"20190312161035573"</f>
        <v>20190312161035573</v>
      </c>
      <c r="B3494" t="str">
        <f>"1552378235569763"</f>
        <v>1552378235569763</v>
      </c>
      <c r="C3494" t="s">
        <v>40</v>
      </c>
      <c r="D3494">
        <v>5.2805070000000001</v>
      </c>
      <c r="E3494">
        <v>0.5417554</v>
      </c>
      <c r="F3494" t="s">
        <v>59</v>
      </c>
      <c r="G3494">
        <v>-202.97669999999999</v>
      </c>
      <c r="H3494" s="1">
        <v>3.9521429999999999E-6</v>
      </c>
      <c r="I3494">
        <v>209.8681</v>
      </c>
      <c r="J3494">
        <v>-224.3862</v>
      </c>
      <c r="K3494">
        <v>1.11043799999999</v>
      </c>
      <c r="L3494">
        <v>213.46379999999999</v>
      </c>
      <c r="M3494">
        <v>0.99980639999999998</v>
      </c>
      <c r="N3494">
        <v>0</v>
      </c>
      <c r="O3494">
        <v>-1.353448E-2</v>
      </c>
      <c r="P3494">
        <v>0.99817809999999996</v>
      </c>
      <c r="Q3494">
        <v>6.8068750000000004E-3</v>
      </c>
      <c r="R3494">
        <v>-5.9951629999999999E-2</v>
      </c>
      <c r="S3494">
        <v>2.9770660000000002</v>
      </c>
      <c r="T3494">
        <v>-0.1523939</v>
      </c>
      <c r="U3494">
        <v>-0.49397279999999999</v>
      </c>
      <c r="V3494">
        <v>4.6423949999999999E-2</v>
      </c>
      <c r="W3494">
        <v>2.1105459999999999E-2</v>
      </c>
      <c r="X3494">
        <v>0.9986988</v>
      </c>
      <c r="Y3494">
        <v>0.1501458</v>
      </c>
      <c r="Z3494">
        <v>-3.1268509999999999E-3</v>
      </c>
      <c r="AA3494">
        <v>0.98865890000000001</v>
      </c>
      <c r="AB3494">
        <v>30</v>
      </c>
      <c r="AC3494">
        <v>21.409500000000001</v>
      </c>
      <c r="AD3494">
        <v>-1.1104340478569901</v>
      </c>
      <c r="AE3494">
        <v>-3.5956999999999901</v>
      </c>
      <c r="AF3494">
        <v>3.2969486805506798</v>
      </c>
      <c r="AG3494">
        <v>-1.1104340478569901</v>
      </c>
      <c r="AH3494">
        <v>21.4002195136053</v>
      </c>
      <c r="AI3494">
        <v>92.935777312681196</v>
      </c>
      <c r="AJ3494">
        <v>81.241788221293902</v>
      </c>
      <c r="AK3494">
        <v>21.681151482504799</v>
      </c>
      <c r="AL3494">
        <v>88.790656373849302</v>
      </c>
      <c r="AM3494">
        <v>87.338553880114603</v>
      </c>
      <c r="AN3494">
        <v>0.99999995834842603</v>
      </c>
    </row>
    <row r="3495" spans="1:40" x14ac:dyDescent="0.25">
      <c r="A3495" t="str">
        <f>"20190312161035596"</f>
        <v>20190312161035596</v>
      </c>
      <c r="B3495" t="str">
        <f>"1552378235590259"</f>
        <v>1552378235590259</v>
      </c>
      <c r="C3495" t="s">
        <v>40</v>
      </c>
      <c r="D3495">
        <v>5.4187909999999997</v>
      </c>
      <c r="E3495">
        <v>0.55142690000000005</v>
      </c>
      <c r="F3495" t="s">
        <v>42</v>
      </c>
      <c r="G3495">
        <v>-223.54310000000001</v>
      </c>
      <c r="H3495">
        <v>0.98323550000000004</v>
      </c>
      <c r="I3495">
        <v>213.32140000000001</v>
      </c>
      <c r="J3495">
        <v>-224.08430000000001</v>
      </c>
      <c r="K3495">
        <v>1.1104339999999999</v>
      </c>
      <c r="L3495">
        <v>213.46010000000001</v>
      </c>
      <c r="M3495">
        <v>0.99981010000000003</v>
      </c>
      <c r="N3495">
        <v>0</v>
      </c>
      <c r="O3495">
        <v>-1.325399E-2</v>
      </c>
      <c r="P3495">
        <v>0.99813050000000003</v>
      </c>
      <c r="Q3495">
        <v>6.4662269999999997E-3</v>
      </c>
      <c r="R3495">
        <v>-6.0775559999999999E-2</v>
      </c>
      <c r="S3495">
        <v>2.978348</v>
      </c>
      <c r="T3495">
        <v>-0.44943739999999999</v>
      </c>
      <c r="U3495">
        <v>-0.50296019999999997</v>
      </c>
      <c r="V3495">
        <v>4.7529000000000002E-2</v>
      </c>
      <c r="W3495">
        <v>2.076126E-2</v>
      </c>
      <c r="X3495">
        <v>0.99865409999999999</v>
      </c>
      <c r="Y3495">
        <v>0.15190409999999999</v>
      </c>
      <c r="Z3495">
        <v>-9.3433260000000008E-3</v>
      </c>
      <c r="AA3495">
        <v>0.98835099999999998</v>
      </c>
      <c r="AB3495">
        <v>30</v>
      </c>
      <c r="AC3495">
        <v>0.54120000000000301</v>
      </c>
      <c r="AD3495">
        <v>-0.12719849999999999</v>
      </c>
      <c r="AE3495">
        <v>-0.13869999999999999</v>
      </c>
      <c r="AF3495">
        <v>0.125032965580784</v>
      </c>
      <c r="AG3495">
        <v>-0.12719849999999999</v>
      </c>
      <c r="AH3495">
        <v>0.51623218249538705</v>
      </c>
      <c r="AI3495">
        <v>103.46722851244201</v>
      </c>
      <c r="AJ3495">
        <v>76.384980235234394</v>
      </c>
      <c r="AK3495">
        <v>0.54617613196488701</v>
      </c>
      <c r="AL3495">
        <v>88.8103819821076</v>
      </c>
      <c r="AM3495">
        <v>87.275174877709901</v>
      </c>
      <c r="AN3495">
        <v>1.0000000236022899</v>
      </c>
    </row>
    <row r="3496" spans="1:40" x14ac:dyDescent="0.25">
      <c r="A3496" t="str">
        <f>"20190312161035622"</f>
        <v>20190312161035622</v>
      </c>
      <c r="B3496" t="str">
        <f>"1552378235609780"</f>
        <v>1552378235609780</v>
      </c>
      <c r="C3496" t="s">
        <v>40</v>
      </c>
      <c r="D3496">
        <v>5.3958430000000002</v>
      </c>
      <c r="E3496">
        <v>0.53528580000000003</v>
      </c>
      <c r="F3496" t="s">
        <v>42</v>
      </c>
      <c r="G3496">
        <v>-223.30189999999999</v>
      </c>
      <c r="H3496">
        <v>0.92006460000000001</v>
      </c>
      <c r="I3496">
        <v>213.3083</v>
      </c>
      <c r="J3496">
        <v>-223.7276</v>
      </c>
      <c r="K3496">
        <v>1.110436</v>
      </c>
      <c r="L3496">
        <v>213.45570000000001</v>
      </c>
      <c r="M3496">
        <v>0.9998146</v>
      </c>
      <c r="N3496">
        <v>0</v>
      </c>
      <c r="O3496">
        <v>-1.292223E-2</v>
      </c>
      <c r="P3496">
        <v>0.99812509999999999</v>
      </c>
      <c r="Q3496">
        <v>5.8436540000000002E-3</v>
      </c>
      <c r="R3496">
        <v>-6.092881E-2</v>
      </c>
      <c r="S3496">
        <v>2.9752040000000002</v>
      </c>
      <c r="T3496">
        <v>-0.72394530000000001</v>
      </c>
      <c r="U3496">
        <v>-0.57644649999999997</v>
      </c>
      <c r="V3496">
        <v>4.8013889999999997E-2</v>
      </c>
      <c r="W3496">
        <v>2.0134820000000001E-2</v>
      </c>
      <c r="X3496">
        <v>0.99864370000000002</v>
      </c>
      <c r="Y3496">
        <v>0.173008</v>
      </c>
      <c r="Z3496">
        <v>-1.749177E-2</v>
      </c>
      <c r="AA3496">
        <v>0.98476509999999995</v>
      </c>
      <c r="AB3496">
        <v>30</v>
      </c>
      <c r="AC3496">
        <v>0.42570000000000602</v>
      </c>
      <c r="AD3496">
        <v>-0.1903714</v>
      </c>
      <c r="AE3496">
        <v>-0.147400000000004</v>
      </c>
      <c r="AF3496">
        <v>0.120387889829898</v>
      </c>
      <c r="AG3496">
        <v>-0.1903714</v>
      </c>
      <c r="AH3496">
        <v>0.36278509429226702</v>
      </c>
      <c r="AI3496">
        <v>116.47530178736</v>
      </c>
      <c r="AJ3496">
        <v>71.641908481724101</v>
      </c>
      <c r="AK3496">
        <v>0.42702170740643303</v>
      </c>
      <c r="AL3496">
        <v>88.846281819647103</v>
      </c>
      <c r="AM3496">
        <v>87.247390176997698</v>
      </c>
      <c r="AN3496">
        <v>0.99999999207952694</v>
      </c>
    </row>
    <row r="3497" spans="1:40" x14ac:dyDescent="0.25">
      <c r="A3497" t="str">
        <f>"20190312161035645"</f>
        <v>20190312161035645</v>
      </c>
      <c r="B3497" t="str">
        <f>"1552378235640035"</f>
        <v>1552378235640035</v>
      </c>
      <c r="C3497" t="s">
        <v>40</v>
      </c>
      <c r="D3497">
        <v>5.4729199999999896</v>
      </c>
      <c r="E3497">
        <v>0.5352169</v>
      </c>
      <c r="F3497" t="s">
        <v>42</v>
      </c>
      <c r="G3497">
        <v>-223.00710000000001</v>
      </c>
      <c r="H3497">
        <v>0.97332039999999997</v>
      </c>
      <c r="I3497">
        <v>213.3466</v>
      </c>
      <c r="J3497">
        <v>-223.41149999999999</v>
      </c>
      <c r="K3497">
        <v>1.1104350000000001</v>
      </c>
      <c r="L3497">
        <v>213.45189999999999</v>
      </c>
      <c r="M3497">
        <v>0.9998184</v>
      </c>
      <c r="N3497">
        <v>0</v>
      </c>
      <c r="O3497">
        <v>-1.2627909999999999E-2</v>
      </c>
      <c r="P3497">
        <v>0.99814360000000002</v>
      </c>
      <c r="Q3497">
        <v>5.2420779999999998E-3</v>
      </c>
      <c r="R3497">
        <v>-6.067823E-2</v>
      </c>
      <c r="S3497">
        <v>2.98143</v>
      </c>
      <c r="T3497">
        <v>-0.56748500000000002</v>
      </c>
      <c r="U3497">
        <v>-0.45097350000000003</v>
      </c>
      <c r="V3497">
        <v>4.8057599999999999E-2</v>
      </c>
      <c r="W3497">
        <v>1.9529830000000001E-2</v>
      </c>
      <c r="X3497">
        <v>0.99865360000000003</v>
      </c>
      <c r="Y3497">
        <v>0.1349147</v>
      </c>
      <c r="Z3497">
        <v>-1.0286770000000001E-2</v>
      </c>
      <c r="AA3497">
        <v>0.99080380000000001</v>
      </c>
      <c r="AB3497">
        <v>30</v>
      </c>
      <c r="AC3497">
        <v>0.404399999999981</v>
      </c>
      <c r="AD3497">
        <v>-0.1371146</v>
      </c>
      <c r="AE3497">
        <v>-0.10529999999999901</v>
      </c>
      <c r="AF3497">
        <v>9.0446837139091699E-2</v>
      </c>
      <c r="AG3497">
        <v>-0.1371146</v>
      </c>
      <c r="AH3497">
        <v>0.36626542095719999</v>
      </c>
      <c r="AI3497">
        <v>109.97322172946799</v>
      </c>
      <c r="AJ3497">
        <v>76.128701909521794</v>
      </c>
      <c r="AK3497">
        <v>0.40141176174917997</v>
      </c>
      <c r="AL3497">
        <v>88.880951999493206</v>
      </c>
      <c r="AM3497">
        <v>87.244915436359804</v>
      </c>
      <c r="AN3497">
        <v>0.99999997998527401</v>
      </c>
    </row>
    <row r="3498" spans="1:40" x14ac:dyDescent="0.25">
      <c r="A3498" t="str">
        <f>"20190312161035682"</f>
        <v>20190312161035682</v>
      </c>
      <c r="B3498" t="str">
        <f>"1552378235680051"</f>
        <v>1552378235680051</v>
      </c>
      <c r="C3498" t="s">
        <v>40</v>
      </c>
      <c r="D3498">
        <v>5.4997119999999997</v>
      </c>
      <c r="E3498">
        <v>0.53781000000000001</v>
      </c>
      <c r="F3498" t="s">
        <v>42</v>
      </c>
      <c r="G3498">
        <v>-222.48519999999999</v>
      </c>
      <c r="H3498">
        <v>0.93516869999999996</v>
      </c>
      <c r="I3498">
        <v>213.31219999999999</v>
      </c>
      <c r="J3498">
        <v>-222.91229999999999</v>
      </c>
      <c r="K3498">
        <v>1.1104369999999999</v>
      </c>
      <c r="L3498">
        <v>213.4462</v>
      </c>
      <c r="M3498">
        <v>0.99982420000000005</v>
      </c>
      <c r="N3498">
        <v>0</v>
      </c>
      <c r="O3498">
        <v>-1.2163230000000001E-2</v>
      </c>
      <c r="P3498">
        <v>0.99813850000000004</v>
      </c>
      <c r="Q3498">
        <v>4.8706549999999998E-3</v>
      </c>
      <c r="R3498">
        <v>-6.079652E-2</v>
      </c>
      <c r="S3498">
        <v>2.9812620000000001</v>
      </c>
      <c r="T3498">
        <v>-0.56410769999999899</v>
      </c>
      <c r="U3498">
        <v>-0.4493103</v>
      </c>
      <c r="V3498">
        <v>4.8639979999999999E-2</v>
      </c>
      <c r="W3498">
        <v>1.9153199999999999E-2</v>
      </c>
      <c r="X3498">
        <v>0.99863270000000004</v>
      </c>
      <c r="Y3498">
        <v>0.1348606</v>
      </c>
      <c r="Z3498">
        <v>-1.030916E-2</v>
      </c>
      <c r="AA3498">
        <v>0.99081090000000005</v>
      </c>
      <c r="AB3498">
        <v>30</v>
      </c>
      <c r="AC3498">
        <v>0.42709999999999498</v>
      </c>
      <c r="AD3498">
        <v>-0.17526829999999999</v>
      </c>
      <c r="AE3498">
        <v>-0.134000000000014</v>
      </c>
      <c r="AF3498">
        <v>0.11167382166061</v>
      </c>
      <c r="AG3498">
        <v>-0.17526829999999999</v>
      </c>
      <c r="AH3498">
        <v>0.37171106319695302</v>
      </c>
      <c r="AI3498">
        <v>114.30289903607201</v>
      </c>
      <c r="AJ3498">
        <v>73.278061227188701</v>
      </c>
      <c r="AK3498">
        <v>0.42586281116362401</v>
      </c>
      <c r="AL3498">
        <v>88.902535348213405</v>
      </c>
      <c r="AM3498">
        <v>87.211522402233996</v>
      </c>
      <c r="AN3498">
        <v>0.99999998111696498</v>
      </c>
    </row>
    <row r="3499" spans="1:40" x14ac:dyDescent="0.25">
      <c r="A3499" t="str">
        <f>"20190312161035705"</f>
        <v>20190312161035705</v>
      </c>
      <c r="B3499" t="str">
        <f>"1552378235700079"</f>
        <v>1552378235700079</v>
      </c>
      <c r="C3499" t="s">
        <v>40</v>
      </c>
      <c r="D3499">
        <v>5.6357299999999997</v>
      </c>
      <c r="E3499">
        <v>0.53744630000000004</v>
      </c>
      <c r="F3499" t="s">
        <v>42</v>
      </c>
      <c r="G3499">
        <v>-222.1986</v>
      </c>
      <c r="H3499">
        <v>0.97165699999999999</v>
      </c>
      <c r="I3499">
        <v>213.33340000000001</v>
      </c>
      <c r="J3499">
        <v>-222.60390000000001</v>
      </c>
      <c r="K3499">
        <v>1.11043799999999</v>
      </c>
      <c r="L3499">
        <v>213.4427</v>
      </c>
      <c r="M3499">
        <v>0.99982769999999999</v>
      </c>
      <c r="N3499">
        <v>0</v>
      </c>
      <c r="O3499">
        <v>-1.187594E-2</v>
      </c>
      <c r="P3499">
        <v>0.99813689999999999</v>
      </c>
      <c r="Q3499">
        <v>4.5950380000000001E-3</v>
      </c>
      <c r="R3499">
        <v>-6.0842779999999999E-2</v>
      </c>
      <c r="S3499">
        <v>2.979752</v>
      </c>
      <c r="T3499">
        <v>-0.57951660000000005</v>
      </c>
      <c r="U3499">
        <v>-0.4703369</v>
      </c>
      <c r="V3499">
        <v>4.8973669999999997E-2</v>
      </c>
      <c r="W3499">
        <v>1.8874309999999998E-2</v>
      </c>
      <c r="X3499">
        <v>0.99862169999999895</v>
      </c>
      <c r="Y3499">
        <v>0.14179659999999999</v>
      </c>
      <c r="Z3499">
        <v>-1.1304679999999999E-2</v>
      </c>
      <c r="AA3499">
        <v>0.98983129999999997</v>
      </c>
      <c r="AB3499">
        <v>30</v>
      </c>
      <c r="AC3499">
        <v>0.40530000000001098</v>
      </c>
      <c r="AD3499">
        <v>-0.13878099999999899</v>
      </c>
      <c r="AE3499">
        <v>-0.10929999999999</v>
      </c>
      <c r="AF3499">
        <v>9.4184196235243905E-2</v>
      </c>
      <c r="AG3499">
        <v>-0.13878099999999899</v>
      </c>
      <c r="AH3499">
        <v>0.36651020144234697</v>
      </c>
      <c r="AI3499">
        <v>110.139991329631</v>
      </c>
      <c r="AJ3499">
        <v>75.588213465093801</v>
      </c>
      <c r="AK3499">
        <v>0.40306396085830898</v>
      </c>
      <c r="AL3499">
        <v>88.918517456324096</v>
      </c>
      <c r="AM3499">
        <v>87.192391941921002</v>
      </c>
      <c r="AN3499">
        <v>0.99999997982106703</v>
      </c>
    </row>
    <row r="3500" spans="1:40" x14ac:dyDescent="0.25">
      <c r="A3500" t="str">
        <f>"20190312161035727"</f>
        <v>20190312161035727</v>
      </c>
      <c r="B3500" t="str">
        <f>"1552378235719599"</f>
        <v>1552378235719599</v>
      </c>
      <c r="C3500" t="s">
        <v>40</v>
      </c>
      <c r="D3500">
        <v>5.569833</v>
      </c>
      <c r="E3500">
        <v>0.53730140000000004</v>
      </c>
      <c r="F3500" t="s">
        <v>42</v>
      </c>
      <c r="G3500">
        <v>-221.67869999999999</v>
      </c>
      <c r="H3500">
        <v>0.93291840000000004</v>
      </c>
      <c r="I3500">
        <v>213.29740000000001</v>
      </c>
      <c r="J3500">
        <v>-222.3064</v>
      </c>
      <c r="K3500">
        <v>1.110433</v>
      </c>
      <c r="L3500">
        <v>213.43950000000001</v>
      </c>
      <c r="M3500">
        <v>0.99983109999999997</v>
      </c>
      <c r="N3500">
        <v>0</v>
      </c>
      <c r="O3500">
        <v>-1.159926E-2</v>
      </c>
      <c r="P3500">
        <v>0.99812659999999997</v>
      </c>
      <c r="Q3500">
        <v>4.4682080000000004E-3</v>
      </c>
      <c r="R3500">
        <v>-6.1021800000000001E-2</v>
      </c>
      <c r="S3500">
        <v>2.9797359999999999</v>
      </c>
      <c r="T3500">
        <v>-0.57173929999999995</v>
      </c>
      <c r="U3500">
        <v>-0.4676361</v>
      </c>
      <c r="V3500">
        <v>4.9429399999999998E-2</v>
      </c>
      <c r="W3500">
        <v>1.8743679999999999E-2</v>
      </c>
      <c r="X3500">
        <v>0.99860170000000004</v>
      </c>
      <c r="Y3500">
        <v>0.14126259999999999</v>
      </c>
      <c r="Z3500">
        <v>-1.115828E-2</v>
      </c>
      <c r="AA3500">
        <v>0.98990929999999999</v>
      </c>
      <c r="AB3500">
        <v>30</v>
      </c>
      <c r="AC3500">
        <v>0.62770000000000403</v>
      </c>
      <c r="AD3500">
        <v>-0.177514599999999</v>
      </c>
      <c r="AE3500">
        <v>-0.142099999999999</v>
      </c>
      <c r="AF3500">
        <v>0.12527796182874201</v>
      </c>
      <c r="AG3500">
        <v>-0.177514599999999</v>
      </c>
      <c r="AH3500">
        <v>0.58481472429388204</v>
      </c>
      <c r="AI3500">
        <v>106.531212305894</v>
      </c>
      <c r="AJ3500">
        <v>77.908941031912505</v>
      </c>
      <c r="AK3500">
        <v>0.62387038933103101</v>
      </c>
      <c r="AL3500">
        <v>88.926003321315505</v>
      </c>
      <c r="AM3500">
        <v>87.166251155692393</v>
      </c>
      <c r="AN3500">
        <v>0.99999997318359501</v>
      </c>
    </row>
    <row r="3501" spans="1:40" x14ac:dyDescent="0.25">
      <c r="A3501" t="str">
        <f>"20190312161035749"</f>
        <v>20190312161035749</v>
      </c>
      <c r="B3501" t="str">
        <f>"1552378235740095"</f>
        <v>1552378235740095</v>
      </c>
      <c r="C3501" t="s">
        <v>40</v>
      </c>
      <c r="D3501">
        <v>5.5762109999999998</v>
      </c>
      <c r="E3501">
        <v>0.55840690000000004</v>
      </c>
      <c r="F3501" t="s">
        <v>42</v>
      </c>
      <c r="G3501">
        <v>-221.4075</v>
      </c>
      <c r="H3501">
        <v>0.9387645</v>
      </c>
      <c r="I3501">
        <v>213.29839999999999</v>
      </c>
      <c r="J3501">
        <v>-222.00630000000001</v>
      </c>
      <c r="K3501">
        <v>1.1104320000000001</v>
      </c>
      <c r="L3501">
        <v>213.43639999999999</v>
      </c>
      <c r="M3501">
        <v>0.99983420000000001</v>
      </c>
      <c r="N3501">
        <v>0</v>
      </c>
      <c r="O3501">
        <v>-1.1319350000000001E-2</v>
      </c>
      <c r="P3501">
        <v>0.99813110000000005</v>
      </c>
      <c r="Q3501">
        <v>4.6856470000000002E-3</v>
      </c>
      <c r="R3501">
        <v>-6.0929469999999999E-2</v>
      </c>
      <c r="S3501">
        <v>2.9796140000000002</v>
      </c>
      <c r="T3501">
        <v>-0.56912640000000003</v>
      </c>
      <c r="U3501">
        <v>-0.4673157</v>
      </c>
      <c r="V3501">
        <v>4.9616519999999997E-2</v>
      </c>
      <c r="W3501">
        <v>1.8957740000000001E-2</v>
      </c>
      <c r="X3501">
        <v>0.99858840000000004</v>
      </c>
      <c r="Y3501">
        <v>0.14145429999999901</v>
      </c>
      <c r="Z3501">
        <v>-1.1179390000000001E-2</v>
      </c>
      <c r="AA3501">
        <v>0.98988169999999998</v>
      </c>
      <c r="AB3501">
        <v>30</v>
      </c>
      <c r="AC3501">
        <v>0.59880000000001099</v>
      </c>
      <c r="AD3501">
        <v>-0.171667499999999</v>
      </c>
      <c r="AE3501">
        <v>-0.13800000000000501</v>
      </c>
      <c r="AF3501">
        <v>0.121713469660388</v>
      </c>
      <c r="AG3501">
        <v>-0.171667499999999</v>
      </c>
      <c r="AH3501">
        <v>0.55686411558570104</v>
      </c>
      <c r="AI3501">
        <v>106.76049310246999</v>
      </c>
      <c r="AJ3501">
        <v>77.670786795435006</v>
      </c>
      <c r="AK3501">
        <v>0.59529954013090303</v>
      </c>
      <c r="AL3501">
        <v>88.9137364290725</v>
      </c>
      <c r="AM3501">
        <v>87.155503474265998</v>
      </c>
      <c r="AN3501">
        <v>0.99999999378868898</v>
      </c>
    </row>
    <row r="3502" spans="1:40" x14ac:dyDescent="0.25">
      <c r="A3502" t="str">
        <f>"20190312161035772"</f>
        <v>20190312161035772</v>
      </c>
      <c r="B3502" t="str">
        <f>"1552378235759615"</f>
        <v>1552378235759615</v>
      </c>
      <c r="C3502" t="s">
        <v>40</v>
      </c>
      <c r="D3502">
        <v>5.4607039999999998</v>
      </c>
      <c r="E3502">
        <v>0.54907490000000003</v>
      </c>
      <c r="F3502" t="s">
        <v>42</v>
      </c>
      <c r="G3502">
        <v>-221.15809999999999</v>
      </c>
      <c r="H3502">
        <v>0.892763999999999</v>
      </c>
      <c r="I3502">
        <v>213.25620000000001</v>
      </c>
      <c r="J3502">
        <v>-221.70160000000001</v>
      </c>
      <c r="K3502">
        <v>1.1104369999999999</v>
      </c>
      <c r="L3502">
        <v>213.4332</v>
      </c>
      <c r="M3502">
        <v>0.99983730000000004</v>
      </c>
      <c r="N3502">
        <v>0</v>
      </c>
      <c r="O3502">
        <v>-1.1035400000000001E-2</v>
      </c>
      <c r="P3502">
        <v>0.99813010000000002</v>
      </c>
      <c r="Q3502">
        <v>4.7759509999999996E-3</v>
      </c>
      <c r="R3502">
        <v>-6.0937819999999997E-2</v>
      </c>
      <c r="S3502">
        <v>2.9707029999999999</v>
      </c>
      <c r="T3502">
        <v>-0.76238229999999996</v>
      </c>
      <c r="U3502">
        <v>-0.63041689999999995</v>
      </c>
      <c r="V3502">
        <v>4.9908389999999997E-2</v>
      </c>
      <c r="W3502">
        <v>1.904546E-2</v>
      </c>
      <c r="X3502">
        <v>0.99857220000000002</v>
      </c>
      <c r="Y3502">
        <v>0.191193</v>
      </c>
      <c r="Z3502">
        <v>-2.1131339999999998E-2</v>
      </c>
      <c r="AA3502">
        <v>0.981325</v>
      </c>
      <c r="AB3502">
        <v>30</v>
      </c>
      <c r="AC3502">
        <v>0.54350000000002296</v>
      </c>
      <c r="AD3502">
        <v>-0.21767300000000001</v>
      </c>
      <c r="AE3502">
        <v>-0.176999999999992</v>
      </c>
      <c r="AF3502">
        <v>0.149334228022768</v>
      </c>
      <c r="AG3502">
        <v>-0.21767300000000001</v>
      </c>
      <c r="AH3502">
        <v>0.47634080796994199</v>
      </c>
      <c r="AI3502">
        <v>113.559277258809</v>
      </c>
      <c r="AJ3502">
        <v>72.593640290453607</v>
      </c>
      <c r="AK3502">
        <v>0.54459417176978098</v>
      </c>
      <c r="AL3502">
        <v>88.9087095509378</v>
      </c>
      <c r="AM3502">
        <v>87.138752059009605</v>
      </c>
      <c r="AN3502">
        <v>1.0000000077759199</v>
      </c>
    </row>
    <row r="3503" spans="1:40" x14ac:dyDescent="0.25">
      <c r="A3503" t="str">
        <f>"20190312161035795"</f>
        <v>20190312161035795</v>
      </c>
      <c r="B3503" t="str">
        <f>"1552378235789871"</f>
        <v>1552378235789871</v>
      </c>
      <c r="C3503" t="s">
        <v>40</v>
      </c>
      <c r="D3503">
        <v>5.5313840000000001</v>
      </c>
      <c r="E3503">
        <v>0.54932019999999904</v>
      </c>
      <c r="F3503" t="s">
        <v>42</v>
      </c>
      <c r="G3503">
        <v>-220.87780000000001</v>
      </c>
      <c r="H3503">
        <v>0.92374429999999996</v>
      </c>
      <c r="I3503">
        <v>213.279</v>
      </c>
      <c r="J3503">
        <v>-221.40209999999999</v>
      </c>
      <c r="K3503">
        <v>1.110444</v>
      </c>
      <c r="L3503">
        <v>213.43020000000001</v>
      </c>
      <c r="M3503">
        <v>0.99984059999999997</v>
      </c>
      <c r="N3503">
        <v>0</v>
      </c>
      <c r="O3503">
        <v>-1.075657E-2</v>
      </c>
      <c r="P3503">
        <v>0.99810509999999997</v>
      </c>
      <c r="Q3503">
        <v>5.4114050000000002E-3</v>
      </c>
      <c r="R3503">
        <v>-6.1296139999999999E-2</v>
      </c>
      <c r="S3503">
        <v>2.9748230000000002</v>
      </c>
      <c r="T3503">
        <v>-0.67415360000000002</v>
      </c>
      <c r="U3503">
        <v>-0.55700680000000002</v>
      </c>
      <c r="V3503">
        <v>5.0545279999999998E-2</v>
      </c>
      <c r="W3503">
        <v>1.9677630000000002E-2</v>
      </c>
      <c r="X3503">
        <v>0.99852790000000002</v>
      </c>
      <c r="Y3503">
        <v>0.1695672</v>
      </c>
      <c r="Z3503">
        <v>-1.64287999999999E-2</v>
      </c>
      <c r="AA3503">
        <v>0.98538170000000003</v>
      </c>
      <c r="AB3503">
        <v>30</v>
      </c>
      <c r="AC3503">
        <v>0.524299999999982</v>
      </c>
      <c r="AD3503">
        <v>-0.186699699999999</v>
      </c>
      <c r="AE3503">
        <v>-0.15119999999998801</v>
      </c>
      <c r="AF3503">
        <v>0.130297531677251</v>
      </c>
      <c r="AG3503">
        <v>-0.186699699999999</v>
      </c>
      <c r="AH3503">
        <v>0.47078326771153001</v>
      </c>
      <c r="AI3503">
        <v>110.917061825613</v>
      </c>
      <c r="AJ3503">
        <v>74.529638507912097</v>
      </c>
      <c r="AK3503">
        <v>0.52294465280603097</v>
      </c>
      <c r="AL3503">
        <v>88.872482078854503</v>
      </c>
      <c r="AM3503">
        <v>87.102172656045497</v>
      </c>
      <c r="AN3503">
        <v>1.0000000007655501</v>
      </c>
    </row>
    <row r="3504" spans="1:40" x14ac:dyDescent="0.25">
      <c r="A3504" t="str">
        <f>"20190312161035839"</f>
        <v>20190312161035839</v>
      </c>
      <c r="B3504" t="str">
        <f>"1552378235829887"</f>
        <v>1552378235829887</v>
      </c>
      <c r="C3504" t="s">
        <v>40</v>
      </c>
      <c r="D3504">
        <v>5.4856309999999997</v>
      </c>
      <c r="E3504">
        <v>0.55118199999999995</v>
      </c>
      <c r="F3504" t="s">
        <v>42</v>
      </c>
      <c r="G3504">
        <v>-220.6112</v>
      </c>
      <c r="H3504">
        <v>0.92218699999999998</v>
      </c>
      <c r="I3504">
        <v>213.28129999999999</v>
      </c>
      <c r="J3504">
        <v>-220.81379999999999</v>
      </c>
      <c r="K3504">
        <v>1.1104400000000001</v>
      </c>
      <c r="L3504">
        <v>213.42449999999999</v>
      </c>
      <c r="M3504">
        <v>0.99984640000000002</v>
      </c>
      <c r="N3504">
        <v>0</v>
      </c>
      <c r="O3504">
        <v>-1.021001E-2</v>
      </c>
      <c r="P3504">
        <v>0.99805619999999995</v>
      </c>
      <c r="Q3504">
        <v>4.938474E-3</v>
      </c>
      <c r="R3504">
        <v>-6.212927E-2</v>
      </c>
      <c r="S3504">
        <v>2.975174</v>
      </c>
      <c r="T3504">
        <v>-0.70824160000000003</v>
      </c>
      <c r="U3504">
        <v>-0.55944819999999995</v>
      </c>
      <c r="V3504">
        <v>5.1924810000000002E-2</v>
      </c>
      <c r="W3504">
        <v>1.919802E-2</v>
      </c>
      <c r="X3504">
        <v>0.99846639999999998</v>
      </c>
      <c r="Y3504">
        <v>0.1704312</v>
      </c>
      <c r="Z3504">
        <v>-1.7462559999999999E-2</v>
      </c>
      <c r="AA3504">
        <v>0.98521479999999995</v>
      </c>
      <c r="AB3504">
        <v>30</v>
      </c>
      <c r="AC3504">
        <v>0.20259999999998901</v>
      </c>
      <c r="AD3504">
        <v>-0.188252999999999</v>
      </c>
      <c r="AE3504">
        <v>-0.14320000000000699</v>
      </c>
      <c r="AF3504">
        <v>8.9559701993323096E-2</v>
      </c>
      <c r="AG3504">
        <v>-0.188252999999999</v>
      </c>
      <c r="AH3504">
        <v>0.12949487513656799</v>
      </c>
      <c r="AI3504">
        <v>140.092114183549</v>
      </c>
      <c r="AJ3504">
        <v>55.3319526795486</v>
      </c>
      <c r="AK3504">
        <v>0.245416085285313</v>
      </c>
      <c r="AL3504">
        <v>88.899966845818398</v>
      </c>
      <c r="AM3504">
        <v>87.023039727787193</v>
      </c>
      <c r="AN3504">
        <v>0.99999995089720695</v>
      </c>
    </row>
    <row r="3505" spans="1:40" x14ac:dyDescent="0.25">
      <c r="A3505" t="str">
        <f>"20190312161035865"</f>
        <v>20190312161035865</v>
      </c>
      <c r="B3505" t="str">
        <f>"1552378235860143"</f>
        <v>1552378235860143</v>
      </c>
      <c r="C3505" t="s">
        <v>40</v>
      </c>
      <c r="D3505">
        <v>5.5520909999999999</v>
      </c>
      <c r="E3505">
        <v>0.55114529999999995</v>
      </c>
      <c r="F3505" t="s">
        <v>42</v>
      </c>
      <c r="G3505">
        <v>-220.07669999999999</v>
      </c>
      <c r="H3505">
        <v>0.92347250000000003</v>
      </c>
      <c r="I3505">
        <v>213.2817</v>
      </c>
      <c r="J3505">
        <v>-220.46209999999999</v>
      </c>
      <c r="K3505">
        <v>1.110439</v>
      </c>
      <c r="L3505">
        <v>213.4213</v>
      </c>
      <c r="M3505">
        <v>0.99984969999999995</v>
      </c>
      <c r="N3505">
        <v>0</v>
      </c>
      <c r="O3505">
        <v>-9.8866249999999996E-3</v>
      </c>
      <c r="P3505">
        <v>0.99801329999999999</v>
      </c>
      <c r="Q3505">
        <v>4.6034370000000002E-3</v>
      </c>
      <c r="R3505">
        <v>-6.2835279999999993E-2</v>
      </c>
      <c r="S3505">
        <v>2.9737550000000001</v>
      </c>
      <c r="T3505">
        <v>-0.75434780000000001</v>
      </c>
      <c r="U3505">
        <v>-0.57569890000000001</v>
      </c>
      <c r="V3505">
        <v>5.295482E-2</v>
      </c>
      <c r="W3505">
        <v>1.8859049999999999E-2</v>
      </c>
      <c r="X3505">
        <v>0.99841880000000005</v>
      </c>
      <c r="Y3505">
        <v>0.1752977</v>
      </c>
      <c r="Z3505">
        <v>-1.9248069999999999E-2</v>
      </c>
      <c r="AA3505">
        <v>0.98432730000000002</v>
      </c>
      <c r="AB3505">
        <v>30</v>
      </c>
      <c r="AC3505">
        <v>0.38540000000000402</v>
      </c>
      <c r="AD3505">
        <v>-0.18696649999999901</v>
      </c>
      <c r="AE3505">
        <v>-0.139600000000001</v>
      </c>
      <c r="AF3505">
        <v>0.11239826764642701</v>
      </c>
      <c r="AG3505">
        <v>-0.18696649999999901</v>
      </c>
      <c r="AH3505">
        <v>0.32015410427149898</v>
      </c>
      <c r="AI3505">
        <v>118.855552469221</v>
      </c>
      <c r="AJ3505">
        <v>70.655074580464998</v>
      </c>
      <c r="AK3505">
        <v>0.387412561972445</v>
      </c>
      <c r="AL3505">
        <v>88.919391954926198</v>
      </c>
      <c r="AM3505">
        <v>86.963951983686101</v>
      </c>
      <c r="AN3505">
        <v>0.99999998846078697</v>
      </c>
    </row>
    <row r="3506" spans="1:40" x14ac:dyDescent="0.25">
      <c r="A3506" t="str">
        <f>"20190312161035891"</f>
        <v>20190312161035891</v>
      </c>
      <c r="B3506" t="str">
        <f>"1552378235879664"</f>
        <v>1552378235879664</v>
      </c>
      <c r="C3506" t="s">
        <v>40</v>
      </c>
      <c r="D3506">
        <v>5.5739559999999999</v>
      </c>
      <c r="E3506">
        <v>0.55127919999999997</v>
      </c>
      <c r="F3506" t="s">
        <v>42</v>
      </c>
      <c r="G3506">
        <v>-219.56020000000001</v>
      </c>
      <c r="H3506">
        <v>0.88259379999999998</v>
      </c>
      <c r="I3506">
        <v>213.24629999999999</v>
      </c>
      <c r="J3506">
        <v>-220.11359999999999</v>
      </c>
      <c r="K3506">
        <v>1.1104320000000001</v>
      </c>
      <c r="L3506">
        <v>213.41820000000001</v>
      </c>
      <c r="M3506">
        <v>0.99985270000000004</v>
      </c>
      <c r="N3506">
        <v>0</v>
      </c>
      <c r="O3506">
        <v>-9.5789320000000001E-3</v>
      </c>
      <c r="P3506">
        <v>0.9980137</v>
      </c>
      <c r="Q3506">
        <v>4.7749890000000003E-3</v>
      </c>
      <c r="R3506">
        <v>-6.2817269999999995E-2</v>
      </c>
      <c r="S3506">
        <v>2.9731450000000001</v>
      </c>
      <c r="T3506">
        <v>-0.75110339999999998</v>
      </c>
      <c r="U3506">
        <v>-0.57650760000000001</v>
      </c>
      <c r="V3506">
        <v>5.3244090000000001E-2</v>
      </c>
      <c r="W3506">
        <v>1.9025429999999999E-2</v>
      </c>
      <c r="X3506">
        <v>0.99840030000000002</v>
      </c>
      <c r="Y3506">
        <v>0.17590919999999999</v>
      </c>
      <c r="Z3506">
        <v>-1.9322240000000001E-2</v>
      </c>
      <c r="AA3506">
        <v>0.98421670000000006</v>
      </c>
      <c r="AB3506">
        <v>30</v>
      </c>
      <c r="AC3506">
        <v>0.55339999999998202</v>
      </c>
      <c r="AD3506">
        <v>-0.22783819999999899</v>
      </c>
      <c r="AE3506">
        <v>-0.17190000000002201</v>
      </c>
      <c r="AF3506">
        <v>0.14428596599801499</v>
      </c>
      <c r="AG3506">
        <v>-0.22783819999999899</v>
      </c>
      <c r="AH3506">
        <v>0.480710200988618</v>
      </c>
      <c r="AI3506">
        <v>114.415862113595</v>
      </c>
      <c r="AJ3506">
        <v>73.292783970342199</v>
      </c>
      <c r="AK3506">
        <v>0.55119051397655405</v>
      </c>
      <c r="AL3506">
        <v>88.909857417135797</v>
      </c>
      <c r="AM3506">
        <v>86.947342149857107</v>
      </c>
      <c r="AN3506">
        <v>1.00000002957335</v>
      </c>
    </row>
    <row r="3507" spans="1:40" x14ac:dyDescent="0.25">
      <c r="A3507" t="str">
        <f>"20190312161035912"</f>
        <v>20190312161035912</v>
      </c>
      <c r="B3507" t="str">
        <f>"1552378235899691"</f>
        <v>1552378235899691</v>
      </c>
      <c r="C3507" t="s">
        <v>40</v>
      </c>
      <c r="D3507">
        <v>5.6221620000000003</v>
      </c>
      <c r="E3507">
        <v>0.55129119999999998</v>
      </c>
      <c r="F3507" t="s">
        <v>42</v>
      </c>
      <c r="G3507">
        <v>-219.28720000000001</v>
      </c>
      <c r="H3507">
        <v>0.90011379999999996</v>
      </c>
      <c r="I3507">
        <v>213.2578</v>
      </c>
      <c r="J3507">
        <v>-219.84809999999999</v>
      </c>
      <c r="K3507">
        <v>1.1104270000000001</v>
      </c>
      <c r="L3507">
        <v>213.41589999999999</v>
      </c>
      <c r="M3507">
        <v>0.99985480000000004</v>
      </c>
      <c r="N3507">
        <v>0</v>
      </c>
      <c r="O3507">
        <v>-9.353386E-3</v>
      </c>
      <c r="P3507">
        <v>0.99799599999999999</v>
      </c>
      <c r="Q3507">
        <v>4.129247E-3</v>
      </c>
      <c r="R3507">
        <v>-6.3141520000000007E-2</v>
      </c>
      <c r="S3507">
        <v>2.9732970000000001</v>
      </c>
      <c r="T3507">
        <v>-0.75673080000000004</v>
      </c>
      <c r="U3507">
        <v>-0.57720950000000004</v>
      </c>
      <c r="V3507">
        <v>5.3794620000000001E-2</v>
      </c>
      <c r="W3507">
        <v>1.8375140000000002E-2</v>
      </c>
      <c r="X3507">
        <v>0.99838289999999996</v>
      </c>
      <c r="Y3507">
        <v>0.1762541</v>
      </c>
      <c r="Z3507">
        <v>-1.9560089999999999E-2</v>
      </c>
      <c r="AA3507">
        <v>0.98415039999999998</v>
      </c>
      <c r="AB3507">
        <v>30</v>
      </c>
      <c r="AC3507">
        <v>0.56089999999997497</v>
      </c>
      <c r="AD3507">
        <v>-0.21031320000000001</v>
      </c>
      <c r="AE3507">
        <v>-0.15809999999999</v>
      </c>
      <c r="AF3507">
        <v>0.135232883289821</v>
      </c>
      <c r="AG3507">
        <v>-0.21031320000000001</v>
      </c>
      <c r="AH3507">
        <v>0.49755104256003002</v>
      </c>
      <c r="AI3507">
        <v>112.19048285092001</v>
      </c>
      <c r="AJ3507">
        <v>74.794503379059194</v>
      </c>
      <c r="AK3507">
        <v>0.55684523412676401</v>
      </c>
      <c r="AL3507">
        <v>88.947122733338006</v>
      </c>
      <c r="AM3507">
        <v>86.915785441625403</v>
      </c>
      <c r="AN3507">
        <v>0.99999996096168597</v>
      </c>
    </row>
    <row r="3508" spans="1:40" x14ac:dyDescent="0.25">
      <c r="A3508" t="str">
        <f>"20190312161035933"</f>
        <v>20190312161035933</v>
      </c>
      <c r="B3508" t="str">
        <f>"1552378235929948"</f>
        <v>1552378235929948</v>
      </c>
      <c r="C3508" t="s">
        <v>40</v>
      </c>
      <c r="D3508">
        <v>5.5282390000000001</v>
      </c>
      <c r="E3508">
        <v>0.55268919999999999</v>
      </c>
      <c r="F3508" t="s">
        <v>42</v>
      </c>
      <c r="G3508">
        <v>-219.0204</v>
      </c>
      <c r="H3508">
        <v>0.90242869999999997</v>
      </c>
      <c r="I3508">
        <v>213.2544</v>
      </c>
      <c r="J3508">
        <v>-219.55330000000001</v>
      </c>
      <c r="K3508">
        <v>1.1104149999999999</v>
      </c>
      <c r="L3508">
        <v>213.4134</v>
      </c>
      <c r="M3508">
        <v>0.99985710000000005</v>
      </c>
      <c r="N3508">
        <v>0</v>
      </c>
      <c r="O3508">
        <v>-9.1176499999999997E-3</v>
      </c>
      <c r="P3508">
        <v>0.99797780000000003</v>
      </c>
      <c r="Q3508">
        <v>3.062249E-3</v>
      </c>
      <c r="R3508">
        <v>-6.3490379999999999E-2</v>
      </c>
      <c r="S3508">
        <v>2.9724729999999999</v>
      </c>
      <c r="T3508">
        <v>-0.74697179999999996</v>
      </c>
      <c r="U3508">
        <v>-0.57925419999999905</v>
      </c>
      <c r="V3508">
        <v>5.437993E-2</v>
      </c>
      <c r="W3508">
        <v>1.7303860000000001E-2</v>
      </c>
      <c r="X3508">
        <v>0.99837030000000004</v>
      </c>
      <c r="Y3508">
        <v>0.17727899999999999</v>
      </c>
      <c r="Z3508">
        <v>-1.9502660000000002E-2</v>
      </c>
      <c r="AA3508">
        <v>0.98396740000000005</v>
      </c>
      <c r="AB3508">
        <v>30</v>
      </c>
      <c r="AC3508">
        <v>0.53290000000001203</v>
      </c>
      <c r="AD3508">
        <v>-0.20798630000000001</v>
      </c>
      <c r="AE3508">
        <v>-0.15899999999999101</v>
      </c>
      <c r="AF3508">
        <v>0.13522014769368501</v>
      </c>
      <c r="AG3508">
        <v>-0.20798630000000001</v>
      </c>
      <c r="AH3508">
        <v>0.46875979766190301</v>
      </c>
      <c r="AI3508">
        <v>113.08914431250101</v>
      </c>
      <c r="AJ3508">
        <v>73.909073600232006</v>
      </c>
      <c r="AK3508">
        <v>0.53035699036971395</v>
      </c>
      <c r="AL3508">
        <v>89.008512298133098</v>
      </c>
      <c r="AM3508">
        <v>86.8822543574191</v>
      </c>
      <c r="AN3508">
        <v>0.99999992813989402</v>
      </c>
    </row>
    <row r="3509" spans="1:40" x14ac:dyDescent="0.25">
      <c r="A3509" t="str">
        <f>"20190312161035972"</f>
        <v>20190312161035972</v>
      </c>
      <c r="B3509" t="str">
        <f>"1552378235969963"</f>
        <v>1552378235969963</v>
      </c>
      <c r="C3509" t="s">
        <v>40</v>
      </c>
      <c r="D3509">
        <v>5.6776780000000002</v>
      </c>
      <c r="E3509">
        <v>0.55159499999999995</v>
      </c>
      <c r="F3509" t="s">
        <v>59</v>
      </c>
      <c r="G3509">
        <v>-206.6523</v>
      </c>
      <c r="H3509" s="1">
        <v>5.5013890000000003E-6</v>
      </c>
      <c r="I3509">
        <v>210.7912</v>
      </c>
      <c r="J3509">
        <v>-219.04159999999999</v>
      </c>
      <c r="K3509">
        <v>1.110379</v>
      </c>
      <c r="L3509">
        <v>213.4092</v>
      </c>
      <c r="M3509">
        <v>0.99986030000000004</v>
      </c>
      <c r="N3509">
        <v>0</v>
      </c>
      <c r="O3509">
        <v>-8.7644369999999999E-3</v>
      </c>
      <c r="P3509">
        <v>0.99786940000000002</v>
      </c>
      <c r="Q3509">
        <v>2.967089E-3</v>
      </c>
      <c r="R3509">
        <v>-6.5174480000000007E-2</v>
      </c>
      <c r="S3509">
        <v>2.9684750000000002</v>
      </c>
      <c r="T3509">
        <v>-0.2554997</v>
      </c>
      <c r="U3509">
        <v>-0.60336299999999998</v>
      </c>
      <c r="V3509">
        <v>5.6418980000000001E-2</v>
      </c>
      <c r="W3509">
        <v>1.7198020000000001E-2</v>
      </c>
      <c r="X3509">
        <v>0.99825909999999995</v>
      </c>
      <c r="Y3509">
        <v>0.18994359999999999</v>
      </c>
      <c r="Z3509">
        <v>-7.3318130000000004E-3</v>
      </c>
      <c r="AA3509">
        <v>0.98176759999999996</v>
      </c>
      <c r="AB3509">
        <v>30</v>
      </c>
      <c r="AC3509">
        <v>12.389299999999899</v>
      </c>
      <c r="AD3509">
        <v>-1.1103734986110001</v>
      </c>
      <c r="AE3509">
        <v>-2.6179999999999901</v>
      </c>
      <c r="AF3509">
        <v>2.4901562470568099</v>
      </c>
      <c r="AG3509">
        <v>-1.1103734986110001</v>
      </c>
      <c r="AH3509">
        <v>12.317065117986401</v>
      </c>
      <c r="AI3509">
        <v>95.049624523914801</v>
      </c>
      <c r="AJ3509">
        <v>78.570499824999999</v>
      </c>
      <c r="AK3509">
        <v>12.615224950903199</v>
      </c>
      <c r="AL3509">
        <v>89.014577508444006</v>
      </c>
      <c r="AM3509">
        <v>86.765234415488294</v>
      </c>
      <c r="AN3509">
        <v>1.0000000519644801</v>
      </c>
    </row>
    <row r="3510" spans="1:40" x14ac:dyDescent="0.25">
      <c r="A3510" t="str">
        <f>"20190312161036001"</f>
        <v>20190312161036001</v>
      </c>
      <c r="B3510" t="str">
        <f>"1552378235989483"</f>
        <v>1552378235989483</v>
      </c>
      <c r="C3510" t="s">
        <v>40</v>
      </c>
      <c r="D3510">
        <v>5.733752</v>
      </c>
      <c r="E3510">
        <v>0.55184529999999998</v>
      </c>
      <c r="F3510" t="s">
        <v>59</v>
      </c>
      <c r="G3510">
        <v>-200.6832</v>
      </c>
      <c r="H3510" s="1">
        <v>2.950764E-6</v>
      </c>
      <c r="I3510">
        <v>209.68870000000001</v>
      </c>
      <c r="J3510">
        <v>-218.66839999999999</v>
      </c>
      <c r="K3510">
        <v>1.110357</v>
      </c>
      <c r="L3510">
        <v>213.40620000000001</v>
      </c>
      <c r="M3510">
        <v>0.99986229999999998</v>
      </c>
      <c r="N3510">
        <v>0</v>
      </c>
      <c r="O3510">
        <v>-8.5565080000000009E-3</v>
      </c>
      <c r="P3510">
        <v>0.99780919999999895</v>
      </c>
      <c r="Q3510">
        <v>3.053329E-3</v>
      </c>
      <c r="R3510">
        <v>-6.6091919999999998E-2</v>
      </c>
      <c r="S3510">
        <v>2.967651</v>
      </c>
      <c r="T3510">
        <v>-0.17949379999999901</v>
      </c>
      <c r="U3510">
        <v>-0.60142519999999999</v>
      </c>
      <c r="V3510">
        <v>5.7545510000000001E-2</v>
      </c>
      <c r="W3510">
        <v>1.727573E-2</v>
      </c>
      <c r="X3510">
        <v>0.99819340000000001</v>
      </c>
      <c r="Y3510">
        <v>0.1899102</v>
      </c>
      <c r="Z3510">
        <v>-5.1685809999999898E-3</v>
      </c>
      <c r="AA3510">
        <v>0.98178790000000005</v>
      </c>
      <c r="AB3510">
        <v>30</v>
      </c>
      <c r="AC3510">
        <v>17.985199999999899</v>
      </c>
      <c r="AD3510">
        <v>-1.110354049236</v>
      </c>
      <c r="AE3510">
        <v>-3.7174999999999998</v>
      </c>
      <c r="AF3510">
        <v>3.5504797480506798</v>
      </c>
      <c r="AG3510">
        <v>-1.110354049236</v>
      </c>
      <c r="AH3510">
        <v>17.950738166850702</v>
      </c>
      <c r="AI3510">
        <v>93.472454496196505</v>
      </c>
      <c r="AJ3510">
        <v>78.811862670475904</v>
      </c>
      <c r="AK3510">
        <v>18.332151900167101</v>
      </c>
      <c r="AL3510">
        <v>89.010124340807295</v>
      </c>
      <c r="AM3510">
        <v>86.700569765338997</v>
      </c>
      <c r="AN3510">
        <v>1.00000000018587</v>
      </c>
    </row>
    <row r="3511" spans="1:40" x14ac:dyDescent="0.25">
      <c r="A3511" t="str">
        <f>"20190312161036024"</f>
        <v>20190312161036024</v>
      </c>
      <c r="B3511" t="str">
        <f>"1552378236019740"</f>
        <v>1552378236019740</v>
      </c>
      <c r="C3511" t="s">
        <v>40</v>
      </c>
      <c r="D3511">
        <v>5.8282790000000002</v>
      </c>
      <c r="E3511">
        <v>0.55217729999999998</v>
      </c>
      <c r="F3511" t="s">
        <v>59</v>
      </c>
      <c r="G3511">
        <v>-199.30549999999999</v>
      </c>
      <c r="H3511" s="1">
        <v>2.795301E-6</v>
      </c>
      <c r="I3511">
        <v>209.44929999999999</v>
      </c>
      <c r="J3511">
        <v>-218.3614</v>
      </c>
      <c r="K3511">
        <v>1.1103339999999999</v>
      </c>
      <c r="L3511">
        <v>213.40369999999999</v>
      </c>
      <c r="M3511">
        <v>0.99986339999999996</v>
      </c>
      <c r="N3511">
        <v>0</v>
      </c>
      <c r="O3511">
        <v>-8.4208859999999903E-3</v>
      </c>
      <c r="P3511">
        <v>0.99775400000000003</v>
      </c>
      <c r="Q3511">
        <v>2.7106700000000001E-3</v>
      </c>
      <c r="R3511">
        <v>-6.6930290000000003E-2</v>
      </c>
      <c r="S3511">
        <v>2.9669650000000001</v>
      </c>
      <c r="T3511">
        <v>-0.1701386</v>
      </c>
      <c r="U3511">
        <v>-0.60630799999999996</v>
      </c>
      <c r="V3511">
        <v>5.8521089999999998E-2</v>
      </c>
      <c r="W3511">
        <v>1.6925780000000001E-2</v>
      </c>
      <c r="X3511">
        <v>0.99814270000000005</v>
      </c>
      <c r="Y3511">
        <v>0.19166800000000001</v>
      </c>
      <c r="Z3511">
        <v>-4.9574889999999998E-3</v>
      </c>
      <c r="AA3511">
        <v>0.98144730000000002</v>
      </c>
      <c r="AB3511">
        <v>30</v>
      </c>
      <c r="AC3511">
        <v>19.055900000000001</v>
      </c>
      <c r="AD3511">
        <v>-1.1103312046989999</v>
      </c>
      <c r="AE3511">
        <v>-3.9543999999999899</v>
      </c>
      <c r="AF3511">
        <v>3.7814677262735201</v>
      </c>
      <c r="AG3511">
        <v>-1.1103312046989999</v>
      </c>
      <c r="AH3511">
        <v>19.026597736283101</v>
      </c>
      <c r="AI3511">
        <v>93.275881429923501</v>
      </c>
      <c r="AJ3511">
        <v>78.759147823413997</v>
      </c>
      <c r="AK3511">
        <v>19.430485196394599</v>
      </c>
      <c r="AL3511">
        <v>89.030177955212594</v>
      </c>
      <c r="AM3511">
        <v>86.644590588328995</v>
      </c>
      <c r="AN3511">
        <v>1.00000002478334</v>
      </c>
    </row>
    <row r="3512" spans="1:40" x14ac:dyDescent="0.25">
      <c r="A3512" t="str">
        <f>"20190312161036048"</f>
        <v>20190312161036048</v>
      </c>
      <c r="B3512" t="str">
        <f>"1552378236040235"</f>
        <v>1552378236040235</v>
      </c>
      <c r="C3512" t="s">
        <v>40</v>
      </c>
      <c r="D3512">
        <v>5.7930080000000004</v>
      </c>
      <c r="E3512">
        <v>0.55230900000000005</v>
      </c>
      <c r="F3512" t="s">
        <v>59</v>
      </c>
      <c r="G3512">
        <v>-198.5642</v>
      </c>
      <c r="H3512" s="1">
        <v>2.9604839999999998E-6</v>
      </c>
      <c r="I3512">
        <v>209.32210000000001</v>
      </c>
      <c r="J3512">
        <v>-218.05109999999999</v>
      </c>
      <c r="K3512">
        <v>1.1103080000000001</v>
      </c>
      <c r="L3512">
        <v>213.40119999999999</v>
      </c>
      <c r="M3512">
        <v>0.99986419999999998</v>
      </c>
      <c r="N3512">
        <v>0</v>
      </c>
      <c r="O3512">
        <v>-8.3297939999999997E-3</v>
      </c>
      <c r="P3512">
        <v>0.99768559999999995</v>
      </c>
      <c r="Q3512">
        <v>2.0666199999999999E-3</v>
      </c>
      <c r="R3512">
        <v>-6.7967570000000005E-2</v>
      </c>
      <c r="S3512">
        <v>2.966202</v>
      </c>
      <c r="T3512">
        <v>-0.1663606</v>
      </c>
      <c r="U3512">
        <v>-0.61155700000000002</v>
      </c>
      <c r="V3512">
        <v>5.9650979999999999E-2</v>
      </c>
      <c r="W3512">
        <v>1.6274520000000001E-2</v>
      </c>
      <c r="X3512">
        <v>0.99808660000000005</v>
      </c>
      <c r="Y3512">
        <v>0.19348299999999999</v>
      </c>
      <c r="Z3512">
        <v>-4.9033210000000004E-3</v>
      </c>
      <c r="AA3512">
        <v>0.98109139999999995</v>
      </c>
      <c r="AB3512">
        <v>30</v>
      </c>
      <c r="AC3512">
        <v>19.486899999999899</v>
      </c>
      <c r="AD3512">
        <v>-1.1103050395159999</v>
      </c>
      <c r="AE3512">
        <v>-4.07909999999998</v>
      </c>
      <c r="AF3512">
        <v>3.90447685445772</v>
      </c>
      <c r="AG3512">
        <v>-1.1103050395159999</v>
      </c>
      <c r="AH3512">
        <v>19.4596836826924</v>
      </c>
      <c r="AI3512">
        <v>93.201888259261693</v>
      </c>
      <c r="AJ3512">
        <v>78.654569740193296</v>
      </c>
      <c r="AK3512">
        <v>19.8785564319499</v>
      </c>
      <c r="AL3512">
        <v>89.067497505130206</v>
      </c>
      <c r="AM3512">
        <v>86.579766910314007</v>
      </c>
      <c r="AN3512">
        <v>0.99999998025787495</v>
      </c>
    </row>
    <row r="3513" spans="1:40" x14ac:dyDescent="0.25">
      <c r="A3513" t="str">
        <f>"20190312161036070"</f>
        <v>20190312161036070</v>
      </c>
      <c r="B3513" t="str">
        <f>"1552378236059756"</f>
        <v>1552378236059756</v>
      </c>
      <c r="C3513" t="s">
        <v>40</v>
      </c>
      <c r="D3513">
        <v>5.7979960000000004</v>
      </c>
      <c r="E3513">
        <v>0.55271899999999996</v>
      </c>
      <c r="F3513" t="s">
        <v>59</v>
      </c>
      <c r="G3513">
        <v>-198.227</v>
      </c>
      <c r="H3513" s="1">
        <v>3.0300190000000001E-6</v>
      </c>
      <c r="I3513">
        <v>209.28540000000001</v>
      </c>
      <c r="J3513">
        <v>-217.74770000000001</v>
      </c>
      <c r="K3513">
        <v>1.110282</v>
      </c>
      <c r="L3513">
        <v>213.39879999999999</v>
      </c>
      <c r="M3513">
        <v>0.99986459999999999</v>
      </c>
      <c r="N3513">
        <v>0</v>
      </c>
      <c r="O3513">
        <v>-8.2774930000000004E-3</v>
      </c>
      <c r="P3513">
        <v>0.99765190000000004</v>
      </c>
      <c r="Q3513">
        <v>1.8614790000000001E-3</v>
      </c>
      <c r="R3513">
        <v>-6.8466830000000006E-2</v>
      </c>
      <c r="S3513">
        <v>2.965363</v>
      </c>
      <c r="T3513">
        <v>-0.16608290000000001</v>
      </c>
      <c r="U3513">
        <v>-0.61566160000000003</v>
      </c>
      <c r="V3513">
        <v>6.0203640000000003E-2</v>
      </c>
      <c r="W3513">
        <v>1.6068550000000001E-2</v>
      </c>
      <c r="X3513">
        <v>0.99805679999999997</v>
      </c>
      <c r="Y3513">
        <v>0.1948899</v>
      </c>
      <c r="Z3513">
        <v>-4.9376749999999999E-3</v>
      </c>
      <c r="AA3513">
        <v>0.98081269999999998</v>
      </c>
      <c r="AB3513">
        <v>30</v>
      </c>
      <c r="AC3513">
        <v>19.520700000000001</v>
      </c>
      <c r="AD3513">
        <v>-1.1102789699810001</v>
      </c>
      <c r="AE3513">
        <v>-4.11339999999998</v>
      </c>
      <c r="AF3513">
        <v>3.9394579444709801</v>
      </c>
      <c r="AG3513">
        <v>-1.1102789699810001</v>
      </c>
      <c r="AH3513">
        <v>19.493702268542702</v>
      </c>
      <c r="AI3513">
        <v>93.195345931185798</v>
      </c>
      <c r="AJ3513">
        <v>78.575040213276495</v>
      </c>
      <c r="AK3513">
        <v>19.918746858726401</v>
      </c>
      <c r="AL3513">
        <v>89.079300302903107</v>
      </c>
      <c r="AM3513">
        <v>86.548052268136104</v>
      </c>
      <c r="AN3513">
        <v>1.0000000262972899</v>
      </c>
    </row>
    <row r="3514" spans="1:40" x14ac:dyDescent="0.25">
      <c r="A3514" t="str">
        <f>"20190312161036107"</f>
        <v>20190312161036107</v>
      </c>
      <c r="B3514" t="str">
        <f>"1552378236099775"</f>
        <v>1552378236099775</v>
      </c>
      <c r="C3514" t="s">
        <v>40</v>
      </c>
      <c r="D3514">
        <v>5.8545420000000004</v>
      </c>
      <c r="E3514">
        <v>0.55329079999999997</v>
      </c>
      <c r="F3514" t="s">
        <v>59</v>
      </c>
      <c r="G3514">
        <v>-197.29320000000001</v>
      </c>
      <c r="H3514" s="1">
        <v>3.2400739999999998E-6</v>
      </c>
      <c r="I3514">
        <v>209.11760000000001</v>
      </c>
      <c r="J3514">
        <v>-217.26320000000001</v>
      </c>
      <c r="K3514">
        <v>1.110255</v>
      </c>
      <c r="L3514">
        <v>213.39490000000001</v>
      </c>
      <c r="M3514">
        <v>0.99986439999999999</v>
      </c>
      <c r="N3514">
        <v>0</v>
      </c>
      <c r="O3514">
        <v>-8.2449280000000003E-3</v>
      </c>
      <c r="P3514">
        <v>0.99764509999999995</v>
      </c>
      <c r="Q3514">
        <v>3.2411409999999999E-3</v>
      </c>
      <c r="R3514">
        <v>-6.851082E-2</v>
      </c>
      <c r="S3514">
        <v>2.9647830000000002</v>
      </c>
      <c r="T3514">
        <v>-0.16092919999999999</v>
      </c>
      <c r="U3514">
        <v>-0.620529199999999</v>
      </c>
      <c r="V3514">
        <v>6.0281790000000002E-2</v>
      </c>
      <c r="W3514">
        <v>1.747025E-2</v>
      </c>
      <c r="X3514">
        <v>0.99802849999999999</v>
      </c>
      <c r="Y3514">
        <v>0.19651779999999999</v>
      </c>
      <c r="Z3514">
        <v>-4.8302240000000001E-3</v>
      </c>
      <c r="AA3514">
        <v>0.98048840000000004</v>
      </c>
      <c r="AB3514">
        <v>29</v>
      </c>
      <c r="AC3514">
        <v>19.97</v>
      </c>
      <c r="AD3514">
        <v>-1.110251759926</v>
      </c>
      <c r="AE3514">
        <v>-4.2772999999999897</v>
      </c>
      <c r="AF3514">
        <v>4.1003686786048501</v>
      </c>
      <c r="AG3514">
        <v>-1.110251759926</v>
      </c>
      <c r="AH3514">
        <v>19.945644634944099</v>
      </c>
      <c r="AI3514">
        <v>93.120885056584896</v>
      </c>
      <c r="AJ3514">
        <v>78.383143045786198</v>
      </c>
      <c r="AK3514">
        <v>20.392999342283598</v>
      </c>
      <c r="AL3514">
        <v>88.998977478592494</v>
      </c>
      <c r="AM3514">
        <v>86.543484398841997</v>
      </c>
      <c r="AN3514">
        <v>0.999999995326458</v>
      </c>
    </row>
    <row r="3515" spans="1:40" x14ac:dyDescent="0.25">
      <c r="A3515" t="str">
        <f>"20190312161036130"</f>
        <v>20190312161036130</v>
      </c>
      <c r="B3515" t="str">
        <f>"1552378236120267"</f>
        <v>1552378236120267</v>
      </c>
      <c r="C3515" t="s">
        <v>40</v>
      </c>
      <c r="D3515">
        <v>5.8616299999999999</v>
      </c>
      <c r="E3515">
        <v>0.55336779999999997</v>
      </c>
      <c r="F3515" t="s">
        <v>59</v>
      </c>
      <c r="G3515">
        <v>-195.63890000000001</v>
      </c>
      <c r="H3515" s="1">
        <v>3.6092830000000001E-6</v>
      </c>
      <c r="I3515">
        <v>208.83150000000001</v>
      </c>
      <c r="J3515">
        <v>-216.96430000000001</v>
      </c>
      <c r="K3515">
        <v>1.110252</v>
      </c>
      <c r="L3515">
        <v>213.39240000000001</v>
      </c>
      <c r="M3515">
        <v>0.99986419999999998</v>
      </c>
      <c r="N3515">
        <v>0</v>
      </c>
      <c r="O3515">
        <v>-8.2465149999999994E-3</v>
      </c>
      <c r="P3515">
        <v>0.99767329999999999</v>
      </c>
      <c r="Q3515">
        <v>3.5156380000000002E-3</v>
      </c>
      <c r="R3515">
        <v>-6.8084599999999995E-2</v>
      </c>
      <c r="S3515">
        <v>2.9646150000000002</v>
      </c>
      <c r="T3515">
        <v>-0.15221100000000001</v>
      </c>
      <c r="U3515">
        <v>-0.62561040000000001</v>
      </c>
      <c r="V3515">
        <v>5.985443E-2</v>
      </c>
      <c r="W3515">
        <v>1.7767749999999999E-2</v>
      </c>
      <c r="X3515">
        <v>0.99804899999999996</v>
      </c>
      <c r="Y3515">
        <v>0.19816239999999999</v>
      </c>
      <c r="Z3515">
        <v>-4.610004E-3</v>
      </c>
      <c r="AA3515">
        <v>0.98015830000000004</v>
      </c>
      <c r="AB3515">
        <v>29</v>
      </c>
      <c r="AC3515">
        <v>21.325399999999998</v>
      </c>
      <c r="AD3515">
        <v>-1.110248390717</v>
      </c>
      <c r="AE3515">
        <v>-4.5609000000000002</v>
      </c>
      <c r="AF3515">
        <v>4.37353090321007</v>
      </c>
      <c r="AG3515">
        <v>-1.110248390717</v>
      </c>
      <c r="AH3515">
        <v>21.3070638572988</v>
      </c>
      <c r="AI3515">
        <v>92.922005080748306</v>
      </c>
      <c r="AJ3515">
        <v>78.400467505790402</v>
      </c>
      <c r="AK3515">
        <v>21.779609598646001</v>
      </c>
      <c r="AL3515">
        <v>88.981929369017493</v>
      </c>
      <c r="AM3515">
        <v>86.568000465232004</v>
      </c>
      <c r="AN3515">
        <v>1.0000000260658399</v>
      </c>
    </row>
    <row r="3516" spans="1:40" x14ac:dyDescent="0.25">
      <c r="A3516" t="str">
        <f>"20190312161036154"</f>
        <v>20190312161036154</v>
      </c>
      <c r="B3516" t="str">
        <f>"1552378236150523"</f>
        <v>1552378236150523</v>
      </c>
      <c r="C3516" t="s">
        <v>40</v>
      </c>
      <c r="D3516">
        <v>5.915311</v>
      </c>
      <c r="E3516">
        <v>0.55381250000000004</v>
      </c>
      <c r="F3516" t="s">
        <v>59</v>
      </c>
      <c r="G3516">
        <v>-195.27680000000001</v>
      </c>
      <c r="H3516" s="1">
        <v>3.675952E-6</v>
      </c>
      <c r="I3516">
        <v>208.82230000000001</v>
      </c>
      <c r="J3516">
        <v>-216.64699999999999</v>
      </c>
      <c r="K3516">
        <v>1.110257</v>
      </c>
      <c r="L3516">
        <v>213.38980000000001</v>
      </c>
      <c r="M3516">
        <v>0.99986350000000002</v>
      </c>
      <c r="N3516">
        <v>0</v>
      </c>
      <c r="O3516">
        <v>-8.2594309999999994E-3</v>
      </c>
      <c r="P3516">
        <v>0.99768460000000003</v>
      </c>
      <c r="Q3516">
        <v>3.6159619999999999E-3</v>
      </c>
      <c r="R3516">
        <v>-6.7915310000000007E-2</v>
      </c>
      <c r="S3516">
        <v>2.96489</v>
      </c>
      <c r="T3516">
        <v>-0.15178169999999999</v>
      </c>
      <c r="U3516">
        <v>-0.62477109999999902</v>
      </c>
      <c r="V3516">
        <v>5.9672500000000003E-2</v>
      </c>
      <c r="W3516">
        <v>1.7902669999999999E-2</v>
      </c>
      <c r="X3516">
        <v>0.99805750000000004</v>
      </c>
      <c r="Y3516">
        <v>0.1978675</v>
      </c>
      <c r="Z3516">
        <v>-4.5886199999999999E-3</v>
      </c>
      <c r="AA3516">
        <v>0.98021809999999998</v>
      </c>
      <c r="AB3516">
        <v>29</v>
      </c>
      <c r="AC3516">
        <v>21.370200000000001</v>
      </c>
      <c r="AD3516">
        <v>-1.1102533240479999</v>
      </c>
      <c r="AE3516">
        <v>-4.5674999999999901</v>
      </c>
      <c r="AF3516">
        <v>4.37951584545086</v>
      </c>
      <c r="AG3516">
        <v>-1.1102533240479999</v>
      </c>
      <c r="AH3516">
        <v>21.352084979958601</v>
      </c>
      <c r="AI3516">
        <v>92.915954979983297</v>
      </c>
      <c r="AJ3516">
        <v>78.408852087703295</v>
      </c>
      <c r="AK3516">
        <v>21.824856344899199</v>
      </c>
      <c r="AL3516">
        <v>88.974197810309406</v>
      </c>
      <c r="AM3516">
        <v>86.5784364184819</v>
      </c>
      <c r="AN3516">
        <v>1.00000004307781</v>
      </c>
    </row>
    <row r="3517" spans="1:40" x14ac:dyDescent="0.25">
      <c r="A3517" t="str">
        <f>"20190312161036177"</f>
        <v>20190312161036177</v>
      </c>
      <c r="B3517" t="str">
        <f>"1552378236170044"</f>
        <v>1552378236170044</v>
      </c>
      <c r="C3517" t="s">
        <v>40</v>
      </c>
      <c r="D3517">
        <v>5.887251</v>
      </c>
      <c r="E3517">
        <v>0.55407139999999999</v>
      </c>
      <c r="F3517" t="s">
        <v>59</v>
      </c>
      <c r="G3517">
        <v>-195.1294</v>
      </c>
      <c r="H3517" s="1">
        <v>3.6991279999999998E-6</v>
      </c>
      <c r="I3517">
        <v>208.83349999999999</v>
      </c>
      <c r="J3517">
        <v>-216.33439999999999</v>
      </c>
      <c r="K3517">
        <v>1.1102620000000001</v>
      </c>
      <c r="L3517">
        <v>213.38720000000001</v>
      </c>
      <c r="M3517">
        <v>0.99986240000000004</v>
      </c>
      <c r="N3517">
        <v>0</v>
      </c>
      <c r="O3517">
        <v>-8.2871139999999999E-3</v>
      </c>
      <c r="P3517">
        <v>0.99767910000000004</v>
      </c>
      <c r="Q3517">
        <v>3.8595999999999999E-3</v>
      </c>
      <c r="R3517">
        <v>-6.7983210000000002E-2</v>
      </c>
      <c r="S3517">
        <v>2.9647830000000002</v>
      </c>
      <c r="T3517">
        <v>-0.15297529999999901</v>
      </c>
      <c r="U3517">
        <v>-0.62777709999999998</v>
      </c>
      <c r="V3517">
        <v>5.9713049999999997E-2</v>
      </c>
      <c r="W3517">
        <v>1.8206369999999999E-2</v>
      </c>
      <c r="X3517">
        <v>0.99804959999999998</v>
      </c>
      <c r="Y3517">
        <v>0.1987939</v>
      </c>
      <c r="Z3517">
        <v>-4.6465550000000001E-3</v>
      </c>
      <c r="AA3517">
        <v>0.98003030000000002</v>
      </c>
      <c r="AB3517">
        <v>29</v>
      </c>
      <c r="AC3517">
        <v>21.204999999999899</v>
      </c>
      <c r="AD3517">
        <v>-1.1102583008719999</v>
      </c>
      <c r="AE3517">
        <v>-4.5537000000000196</v>
      </c>
      <c r="AF3517">
        <v>4.3663549700039397</v>
      </c>
      <c r="AG3517">
        <v>-1.1102583008719999</v>
      </c>
      <c r="AH3517">
        <v>21.186492467044499</v>
      </c>
      <c r="AI3517">
        <v>92.938151114516003</v>
      </c>
      <c r="AJ3517">
        <v>78.354873221560993</v>
      </c>
      <c r="AK3517">
        <v>21.6602214271892</v>
      </c>
      <c r="AL3517">
        <v>88.956794265943699</v>
      </c>
      <c r="AM3517">
        <v>86.576089813036404</v>
      </c>
      <c r="AN3517">
        <v>1.00000006215451</v>
      </c>
    </row>
    <row r="3518" spans="1:40" x14ac:dyDescent="0.25">
      <c r="A3518" t="str">
        <f>"20190312161036208"</f>
        <v>20190312161036208</v>
      </c>
      <c r="B3518" t="str">
        <f>"1552378236200303"</f>
        <v>1552378236200303</v>
      </c>
      <c r="C3518" t="s">
        <v>40</v>
      </c>
      <c r="D3518">
        <v>5.8100059999999996</v>
      </c>
      <c r="E3518">
        <v>0.55468099999999998</v>
      </c>
      <c r="F3518" t="s">
        <v>59</v>
      </c>
      <c r="G3518">
        <v>-194.8278</v>
      </c>
      <c r="H3518" s="1">
        <v>3.7566460000000002E-6</v>
      </c>
      <c r="I3518">
        <v>208.8184</v>
      </c>
      <c r="J3518">
        <v>-215.94839999999999</v>
      </c>
      <c r="K3518">
        <v>1.110271</v>
      </c>
      <c r="L3518">
        <v>213.38390000000001</v>
      </c>
      <c r="M3518">
        <v>0.99985930000000001</v>
      </c>
      <c r="N3518">
        <v>0</v>
      </c>
      <c r="O3518">
        <v>-8.3636300000000004E-3</v>
      </c>
      <c r="P3518">
        <v>0.99761840000000002</v>
      </c>
      <c r="Q3518">
        <v>4.236849E-3</v>
      </c>
      <c r="R3518">
        <v>-6.8844970000000005E-2</v>
      </c>
      <c r="S3518">
        <v>2.9646759999999999</v>
      </c>
      <c r="T3518">
        <v>-0.1530483</v>
      </c>
      <c r="U3518">
        <v>-0.62980649999999905</v>
      </c>
      <c r="V3518">
        <v>6.0500129999999999E-2</v>
      </c>
      <c r="W3518">
        <v>1.8741290000000001E-2</v>
      </c>
      <c r="X3518">
        <v>0.9979922</v>
      </c>
      <c r="Y3518">
        <v>0.19936719999999999</v>
      </c>
      <c r="Z3518">
        <v>-4.6593279999999999E-3</v>
      </c>
      <c r="AA3518">
        <v>0.97991379999999995</v>
      </c>
      <c r="AB3518">
        <v>29</v>
      </c>
      <c r="AC3518">
        <v>21.1206</v>
      </c>
      <c r="AD3518">
        <v>-1.110267243354</v>
      </c>
      <c r="AE3518">
        <v>-4.5655000000000099</v>
      </c>
      <c r="AF3518">
        <v>4.3771209815587797</v>
      </c>
      <c r="AG3518">
        <v>-1.110267243354</v>
      </c>
      <c r="AH3518">
        <v>21.1023384632614</v>
      </c>
      <c r="AI3518">
        <v>92.949093585085706</v>
      </c>
      <c r="AJ3518">
        <v>78.281681083667095</v>
      </c>
      <c r="AK3518">
        <v>21.580096618340502</v>
      </c>
      <c r="AL3518">
        <v>88.926140275080897</v>
      </c>
      <c r="AM3518">
        <v>86.530869584388498</v>
      </c>
      <c r="AN3518">
        <v>0.99999996647085898</v>
      </c>
    </row>
    <row r="3519" spans="1:40" x14ac:dyDescent="0.25">
      <c r="A3519" t="str">
        <f>"20190312161036235"</f>
        <v>20190312161036235</v>
      </c>
      <c r="B3519" t="str">
        <f>"1552378236229579"</f>
        <v>1552378236229579</v>
      </c>
      <c r="C3519" t="s">
        <v>40</v>
      </c>
      <c r="D3519">
        <v>5.6993260000000001</v>
      </c>
      <c r="E3519">
        <v>0.55517299999999903</v>
      </c>
      <c r="F3519" t="s">
        <v>59</v>
      </c>
      <c r="G3519">
        <v>-193.88890000000001</v>
      </c>
      <c r="H3519" s="1">
        <v>3.9706099999999996E-6</v>
      </c>
      <c r="I3519">
        <v>208.63929999999999</v>
      </c>
      <c r="J3519">
        <v>-215.59620000000001</v>
      </c>
      <c r="K3519">
        <v>1.1102620000000001</v>
      </c>
      <c r="L3519">
        <v>213.38079999999999</v>
      </c>
      <c r="M3519">
        <v>0.99985500000000005</v>
      </c>
      <c r="N3519">
        <v>0</v>
      </c>
      <c r="O3519">
        <v>-8.4980760000000002E-3</v>
      </c>
      <c r="P3519">
        <v>0.99752830000000003</v>
      </c>
      <c r="Q3519">
        <v>3.645658E-3</v>
      </c>
      <c r="R3519">
        <v>-7.0169839999999997E-2</v>
      </c>
      <c r="S3519">
        <v>2.9638059999999999</v>
      </c>
      <c r="T3519">
        <v>-0.14916989999999999</v>
      </c>
      <c r="U3519">
        <v>-0.63746639999999999</v>
      </c>
      <c r="V3519">
        <v>6.1693659999999997E-2</v>
      </c>
      <c r="W3519">
        <v>1.8360359999999999E-2</v>
      </c>
      <c r="X3519">
        <v>0.99792619999999999</v>
      </c>
      <c r="Y3519">
        <v>0.20172470000000001</v>
      </c>
      <c r="Z3519">
        <v>-4.5934309999999898E-3</v>
      </c>
      <c r="AA3519">
        <v>0.97943150000000001</v>
      </c>
      <c r="AB3519">
        <v>29</v>
      </c>
      <c r="AC3519">
        <v>21.7073</v>
      </c>
      <c r="AD3519">
        <v>-1.11025802939</v>
      </c>
      <c r="AE3519">
        <v>-4.7415000000000003</v>
      </c>
      <c r="AF3519">
        <v>4.5454889149991597</v>
      </c>
      <c r="AG3519">
        <v>-1.11025802939</v>
      </c>
      <c r="AH3519">
        <v>21.692650439285</v>
      </c>
      <c r="AI3519">
        <v>92.867742251889197</v>
      </c>
      <c r="AJ3519">
        <v>78.165438377138898</v>
      </c>
      <c r="AK3519">
        <v>22.191557526438199</v>
      </c>
      <c r="AL3519">
        <v>88.947969702210401</v>
      </c>
      <c r="AM3519">
        <v>86.462370274968606</v>
      </c>
      <c r="AN3519">
        <v>0.999999955574981</v>
      </c>
    </row>
    <row r="3520" spans="1:40" x14ac:dyDescent="0.25">
      <c r="A3520" t="str">
        <f>"20190312161036275"</f>
        <v>20190312161036275</v>
      </c>
      <c r="B3520" t="str">
        <f>"1552378236269596"</f>
        <v>1552378236269596</v>
      </c>
      <c r="C3520" t="s">
        <v>40</v>
      </c>
      <c r="D3520">
        <v>5.556565</v>
      </c>
      <c r="E3520">
        <v>0.55581579999999997</v>
      </c>
      <c r="F3520" t="s">
        <v>59</v>
      </c>
      <c r="G3520">
        <v>-193.3006</v>
      </c>
      <c r="H3520" s="1">
        <v>4.1060680000000003E-6</v>
      </c>
      <c r="I3520">
        <v>208.52189999999999</v>
      </c>
      <c r="J3520">
        <v>-215.08600000000001</v>
      </c>
      <c r="K3520">
        <v>1.110249</v>
      </c>
      <c r="L3520">
        <v>213.37610000000001</v>
      </c>
      <c r="M3520">
        <v>0.99984720000000005</v>
      </c>
      <c r="N3520">
        <v>0</v>
      </c>
      <c r="O3520">
        <v>-8.8344540000000003E-3</v>
      </c>
      <c r="P3520">
        <v>0.99724559999999995</v>
      </c>
      <c r="Q3520">
        <v>2.4344890000000002E-3</v>
      </c>
      <c r="R3520">
        <v>-7.4131799999999998E-2</v>
      </c>
      <c r="S3520">
        <v>2.9625699999999999</v>
      </c>
      <c r="T3520">
        <v>-0.14752750000000001</v>
      </c>
      <c r="U3520">
        <v>-0.64564509999999997</v>
      </c>
      <c r="V3520">
        <v>6.5325040000000001E-2</v>
      </c>
      <c r="W3520">
        <v>1.7464529999999999E-2</v>
      </c>
      <c r="X3520">
        <v>0.99771120000000002</v>
      </c>
      <c r="Y3520">
        <v>0.2040641</v>
      </c>
      <c r="Z3520">
        <v>-4.5844500000000003E-3</v>
      </c>
      <c r="AA3520">
        <v>0.97894680000000001</v>
      </c>
      <c r="AB3520">
        <v>29</v>
      </c>
      <c r="AC3520">
        <v>21.7853999999999</v>
      </c>
      <c r="AD3520">
        <v>-1.110244893932</v>
      </c>
      <c r="AE3520">
        <v>-4.8542000000000201</v>
      </c>
      <c r="AF3520">
        <v>4.6500206906091801</v>
      </c>
      <c r="AG3520">
        <v>-1.110244893932</v>
      </c>
      <c r="AH3520">
        <v>21.7735631177503</v>
      </c>
      <c r="AI3520">
        <v>92.854747252417795</v>
      </c>
      <c r="AJ3520">
        <v>77.944856361342502</v>
      </c>
      <c r="AK3520">
        <v>22.2922270531738</v>
      </c>
      <c r="AL3520">
        <v>88.999305269774595</v>
      </c>
      <c r="AM3520">
        <v>86.253911633586597</v>
      </c>
      <c r="AN3520">
        <v>1.0000000046322799</v>
      </c>
    </row>
    <row r="3521" spans="1:40" x14ac:dyDescent="0.25">
      <c r="A3521" t="str">
        <f>"20190312161036299"</f>
        <v>20190312161036299</v>
      </c>
      <c r="B3521" t="str">
        <f>"1552378236290092"</f>
        <v>1552378236290092</v>
      </c>
      <c r="C3521" t="s">
        <v>40</v>
      </c>
      <c r="D3521">
        <v>5.5004629999999999</v>
      </c>
      <c r="E3521">
        <v>0.55638240000000005</v>
      </c>
      <c r="F3521" t="s">
        <v>59</v>
      </c>
      <c r="G3521">
        <v>-193.3295</v>
      </c>
      <c r="H3521" s="1">
        <v>4.1046649999999999E-6</v>
      </c>
      <c r="I3521">
        <v>208.5078</v>
      </c>
      <c r="J3521">
        <v>-214.76410000000001</v>
      </c>
      <c r="K3521">
        <v>1.1102339999999999</v>
      </c>
      <c r="L3521">
        <v>213.37289999999999</v>
      </c>
      <c r="M3521">
        <v>0.99984119999999999</v>
      </c>
      <c r="N3521">
        <v>0</v>
      </c>
      <c r="O3521">
        <v>-9.1569440000000002E-3</v>
      </c>
      <c r="P3521">
        <v>0.99707760000000001</v>
      </c>
      <c r="Q3521">
        <v>1.86999E-3</v>
      </c>
      <c r="R3521">
        <v>-7.6373490000000002E-2</v>
      </c>
      <c r="S3521">
        <v>2.9594119999999999</v>
      </c>
      <c r="T3521">
        <v>-0.15102079999999901</v>
      </c>
      <c r="U3521">
        <v>-0.66221619999999903</v>
      </c>
      <c r="V3521">
        <v>6.7248370000000002E-2</v>
      </c>
      <c r="W3521">
        <v>1.7095989999999998E-2</v>
      </c>
      <c r="X3521">
        <v>0.99758979999999997</v>
      </c>
      <c r="Y3521">
        <v>0.2091721</v>
      </c>
      <c r="Z3521">
        <v>-4.8073869999999998E-3</v>
      </c>
      <c r="AA3521">
        <v>0.97786700000000004</v>
      </c>
      <c r="AB3521">
        <v>29</v>
      </c>
      <c r="AC3521">
        <v>21.4346</v>
      </c>
      <c r="AD3521">
        <v>-1.110229895335</v>
      </c>
      <c r="AE3521">
        <v>-4.8650999999999804</v>
      </c>
      <c r="AF3521">
        <v>4.65671645711382</v>
      </c>
      <c r="AG3521">
        <v>-1.110229895335</v>
      </c>
      <c r="AH3521">
        <v>21.4235956091117</v>
      </c>
      <c r="AI3521">
        <v>92.898997113297895</v>
      </c>
      <c r="AJ3521">
        <v>77.736725161279395</v>
      </c>
      <c r="AK3521">
        <v>21.9519490570929</v>
      </c>
      <c r="AL3521">
        <v>89.020424217557903</v>
      </c>
      <c r="AM3521">
        <v>86.143477736278896</v>
      </c>
      <c r="AN3521">
        <v>1.0000000126028801</v>
      </c>
    </row>
    <row r="3522" spans="1:40" x14ac:dyDescent="0.25">
      <c r="A3522" t="str">
        <f>"20190312161036322"</f>
        <v>20190312161036322</v>
      </c>
      <c r="B3522" t="str">
        <f>"1552378236309612"</f>
        <v>1552378236309612</v>
      </c>
      <c r="C3522" t="s">
        <v>40</v>
      </c>
      <c r="D3522">
        <v>5.4704819999999996</v>
      </c>
      <c r="E3522">
        <v>0.55695689999999998</v>
      </c>
      <c r="F3522" t="s">
        <v>59</v>
      </c>
      <c r="G3522">
        <v>-193.5111</v>
      </c>
      <c r="H3522" s="1">
        <v>4.0648840000000002E-6</v>
      </c>
      <c r="I3522">
        <v>208.53630000000001</v>
      </c>
      <c r="J3522">
        <v>-214.47669999999999</v>
      </c>
      <c r="K3522">
        <v>1.110209</v>
      </c>
      <c r="L3522">
        <v>213.3699</v>
      </c>
      <c r="M3522">
        <v>0.99983500000000003</v>
      </c>
      <c r="N3522">
        <v>0</v>
      </c>
      <c r="O3522">
        <v>-9.5211570000000006E-3</v>
      </c>
      <c r="P3522">
        <v>0.99690749999999995</v>
      </c>
      <c r="Q3522">
        <v>2.585347E-3</v>
      </c>
      <c r="R3522">
        <v>-7.8542689999999998E-2</v>
      </c>
      <c r="S3522">
        <v>2.9575200000000001</v>
      </c>
      <c r="T3522">
        <v>-0.15449740000000001</v>
      </c>
      <c r="U3522">
        <v>-0.67304989999999998</v>
      </c>
      <c r="V3522">
        <v>6.9058460000000002E-2</v>
      </c>
      <c r="W3522">
        <v>1.7977050000000001E-2</v>
      </c>
      <c r="X3522">
        <v>0.99745059999999997</v>
      </c>
      <c r="Y3522">
        <v>0.21234120000000001</v>
      </c>
      <c r="Z3522">
        <v>-4.9819349999999998E-3</v>
      </c>
      <c r="AA3522">
        <v>0.97718289999999997</v>
      </c>
      <c r="AB3522">
        <v>29</v>
      </c>
      <c r="AC3522">
        <v>20.965599999999899</v>
      </c>
      <c r="AD3522">
        <v>-1.1102049351159999</v>
      </c>
      <c r="AE3522">
        <v>-4.8335999999999899</v>
      </c>
      <c r="AF3522">
        <v>4.6214353200432203</v>
      </c>
      <c r="AG3522">
        <v>-1.1102049351159999</v>
      </c>
      <c r="AH3522">
        <v>20.954882685098202</v>
      </c>
      <c r="AI3522">
        <v>92.961696337103504</v>
      </c>
      <c r="AJ3522">
        <v>77.562954829643104</v>
      </c>
      <c r="AK3522">
        <v>21.487143313189101</v>
      </c>
      <c r="AL3522">
        <v>88.969935391582794</v>
      </c>
      <c r="AM3522">
        <v>86.039448766690697</v>
      </c>
      <c r="AN3522">
        <v>0.99999997233231597</v>
      </c>
    </row>
    <row r="3523" spans="1:40" x14ac:dyDescent="0.25">
      <c r="A3523" t="str">
        <f>"20190312161036345"</f>
        <v>20190312161036345</v>
      </c>
      <c r="B3523" t="str">
        <f>"1552378236339868"</f>
        <v>1552378236339868</v>
      </c>
      <c r="C3523" t="s">
        <v>40</v>
      </c>
      <c r="D3523">
        <v>5.5725730000000002</v>
      </c>
      <c r="E3523">
        <v>0.55776709999999996</v>
      </c>
      <c r="F3523" t="s">
        <v>59</v>
      </c>
      <c r="G3523">
        <v>-193.12139999999999</v>
      </c>
      <c r="H3523" s="1">
        <v>4.1629709999999996E-6</v>
      </c>
      <c r="I3523">
        <v>208.42699999999999</v>
      </c>
      <c r="J3523">
        <v>-214.18639999999999</v>
      </c>
      <c r="K3523">
        <v>1.110177</v>
      </c>
      <c r="L3523">
        <v>213.36670000000001</v>
      </c>
      <c r="M3523">
        <v>0.99982769999999999</v>
      </c>
      <c r="N3523">
        <v>0</v>
      </c>
      <c r="O3523">
        <v>-9.9722119999999994E-3</v>
      </c>
      <c r="P3523">
        <v>0.99677369999999998</v>
      </c>
      <c r="Q3523">
        <v>3.1262009999999999E-3</v>
      </c>
      <c r="R3523">
        <v>-8.0203640000000007E-2</v>
      </c>
      <c r="S3523">
        <v>2.9558110000000002</v>
      </c>
      <c r="T3523">
        <v>-0.15366489999999999</v>
      </c>
      <c r="U3523">
        <v>-0.6841583</v>
      </c>
      <c r="V3523">
        <v>7.0273589999999997E-2</v>
      </c>
      <c r="W3523">
        <v>1.8686939999999999E-2</v>
      </c>
      <c r="X3523">
        <v>0.99735269999999998</v>
      </c>
      <c r="Y3523">
        <v>0.21550939999999999</v>
      </c>
      <c r="Z3523">
        <v>-5.0139709999999999E-3</v>
      </c>
      <c r="AA3523">
        <v>0.97648889999999999</v>
      </c>
      <c r="AB3523">
        <v>29</v>
      </c>
      <c r="AC3523">
        <v>21.065000000000001</v>
      </c>
      <c r="AD3523">
        <v>-1.110172837029</v>
      </c>
      <c r="AE3523">
        <v>-4.9396999999999798</v>
      </c>
      <c r="AF3523">
        <v>4.7169453680417996</v>
      </c>
      <c r="AG3523">
        <v>-1.110172837029</v>
      </c>
      <c r="AH3523">
        <v>21.0577781460286</v>
      </c>
      <c r="AI3523">
        <v>92.945011023663199</v>
      </c>
      <c r="AJ3523">
        <v>77.374155184356098</v>
      </c>
      <c r="AK3523">
        <v>21.6081484116647</v>
      </c>
      <c r="AL3523">
        <v>88.929254875385297</v>
      </c>
      <c r="AM3523">
        <v>85.969593569202104</v>
      </c>
      <c r="AN3523">
        <v>0.99999999368767001</v>
      </c>
    </row>
    <row r="3524" spans="1:40" x14ac:dyDescent="0.25">
      <c r="A3524" t="str">
        <f>"20190312161036368"</f>
        <v>20190312161036368</v>
      </c>
      <c r="B3524" t="str">
        <f>"1552378236360364"</f>
        <v>1552378236360364</v>
      </c>
      <c r="C3524" t="s">
        <v>40</v>
      </c>
      <c r="D3524">
        <v>5.4332310000000001</v>
      </c>
      <c r="E3524">
        <v>0.55823230000000001</v>
      </c>
      <c r="F3524" t="s">
        <v>59</v>
      </c>
      <c r="G3524">
        <v>-192.90219999999999</v>
      </c>
      <c r="H3524" s="1">
        <v>4.2203460000000001E-6</v>
      </c>
      <c r="I3524">
        <v>208.3571</v>
      </c>
      <c r="J3524">
        <v>-213.88910000000001</v>
      </c>
      <c r="K3524">
        <v>1.1101299999999901</v>
      </c>
      <c r="L3524">
        <v>213.3631</v>
      </c>
      <c r="M3524">
        <v>0.99981909999999896</v>
      </c>
      <c r="N3524">
        <v>0</v>
      </c>
      <c r="O3524">
        <v>-1.0529699999999999E-2</v>
      </c>
      <c r="P3524">
        <v>0.99662439999999997</v>
      </c>
      <c r="Q3524">
        <v>3.4424260000000002E-3</v>
      </c>
      <c r="R3524">
        <v>-8.202487E-2</v>
      </c>
      <c r="S3524">
        <v>2.9542389999999998</v>
      </c>
      <c r="T3524">
        <v>-0.1540917</v>
      </c>
      <c r="U3524">
        <v>-0.69532780000000005</v>
      </c>
      <c r="V3524">
        <v>7.1543399999999993E-2</v>
      </c>
      <c r="W3524">
        <v>1.9175609999999999E-2</v>
      </c>
      <c r="X3524">
        <v>0.9972531</v>
      </c>
      <c r="Y3524">
        <v>0.2185743</v>
      </c>
      <c r="Z3524">
        <v>-5.0785020000000004E-3</v>
      </c>
      <c r="AA3524">
        <v>0.97580710000000004</v>
      </c>
      <c r="AB3524">
        <v>29</v>
      </c>
      <c r="AC3524">
        <v>20.986899999999999</v>
      </c>
      <c r="AD3524">
        <v>-1.1101257796539901</v>
      </c>
      <c r="AE3524">
        <v>-5.0060000000000002</v>
      </c>
      <c r="AF3524">
        <v>4.7720754455181504</v>
      </c>
      <c r="AG3524">
        <v>-1.1101257796539901</v>
      </c>
      <c r="AH3524">
        <v>20.982904906888901</v>
      </c>
      <c r="AI3524">
        <v>92.953205682437996</v>
      </c>
      <c r="AJ3524">
        <v>77.187338708201693</v>
      </c>
      <c r="AK3524">
        <v>21.5473288747332</v>
      </c>
      <c r="AL3524">
        <v>88.901251083876303</v>
      </c>
      <c r="AM3524">
        <v>85.896604204799303</v>
      </c>
      <c r="AN3524">
        <v>0.99999995378101902</v>
      </c>
    </row>
    <row r="3525" spans="1:40" x14ac:dyDescent="0.25">
      <c r="A3525" t="str">
        <f>"20190312161036389"</f>
        <v>20190312161036389</v>
      </c>
      <c r="B3525" t="str">
        <f>"1552378236379884"</f>
        <v>1552378236379884</v>
      </c>
      <c r="C3525" t="s">
        <v>40</v>
      </c>
      <c r="D3525">
        <v>5.3549720000000001</v>
      </c>
      <c r="E3525">
        <v>0.55865410000000004</v>
      </c>
      <c r="F3525" t="s">
        <v>59</v>
      </c>
      <c r="G3525">
        <v>-192.79859999999999</v>
      </c>
      <c r="H3525" s="1">
        <v>4.2459850000000003E-6</v>
      </c>
      <c r="I3525">
        <v>208.32980000000001</v>
      </c>
      <c r="J3525">
        <v>-213.6095</v>
      </c>
      <c r="K3525">
        <v>1.11009</v>
      </c>
      <c r="L3525">
        <v>213.3596</v>
      </c>
      <c r="M3525">
        <v>0.99980999999999998</v>
      </c>
      <c r="N3525">
        <v>0</v>
      </c>
      <c r="O3525">
        <v>-1.112165E-2</v>
      </c>
      <c r="P3525">
        <v>0.99650190000000005</v>
      </c>
      <c r="Q3525">
        <v>2.8500399999999999E-3</v>
      </c>
      <c r="R3525">
        <v>-8.3524329999999994E-2</v>
      </c>
      <c r="S3525">
        <v>2.9527130000000001</v>
      </c>
      <c r="T3525">
        <v>-0.15541930000000001</v>
      </c>
      <c r="U3525">
        <v>-0.70468140000000001</v>
      </c>
      <c r="V3525">
        <v>7.2455749999999999E-2</v>
      </c>
      <c r="W3525">
        <v>1.8745100000000001E-2</v>
      </c>
      <c r="X3525">
        <v>0.99719550000000001</v>
      </c>
      <c r="Y3525">
        <v>0.221028</v>
      </c>
      <c r="Z3525">
        <v>-5.1558799999999998E-3</v>
      </c>
      <c r="AA3525">
        <v>0.97525390000000001</v>
      </c>
      <c r="AB3525">
        <v>28</v>
      </c>
      <c r="AC3525">
        <v>20.8109</v>
      </c>
      <c r="AD3525">
        <v>-1.110085754015</v>
      </c>
      <c r="AE3525">
        <v>-5.0297999999999901</v>
      </c>
      <c r="AF3525">
        <v>4.7851437917663304</v>
      </c>
      <c r="AG3525">
        <v>-1.110085754015</v>
      </c>
      <c r="AH3525">
        <v>20.809617193174201</v>
      </c>
      <c r="AI3525">
        <v>92.976018110511504</v>
      </c>
      <c r="AJ3525">
        <v>77.050028761522697</v>
      </c>
      <c r="AK3525">
        <v>21.3815354737586</v>
      </c>
      <c r="AL3525">
        <v>88.925922018624206</v>
      </c>
      <c r="AM3525">
        <v>85.844219038838403</v>
      </c>
      <c r="AN3525">
        <v>1.0000000398511599</v>
      </c>
    </row>
    <row r="3526" spans="1:40" x14ac:dyDescent="0.25">
      <c r="A3526" t="str">
        <f>"20190312161036412"</f>
        <v>20190312161036412</v>
      </c>
      <c r="B3526" t="str">
        <f>"1552378236400380"</f>
        <v>1552378236400380</v>
      </c>
      <c r="C3526" t="s">
        <v>40</v>
      </c>
      <c r="D3526">
        <v>5.3773860000000004</v>
      </c>
      <c r="E3526">
        <v>0.55916269999999901</v>
      </c>
      <c r="F3526" t="s">
        <v>59</v>
      </c>
      <c r="G3526">
        <v>-193.0076</v>
      </c>
      <c r="H3526" s="1">
        <v>4.1935730000000003E-6</v>
      </c>
      <c r="I3526">
        <v>208.38759999999999</v>
      </c>
      <c r="J3526">
        <v>-213.33580000000001</v>
      </c>
      <c r="K3526">
        <v>1.11005</v>
      </c>
      <c r="L3526">
        <v>213.35579999999999</v>
      </c>
      <c r="M3526">
        <v>0.99979989999999996</v>
      </c>
      <c r="N3526">
        <v>0</v>
      </c>
      <c r="O3526">
        <v>-1.176985E-2</v>
      </c>
      <c r="P3526">
        <v>0.99639840000000002</v>
      </c>
      <c r="Q3526">
        <v>2.894729E-3</v>
      </c>
      <c r="R3526">
        <v>-8.4746699999999994E-2</v>
      </c>
      <c r="S3526">
        <v>2.9513090000000002</v>
      </c>
      <c r="T3526">
        <v>-0.15902479999999999</v>
      </c>
      <c r="U3526">
        <v>-0.71224980000000004</v>
      </c>
      <c r="V3526">
        <v>7.3035279999999994E-2</v>
      </c>
      <c r="W3526">
        <v>1.8939620000000001E-2</v>
      </c>
      <c r="X3526">
        <v>0.99714950000000002</v>
      </c>
      <c r="Y3526">
        <v>0.2228501</v>
      </c>
      <c r="Z3526">
        <v>-5.2901850000000002E-3</v>
      </c>
      <c r="AA3526">
        <v>0.97483839999999999</v>
      </c>
      <c r="AB3526">
        <v>28</v>
      </c>
      <c r="AC3526">
        <v>20.328199999999999</v>
      </c>
      <c r="AD3526">
        <v>-1.110045806427</v>
      </c>
      <c r="AE3526">
        <v>-4.9681999999999897</v>
      </c>
      <c r="AF3526">
        <v>4.7152968561197497</v>
      </c>
      <c r="AG3526">
        <v>-1.110045806427</v>
      </c>
      <c r="AH3526">
        <v>20.328075687505301</v>
      </c>
      <c r="AI3526">
        <v>93.044934349946701</v>
      </c>
      <c r="AJ3526">
        <v>76.940633288028707</v>
      </c>
      <c r="AK3526">
        <v>20.897293779115198</v>
      </c>
      <c r="AL3526">
        <v>88.914774814551393</v>
      </c>
      <c r="AM3526">
        <v>85.810904744492703</v>
      </c>
      <c r="AN3526">
        <v>0.99999999334033596</v>
      </c>
    </row>
    <row r="3527" spans="1:40" x14ac:dyDescent="0.25">
      <c r="A3527" t="str">
        <f>"20190312161036439"</f>
        <v>20190312161036439</v>
      </c>
      <c r="B3527" t="str">
        <f>"1552378236429659"</f>
        <v>1552378236429659</v>
      </c>
      <c r="C3527" t="s">
        <v>40</v>
      </c>
      <c r="D3527">
        <v>5.4732430000000001</v>
      </c>
      <c r="E3527">
        <v>0.55993519999999997</v>
      </c>
      <c r="F3527" t="s">
        <v>59</v>
      </c>
      <c r="G3527">
        <v>-193.09370000000001</v>
      </c>
      <c r="H3527" s="1">
        <v>4.1701409999999998E-6</v>
      </c>
      <c r="I3527">
        <v>208.41849999999999</v>
      </c>
      <c r="J3527">
        <v>-212.98840000000001</v>
      </c>
      <c r="K3527">
        <v>1.110006</v>
      </c>
      <c r="L3527">
        <v>213.35069999999999</v>
      </c>
      <c r="M3527">
        <v>0.99978540000000005</v>
      </c>
      <c r="N3527">
        <v>0</v>
      </c>
      <c r="O3527">
        <v>-1.270291E-2</v>
      </c>
      <c r="P3527">
        <v>0.99628499999999998</v>
      </c>
      <c r="Q3527">
        <v>2.6344649999999999E-3</v>
      </c>
      <c r="R3527">
        <v>-8.6080829999999997E-2</v>
      </c>
      <c r="S3527">
        <v>2.9501189999999999</v>
      </c>
      <c r="T3527">
        <v>-0.16177949999999999</v>
      </c>
      <c r="U3527">
        <v>-0.71957399999999905</v>
      </c>
      <c r="V3527">
        <v>7.3442820000000006E-2</v>
      </c>
      <c r="W3527">
        <v>1.8857619999999999E-2</v>
      </c>
      <c r="X3527">
        <v>0.99712120000000004</v>
      </c>
      <c r="Y3527">
        <v>0.22430459999999999</v>
      </c>
      <c r="Z3527">
        <v>-5.3711699999999998E-3</v>
      </c>
      <c r="AA3527">
        <v>0.97450429999999999</v>
      </c>
      <c r="AB3527">
        <v>28</v>
      </c>
      <c r="AC3527">
        <v>19.8947</v>
      </c>
      <c r="AD3527">
        <v>-1.110001829859</v>
      </c>
      <c r="AE3527">
        <v>-4.9321999999999901</v>
      </c>
      <c r="AF3527">
        <v>4.6653653760556804</v>
      </c>
      <c r="AG3527">
        <v>-1.110001829859</v>
      </c>
      <c r="AH3527">
        <v>19.897402862377199</v>
      </c>
      <c r="AI3527">
        <v>93.108865991837106</v>
      </c>
      <c r="AJ3527">
        <v>76.804171514922601</v>
      </c>
      <c r="AK3527">
        <v>20.467153657070298</v>
      </c>
      <c r="AL3527">
        <v>88.919473993353094</v>
      </c>
      <c r="AM3527">
        <v>85.787494197638395</v>
      </c>
      <c r="AN3527">
        <v>1.00000007256552</v>
      </c>
    </row>
    <row r="3528" spans="1:40" x14ac:dyDescent="0.25">
      <c r="A3528" t="str">
        <f>"20190312161036462"</f>
        <v>20190312161036462</v>
      </c>
      <c r="B3528" t="str">
        <f>"1552378236459916"</f>
        <v>1552378236459916</v>
      </c>
      <c r="C3528" t="s">
        <v>40</v>
      </c>
      <c r="D3528">
        <v>5.4333989999999996</v>
      </c>
      <c r="E3528">
        <v>0.56040519999999905</v>
      </c>
      <c r="F3528" t="s">
        <v>59</v>
      </c>
      <c r="G3528">
        <v>-193.2893</v>
      </c>
      <c r="H3528" s="1">
        <v>4.1205620000000002E-6</v>
      </c>
      <c r="I3528">
        <v>208.47470000000001</v>
      </c>
      <c r="J3528">
        <v>-212.6934</v>
      </c>
      <c r="K3528">
        <v>1.1099619999999999</v>
      </c>
      <c r="L3528">
        <v>213.346</v>
      </c>
      <c r="M3528">
        <v>0.99977079999999996</v>
      </c>
      <c r="N3528">
        <v>0</v>
      </c>
      <c r="O3528">
        <v>-1.3601E-2</v>
      </c>
      <c r="P3528">
        <v>0.99616749999999998</v>
      </c>
      <c r="Q3528">
        <v>2.9674509999999999E-3</v>
      </c>
      <c r="R3528">
        <v>-8.7416480000000005E-2</v>
      </c>
      <c r="S3528">
        <v>2.948563</v>
      </c>
      <c r="T3528">
        <v>-0.1661445</v>
      </c>
      <c r="U3528">
        <v>-0.72984309999999997</v>
      </c>
      <c r="V3528">
        <v>7.3888040000000002E-2</v>
      </c>
      <c r="W3528">
        <v>1.934104E-2</v>
      </c>
      <c r="X3528">
        <v>0.99707900000000005</v>
      </c>
      <c r="Y3528">
        <v>0.22672900000000001</v>
      </c>
      <c r="Z3528">
        <v>-5.5339009999999999E-3</v>
      </c>
      <c r="AA3528">
        <v>0.97394219999999998</v>
      </c>
      <c r="AB3528">
        <v>28</v>
      </c>
      <c r="AC3528">
        <v>19.4041</v>
      </c>
      <c r="AD3528">
        <v>-1.1099578794380001</v>
      </c>
      <c r="AE3528">
        <v>-4.8712999999999598</v>
      </c>
      <c r="AF3528">
        <v>4.5927610580703702</v>
      </c>
      <c r="AG3528">
        <v>-1.1099578794380001</v>
      </c>
      <c r="AH3528">
        <v>19.408825919931701</v>
      </c>
      <c r="AI3528">
        <v>93.185306217638598</v>
      </c>
      <c r="AJ3528">
        <v>76.686835133225998</v>
      </c>
      <c r="AK3528">
        <v>19.9756848248281</v>
      </c>
      <c r="AL3528">
        <v>88.891770963664001</v>
      </c>
      <c r="AM3528">
        <v>85.761871483969699</v>
      </c>
      <c r="AN3528">
        <v>1.0000000252621599</v>
      </c>
    </row>
    <row r="3529" spans="1:40" x14ac:dyDescent="0.25">
      <c r="A3529" t="str">
        <f>"20190312161036485"</f>
        <v>20190312161036485</v>
      </c>
      <c r="B3529" t="str">
        <f>"1552378236480411"</f>
        <v>1552378236480411</v>
      </c>
      <c r="C3529" t="s">
        <v>40</v>
      </c>
      <c r="D3529">
        <v>5.316357</v>
      </c>
      <c r="E3529">
        <v>0.56087799999999999</v>
      </c>
      <c r="F3529" t="s">
        <v>59</v>
      </c>
      <c r="G3529">
        <v>-192.81489999999999</v>
      </c>
      <c r="H3529" s="1">
        <v>4.2318529999999999E-6</v>
      </c>
      <c r="I3529">
        <v>208.37219999999999</v>
      </c>
      <c r="J3529">
        <v>-212.4195</v>
      </c>
      <c r="K3529">
        <v>1.109909</v>
      </c>
      <c r="L3529">
        <v>213.34119999999999</v>
      </c>
      <c r="M3529">
        <v>0.99975499999999995</v>
      </c>
      <c r="N3529">
        <v>0</v>
      </c>
      <c r="O3529">
        <v>-1.4541790000000001E-2</v>
      </c>
      <c r="P3529">
        <v>0.99593699999999996</v>
      </c>
      <c r="Q3529">
        <v>2.9855849999999998E-3</v>
      </c>
      <c r="R3529">
        <v>-9.0004929999999997E-2</v>
      </c>
      <c r="S3529">
        <v>2.947327</v>
      </c>
      <c r="T3529">
        <v>-0.16457060000000001</v>
      </c>
      <c r="U3529">
        <v>-0.73745729999999998</v>
      </c>
      <c r="V3529">
        <v>7.5544700000000006E-2</v>
      </c>
      <c r="W3529">
        <v>1.949884E-2</v>
      </c>
      <c r="X3529">
        <v>0.99695180000000005</v>
      </c>
      <c r="Y3529">
        <v>0.22828180000000001</v>
      </c>
      <c r="Z3529">
        <v>-5.4731140000000003E-3</v>
      </c>
      <c r="AA3529">
        <v>0.97357969999999905</v>
      </c>
      <c r="AB3529">
        <v>28</v>
      </c>
      <c r="AC3529">
        <v>19.604600000000001</v>
      </c>
      <c r="AD3529">
        <v>-1.109904768147</v>
      </c>
      <c r="AE3529">
        <v>-4.9689999999999896</v>
      </c>
      <c r="AF3529">
        <v>4.6692861728792101</v>
      </c>
      <c r="AG3529">
        <v>-1.109904768147</v>
      </c>
      <c r="AH3529">
        <v>19.615717611079599</v>
      </c>
      <c r="AI3529">
        <v>93.150634606763802</v>
      </c>
      <c r="AJ3529">
        <v>76.610605892397601</v>
      </c>
      <c r="AK3529">
        <v>20.194318491997102</v>
      </c>
      <c r="AL3529">
        <v>88.882728011022607</v>
      </c>
      <c r="AM3529">
        <v>85.666654673526097</v>
      </c>
      <c r="AN3529">
        <v>1.0000000489913301</v>
      </c>
    </row>
    <row r="3530" spans="1:40" x14ac:dyDescent="0.25">
      <c r="A3530" t="str">
        <f>"20190312161036502"</f>
        <v>20190312161036502</v>
      </c>
      <c r="B3530" t="str">
        <f>"1552378236490172"</f>
        <v>1552378236490172</v>
      </c>
      <c r="C3530" t="s">
        <v>40</v>
      </c>
      <c r="D3530">
        <v>5.3351759999999997</v>
      </c>
      <c r="E3530">
        <v>0.56087799999999999</v>
      </c>
      <c r="F3530" t="s">
        <v>59</v>
      </c>
      <c r="G3530">
        <v>-192.9273</v>
      </c>
      <c r="H3530" s="1">
        <v>4.208477E-6</v>
      </c>
      <c r="I3530">
        <v>208.3852</v>
      </c>
      <c r="J3530">
        <v>-212.19049999999999</v>
      </c>
      <c r="K3530">
        <v>1.1098570000000001</v>
      </c>
      <c r="L3530">
        <v>213.33699999999999</v>
      </c>
      <c r="M3530">
        <v>0.9997395</v>
      </c>
      <c r="N3530">
        <v>0</v>
      </c>
      <c r="O3530">
        <v>-1.541826E-2</v>
      </c>
      <c r="P3530">
        <v>0.99568699999999999</v>
      </c>
      <c r="Q3530">
        <v>2.1353570000000001E-3</v>
      </c>
      <c r="R3530">
        <v>-9.2751849999999997E-2</v>
      </c>
      <c r="S3530">
        <v>2.945068</v>
      </c>
      <c r="T3530">
        <v>-0.16769519999999999</v>
      </c>
      <c r="U3530">
        <v>-0.74880979999999997</v>
      </c>
      <c r="V3530">
        <v>7.742301E-2</v>
      </c>
      <c r="W3530">
        <v>1.8766560000000002E-2</v>
      </c>
      <c r="X3530">
        <v>0.99682170000000003</v>
      </c>
      <c r="Y3530">
        <v>0.2311163</v>
      </c>
      <c r="Z3530">
        <v>-5.6087610000000003E-3</v>
      </c>
      <c r="AA3530">
        <v>0.97290989999999999</v>
      </c>
      <c r="AB3530">
        <v>28</v>
      </c>
      <c r="AC3530">
        <v>19.263199999999902</v>
      </c>
      <c r="AD3530">
        <v>-1.1098527915230001</v>
      </c>
      <c r="AE3530">
        <v>-4.95180000000002</v>
      </c>
      <c r="AF3530">
        <v>4.6397171956041596</v>
      </c>
      <c r="AG3530">
        <v>-1.1098527915230001</v>
      </c>
      <c r="AH3530">
        <v>19.277243944974298</v>
      </c>
      <c r="AI3530">
        <v>93.203774404693604</v>
      </c>
      <c r="AJ3530">
        <v>76.467236208510599</v>
      </c>
      <c r="AK3530">
        <v>19.8587734512503</v>
      </c>
      <c r="AL3530">
        <v>88.924692196278301</v>
      </c>
      <c r="AM3530">
        <v>85.558760790835706</v>
      </c>
      <c r="AN3530">
        <v>1.00000000392129</v>
      </c>
    </row>
    <row r="3531" spans="1:40" x14ac:dyDescent="0.25">
      <c r="A3531" t="str">
        <f>"20190312161036525"</f>
        <v>20190312161036525</v>
      </c>
      <c r="B3531" t="str">
        <f>"1552378236520427"</f>
        <v>1552378236520427</v>
      </c>
      <c r="C3531" t="s">
        <v>40</v>
      </c>
      <c r="D3531">
        <v>5.3242839999999996</v>
      </c>
      <c r="E3531">
        <v>0.56184230000000002</v>
      </c>
      <c r="F3531" t="s">
        <v>59</v>
      </c>
      <c r="G3531">
        <v>-193.0334</v>
      </c>
      <c r="H3531" s="1">
        <v>4.1822959999999996E-6</v>
      </c>
      <c r="I3531">
        <v>208.41300000000001</v>
      </c>
      <c r="J3531">
        <v>-211.92670000000001</v>
      </c>
      <c r="K3531">
        <v>1.109799</v>
      </c>
      <c r="L3531">
        <v>213.33170000000001</v>
      </c>
      <c r="M3531">
        <v>0.99971940000000004</v>
      </c>
      <c r="N3531">
        <v>0</v>
      </c>
      <c r="O3531">
        <v>-1.651151E-2</v>
      </c>
      <c r="P3531">
        <v>0.99542299999999995</v>
      </c>
      <c r="Q3531">
        <v>2.0342910000000001E-3</v>
      </c>
      <c r="R3531">
        <v>-9.5545930000000001E-2</v>
      </c>
      <c r="S3531">
        <v>2.9429020000000001</v>
      </c>
      <c r="T3531">
        <v>-0.17049439999999999</v>
      </c>
      <c r="U3531">
        <v>-0.75642399999999999</v>
      </c>
      <c r="V3531">
        <v>7.9134410000000002E-2</v>
      </c>
      <c r="W3531">
        <v>1.880041E-2</v>
      </c>
      <c r="X3531">
        <v>0.99668659999999998</v>
      </c>
      <c r="Y3531">
        <v>0.23257410000000001</v>
      </c>
      <c r="Z3531">
        <v>-5.6838130000000002E-3</v>
      </c>
      <c r="AA3531">
        <v>0.97256209999999998</v>
      </c>
      <c r="AB3531">
        <v>28</v>
      </c>
      <c r="AC3531">
        <v>18.8933</v>
      </c>
      <c r="AD3531">
        <v>-1.109794817704</v>
      </c>
      <c r="AE3531">
        <v>-4.9187000000000296</v>
      </c>
      <c r="AF3531">
        <v>4.59119143063762</v>
      </c>
      <c r="AG3531">
        <v>-1.109794817704</v>
      </c>
      <c r="AH3531">
        <v>18.910842267816701</v>
      </c>
      <c r="AI3531">
        <v>93.2639845327014</v>
      </c>
      <c r="AJ3531">
        <v>76.353705676810804</v>
      </c>
      <c r="AK3531">
        <v>19.4918095252443</v>
      </c>
      <c r="AL3531">
        <v>88.922752327836207</v>
      </c>
      <c r="AM3531">
        <v>85.460382376735495</v>
      </c>
      <c r="AN3531">
        <v>0.99999994444088602</v>
      </c>
    </row>
    <row r="3532" spans="1:40" x14ac:dyDescent="0.25">
      <c r="A3532" t="str">
        <f>"20190312161036546"</f>
        <v>20190312161036546</v>
      </c>
      <c r="B3532" t="str">
        <f>"1552378236539947"</f>
        <v>1552378236539947</v>
      </c>
      <c r="C3532" t="s">
        <v>40</v>
      </c>
      <c r="D3532">
        <v>5.3319409999999996</v>
      </c>
      <c r="E3532">
        <v>0.56197640000000004</v>
      </c>
      <c r="F3532" t="s">
        <v>59</v>
      </c>
      <c r="G3532">
        <v>-193.0291</v>
      </c>
      <c r="H3532" s="1">
        <v>4.1955650000000002E-6</v>
      </c>
      <c r="I3532">
        <v>208.3657</v>
      </c>
      <c r="J3532">
        <v>-211.65190000000001</v>
      </c>
      <c r="K3532">
        <v>1.1097300000000001</v>
      </c>
      <c r="L3532">
        <v>213.32579999999999</v>
      </c>
      <c r="M3532">
        <v>0.99969490000000005</v>
      </c>
      <c r="N3532">
        <v>0</v>
      </c>
      <c r="O3532">
        <v>-1.7790029999999998E-2</v>
      </c>
      <c r="P3532">
        <v>0.99511700000000003</v>
      </c>
      <c r="Q3532">
        <v>2.2124039999999998E-3</v>
      </c>
      <c r="R3532">
        <v>-9.8679509999999998E-2</v>
      </c>
      <c r="S3532">
        <v>2.9399869999999999</v>
      </c>
      <c r="T3532">
        <v>-0.17265629999999901</v>
      </c>
      <c r="U3532">
        <v>-0.77258300000000002</v>
      </c>
      <c r="V3532">
        <v>8.1002610000000003E-2</v>
      </c>
      <c r="W3532">
        <v>1.9105529999999999E-2</v>
      </c>
      <c r="X3532">
        <v>0.99653080000000005</v>
      </c>
      <c r="Y3532">
        <v>0.23655470000000001</v>
      </c>
      <c r="Z3532">
        <v>-5.7985299999999997E-3</v>
      </c>
      <c r="AA3532">
        <v>0.97160089999999999</v>
      </c>
      <c r="AB3532">
        <v>28</v>
      </c>
      <c r="AC3532">
        <v>18.622800000000002</v>
      </c>
      <c r="AD3532">
        <v>-1.10972580443499</v>
      </c>
      <c r="AE3532">
        <v>-4.9600999999999802</v>
      </c>
      <c r="AF3532">
        <v>4.6126717154646304</v>
      </c>
      <c r="AG3532">
        <v>-1.10972580443499</v>
      </c>
      <c r="AH3532">
        <v>18.646279646053099</v>
      </c>
      <c r="AI3532">
        <v>93.306480000138606</v>
      </c>
      <c r="AJ3532">
        <v>76.105258185226305</v>
      </c>
      <c r="AK3532">
        <v>19.2403736022587</v>
      </c>
      <c r="AL3532">
        <v>88.905267202114899</v>
      </c>
      <c r="AM3532">
        <v>85.352952002215901</v>
      </c>
      <c r="AN3532">
        <v>1.00000003972601</v>
      </c>
    </row>
    <row r="3533" spans="1:40" x14ac:dyDescent="0.25">
      <c r="A3533" t="str">
        <f>"20190312161036590"</f>
        <v>20190312161036590</v>
      </c>
      <c r="B3533" t="str">
        <f>"1552378236579963"</f>
        <v>1552378236579963</v>
      </c>
      <c r="C3533" t="s">
        <v>40</v>
      </c>
      <c r="D3533">
        <v>5.1506610000000004</v>
      </c>
      <c r="E3533">
        <v>0.56247259999999999</v>
      </c>
      <c r="F3533" t="s">
        <v>59</v>
      </c>
      <c r="G3533">
        <v>-192.56270000000001</v>
      </c>
      <c r="H3533" s="1">
        <v>4.3182840000000002E-6</v>
      </c>
      <c r="I3533">
        <v>208.2396</v>
      </c>
      <c r="J3533">
        <v>-211.1104</v>
      </c>
      <c r="K3533">
        <v>1.1095999999999999</v>
      </c>
      <c r="L3533">
        <v>213.3126</v>
      </c>
      <c r="M3533">
        <v>0.99963440000000003</v>
      </c>
      <c r="N3533">
        <v>0</v>
      </c>
      <c r="O3533">
        <v>-2.0675490000000001E-2</v>
      </c>
      <c r="P3533">
        <v>0.99444569999999999</v>
      </c>
      <c r="Q3533">
        <v>3.2937750000000001E-3</v>
      </c>
      <c r="R3533">
        <v>-0.1051998</v>
      </c>
      <c r="S3533">
        <v>2.9375</v>
      </c>
      <c r="T3533">
        <v>-0.1707678</v>
      </c>
      <c r="U3533">
        <v>-0.78266910000000001</v>
      </c>
      <c r="V3533">
        <v>8.4670019999999999E-2</v>
      </c>
      <c r="W3533">
        <v>2.0426590000000001E-2</v>
      </c>
      <c r="X3533">
        <v>0.99619970000000002</v>
      </c>
      <c r="Y3533">
        <v>0.23708129999999999</v>
      </c>
      <c r="Z3533">
        <v>-5.5879290000000002E-3</v>
      </c>
      <c r="AA3533">
        <v>0.97147380000000005</v>
      </c>
      <c r="AB3533">
        <v>28</v>
      </c>
      <c r="AC3533">
        <v>18.547699999999899</v>
      </c>
      <c r="AD3533">
        <v>-1.109595681716</v>
      </c>
      <c r="AE3533">
        <v>-5.0730000000000004</v>
      </c>
      <c r="AF3533">
        <v>4.6728147050728204</v>
      </c>
      <c r="AG3533">
        <v>-1.109595681716</v>
      </c>
      <c r="AH3533">
        <v>18.5867465273599</v>
      </c>
      <c r="AI3533">
        <v>93.313530635192905</v>
      </c>
      <c r="AJ3533">
        <v>75.887976667548102</v>
      </c>
      <c r="AK3533">
        <v>19.197227568509799</v>
      </c>
      <c r="AL3533">
        <v>88.829561258744505</v>
      </c>
      <c r="AM3533">
        <v>85.141934195604193</v>
      </c>
      <c r="AN3533">
        <v>1.00000005007295</v>
      </c>
    </row>
    <row r="3534" spans="1:40" x14ac:dyDescent="0.25">
      <c r="A3534" t="str">
        <f>"20190312161036615"</f>
        <v>20190312161036615</v>
      </c>
      <c r="B3534" t="str">
        <f>"1552378236610219"</f>
        <v>1552378236610219</v>
      </c>
      <c r="C3534" t="s">
        <v>40</v>
      </c>
      <c r="D3534">
        <v>5.0875320000000004</v>
      </c>
      <c r="E3534">
        <v>0.56297390000000003</v>
      </c>
      <c r="F3534" t="s">
        <v>59</v>
      </c>
      <c r="G3534">
        <v>-190.68940000000001</v>
      </c>
      <c r="H3534" s="1">
        <v>4.9245430000000002E-6</v>
      </c>
      <c r="I3534">
        <v>207.6996</v>
      </c>
      <c r="J3534">
        <v>-210.81809999999999</v>
      </c>
      <c r="K3534">
        <v>1.1095250000000001</v>
      </c>
      <c r="L3534">
        <v>213.30449999999999</v>
      </c>
      <c r="M3534">
        <v>0.99959279999999995</v>
      </c>
      <c r="N3534">
        <v>0</v>
      </c>
      <c r="O3534">
        <v>-2.246184E-2</v>
      </c>
      <c r="P3534">
        <v>0.99415869999999995</v>
      </c>
      <c r="Q3534">
        <v>4.5285100000000003E-3</v>
      </c>
      <c r="R3534">
        <v>-0.1078335</v>
      </c>
      <c r="S3534">
        <v>2.9320369999999998</v>
      </c>
      <c r="T3534">
        <v>-0.15931500000000001</v>
      </c>
      <c r="U3534">
        <v>-0.80590819999999996</v>
      </c>
      <c r="V3534">
        <v>8.5537749999999996E-2</v>
      </c>
      <c r="W3534">
        <v>2.1803860000000001E-2</v>
      </c>
      <c r="X3534">
        <v>0.99609630000000005</v>
      </c>
      <c r="Y3534">
        <v>0.24300269999999999</v>
      </c>
      <c r="Z3534">
        <v>-5.2805389999999999E-3</v>
      </c>
      <c r="AA3534">
        <v>0.97001119999999996</v>
      </c>
      <c r="AB3534">
        <v>27</v>
      </c>
      <c r="AC3534">
        <v>20.128699999999899</v>
      </c>
      <c r="AD3534">
        <v>-1.109520075457</v>
      </c>
      <c r="AE3534">
        <v>-5.6048999999999802</v>
      </c>
      <c r="AF3534">
        <v>5.1368034025237197</v>
      </c>
      <c r="AG3534">
        <v>-1.109520075457</v>
      </c>
      <c r="AH3534">
        <v>20.1925982339997</v>
      </c>
      <c r="AI3534">
        <v>93.048168797429994</v>
      </c>
      <c r="AJ3534">
        <v>75.727247253859105</v>
      </c>
      <c r="AK3534">
        <v>20.865253591407601</v>
      </c>
      <c r="AL3534">
        <v>88.750631809406002</v>
      </c>
      <c r="AM3534">
        <v>85.091881906980007</v>
      </c>
      <c r="AN3534">
        <v>0.99999997692982501</v>
      </c>
    </row>
    <row r="3535" spans="1:40" x14ac:dyDescent="0.25">
      <c r="A3535" t="str">
        <f>"20190312161036642"</f>
        <v>20190312161036642</v>
      </c>
      <c r="B3535" t="str">
        <f>"1552378236629740"</f>
        <v>1552378236629740</v>
      </c>
      <c r="C3535" t="s">
        <v>40</v>
      </c>
      <c r="D3535">
        <v>5.0247590000000004</v>
      </c>
      <c r="E3535">
        <v>0.56332760000000004</v>
      </c>
      <c r="F3535" t="s">
        <v>59</v>
      </c>
      <c r="G3535">
        <v>-188.35429999999999</v>
      </c>
      <c r="H3535" s="1">
        <v>5.0389460000000002E-6</v>
      </c>
      <c r="I3535">
        <v>207.03020000000001</v>
      </c>
      <c r="J3535">
        <v>-210.48140000000001</v>
      </c>
      <c r="K3535">
        <v>1.109423</v>
      </c>
      <c r="L3535">
        <v>213.2944</v>
      </c>
      <c r="M3535">
        <v>0.99953499999999995</v>
      </c>
      <c r="N3535">
        <v>0</v>
      </c>
      <c r="O3535">
        <v>-2.4748679999999999E-2</v>
      </c>
      <c r="P3535">
        <v>0.99380219999999997</v>
      </c>
      <c r="Q3535">
        <v>4.8443169999999999E-3</v>
      </c>
      <c r="R3535">
        <v>-0.111058</v>
      </c>
      <c r="S3535">
        <v>2.929535</v>
      </c>
      <c r="T3535">
        <v>-0.14469389999999999</v>
      </c>
      <c r="U3535">
        <v>-0.81823729999999995</v>
      </c>
      <c r="V3535">
        <v>8.6499210000000007E-2</v>
      </c>
      <c r="W3535">
        <v>2.2302510000000001E-2</v>
      </c>
      <c r="X3535">
        <v>0.99600230000000001</v>
      </c>
      <c r="Y3535">
        <v>0.24483920000000001</v>
      </c>
      <c r="Z3535">
        <v>-4.7317119999999999E-3</v>
      </c>
      <c r="AA3535">
        <v>0.96955219999999998</v>
      </c>
      <c r="AB3535">
        <v>27</v>
      </c>
      <c r="AC3535">
        <v>22.127099999999999</v>
      </c>
      <c r="AD3535">
        <v>-1.109417961054</v>
      </c>
      <c r="AE3535">
        <v>-6.2641999999999802</v>
      </c>
      <c r="AF3535">
        <v>5.7013084265629601</v>
      </c>
      <c r="AG3535">
        <v>-1.109417961054</v>
      </c>
      <c r="AH3535">
        <v>22.223653812331399</v>
      </c>
      <c r="AI3535">
        <v>92.768366033664293</v>
      </c>
      <c r="AJ3535">
        <v>75.611504001043102</v>
      </c>
      <c r="AK3535">
        <v>22.970122219036199</v>
      </c>
      <c r="AL3535">
        <v>88.722054409326105</v>
      </c>
      <c r="AM3535">
        <v>85.036521728096801</v>
      </c>
      <c r="AN3535">
        <v>1.0000000484441001</v>
      </c>
    </row>
    <row r="3536" spans="1:40" x14ac:dyDescent="0.25">
      <c r="A3536" t="str">
        <f>"20190312161036663"</f>
        <v>20190312161036663</v>
      </c>
      <c r="B3536" t="str">
        <f>"1552378236659995"</f>
        <v>1552378236659995</v>
      </c>
      <c r="C3536" t="s">
        <v>40</v>
      </c>
      <c r="D3536">
        <v>4.916277</v>
      </c>
      <c r="E3536">
        <v>0.56381349999999997</v>
      </c>
      <c r="F3536" t="s">
        <v>59</v>
      </c>
      <c r="G3536">
        <v>-186.90639999999999</v>
      </c>
      <c r="H3536" s="1">
        <v>4.9340809999999996E-6</v>
      </c>
      <c r="I3536">
        <v>206.6003</v>
      </c>
      <c r="J3536">
        <v>-210.22620000000001</v>
      </c>
      <c r="K3536">
        <v>1.109327</v>
      </c>
      <c r="L3536">
        <v>213.286</v>
      </c>
      <c r="M3536">
        <v>0.99948190000000003</v>
      </c>
      <c r="N3536">
        <v>0</v>
      </c>
      <c r="O3536">
        <v>-2.6686100000000001E-2</v>
      </c>
      <c r="P3536">
        <v>0.99347870000000005</v>
      </c>
      <c r="Q3536">
        <v>4.4940459999999998E-3</v>
      </c>
      <c r="R3536">
        <v>-0.1139307</v>
      </c>
      <c r="S3536">
        <v>2.9265140000000001</v>
      </c>
      <c r="T3536">
        <v>-0.137718799999999</v>
      </c>
      <c r="U3536">
        <v>-0.83097840000000001</v>
      </c>
      <c r="V3536">
        <v>8.7454530000000003E-2</v>
      </c>
      <c r="W3536">
        <v>2.210467E-2</v>
      </c>
      <c r="X3536">
        <v>0.99592320000000001</v>
      </c>
      <c r="Y3536">
        <v>0.24715200000000001</v>
      </c>
      <c r="Z3536">
        <v>-4.4698840000000004E-3</v>
      </c>
      <c r="AA3536">
        <v>0.96896640000000001</v>
      </c>
      <c r="AB3536">
        <v>27</v>
      </c>
      <c r="AC3536">
        <v>23.319800000000001</v>
      </c>
      <c r="AD3536">
        <v>-1.109322065919</v>
      </c>
      <c r="AE3536">
        <v>-6.6856999999999598</v>
      </c>
      <c r="AF3536">
        <v>6.0482558305548197</v>
      </c>
      <c r="AG3536">
        <v>-1.109322065919</v>
      </c>
      <c r="AH3536">
        <v>23.440920741626499</v>
      </c>
      <c r="AI3536">
        <v>92.623651973725998</v>
      </c>
      <c r="AJ3536">
        <v>75.532029740729797</v>
      </c>
      <c r="AK3536">
        <v>24.2340413314204</v>
      </c>
      <c r="AL3536">
        <v>88.733392496294201</v>
      </c>
      <c r="AM3536">
        <v>84.981585626963394</v>
      </c>
      <c r="AN3536">
        <v>0.99999996577578398</v>
      </c>
    </row>
    <row r="3537" spans="1:40" x14ac:dyDescent="0.25">
      <c r="A3537" t="str">
        <f>"20190312161036685"</f>
        <v>20190312161036685</v>
      </c>
      <c r="B3537" t="str">
        <f>"1552378236680491"</f>
        <v>1552378236680491</v>
      </c>
      <c r="C3537" t="s">
        <v>40</v>
      </c>
      <c r="D3537">
        <v>4.9203999999999999</v>
      </c>
      <c r="E3537">
        <v>0.56418059999999903</v>
      </c>
      <c r="F3537" t="s">
        <v>59</v>
      </c>
      <c r="G3537">
        <v>-185.4076</v>
      </c>
      <c r="H3537" s="1">
        <v>4.7679989999999997E-6</v>
      </c>
      <c r="I3537">
        <v>206.12610000000001</v>
      </c>
      <c r="J3537">
        <v>-209.96889999999999</v>
      </c>
      <c r="K3537">
        <v>1.109205</v>
      </c>
      <c r="L3537">
        <v>213.27680000000001</v>
      </c>
      <c r="M3537">
        <v>0.99941820000000003</v>
      </c>
      <c r="N3537">
        <v>0</v>
      </c>
      <c r="O3537">
        <v>-2.8851950000000001E-2</v>
      </c>
      <c r="P3537">
        <v>0.99309309999999995</v>
      </c>
      <c r="Q3537">
        <v>3.4936310000000001E-3</v>
      </c>
      <c r="R3537">
        <v>-0.1172777</v>
      </c>
      <c r="S3537">
        <v>2.9235530000000001</v>
      </c>
      <c r="T3537">
        <v>-0.13067480000000001</v>
      </c>
      <c r="U3537">
        <v>-0.84341429999999995</v>
      </c>
      <c r="V3537">
        <v>8.8657050000000001E-2</v>
      </c>
      <c r="W3537">
        <v>2.1261349999999998E-2</v>
      </c>
      <c r="X3537">
        <v>0.99583520000000003</v>
      </c>
      <c r="Y3537">
        <v>0.24914130000000001</v>
      </c>
      <c r="Z3537">
        <v>-4.1921069999999996E-3</v>
      </c>
      <c r="AA3537">
        <v>0.96845809999999999</v>
      </c>
      <c r="AB3537">
        <v>27</v>
      </c>
      <c r="AC3537">
        <v>24.5612999999999</v>
      </c>
      <c r="AD3537">
        <v>-1.1092002320009999</v>
      </c>
      <c r="AE3537">
        <v>-7.1506999999999996</v>
      </c>
      <c r="AF3537">
        <v>6.4268802590025196</v>
      </c>
      <c r="AG3537">
        <v>-1.1092002320009999</v>
      </c>
      <c r="AH3537">
        <v>24.710958097412298</v>
      </c>
      <c r="AI3537">
        <v>92.487465393670206</v>
      </c>
      <c r="AJ3537">
        <v>75.421372583446399</v>
      </c>
      <c r="AK3537">
        <v>25.557123568787901</v>
      </c>
      <c r="AL3537">
        <v>88.781722497036696</v>
      </c>
      <c r="AM3537">
        <v>84.912493726806602</v>
      </c>
      <c r="AN3537">
        <v>0.99999993153877997</v>
      </c>
    </row>
    <row r="3538" spans="1:40" x14ac:dyDescent="0.25">
      <c r="A3538" t="str">
        <f>"20190312161036705"</f>
        <v>20190312161036705</v>
      </c>
      <c r="B3538" t="str">
        <f>"1552378236700012"</f>
        <v>1552378236700012</v>
      </c>
      <c r="C3538" t="s">
        <v>40</v>
      </c>
      <c r="D3538">
        <v>4.8287800000000001</v>
      </c>
      <c r="E3538">
        <v>0.56452659999999999</v>
      </c>
      <c r="F3538" t="s">
        <v>59</v>
      </c>
      <c r="G3538">
        <v>-184.84129999999999</v>
      </c>
      <c r="H3538" s="1">
        <v>4.6993379999999998E-6</v>
      </c>
      <c r="I3538">
        <v>205.91120000000001</v>
      </c>
      <c r="J3538">
        <v>-209.72309999999999</v>
      </c>
      <c r="K3538">
        <v>1.109081</v>
      </c>
      <c r="L3538">
        <v>213.2672</v>
      </c>
      <c r="M3538">
        <v>0.99934630000000002</v>
      </c>
      <c r="N3538">
        <v>0</v>
      </c>
      <c r="O3538">
        <v>-3.1132070000000001E-2</v>
      </c>
      <c r="P3538">
        <v>0.99270700000000001</v>
      </c>
      <c r="Q3538">
        <v>3.685355E-3</v>
      </c>
      <c r="R3538">
        <v>-0.1204974</v>
      </c>
      <c r="S3538">
        <v>2.920242</v>
      </c>
      <c r="T3538">
        <v>-0.1289073</v>
      </c>
      <c r="U3538">
        <v>-0.85600279999999995</v>
      </c>
      <c r="V3538">
        <v>8.9623880000000003E-2</v>
      </c>
      <c r="W3538">
        <v>2.160745E-2</v>
      </c>
      <c r="X3538">
        <v>0.99574119999999999</v>
      </c>
      <c r="Y3538">
        <v>0.25107829999999998</v>
      </c>
      <c r="Z3538">
        <v>-4.0810819999999998E-3</v>
      </c>
      <c r="AA3538">
        <v>0.96795819999999999</v>
      </c>
      <c r="AB3538">
        <v>27</v>
      </c>
      <c r="AC3538">
        <v>24.881799999999998</v>
      </c>
      <c r="AD3538">
        <v>-1.1090763006619999</v>
      </c>
      <c r="AE3538">
        <v>-7.3559999999999901</v>
      </c>
      <c r="AF3538">
        <v>6.5656840456790597</v>
      </c>
      <c r="AG3538">
        <v>-1.1090763006619999</v>
      </c>
      <c r="AH3538">
        <v>25.0530063218938</v>
      </c>
      <c r="AI3538">
        <v>92.4520808594404</v>
      </c>
      <c r="AJ3538">
        <v>75.3146561675279</v>
      </c>
      <c r="AK3538">
        <v>25.922796588972101</v>
      </c>
      <c r="AL3538">
        <v>88.761887866981695</v>
      </c>
      <c r="AM3538">
        <v>84.856826075387104</v>
      </c>
      <c r="AN3538">
        <v>0.99999992956959605</v>
      </c>
    </row>
    <row r="3539" spans="1:40" x14ac:dyDescent="0.25">
      <c r="A3539" t="str">
        <f>"20190312161036725"</f>
        <v>20190312161036725</v>
      </c>
      <c r="B3539" t="str">
        <f>"1552378236719532"</f>
        <v>1552378236719532</v>
      </c>
      <c r="C3539" t="s">
        <v>40</v>
      </c>
      <c r="D3539">
        <v>4.7652960000000002</v>
      </c>
      <c r="E3539">
        <v>0.56486910000000001</v>
      </c>
      <c r="F3539" t="s">
        <v>59</v>
      </c>
      <c r="G3539">
        <v>-183.45359999999999</v>
      </c>
      <c r="H3539" s="1">
        <v>4.5146599999999999E-6</v>
      </c>
      <c r="I3539">
        <v>205.44669999999999</v>
      </c>
      <c r="J3539">
        <v>-209.49109999999999</v>
      </c>
      <c r="K3539">
        <v>1.108981</v>
      </c>
      <c r="L3539">
        <v>213.25739999999999</v>
      </c>
      <c r="M3539">
        <v>0.99926809999999999</v>
      </c>
      <c r="N3539">
        <v>0</v>
      </c>
      <c r="O3539">
        <v>-3.3442729999999997E-2</v>
      </c>
      <c r="P3539">
        <v>0.99228039999999995</v>
      </c>
      <c r="Q3539">
        <v>4.0907929999999997E-3</v>
      </c>
      <c r="R3539">
        <v>-0.1239483</v>
      </c>
      <c r="S3539">
        <v>2.917084</v>
      </c>
      <c r="T3539">
        <v>-0.12315710000000001</v>
      </c>
      <c r="U3539">
        <v>-0.86842350000000001</v>
      </c>
      <c r="V3539">
        <v>9.0793620000000005E-2</v>
      </c>
      <c r="W3539">
        <v>2.2163309999999999E-2</v>
      </c>
      <c r="X3539">
        <v>0.99562309999999998</v>
      </c>
      <c r="Y3539">
        <v>0.2529303</v>
      </c>
      <c r="Z3539">
        <v>-3.8440029999999999E-3</v>
      </c>
      <c r="AA3539">
        <v>0.96747680000000003</v>
      </c>
      <c r="AB3539">
        <v>27</v>
      </c>
      <c r="AC3539">
        <v>26.037499999999898</v>
      </c>
      <c r="AD3539">
        <v>-1.1089764853399999</v>
      </c>
      <c r="AE3539">
        <v>-7.81069999999999</v>
      </c>
      <c r="AF3539">
        <v>6.9238909544817897</v>
      </c>
      <c r="AG3539">
        <v>-1.1089764853399999</v>
      </c>
      <c r="AH3539">
        <v>26.240515311579799</v>
      </c>
      <c r="AI3539">
        <v>92.339998562539805</v>
      </c>
      <c r="AJ3539">
        <v>75.218681414044795</v>
      </c>
      <c r="AK3539">
        <v>27.161272772310301</v>
      </c>
      <c r="AL3539">
        <v>88.730031924211801</v>
      </c>
      <c r="AM3539">
        <v>84.789451594120706</v>
      </c>
      <c r="AN3539">
        <v>1.00000002549823</v>
      </c>
    </row>
    <row r="3540" spans="1:40" x14ac:dyDescent="0.25">
      <c r="A3540" t="str">
        <f>"20190312161036766"</f>
        <v>20190312161036766</v>
      </c>
      <c r="B3540" t="str">
        <f>"1552378236759548"</f>
        <v>1552378236759548</v>
      </c>
      <c r="C3540" t="s">
        <v>40</v>
      </c>
      <c r="D3540">
        <v>4.7020499999999998</v>
      </c>
      <c r="E3540">
        <v>0.5748508</v>
      </c>
      <c r="F3540" t="s">
        <v>59</v>
      </c>
      <c r="G3540">
        <v>-181.59460000000001</v>
      </c>
      <c r="H3540" s="1">
        <v>4.2692300000000001E-6</v>
      </c>
      <c r="I3540">
        <v>204.8169</v>
      </c>
      <c r="J3540">
        <v>-209.0035</v>
      </c>
      <c r="K3540">
        <v>1.1087819999999999</v>
      </c>
      <c r="L3540">
        <v>213.23429999999999</v>
      </c>
      <c r="M3540">
        <v>0.99906600000000001</v>
      </c>
      <c r="N3540">
        <v>0</v>
      </c>
      <c r="O3540">
        <v>-3.8831320000000003E-2</v>
      </c>
      <c r="P3540">
        <v>0.9911124</v>
      </c>
      <c r="Q3540">
        <v>2.2928639999999999E-3</v>
      </c>
      <c r="R3540">
        <v>-0.1330075</v>
      </c>
      <c r="S3540">
        <v>2.913681</v>
      </c>
      <c r="T3540">
        <v>-0.1158285</v>
      </c>
      <c r="U3540">
        <v>-0.88157649999999999</v>
      </c>
      <c r="V3540">
        <v>9.4524269999999994E-2</v>
      </c>
      <c r="W3540">
        <v>2.0662090000000001E-2</v>
      </c>
      <c r="X3540">
        <v>0.99530810000000003</v>
      </c>
      <c r="Y3540">
        <v>0.25205280000000002</v>
      </c>
      <c r="Z3540">
        <v>-3.3913210000000001E-3</v>
      </c>
      <c r="AA3540">
        <v>0.9677076</v>
      </c>
      <c r="AB3540">
        <v>26</v>
      </c>
      <c r="AC3540">
        <v>27.4088999999999</v>
      </c>
      <c r="AD3540">
        <v>-1.10877773077</v>
      </c>
      <c r="AE3540">
        <v>-8.4173999999999793</v>
      </c>
      <c r="AF3540">
        <v>7.3355643710227403</v>
      </c>
      <c r="AG3540">
        <v>-1.10877773077</v>
      </c>
      <c r="AH3540">
        <v>27.673753731755301</v>
      </c>
      <c r="AI3540">
        <v>92.217872974392805</v>
      </c>
      <c r="AJ3540">
        <v>75.153865937811801</v>
      </c>
      <c r="AK3540">
        <v>28.650943061328899</v>
      </c>
      <c r="AL3540">
        <v>88.816065179908406</v>
      </c>
      <c r="AM3540">
        <v>84.574899007388098</v>
      </c>
      <c r="AN3540">
        <v>0.999999986753905</v>
      </c>
    </row>
    <row r="3541" spans="1:40" x14ac:dyDescent="0.25">
      <c r="A3541" t="str">
        <f>"20190312161036789"</f>
        <v>20190312161036789</v>
      </c>
      <c r="B3541" t="str">
        <f>"1552378236780044"</f>
        <v>1552378236780044</v>
      </c>
      <c r="C3541" t="s">
        <v>40</v>
      </c>
      <c r="D3541">
        <v>4.5981059999999996</v>
      </c>
      <c r="E3541">
        <v>0.57375480000000001</v>
      </c>
      <c r="F3541" t="s">
        <v>55</v>
      </c>
      <c r="G3541">
        <v>-168.41390000000001</v>
      </c>
      <c r="H3541">
        <v>2.991628</v>
      </c>
      <c r="I3541">
        <v>199.27440000000001</v>
      </c>
      <c r="J3541">
        <v>-208.73140000000001</v>
      </c>
      <c r="K3541">
        <v>1.108695</v>
      </c>
      <c r="L3541">
        <v>213.22</v>
      </c>
      <c r="M3541">
        <v>0.99892800000000004</v>
      </c>
      <c r="N3541">
        <v>0</v>
      </c>
      <c r="O3541">
        <v>-4.2143710000000001E-2</v>
      </c>
      <c r="P3541">
        <v>0.99039540000000004</v>
      </c>
      <c r="Q3541">
        <v>1.647836E-3</v>
      </c>
      <c r="R3541">
        <v>-0.138255399999999</v>
      </c>
      <c r="S3541">
        <v>2.8930660000000001</v>
      </c>
      <c r="T3541">
        <v>0.13420399999999999</v>
      </c>
      <c r="U3541">
        <v>-0.99501039999999996</v>
      </c>
      <c r="V3541">
        <v>9.6499470000000004E-2</v>
      </c>
      <c r="W3541">
        <v>2.0171060000000001E-2</v>
      </c>
      <c r="X3541">
        <v>0.99512860000000003</v>
      </c>
      <c r="Y3541">
        <v>0.28484989999999999</v>
      </c>
      <c r="Z3541">
        <v>4.5230519999999996E-3</v>
      </c>
      <c r="AA3541">
        <v>0.95856149999999996</v>
      </c>
      <c r="AB3541">
        <v>26</v>
      </c>
      <c r="AC3541">
        <v>40.317500000000003</v>
      </c>
      <c r="AD3541">
        <v>1.882933</v>
      </c>
      <c r="AE3541">
        <v>-13.945599999999899</v>
      </c>
      <c r="AF3541">
        <v>12.209979105654501</v>
      </c>
      <c r="AG3541">
        <v>1.882933</v>
      </c>
      <c r="AH3541">
        <v>40.790032716309597</v>
      </c>
      <c r="AI3541">
        <v>87.467867293505506</v>
      </c>
      <c r="AJ3541">
        <v>73.335595809294006</v>
      </c>
      <c r="AK3541">
        <v>42.619899054791503</v>
      </c>
      <c r="AL3541">
        <v>88.844204979001901</v>
      </c>
      <c r="AM3541">
        <v>84.461239762303506</v>
      </c>
      <c r="AN3541">
        <v>0.99999997495488202</v>
      </c>
    </row>
    <row r="3542" spans="1:40" x14ac:dyDescent="0.25">
      <c r="A3542" t="str">
        <f>"20190312161036814"</f>
        <v>20190312161036814</v>
      </c>
      <c r="B3542" t="str">
        <f>"1552378236810301"</f>
        <v>1552378236810301</v>
      </c>
      <c r="C3542" t="s">
        <v>40</v>
      </c>
      <c r="D3542">
        <v>4.5437010000000004</v>
      </c>
      <c r="E3542">
        <v>0.57333330000000005</v>
      </c>
      <c r="F3542" t="s">
        <v>55</v>
      </c>
      <c r="G3542">
        <v>-168.41380000000001</v>
      </c>
      <c r="H3542">
        <v>2.872071</v>
      </c>
      <c r="I3542">
        <v>199.24420000000001</v>
      </c>
      <c r="J3542">
        <v>-208.45050000000001</v>
      </c>
      <c r="K3542">
        <v>1.1086129999999901</v>
      </c>
      <c r="L3542">
        <v>213.20400000000001</v>
      </c>
      <c r="M3542">
        <v>0.99876580000000004</v>
      </c>
      <c r="N3542">
        <v>0</v>
      </c>
      <c r="O3542">
        <v>-4.5747089999999997E-2</v>
      </c>
      <c r="P3542">
        <v>0.98961399999999999</v>
      </c>
      <c r="Q3542">
        <v>2.5300489999999999E-3</v>
      </c>
      <c r="R3542">
        <v>-0.14372799999999999</v>
      </c>
      <c r="S3542">
        <v>2.889084</v>
      </c>
      <c r="T3542">
        <v>0.12636269999999999</v>
      </c>
      <c r="U3542">
        <v>-1.0014799999999999</v>
      </c>
      <c r="V3542">
        <v>9.8422029999999994E-2</v>
      </c>
      <c r="W3542">
        <v>2.1203670000000001E-2</v>
      </c>
      <c r="X3542">
        <v>0.99491879999999999</v>
      </c>
      <c r="Y3542">
        <v>0.28374579999999999</v>
      </c>
      <c r="Z3542">
        <v>4.0871930000000002E-3</v>
      </c>
      <c r="AA3542">
        <v>0.95889080000000004</v>
      </c>
      <c r="AB3542">
        <v>26</v>
      </c>
      <c r="AC3542">
        <v>40.036700000000003</v>
      </c>
      <c r="AD3542">
        <v>1.763458</v>
      </c>
      <c r="AE3542">
        <v>-13.9598</v>
      </c>
      <c r="AF3542">
        <v>12.0923573127062</v>
      </c>
      <c r="AG3542">
        <v>1.763458</v>
      </c>
      <c r="AH3542">
        <v>40.563342930662202</v>
      </c>
      <c r="AI3542">
        <v>87.614304890507697</v>
      </c>
      <c r="AJ3542">
        <v>73.400130256148302</v>
      </c>
      <c r="AK3542">
        <v>42.364131989295203</v>
      </c>
      <c r="AL3542">
        <v>88.785028091649707</v>
      </c>
      <c r="AM3542">
        <v>84.350414272584302</v>
      </c>
      <c r="AN3542">
        <v>0.99999995510211304</v>
      </c>
    </row>
    <row r="3543" spans="1:40" x14ac:dyDescent="0.25">
      <c r="A3543" t="str">
        <f>"20190312161036842"</f>
        <v>20190312161036842</v>
      </c>
      <c r="B3543" t="str">
        <f>"1552378236829820"</f>
        <v>1552378236829820</v>
      </c>
      <c r="C3543" t="s">
        <v>40</v>
      </c>
      <c r="D3543">
        <v>4.6065239999999896</v>
      </c>
      <c r="E3543">
        <v>0.57364139999999997</v>
      </c>
      <c r="F3543" t="s">
        <v>55</v>
      </c>
      <c r="G3543">
        <v>-168.41380000000001</v>
      </c>
      <c r="H3543">
        <v>2.7129470000000002</v>
      </c>
      <c r="I3543">
        <v>199.1283</v>
      </c>
      <c r="J3543">
        <v>-208.1206</v>
      </c>
      <c r="K3543">
        <v>1.1085100000000001</v>
      </c>
      <c r="L3543">
        <v>213.18369999999999</v>
      </c>
      <c r="M3543">
        <v>0.99854609999999999</v>
      </c>
      <c r="N3543">
        <v>0</v>
      </c>
      <c r="O3543">
        <v>-5.0234019999999997E-2</v>
      </c>
      <c r="P3543">
        <v>0.98881039999999998</v>
      </c>
      <c r="Q3543">
        <v>3.614454E-3</v>
      </c>
      <c r="R3543">
        <v>-0.14913390000000001</v>
      </c>
      <c r="S3543">
        <v>2.8839260000000002</v>
      </c>
      <c r="T3543">
        <v>0.115566</v>
      </c>
      <c r="U3543">
        <v>-1.0139009999999999</v>
      </c>
      <c r="V3543">
        <v>9.9403950000000005E-2</v>
      </c>
      <c r="W3543">
        <v>2.2456489999999999E-2</v>
      </c>
      <c r="X3543">
        <v>0.9947937</v>
      </c>
      <c r="Y3543">
        <v>0.28368459999999901</v>
      </c>
      <c r="Z3543">
        <v>3.5671510000000002E-3</v>
      </c>
      <c r="AA3543">
        <v>0.95891099999999996</v>
      </c>
      <c r="AB3543">
        <v>26</v>
      </c>
      <c r="AC3543">
        <v>39.706799999999902</v>
      </c>
      <c r="AD3543">
        <v>1.6044369999999999</v>
      </c>
      <c r="AE3543">
        <v>-14.055399999999899</v>
      </c>
      <c r="AF3543">
        <v>12.025186702483101</v>
      </c>
      <c r="AG3543">
        <v>1.6044369999999999</v>
      </c>
      <c r="AH3543">
        <v>40.304365363985802</v>
      </c>
      <c r="AI3543">
        <v>87.815434369840602</v>
      </c>
      <c r="AJ3543">
        <v>73.387032123353094</v>
      </c>
      <c r="AK3543">
        <v>42.0906307948717</v>
      </c>
      <c r="AL3543">
        <v>88.713229697588503</v>
      </c>
      <c r="AM3543">
        <v>84.293707749375997</v>
      </c>
      <c r="AN3543">
        <v>0.99999997238920502</v>
      </c>
    </row>
    <row r="3544" spans="1:40" x14ac:dyDescent="0.25">
      <c r="A3544" t="str">
        <f>"20190312161036863"</f>
        <v>20190312161036863</v>
      </c>
      <c r="B3544" t="str">
        <f>"1552378236860076"</f>
        <v>1552378236860076</v>
      </c>
      <c r="C3544" t="s">
        <v>40</v>
      </c>
      <c r="D3544">
        <v>4.5870769999999998</v>
      </c>
      <c r="E3544">
        <v>0.57320170000000004</v>
      </c>
      <c r="F3544" t="s">
        <v>55</v>
      </c>
      <c r="G3544">
        <v>-168.41390000000001</v>
      </c>
      <c r="H3544">
        <v>2.674166</v>
      </c>
      <c r="I3544">
        <v>198.9478</v>
      </c>
      <c r="J3544">
        <v>-207.8792</v>
      </c>
      <c r="K3544">
        <v>1.1084229999999999</v>
      </c>
      <c r="L3544">
        <v>213.16749999999999</v>
      </c>
      <c r="M3544">
        <v>0.99836179999999997</v>
      </c>
      <c r="N3544">
        <v>0</v>
      </c>
      <c r="O3544">
        <v>-5.3721459999999999E-2</v>
      </c>
      <c r="P3544">
        <v>0.98825819999999998</v>
      </c>
      <c r="Q3544">
        <v>4.582132E-3</v>
      </c>
      <c r="R3544">
        <v>-0.15272529999999901</v>
      </c>
      <c r="S3544">
        <v>2.8778990000000002</v>
      </c>
      <c r="T3544">
        <v>0.11347930000000001</v>
      </c>
      <c r="U3544">
        <v>-1.0317989999999999</v>
      </c>
      <c r="V3544">
        <v>9.95563E-2</v>
      </c>
      <c r="W3544">
        <v>2.3543399999999999E-2</v>
      </c>
      <c r="X3544">
        <v>0.99475340000000001</v>
      </c>
      <c r="Y3544">
        <v>0.28626380000000001</v>
      </c>
      <c r="Z3544">
        <v>3.4229239999999999E-3</v>
      </c>
      <c r="AA3544">
        <v>0.95814469999999996</v>
      </c>
      <c r="AB3544">
        <v>26</v>
      </c>
      <c r="AC3544">
        <v>39.4652999999999</v>
      </c>
      <c r="AD3544">
        <v>1.5657430000000001</v>
      </c>
      <c r="AE3544">
        <v>-14.2196999999999</v>
      </c>
      <c r="AF3544">
        <v>12.0618095567901</v>
      </c>
      <c r="AG3544">
        <v>1.5657430000000001</v>
      </c>
      <c r="AH3544">
        <v>40.116451080515198</v>
      </c>
      <c r="AI3544">
        <v>87.859451426496705</v>
      </c>
      <c r="AJ3544">
        <v>73.265548720688798</v>
      </c>
      <c r="AK3544">
        <v>41.919785879959903</v>
      </c>
      <c r="AL3544">
        <v>88.650937946894302</v>
      </c>
      <c r="AM3544">
        <v>84.284789937439598</v>
      </c>
      <c r="AN3544">
        <v>1.0000000376824001</v>
      </c>
    </row>
    <row r="3545" spans="1:40" x14ac:dyDescent="0.25">
      <c r="A3545" t="str">
        <f>"20190312161036900"</f>
        <v>20190312161036900</v>
      </c>
      <c r="B3545" t="str">
        <f>"1552378236890332"</f>
        <v>1552378236890332</v>
      </c>
      <c r="C3545" t="s">
        <v>40</v>
      </c>
      <c r="D3545">
        <v>4.6626110000000001</v>
      </c>
      <c r="E3545">
        <v>0.57321239999999996</v>
      </c>
      <c r="F3545" t="s">
        <v>55</v>
      </c>
      <c r="G3545">
        <v>-168.41390000000001</v>
      </c>
      <c r="H3545">
        <v>2.7367849999999998</v>
      </c>
      <c r="I3545">
        <v>198.90639999999999</v>
      </c>
      <c r="J3545">
        <v>-207.4641</v>
      </c>
      <c r="K3545">
        <v>1.1082540000000001</v>
      </c>
      <c r="L3545">
        <v>213.13720000000001</v>
      </c>
      <c r="M3545">
        <v>0.99799110000000002</v>
      </c>
      <c r="N3545">
        <v>0</v>
      </c>
      <c r="O3545">
        <v>-6.0138999999999998E-2</v>
      </c>
      <c r="P3545">
        <v>0.9871181</v>
      </c>
      <c r="Q3545">
        <v>2.7659270000000001E-3</v>
      </c>
      <c r="R3545">
        <v>-0.1599701</v>
      </c>
      <c r="S3545">
        <v>2.8745419999999999</v>
      </c>
      <c r="T3545">
        <v>0.1186079</v>
      </c>
      <c r="U3545">
        <v>-1.0387420000000001</v>
      </c>
      <c r="V3545">
        <v>0.1004567</v>
      </c>
      <c r="W3545">
        <v>2.190636E-2</v>
      </c>
      <c r="X3545">
        <v>0.99470029999999998</v>
      </c>
      <c r="Y3545">
        <v>0.28249819999999998</v>
      </c>
      <c r="Z3545">
        <v>3.249722E-3</v>
      </c>
      <c r="AA3545">
        <v>0.95926230000000001</v>
      </c>
      <c r="AB3545">
        <v>26</v>
      </c>
      <c r="AC3545">
        <v>39.050199999999897</v>
      </c>
      <c r="AD3545">
        <v>1.62853099999999</v>
      </c>
      <c r="AE3545">
        <v>-14.2308</v>
      </c>
      <c r="AF3545">
        <v>11.8379511305201</v>
      </c>
      <c r="AG3545">
        <v>1.62853099999999</v>
      </c>
      <c r="AH3545">
        <v>39.774422253669002</v>
      </c>
      <c r="AI3545">
        <v>87.752698074479198</v>
      </c>
      <c r="AJ3545">
        <v>73.425561561883995</v>
      </c>
      <c r="AK3545">
        <v>41.5306376762951</v>
      </c>
      <c r="AL3545">
        <v>88.744757695604605</v>
      </c>
      <c r="AM3545">
        <v>84.233141885791696</v>
      </c>
      <c r="AN3545">
        <v>1.00000006200171</v>
      </c>
    </row>
    <row r="3546" spans="1:40" x14ac:dyDescent="0.25">
      <c r="A3546" t="str">
        <f>"20190312161036930"</f>
        <v>20190312161036930</v>
      </c>
      <c r="B3546" t="str">
        <f>"1552378236919612"</f>
        <v>1552378236919612</v>
      </c>
      <c r="C3546" t="s">
        <v>40</v>
      </c>
      <c r="D3546">
        <v>4.7769769999999996</v>
      </c>
      <c r="E3546">
        <v>0.54630179999999995</v>
      </c>
      <c r="F3546" t="s">
        <v>55</v>
      </c>
      <c r="G3546">
        <v>-168.41390000000001</v>
      </c>
      <c r="H3546">
        <v>2.500197</v>
      </c>
      <c r="I3546">
        <v>198.7047</v>
      </c>
      <c r="J3546">
        <v>-207.13</v>
      </c>
      <c r="K3546">
        <v>1.10815</v>
      </c>
      <c r="L3546">
        <v>213.1104</v>
      </c>
      <c r="M3546">
        <v>0.997641</v>
      </c>
      <c r="N3546">
        <v>0</v>
      </c>
      <c r="O3546">
        <v>-6.5637650000000006E-2</v>
      </c>
      <c r="P3546">
        <v>0.98616210000000004</v>
      </c>
      <c r="Q3546">
        <v>2.21434E-3</v>
      </c>
      <c r="R3546">
        <v>-0.16577039999999901</v>
      </c>
      <c r="S3546">
        <v>2.8671419999999999</v>
      </c>
      <c r="T3546">
        <v>0.1022015</v>
      </c>
      <c r="U3546">
        <v>-1.0596620000000001</v>
      </c>
      <c r="V3546">
        <v>0.1008261</v>
      </c>
      <c r="W3546">
        <v>2.1498280000000002E-2</v>
      </c>
      <c r="X3546">
        <v>0.99467179999999999</v>
      </c>
      <c r="Y3546">
        <v>0.28421999999999997</v>
      </c>
      <c r="Z3546">
        <v>2.6453039999999998E-3</v>
      </c>
      <c r="AA3546">
        <v>0.95875540000000004</v>
      </c>
      <c r="AB3546">
        <v>25</v>
      </c>
      <c r="AC3546">
        <v>38.716099999999898</v>
      </c>
      <c r="AD3546">
        <v>1.392047</v>
      </c>
      <c r="AE3546">
        <v>-14.4056999999999</v>
      </c>
      <c r="AF3546">
        <v>11.819452665301</v>
      </c>
      <c r="AG3546">
        <v>1.392047</v>
      </c>
      <c r="AH3546">
        <v>39.533430564273601</v>
      </c>
      <c r="AI3546">
        <v>88.067779850493295</v>
      </c>
      <c r="AJ3546">
        <v>73.354722834952</v>
      </c>
      <c r="AK3546">
        <v>41.285946620342102</v>
      </c>
      <c r="AL3546">
        <v>88.768144429767801</v>
      </c>
      <c r="AM3546">
        <v>84.211914957566904</v>
      </c>
      <c r="AN3546">
        <v>1.0000000340997</v>
      </c>
    </row>
    <row r="3547" spans="1:40" x14ac:dyDescent="0.25">
      <c r="A3547" t="str">
        <f>"20190312161036949"</f>
        <v>20190312161036949</v>
      </c>
      <c r="B3547" t="str">
        <f>"1552378236940109"</f>
        <v>1552378236940109</v>
      </c>
      <c r="C3547" t="s">
        <v>40</v>
      </c>
      <c r="D3547">
        <v>4.762594</v>
      </c>
      <c r="E3547">
        <v>0.54547230000000002</v>
      </c>
      <c r="F3547" t="s">
        <v>42</v>
      </c>
      <c r="G3547">
        <v>-206.28870000000001</v>
      </c>
      <c r="H3547">
        <v>0.96220760000000005</v>
      </c>
      <c r="I3547">
        <v>212.86519999999999</v>
      </c>
      <c r="J3547">
        <v>-206.9057</v>
      </c>
      <c r="K3547">
        <v>1.1080989999999999</v>
      </c>
      <c r="L3547">
        <v>213.09119999999999</v>
      </c>
      <c r="M3547">
        <v>0.99737810000000005</v>
      </c>
      <c r="N3547">
        <v>0</v>
      </c>
      <c r="O3547">
        <v>-6.9486939999999997E-2</v>
      </c>
      <c r="P3547">
        <v>0.98545689999999997</v>
      </c>
      <c r="Q3547">
        <v>2.0914520000000002E-3</v>
      </c>
      <c r="R3547">
        <v>-0.16991229999999999</v>
      </c>
      <c r="S3547">
        <v>2.9011990000000001</v>
      </c>
      <c r="T3547">
        <v>-0.50311589999999995</v>
      </c>
      <c r="U3547">
        <v>-0.84495540000000002</v>
      </c>
      <c r="V3547">
        <v>0.1011702</v>
      </c>
      <c r="W3547">
        <v>2.146443E-2</v>
      </c>
      <c r="X3547">
        <v>0.99463749999999995</v>
      </c>
      <c r="Y3547">
        <v>0.21029120000000001</v>
      </c>
      <c r="Z3547">
        <v>-6.0491729999999997E-3</v>
      </c>
      <c r="AA3547">
        <v>0.97762009999999999</v>
      </c>
      <c r="AB3547">
        <v>25</v>
      </c>
      <c r="AC3547">
        <v>0.61699999999999</v>
      </c>
      <c r="AD3547">
        <v>-0.1458914</v>
      </c>
      <c r="AE3547">
        <v>-0.22599999999999901</v>
      </c>
      <c r="AF3547">
        <v>0.17399408410734199</v>
      </c>
      <c r="AG3547">
        <v>-0.1458914</v>
      </c>
      <c r="AH3547">
        <v>0.60156071670966804</v>
      </c>
      <c r="AI3547">
        <v>103.114394883709</v>
      </c>
      <c r="AJ3547">
        <v>73.868133476683596</v>
      </c>
      <c r="AK3547">
        <v>0.64298797639346394</v>
      </c>
      <c r="AL3547">
        <v>88.7700842283528</v>
      </c>
      <c r="AM3547">
        <v>84.192097234131694</v>
      </c>
      <c r="AN3547">
        <v>0.99999994376475498</v>
      </c>
    </row>
    <row r="3548" spans="1:40" x14ac:dyDescent="0.25">
      <c r="A3548" t="str">
        <f>"20190312161036971"</f>
        <v>20190312161036971</v>
      </c>
      <c r="B3548" t="str">
        <f>"1552378236960604"</f>
        <v>1552378236960604</v>
      </c>
      <c r="C3548" t="s">
        <v>40</v>
      </c>
      <c r="D3548">
        <v>4.7848629999999996</v>
      </c>
      <c r="E3548">
        <v>0.545431</v>
      </c>
      <c r="F3548" t="s">
        <v>42</v>
      </c>
      <c r="G3548">
        <v>-206.07660000000001</v>
      </c>
      <c r="H3548">
        <v>0.94268249999999998</v>
      </c>
      <c r="I3548">
        <v>212.8486</v>
      </c>
      <c r="J3548">
        <v>-206.67160000000001</v>
      </c>
      <c r="K3548">
        <v>1.1080680000000001</v>
      </c>
      <c r="L3548">
        <v>213.0701</v>
      </c>
      <c r="M3548">
        <v>0.9970793</v>
      </c>
      <c r="N3548">
        <v>0</v>
      </c>
      <c r="O3548">
        <v>-7.3622750000000001E-2</v>
      </c>
      <c r="P3548">
        <v>0.98454489999999995</v>
      </c>
      <c r="Q3548">
        <v>2.8345380000000002E-3</v>
      </c>
      <c r="R3548">
        <v>-0.17510999999999999</v>
      </c>
      <c r="S3548">
        <v>2.8993069999999999</v>
      </c>
      <c r="T3548">
        <v>-0.5782988</v>
      </c>
      <c r="U3548">
        <v>-0.84779359999999904</v>
      </c>
      <c r="V3548">
        <v>0.1023025</v>
      </c>
      <c r="W3548">
        <v>2.2284399999999999E-2</v>
      </c>
      <c r="X3548">
        <v>0.99450369999999999</v>
      </c>
      <c r="Y3548">
        <v>0.2068121</v>
      </c>
      <c r="Z3548">
        <v>-5.8092269999999897E-3</v>
      </c>
      <c r="AA3548">
        <v>0.97836350000000005</v>
      </c>
      <c r="AB3548">
        <v>25</v>
      </c>
      <c r="AC3548">
        <v>0.59499999999999797</v>
      </c>
      <c r="AD3548">
        <v>-0.16538549999999899</v>
      </c>
      <c r="AE3548">
        <v>-0.22149999999999101</v>
      </c>
      <c r="AF3548">
        <v>0.16583122246604601</v>
      </c>
      <c r="AG3548">
        <v>-0.16538549999999899</v>
      </c>
      <c r="AH3548">
        <v>0.57095219820526499</v>
      </c>
      <c r="AI3548">
        <v>105.544998377781</v>
      </c>
      <c r="AJ3548">
        <v>73.804231499333596</v>
      </c>
      <c r="AK3548">
        <v>0.61712135807331903</v>
      </c>
      <c r="AL3548">
        <v>88.723092235305799</v>
      </c>
      <c r="AM3548">
        <v>84.126762241321998</v>
      </c>
      <c r="AN3548">
        <v>1.00000000265164</v>
      </c>
    </row>
    <row r="3549" spans="1:40" x14ac:dyDescent="0.25">
      <c r="A3549" t="str">
        <f>"20190312161036994"</f>
        <v>20190312161036994</v>
      </c>
      <c r="B3549" t="str">
        <f>"1552378236989884"</f>
        <v>1552378236989884</v>
      </c>
      <c r="C3549" t="s">
        <v>40</v>
      </c>
      <c r="D3549">
        <v>5.1237560000000002</v>
      </c>
      <c r="E3549">
        <v>0.54640769999999905</v>
      </c>
      <c r="F3549" t="s">
        <v>42</v>
      </c>
      <c r="G3549">
        <v>-205.85929999999999</v>
      </c>
      <c r="H3549">
        <v>0.93713190000000002</v>
      </c>
      <c r="I3549">
        <v>212.82830000000001</v>
      </c>
      <c r="J3549">
        <v>-206.4144</v>
      </c>
      <c r="K3549">
        <v>1.108033</v>
      </c>
      <c r="L3549">
        <v>213.0455</v>
      </c>
      <c r="M3549">
        <v>0.99672110000000003</v>
      </c>
      <c r="N3549">
        <v>0</v>
      </c>
      <c r="O3549">
        <v>-7.8296699999999997E-2</v>
      </c>
      <c r="P3549">
        <v>0.9834387</v>
      </c>
      <c r="Q3549">
        <v>3.3900530000000001E-3</v>
      </c>
      <c r="R3549">
        <v>-0.1812098</v>
      </c>
      <c r="S3549">
        <v>2.8955989999999998</v>
      </c>
      <c r="T3549">
        <v>-0.60925759999999995</v>
      </c>
      <c r="U3549">
        <v>-0.86161799999999999</v>
      </c>
      <c r="V3549">
        <v>0.10381219999999999</v>
      </c>
      <c r="W3549">
        <v>2.2911279999999999E-2</v>
      </c>
      <c r="X3549">
        <v>0.99433300000000002</v>
      </c>
      <c r="Y3549">
        <v>0.20669419999999999</v>
      </c>
      <c r="Z3549">
        <v>-5.1604090000000003E-3</v>
      </c>
      <c r="AA3549">
        <v>0.97839200000000004</v>
      </c>
      <c r="AB3549">
        <v>25</v>
      </c>
      <c r="AC3549">
        <v>0.55510000000001003</v>
      </c>
      <c r="AD3549">
        <v>-0.1709011</v>
      </c>
      <c r="AE3549">
        <v>-0.21719999999999101</v>
      </c>
      <c r="AF3549">
        <v>0.15991603708482099</v>
      </c>
      <c r="AG3549">
        <v>-0.1709011</v>
      </c>
      <c r="AH3549">
        <v>0.52707813378738699</v>
      </c>
      <c r="AI3549">
        <v>107.237861540898</v>
      </c>
      <c r="AJ3549">
        <v>73.122149765031494</v>
      </c>
      <c r="AK3549">
        <v>0.57670762437730805</v>
      </c>
      <c r="AL3549">
        <v>88.687165488202595</v>
      </c>
      <c r="AM3549">
        <v>84.039693167456093</v>
      </c>
      <c r="AN3549">
        <v>1.0000000072545301</v>
      </c>
    </row>
    <row r="3550" spans="1:40" x14ac:dyDescent="0.25">
      <c r="A3550" t="str">
        <f>"20190312161037017"</f>
        <v>20190312161037017</v>
      </c>
      <c r="B3550" t="str">
        <f>"1552378237010380"</f>
        <v>1552378237010380</v>
      </c>
      <c r="C3550" t="s">
        <v>40</v>
      </c>
      <c r="D3550">
        <v>5.1597619999999997</v>
      </c>
      <c r="E3550">
        <v>0.54530469999999998</v>
      </c>
      <c r="F3550" t="s">
        <v>42</v>
      </c>
      <c r="G3550">
        <v>-205.6396</v>
      </c>
      <c r="H3550">
        <v>0.93948980000000004</v>
      </c>
      <c r="I3550">
        <v>212.80760000000001</v>
      </c>
      <c r="J3550">
        <v>-206.1636</v>
      </c>
      <c r="K3550">
        <v>1.107998</v>
      </c>
      <c r="L3550">
        <v>213.02029999999999</v>
      </c>
      <c r="M3550">
        <v>0.99634060000000002</v>
      </c>
      <c r="N3550">
        <v>0</v>
      </c>
      <c r="O3550">
        <v>-8.2979330000000004E-2</v>
      </c>
      <c r="P3550">
        <v>0.98235819999999996</v>
      </c>
      <c r="Q3550">
        <v>3.2652089999999998E-3</v>
      </c>
      <c r="R3550">
        <v>-0.18698090000000001</v>
      </c>
      <c r="S3550">
        <v>2.8893740000000001</v>
      </c>
      <c r="T3550">
        <v>-0.6283976</v>
      </c>
      <c r="U3550">
        <v>-0.88638309999999998</v>
      </c>
      <c r="V3550">
        <v>0.1049803</v>
      </c>
      <c r="W3550">
        <v>2.284835E-2</v>
      </c>
      <c r="X3550">
        <v>0.99421179999999998</v>
      </c>
      <c r="Y3550">
        <v>0.2102176</v>
      </c>
      <c r="Z3550">
        <v>-4.718725E-3</v>
      </c>
      <c r="AA3550">
        <v>0.97764329999999999</v>
      </c>
      <c r="AB3550">
        <v>25</v>
      </c>
      <c r="AC3550">
        <v>0.52400000000000002</v>
      </c>
      <c r="AD3550">
        <v>-0.168508199999999</v>
      </c>
      <c r="AE3550">
        <v>-0.21269999999998301</v>
      </c>
      <c r="AF3550">
        <v>0.15473746397338001</v>
      </c>
      <c r="AG3550">
        <v>-0.168508199999999</v>
      </c>
      <c r="AH3550">
        <v>0.49582374775890597</v>
      </c>
      <c r="AI3550">
        <v>107.97427871431201</v>
      </c>
      <c r="AJ3550">
        <v>72.667818207736104</v>
      </c>
      <c r="AK3550">
        <v>0.54605849967365305</v>
      </c>
      <c r="AL3550">
        <v>88.690772055198806</v>
      </c>
      <c r="AM3550">
        <v>83.972389098818297</v>
      </c>
      <c r="AN3550">
        <v>1.0000000068725201</v>
      </c>
    </row>
    <row r="3551" spans="1:40" x14ac:dyDescent="0.25">
      <c r="A3551" t="str">
        <f>"20190312161037043"</f>
        <v>20190312161037043</v>
      </c>
      <c r="B3551" t="str">
        <f>"1552378237039660"</f>
        <v>1552378237039660</v>
      </c>
      <c r="C3551" t="s">
        <v>40</v>
      </c>
      <c r="D3551">
        <v>5.1545310000000004</v>
      </c>
      <c r="E3551">
        <v>0.54340459999999902</v>
      </c>
      <c r="F3551" t="s">
        <v>42</v>
      </c>
      <c r="G3551">
        <v>-205.41900000000001</v>
      </c>
      <c r="H3551">
        <v>0.94665270000000001</v>
      </c>
      <c r="I3551">
        <v>212.7895</v>
      </c>
      <c r="J3551">
        <v>-205.88329999999999</v>
      </c>
      <c r="K3551">
        <v>1.107966</v>
      </c>
      <c r="L3551">
        <v>212.9906</v>
      </c>
      <c r="M3551">
        <v>0.99587669999999995</v>
      </c>
      <c r="N3551">
        <v>0</v>
      </c>
      <c r="O3551">
        <v>-8.8353370000000001E-2</v>
      </c>
      <c r="P3551">
        <v>0.98119500000000004</v>
      </c>
      <c r="Q3551">
        <v>3.107753E-3</v>
      </c>
      <c r="R3551">
        <v>-0.19299430000000001</v>
      </c>
      <c r="S3551">
        <v>2.8857729999999999</v>
      </c>
      <c r="T3551">
        <v>-0.62522200000000006</v>
      </c>
      <c r="U3551">
        <v>-0.89411929999999995</v>
      </c>
      <c r="V3551">
        <v>0.1057082</v>
      </c>
      <c r="W3551">
        <v>2.2753010000000001E-2</v>
      </c>
      <c r="X3551">
        <v>0.99413689999999999</v>
      </c>
      <c r="Y3551">
        <v>0.2078672</v>
      </c>
      <c r="Z3551">
        <v>-3.3380929999999999E-3</v>
      </c>
      <c r="AA3551">
        <v>0.9781514</v>
      </c>
      <c r="AB3551">
        <v>24</v>
      </c>
      <c r="AC3551">
        <v>0.46429999999998001</v>
      </c>
      <c r="AD3551">
        <v>-0.16131329999999999</v>
      </c>
      <c r="AE3551">
        <v>-0.201099999999996</v>
      </c>
      <c r="AF3551">
        <v>0.14458601806031501</v>
      </c>
      <c r="AG3551">
        <v>-0.16131329999999999</v>
      </c>
      <c r="AH3551">
        <v>0.43594471743150598</v>
      </c>
      <c r="AI3551">
        <v>109.352219646317</v>
      </c>
      <c r="AJ3551">
        <v>71.651311670681494</v>
      </c>
      <c r="AK3551">
        <v>0.48680067176603598</v>
      </c>
      <c r="AL3551">
        <v>88.696236110809394</v>
      </c>
      <c r="AM3551">
        <v>83.930452580081194</v>
      </c>
      <c r="AN3551">
        <v>1.00000004947645</v>
      </c>
    </row>
    <row r="3552" spans="1:40" x14ac:dyDescent="0.25">
      <c r="A3552" t="str">
        <f>"20190312161037066"</f>
        <v>20190312161037066</v>
      </c>
      <c r="B3552" t="str">
        <f>"1552378237060157"</f>
        <v>1552378237060157</v>
      </c>
      <c r="C3552" t="s">
        <v>40</v>
      </c>
      <c r="D3552">
        <v>5.0908369999999996</v>
      </c>
      <c r="E3552">
        <v>0.54249729999999996</v>
      </c>
      <c r="F3552" t="s">
        <v>42</v>
      </c>
      <c r="G3552">
        <v>-205.19569999999999</v>
      </c>
      <c r="H3552">
        <v>0.96123219999999998</v>
      </c>
      <c r="I3552">
        <v>212.77629999999999</v>
      </c>
      <c r="J3552">
        <v>-205.64</v>
      </c>
      <c r="K3552">
        <v>1.107925</v>
      </c>
      <c r="L3552">
        <v>212.9633</v>
      </c>
      <c r="M3552">
        <v>0.9954364</v>
      </c>
      <c r="N3552">
        <v>0</v>
      </c>
      <c r="O3552">
        <v>-9.316903E-2</v>
      </c>
      <c r="P3552">
        <v>0.98014100000000004</v>
      </c>
      <c r="Q3552">
        <v>3.5013219999999999E-3</v>
      </c>
      <c r="R3552">
        <v>-0.198272</v>
      </c>
      <c r="S3552">
        <v>2.8828580000000001</v>
      </c>
      <c r="T3552">
        <v>-0.61498439999999999</v>
      </c>
      <c r="U3552">
        <v>-0.8978119</v>
      </c>
      <c r="V3552">
        <v>0.1062565</v>
      </c>
      <c r="W3552">
        <v>2.31892E-2</v>
      </c>
      <c r="X3552">
        <v>0.99406830000000002</v>
      </c>
      <c r="Y3552">
        <v>0.20479820000000001</v>
      </c>
      <c r="Z3552">
        <v>-1.9874480000000002E-3</v>
      </c>
      <c r="AA3552">
        <v>0.97880219999999996</v>
      </c>
      <c r="AB3552">
        <v>24</v>
      </c>
      <c r="AC3552">
        <v>0.44429999999999797</v>
      </c>
      <c r="AD3552">
        <v>-0.14669280000000001</v>
      </c>
      <c r="AE3552">
        <v>-0.18700000000001099</v>
      </c>
      <c r="AF3552">
        <v>0.13251123039955801</v>
      </c>
      <c r="AG3552">
        <v>-0.14669280000000001</v>
      </c>
      <c r="AH3552">
        <v>0.420822618602264</v>
      </c>
      <c r="AI3552">
        <v>108.391529304822</v>
      </c>
      <c r="AJ3552">
        <v>72.5215051584658</v>
      </c>
      <c r="AK3552">
        <v>0.464940512411116</v>
      </c>
      <c r="AL3552">
        <v>88.671237582311903</v>
      </c>
      <c r="AM3552">
        <v>83.898789300128698</v>
      </c>
      <c r="AN3552">
        <v>0.99999998392688905</v>
      </c>
    </row>
    <row r="3553" spans="1:40" x14ac:dyDescent="0.25">
      <c r="A3553" t="str">
        <f>"20190312161037089"</f>
        <v>20190312161037089</v>
      </c>
      <c r="B3553" t="str">
        <f>"1552378237079676"</f>
        <v>1552378237079676</v>
      </c>
      <c r="C3553" t="s">
        <v>40</v>
      </c>
      <c r="D3553">
        <v>4.8775620000000002</v>
      </c>
      <c r="E3553">
        <v>0.54206889999999996</v>
      </c>
      <c r="F3553" t="s">
        <v>42</v>
      </c>
      <c r="G3553">
        <v>-204.78620000000001</v>
      </c>
      <c r="H3553">
        <v>0.92761859999999996</v>
      </c>
      <c r="I3553">
        <v>212.6942</v>
      </c>
      <c r="J3553">
        <v>-205.398</v>
      </c>
      <c r="K3553">
        <v>1.1078790000000001</v>
      </c>
      <c r="L3553">
        <v>212.93469999999999</v>
      </c>
      <c r="M3553">
        <v>0.99496039999999997</v>
      </c>
      <c r="N3553">
        <v>0</v>
      </c>
      <c r="O3553">
        <v>-9.811077E-2</v>
      </c>
      <c r="P3553">
        <v>0.97890809999999995</v>
      </c>
      <c r="Q3553">
        <v>2.5628209999999998E-3</v>
      </c>
      <c r="R3553">
        <v>-0.20428589999999999</v>
      </c>
      <c r="S3553">
        <v>2.8794400000000002</v>
      </c>
      <c r="T3553">
        <v>-0.60800909999999997</v>
      </c>
      <c r="U3553">
        <v>-0.90716549999999996</v>
      </c>
      <c r="V3553">
        <v>0.1074194</v>
      </c>
      <c r="W3553">
        <v>2.2278679999999999E-2</v>
      </c>
      <c r="X3553">
        <v>0.99396410000000002</v>
      </c>
      <c r="Y3553">
        <v>0.2033413</v>
      </c>
      <c r="Z3553">
        <v>-8.2085649999999997E-4</v>
      </c>
      <c r="AA3553">
        <v>0.97910759999999997</v>
      </c>
      <c r="AB3553">
        <v>24</v>
      </c>
      <c r="AC3553">
        <v>0.61179999999998802</v>
      </c>
      <c r="AD3553">
        <v>-0.18026039999999999</v>
      </c>
      <c r="AE3553">
        <v>-0.24049999999999699</v>
      </c>
      <c r="AF3553">
        <v>0.16676281318296701</v>
      </c>
      <c r="AG3553">
        <v>-0.18026039999999999</v>
      </c>
      <c r="AH3553">
        <v>0.58821799271221598</v>
      </c>
      <c r="AI3553">
        <v>106.42720779632199</v>
      </c>
      <c r="AJ3553">
        <v>74.171695189119703</v>
      </c>
      <c r="AK3553">
        <v>0.63741984172070298</v>
      </c>
      <c r="AL3553">
        <v>88.723419980791604</v>
      </c>
      <c r="AM3553">
        <v>83.831886277071206</v>
      </c>
      <c r="AN3553">
        <v>0.99999994958385496</v>
      </c>
    </row>
    <row r="3554" spans="1:40" x14ac:dyDescent="0.25">
      <c r="A3554" t="str">
        <f>"20190312161037109"</f>
        <v>20190312161037109</v>
      </c>
      <c r="B3554" t="str">
        <f>"1552378237100173"</f>
        <v>1552378237100173</v>
      </c>
      <c r="C3554" t="s">
        <v>40</v>
      </c>
      <c r="D3554">
        <v>5.1340690000000002</v>
      </c>
      <c r="E3554">
        <v>0.54122119999999996</v>
      </c>
      <c r="F3554" t="s">
        <v>42</v>
      </c>
      <c r="G3554">
        <v>-204.57239999999999</v>
      </c>
      <c r="H3554">
        <v>0.9326911</v>
      </c>
      <c r="I3554">
        <v>212.67</v>
      </c>
      <c r="J3554">
        <v>-205.1695</v>
      </c>
      <c r="K3554">
        <v>1.107834</v>
      </c>
      <c r="L3554">
        <v>212.90639999999999</v>
      </c>
      <c r="M3554">
        <v>0.99447580000000002</v>
      </c>
      <c r="N3554">
        <v>0</v>
      </c>
      <c r="O3554">
        <v>-0.1028975</v>
      </c>
      <c r="P3554">
        <v>0.97757260000000001</v>
      </c>
      <c r="Q3554">
        <v>2.3386079999999998E-3</v>
      </c>
      <c r="R3554">
        <v>-0.2105853</v>
      </c>
      <c r="S3554">
        <v>2.8740540000000001</v>
      </c>
      <c r="T3554">
        <v>-0.60973569999999999</v>
      </c>
      <c r="U3554">
        <v>-0.92102050000000002</v>
      </c>
      <c r="V3554">
        <v>0.1090381</v>
      </c>
      <c r="W3554">
        <v>2.2069869999999998E-2</v>
      </c>
      <c r="X3554">
        <v>0.99379249999999997</v>
      </c>
      <c r="Y3554">
        <v>0.20352129999999999</v>
      </c>
      <c r="Z3554">
        <v>1.258012E-4</v>
      </c>
      <c r="AA3554">
        <v>0.97907049999999995</v>
      </c>
      <c r="AB3554">
        <v>24</v>
      </c>
      <c r="AC3554">
        <v>0.59710000000001096</v>
      </c>
      <c r="AD3554">
        <v>-0.17514289999999999</v>
      </c>
      <c r="AE3554">
        <v>-0.236400000000003</v>
      </c>
      <c r="AF3554">
        <v>0.16166666793998699</v>
      </c>
      <c r="AG3554">
        <v>-0.17514289999999999</v>
      </c>
      <c r="AH3554">
        <v>0.57545727176385797</v>
      </c>
      <c r="AI3554">
        <v>106.331161124757</v>
      </c>
      <c r="AJ3554">
        <v>74.3080352673731</v>
      </c>
      <c r="AK3554">
        <v>0.62286613214167497</v>
      </c>
      <c r="AL3554">
        <v>88.735386868384893</v>
      </c>
      <c r="AM3554">
        <v>83.738599333867697</v>
      </c>
      <c r="AN3554">
        <v>0.99999995973483702</v>
      </c>
    </row>
    <row r="3555" spans="1:40" x14ac:dyDescent="0.25">
      <c r="A3555" t="str">
        <f>"20190312161037132"</f>
        <v>20190312161037132</v>
      </c>
      <c r="B3555" t="str">
        <f>"1552378237120668"</f>
        <v>1552378237120668</v>
      </c>
      <c r="C3555" t="s">
        <v>40</v>
      </c>
      <c r="D3555">
        <v>4.9472060000000004</v>
      </c>
      <c r="E3555">
        <v>0.54030080000000003</v>
      </c>
      <c r="F3555" t="s">
        <v>42</v>
      </c>
      <c r="G3555">
        <v>-204.3612</v>
      </c>
      <c r="H3555">
        <v>0.93534839999999997</v>
      </c>
      <c r="I3555">
        <v>212.64359999999999</v>
      </c>
      <c r="J3555">
        <v>-204.93889999999999</v>
      </c>
      <c r="K3555">
        <v>1.1077999999999999</v>
      </c>
      <c r="L3555">
        <v>212.8766</v>
      </c>
      <c r="M3555">
        <v>0.99394939999999998</v>
      </c>
      <c r="N3555">
        <v>0</v>
      </c>
      <c r="O3555">
        <v>-0.1078559</v>
      </c>
      <c r="P3555">
        <v>0.97630220000000001</v>
      </c>
      <c r="Q3555">
        <v>2.4492139999999999E-3</v>
      </c>
      <c r="R3555">
        <v>-0.2163976</v>
      </c>
      <c r="S3555">
        <v>2.8693390000000001</v>
      </c>
      <c r="T3555">
        <v>-0.61213519999999999</v>
      </c>
      <c r="U3555">
        <v>-0.93275450000000004</v>
      </c>
      <c r="V3555">
        <v>0.1099979</v>
      </c>
      <c r="W3555">
        <v>2.2197629999999999E-2</v>
      </c>
      <c r="X3555">
        <v>0.99368389999999995</v>
      </c>
      <c r="Y3555">
        <v>0.20282890000000001</v>
      </c>
      <c r="Z3555">
        <v>1.2046959999999999E-3</v>
      </c>
      <c r="AA3555">
        <v>0.97921340000000001</v>
      </c>
      <c r="AB3555">
        <v>24</v>
      </c>
      <c r="AC3555">
        <v>0.577699999999992</v>
      </c>
      <c r="AD3555">
        <v>-0.17245159999999901</v>
      </c>
      <c r="AE3555">
        <v>-0.23300000000000401</v>
      </c>
      <c r="AF3555">
        <v>0.157265115013898</v>
      </c>
      <c r="AG3555">
        <v>-0.17245159999999901</v>
      </c>
      <c r="AH3555">
        <v>0.55679024567079605</v>
      </c>
      <c r="AI3555">
        <v>106.597384852511</v>
      </c>
      <c r="AJ3555">
        <v>74.227694763028396</v>
      </c>
      <c r="AK3555">
        <v>0.60372779331172099</v>
      </c>
      <c r="AL3555">
        <v>88.728064995097796</v>
      </c>
      <c r="AM3555">
        <v>83.683242609010506</v>
      </c>
      <c r="AN3555">
        <v>0.99999998295061798</v>
      </c>
    </row>
    <row r="3556" spans="1:40" x14ac:dyDescent="0.25">
      <c r="A3556" t="str">
        <f>"20190312161037152"</f>
        <v>20190312161037152</v>
      </c>
      <c r="B3556" t="str">
        <f>"1552378237140188"</f>
        <v>1552378237140188</v>
      </c>
      <c r="C3556" t="s">
        <v>40</v>
      </c>
      <c r="D3556">
        <v>4.9209059999999996</v>
      </c>
      <c r="E3556">
        <v>0.53977359999999996</v>
      </c>
      <c r="F3556" t="s">
        <v>42</v>
      </c>
      <c r="G3556">
        <v>-204.15119999999999</v>
      </c>
      <c r="H3556">
        <v>0.93823080000000003</v>
      </c>
      <c r="I3556">
        <v>212.6174</v>
      </c>
      <c r="J3556">
        <v>-204.7235</v>
      </c>
      <c r="K3556">
        <v>1.1077629999999901</v>
      </c>
      <c r="L3556">
        <v>212.8476</v>
      </c>
      <c r="M3556">
        <v>0.99342070000000005</v>
      </c>
      <c r="N3556">
        <v>0</v>
      </c>
      <c r="O3556">
        <v>-0.1126151</v>
      </c>
      <c r="P3556">
        <v>0.97515209999999997</v>
      </c>
      <c r="Q3556">
        <v>2.2985610000000002E-3</v>
      </c>
      <c r="R3556">
        <v>-0.2215251</v>
      </c>
      <c r="S3556">
        <v>2.8654169999999999</v>
      </c>
      <c r="T3556">
        <v>-0.61668559999999994</v>
      </c>
      <c r="U3556">
        <v>-0.9425964</v>
      </c>
      <c r="V3556">
        <v>0.1104613</v>
      </c>
      <c r="W3556">
        <v>2.2063200000000002E-2</v>
      </c>
      <c r="X3556">
        <v>0.9936355</v>
      </c>
      <c r="Y3556">
        <v>0.2016635</v>
      </c>
      <c r="Z3556">
        <v>2.3088570000000001E-3</v>
      </c>
      <c r="AA3556">
        <v>0.97945210000000005</v>
      </c>
      <c r="AB3556">
        <v>24</v>
      </c>
      <c r="AC3556">
        <v>0.57230000000001202</v>
      </c>
      <c r="AD3556">
        <v>-0.16953219999999899</v>
      </c>
      <c r="AE3556">
        <v>-0.23019999999999599</v>
      </c>
      <c r="AF3556">
        <v>0.15273510457598399</v>
      </c>
      <c r="AG3556">
        <v>-0.16953219999999899</v>
      </c>
      <c r="AH3556">
        <v>0.55283131364243698</v>
      </c>
      <c r="AI3556">
        <v>106.46705210200599</v>
      </c>
      <c r="AJ3556">
        <v>74.5556976596976</v>
      </c>
      <c r="AK3556">
        <v>0.59807327339574301</v>
      </c>
      <c r="AL3556">
        <v>88.735769169203706</v>
      </c>
      <c r="AM3556">
        <v>83.656541327028094</v>
      </c>
      <c r="AN3556">
        <v>0.99999999522608995</v>
      </c>
    </row>
    <row r="3557" spans="1:40" x14ac:dyDescent="0.25">
      <c r="A3557" t="str">
        <f>"20190312161037173"</f>
        <v>20190312161037173</v>
      </c>
      <c r="B3557" t="str">
        <f>"1552378237170444"</f>
        <v>1552378237170444</v>
      </c>
      <c r="C3557" t="s">
        <v>40</v>
      </c>
      <c r="D3557">
        <v>4.9113819999999997</v>
      </c>
      <c r="E3557">
        <v>0.53862299999999996</v>
      </c>
      <c r="F3557" t="s">
        <v>42</v>
      </c>
      <c r="G3557">
        <v>-203.9436</v>
      </c>
      <c r="H3557">
        <v>0.93944130000000003</v>
      </c>
      <c r="I3557">
        <v>212.5874</v>
      </c>
      <c r="J3557">
        <v>-204.5095</v>
      </c>
      <c r="K3557">
        <v>1.107726</v>
      </c>
      <c r="L3557">
        <v>212.8176</v>
      </c>
      <c r="M3557">
        <v>0.9928572</v>
      </c>
      <c r="N3557">
        <v>0</v>
      </c>
      <c r="O3557">
        <v>-0.1174747</v>
      </c>
      <c r="P3557">
        <v>0.97397239999999996</v>
      </c>
      <c r="Q3557">
        <v>1.6335259999999999E-3</v>
      </c>
      <c r="R3557">
        <v>-0.2266608</v>
      </c>
      <c r="S3557">
        <v>2.8613279999999999</v>
      </c>
      <c r="T3557">
        <v>-0.61719179999999996</v>
      </c>
      <c r="U3557">
        <v>-0.9534454</v>
      </c>
      <c r="V3557">
        <v>0.1108328</v>
      </c>
      <c r="W3557">
        <v>2.141009E-2</v>
      </c>
      <c r="X3557">
        <v>0.99360839999999995</v>
      </c>
      <c r="Y3557">
        <v>0.20074790000000001</v>
      </c>
      <c r="Z3557">
        <v>3.402146E-3</v>
      </c>
      <c r="AA3557">
        <v>0.97963699999999998</v>
      </c>
      <c r="AB3557">
        <v>23</v>
      </c>
      <c r="AC3557">
        <v>0.56589999999999896</v>
      </c>
      <c r="AD3557">
        <v>-0.16828469999999901</v>
      </c>
      <c r="AE3557">
        <v>-0.23019999999999599</v>
      </c>
      <c r="AF3557">
        <v>0.15067900891654401</v>
      </c>
      <c r="AG3557">
        <v>-0.16828469999999901</v>
      </c>
      <c r="AH3557">
        <v>0.547487095278822</v>
      </c>
      <c r="AI3557">
        <v>106.507585844462</v>
      </c>
      <c r="AJ3557">
        <v>74.612068462485894</v>
      </c>
      <c r="AK3557">
        <v>0.59225503246405997</v>
      </c>
      <c r="AL3557">
        <v>88.773198437653093</v>
      </c>
      <c r="AM3557">
        <v>83.635209818657401</v>
      </c>
      <c r="AN3557">
        <v>0.99999997703010302</v>
      </c>
    </row>
    <row r="3558" spans="1:40" x14ac:dyDescent="0.25">
      <c r="A3558" t="str">
        <f>"20190312161037193"</f>
        <v>20190312161037193</v>
      </c>
      <c r="B3558" t="str">
        <f>"1552378237189963"</f>
        <v>1552378237189963</v>
      </c>
      <c r="C3558" t="s">
        <v>40</v>
      </c>
      <c r="D3558">
        <v>4.9245660000000004</v>
      </c>
      <c r="E3558">
        <v>0.53833750000000002</v>
      </c>
      <c r="F3558" t="s">
        <v>42</v>
      </c>
      <c r="G3558">
        <v>-203.73699999999999</v>
      </c>
      <c r="H3558">
        <v>0.94116809999999995</v>
      </c>
      <c r="I3558">
        <v>212.55799999999999</v>
      </c>
      <c r="J3558">
        <v>-204.29669999999999</v>
      </c>
      <c r="K3558">
        <v>1.107666</v>
      </c>
      <c r="L3558">
        <v>212.78649999999999</v>
      </c>
      <c r="M3558">
        <v>0.99225620000000003</v>
      </c>
      <c r="N3558">
        <v>0</v>
      </c>
      <c r="O3558">
        <v>-0.1224457</v>
      </c>
      <c r="P3558">
        <v>0.97264399999999995</v>
      </c>
      <c r="Q3558">
        <v>6.7036789999999895E-4</v>
      </c>
      <c r="R3558">
        <v>-0.23230139999999999</v>
      </c>
      <c r="S3558">
        <v>2.8578030000000001</v>
      </c>
      <c r="T3558">
        <v>-0.6160004</v>
      </c>
      <c r="U3558">
        <v>-0.95993039999999996</v>
      </c>
      <c r="V3558">
        <v>0.11160920000000001</v>
      </c>
      <c r="W3558">
        <v>2.044899E-2</v>
      </c>
      <c r="X3558">
        <v>0.99354180000000003</v>
      </c>
      <c r="Y3558">
        <v>0.19835849999999999</v>
      </c>
      <c r="Z3558">
        <v>4.6621839999999998E-3</v>
      </c>
      <c r="AA3558">
        <v>0.9801185</v>
      </c>
      <c r="AB3558">
        <v>23</v>
      </c>
      <c r="AC3558">
        <v>0.55969999999999198</v>
      </c>
      <c r="AD3558">
        <v>-0.16649789999999901</v>
      </c>
      <c r="AE3558">
        <v>-0.22849999999999601</v>
      </c>
      <c r="AF3558">
        <v>0.14707627373174301</v>
      </c>
      <c r="AG3558">
        <v>-0.16649789999999901</v>
      </c>
      <c r="AH3558">
        <v>0.54233509460295903</v>
      </c>
      <c r="AI3558">
        <v>106.504534451593</v>
      </c>
      <c r="AJ3558">
        <v>74.826853415503805</v>
      </c>
      <c r="AK3558">
        <v>0.58607195448786398</v>
      </c>
      <c r="AL3558">
        <v>88.828277555209098</v>
      </c>
      <c r="AM3558">
        <v>83.590567205942605</v>
      </c>
      <c r="AN3558">
        <v>1.0000000415319401</v>
      </c>
    </row>
    <row r="3559" spans="1:40" x14ac:dyDescent="0.25">
      <c r="A3559" t="str">
        <f>"20190312161037216"</f>
        <v>20190312161037216</v>
      </c>
      <c r="B3559" t="str">
        <f>"1552378237210460"</f>
        <v>1552378237210460</v>
      </c>
      <c r="C3559" t="s">
        <v>40</v>
      </c>
      <c r="D3559">
        <v>5.193746</v>
      </c>
      <c r="E3559">
        <v>0.53767860000000001</v>
      </c>
      <c r="F3559" t="s">
        <v>42</v>
      </c>
      <c r="G3559">
        <v>-203.53290000000001</v>
      </c>
      <c r="H3559">
        <v>0.94138040000000001</v>
      </c>
      <c r="I3559">
        <v>212.52549999999999</v>
      </c>
      <c r="J3559">
        <v>-204.06809999999999</v>
      </c>
      <c r="K3559">
        <v>1.107599</v>
      </c>
      <c r="L3559">
        <v>212.7517</v>
      </c>
      <c r="M3559">
        <v>0.99156120000000003</v>
      </c>
      <c r="N3559">
        <v>0</v>
      </c>
      <c r="O3559">
        <v>-0.12794700000000001</v>
      </c>
      <c r="P3559">
        <v>0.97123419999999905</v>
      </c>
      <c r="Q3559">
        <v>3.207196E-4</v>
      </c>
      <c r="R3559">
        <v>-0.23812710000000001</v>
      </c>
      <c r="S3559">
        <v>2.852112</v>
      </c>
      <c r="T3559">
        <v>-0.62079790000000001</v>
      </c>
      <c r="U3559">
        <v>-0.97430419999999995</v>
      </c>
      <c r="V3559">
        <v>0.112054399999999</v>
      </c>
      <c r="W3559">
        <v>2.0100969999999999E-2</v>
      </c>
      <c r="X3559">
        <v>0.99349869999999996</v>
      </c>
      <c r="Y3559">
        <v>0.19803850000000001</v>
      </c>
      <c r="Z3559">
        <v>5.8679930000000002E-3</v>
      </c>
      <c r="AA3559">
        <v>0.98017670000000001</v>
      </c>
      <c r="AB3559">
        <v>23</v>
      </c>
      <c r="AC3559">
        <v>0.53519999999997403</v>
      </c>
      <c r="AD3559">
        <v>-0.16621859999999999</v>
      </c>
      <c r="AE3559">
        <v>-0.22620000000000501</v>
      </c>
      <c r="AF3559">
        <v>0.144058561884295</v>
      </c>
      <c r="AG3559">
        <v>-0.16621859999999999</v>
      </c>
      <c r="AH3559">
        <v>0.51740436430264203</v>
      </c>
      <c r="AI3559">
        <v>107.196404164809</v>
      </c>
      <c r="AJ3559">
        <v>74.441442160614699</v>
      </c>
      <c r="AK3559">
        <v>0.56221772333994602</v>
      </c>
      <c r="AL3559">
        <v>88.848221628490904</v>
      </c>
      <c r="AM3559">
        <v>83.564937710634794</v>
      </c>
      <c r="AN3559">
        <v>0.99999995222799398</v>
      </c>
    </row>
    <row r="3560" spans="1:40" x14ac:dyDescent="0.25">
      <c r="A3560" t="str">
        <f>"20190312161037242"</f>
        <v>20190312161037242</v>
      </c>
      <c r="B3560" t="str">
        <f>"1552378237229979"</f>
        <v>1552378237229979</v>
      </c>
      <c r="C3560" t="s">
        <v>40</v>
      </c>
      <c r="D3560">
        <v>5.1865389999999998</v>
      </c>
      <c r="E3560">
        <v>0.537331</v>
      </c>
      <c r="F3560" t="s">
        <v>42</v>
      </c>
      <c r="G3560">
        <v>-203.32730000000001</v>
      </c>
      <c r="H3560">
        <v>0.9470037</v>
      </c>
      <c r="I3560">
        <v>212.4949</v>
      </c>
      <c r="J3560">
        <v>-203.8065</v>
      </c>
      <c r="K3560">
        <v>1.107523</v>
      </c>
      <c r="L3560">
        <v>212.71010000000001</v>
      </c>
      <c r="M3560">
        <v>0.99070000000000003</v>
      </c>
      <c r="N3560">
        <v>0</v>
      </c>
      <c r="O3560">
        <v>-0.13444809999999999</v>
      </c>
      <c r="P3560">
        <v>0.96947779999999995</v>
      </c>
      <c r="Q3560">
        <v>-2.6560020000000002E-4</v>
      </c>
      <c r="R3560">
        <v>-0.24517890000000001</v>
      </c>
      <c r="S3560">
        <v>2.847092</v>
      </c>
      <c r="T3560">
        <v>-0.61742649999999999</v>
      </c>
      <c r="U3560">
        <v>-0.98695370000000004</v>
      </c>
      <c r="V3560">
        <v>0.112757</v>
      </c>
      <c r="W3560">
        <v>1.9508379999999999E-2</v>
      </c>
      <c r="X3560">
        <v>0.99343110000000001</v>
      </c>
      <c r="Y3560">
        <v>0.19621630000000001</v>
      </c>
      <c r="Z3560">
        <v>7.362515E-3</v>
      </c>
      <c r="AA3560">
        <v>0.98053299999999999</v>
      </c>
      <c r="AB3560">
        <v>23</v>
      </c>
      <c r="AC3560">
        <v>0.47919999999999102</v>
      </c>
      <c r="AD3560">
        <v>-0.1605193</v>
      </c>
      <c r="AE3560">
        <v>-0.21520000000000999</v>
      </c>
      <c r="AF3560">
        <v>0.13609561495099201</v>
      </c>
      <c r="AG3560">
        <v>-0.1605193</v>
      </c>
      <c r="AH3560">
        <v>0.46076275206505501</v>
      </c>
      <c r="AI3560">
        <v>108.47486991898199</v>
      </c>
      <c r="AJ3560">
        <v>73.544426654962805</v>
      </c>
      <c r="AK3560">
        <v>0.50654790076748102</v>
      </c>
      <c r="AL3560">
        <v>88.882181288778298</v>
      </c>
      <c r="AM3560">
        <v>83.524493533185904</v>
      </c>
      <c r="AN3560">
        <v>1.00000003419321</v>
      </c>
    </row>
    <row r="3561" spans="1:40" x14ac:dyDescent="0.25">
      <c r="A3561" t="str">
        <f>"20190312161037291"</f>
        <v>20190312161037291</v>
      </c>
      <c r="B3561" t="str">
        <f>"1552378237279756"</f>
        <v>1552378237279756</v>
      </c>
      <c r="C3561" t="s">
        <v>40</v>
      </c>
      <c r="D3561">
        <v>5.0527100000000003</v>
      </c>
      <c r="E3561">
        <v>0.53686579999999995</v>
      </c>
      <c r="F3561" t="s">
        <v>42</v>
      </c>
      <c r="G3561">
        <v>-203.12010000000001</v>
      </c>
      <c r="H3561">
        <v>0.95823619999999998</v>
      </c>
      <c r="I3561">
        <v>212.46709999999999</v>
      </c>
      <c r="J3561">
        <v>-203.3228</v>
      </c>
      <c r="K3561">
        <v>1.1073630000000001</v>
      </c>
      <c r="L3561">
        <v>212.62719999999999</v>
      </c>
      <c r="M3561">
        <v>0.98888469999999995</v>
      </c>
      <c r="N3561">
        <v>0</v>
      </c>
      <c r="O3561">
        <v>-0.14720129999999901</v>
      </c>
      <c r="P3561">
        <v>0.96549390000000002</v>
      </c>
      <c r="Q3561">
        <v>-1.287505E-3</v>
      </c>
      <c r="R3561">
        <v>-0.26042280000000001</v>
      </c>
      <c r="S3561">
        <v>2.8401489999999998</v>
      </c>
      <c r="T3561">
        <v>-0.61758259999999998</v>
      </c>
      <c r="U3561">
        <v>-1.0049440000000001</v>
      </c>
      <c r="V3561">
        <v>0.11560810000000001</v>
      </c>
      <c r="W3561">
        <v>1.844904E-2</v>
      </c>
      <c r="X3561">
        <v>0.9931236</v>
      </c>
      <c r="Y3561">
        <v>0.1902334</v>
      </c>
      <c r="Z3561">
        <v>1.0607139999999999E-2</v>
      </c>
      <c r="AA3561">
        <v>0.98168160000000004</v>
      </c>
      <c r="AB3561">
        <v>23</v>
      </c>
      <c r="AC3561">
        <v>0.202699999999993</v>
      </c>
      <c r="AD3561">
        <v>-0.149126799999999</v>
      </c>
      <c r="AE3561">
        <v>-0.16009999999999899</v>
      </c>
      <c r="AF3561">
        <v>9.6384247501673195E-2</v>
      </c>
      <c r="AG3561">
        <v>-0.149126799999999</v>
      </c>
      <c r="AH3561">
        <v>0.16804908994322201</v>
      </c>
      <c r="AI3561">
        <v>127.588188947123</v>
      </c>
      <c r="AJ3561">
        <v>60.163652292926002</v>
      </c>
      <c r="AK3561">
        <v>0.244477447375926</v>
      </c>
      <c r="AL3561">
        <v>88.942887943249801</v>
      </c>
      <c r="AM3561">
        <v>83.360164552953904</v>
      </c>
      <c r="AN3561">
        <v>1.0000000423697399</v>
      </c>
    </row>
    <row r="3562" spans="1:40" x14ac:dyDescent="0.25">
      <c r="A3562" t="str">
        <f>"20190312161037314"</f>
        <v>20190312161037314</v>
      </c>
      <c r="B3562" t="str">
        <f>"1552378237309966"</f>
        <v>1552378237309966</v>
      </c>
      <c r="C3562" t="s">
        <v>40</v>
      </c>
      <c r="D3562">
        <v>5.1970359999999998</v>
      </c>
      <c r="E3562">
        <v>0.53648229999999997</v>
      </c>
      <c r="F3562" t="s">
        <v>42</v>
      </c>
      <c r="G3562">
        <v>-202.5394</v>
      </c>
      <c r="H3562">
        <v>0.93368779999999996</v>
      </c>
      <c r="I3562">
        <v>212.3373</v>
      </c>
      <c r="J3562">
        <v>-203.08459999999999</v>
      </c>
      <c r="K3562">
        <v>1.107302</v>
      </c>
      <c r="L3562">
        <v>212.58369999999999</v>
      </c>
      <c r="M3562">
        <v>0.98788149999999997</v>
      </c>
      <c r="N3562">
        <v>0</v>
      </c>
      <c r="O3562">
        <v>-0.1537878</v>
      </c>
      <c r="P3562">
        <v>0.96348690000000003</v>
      </c>
      <c r="Q3562">
        <v>-1.349055E-3</v>
      </c>
      <c r="R3562">
        <v>-0.26775280000000001</v>
      </c>
      <c r="S3562">
        <v>2.824417</v>
      </c>
      <c r="T3562">
        <v>-0.62612619999999997</v>
      </c>
      <c r="U3562">
        <v>-1.045258</v>
      </c>
      <c r="V3562">
        <v>0.1165397</v>
      </c>
      <c r="W3562">
        <v>1.8376099999999999E-2</v>
      </c>
      <c r="X3562">
        <v>0.99301600000000001</v>
      </c>
      <c r="Y3562">
        <v>0.19773789999999999</v>
      </c>
      <c r="Z3562">
        <v>1.134449E-2</v>
      </c>
      <c r="AA3562">
        <v>0.98018930000000004</v>
      </c>
      <c r="AB3562">
        <v>22</v>
      </c>
      <c r="AC3562">
        <v>0.54519999999999402</v>
      </c>
      <c r="AD3562">
        <v>-0.173614199999999</v>
      </c>
      <c r="AE3562">
        <v>-0.24639999999999401</v>
      </c>
      <c r="AF3562">
        <v>0.147208214074984</v>
      </c>
      <c r="AG3562">
        <v>-0.173614199999999</v>
      </c>
      <c r="AH3562">
        <v>0.53182997125179898</v>
      </c>
      <c r="AI3562">
        <v>107.464456824294</v>
      </c>
      <c r="AJ3562">
        <v>74.528143921522798</v>
      </c>
      <c r="AK3562">
        <v>0.57849396457912705</v>
      </c>
      <c r="AL3562">
        <v>88.947067739611697</v>
      </c>
      <c r="AM3562">
        <v>83.306423891623197</v>
      </c>
      <c r="AN3562">
        <v>0.99999997949164898</v>
      </c>
    </row>
    <row r="3563" spans="1:40" x14ac:dyDescent="0.25">
      <c r="A3563" t="str">
        <f>"20190312161037338"</f>
        <v>20190312161037338</v>
      </c>
      <c r="B3563" t="str">
        <f>"1552378237330463"</f>
        <v>1552378237330463</v>
      </c>
      <c r="C3563" t="s">
        <v>40</v>
      </c>
      <c r="D3563">
        <v>5.1665489999999998</v>
      </c>
      <c r="E3563">
        <v>0.53660549999999996</v>
      </c>
      <c r="F3563" t="s">
        <v>42</v>
      </c>
      <c r="G3563">
        <v>-202.34049999999999</v>
      </c>
      <c r="H3563">
        <v>0.94087580000000004</v>
      </c>
      <c r="I3563">
        <v>212.30260000000001</v>
      </c>
      <c r="J3563">
        <v>-202.84800000000001</v>
      </c>
      <c r="K3563">
        <v>1.107259</v>
      </c>
      <c r="L3563">
        <v>212.53870000000001</v>
      </c>
      <c r="M3563">
        <v>0.98681229999999998</v>
      </c>
      <c r="N3563">
        <v>0</v>
      </c>
      <c r="O3563">
        <v>-0.16050449999999999</v>
      </c>
      <c r="P3563">
        <v>0.96125179999999999</v>
      </c>
      <c r="Q3563">
        <v>-1.7068750000000001E-3</v>
      </c>
      <c r="R3563">
        <v>-0.2756673</v>
      </c>
      <c r="S3563">
        <v>2.8171539999999999</v>
      </c>
      <c r="T3563">
        <v>-0.62983059999999902</v>
      </c>
      <c r="U3563">
        <v>-1.0638890000000001</v>
      </c>
      <c r="V3563">
        <v>0.1179499</v>
      </c>
      <c r="W3563">
        <v>1.8001369999999999E-2</v>
      </c>
      <c r="X3563">
        <v>0.99285639999999997</v>
      </c>
      <c r="Y3563">
        <v>0.19770850000000001</v>
      </c>
      <c r="Z3563">
        <v>1.2825929999999999E-2</v>
      </c>
      <c r="AA3563">
        <v>0.98017690000000002</v>
      </c>
      <c r="AB3563">
        <v>22</v>
      </c>
      <c r="AC3563">
        <v>0.50749999999999296</v>
      </c>
      <c r="AD3563">
        <v>-0.16638320000000001</v>
      </c>
      <c r="AE3563">
        <v>-0.23609999999999301</v>
      </c>
      <c r="AF3563">
        <v>0.13925868304199801</v>
      </c>
      <c r="AG3563">
        <v>-0.16638320000000001</v>
      </c>
      <c r="AH3563">
        <v>0.49507560913392001</v>
      </c>
      <c r="AI3563">
        <v>107.92748489161499</v>
      </c>
      <c r="AJ3563">
        <v>74.289360089826999</v>
      </c>
      <c r="AK3563">
        <v>0.54053326336512697</v>
      </c>
      <c r="AL3563">
        <v>88.968541791768899</v>
      </c>
      <c r="AM3563">
        <v>83.225097058977894</v>
      </c>
      <c r="AN3563">
        <v>1.00000002962642</v>
      </c>
    </row>
    <row r="3564" spans="1:40" x14ac:dyDescent="0.25">
      <c r="A3564" t="str">
        <f>"20190312161037360"</f>
        <v>20190312161037360</v>
      </c>
      <c r="B3564" t="str">
        <f>"1552378237349983"</f>
        <v>1552378237349983</v>
      </c>
      <c r="C3564" t="s">
        <v>40</v>
      </c>
      <c r="D3564">
        <v>5.0995780000000002</v>
      </c>
      <c r="E3564">
        <v>0.5778624</v>
      </c>
      <c r="F3564" t="s">
        <v>42</v>
      </c>
      <c r="G3564">
        <v>-202.1431</v>
      </c>
      <c r="H3564">
        <v>0.94801519999999995</v>
      </c>
      <c r="I3564">
        <v>212.26560000000001</v>
      </c>
      <c r="J3564">
        <v>-202.63460000000001</v>
      </c>
      <c r="K3564">
        <v>1.1072280000000001</v>
      </c>
      <c r="L3564">
        <v>212.49639999999999</v>
      </c>
      <c r="M3564">
        <v>0.98577349999999997</v>
      </c>
      <c r="N3564">
        <v>0</v>
      </c>
      <c r="O3564">
        <v>-0.166763299999999</v>
      </c>
      <c r="P3564">
        <v>0.9589493</v>
      </c>
      <c r="Q3564">
        <v>-2.1158050000000001E-3</v>
      </c>
      <c r="R3564">
        <v>-0.28356969999999998</v>
      </c>
      <c r="S3564">
        <v>2.8078460000000001</v>
      </c>
      <c r="T3564">
        <v>-0.63442600000000005</v>
      </c>
      <c r="U3564">
        <v>-1.087753</v>
      </c>
      <c r="V3564">
        <v>0.1198197</v>
      </c>
      <c r="W3564">
        <v>1.7566559999999998E-2</v>
      </c>
      <c r="X3564">
        <v>0.99264030000000003</v>
      </c>
      <c r="Y3564">
        <v>0.19989960000000001</v>
      </c>
      <c r="Z3564">
        <v>1.401196E-2</v>
      </c>
      <c r="AA3564">
        <v>0.97971620000000004</v>
      </c>
      <c r="AB3564">
        <v>22</v>
      </c>
      <c r="AC3564">
        <v>0.49150000000000199</v>
      </c>
      <c r="AD3564">
        <v>-0.15921279999999999</v>
      </c>
      <c r="AE3564">
        <v>-0.23079999999998699</v>
      </c>
      <c r="AF3564">
        <v>0.13405883446060299</v>
      </c>
      <c r="AG3564">
        <v>-0.15921279999999999</v>
      </c>
      <c r="AH3564">
        <v>0.48169826823572798</v>
      </c>
      <c r="AI3564">
        <v>107.662641508587</v>
      </c>
      <c r="AJ3564">
        <v>74.447871387055002</v>
      </c>
      <c r="AK3564">
        <v>0.52474156344058998</v>
      </c>
      <c r="AL3564">
        <v>88.993458535029106</v>
      </c>
      <c r="AM3564">
        <v>83.117236132701294</v>
      </c>
      <c r="AN3564">
        <v>1.0000000548612</v>
      </c>
    </row>
    <row r="3565" spans="1:40" x14ac:dyDescent="0.25">
      <c r="A3565" t="str">
        <f>"20190312161037382"</f>
        <v>20190312161037382</v>
      </c>
      <c r="B3565" t="str">
        <f>"1552378237370479"</f>
        <v>1552378237370479</v>
      </c>
      <c r="C3565" t="s">
        <v>40</v>
      </c>
      <c r="D3565">
        <v>5.2772500000000004</v>
      </c>
      <c r="E3565">
        <v>0.59915529999999995</v>
      </c>
      <c r="F3565" t="s">
        <v>59</v>
      </c>
      <c r="G3565">
        <v>-189.9588</v>
      </c>
      <c r="H3565" s="1">
        <v>5.7770400000000002E-6</v>
      </c>
      <c r="I3565">
        <v>205.74629999999999</v>
      </c>
      <c r="J3565">
        <v>-202.4299</v>
      </c>
      <c r="K3565">
        <v>1.107167</v>
      </c>
      <c r="L3565">
        <v>212.45419999999999</v>
      </c>
      <c r="M3565">
        <v>0.98470599999999997</v>
      </c>
      <c r="N3565">
        <v>0</v>
      </c>
      <c r="O3565">
        <v>-0.17295429999999901</v>
      </c>
      <c r="P3565">
        <v>0.95672990000000002</v>
      </c>
      <c r="Q3565">
        <v>-1.845955E-3</v>
      </c>
      <c r="R3565">
        <v>-0.29097199999999901</v>
      </c>
      <c r="S3565">
        <v>2.7023619999999999</v>
      </c>
      <c r="T3565">
        <v>-0.2360495</v>
      </c>
      <c r="U3565">
        <v>-1.4390559999999999</v>
      </c>
      <c r="V3565">
        <v>0.1212589</v>
      </c>
      <c r="W3565">
        <v>1.7811609999999999E-2</v>
      </c>
      <c r="X3565">
        <v>0.99246109999999998</v>
      </c>
      <c r="Y3565">
        <v>0.30984820000000002</v>
      </c>
      <c r="Z3565">
        <v>1.274486E-3</v>
      </c>
      <c r="AA3565">
        <v>0.9507852</v>
      </c>
      <c r="AB3565">
        <v>22</v>
      </c>
      <c r="AC3565">
        <v>12.4711</v>
      </c>
      <c r="AD3565">
        <v>-1.1071612229600001</v>
      </c>
      <c r="AE3565">
        <v>-6.7078999999999898</v>
      </c>
      <c r="AF3565">
        <v>4.4223262776876</v>
      </c>
      <c r="AG3565">
        <v>-1.1071612229600001</v>
      </c>
      <c r="AH3565">
        <v>13.3618102892547</v>
      </c>
      <c r="AI3565">
        <v>94.497833719251204</v>
      </c>
      <c r="AJ3565">
        <v>71.687129536698706</v>
      </c>
      <c r="AK3565">
        <v>14.118100080605201</v>
      </c>
      <c r="AL3565">
        <v>88.979415956589605</v>
      </c>
      <c r="AM3565">
        <v>83.034126660388495</v>
      </c>
      <c r="AN3565">
        <v>1.0000000046466</v>
      </c>
    </row>
    <row r="3566" spans="1:40" x14ac:dyDescent="0.25">
      <c r="A3566" t="str">
        <f>"20190312161037406"</f>
        <v>20190312161037406</v>
      </c>
      <c r="B3566" t="str">
        <f>"1552378237400157"</f>
        <v>1552378237400157</v>
      </c>
      <c r="C3566" t="s">
        <v>40</v>
      </c>
      <c r="D3566">
        <v>5.276484</v>
      </c>
      <c r="E3566">
        <v>0.62706719999999905</v>
      </c>
      <c r="F3566" t="s">
        <v>59</v>
      </c>
      <c r="G3566">
        <v>-186.36439999999999</v>
      </c>
      <c r="H3566" s="1">
        <v>6.1012610000000003E-6</v>
      </c>
      <c r="I3566">
        <v>202.57579999999999</v>
      </c>
      <c r="J3566">
        <v>-202.2124</v>
      </c>
      <c r="K3566">
        <v>1.1070850000000001</v>
      </c>
      <c r="L3566">
        <v>212.40780000000001</v>
      </c>
      <c r="M3566">
        <v>0.98348999999999998</v>
      </c>
      <c r="N3566">
        <v>0</v>
      </c>
      <c r="O3566">
        <v>-0.17973789999999901</v>
      </c>
      <c r="P3566">
        <v>0.95443979999999995</v>
      </c>
      <c r="Q3566">
        <v>-2.068472E-3</v>
      </c>
      <c r="R3566">
        <v>-0.29839660000000001</v>
      </c>
      <c r="S3566">
        <v>2.6413730000000002</v>
      </c>
      <c r="T3566">
        <v>-0.18203140000000001</v>
      </c>
      <c r="U3566">
        <v>-1.6241460000000001</v>
      </c>
      <c r="V3566">
        <v>0.1221303</v>
      </c>
      <c r="W3566">
        <v>1.7567510000000001E-2</v>
      </c>
      <c r="X3566">
        <v>0.99235859999999998</v>
      </c>
      <c r="Y3566">
        <v>0.36180509999999999</v>
      </c>
      <c r="Z3566">
        <v>-2.5907529999999999E-4</v>
      </c>
      <c r="AA3566">
        <v>0.93225369999999996</v>
      </c>
      <c r="AB3566">
        <v>22</v>
      </c>
      <c r="AC3566">
        <v>15.848000000000001</v>
      </c>
      <c r="AD3566">
        <v>-1.1070788987389999</v>
      </c>
      <c r="AE3566">
        <v>-9.8320000000000203</v>
      </c>
      <c r="AF3566">
        <v>6.7987380130657096</v>
      </c>
      <c r="AG3566">
        <v>-1.1070788987389999</v>
      </c>
      <c r="AH3566">
        <v>17.296419787851001</v>
      </c>
      <c r="AI3566">
        <v>93.409055370565497</v>
      </c>
      <c r="AJ3566">
        <v>68.541600844553003</v>
      </c>
      <c r="AK3566">
        <v>18.6175884511368</v>
      </c>
      <c r="AL3566">
        <v>88.993404049764194</v>
      </c>
      <c r="AM3566">
        <v>82.983847645655501</v>
      </c>
      <c r="AN3566">
        <v>1.00000000928982</v>
      </c>
    </row>
    <row r="3567" spans="1:40" x14ac:dyDescent="0.25">
      <c r="A3567" t="str">
        <f>"20190312161037427"</f>
        <v>20190312161037427</v>
      </c>
      <c r="B3567" t="str">
        <f>"1552378237419677"</f>
        <v>1552378237419677</v>
      </c>
      <c r="C3567" t="s">
        <v>40</v>
      </c>
      <c r="D3567">
        <v>5.2428839999999903</v>
      </c>
      <c r="E3567">
        <v>0.62909669999999995</v>
      </c>
      <c r="F3567" t="s">
        <v>55</v>
      </c>
      <c r="G3567">
        <v>-168.4179</v>
      </c>
      <c r="H3567">
        <v>3.7328480000000002</v>
      </c>
      <c r="I3567">
        <v>187.71979999999999</v>
      </c>
      <c r="J3567">
        <v>-201.9967</v>
      </c>
      <c r="K3567">
        <v>1.107</v>
      </c>
      <c r="L3567">
        <v>212.3597</v>
      </c>
      <c r="M3567">
        <v>0.98219279999999998</v>
      </c>
      <c r="N3567">
        <v>0</v>
      </c>
      <c r="O3567">
        <v>-0.18669549999999999</v>
      </c>
      <c r="P3567">
        <v>0.9518934</v>
      </c>
      <c r="Q3567">
        <v>-2.6587730000000001E-3</v>
      </c>
      <c r="R3567">
        <v>-0.30641770000000002</v>
      </c>
      <c r="S3567">
        <v>2.5591279999999998</v>
      </c>
      <c r="T3567">
        <v>0.1988415</v>
      </c>
      <c r="U3567">
        <v>-1.8695219999999999</v>
      </c>
      <c r="V3567">
        <v>0.12345440000000001</v>
      </c>
      <c r="W3567">
        <v>1.6948189999999998E-2</v>
      </c>
      <c r="X3567">
        <v>0.99220549999999996</v>
      </c>
      <c r="Y3567">
        <v>0.42826520000000001</v>
      </c>
      <c r="Z3567">
        <v>2.1485530000000001E-3</v>
      </c>
      <c r="AA3567">
        <v>0.90365050000000002</v>
      </c>
      <c r="AB3567">
        <v>21</v>
      </c>
      <c r="AC3567">
        <v>33.578800000000001</v>
      </c>
      <c r="AD3567">
        <v>2.625848</v>
      </c>
      <c r="AE3567">
        <v>-24.639900000000001</v>
      </c>
      <c r="AF3567">
        <v>17.8650750357045</v>
      </c>
      <c r="AG3567">
        <v>2.625848</v>
      </c>
      <c r="AH3567">
        <v>37.440502237796998</v>
      </c>
      <c r="AI3567">
        <v>86.3781636803472</v>
      </c>
      <c r="AJ3567">
        <v>64.491433955278495</v>
      </c>
      <c r="AK3567">
        <v>41.567381341250503</v>
      </c>
      <c r="AL3567">
        <v>89.028893740905204</v>
      </c>
      <c r="AM3567">
        <v>82.907467918136902</v>
      </c>
      <c r="AN3567">
        <v>0.99999999212694302</v>
      </c>
    </row>
    <row r="3568" spans="1:40" x14ac:dyDescent="0.25">
      <c r="A3568" t="str">
        <f>"20190312161037453"</f>
        <v>20190312161037453</v>
      </c>
      <c r="B3568" t="str">
        <f>"1552378237449933"</f>
        <v>1552378237449933</v>
      </c>
      <c r="C3568" t="s">
        <v>40</v>
      </c>
      <c r="D3568">
        <v>5.3316549999999996</v>
      </c>
      <c r="E3568">
        <v>0.62676869999999996</v>
      </c>
      <c r="F3568" t="s">
        <v>55</v>
      </c>
      <c r="G3568">
        <v>-168.4178</v>
      </c>
      <c r="H3568">
        <v>2.6313949999999999</v>
      </c>
      <c r="I3568">
        <v>187.18369999999999</v>
      </c>
      <c r="J3568">
        <v>-201.7594</v>
      </c>
      <c r="K3568">
        <v>1.1069329999999999</v>
      </c>
      <c r="L3568">
        <v>212.30459999999999</v>
      </c>
      <c r="M3568">
        <v>0.98066249999999999</v>
      </c>
      <c r="N3568">
        <v>0</v>
      </c>
      <c r="O3568">
        <v>-0.1945713</v>
      </c>
      <c r="P3568">
        <v>0.94900790000000002</v>
      </c>
      <c r="Q3568">
        <v>-3.4955329999999999E-3</v>
      </c>
      <c r="R3568">
        <v>-0.31523250000000003</v>
      </c>
      <c r="S3568">
        <v>2.5391240000000002</v>
      </c>
      <c r="T3568">
        <v>0.115272</v>
      </c>
      <c r="U3568">
        <v>-1.9037170000000001</v>
      </c>
      <c r="V3568">
        <v>0.12468890000000001</v>
      </c>
      <c r="W3568">
        <v>1.608714E-2</v>
      </c>
      <c r="X3568">
        <v>0.99206550000000004</v>
      </c>
      <c r="Y3568">
        <v>0.43254130000000002</v>
      </c>
      <c r="Z3568">
        <v>1.0347640000000001E-3</v>
      </c>
      <c r="AA3568">
        <v>0.90161349999999996</v>
      </c>
      <c r="AB3568">
        <v>21</v>
      </c>
      <c r="AC3568">
        <v>33.3416</v>
      </c>
      <c r="AD3568">
        <v>1.524462</v>
      </c>
      <c r="AE3568">
        <v>-25.120899999999999</v>
      </c>
      <c r="AF3568">
        <v>18.127653953870599</v>
      </c>
      <c r="AG3568">
        <v>1.524462</v>
      </c>
      <c r="AH3568">
        <v>37.542927184420101</v>
      </c>
      <c r="AI3568">
        <v>87.905836914306306</v>
      </c>
      <c r="AJ3568">
        <v>64.226362637492002</v>
      </c>
      <c r="AK3568">
        <v>41.718187926075998</v>
      </c>
      <c r="AL3568">
        <v>89.078235046630894</v>
      </c>
      <c r="AM3568">
        <v>82.8362778653931</v>
      </c>
      <c r="AN3568">
        <v>1.0000000370734099</v>
      </c>
    </row>
    <row r="3569" spans="1:40" x14ac:dyDescent="0.25">
      <c r="A3569" t="str">
        <f>"20190312161037481"</f>
        <v>20190312161037481</v>
      </c>
      <c r="B3569" t="str">
        <f>"1552378237470429"</f>
        <v>1552378237470429</v>
      </c>
      <c r="C3569" t="s">
        <v>40</v>
      </c>
      <c r="D3569">
        <v>5.382784</v>
      </c>
      <c r="E3569">
        <v>0.62337989999999999</v>
      </c>
      <c r="F3569" t="s">
        <v>55</v>
      </c>
      <c r="G3569">
        <v>-168.41800000000001</v>
      </c>
      <c r="H3569">
        <v>3.2136390000000001</v>
      </c>
      <c r="I3569">
        <v>187.0872</v>
      </c>
      <c r="J3569">
        <v>-201.5069</v>
      </c>
      <c r="K3569">
        <v>1.1068819999999999</v>
      </c>
      <c r="L3569">
        <v>212.24359999999999</v>
      </c>
      <c r="M3569">
        <v>0.97890730000000004</v>
      </c>
      <c r="N3569">
        <v>0</v>
      </c>
      <c r="O3569">
        <v>-0.20321700000000001</v>
      </c>
      <c r="P3569">
        <v>0.94584710000000005</v>
      </c>
      <c r="Q3569">
        <v>-3.5968649999999999E-3</v>
      </c>
      <c r="R3569">
        <v>-0.3245924</v>
      </c>
      <c r="S3569">
        <v>2.5269620000000002</v>
      </c>
      <c r="T3569">
        <v>0.1596706</v>
      </c>
      <c r="U3569">
        <v>-1.91124</v>
      </c>
      <c r="V3569">
        <v>0.12573719999999999</v>
      </c>
      <c r="W3569">
        <v>1.596699E-2</v>
      </c>
      <c r="X3569">
        <v>0.99193509999999996</v>
      </c>
      <c r="Y3569">
        <v>0.42824479999999998</v>
      </c>
      <c r="Z3569">
        <v>8.5622349999999999E-4</v>
      </c>
      <c r="AA3569">
        <v>0.90366239999999998</v>
      </c>
      <c r="AB3569">
        <v>21</v>
      </c>
      <c r="AC3569">
        <v>33.088899999999903</v>
      </c>
      <c r="AD3569">
        <v>2.106757</v>
      </c>
      <c r="AE3569">
        <v>-25.156399999999898</v>
      </c>
      <c r="AF3569">
        <v>17.859645717950801</v>
      </c>
      <c r="AG3569">
        <v>2.106757</v>
      </c>
      <c r="AH3569">
        <v>37.415371952794601</v>
      </c>
      <c r="AI3569">
        <v>87.091016296960703</v>
      </c>
      <c r="AJ3569">
        <v>64.483249643120104</v>
      </c>
      <c r="AK3569">
        <v>41.512834504448499</v>
      </c>
      <c r="AL3569">
        <v>89.085119998796003</v>
      </c>
      <c r="AM3569">
        <v>82.775744116644006</v>
      </c>
      <c r="AN3569">
        <v>1.00000001542275</v>
      </c>
    </row>
    <row r="3570" spans="1:40" x14ac:dyDescent="0.25">
      <c r="A3570" t="str">
        <f>"20190312161037502"</f>
        <v>20190312161037502</v>
      </c>
      <c r="B3570" t="str">
        <f>"1552378237489949"</f>
        <v>1552378237489949</v>
      </c>
      <c r="C3570" t="s">
        <v>40</v>
      </c>
      <c r="D3570">
        <v>5.3671340000000001</v>
      </c>
      <c r="E3570">
        <v>0.62304250000000005</v>
      </c>
      <c r="F3570" t="s">
        <v>55</v>
      </c>
      <c r="G3570">
        <v>-168.41800000000001</v>
      </c>
      <c r="H3570">
        <v>3.2959719999999999</v>
      </c>
      <c r="I3570">
        <v>187.12090000000001</v>
      </c>
      <c r="J3570">
        <v>-201.31180000000001</v>
      </c>
      <c r="K3570">
        <v>1.106849</v>
      </c>
      <c r="L3570">
        <v>212.19450000000001</v>
      </c>
      <c r="M3570">
        <v>0.97744929999999997</v>
      </c>
      <c r="N3570">
        <v>0</v>
      </c>
      <c r="O3570">
        <v>-0.2101171</v>
      </c>
      <c r="P3570">
        <v>0.94317300000000004</v>
      </c>
      <c r="Q3570">
        <v>-3.1869620000000002E-3</v>
      </c>
      <c r="R3570">
        <v>-0.33228750000000001</v>
      </c>
      <c r="S3570">
        <v>2.5166629999999999</v>
      </c>
      <c r="T3570">
        <v>0.16649910000000001</v>
      </c>
      <c r="U3570">
        <v>-1.9107670000000001</v>
      </c>
      <c r="V3570">
        <v>0.12682669999999999</v>
      </c>
      <c r="W3570">
        <v>1.6360329999999999E-2</v>
      </c>
      <c r="X3570">
        <v>0.9917899</v>
      </c>
      <c r="Y3570">
        <v>0.4235237</v>
      </c>
      <c r="Z3570">
        <v>3.7345660000000003E-4</v>
      </c>
      <c r="AA3570">
        <v>0.90588489999999999</v>
      </c>
      <c r="AB3570">
        <v>21</v>
      </c>
      <c r="AC3570">
        <v>32.893799999999999</v>
      </c>
      <c r="AD3570">
        <v>2.1891229999999999</v>
      </c>
      <c r="AE3570">
        <v>-25.073599999999999</v>
      </c>
      <c r="AF3570">
        <v>17.551359992873699</v>
      </c>
      <c r="AG3570">
        <v>2.1891229999999999</v>
      </c>
      <c r="AH3570">
        <v>37.3241592467255</v>
      </c>
      <c r="AI3570">
        <v>86.961809126644894</v>
      </c>
      <c r="AJ3570">
        <v>64.815154001648395</v>
      </c>
      <c r="AK3570">
        <v>41.302970360296101</v>
      </c>
      <c r="AL3570">
        <v>89.062580260832206</v>
      </c>
      <c r="AM3570">
        <v>82.712761281627905</v>
      </c>
      <c r="AN3570">
        <v>0.99999993898630202</v>
      </c>
    </row>
    <row r="3571" spans="1:40" x14ac:dyDescent="0.25">
      <c r="A3571" t="str">
        <f>"20190312161037518"</f>
        <v>20190312161037518</v>
      </c>
      <c r="B3571" t="str">
        <f>"1552378237509835"</f>
        <v>1552378237509835</v>
      </c>
      <c r="C3571" t="s">
        <v>40</v>
      </c>
      <c r="D3571">
        <v>5.4064699999999997</v>
      </c>
      <c r="E3571">
        <v>0.62316249999999995</v>
      </c>
      <c r="F3571" t="s">
        <v>55</v>
      </c>
      <c r="G3571">
        <v>-168.4179</v>
      </c>
      <c r="H3571">
        <v>2.707538</v>
      </c>
      <c r="I3571">
        <v>186.85849999999999</v>
      </c>
      <c r="J3571">
        <v>-201.1609</v>
      </c>
      <c r="K3571">
        <v>1.106819</v>
      </c>
      <c r="L3571">
        <v>212.15530000000001</v>
      </c>
      <c r="M3571">
        <v>0.97625530000000005</v>
      </c>
      <c r="N3571">
        <v>0</v>
      </c>
      <c r="O3571">
        <v>-0.21559610000000001</v>
      </c>
      <c r="P3571">
        <v>0.9412296</v>
      </c>
      <c r="Q3571">
        <v>-2.6093700000000002E-3</v>
      </c>
      <c r="R3571">
        <v>-0.3377578</v>
      </c>
      <c r="S3571">
        <v>2.502151</v>
      </c>
      <c r="T3571">
        <v>0.1217628</v>
      </c>
      <c r="U3571">
        <v>-1.927246</v>
      </c>
      <c r="V3571">
        <v>0.12702930000000001</v>
      </c>
      <c r="W3571">
        <v>1.693246E-2</v>
      </c>
      <c r="X3571">
        <v>0.99175440000000004</v>
      </c>
      <c r="Y3571">
        <v>0.42486079999999998</v>
      </c>
      <c r="Z3571" s="1">
        <v>8.1055800000000004E-5</v>
      </c>
      <c r="AA3571">
        <v>0.90525869999999997</v>
      </c>
      <c r="AB3571">
        <v>21</v>
      </c>
      <c r="AC3571">
        <v>32.742999999999903</v>
      </c>
      <c r="AD3571">
        <v>1.600719</v>
      </c>
      <c r="AE3571">
        <v>-25.296800000000001</v>
      </c>
      <c r="AF3571">
        <v>17.614425363724902</v>
      </c>
      <c r="AG3571">
        <v>1.600719</v>
      </c>
      <c r="AH3571">
        <v>37.371794676599102</v>
      </c>
      <c r="AI3571">
        <v>87.781220704624303</v>
      </c>
      <c r="AJ3571">
        <v>64.764120069748301</v>
      </c>
      <c r="AK3571">
        <v>41.3458742749634</v>
      </c>
      <c r="AL3571">
        <v>89.029795111974096</v>
      </c>
      <c r="AM3571">
        <v>82.700987230305202</v>
      </c>
      <c r="AN3571">
        <v>0.99999997058974999</v>
      </c>
    </row>
    <row r="3572" spans="1:40" x14ac:dyDescent="0.25">
      <c r="A3572" t="str">
        <f>"20190312161037541"</f>
        <v>20190312161037541</v>
      </c>
      <c r="B3572" t="str">
        <f>"1552378237530330"</f>
        <v>1552378237530330</v>
      </c>
      <c r="C3572" t="s">
        <v>40</v>
      </c>
      <c r="D3572">
        <v>5.5114049999999999</v>
      </c>
      <c r="E3572">
        <v>0.62216099999999996</v>
      </c>
      <c r="F3572" t="s">
        <v>55</v>
      </c>
      <c r="G3572">
        <v>-168.4178</v>
      </c>
      <c r="H3572">
        <v>2.187541</v>
      </c>
      <c r="I3572">
        <v>186.6403</v>
      </c>
      <c r="J3572">
        <v>-200.95820000000001</v>
      </c>
      <c r="K3572">
        <v>1.1067670000000001</v>
      </c>
      <c r="L3572">
        <v>212.10120000000001</v>
      </c>
      <c r="M3572">
        <v>0.97456500000000001</v>
      </c>
      <c r="N3572">
        <v>0</v>
      </c>
      <c r="O3572">
        <v>-0.22311110000000001</v>
      </c>
      <c r="P3572">
        <v>0.93849830000000001</v>
      </c>
      <c r="Q3572">
        <v>-2.4298900000000001E-3</v>
      </c>
      <c r="R3572">
        <v>-0.3452752</v>
      </c>
      <c r="S3572">
        <v>2.4909669999999999</v>
      </c>
      <c r="T3572">
        <v>8.2219479999999998E-2</v>
      </c>
      <c r="U3572">
        <v>-1.9410860000000001</v>
      </c>
      <c r="V3572">
        <v>0.1273252</v>
      </c>
      <c r="W3572">
        <v>1.710219E-2</v>
      </c>
      <c r="X3572">
        <v>0.99171359999999997</v>
      </c>
      <c r="Y3572">
        <v>0.42307040000000001</v>
      </c>
      <c r="Z3572">
        <v>-1.7705609999999999E-4</v>
      </c>
      <c r="AA3572">
        <v>0.90609680000000004</v>
      </c>
      <c r="AB3572">
        <v>21</v>
      </c>
      <c r="AC3572">
        <v>32.540399999999998</v>
      </c>
      <c r="AD3572">
        <v>1.0807739999999999</v>
      </c>
      <c r="AE3572">
        <v>-25.460899999999999</v>
      </c>
      <c r="AF3572">
        <v>17.545075184980199</v>
      </c>
      <c r="AG3572">
        <v>1.0807739999999999</v>
      </c>
      <c r="AH3572">
        <v>37.376083908685501</v>
      </c>
      <c r="AI3572">
        <v>88.500586292403099</v>
      </c>
      <c r="AJ3572">
        <v>64.853708141760293</v>
      </c>
      <c r="AK3572">
        <v>41.303382234809497</v>
      </c>
      <c r="AL3572">
        <v>89.020068946818697</v>
      </c>
      <c r="AM3572">
        <v>82.683871294274397</v>
      </c>
      <c r="AN3572">
        <v>1.0000000279413901</v>
      </c>
    </row>
    <row r="3573" spans="1:40" x14ac:dyDescent="0.25">
      <c r="A3573" t="str">
        <f>"20190312161037563"</f>
        <v>20190312161037563</v>
      </c>
      <c r="B3573" t="str">
        <f>"1552378237559610"</f>
        <v>1552378237559610</v>
      </c>
      <c r="C3573" t="s">
        <v>40</v>
      </c>
      <c r="D3573">
        <v>5.4694190000000003</v>
      </c>
      <c r="E3573">
        <v>0.6218996</v>
      </c>
      <c r="F3573" t="s">
        <v>55</v>
      </c>
      <c r="G3573">
        <v>-168.4178</v>
      </c>
      <c r="H3573">
        <v>2.1113499999999998</v>
      </c>
      <c r="I3573">
        <v>186.45320000000001</v>
      </c>
      <c r="J3573">
        <v>-200.76060000000001</v>
      </c>
      <c r="K3573">
        <v>1.106708</v>
      </c>
      <c r="L3573">
        <v>212.04660000000001</v>
      </c>
      <c r="M3573">
        <v>0.97281229999999996</v>
      </c>
      <c r="N3573">
        <v>0</v>
      </c>
      <c r="O3573">
        <v>-0.23063230000000001</v>
      </c>
      <c r="P3573">
        <v>0.93553500000000001</v>
      </c>
      <c r="Q3573">
        <v>-3.1996709999999999E-3</v>
      </c>
      <c r="R3573">
        <v>-0.35321970000000003</v>
      </c>
      <c r="S3573">
        <v>2.4781650000000002</v>
      </c>
      <c r="T3573">
        <v>7.6508049999999994E-2</v>
      </c>
      <c r="U3573">
        <v>-1.9532620000000001</v>
      </c>
      <c r="V3573">
        <v>0.12806789999999901</v>
      </c>
      <c r="W3573">
        <v>1.6315039999999999E-2</v>
      </c>
      <c r="X3573">
        <v>0.99163120000000005</v>
      </c>
      <c r="Y3573">
        <v>0.42109950000000002</v>
      </c>
      <c r="Z3573">
        <v>-3.836062E-4</v>
      </c>
      <c r="AA3573">
        <v>0.9070144</v>
      </c>
      <c r="AB3573">
        <v>21</v>
      </c>
      <c r="AC3573">
        <v>32.342799999999997</v>
      </c>
      <c r="AD3573">
        <v>1.00464199999999</v>
      </c>
      <c r="AE3573">
        <v>-25.593399999999999</v>
      </c>
      <c r="AF3573">
        <v>17.431818161331201</v>
      </c>
      <c r="AG3573">
        <v>1.00464199999999</v>
      </c>
      <c r="AH3573">
        <v>37.3522922326786</v>
      </c>
      <c r="AI3573">
        <v>88.603813696614097</v>
      </c>
      <c r="AJ3573">
        <v>64.982163767905206</v>
      </c>
      <c r="AK3573">
        <v>41.231921189696003</v>
      </c>
      <c r="AL3573">
        <v>89.065175592310496</v>
      </c>
      <c r="AM3573">
        <v>82.641057248517797</v>
      </c>
      <c r="AN3573">
        <v>1.0000000021770199</v>
      </c>
    </row>
    <row r="3574" spans="1:40" x14ac:dyDescent="0.25">
      <c r="A3574" t="str">
        <f>"20190312161037585"</f>
        <v>20190312161037585</v>
      </c>
      <c r="B3574" t="str">
        <f>"1552378237580106"</f>
        <v>1552378237580106</v>
      </c>
      <c r="C3574" t="s">
        <v>40</v>
      </c>
      <c r="D3574">
        <v>5.5566129999999996</v>
      </c>
      <c r="E3574">
        <v>0.61945830000000002</v>
      </c>
      <c r="F3574" t="s">
        <v>55</v>
      </c>
      <c r="G3574">
        <v>-168.71780000000001</v>
      </c>
      <c r="H3574">
        <v>1.532678</v>
      </c>
      <c r="I3574">
        <v>186.40450000000001</v>
      </c>
      <c r="J3574">
        <v>-200.57300000000001</v>
      </c>
      <c r="K3574">
        <v>1.106644</v>
      </c>
      <c r="L3574">
        <v>211.99279999999999</v>
      </c>
      <c r="M3574">
        <v>0.9710453</v>
      </c>
      <c r="N3574">
        <v>0</v>
      </c>
      <c r="O3574">
        <v>-0.2379609</v>
      </c>
      <c r="P3574">
        <v>0.93275859999999999</v>
      </c>
      <c r="Q3574">
        <v>-4.1742619999999998E-3</v>
      </c>
      <c r="R3574">
        <v>-0.36047770000000001</v>
      </c>
      <c r="S3574">
        <v>2.4627379999999999</v>
      </c>
      <c r="T3574">
        <v>3.274167E-2</v>
      </c>
      <c r="U3574">
        <v>-1.9707950000000001</v>
      </c>
      <c r="V3574">
        <v>0.1282877</v>
      </c>
      <c r="W3574">
        <v>1.5330969999999999E-2</v>
      </c>
      <c r="X3574">
        <v>0.99161849999999996</v>
      </c>
      <c r="Y3574">
        <v>0.42101070000000002</v>
      </c>
      <c r="Z3574">
        <v>-2.4490200000000002E-4</v>
      </c>
      <c r="AA3574">
        <v>0.90705559999999996</v>
      </c>
      <c r="AB3574">
        <v>20</v>
      </c>
      <c r="AC3574">
        <v>31.8551999999999</v>
      </c>
      <c r="AD3574">
        <v>0.42603400000000002</v>
      </c>
      <c r="AE3574">
        <v>-25.588299999999901</v>
      </c>
      <c r="AF3574">
        <v>17.269077646150699</v>
      </c>
      <c r="AG3574">
        <v>0.42603400000000002</v>
      </c>
      <c r="AH3574">
        <v>37.0260836496712</v>
      </c>
      <c r="AI3574">
        <v>89.402547725623094</v>
      </c>
      <c r="AJ3574">
        <v>64.995511681665903</v>
      </c>
      <c r="AK3574">
        <v>40.857476894081302</v>
      </c>
      <c r="AL3574">
        <v>89.121565719597598</v>
      </c>
      <c r="AM3574">
        <v>82.628472686428907</v>
      </c>
      <c r="AN3574">
        <v>1.0000000110773399</v>
      </c>
    </row>
    <row r="3575" spans="1:40" x14ac:dyDescent="0.25">
      <c r="A3575" t="str">
        <f>"20190312161037609"</f>
        <v>20190312161037609</v>
      </c>
      <c r="B3575" t="str">
        <f>"1552378237600135"</f>
        <v>1552378237600135</v>
      </c>
      <c r="C3575" t="s">
        <v>40</v>
      </c>
      <c r="D3575">
        <v>5.6577149999999996</v>
      </c>
      <c r="E3575">
        <v>0.61719440000000003</v>
      </c>
      <c r="F3575" t="s">
        <v>55</v>
      </c>
      <c r="G3575">
        <v>-168.72929999999999</v>
      </c>
      <c r="H3575">
        <v>1.642209</v>
      </c>
      <c r="I3575">
        <v>186.40440000000001</v>
      </c>
      <c r="J3575">
        <v>-200.34960000000001</v>
      </c>
      <c r="K3575">
        <v>1.106589</v>
      </c>
      <c r="L3575">
        <v>211.9263</v>
      </c>
      <c r="M3575">
        <v>0.96879709999999997</v>
      </c>
      <c r="N3575">
        <v>0</v>
      </c>
      <c r="O3575">
        <v>-0.24695400000000001</v>
      </c>
      <c r="P3575">
        <v>0.92902969999999896</v>
      </c>
      <c r="Q3575">
        <v>-4.7406599999999998E-3</v>
      </c>
      <c r="R3575">
        <v>-0.36997590000000002</v>
      </c>
      <c r="S3575">
        <v>2.454285</v>
      </c>
      <c r="T3575">
        <v>4.1280030000000002E-2</v>
      </c>
      <c r="U3575">
        <v>-1.9721679999999999</v>
      </c>
      <c r="V3575">
        <v>0.12920760000000001</v>
      </c>
      <c r="W3575">
        <v>1.4745960000000001E-2</v>
      </c>
      <c r="X3575">
        <v>0.9915079</v>
      </c>
      <c r="Y3575">
        <v>0.4144157</v>
      </c>
      <c r="Z3575">
        <v>-4.8207890000000002E-4</v>
      </c>
      <c r="AA3575">
        <v>0.9100876</v>
      </c>
      <c r="AB3575">
        <v>20</v>
      </c>
      <c r="AC3575">
        <v>31.6203</v>
      </c>
      <c r="AD3575">
        <v>0.53561999999999999</v>
      </c>
      <c r="AE3575">
        <v>-25.521899999999899</v>
      </c>
      <c r="AF3575">
        <v>16.917616663798398</v>
      </c>
      <c r="AG3575">
        <v>0.53561999999999999</v>
      </c>
      <c r="AH3575">
        <v>36.9382101630463</v>
      </c>
      <c r="AI3575">
        <v>89.2446844001785</v>
      </c>
      <c r="AJ3575">
        <v>65.392327439793803</v>
      </c>
      <c r="AK3575">
        <v>40.631564237880497</v>
      </c>
      <c r="AL3575">
        <v>89.155088089534203</v>
      </c>
      <c r="AM3575">
        <v>82.575383090386893</v>
      </c>
      <c r="AN3575">
        <v>0.99999998149824498</v>
      </c>
    </row>
    <row r="3576" spans="1:40" x14ac:dyDescent="0.25">
      <c r="A3576" t="str">
        <f>"20190312161037629"</f>
        <v>20190312161037629</v>
      </c>
      <c r="B3576" t="str">
        <f>"1552378237619654"</f>
        <v>1552378237619654</v>
      </c>
      <c r="C3576" t="s">
        <v>40</v>
      </c>
      <c r="D3576">
        <v>5.5730659999999999</v>
      </c>
      <c r="E3576">
        <v>0.61528969999999905</v>
      </c>
      <c r="F3576" t="s">
        <v>55</v>
      </c>
      <c r="G3576">
        <v>-168.9007</v>
      </c>
      <c r="H3576">
        <v>1.7565059999999999</v>
      </c>
      <c r="I3576">
        <v>186.40440000000001</v>
      </c>
      <c r="J3576">
        <v>-200.18209999999999</v>
      </c>
      <c r="K3576">
        <v>1.106557</v>
      </c>
      <c r="L3576">
        <v>211.8749</v>
      </c>
      <c r="M3576">
        <v>0.96701380000000003</v>
      </c>
      <c r="N3576">
        <v>0</v>
      </c>
      <c r="O3576">
        <v>-0.25384640000000003</v>
      </c>
      <c r="P3576">
        <v>0.92615289999999995</v>
      </c>
      <c r="Q3576">
        <v>-4.8873800000000002E-3</v>
      </c>
      <c r="R3576">
        <v>-0.37711719999999999</v>
      </c>
      <c r="S3576">
        <v>2.4406430000000001</v>
      </c>
      <c r="T3576">
        <v>5.0440550000000001E-2</v>
      </c>
      <c r="U3576">
        <v>-1.980667</v>
      </c>
      <c r="V3576">
        <v>0.12978000000000001</v>
      </c>
      <c r="W3576">
        <v>1.4591959999999999E-2</v>
      </c>
      <c r="X3576">
        <v>0.99143539999999997</v>
      </c>
      <c r="Y3576">
        <v>0.41232029999999997</v>
      </c>
      <c r="Z3576">
        <v>-7.2556149999999995E-4</v>
      </c>
      <c r="AA3576">
        <v>0.91103860000000003</v>
      </c>
      <c r="AB3576">
        <v>20</v>
      </c>
      <c r="AC3576">
        <v>31.281399999999898</v>
      </c>
      <c r="AD3576">
        <v>0.649949</v>
      </c>
      <c r="AE3576">
        <v>-25.470499999999902</v>
      </c>
      <c r="AF3576">
        <v>16.6890474783042</v>
      </c>
      <c r="AG3576">
        <v>0.649949</v>
      </c>
      <c r="AH3576">
        <v>36.713805468030799</v>
      </c>
      <c r="AI3576">
        <v>89.076691316986796</v>
      </c>
      <c r="AJ3576">
        <v>65.554811239956607</v>
      </c>
      <c r="AK3576">
        <v>40.3342317564138</v>
      </c>
      <c r="AL3576">
        <v>89.163912573784998</v>
      </c>
      <c r="AM3576">
        <v>82.542321654882798</v>
      </c>
      <c r="AN3576">
        <v>0.99999996303490002</v>
      </c>
    </row>
    <row r="3577" spans="1:40" x14ac:dyDescent="0.25">
      <c r="A3577" t="str">
        <f>"20190312161037654"</f>
        <v>20190312161037654</v>
      </c>
      <c r="B3577" t="str">
        <f>"1552378237649911"</f>
        <v>1552378237649911</v>
      </c>
      <c r="C3577" t="s">
        <v>40</v>
      </c>
      <c r="D3577">
        <v>5.4599949999999904</v>
      </c>
      <c r="E3577">
        <v>0.61342390000000002</v>
      </c>
      <c r="F3577" t="s">
        <v>55</v>
      </c>
      <c r="G3577">
        <v>-168.99250000000001</v>
      </c>
      <c r="H3577">
        <v>1.858166</v>
      </c>
      <c r="I3577">
        <v>186.40440000000001</v>
      </c>
      <c r="J3577">
        <v>-199.96879999999999</v>
      </c>
      <c r="K3577">
        <v>1.106544</v>
      </c>
      <c r="L3577">
        <v>211.80709999999999</v>
      </c>
      <c r="M3577">
        <v>0.96461249999999998</v>
      </c>
      <c r="N3577">
        <v>0</v>
      </c>
      <c r="O3577">
        <v>-0.26282299999999997</v>
      </c>
      <c r="P3577">
        <v>0.92213520000000004</v>
      </c>
      <c r="Q3577">
        <v>-4.1438710000000004E-3</v>
      </c>
      <c r="R3577">
        <v>-0.38684610000000003</v>
      </c>
      <c r="S3577">
        <v>2.4310909999999999</v>
      </c>
      <c r="T3577">
        <v>5.8587189999999997E-2</v>
      </c>
      <c r="U3577">
        <v>-1.985306</v>
      </c>
      <c r="V3577">
        <v>0.13101079999999901</v>
      </c>
      <c r="W3577">
        <v>1.532334E-2</v>
      </c>
      <c r="X3577">
        <v>0.99126250000000005</v>
      </c>
      <c r="Y3577">
        <v>0.40663290000000002</v>
      </c>
      <c r="Z3577">
        <v>-1.079886E-3</v>
      </c>
      <c r="AA3577">
        <v>0.91359100000000004</v>
      </c>
      <c r="AB3577">
        <v>20</v>
      </c>
      <c r="AC3577">
        <v>30.976299999999899</v>
      </c>
      <c r="AD3577">
        <v>0.75162200000000001</v>
      </c>
      <c r="AE3577">
        <v>-25.4026999999999</v>
      </c>
      <c r="AF3577">
        <v>16.3603752053818</v>
      </c>
      <c r="AG3577">
        <v>0.75162200000000001</v>
      </c>
      <c r="AH3577">
        <v>36.551842322755199</v>
      </c>
      <c r="AI3577">
        <v>88.924749406980794</v>
      </c>
      <c r="AJ3577">
        <v>65.887010245103994</v>
      </c>
      <c r="AK3577">
        <v>40.053264407277901</v>
      </c>
      <c r="AL3577">
        <v>89.122002918527301</v>
      </c>
      <c r="AM3577">
        <v>82.471104359391404</v>
      </c>
      <c r="AN3577">
        <v>0.999999989185822</v>
      </c>
    </row>
    <row r="3578" spans="1:40" x14ac:dyDescent="0.25">
      <c r="A3578" t="str">
        <f>"20190312161037682"</f>
        <v>20190312161037682</v>
      </c>
      <c r="B3578" t="str">
        <f>"1552378237670406"</f>
        <v>1552378237670406</v>
      </c>
      <c r="C3578" t="s">
        <v>40</v>
      </c>
      <c r="D3578">
        <v>5.695894</v>
      </c>
      <c r="E3578">
        <v>0.61342390000000002</v>
      </c>
      <c r="F3578" t="s">
        <v>55</v>
      </c>
      <c r="G3578">
        <v>-169.24780000000001</v>
      </c>
      <c r="H3578">
        <v>2.0369549999999998</v>
      </c>
      <c r="I3578">
        <v>186.40450000000001</v>
      </c>
      <c r="J3578">
        <v>-199.74189999999999</v>
      </c>
      <c r="K3578">
        <v>1.1065389999999999</v>
      </c>
      <c r="L3578">
        <v>211.73249999999999</v>
      </c>
      <c r="M3578">
        <v>0.96189420000000003</v>
      </c>
      <c r="N3578">
        <v>0</v>
      </c>
      <c r="O3578">
        <v>-0.27260289999999998</v>
      </c>
      <c r="P3578">
        <v>0.91750180000000003</v>
      </c>
      <c r="Q3578">
        <v>-3.795063E-3</v>
      </c>
      <c r="R3578">
        <v>-0.3977135</v>
      </c>
      <c r="S3578">
        <v>2.4156949999999999</v>
      </c>
      <c r="T3578">
        <v>7.3163989999999998E-2</v>
      </c>
      <c r="U3578">
        <v>-1.997498</v>
      </c>
      <c r="V3578">
        <v>0.1326619</v>
      </c>
      <c r="W3578">
        <v>1.5654700000000001E-2</v>
      </c>
      <c r="X3578">
        <v>0.99103770000000002</v>
      </c>
      <c r="Y3578">
        <v>0.40293410000000002</v>
      </c>
      <c r="Z3578">
        <v>-1.639504E-3</v>
      </c>
      <c r="AA3578">
        <v>0.91522749999999997</v>
      </c>
      <c r="AB3578">
        <v>20</v>
      </c>
      <c r="AC3578">
        <v>30.4940999999999</v>
      </c>
      <c r="AD3578">
        <v>0.93041600000000002</v>
      </c>
      <c r="AE3578">
        <v>-25.3279999999999</v>
      </c>
      <c r="AF3578">
        <v>16.044827258709901</v>
      </c>
      <c r="AG3578">
        <v>0.93041600000000002</v>
      </c>
      <c r="AH3578">
        <v>36.224733523053096</v>
      </c>
      <c r="AI3578">
        <v>88.654709396001905</v>
      </c>
      <c r="AJ3578">
        <v>66.110266690944499</v>
      </c>
      <c r="AK3578">
        <v>39.629956781595197</v>
      </c>
      <c r="AL3578">
        <v>89.103015108134997</v>
      </c>
      <c r="AM3578">
        <v>82.375619486633298</v>
      </c>
      <c r="AN3578">
        <v>0.99999998608249496</v>
      </c>
    </row>
    <row r="3579" spans="1:40" x14ac:dyDescent="0.25">
      <c r="A3579" t="str">
        <f>"20190312161037714"</f>
        <v>20190312161037714</v>
      </c>
      <c r="B3579" t="str">
        <f>"1552378237709722"</f>
        <v>1552378237709722</v>
      </c>
      <c r="C3579" t="s">
        <v>40</v>
      </c>
      <c r="D3579">
        <v>5.4616210000000001</v>
      </c>
      <c r="E3579">
        <v>0.61680330000000005</v>
      </c>
      <c r="F3579" t="s">
        <v>55</v>
      </c>
      <c r="G3579">
        <v>-169.4006</v>
      </c>
      <c r="H3579">
        <v>2.0595650000000001</v>
      </c>
      <c r="I3579">
        <v>186.03649999999999</v>
      </c>
      <c r="J3579">
        <v>-199.47880000000001</v>
      </c>
      <c r="K3579">
        <v>1.1065130000000001</v>
      </c>
      <c r="L3579">
        <v>211.6421</v>
      </c>
      <c r="M3579">
        <v>0.95850179999999996</v>
      </c>
      <c r="N3579">
        <v>0</v>
      </c>
      <c r="O3579">
        <v>-0.2843001</v>
      </c>
      <c r="P3579">
        <v>0.91202499999999997</v>
      </c>
      <c r="Q3579">
        <v>-3.656734E-3</v>
      </c>
      <c r="R3579">
        <v>-0.41011890000000001</v>
      </c>
      <c r="S3579">
        <v>2.391953</v>
      </c>
      <c r="T3579">
        <v>7.5134279999999998E-2</v>
      </c>
      <c r="U3579">
        <v>-2.0257420000000002</v>
      </c>
      <c r="V3579">
        <v>0.13403129999999999</v>
      </c>
      <c r="W3579">
        <v>1.5775330000000001E-2</v>
      </c>
      <c r="X3579">
        <v>0.9908515</v>
      </c>
      <c r="Y3579">
        <v>0.40255950000000001</v>
      </c>
      <c r="Z3579">
        <v>-1.9861100000000001E-3</v>
      </c>
      <c r="AA3579">
        <v>0.91539170000000003</v>
      </c>
      <c r="AB3579">
        <v>20</v>
      </c>
      <c r="AC3579">
        <v>30.078199999999999</v>
      </c>
      <c r="AD3579">
        <v>0.95305200000000001</v>
      </c>
      <c r="AE3579">
        <v>-25.605599999999999</v>
      </c>
      <c r="AF3579">
        <v>15.9860540012582</v>
      </c>
      <c r="AG3579">
        <v>0.95305200000000001</v>
      </c>
      <c r="AH3579">
        <v>36.096757649994103</v>
      </c>
      <c r="AI3579">
        <v>88.617079158201804</v>
      </c>
      <c r="AJ3579">
        <v>66.113039546953303</v>
      </c>
      <c r="AK3579">
        <v>39.489721998113097</v>
      </c>
      <c r="AL3579">
        <v>89.096102652478393</v>
      </c>
      <c r="AM3579">
        <v>82.296426949426703</v>
      </c>
      <c r="AN3579">
        <v>0.99999997273427399</v>
      </c>
    </row>
    <row r="3580" spans="1:40" x14ac:dyDescent="0.25">
      <c r="A3580" t="str">
        <f>"20190312161037737"</f>
        <v>20190312161037737</v>
      </c>
      <c r="B3580" t="str">
        <f>"1552378237730217"</f>
        <v>1552378237730217</v>
      </c>
      <c r="C3580" t="s">
        <v>40</v>
      </c>
      <c r="D3580">
        <v>5.3318490000000001</v>
      </c>
      <c r="E3580">
        <v>0.65842609999999901</v>
      </c>
      <c r="F3580" t="s">
        <v>55</v>
      </c>
      <c r="G3580">
        <v>-169.40099999999899</v>
      </c>
      <c r="H3580">
        <v>2.1182949999999998</v>
      </c>
      <c r="I3580">
        <v>185.02289999999999</v>
      </c>
      <c r="J3580">
        <v>-199.28630000000001</v>
      </c>
      <c r="K3580">
        <v>1.106487</v>
      </c>
      <c r="L3580">
        <v>211.57339999999999</v>
      </c>
      <c r="M3580">
        <v>0.95585600000000004</v>
      </c>
      <c r="N3580">
        <v>0</v>
      </c>
      <c r="O3580">
        <v>-0.2930719</v>
      </c>
      <c r="P3580">
        <v>0.90797349999999999</v>
      </c>
      <c r="Q3580">
        <v>-3.8467290000000001E-3</v>
      </c>
      <c r="R3580">
        <v>-0.41901050000000001</v>
      </c>
      <c r="S3580">
        <v>2.3531949999999999</v>
      </c>
      <c r="T3580">
        <v>7.9161289999999995E-2</v>
      </c>
      <c r="U3580">
        <v>-2.0825960000000001</v>
      </c>
      <c r="V3580">
        <v>0.1346318</v>
      </c>
      <c r="W3580">
        <v>1.5576990000000001E-2</v>
      </c>
      <c r="X3580">
        <v>0.99077329999999997</v>
      </c>
      <c r="Y3580">
        <v>0.4140703</v>
      </c>
      <c r="Z3580">
        <v>-2.1635059999999999E-3</v>
      </c>
      <c r="AA3580">
        <v>0.91024240000000001</v>
      </c>
      <c r="AB3580">
        <v>19</v>
      </c>
      <c r="AC3580">
        <v>29.885300000000001</v>
      </c>
      <c r="AD3580">
        <v>1.011808</v>
      </c>
      <c r="AE3580">
        <v>-26.5505</v>
      </c>
      <c r="AF3580">
        <v>16.612995908745301</v>
      </c>
      <c r="AG3580">
        <v>1.011808</v>
      </c>
      <c r="AH3580">
        <v>36.332121163859497</v>
      </c>
      <c r="AI3580">
        <v>88.549193575151506</v>
      </c>
      <c r="AJ3580">
        <v>65.427577054431893</v>
      </c>
      <c r="AK3580">
        <v>39.962963062793797</v>
      </c>
      <c r="AL3580">
        <v>89.107468161548098</v>
      </c>
      <c r="AM3580">
        <v>82.261726537834804</v>
      </c>
      <c r="AN3580">
        <v>1.00000004809079</v>
      </c>
    </row>
    <row r="3581" spans="1:40" x14ac:dyDescent="0.25">
      <c r="A3581" t="str">
        <f>"20190312161037755"</f>
        <v>20190312161037755</v>
      </c>
      <c r="B3581" t="str">
        <f>"1552378237749737"</f>
        <v>1552378237749737</v>
      </c>
      <c r="C3581" t="s">
        <v>40</v>
      </c>
      <c r="D3581">
        <v>5.3921789999999996</v>
      </c>
      <c r="E3581">
        <v>0.65905950000000002</v>
      </c>
      <c r="F3581" t="s">
        <v>55</v>
      </c>
      <c r="G3581">
        <v>-168.42</v>
      </c>
      <c r="H3581">
        <v>6.0499190000000001E-2</v>
      </c>
      <c r="I3581">
        <v>177.77940000000001</v>
      </c>
      <c r="J3581">
        <v>-199.1353</v>
      </c>
      <c r="K3581">
        <v>1.106474</v>
      </c>
      <c r="L3581">
        <v>211.5179</v>
      </c>
      <c r="M3581">
        <v>0.9536753</v>
      </c>
      <c r="N3581">
        <v>0</v>
      </c>
      <c r="O3581">
        <v>-0.30009140000000001</v>
      </c>
      <c r="P3581">
        <v>0.9043776</v>
      </c>
      <c r="Q3581">
        <v>-2.8397520000000001E-3</v>
      </c>
      <c r="R3581">
        <v>-0.42672399999999999</v>
      </c>
      <c r="S3581">
        <v>2.1948089999999998</v>
      </c>
      <c r="T3581">
        <v>-7.4374560000000006E-2</v>
      </c>
      <c r="U3581">
        <v>-2.4029850000000001</v>
      </c>
      <c r="V3581">
        <v>0.13579260000000001</v>
      </c>
      <c r="W3581">
        <v>1.6567729999999999E-2</v>
      </c>
      <c r="X3581">
        <v>0.99059870000000005</v>
      </c>
      <c r="Y3581">
        <v>0.5018418</v>
      </c>
      <c r="Z3581">
        <v>9.9345300000000004E-4</v>
      </c>
      <c r="AA3581">
        <v>0.86495889999999997</v>
      </c>
      <c r="AB3581">
        <v>19</v>
      </c>
      <c r="AC3581">
        <v>30.715299999999999</v>
      </c>
      <c r="AD3581">
        <v>-1.0459748099999999</v>
      </c>
      <c r="AE3581">
        <v>-33.738499999999902</v>
      </c>
      <c r="AF3581">
        <v>22.9512654522627</v>
      </c>
      <c r="AG3581">
        <v>-1.0459748099999999</v>
      </c>
      <c r="AH3581">
        <v>39.405190618088398</v>
      </c>
      <c r="AI3581">
        <v>91.313969112261006</v>
      </c>
      <c r="AJ3581">
        <v>59.781651621824899</v>
      </c>
      <c r="AK3581">
        <v>45.613854220086097</v>
      </c>
      <c r="AL3581">
        <v>89.050695517052503</v>
      </c>
      <c r="AM3581">
        <v>82.194467013145598</v>
      </c>
      <c r="AN3581">
        <v>0.99999995216689996</v>
      </c>
    </row>
    <row r="3582" spans="1:40" x14ac:dyDescent="0.25">
      <c r="A3582" t="str">
        <f>"20190312161037775"</f>
        <v>20190312161037775</v>
      </c>
      <c r="B3582" t="str">
        <f>"1552378237770235"</f>
        <v>1552378237770235</v>
      </c>
      <c r="C3582" t="s">
        <v>40</v>
      </c>
      <c r="D3582">
        <v>4.9580869999999999</v>
      </c>
      <c r="E3582">
        <v>0.65376499999999904</v>
      </c>
      <c r="F3582" t="s">
        <v>55</v>
      </c>
      <c r="G3582">
        <v>-168.42019999999999</v>
      </c>
      <c r="H3582">
        <v>-1.489353E-2</v>
      </c>
      <c r="I3582">
        <v>177.21180000000001</v>
      </c>
      <c r="J3582">
        <v>-198.97730000000001</v>
      </c>
      <c r="K3582">
        <v>1.1064590000000001</v>
      </c>
      <c r="L3582">
        <v>211.45830000000001</v>
      </c>
      <c r="M3582">
        <v>0.95128959999999996</v>
      </c>
      <c r="N3582">
        <v>0</v>
      </c>
      <c r="O3582">
        <v>-0.30756999999999901</v>
      </c>
      <c r="P3582">
        <v>0.90089059999999999</v>
      </c>
      <c r="Q3582">
        <v>-2.143743E-3</v>
      </c>
      <c r="R3582">
        <v>-0.43404120000000002</v>
      </c>
      <c r="S3582">
        <v>2.1721949999999999</v>
      </c>
      <c r="T3582">
        <v>-7.93016E-2</v>
      </c>
      <c r="U3582">
        <v>-2.4261469999999998</v>
      </c>
      <c r="V3582">
        <v>0.13605349999999999</v>
      </c>
      <c r="W3582">
        <v>1.7261430000000001E-2</v>
      </c>
      <c r="X3582">
        <v>0.99055110000000002</v>
      </c>
      <c r="Y3582">
        <v>0.50362810000000002</v>
      </c>
      <c r="Z3582">
        <v>1.230685E-3</v>
      </c>
      <c r="AA3582">
        <v>0.86391969999999996</v>
      </c>
      <c r="AB3582">
        <v>19</v>
      </c>
      <c r="AC3582">
        <v>30.557099999999998</v>
      </c>
      <c r="AD3582">
        <v>-1.12135253</v>
      </c>
      <c r="AE3582">
        <v>-34.246499999999997</v>
      </c>
      <c r="AF3582">
        <v>23.171264048845501</v>
      </c>
      <c r="AG3582">
        <v>-1.12135253</v>
      </c>
      <c r="AH3582">
        <v>39.587106890812301</v>
      </c>
      <c r="AI3582">
        <v>91.400395282613999</v>
      </c>
      <c r="AJ3582">
        <v>59.658558434600202</v>
      </c>
      <c r="AK3582">
        <v>45.883591196662699</v>
      </c>
      <c r="AL3582">
        <v>89.010943789265895</v>
      </c>
      <c r="AM3582">
        <v>82.179284388415198</v>
      </c>
      <c r="AN3582">
        <v>0.99999999676955198</v>
      </c>
    </row>
    <row r="3583" spans="1:40" x14ac:dyDescent="0.25">
      <c r="A3583" t="str">
        <f>"20190312161037797"</f>
        <v>20190312161037797</v>
      </c>
      <c r="B3583" t="str">
        <f>"1552378237789753"</f>
        <v>1552378237789753</v>
      </c>
      <c r="C3583" t="s">
        <v>40</v>
      </c>
      <c r="D3583">
        <v>5.397157</v>
      </c>
      <c r="E3583">
        <v>0.65258149999999904</v>
      </c>
      <c r="F3583" t="s">
        <v>55</v>
      </c>
      <c r="G3583">
        <v>-168.4203</v>
      </c>
      <c r="H3583">
        <v>0.61924460000000003</v>
      </c>
      <c r="I3583">
        <v>177.57839999999999</v>
      </c>
      <c r="J3583">
        <v>-198.80369999999999</v>
      </c>
      <c r="K3583">
        <v>1.1064419999999999</v>
      </c>
      <c r="L3583">
        <v>211.39089999999999</v>
      </c>
      <c r="M3583">
        <v>0.94853330000000002</v>
      </c>
      <c r="N3583">
        <v>0</v>
      </c>
      <c r="O3583">
        <v>-0.3159671</v>
      </c>
      <c r="P3583">
        <v>0.89684719999999996</v>
      </c>
      <c r="Q3583">
        <v>-2.3853609999999999E-3</v>
      </c>
      <c r="R3583">
        <v>-0.442334</v>
      </c>
      <c r="S3583">
        <v>2.1705019999999999</v>
      </c>
      <c r="T3583">
        <v>-3.4605150000000001E-2</v>
      </c>
      <c r="U3583">
        <v>-2.4065249999999998</v>
      </c>
      <c r="V3583">
        <v>0.1364339</v>
      </c>
      <c r="W3583">
        <v>1.7016839999999998E-2</v>
      </c>
      <c r="X3583">
        <v>0.99050300000000002</v>
      </c>
      <c r="Y3583">
        <v>0.4928459</v>
      </c>
      <c r="Z3583">
        <v>7.0482170000000003E-4</v>
      </c>
      <c r="AA3583">
        <v>0.87011640000000001</v>
      </c>
      <c r="AB3583">
        <v>19</v>
      </c>
      <c r="AC3583">
        <v>30.383399999999899</v>
      </c>
      <c r="AD3583">
        <v>-0.487197399999999</v>
      </c>
      <c r="AE3583">
        <v>-33.8125</v>
      </c>
      <c r="AF3583">
        <v>22.474596732281999</v>
      </c>
      <c r="AG3583">
        <v>-0.487197399999999</v>
      </c>
      <c r="AH3583">
        <v>39.5076449905483</v>
      </c>
      <c r="AI3583">
        <v>90.614115204284204</v>
      </c>
      <c r="AJ3583">
        <v>60.3658793293339</v>
      </c>
      <c r="AK3583">
        <v>45.455460313195204</v>
      </c>
      <c r="AL3583">
        <v>89.024959813735805</v>
      </c>
      <c r="AM3583">
        <v>82.1573136069931</v>
      </c>
      <c r="AN3583">
        <v>0.99999998746089702</v>
      </c>
    </row>
    <row r="3584" spans="1:40" x14ac:dyDescent="0.25">
      <c r="A3584" t="str">
        <f>"20190312161037820"</f>
        <v>20190312161037820</v>
      </c>
      <c r="B3584" t="str">
        <f>"1552378237810249"</f>
        <v>1552378237810249</v>
      </c>
      <c r="C3584" t="s">
        <v>40</v>
      </c>
      <c r="D3584">
        <v>5.389068</v>
      </c>
      <c r="E3584">
        <v>0.65355620000000003</v>
      </c>
      <c r="F3584" t="s">
        <v>55</v>
      </c>
      <c r="G3584">
        <v>-168.4204</v>
      </c>
      <c r="H3584">
        <v>0.60948800000000003</v>
      </c>
      <c r="I3584">
        <v>177.2561</v>
      </c>
      <c r="J3584">
        <v>-198.6292</v>
      </c>
      <c r="K3584">
        <v>1.1064290000000001</v>
      </c>
      <c r="L3584">
        <v>211.3212</v>
      </c>
      <c r="M3584">
        <v>0.94561660000000003</v>
      </c>
      <c r="N3584">
        <v>0</v>
      </c>
      <c r="O3584">
        <v>-0.32459110000000002</v>
      </c>
      <c r="P3584">
        <v>0.8925206</v>
      </c>
      <c r="Q3584">
        <v>-3.6070519999999999E-3</v>
      </c>
      <c r="R3584">
        <v>-0.45099250000000002</v>
      </c>
      <c r="S3584">
        <v>2.1523279999999998</v>
      </c>
      <c r="T3584">
        <v>-3.5201429999999999E-2</v>
      </c>
      <c r="U3584">
        <v>-2.4180760000000001</v>
      </c>
      <c r="V3584">
        <v>0.13698779999999999</v>
      </c>
      <c r="W3584">
        <v>1.579154E-2</v>
      </c>
      <c r="X3584">
        <v>0.99044690000000002</v>
      </c>
      <c r="Y3584">
        <v>0.49062810000000001</v>
      </c>
      <c r="Z3584">
        <v>8.3390369999999903E-4</v>
      </c>
      <c r="AA3584">
        <v>0.8713687</v>
      </c>
      <c r="AB3584">
        <v>19</v>
      </c>
      <c r="AC3584">
        <v>30.2088</v>
      </c>
      <c r="AD3584">
        <v>-0.49694100000000002</v>
      </c>
      <c r="AE3584">
        <v>-34.065100000000001</v>
      </c>
      <c r="AF3584">
        <v>22.409388609935601</v>
      </c>
      <c r="AG3584">
        <v>-0.49694100000000002</v>
      </c>
      <c r="AH3584">
        <v>39.627365861298301</v>
      </c>
      <c r="AI3584">
        <v>90.625405965303699</v>
      </c>
      <c r="AJ3584">
        <v>60.511716648429797</v>
      </c>
      <c r="AK3584">
        <v>45.527527643545298</v>
      </c>
      <c r="AL3584">
        <v>89.095173838369703</v>
      </c>
      <c r="AM3584">
        <v>82.125431742325105</v>
      </c>
      <c r="AN3584">
        <v>1.000000045902</v>
      </c>
    </row>
    <row r="3585" spans="1:40" x14ac:dyDescent="0.25">
      <c r="A3585" t="str">
        <f>"20190312161037843"</f>
        <v>20190312161037843</v>
      </c>
      <c r="B3585" t="str">
        <f>"1552378237840506"</f>
        <v>1552378237840506</v>
      </c>
      <c r="C3585" t="s">
        <v>40</v>
      </c>
      <c r="D3585">
        <v>5.2287839999999903</v>
      </c>
      <c r="E3585">
        <v>0.65323229999999999</v>
      </c>
      <c r="F3585" t="s">
        <v>55</v>
      </c>
      <c r="G3585">
        <v>-168.4205</v>
      </c>
      <c r="H3585">
        <v>0.345734599999999</v>
      </c>
      <c r="I3585">
        <v>176.5668</v>
      </c>
      <c r="J3585">
        <v>-198.44919999999999</v>
      </c>
      <c r="K3585">
        <v>1.106414</v>
      </c>
      <c r="L3585">
        <v>211.24700000000001</v>
      </c>
      <c r="M3585">
        <v>0.94244609999999995</v>
      </c>
      <c r="N3585">
        <v>0</v>
      </c>
      <c r="O3585">
        <v>-0.33368409999999998</v>
      </c>
      <c r="P3585">
        <v>0.88799719999999904</v>
      </c>
      <c r="Q3585">
        <v>-4.6226990000000001E-3</v>
      </c>
      <c r="R3585">
        <v>-0.45982630000000002</v>
      </c>
      <c r="S3585">
        <v>2.1254580000000001</v>
      </c>
      <c r="T3585">
        <v>-5.3519490000000003E-2</v>
      </c>
      <c r="U3585">
        <v>-2.4452820000000002</v>
      </c>
      <c r="V3585">
        <v>0.13726559999999999</v>
      </c>
      <c r="W3585">
        <v>1.4777429999999999E-2</v>
      </c>
      <c r="X3585">
        <v>0.99042399999999997</v>
      </c>
      <c r="Y3585">
        <v>0.49248530000000001</v>
      </c>
      <c r="Z3585">
        <v>1.4129639999999901E-3</v>
      </c>
      <c r="AA3585">
        <v>0.87031959999999997</v>
      </c>
      <c r="AB3585">
        <v>19</v>
      </c>
      <c r="AC3585">
        <v>30.028699999999901</v>
      </c>
      <c r="AD3585">
        <v>-0.76067940000000001</v>
      </c>
      <c r="AE3585">
        <v>-34.680199999999999</v>
      </c>
      <c r="AF3585">
        <v>22.662992334389301</v>
      </c>
      <c r="AG3585">
        <v>-0.76067940000000001</v>
      </c>
      <c r="AH3585">
        <v>39.8706795152453</v>
      </c>
      <c r="AI3585">
        <v>90.950245194513101</v>
      </c>
      <c r="AJ3585">
        <v>60.385559029300403</v>
      </c>
      <c r="AK3585">
        <v>45.867863910428397</v>
      </c>
      <c r="AL3585">
        <v>89.153284775424893</v>
      </c>
      <c r="AM3585">
        <v>82.109483561228004</v>
      </c>
      <c r="AN3585">
        <v>0.99999995857838098</v>
      </c>
    </row>
    <row r="3586" spans="1:40" x14ac:dyDescent="0.25">
      <c r="A3586" t="str">
        <f>"20190312161037869"</f>
        <v>20190312161037869</v>
      </c>
      <c r="B3586" t="str">
        <f>"1552378237860025"</f>
        <v>1552378237860025</v>
      </c>
      <c r="C3586" t="s">
        <v>40</v>
      </c>
      <c r="D3586">
        <v>5.4478929999999997</v>
      </c>
      <c r="E3586">
        <v>0.65337809999999996</v>
      </c>
      <c r="F3586" t="s">
        <v>55</v>
      </c>
      <c r="G3586">
        <v>-168.42060000000001</v>
      </c>
      <c r="H3586">
        <v>0.15852550000000001</v>
      </c>
      <c r="I3586">
        <v>176.05699999999999</v>
      </c>
      <c r="J3586">
        <v>-198.251</v>
      </c>
      <c r="K3586">
        <v>1.1064039999999999</v>
      </c>
      <c r="L3586">
        <v>211.16249999999999</v>
      </c>
      <c r="M3586">
        <v>0.93875050000000004</v>
      </c>
      <c r="N3586">
        <v>0</v>
      </c>
      <c r="O3586">
        <v>-0.34394360000000002</v>
      </c>
      <c r="P3586">
        <v>0.88327730000000004</v>
      </c>
      <c r="Q3586">
        <v>-5.0562480000000002E-3</v>
      </c>
      <c r="R3586">
        <v>-0.46882439999999997</v>
      </c>
      <c r="S3586">
        <v>2.1023100000000001</v>
      </c>
      <c r="T3586">
        <v>-6.6359879999999996E-2</v>
      </c>
      <c r="U3586">
        <v>-2.4636689999999999</v>
      </c>
      <c r="V3586">
        <v>0.136521799999999</v>
      </c>
      <c r="W3586">
        <v>1.436024E-2</v>
      </c>
      <c r="X3586">
        <v>0.990533</v>
      </c>
      <c r="Y3586">
        <v>0.49091879999999999</v>
      </c>
      <c r="Z3586">
        <v>2.0012049999999998E-3</v>
      </c>
      <c r="AA3586">
        <v>0.87120309999999901</v>
      </c>
      <c r="AB3586">
        <v>18</v>
      </c>
      <c r="AC3586">
        <v>29.830399999999901</v>
      </c>
      <c r="AD3586">
        <v>-0.94787849999999996</v>
      </c>
      <c r="AE3586">
        <v>-35.1054999999999</v>
      </c>
      <c r="AF3586">
        <v>22.690835703710899</v>
      </c>
      <c r="AG3586">
        <v>-0.94787849999999996</v>
      </c>
      <c r="AH3586">
        <v>40.069677596197202</v>
      </c>
      <c r="AI3586">
        <v>91.179233049975295</v>
      </c>
      <c r="AJ3586">
        <v>60.4777965661129</v>
      </c>
      <c r="AK3586">
        <v>46.058132411624698</v>
      </c>
      <c r="AL3586">
        <v>89.177190591541802</v>
      </c>
      <c r="AM3586">
        <v>82.152558471564205</v>
      </c>
      <c r="AN3586">
        <v>1.00000002122854</v>
      </c>
    </row>
    <row r="3587" spans="1:40" x14ac:dyDescent="0.25">
      <c r="A3587" t="str">
        <f>"20190312161037893"</f>
        <v>20190312161037893</v>
      </c>
      <c r="B3587" t="str">
        <f>"1552378237890281"</f>
        <v>1552378237890281</v>
      </c>
      <c r="C3587" t="s">
        <v>40</v>
      </c>
      <c r="D3587">
        <v>5.5907669999999996</v>
      </c>
      <c r="E3587">
        <v>0.65165419999999996</v>
      </c>
      <c r="F3587" t="s">
        <v>55</v>
      </c>
      <c r="G3587">
        <v>-168.42080000000001</v>
      </c>
      <c r="H3587">
        <v>0.1145687</v>
      </c>
      <c r="I3587">
        <v>175.452</v>
      </c>
      <c r="J3587">
        <v>-198.07069999999999</v>
      </c>
      <c r="K3587">
        <v>1.106393</v>
      </c>
      <c r="L3587">
        <v>211.08320000000001</v>
      </c>
      <c r="M3587">
        <v>0.9352028</v>
      </c>
      <c r="N3587">
        <v>0</v>
      </c>
      <c r="O3587">
        <v>-0.35347519999999999</v>
      </c>
      <c r="P3587">
        <v>0.87854900000000002</v>
      </c>
      <c r="Q3587">
        <v>-5.105554E-3</v>
      </c>
      <c r="R3587">
        <v>-0.47762549999999998</v>
      </c>
      <c r="S3587">
        <v>2.076584</v>
      </c>
      <c r="T3587">
        <v>-6.9042800000000001E-2</v>
      </c>
      <c r="U3587">
        <v>-2.4859309999999999</v>
      </c>
      <c r="V3587">
        <v>0.136341299999999</v>
      </c>
      <c r="W3587">
        <v>1.4320670000000001E-2</v>
      </c>
      <c r="X3587">
        <v>0.99055839999999995</v>
      </c>
      <c r="Y3587">
        <v>0.49120599999999998</v>
      </c>
      <c r="Z3587">
        <v>2.3013450000000002E-3</v>
      </c>
      <c r="AA3587">
        <v>0.87104040000000005</v>
      </c>
      <c r="AB3587">
        <v>18</v>
      </c>
      <c r="AC3587">
        <v>29.649899999999899</v>
      </c>
      <c r="AD3587">
        <v>-0.99182429999999999</v>
      </c>
      <c r="AE3587">
        <v>-35.6312</v>
      </c>
      <c r="AF3587">
        <v>22.836591304016402</v>
      </c>
      <c r="AG3587">
        <v>-0.99182429999999999</v>
      </c>
      <c r="AH3587">
        <v>40.3140546267188</v>
      </c>
      <c r="AI3587">
        <v>91.226315017937907</v>
      </c>
      <c r="AJ3587">
        <v>60.469867442699197</v>
      </c>
      <c r="AK3587">
        <v>46.343463598169102</v>
      </c>
      <c r="AL3587">
        <v>89.1794579911694</v>
      </c>
      <c r="AM3587">
        <v>82.163003282963302</v>
      </c>
      <c r="AN3587">
        <v>0.99999998774274901</v>
      </c>
    </row>
    <row r="3588" spans="1:40" x14ac:dyDescent="0.25">
      <c r="A3588" t="str">
        <f>"20190312161037929"</f>
        <v>20190312161037929</v>
      </c>
      <c r="B3588" t="str">
        <f>"1552378237920069"</f>
        <v>1552378237920069</v>
      </c>
      <c r="C3588" t="s">
        <v>40</v>
      </c>
      <c r="D3588">
        <v>5.4691710000000002</v>
      </c>
      <c r="E3588">
        <v>0.65473269999999995</v>
      </c>
      <c r="F3588" t="s">
        <v>55</v>
      </c>
      <c r="G3588">
        <v>-168.42089999999999</v>
      </c>
      <c r="H3588">
        <v>0.20453360000000001</v>
      </c>
      <c r="I3588">
        <v>175.1481</v>
      </c>
      <c r="J3588">
        <v>-197.804</v>
      </c>
      <c r="K3588">
        <v>1.1064179999999999</v>
      </c>
      <c r="L3588">
        <v>210.9614</v>
      </c>
      <c r="M3588">
        <v>0.92962959999999994</v>
      </c>
      <c r="N3588">
        <v>0</v>
      </c>
      <c r="O3588">
        <v>-0.3678825</v>
      </c>
      <c r="P3588">
        <v>0.87108390000000002</v>
      </c>
      <c r="Q3588">
        <v>-6.6391649999999998E-3</v>
      </c>
      <c r="R3588">
        <v>-0.49108970000000002</v>
      </c>
      <c r="S3588">
        <v>2.0582120000000002</v>
      </c>
      <c r="T3588">
        <v>-6.2602400000000002E-2</v>
      </c>
      <c r="U3588">
        <v>-2.4945219999999999</v>
      </c>
      <c r="V3588">
        <v>0.136266</v>
      </c>
      <c r="W3588">
        <v>1.2804940000000001E-2</v>
      </c>
      <c r="X3588">
        <v>0.99058950000000001</v>
      </c>
      <c r="Y3588">
        <v>0.4830159</v>
      </c>
      <c r="Z3588">
        <v>2.4873650000000001E-3</v>
      </c>
      <c r="AA3588">
        <v>0.8756081</v>
      </c>
      <c r="AB3588">
        <v>18</v>
      </c>
      <c r="AC3588">
        <v>29.383099999999999</v>
      </c>
      <c r="AD3588">
        <v>-0.90188440000000003</v>
      </c>
      <c r="AE3588">
        <v>-35.813299999999998</v>
      </c>
      <c r="AF3588">
        <v>22.480129525121399</v>
      </c>
      <c r="AG3588">
        <v>-0.90188440000000003</v>
      </c>
      <c r="AH3588">
        <v>40.484280066994202</v>
      </c>
      <c r="AI3588">
        <v>91.115764330114601</v>
      </c>
      <c r="AJ3588">
        <v>60.957441856927403</v>
      </c>
      <c r="AK3588">
        <v>46.315726826640898</v>
      </c>
      <c r="AL3588">
        <v>89.266310910546295</v>
      </c>
      <c r="AM3588">
        <v>82.167520700728602</v>
      </c>
      <c r="AN3588">
        <v>0.99999997337732605</v>
      </c>
    </row>
    <row r="3589" spans="1:40" x14ac:dyDescent="0.25">
      <c r="A3589" t="str">
        <f>"20190312161037955"</f>
        <v>20190312161037955</v>
      </c>
      <c r="B3589" t="str">
        <f>"1552378237950325"</f>
        <v>1552378237950325</v>
      </c>
      <c r="C3589" t="s">
        <v>40</v>
      </c>
      <c r="D3589">
        <v>5.0616370000000002</v>
      </c>
      <c r="E3589">
        <v>0.64546719999999902</v>
      </c>
      <c r="F3589" t="s">
        <v>41</v>
      </c>
      <c r="G3589">
        <v>-184.3312</v>
      </c>
      <c r="H3589" s="1">
        <v>-2.9488960000000001E-6</v>
      </c>
      <c r="I3589">
        <v>193.88130000000001</v>
      </c>
      <c r="J3589">
        <v>-197.61930000000001</v>
      </c>
      <c r="K3589">
        <v>1.106447</v>
      </c>
      <c r="L3589">
        <v>210.87360000000001</v>
      </c>
      <c r="M3589">
        <v>0.92552429999999997</v>
      </c>
      <c r="N3589">
        <v>0</v>
      </c>
      <c r="O3589">
        <v>-0.37809140000000002</v>
      </c>
      <c r="P3589">
        <v>0.86543409999999998</v>
      </c>
      <c r="Q3589">
        <v>-6.9411769999999998E-3</v>
      </c>
      <c r="R3589">
        <v>-0.5009747</v>
      </c>
      <c r="S3589">
        <v>2.0077509999999998</v>
      </c>
      <c r="T3589">
        <v>-0.16488159999999999</v>
      </c>
      <c r="U3589">
        <v>-2.5453190000000001</v>
      </c>
      <c r="V3589">
        <v>0.13663789999999901</v>
      </c>
      <c r="W3589">
        <v>1.2511710000000001E-2</v>
      </c>
      <c r="X3589">
        <v>0.99054209999999998</v>
      </c>
      <c r="Y3589">
        <v>0.49246489999999998</v>
      </c>
      <c r="Z3589">
        <v>6.8323350000000001E-3</v>
      </c>
      <c r="AA3589">
        <v>0.87030549999999995</v>
      </c>
      <c r="AB3589">
        <v>18</v>
      </c>
      <c r="AC3589">
        <v>13.2881</v>
      </c>
      <c r="AD3589">
        <v>-1.106449948896</v>
      </c>
      <c r="AE3589">
        <v>-16.9923</v>
      </c>
      <c r="AF3589">
        <v>10.6769969647371</v>
      </c>
      <c r="AG3589">
        <v>-1.106449948896</v>
      </c>
      <c r="AH3589">
        <v>18.678189494103801</v>
      </c>
      <c r="AI3589">
        <v>92.944021822400501</v>
      </c>
      <c r="AJ3589">
        <v>60.246457453112797</v>
      </c>
      <c r="AK3589">
        <v>21.542916665393001</v>
      </c>
      <c r="AL3589">
        <v>89.283113157356397</v>
      </c>
      <c r="AM3589">
        <v>82.146039405800593</v>
      </c>
      <c r="AN3589">
        <v>1.00000005523797</v>
      </c>
    </row>
    <row r="3590" spans="1:40" x14ac:dyDescent="0.25">
      <c r="A3590" t="str">
        <f>"20190312161037974"</f>
        <v>20190312161037974</v>
      </c>
      <c r="B3590" t="str">
        <f>"1552378237969844"</f>
        <v>1552378237969844</v>
      </c>
      <c r="C3590" t="s">
        <v>40</v>
      </c>
      <c r="D3590">
        <v>5.4869579999999996</v>
      </c>
      <c r="E3590">
        <v>0.63576719999999998</v>
      </c>
      <c r="F3590" t="s">
        <v>41</v>
      </c>
      <c r="G3590">
        <v>-176.27690000000001</v>
      </c>
      <c r="H3590">
        <v>7.9986909999999994E-2</v>
      </c>
      <c r="I3590">
        <v>184.3365</v>
      </c>
      <c r="J3590">
        <v>-197.47800000000001</v>
      </c>
      <c r="K3590">
        <v>1.1064799999999999</v>
      </c>
      <c r="L3590">
        <v>210.8047</v>
      </c>
      <c r="M3590">
        <v>0.92224759999999995</v>
      </c>
      <c r="N3590">
        <v>0</v>
      </c>
      <c r="O3590">
        <v>-0.386015</v>
      </c>
      <c r="P3590">
        <v>0.86062999999999901</v>
      </c>
      <c r="Q3590">
        <v>-7.5515649999999997E-3</v>
      </c>
      <c r="R3590">
        <v>-0.50917479999999904</v>
      </c>
      <c r="S3590">
        <v>2.0152130000000001</v>
      </c>
      <c r="T3590">
        <v>-9.6921209999999994E-2</v>
      </c>
      <c r="U3590">
        <v>-2.5057070000000001</v>
      </c>
      <c r="V3590">
        <v>0.1375479</v>
      </c>
      <c r="W3590">
        <v>1.1899969999999999E-2</v>
      </c>
      <c r="X3590">
        <v>0.99042359999999896</v>
      </c>
      <c r="Y3590">
        <v>0.47680549999999999</v>
      </c>
      <c r="Z3590">
        <v>4.5811669999999997E-3</v>
      </c>
      <c r="AA3590">
        <v>0.87899689999999997</v>
      </c>
      <c r="AB3590">
        <v>18</v>
      </c>
      <c r="AC3590">
        <v>21.201099999999901</v>
      </c>
      <c r="AD3590">
        <v>-1.02649309</v>
      </c>
      <c r="AE3590">
        <v>-26.4682</v>
      </c>
      <c r="AF3590">
        <v>16.215101522529601</v>
      </c>
      <c r="AG3590">
        <v>-1.02649309</v>
      </c>
      <c r="AH3590">
        <v>29.749256320074</v>
      </c>
      <c r="AI3590">
        <v>91.735340782354299</v>
      </c>
      <c r="AJ3590">
        <v>61.407007284119999</v>
      </c>
      <c r="AK3590">
        <v>33.896924005685499</v>
      </c>
      <c r="AL3590">
        <v>89.3181658297421</v>
      </c>
      <c r="AM3590">
        <v>82.093457818891096</v>
      </c>
      <c r="AN3590">
        <v>0.99999997075868396</v>
      </c>
    </row>
    <row r="3591" spans="1:40" x14ac:dyDescent="0.25">
      <c r="A3591" t="str">
        <f>"20190312161038003"</f>
        <v>20190312161038003</v>
      </c>
      <c r="B3591" t="str">
        <f>"1552378237999632"</f>
        <v>1552378237999632</v>
      </c>
      <c r="C3591" t="s">
        <v>40</v>
      </c>
      <c r="D3591">
        <v>5.1765299999999996</v>
      </c>
      <c r="E3591">
        <v>0.6290869</v>
      </c>
      <c r="F3591" t="s">
        <v>55</v>
      </c>
      <c r="G3591">
        <v>-168.4213</v>
      </c>
      <c r="H3591">
        <v>1.676029</v>
      </c>
      <c r="I3591">
        <v>175.5838</v>
      </c>
      <c r="J3591">
        <v>-197.28639999999999</v>
      </c>
      <c r="K3591">
        <v>1.106522</v>
      </c>
      <c r="L3591">
        <v>210.70869999999999</v>
      </c>
      <c r="M3591">
        <v>0.91760900000000001</v>
      </c>
      <c r="N3591">
        <v>0</v>
      </c>
      <c r="O3591">
        <v>-0.39691569999999998</v>
      </c>
      <c r="P3591">
        <v>0.85407909999999998</v>
      </c>
      <c r="Q3591">
        <v>-6.7531020000000004E-3</v>
      </c>
      <c r="R3591">
        <v>-0.52009939999999999</v>
      </c>
      <c r="S3591">
        <v>2.0302120000000001</v>
      </c>
      <c r="T3591">
        <v>3.9797190000000003E-2</v>
      </c>
      <c r="U3591">
        <v>-2.4609070000000002</v>
      </c>
      <c r="V3591">
        <v>0.13843759999999999</v>
      </c>
      <c r="W3591">
        <v>1.269909E-2</v>
      </c>
      <c r="X3591">
        <v>0.99028970000000005</v>
      </c>
      <c r="Y3591">
        <v>0.45533390000000001</v>
      </c>
      <c r="Z3591">
        <v>-2.1944909999999998E-3</v>
      </c>
      <c r="AA3591">
        <v>0.89031800000000005</v>
      </c>
      <c r="AB3591">
        <v>17</v>
      </c>
      <c r="AC3591">
        <v>28.865099999999899</v>
      </c>
      <c r="AD3591">
        <v>0.56950699999999999</v>
      </c>
      <c r="AE3591">
        <v>-35.124899999999997</v>
      </c>
      <c r="AF3591">
        <v>20.775345865768799</v>
      </c>
      <c r="AG3591">
        <v>0.56950699999999999</v>
      </c>
      <c r="AH3591">
        <v>40.431288359157499</v>
      </c>
      <c r="AI3591">
        <v>89.282202632256102</v>
      </c>
      <c r="AJ3591">
        <v>62.803939313018603</v>
      </c>
      <c r="AK3591">
        <v>45.460184914347998</v>
      </c>
      <c r="AL3591">
        <v>89.272376154553996</v>
      </c>
      <c r="AM3591">
        <v>82.041906859394302</v>
      </c>
      <c r="AN3591">
        <v>0.99999996295333804</v>
      </c>
    </row>
    <row r="3592" spans="1:40" x14ac:dyDescent="0.25">
      <c r="A3592" t="str">
        <f>"20190312161038022"</f>
        <v>20190312161038022</v>
      </c>
      <c r="B3592" t="str">
        <f>"1552378238010368"</f>
        <v>1552378238010368</v>
      </c>
      <c r="C3592" t="s">
        <v>40</v>
      </c>
      <c r="D3592">
        <v>5.7053849999999997</v>
      </c>
      <c r="E3592">
        <v>0.62798489999999996</v>
      </c>
      <c r="F3592" t="s">
        <v>55</v>
      </c>
      <c r="G3592">
        <v>-168.42160000000001</v>
      </c>
      <c r="H3592">
        <v>2.9430480000000001</v>
      </c>
      <c r="I3592">
        <v>175.90979999999999</v>
      </c>
      <c r="J3592">
        <v>-197.1525</v>
      </c>
      <c r="K3592">
        <v>1.1065480000000001</v>
      </c>
      <c r="L3592">
        <v>210.6395</v>
      </c>
      <c r="M3592">
        <v>0.91421629999999998</v>
      </c>
      <c r="N3592">
        <v>0</v>
      </c>
      <c r="O3592">
        <v>-0.4046691</v>
      </c>
      <c r="P3592">
        <v>0.84953799999999902</v>
      </c>
      <c r="Q3592">
        <v>-6.4270359999999997E-3</v>
      </c>
      <c r="R3592">
        <v>-0.52748879999999998</v>
      </c>
      <c r="S3592">
        <v>2.0261230000000001</v>
      </c>
      <c r="T3592">
        <v>0.12891459999999999</v>
      </c>
      <c r="U3592">
        <v>-2.4426570000000001</v>
      </c>
      <c r="V3592">
        <v>0.1386474</v>
      </c>
      <c r="W3592">
        <v>1.3029509999999999E-2</v>
      </c>
      <c r="X3592">
        <v>0.99025609999999997</v>
      </c>
      <c r="Y3592">
        <v>0.44535619999999998</v>
      </c>
      <c r="Z3592">
        <v>-7.7102009999999999E-3</v>
      </c>
      <c r="AA3592">
        <v>0.89532029999999996</v>
      </c>
      <c r="AB3592">
        <v>17</v>
      </c>
      <c r="AC3592">
        <v>28.730899999999899</v>
      </c>
      <c r="AD3592">
        <v>1.8365</v>
      </c>
      <c r="AE3592">
        <v>-34.729700000000001</v>
      </c>
      <c r="AF3592">
        <v>20.095134289691199</v>
      </c>
      <c r="AG3592">
        <v>1.8365</v>
      </c>
      <c r="AH3592">
        <v>40.262557676081002</v>
      </c>
      <c r="AI3592">
        <v>87.662927890377205</v>
      </c>
      <c r="AJ3592">
        <v>63.476112102160201</v>
      </c>
      <c r="AK3592">
        <v>45.036215482547703</v>
      </c>
      <c r="AL3592">
        <v>89.253442948205205</v>
      </c>
      <c r="AM3592">
        <v>82.029734402286607</v>
      </c>
      <c r="AN3592">
        <v>1.0000000066224</v>
      </c>
    </row>
    <row r="3593" spans="1:40" x14ac:dyDescent="0.25">
      <c r="A3593" t="str">
        <f>"20190312161038046"</f>
        <v>20190312161038046</v>
      </c>
      <c r="B3593" t="str">
        <f>"1552378238039648"</f>
        <v>1552378238039648</v>
      </c>
      <c r="C3593" t="s">
        <v>40</v>
      </c>
      <c r="D3593">
        <v>5.0097849999999999</v>
      </c>
      <c r="E3593">
        <v>0.62847050000000004</v>
      </c>
      <c r="F3593" t="s">
        <v>55</v>
      </c>
      <c r="G3593">
        <v>-168.42179999999999</v>
      </c>
      <c r="H3593">
        <v>3.276926</v>
      </c>
      <c r="I3593">
        <v>175.56209999999999</v>
      </c>
      <c r="J3593">
        <v>-196.98660000000001</v>
      </c>
      <c r="K3593">
        <v>1.10656</v>
      </c>
      <c r="L3593">
        <v>210.55179999999999</v>
      </c>
      <c r="M3593">
        <v>0.90983829999999999</v>
      </c>
      <c r="N3593">
        <v>0</v>
      </c>
      <c r="O3593">
        <v>-0.41441830000000002</v>
      </c>
      <c r="P3593">
        <v>0.84415759999999995</v>
      </c>
      <c r="Q3593">
        <v>-6.1602260000000004E-3</v>
      </c>
      <c r="R3593">
        <v>-0.53605990000000003</v>
      </c>
      <c r="S3593">
        <v>2.009293</v>
      </c>
      <c r="T3593">
        <v>0.15178889999999901</v>
      </c>
      <c r="U3593">
        <v>-2.4531559999999999</v>
      </c>
      <c r="V3593">
        <v>0.1380865</v>
      </c>
      <c r="W3593">
        <v>1.33113E-2</v>
      </c>
      <c r="X3593">
        <v>0.99033070000000001</v>
      </c>
      <c r="Y3593">
        <v>0.4413263</v>
      </c>
      <c r="Z3593">
        <v>-9.7029620000000007E-3</v>
      </c>
      <c r="AA3593">
        <v>0.89729429999999999</v>
      </c>
      <c r="AB3593">
        <v>17</v>
      </c>
      <c r="AC3593">
        <v>28.564800000000002</v>
      </c>
      <c r="AD3593">
        <v>2.170366</v>
      </c>
      <c r="AE3593">
        <v>-34.989699999999999</v>
      </c>
      <c r="AF3593">
        <v>19.955637910404501</v>
      </c>
      <c r="AG3593">
        <v>2.170366</v>
      </c>
      <c r="AH3593">
        <v>40.405580929338299</v>
      </c>
      <c r="AI3593">
        <v>87.242709791935795</v>
      </c>
      <c r="AJ3593">
        <v>63.716007360141198</v>
      </c>
      <c r="AK3593">
        <v>45.117058228816703</v>
      </c>
      <c r="AL3593">
        <v>89.237296152656498</v>
      </c>
      <c r="AM3593">
        <v>82.06215670572</v>
      </c>
      <c r="AN3593">
        <v>0.99999998377621402</v>
      </c>
    </row>
    <row r="3594" spans="1:40" x14ac:dyDescent="0.25">
      <c r="A3594" t="str">
        <f>"20190312161038068"</f>
        <v>20190312161038068</v>
      </c>
      <c r="B3594" t="str">
        <f>"1552378238060143"</f>
        <v>1552378238060143</v>
      </c>
      <c r="C3594" t="s">
        <v>40</v>
      </c>
      <c r="D3594">
        <v>5.1195120000000003</v>
      </c>
      <c r="E3594">
        <v>0.6292875</v>
      </c>
      <c r="F3594" t="s">
        <v>55</v>
      </c>
      <c r="G3594">
        <v>-168.42240000000001</v>
      </c>
      <c r="H3594">
        <v>4.3184250000000004</v>
      </c>
      <c r="I3594">
        <v>174.8476</v>
      </c>
      <c r="J3594">
        <v>-196.8304</v>
      </c>
      <c r="K3594">
        <v>1.106576</v>
      </c>
      <c r="L3594">
        <v>210.4666</v>
      </c>
      <c r="M3594">
        <v>0.90551250000000005</v>
      </c>
      <c r="N3594">
        <v>0</v>
      </c>
      <c r="O3594">
        <v>-0.42378670000000002</v>
      </c>
      <c r="P3594">
        <v>0.83880509999999997</v>
      </c>
      <c r="Q3594">
        <v>-6.4834710000000002E-3</v>
      </c>
      <c r="R3594">
        <v>-0.54439340000000003</v>
      </c>
      <c r="S3594">
        <v>1.982132</v>
      </c>
      <c r="T3594">
        <v>0.2228801</v>
      </c>
      <c r="U3594">
        <v>-2.4775849999999999</v>
      </c>
      <c r="V3594">
        <v>0.1376695</v>
      </c>
      <c r="W3594">
        <v>1.2999470000000001E-2</v>
      </c>
      <c r="X3594">
        <v>0.99039290000000002</v>
      </c>
      <c r="Y3594">
        <v>0.44234240000000002</v>
      </c>
      <c r="Z3594">
        <v>-1.491805E-2</v>
      </c>
      <c r="AA3594">
        <v>0.89672220000000002</v>
      </c>
      <c r="AB3594">
        <v>17</v>
      </c>
      <c r="AC3594">
        <v>28.407999999999902</v>
      </c>
      <c r="AD3594">
        <v>3.211849</v>
      </c>
      <c r="AE3594">
        <v>-35.619</v>
      </c>
      <c r="AF3594">
        <v>20.1190985230023</v>
      </c>
      <c r="AG3594">
        <v>3.211849</v>
      </c>
      <c r="AH3594">
        <v>40.625981145856898</v>
      </c>
      <c r="AI3594">
        <v>85.947523192980498</v>
      </c>
      <c r="AJ3594">
        <v>63.654126601349397</v>
      </c>
      <c r="AK3594">
        <v>45.448481200592298</v>
      </c>
      <c r="AL3594">
        <v>89.255164244508904</v>
      </c>
      <c r="AM3594">
        <v>82.086314318722799</v>
      </c>
      <c r="AN3594">
        <v>0.99999998691046998</v>
      </c>
    </row>
    <row r="3595" spans="1:40" x14ac:dyDescent="0.25">
      <c r="A3595" t="str">
        <f>"20190312161038093"</f>
        <v>20190312161038093</v>
      </c>
      <c r="B3595" t="str">
        <f>"1552378238090400"</f>
        <v>1552378238090400</v>
      </c>
      <c r="C3595" t="s">
        <v>40</v>
      </c>
      <c r="D3595">
        <v>5.0077299999999996</v>
      </c>
      <c r="E3595">
        <v>0.62958239999999999</v>
      </c>
      <c r="F3595" t="s">
        <v>55</v>
      </c>
      <c r="G3595">
        <v>-168.9264</v>
      </c>
      <c r="H3595">
        <v>4.8557269999999999</v>
      </c>
      <c r="I3595">
        <v>174.7116</v>
      </c>
      <c r="J3595">
        <v>-196.66990000000001</v>
      </c>
      <c r="K3595">
        <v>1.1066009999999999</v>
      </c>
      <c r="L3595">
        <v>210.3768</v>
      </c>
      <c r="M3595">
        <v>0.90087159999999999</v>
      </c>
      <c r="N3595">
        <v>0</v>
      </c>
      <c r="O3595">
        <v>-0.43356460000000002</v>
      </c>
      <c r="P3595">
        <v>0.8334106</v>
      </c>
      <c r="Q3595">
        <v>-5.9013390000000002E-3</v>
      </c>
      <c r="R3595">
        <v>-0.55262290000000003</v>
      </c>
      <c r="S3595">
        <v>1.9537659999999999</v>
      </c>
      <c r="T3595">
        <v>0.26250839999999998</v>
      </c>
      <c r="U3595">
        <v>-2.503479</v>
      </c>
      <c r="V3595">
        <v>0.13669979999999901</v>
      </c>
      <c r="W3595">
        <v>1.3605000000000001E-2</v>
      </c>
      <c r="X3595">
        <v>0.99051909999999999</v>
      </c>
      <c r="Y3595">
        <v>0.44344260000000002</v>
      </c>
      <c r="Z3595">
        <v>-1.8393679999999999E-2</v>
      </c>
      <c r="AA3595">
        <v>0.89611399999999997</v>
      </c>
      <c r="AB3595">
        <v>17</v>
      </c>
      <c r="AC3595">
        <v>27.743500000000001</v>
      </c>
      <c r="AD3595">
        <v>3.749126</v>
      </c>
      <c r="AE3595">
        <v>-35.665199999999999</v>
      </c>
      <c r="AF3595">
        <v>19.968242240015702</v>
      </c>
      <c r="AG3595">
        <v>3.749126</v>
      </c>
      <c r="AH3595">
        <v>40.1889705276499</v>
      </c>
      <c r="AI3595">
        <v>85.224398374638696</v>
      </c>
      <c r="AJ3595">
        <v>63.579113293463699</v>
      </c>
      <c r="AK3595">
        <v>45.032654773976297</v>
      </c>
      <c r="AL3595">
        <v>89.2204668777145</v>
      </c>
      <c r="AM3595">
        <v>82.142345647965001</v>
      </c>
      <c r="AN3595">
        <v>1.00000000940492</v>
      </c>
    </row>
    <row r="3596" spans="1:40" x14ac:dyDescent="0.25">
      <c r="A3596" t="str">
        <f>"20190312161038127"</f>
        <v>20190312161038127</v>
      </c>
      <c r="B3596" t="str">
        <f>"1552378238120188"</f>
        <v>1552378238120188</v>
      </c>
      <c r="C3596" t="s">
        <v>40</v>
      </c>
      <c r="D3596">
        <v>4.5970959999999996</v>
      </c>
      <c r="E3596">
        <v>0.67245999999999995</v>
      </c>
      <c r="F3596" t="s">
        <v>86</v>
      </c>
      <c r="G3596">
        <v>-170.9965</v>
      </c>
      <c r="H3596">
        <v>4.92</v>
      </c>
      <c r="I3596">
        <v>176.74870000000001</v>
      </c>
      <c r="J3596">
        <v>-196.4442</v>
      </c>
      <c r="K3596">
        <v>1.1066640000000001</v>
      </c>
      <c r="L3596">
        <v>210.24619999999999</v>
      </c>
      <c r="M3596">
        <v>0.89398849999999996</v>
      </c>
      <c r="N3596">
        <v>0</v>
      </c>
      <c r="O3596">
        <v>-0.44758520000000002</v>
      </c>
      <c r="P3596">
        <v>0.82501460000000004</v>
      </c>
      <c r="Q3596">
        <v>-4.885955E-3</v>
      </c>
      <c r="R3596">
        <v>-0.56509049999999905</v>
      </c>
      <c r="S3596">
        <v>1.9275359999999999</v>
      </c>
      <c r="T3596">
        <v>0.286307599999999</v>
      </c>
      <c r="U3596">
        <v>-2.5247649999999999</v>
      </c>
      <c r="V3596">
        <v>0.1361243</v>
      </c>
      <c r="W3596">
        <v>1.464583E-2</v>
      </c>
      <c r="X3596">
        <v>0.99058349999999995</v>
      </c>
      <c r="Y3596">
        <v>0.43900169999999999</v>
      </c>
      <c r="Z3596">
        <v>-2.1663390000000001E-2</v>
      </c>
      <c r="AA3596">
        <v>0.8982251</v>
      </c>
      <c r="AB3596">
        <v>17</v>
      </c>
      <c r="AC3596">
        <v>25.447700000000001</v>
      </c>
      <c r="AD3596">
        <v>3.8133360000000001</v>
      </c>
      <c r="AE3596">
        <v>-33.497499999999903</v>
      </c>
      <c r="AF3596">
        <v>18.409290606398098</v>
      </c>
      <c r="AG3596">
        <v>3.8133360000000001</v>
      </c>
      <c r="AH3596">
        <v>37.4437909141622</v>
      </c>
      <c r="AI3596">
        <v>84.778069952356105</v>
      </c>
      <c r="AJ3596">
        <v>63.818898896026397</v>
      </c>
      <c r="AK3596">
        <v>41.8984604741417</v>
      </c>
      <c r="AL3596">
        <v>89.160825749446403</v>
      </c>
      <c r="AM3596">
        <v>82.175517779377998</v>
      </c>
      <c r="AN3596">
        <v>0.99999999792956396</v>
      </c>
    </row>
    <row r="3597" spans="1:40" x14ac:dyDescent="0.25">
      <c r="A3597" t="str">
        <f>"20190312161038151"</f>
        <v>20190312161038151</v>
      </c>
      <c r="B3597" t="str">
        <f>"1552378238139708"</f>
        <v>1552378238139708</v>
      </c>
      <c r="C3597" t="s">
        <v>40</v>
      </c>
      <c r="D3597">
        <v>4.9658709999999999</v>
      </c>
      <c r="E3597">
        <v>0.67223389999999905</v>
      </c>
      <c r="F3597" t="s">
        <v>42</v>
      </c>
      <c r="G3597">
        <v>-196.09639999999999</v>
      </c>
      <c r="H3597">
        <v>1.2438709999999999</v>
      </c>
      <c r="I3597">
        <v>209.66300000000001</v>
      </c>
      <c r="J3597">
        <v>-196.30090000000001</v>
      </c>
      <c r="K3597">
        <v>1.1067290000000001</v>
      </c>
      <c r="L3597">
        <v>210.16050000000001</v>
      </c>
      <c r="M3597">
        <v>0.88938709999999899</v>
      </c>
      <c r="N3597">
        <v>0</v>
      </c>
      <c r="O3597">
        <v>-0.45666089999999998</v>
      </c>
      <c r="P3597">
        <v>0.81970609999999999</v>
      </c>
      <c r="Q3597">
        <v>-3.144867E-3</v>
      </c>
      <c r="R3597">
        <v>-0.57277609999999901</v>
      </c>
      <c r="S3597">
        <v>1.6940459999999999</v>
      </c>
      <c r="T3597">
        <v>0.66851470000000002</v>
      </c>
      <c r="U3597">
        <v>-2.841415</v>
      </c>
      <c r="V3597">
        <v>0.13531370000000001</v>
      </c>
      <c r="W3597">
        <v>1.6408010000000001E-2</v>
      </c>
      <c r="X3597">
        <v>0.99066690000000002</v>
      </c>
      <c r="Y3597">
        <v>0.52838999999999903</v>
      </c>
      <c r="Z3597">
        <v>-4.046553E-2</v>
      </c>
      <c r="AA3597">
        <v>0.84803689999999998</v>
      </c>
      <c r="AB3597">
        <v>16</v>
      </c>
      <c r="AC3597">
        <v>0.204500000000024</v>
      </c>
      <c r="AD3597">
        <v>0.13714199999999899</v>
      </c>
      <c r="AE3597">
        <v>-0.49750000000002997</v>
      </c>
      <c r="AF3597">
        <v>0.32784958841564299</v>
      </c>
      <c r="AG3597">
        <v>0.13714199999999899</v>
      </c>
      <c r="AH3597">
        <v>0.38418643626603899</v>
      </c>
      <c r="AI3597">
        <v>74.808397763643697</v>
      </c>
      <c r="AJ3597">
        <v>49.523862707387202</v>
      </c>
      <c r="AK3597">
        <v>0.52334739762332405</v>
      </c>
      <c r="AL3597">
        <v>89.059848054179895</v>
      </c>
      <c r="AM3597">
        <v>82.222186158590503</v>
      </c>
      <c r="AN3597">
        <v>0.99999996347772901</v>
      </c>
    </row>
    <row r="3598" spans="1:40" x14ac:dyDescent="0.25">
      <c r="A3598" t="str">
        <f>"20190312161038177"</f>
        <v>20190312161038177</v>
      </c>
      <c r="B3598" t="str">
        <f>"1552378238169963"</f>
        <v>1552378238169963</v>
      </c>
      <c r="C3598" t="s">
        <v>40</v>
      </c>
      <c r="D3598">
        <v>5.4351649999999996</v>
      </c>
      <c r="E3598">
        <v>0.66648430000000003</v>
      </c>
      <c r="F3598" t="s">
        <v>42</v>
      </c>
      <c r="G3598">
        <v>-195.97059999999999</v>
      </c>
      <c r="H3598">
        <v>1.2420580000000001</v>
      </c>
      <c r="I3598">
        <v>209.59479999999999</v>
      </c>
      <c r="J3598">
        <v>-196.13140000000001</v>
      </c>
      <c r="K3598">
        <v>1.1067929999999999</v>
      </c>
      <c r="L3598">
        <v>210.05629999999999</v>
      </c>
      <c r="M3598">
        <v>0.88371710000000003</v>
      </c>
      <c r="N3598">
        <v>0</v>
      </c>
      <c r="O3598">
        <v>-0.46753980000000001</v>
      </c>
      <c r="P3598">
        <v>0.81280240000000004</v>
      </c>
      <c r="Q3598">
        <v>-2.5924799999999999E-3</v>
      </c>
      <c r="R3598">
        <v>-0.58253459999999901</v>
      </c>
      <c r="S3598">
        <v>1.6674960000000001</v>
      </c>
      <c r="T3598">
        <v>0.68310070000000001</v>
      </c>
      <c r="U3598">
        <v>-2.8550260000000001</v>
      </c>
      <c r="V3598">
        <v>0.13500309999999999</v>
      </c>
      <c r="W3598">
        <v>1.6962970000000001E-2</v>
      </c>
      <c r="X3598">
        <v>0.99069989999999997</v>
      </c>
      <c r="Y3598">
        <v>0.52574560000000004</v>
      </c>
      <c r="Z3598">
        <v>-4.4197529999999999E-2</v>
      </c>
      <c r="AA3598">
        <v>0.84949279999999905</v>
      </c>
      <c r="AB3598">
        <v>16</v>
      </c>
      <c r="AC3598">
        <v>0.16080000000002301</v>
      </c>
      <c r="AD3598">
        <v>0.135264999999999</v>
      </c>
      <c r="AE3598">
        <v>-0.46150000000000002</v>
      </c>
      <c r="AF3598">
        <v>0.30905442861700599</v>
      </c>
      <c r="AG3598">
        <v>0.135264999999999</v>
      </c>
      <c r="AH3598">
        <v>0.33248171439113999</v>
      </c>
      <c r="AI3598">
        <v>73.406894371653394</v>
      </c>
      <c r="AJ3598">
        <v>47.091368404489899</v>
      </c>
      <c r="AK3598">
        <v>0.47366164134037197</v>
      </c>
      <c r="AL3598">
        <v>89.028046732585807</v>
      </c>
      <c r="AM3598">
        <v>82.240076965418694</v>
      </c>
      <c r="AN3598">
        <v>0.999999935610418</v>
      </c>
    </row>
    <row r="3599" spans="1:40" x14ac:dyDescent="0.25">
      <c r="A3599" t="str">
        <f>"20190312161038201"</f>
        <v>20190312161038201</v>
      </c>
      <c r="B3599" t="str">
        <f>"1552378238190460"</f>
        <v>1552378238190460</v>
      </c>
      <c r="C3599" t="s">
        <v>40</v>
      </c>
      <c r="D3599">
        <v>5.1195839999999997</v>
      </c>
      <c r="E3599">
        <v>0.66545500000000002</v>
      </c>
      <c r="F3599" t="s">
        <v>42</v>
      </c>
      <c r="G3599">
        <v>-195.83459999999999</v>
      </c>
      <c r="H3599">
        <v>1.227009</v>
      </c>
      <c r="I3599">
        <v>209.54920000000001</v>
      </c>
      <c r="J3599">
        <v>-195.9932</v>
      </c>
      <c r="K3599">
        <v>1.106843</v>
      </c>
      <c r="L3599">
        <v>209.9691</v>
      </c>
      <c r="M3599">
        <v>0.87890859999999904</v>
      </c>
      <c r="N3599">
        <v>0</v>
      </c>
      <c r="O3599">
        <v>-0.47651840000000001</v>
      </c>
      <c r="P3599">
        <v>0.80644659999999901</v>
      </c>
      <c r="Q3599">
        <v>-3.0480189999999999E-3</v>
      </c>
      <c r="R3599">
        <v>-0.59129919999999903</v>
      </c>
      <c r="S3599">
        <v>1.6598660000000001</v>
      </c>
      <c r="T3599">
        <v>0.67250279999999996</v>
      </c>
      <c r="U3599">
        <v>-2.836884</v>
      </c>
      <c r="V3599">
        <v>0.13562920000000001</v>
      </c>
      <c r="W3599">
        <v>1.6488590000000001E-2</v>
      </c>
      <c r="X3599">
        <v>0.99062249999999996</v>
      </c>
      <c r="Y3599">
        <v>0.51671339999999999</v>
      </c>
      <c r="Z3599">
        <v>-4.6878740000000002E-2</v>
      </c>
      <c r="AA3599">
        <v>0.85487409999999997</v>
      </c>
      <c r="AB3599">
        <v>16</v>
      </c>
      <c r="AC3599">
        <v>0.15860000000000599</v>
      </c>
      <c r="AD3599">
        <v>0.120166</v>
      </c>
      <c r="AE3599">
        <v>-0.41989999999998401</v>
      </c>
      <c r="AF3599">
        <v>0.27391197034667097</v>
      </c>
      <c r="AG3599">
        <v>0.120166</v>
      </c>
      <c r="AH3599">
        <v>0.31685179323180501</v>
      </c>
      <c r="AI3599">
        <v>73.991534703690903</v>
      </c>
      <c r="AJ3599">
        <v>49.157248294537901</v>
      </c>
      <c r="AK3599">
        <v>0.43573236502399798</v>
      </c>
      <c r="AL3599">
        <v>89.055230612926294</v>
      </c>
      <c r="AM3599">
        <v>82.2039288843566</v>
      </c>
      <c r="AN3599">
        <v>1.0000000454995299</v>
      </c>
    </row>
    <row r="3600" spans="1:40" x14ac:dyDescent="0.25">
      <c r="A3600" t="str">
        <f>"20190312161038223"</f>
        <v>20190312161038223</v>
      </c>
      <c r="B3600" t="str">
        <f>"1552378238219739"</f>
        <v>1552378238219739</v>
      </c>
      <c r="C3600" t="s">
        <v>40</v>
      </c>
      <c r="D3600">
        <v>5.0803949999999896</v>
      </c>
      <c r="E3600">
        <v>0.67346110000000003</v>
      </c>
      <c r="F3600" t="s">
        <v>42</v>
      </c>
      <c r="G3600">
        <v>-195.7123</v>
      </c>
      <c r="H3600">
        <v>1.221978</v>
      </c>
      <c r="I3600">
        <v>209.47929999999999</v>
      </c>
      <c r="J3600">
        <v>-195.86080000000001</v>
      </c>
      <c r="K3600">
        <v>1.106897</v>
      </c>
      <c r="L3600">
        <v>209.8837</v>
      </c>
      <c r="M3600">
        <v>0.87413929999999995</v>
      </c>
      <c r="N3600">
        <v>0</v>
      </c>
      <c r="O3600">
        <v>-0.48521300000000001</v>
      </c>
      <c r="P3600">
        <v>0.79994290000000001</v>
      </c>
      <c r="Q3600">
        <v>-3.0059190000000001E-3</v>
      </c>
      <c r="R3600">
        <v>-0.60006839999999995</v>
      </c>
      <c r="S3600">
        <v>1.634201</v>
      </c>
      <c r="T3600">
        <v>0.66941859999999997</v>
      </c>
      <c r="U3600">
        <v>-2.8482509999999999</v>
      </c>
      <c r="V3600">
        <v>0.13661719999999999</v>
      </c>
      <c r="W3600">
        <v>1.6506710000000001E-2</v>
      </c>
      <c r="X3600">
        <v>0.99048639999999999</v>
      </c>
      <c r="Y3600">
        <v>0.5156406</v>
      </c>
      <c r="Z3600">
        <v>-4.8842459999999997E-2</v>
      </c>
      <c r="AA3600">
        <v>0.85541180000000006</v>
      </c>
      <c r="AB3600">
        <v>16</v>
      </c>
      <c r="AC3600">
        <v>0.14850000000001201</v>
      </c>
      <c r="AD3600">
        <v>0.115081</v>
      </c>
      <c r="AE3600">
        <v>-0.40440000000000897</v>
      </c>
      <c r="AF3600">
        <v>0.26276064115547498</v>
      </c>
      <c r="AG3600">
        <v>0.115081</v>
      </c>
      <c r="AH3600">
        <v>0.304382569898837</v>
      </c>
      <c r="AI3600">
        <v>74.029232197682703</v>
      </c>
      <c r="AJ3600">
        <v>49.197340672926501</v>
      </c>
      <c r="AK3600">
        <v>0.41825296168665299</v>
      </c>
      <c r="AL3600">
        <v>89.054192247729702</v>
      </c>
      <c r="AM3600">
        <v>82.146778306831493</v>
      </c>
      <c r="AN3600">
        <v>1.00000001969791</v>
      </c>
    </row>
    <row r="3601" spans="1:40" x14ac:dyDescent="0.25">
      <c r="A3601" t="str">
        <f>"20190312161038248"</f>
        <v>20190312161038248</v>
      </c>
      <c r="B3601" t="str">
        <f>"1552378238240235"</f>
        <v>1552378238240235</v>
      </c>
      <c r="C3601" t="s">
        <v>40</v>
      </c>
      <c r="D3601">
        <v>5.364738</v>
      </c>
      <c r="E3601">
        <v>0.67306919999999903</v>
      </c>
      <c r="F3601" t="s">
        <v>56</v>
      </c>
      <c r="G3601">
        <v>-146.20410000000001</v>
      </c>
      <c r="H3601">
        <v>1.7261059999999999</v>
      </c>
      <c r="I3601">
        <v>117.9006</v>
      </c>
      <c r="J3601">
        <v>-195.71700000000001</v>
      </c>
      <c r="K3601">
        <v>1.106948</v>
      </c>
      <c r="L3601">
        <v>209.78829999999999</v>
      </c>
      <c r="M3601">
        <v>0.86875179999999996</v>
      </c>
      <c r="N3601">
        <v>0</v>
      </c>
      <c r="O3601">
        <v>-0.4947956</v>
      </c>
      <c r="P3601">
        <v>0.79249219999999998</v>
      </c>
      <c r="Q3601">
        <v>-2.8346320000000001E-3</v>
      </c>
      <c r="R3601">
        <v>-0.60987569999999902</v>
      </c>
      <c r="S3601">
        <v>1.5694729999999999</v>
      </c>
      <c r="T3601">
        <v>1.95713E-2</v>
      </c>
      <c r="U3601">
        <v>-2.907257</v>
      </c>
      <c r="V3601">
        <v>0.1379252</v>
      </c>
      <c r="W3601">
        <v>1.6651639999999999E-2</v>
      </c>
      <c r="X3601">
        <v>0.99030269999999998</v>
      </c>
      <c r="Y3601">
        <v>0.52953589999999995</v>
      </c>
      <c r="Z3601">
        <v>-1.456957E-3</v>
      </c>
      <c r="AA3601">
        <v>0.84828630000000005</v>
      </c>
      <c r="AB3601">
        <v>16</v>
      </c>
      <c r="AC3601">
        <v>49.512900000000002</v>
      </c>
      <c r="AD3601">
        <v>0.61915799999999999</v>
      </c>
      <c r="AE3601">
        <v>-91.887699999999995</v>
      </c>
      <c r="AF3601">
        <v>55.339279916597299</v>
      </c>
      <c r="AG3601">
        <v>0.61915799999999999</v>
      </c>
      <c r="AH3601">
        <v>88.496746286064194</v>
      </c>
      <c r="AI3601">
        <v>89.660121925755604</v>
      </c>
      <c r="AJ3601">
        <v>57.981204049827198</v>
      </c>
      <c r="AK3601">
        <v>104.37668974218499</v>
      </c>
      <c r="AL3601">
        <v>89.045887246329499</v>
      </c>
      <c r="AM3601">
        <v>82.071089653190398</v>
      </c>
      <c r="AN3601">
        <v>1.0000000377685001</v>
      </c>
    </row>
    <row r="3602" spans="1:40" x14ac:dyDescent="0.25">
      <c r="A3602" t="str">
        <f>"20190312161038270"</f>
        <v>20190312161038270</v>
      </c>
      <c r="B3602" t="str">
        <f>"1552378238259755"</f>
        <v>1552378238259755</v>
      </c>
      <c r="C3602" t="s">
        <v>40</v>
      </c>
      <c r="D3602">
        <v>5.3177209999999997</v>
      </c>
      <c r="E3602">
        <v>0.67037690000000005</v>
      </c>
      <c r="F3602" t="s">
        <v>56</v>
      </c>
      <c r="G3602">
        <v>-147.46530000000001</v>
      </c>
      <c r="H3602">
        <v>1.817472</v>
      </c>
      <c r="I3602">
        <v>117.9007</v>
      </c>
      <c r="J3602">
        <v>-195.58510000000001</v>
      </c>
      <c r="K3602">
        <v>1.107027</v>
      </c>
      <c r="L3602">
        <v>209.6986</v>
      </c>
      <c r="M3602">
        <v>0.86363459999999903</v>
      </c>
      <c r="N3602">
        <v>0</v>
      </c>
      <c r="O3602">
        <v>-0.50367410000000001</v>
      </c>
      <c r="P3602">
        <v>0.78554209999999902</v>
      </c>
      <c r="Q3602">
        <v>-3.1901270000000001E-3</v>
      </c>
      <c r="R3602">
        <v>-0.61880029999999997</v>
      </c>
      <c r="S3602">
        <v>1.535431</v>
      </c>
      <c r="T3602">
        <v>2.260995E-2</v>
      </c>
      <c r="U3602">
        <v>-2.9239809999999999</v>
      </c>
      <c r="V3602">
        <v>0.13896989999999901</v>
      </c>
      <c r="W3602">
        <v>1.6309799999999999E-2</v>
      </c>
      <c r="X3602">
        <v>0.99016230000000005</v>
      </c>
      <c r="Y3602">
        <v>0.53057529999999997</v>
      </c>
      <c r="Z3602">
        <v>-1.750702E-3</v>
      </c>
      <c r="AA3602">
        <v>0.84763599999999995</v>
      </c>
      <c r="AB3602">
        <v>15</v>
      </c>
      <c r="AC3602">
        <v>48.119799999999998</v>
      </c>
      <c r="AD3602">
        <v>0.71044499999999999</v>
      </c>
      <c r="AE3602">
        <v>-91.797899999999998</v>
      </c>
      <c r="AF3602">
        <v>55.052883980414997</v>
      </c>
      <c r="AG3602">
        <v>0.71044499999999999</v>
      </c>
      <c r="AH3602">
        <v>87.809681521078502</v>
      </c>
      <c r="AI3602">
        <v>89.607249585612394</v>
      </c>
      <c r="AJ3602">
        <v>57.914061371888302</v>
      </c>
      <c r="AK3602">
        <v>103.642968577189</v>
      </c>
      <c r="AL3602">
        <v>89.065475870871495</v>
      </c>
      <c r="AM3602">
        <v>82.010687271071504</v>
      </c>
      <c r="AN3602">
        <v>1.0000000115116701</v>
      </c>
    </row>
    <row r="3603" spans="1:40" x14ac:dyDescent="0.25">
      <c r="A3603" t="str">
        <f>"20190312161038308"</f>
        <v>20190312161038308</v>
      </c>
      <c r="B3603" t="str">
        <f>"1552378238299772"</f>
        <v>1552378238299772</v>
      </c>
      <c r="C3603" t="s">
        <v>40</v>
      </c>
      <c r="D3603">
        <v>5.3034840000000001</v>
      </c>
      <c r="E3603">
        <v>0.64521809999999902</v>
      </c>
      <c r="F3603" t="s">
        <v>56</v>
      </c>
      <c r="G3603">
        <v>-148.01939999999999</v>
      </c>
      <c r="H3603">
        <v>2.0234139999999998</v>
      </c>
      <c r="I3603">
        <v>117.9007</v>
      </c>
      <c r="J3603">
        <v>-195.36779999999999</v>
      </c>
      <c r="K3603">
        <v>1.1072090000000001</v>
      </c>
      <c r="L3603">
        <v>209.54640000000001</v>
      </c>
      <c r="M3603">
        <v>0.85484989999999905</v>
      </c>
      <c r="N3603">
        <v>0</v>
      </c>
      <c r="O3603">
        <v>-0.51843989999999995</v>
      </c>
      <c r="P3603">
        <v>0.77379019999999898</v>
      </c>
      <c r="Q3603">
        <v>-3.8191190000000002E-3</v>
      </c>
      <c r="R3603">
        <v>-0.6334303</v>
      </c>
      <c r="S3603">
        <v>1.515366</v>
      </c>
      <c r="T3603">
        <v>2.9194950000000001E-2</v>
      </c>
      <c r="U3603">
        <v>-2.9245299999999999</v>
      </c>
      <c r="V3603">
        <v>0.14052290000000001</v>
      </c>
      <c r="W3603">
        <v>1.5810129999999999E-2</v>
      </c>
      <c r="X3603">
        <v>0.98995120000000003</v>
      </c>
      <c r="Y3603">
        <v>0.52060919999999999</v>
      </c>
      <c r="Z3603">
        <v>-2.4678389999999999E-3</v>
      </c>
      <c r="AA3603">
        <v>0.85379150000000004</v>
      </c>
      <c r="AB3603">
        <v>15</v>
      </c>
      <c r="AC3603">
        <v>47.348399999999998</v>
      </c>
      <c r="AD3603">
        <v>0.91620499999999905</v>
      </c>
      <c r="AE3603">
        <v>-91.645700000000005</v>
      </c>
      <c r="AF3603">
        <v>53.803927683995397</v>
      </c>
      <c r="AG3603">
        <v>0.91620499999999905</v>
      </c>
      <c r="AH3603">
        <v>88.001500056894599</v>
      </c>
      <c r="AI3603">
        <v>89.4910784057695</v>
      </c>
      <c r="AJ3603">
        <v>58.558474292122597</v>
      </c>
      <c r="AK3603">
        <v>103.150211236285</v>
      </c>
      <c r="AL3603">
        <v>89.094108546182497</v>
      </c>
      <c r="AM3603">
        <v>81.920878223133798</v>
      </c>
      <c r="AN3603">
        <v>1.00000001200823</v>
      </c>
    </row>
    <row r="3604" spans="1:40" x14ac:dyDescent="0.25">
      <c r="A3604" t="str">
        <f>"20190312161038335"</f>
        <v>20190312161038335</v>
      </c>
      <c r="B3604" t="str">
        <f>"1552378238330029"</f>
        <v>1552378238330029</v>
      </c>
      <c r="C3604" t="s">
        <v>40</v>
      </c>
      <c r="D3604">
        <v>5.3770100000000003</v>
      </c>
      <c r="E3604">
        <v>0.64165069999999902</v>
      </c>
      <c r="F3604" t="s">
        <v>42</v>
      </c>
      <c r="G3604">
        <v>-195.05199999999999</v>
      </c>
      <c r="H3604">
        <v>1.2203649999999999</v>
      </c>
      <c r="I3604">
        <v>208.98650000000001</v>
      </c>
      <c r="J3604">
        <v>-195.22319999999999</v>
      </c>
      <c r="K3604">
        <v>1.1071820000000001</v>
      </c>
      <c r="L3604">
        <v>209.44159999999999</v>
      </c>
      <c r="M3604">
        <v>0.84868929999999998</v>
      </c>
      <c r="N3604">
        <v>0</v>
      </c>
      <c r="O3604">
        <v>-0.52847140000000004</v>
      </c>
      <c r="P3604">
        <v>0.76545549999999996</v>
      </c>
      <c r="Q3604">
        <v>-4.7714460000000004E-3</v>
      </c>
      <c r="R3604">
        <v>-0.64347089999999996</v>
      </c>
      <c r="S3604">
        <v>1.583405</v>
      </c>
      <c r="T3604">
        <v>0.56694270000000002</v>
      </c>
      <c r="U3604">
        <v>-2.8052220000000001</v>
      </c>
      <c r="V3604">
        <v>0.14177200000000001</v>
      </c>
      <c r="W3604">
        <v>1.467921E-2</v>
      </c>
      <c r="X3604">
        <v>0.98979050000000002</v>
      </c>
      <c r="Y3604">
        <v>0.47939130000000002</v>
      </c>
      <c r="Z3604">
        <v>-5.4358259999999999E-2</v>
      </c>
      <c r="AA3604">
        <v>0.87591620000000003</v>
      </c>
      <c r="AB3604">
        <v>15</v>
      </c>
      <c r="AC3604">
        <v>0.17119999999996999</v>
      </c>
      <c r="AD3604">
        <v>0.11318300000000001</v>
      </c>
      <c r="AE3604">
        <v>-0.45509999999998701</v>
      </c>
      <c r="AF3604">
        <v>0.28062467850191503</v>
      </c>
      <c r="AG3604">
        <v>0.11318300000000001</v>
      </c>
      <c r="AH3604">
        <v>0.366054538844447</v>
      </c>
      <c r="AI3604">
        <v>76.2128196561588</v>
      </c>
      <c r="AJ3604">
        <v>52.5255096002832</v>
      </c>
      <c r="AK3604">
        <v>0.47492791777481802</v>
      </c>
      <c r="AL3604">
        <v>89.158913017944599</v>
      </c>
      <c r="AM3604">
        <v>81.848718573322003</v>
      </c>
      <c r="AN3604">
        <v>1.0000000065402299</v>
      </c>
    </row>
    <row r="3605" spans="1:40" x14ac:dyDescent="0.25">
      <c r="A3605" t="str">
        <f>"20190312161038357"</f>
        <v>20190312161038357</v>
      </c>
      <c r="B3605" t="str">
        <f>"1552378238350524"</f>
        <v>1552378238350524</v>
      </c>
      <c r="C3605" t="s">
        <v>40</v>
      </c>
      <c r="D3605">
        <v>5.4285220000000001</v>
      </c>
      <c r="E3605">
        <v>0.639621</v>
      </c>
      <c r="F3605" t="s">
        <v>42</v>
      </c>
      <c r="G3605">
        <v>-194.934</v>
      </c>
      <c r="H3605">
        <v>1.2078789999999999</v>
      </c>
      <c r="I3605">
        <v>208.9237</v>
      </c>
      <c r="J3605">
        <v>-195.1002</v>
      </c>
      <c r="K3605">
        <v>1.1071569999999999</v>
      </c>
      <c r="L3605">
        <v>209.3503</v>
      </c>
      <c r="M3605">
        <v>0.84327070000000004</v>
      </c>
      <c r="N3605">
        <v>0</v>
      </c>
      <c r="O3605">
        <v>-0.53708319999999998</v>
      </c>
      <c r="P3605">
        <v>0.75787249999999995</v>
      </c>
      <c r="Q3605">
        <v>-5.0399729999999997E-3</v>
      </c>
      <c r="R3605">
        <v>-0.65238350000000001</v>
      </c>
      <c r="S3605">
        <v>1.5655209999999999</v>
      </c>
      <c r="T3605">
        <v>0.54516279999999995</v>
      </c>
      <c r="U3605">
        <v>-2.8039700000000001</v>
      </c>
      <c r="V3605">
        <v>0.14327570000000001</v>
      </c>
      <c r="W3605">
        <v>1.42048E-2</v>
      </c>
      <c r="X3605">
        <v>0.98958089999999999</v>
      </c>
      <c r="Y3605">
        <v>0.47466750000000002</v>
      </c>
      <c r="Z3605">
        <v>-5.4547390000000001E-2</v>
      </c>
      <c r="AA3605">
        <v>0.87847330000000001</v>
      </c>
      <c r="AB3605">
        <v>15</v>
      </c>
      <c r="AC3605">
        <v>0.16619999999997501</v>
      </c>
      <c r="AD3605">
        <v>0.10072200000000001</v>
      </c>
      <c r="AE3605">
        <v>-0.42660000000000697</v>
      </c>
      <c r="AF3605">
        <v>0.258045886529567</v>
      </c>
      <c r="AG3605">
        <v>0.10072200000000001</v>
      </c>
      <c r="AH3605">
        <v>0.35230082194315898</v>
      </c>
      <c r="AI3605">
        <v>77.012115128242598</v>
      </c>
      <c r="AJ3605">
        <v>53.778754717504803</v>
      </c>
      <c r="AK3605">
        <v>0.44816120981255803</v>
      </c>
      <c r="AL3605">
        <v>89.186097563063299</v>
      </c>
      <c r="AM3605">
        <v>81.761721768082296</v>
      </c>
      <c r="AN3605">
        <v>1.0000000300991601</v>
      </c>
    </row>
    <row r="3606" spans="1:40" x14ac:dyDescent="0.25">
      <c r="A3606" t="str">
        <f>"20190312161038378"</f>
        <v>20190312161038378</v>
      </c>
      <c r="B3606" t="str">
        <f>"1552378238370044"</f>
        <v>1552378238370044</v>
      </c>
      <c r="C3606" t="s">
        <v>40</v>
      </c>
      <c r="D3606">
        <v>5.613327</v>
      </c>
      <c r="E3606">
        <v>0.63750240000000002</v>
      </c>
      <c r="F3606" t="s">
        <v>42</v>
      </c>
      <c r="G3606">
        <v>-194.81809999999999</v>
      </c>
      <c r="H3606">
        <v>1.204879</v>
      </c>
      <c r="I3606">
        <v>208.83629999999999</v>
      </c>
      <c r="J3606">
        <v>-194.98859999999999</v>
      </c>
      <c r="K3606">
        <v>1.1072090000000001</v>
      </c>
      <c r="L3606">
        <v>209.26560000000001</v>
      </c>
      <c r="M3606">
        <v>0.83820640000000002</v>
      </c>
      <c r="N3606">
        <v>0</v>
      </c>
      <c r="O3606">
        <v>-0.54495769999999899</v>
      </c>
      <c r="P3606">
        <v>0.75084989999999996</v>
      </c>
      <c r="Q3606">
        <v>-4.3197970000000002E-3</v>
      </c>
      <c r="R3606">
        <v>-0.66045889999999996</v>
      </c>
      <c r="S3606">
        <v>1.542969</v>
      </c>
      <c r="T3606">
        <v>0.53432369999999996</v>
      </c>
      <c r="U3606">
        <v>-2.810165</v>
      </c>
      <c r="V3606">
        <v>0.14460319999999999</v>
      </c>
      <c r="W3606">
        <v>1.480365E-2</v>
      </c>
      <c r="X3606">
        <v>0.98937900000000001</v>
      </c>
      <c r="Y3606">
        <v>0.47273539999999997</v>
      </c>
      <c r="Z3606">
        <v>-5.5241470000000001E-2</v>
      </c>
      <c r="AA3606">
        <v>0.87947120000000001</v>
      </c>
      <c r="AB3606">
        <v>15</v>
      </c>
      <c r="AC3606">
        <v>0.17050000000000401</v>
      </c>
      <c r="AD3606">
        <v>9.7669999999999896E-2</v>
      </c>
      <c r="AE3606">
        <v>-0.42930000000001201</v>
      </c>
      <c r="AF3606">
        <v>0.25555859853578</v>
      </c>
      <c r="AG3606">
        <v>9.7669999999999896E-2</v>
      </c>
      <c r="AH3606">
        <v>0.36081427781480602</v>
      </c>
      <c r="AI3606">
        <v>77.543536662021793</v>
      </c>
      <c r="AJ3606">
        <v>54.6907091531587</v>
      </c>
      <c r="AK3606">
        <v>0.45280963909858701</v>
      </c>
      <c r="AL3606">
        <v>89.151782367415606</v>
      </c>
      <c r="AM3606">
        <v>81.684780470663696</v>
      </c>
      <c r="AN3606">
        <v>1.00000001957228</v>
      </c>
    </row>
    <row r="3607" spans="1:40" x14ac:dyDescent="0.25">
      <c r="A3607" t="str">
        <f>"20190312161038399"</f>
        <v>20190312161038399</v>
      </c>
      <c r="B3607" t="str">
        <f>"1552378238390539"</f>
        <v>1552378238390539</v>
      </c>
      <c r="C3607" t="s">
        <v>40</v>
      </c>
      <c r="D3607">
        <v>5.3634829999999996</v>
      </c>
      <c r="E3607">
        <v>0.6365826</v>
      </c>
      <c r="F3607" t="s">
        <v>42</v>
      </c>
      <c r="G3607">
        <v>-194.708</v>
      </c>
      <c r="H3607">
        <v>1.2046330000000001</v>
      </c>
      <c r="I3607">
        <v>208.74770000000001</v>
      </c>
      <c r="J3607">
        <v>-194.88</v>
      </c>
      <c r="K3607">
        <v>1.1072949999999999</v>
      </c>
      <c r="L3607">
        <v>209.1816</v>
      </c>
      <c r="M3607">
        <v>0.8331115</v>
      </c>
      <c r="N3607">
        <v>0</v>
      </c>
      <c r="O3607">
        <v>-0.55271879999999995</v>
      </c>
      <c r="P3607">
        <v>0.74418099999999998</v>
      </c>
      <c r="Q3607">
        <v>-3.8333260000000002E-3</v>
      </c>
      <c r="R3607">
        <v>-0.66796690000000003</v>
      </c>
      <c r="S3607">
        <v>1.523666</v>
      </c>
      <c r="T3607">
        <v>0.52917919999999996</v>
      </c>
      <c r="U3607">
        <v>-2.813599</v>
      </c>
      <c r="V3607">
        <v>0.1453526</v>
      </c>
      <c r="W3607">
        <v>1.522226E-2</v>
      </c>
      <c r="X3607">
        <v>0.9892628</v>
      </c>
      <c r="Y3607">
        <v>0.4697498</v>
      </c>
      <c r="Z3607">
        <v>-5.6547029999999998E-2</v>
      </c>
      <c r="AA3607">
        <v>0.88098670000000001</v>
      </c>
      <c r="AB3607">
        <v>15</v>
      </c>
      <c r="AC3607">
        <v>0.17199999999999699</v>
      </c>
      <c r="AD3607">
        <v>9.7337999999999897E-2</v>
      </c>
      <c r="AE3607">
        <v>-0.43389999999999401</v>
      </c>
      <c r="AF3607">
        <v>0.255370030084209</v>
      </c>
      <c r="AG3607">
        <v>9.7337999999999897E-2</v>
      </c>
      <c r="AH3607">
        <v>0.36723044398500299</v>
      </c>
      <c r="AI3607">
        <v>77.722978022162195</v>
      </c>
      <c r="AJ3607">
        <v>55.185461131484097</v>
      </c>
      <c r="AK3607">
        <v>0.45776275241508302</v>
      </c>
      <c r="AL3607">
        <v>89.127795053571106</v>
      </c>
      <c r="AM3607">
        <v>81.641326517819707</v>
      </c>
      <c r="AN3607">
        <v>0.99999999149505303</v>
      </c>
    </row>
    <row r="3608" spans="1:40" x14ac:dyDescent="0.25">
      <c r="A3608" t="str">
        <f>"20190312161038421"</f>
        <v>20190312161038421</v>
      </c>
      <c r="B3608" t="str">
        <f>"1552378238410060"</f>
        <v>1552378238410060</v>
      </c>
      <c r="C3608" t="s">
        <v>40</v>
      </c>
      <c r="D3608">
        <v>5.3844070000000004</v>
      </c>
      <c r="E3608">
        <v>0.63511479999999998</v>
      </c>
      <c r="F3608" t="s">
        <v>42</v>
      </c>
      <c r="G3608">
        <v>-194.6037</v>
      </c>
      <c r="H3608">
        <v>1.2043250000000001</v>
      </c>
      <c r="I3608">
        <v>208.66130000000001</v>
      </c>
      <c r="J3608">
        <v>-194.76740000000001</v>
      </c>
      <c r="K3608">
        <v>1.1073599999999999</v>
      </c>
      <c r="L3608">
        <v>209.09280000000001</v>
      </c>
      <c r="M3608">
        <v>0.82765669999999902</v>
      </c>
      <c r="N3608">
        <v>0</v>
      </c>
      <c r="O3608">
        <v>-0.56085779999999996</v>
      </c>
      <c r="P3608">
        <v>0.73764540000000001</v>
      </c>
      <c r="Q3608">
        <v>-3.6546489999999998E-3</v>
      </c>
      <c r="R3608">
        <v>-0.67517850000000001</v>
      </c>
      <c r="S3608">
        <v>1.500092</v>
      </c>
      <c r="T3608">
        <v>0.52644959999999996</v>
      </c>
      <c r="U3608">
        <v>-2.8229829999999998</v>
      </c>
      <c r="V3608">
        <v>0.145284</v>
      </c>
      <c r="W3608">
        <v>1.5329539999999999E-2</v>
      </c>
      <c r="X3608">
        <v>0.98927120000000002</v>
      </c>
      <c r="Y3608">
        <v>0.46812559999999898</v>
      </c>
      <c r="Z3608">
        <v>-5.7988320000000003E-2</v>
      </c>
      <c r="AA3608">
        <v>0.88175720000000002</v>
      </c>
      <c r="AB3608">
        <v>14</v>
      </c>
      <c r="AC3608">
        <v>0.16370000000000501</v>
      </c>
      <c r="AD3608">
        <v>9.6964999999999898E-2</v>
      </c>
      <c r="AE3608">
        <v>-0.431499999999999</v>
      </c>
      <c r="AF3608">
        <v>0.25415803388148001</v>
      </c>
      <c r="AG3608">
        <v>9.6964999999999898E-2</v>
      </c>
      <c r="AH3608">
        <v>0.36161431838748997</v>
      </c>
      <c r="AI3608">
        <v>77.626502751759901</v>
      </c>
      <c r="AJ3608">
        <v>54.898808535569302</v>
      </c>
      <c r="AK3608">
        <v>0.45250793658713701</v>
      </c>
      <c r="AL3608">
        <v>89.121647627250496</v>
      </c>
      <c r="AM3608">
        <v>81.645285685838402</v>
      </c>
      <c r="AN3608">
        <v>0.99999997130102503</v>
      </c>
    </row>
    <row r="3609" spans="1:40" x14ac:dyDescent="0.25">
      <c r="A3609" t="str">
        <f>"20190312161038444"</f>
        <v>20190312161038444</v>
      </c>
      <c r="B3609" t="str">
        <f>"1552378238440315"</f>
        <v>1552378238440315</v>
      </c>
      <c r="C3609" t="s">
        <v>40</v>
      </c>
      <c r="D3609">
        <v>5.8037749999999999</v>
      </c>
      <c r="E3609">
        <v>0.63382479999999997</v>
      </c>
      <c r="F3609" t="s">
        <v>42</v>
      </c>
      <c r="G3609">
        <v>-194.49359999999999</v>
      </c>
      <c r="H3609">
        <v>1.2024619999999999</v>
      </c>
      <c r="I3609">
        <v>208.56950000000001</v>
      </c>
      <c r="J3609">
        <v>-194.65299999999999</v>
      </c>
      <c r="K3609">
        <v>1.1073919999999999</v>
      </c>
      <c r="L3609">
        <v>209.00059999999999</v>
      </c>
      <c r="M3609">
        <v>0.8219516</v>
      </c>
      <c r="N3609">
        <v>0</v>
      </c>
      <c r="O3609">
        <v>-0.56919010000000003</v>
      </c>
      <c r="P3609">
        <v>0.73045269999999995</v>
      </c>
      <c r="Q3609">
        <v>-4.1397279999999996E-3</v>
      </c>
      <c r="R3609">
        <v>-0.68295090000000003</v>
      </c>
      <c r="S3609">
        <v>1.4808349999999999</v>
      </c>
      <c r="T3609">
        <v>0.51406300000000005</v>
      </c>
      <c r="U3609">
        <v>-2.8282319999999999</v>
      </c>
      <c r="V3609">
        <v>0.14576040000000001</v>
      </c>
      <c r="W3609">
        <v>1.473261E-2</v>
      </c>
      <c r="X3609">
        <v>0.98921020000000004</v>
      </c>
      <c r="Y3609">
        <v>0.46465830000000002</v>
      </c>
      <c r="Z3609">
        <v>-5.8547750000000003E-2</v>
      </c>
      <c r="AA3609">
        <v>0.88355239999999902</v>
      </c>
      <c r="AB3609">
        <v>14</v>
      </c>
      <c r="AC3609">
        <v>0.15940000000000501</v>
      </c>
      <c r="AD3609">
        <v>9.5070000000000196E-2</v>
      </c>
      <c r="AE3609">
        <v>-0.43109999999998599</v>
      </c>
      <c r="AF3609">
        <v>0.25285163126972998</v>
      </c>
      <c r="AG3609">
        <v>9.5070000000000196E-2</v>
      </c>
      <c r="AH3609">
        <v>0.36102947226830001</v>
      </c>
      <c r="AI3609">
        <v>77.828238500670693</v>
      </c>
      <c r="AJ3609">
        <v>54.994029190463799</v>
      </c>
      <c r="AK3609">
        <v>0.45090412748398201</v>
      </c>
      <c r="AL3609">
        <v>89.155853071638901</v>
      </c>
      <c r="AM3609">
        <v>81.617768831153796</v>
      </c>
      <c r="AN3609">
        <v>0.99999998189480599</v>
      </c>
    </row>
    <row r="3610" spans="1:40" x14ac:dyDescent="0.25">
      <c r="A3610" t="str">
        <f>"20190312161038467"</f>
        <v>20190312161038467</v>
      </c>
      <c r="B3610" t="str">
        <f>"1552378238459837"</f>
        <v>1552378238459837</v>
      </c>
      <c r="C3610" t="s">
        <v>40</v>
      </c>
      <c r="D3610">
        <v>5.2835049999999999</v>
      </c>
      <c r="E3610">
        <v>0.63081640000000005</v>
      </c>
      <c r="F3610" t="s">
        <v>42</v>
      </c>
      <c r="G3610">
        <v>-194.3835</v>
      </c>
      <c r="H3610">
        <v>1.20068</v>
      </c>
      <c r="I3610">
        <v>208.47620000000001</v>
      </c>
      <c r="J3610">
        <v>-194.53800000000001</v>
      </c>
      <c r="K3610">
        <v>1.107402</v>
      </c>
      <c r="L3610">
        <v>208.9057</v>
      </c>
      <c r="M3610">
        <v>0.81605369999999899</v>
      </c>
      <c r="N3610">
        <v>0</v>
      </c>
      <c r="O3610">
        <v>-0.57761859999999998</v>
      </c>
      <c r="P3610">
        <v>0.72311269999999905</v>
      </c>
      <c r="Q3610">
        <v>-4.3376680000000003E-3</v>
      </c>
      <c r="R3610">
        <v>-0.69071660000000001</v>
      </c>
      <c r="S3610">
        <v>1.458237</v>
      </c>
      <c r="T3610">
        <v>0.5044826</v>
      </c>
      <c r="U3610">
        <v>-2.83609</v>
      </c>
      <c r="V3610">
        <v>0.14614859999999999</v>
      </c>
      <c r="W3610">
        <v>1.441984E-2</v>
      </c>
      <c r="X3610">
        <v>0.98915759999999997</v>
      </c>
      <c r="Y3610">
        <v>0.4621749</v>
      </c>
      <c r="Z3610">
        <v>-5.927147E-2</v>
      </c>
      <c r="AA3610">
        <v>0.88480569999999903</v>
      </c>
      <c r="AB3610">
        <v>14</v>
      </c>
      <c r="AC3610">
        <v>0.15449999999998401</v>
      </c>
      <c r="AD3610">
        <v>9.3277999999999903E-2</v>
      </c>
      <c r="AE3610">
        <v>-0.42949999999999</v>
      </c>
      <c r="AF3610">
        <v>0.25083165544623098</v>
      </c>
      <c r="AG3610">
        <v>9.3277999999999903E-2</v>
      </c>
      <c r="AH3610">
        <v>0.35924201136542</v>
      </c>
      <c r="AI3610">
        <v>77.9815676229356</v>
      </c>
      <c r="AJ3610">
        <v>55.076302274302201</v>
      </c>
      <c r="AK3610">
        <v>0.447964426475775</v>
      </c>
      <c r="AL3610">
        <v>89.173775434431107</v>
      </c>
      <c r="AM3610">
        <v>81.595322542639906</v>
      </c>
      <c r="AN3610">
        <v>1.0000000513526699</v>
      </c>
    </row>
    <row r="3611" spans="1:40" x14ac:dyDescent="0.25">
      <c r="A3611" t="str">
        <f>"20190312161038491"</f>
        <v>20190312161038491</v>
      </c>
      <c r="B3611" t="str">
        <f>"1552378238480332"</f>
        <v>1552378238480332</v>
      </c>
      <c r="C3611" t="s">
        <v>40</v>
      </c>
      <c r="D3611">
        <v>4.5715050000000002</v>
      </c>
      <c r="E3611">
        <v>0.65712099999999996</v>
      </c>
      <c r="F3611" t="s">
        <v>56</v>
      </c>
      <c r="G3611">
        <v>-147.96510000000001</v>
      </c>
      <c r="H3611">
        <v>4.896649</v>
      </c>
      <c r="I3611">
        <v>117.90170000000001</v>
      </c>
      <c r="J3611">
        <v>-194.42060000000001</v>
      </c>
      <c r="K3611">
        <v>1.107434</v>
      </c>
      <c r="L3611">
        <v>208.8066</v>
      </c>
      <c r="M3611">
        <v>0.80986069999999999</v>
      </c>
      <c r="N3611">
        <v>0</v>
      </c>
      <c r="O3611">
        <v>-0.58627339999999994</v>
      </c>
      <c r="P3611">
        <v>0.71570929999999999</v>
      </c>
      <c r="Q3611">
        <v>-4.9118520000000004E-3</v>
      </c>
      <c r="R3611">
        <v>-0.69838089999999997</v>
      </c>
      <c r="S3611">
        <v>1.447586</v>
      </c>
      <c r="T3611">
        <v>0.1177782</v>
      </c>
      <c r="U3611">
        <v>-2.8285979999999999</v>
      </c>
      <c r="V3611">
        <v>0.14615239999999999</v>
      </c>
      <c r="W3611">
        <v>1.3754239999999999E-2</v>
      </c>
      <c r="X3611">
        <v>0.98916649999999995</v>
      </c>
      <c r="Y3611">
        <v>0.45397080000000001</v>
      </c>
      <c r="Z3611">
        <v>-1.4520760000000001E-2</v>
      </c>
      <c r="AA3611">
        <v>0.89089819999999997</v>
      </c>
      <c r="AB3611">
        <v>14</v>
      </c>
      <c r="AC3611">
        <v>46.455500000000001</v>
      </c>
      <c r="AD3611">
        <v>3.789215</v>
      </c>
      <c r="AE3611">
        <v>-90.904899999999998</v>
      </c>
      <c r="AF3611">
        <v>46.330344614290603</v>
      </c>
      <c r="AG3611">
        <v>3.789215</v>
      </c>
      <c r="AH3611">
        <v>90.8111029911299</v>
      </c>
      <c r="AI3611">
        <v>87.871379414121606</v>
      </c>
      <c r="AJ3611">
        <v>62.970066287238403</v>
      </c>
      <c r="AK3611">
        <v>102.017230940958</v>
      </c>
      <c r="AL3611">
        <v>89.211915274805307</v>
      </c>
      <c r="AM3611">
        <v>81.595181677282397</v>
      </c>
      <c r="AN3611">
        <v>1.00000003393299</v>
      </c>
    </row>
    <row r="3612" spans="1:40" x14ac:dyDescent="0.25">
      <c r="A3612" t="str">
        <f>"20190312161038515"</f>
        <v>20190312161038515</v>
      </c>
      <c r="B3612" t="str">
        <f>"1552378238510588"</f>
        <v>1552378238510588</v>
      </c>
      <c r="C3612" t="s">
        <v>40</v>
      </c>
      <c r="D3612">
        <v>4.5704919999999998</v>
      </c>
      <c r="E3612">
        <v>0.6624603</v>
      </c>
      <c r="F3612" t="s">
        <v>42</v>
      </c>
      <c r="G3612">
        <v>-194.1754</v>
      </c>
      <c r="H3612">
        <v>1.223846</v>
      </c>
      <c r="I3612">
        <v>208.22620000000001</v>
      </c>
      <c r="J3612">
        <v>-194.3058</v>
      </c>
      <c r="K3612">
        <v>1.107478</v>
      </c>
      <c r="L3612">
        <v>208.70740000000001</v>
      </c>
      <c r="M3612">
        <v>0.80360759999999998</v>
      </c>
      <c r="N3612">
        <v>0</v>
      </c>
      <c r="O3612">
        <v>-0.59481909999999905</v>
      </c>
      <c r="P3612">
        <v>0.70860990000000001</v>
      </c>
      <c r="Q3612">
        <v>-4.9165540000000001E-3</v>
      </c>
      <c r="R3612">
        <v>-0.70558350000000003</v>
      </c>
      <c r="S3612">
        <v>1.2672730000000001</v>
      </c>
      <c r="T3612">
        <v>0.60191229999999996</v>
      </c>
      <c r="U3612">
        <v>-3.0011290000000002</v>
      </c>
      <c r="V3612">
        <v>0.145676799999999</v>
      </c>
      <c r="W3612">
        <v>1.3675090000000001E-2</v>
      </c>
      <c r="X3612">
        <v>0.9892377</v>
      </c>
      <c r="Y3612">
        <v>0.5091038</v>
      </c>
      <c r="Z3612">
        <v>-6.850465E-2</v>
      </c>
      <c r="AA3612">
        <v>0.85797459999999903</v>
      </c>
      <c r="AB3612">
        <v>14</v>
      </c>
      <c r="AC3612">
        <v>0.13040000000000801</v>
      </c>
      <c r="AD3612">
        <v>0.116368</v>
      </c>
      <c r="AE3612">
        <v>-0.48120000000000102</v>
      </c>
      <c r="AF3612">
        <v>0.29321948667534298</v>
      </c>
      <c r="AG3612">
        <v>0.116368</v>
      </c>
      <c r="AH3612">
        <v>0.37089035366069401</v>
      </c>
      <c r="AI3612">
        <v>76.172821058756298</v>
      </c>
      <c r="AJ3612">
        <v>51.670714488639597</v>
      </c>
      <c r="AK3612">
        <v>0.48690741751251498</v>
      </c>
      <c r="AL3612">
        <v>89.216450621949804</v>
      </c>
      <c r="AM3612">
        <v>81.622737745045299</v>
      </c>
      <c r="AN3612">
        <v>0.99999998262301804</v>
      </c>
    </row>
    <row r="3613" spans="1:40" x14ac:dyDescent="0.25">
      <c r="A3613" t="str">
        <f>"20190312161038536"</f>
        <v>20190312161038536</v>
      </c>
      <c r="B3613" t="str">
        <f>"1552378238530109"</f>
        <v>1552378238530109</v>
      </c>
      <c r="C3613" t="s">
        <v>40</v>
      </c>
      <c r="D3613">
        <v>5.2255909999999997</v>
      </c>
      <c r="E3613">
        <v>0.67063479999999998</v>
      </c>
      <c r="F3613" t="s">
        <v>42</v>
      </c>
      <c r="G3613">
        <v>-194.0831</v>
      </c>
      <c r="H3613">
        <v>1.195778</v>
      </c>
      <c r="I3613">
        <v>208.14570000000001</v>
      </c>
      <c r="J3613">
        <v>-194.20339999999999</v>
      </c>
      <c r="K3613">
        <v>1.1075379999999999</v>
      </c>
      <c r="L3613">
        <v>208.61709999999999</v>
      </c>
      <c r="M3613">
        <v>0.79786440000000003</v>
      </c>
      <c r="N3613">
        <v>0</v>
      </c>
      <c r="O3613">
        <v>-0.60250409999999999</v>
      </c>
      <c r="P3613">
        <v>0.7019476</v>
      </c>
      <c r="Q3613">
        <v>-5.1766879999999996E-3</v>
      </c>
      <c r="R3613">
        <v>-0.71221009999999996</v>
      </c>
      <c r="S3613">
        <v>1.2077180000000001</v>
      </c>
      <c r="T3613">
        <v>0.47827710000000001</v>
      </c>
      <c r="U3613">
        <v>-3.0422359999999999</v>
      </c>
      <c r="V3613">
        <v>0.14547460000000001</v>
      </c>
      <c r="W3613">
        <v>1.334753E-2</v>
      </c>
      <c r="X3613">
        <v>0.98927189999999998</v>
      </c>
      <c r="Y3613">
        <v>0.51935399999999998</v>
      </c>
      <c r="Z3613">
        <v>-5.500157E-2</v>
      </c>
      <c r="AA3613">
        <v>0.85278729999999903</v>
      </c>
      <c r="AB3613">
        <v>14</v>
      </c>
      <c r="AC3613">
        <v>0.120299999999986</v>
      </c>
      <c r="AD3613">
        <v>8.8240000000000096E-2</v>
      </c>
      <c r="AE3613">
        <v>-0.471399999999988</v>
      </c>
      <c r="AF3613">
        <v>0.29402068274975601</v>
      </c>
      <c r="AG3613">
        <v>8.8240000000000096E-2</v>
      </c>
      <c r="AH3613">
        <v>0.36797465867231399</v>
      </c>
      <c r="AI3613">
        <v>79.389157262358097</v>
      </c>
      <c r="AJ3613">
        <v>51.374296543925396</v>
      </c>
      <c r="AK3613">
        <v>0.47920748002262897</v>
      </c>
      <c r="AL3613">
        <v>89.235220119297296</v>
      </c>
      <c r="AM3613">
        <v>81.634485869991707</v>
      </c>
      <c r="AN3613">
        <v>0.999999953965934</v>
      </c>
    </row>
    <row r="3614" spans="1:40" x14ac:dyDescent="0.25">
      <c r="A3614" t="str">
        <f>"20190312161038554"</f>
        <v>20190312161038554</v>
      </c>
      <c r="B3614" t="str">
        <f>"1552378238549629"</f>
        <v>1552378238549629</v>
      </c>
      <c r="C3614" t="s">
        <v>40</v>
      </c>
      <c r="D3614">
        <v>4.8618839999999999</v>
      </c>
      <c r="E3614">
        <v>0.67495850000000002</v>
      </c>
      <c r="F3614" t="s">
        <v>42</v>
      </c>
      <c r="G3614">
        <v>-193.99850000000001</v>
      </c>
      <c r="H3614">
        <v>1.196469</v>
      </c>
      <c r="I3614">
        <v>208.05590000000001</v>
      </c>
      <c r="J3614">
        <v>-194.12209999999999</v>
      </c>
      <c r="K3614">
        <v>1.107583</v>
      </c>
      <c r="L3614">
        <v>208.54400000000001</v>
      </c>
      <c r="M3614">
        <v>0.79319189999999995</v>
      </c>
      <c r="N3614">
        <v>0</v>
      </c>
      <c r="O3614">
        <v>-0.60864439999999997</v>
      </c>
      <c r="P3614">
        <v>0.69666090000000003</v>
      </c>
      <c r="Q3614">
        <v>-6.0462919999999896E-3</v>
      </c>
      <c r="R3614">
        <v>-0.71737519999999999</v>
      </c>
      <c r="S3614">
        <v>1.13266</v>
      </c>
      <c r="T3614">
        <v>0.49119689999999999</v>
      </c>
      <c r="U3614">
        <v>-3.0994259999999998</v>
      </c>
      <c r="V3614">
        <v>0.1451412</v>
      </c>
      <c r="W3614">
        <v>1.243256E-2</v>
      </c>
      <c r="X3614">
        <v>0.98933289999999996</v>
      </c>
      <c r="Y3614">
        <v>0.53606129999999996</v>
      </c>
      <c r="Z3614">
        <v>-5.5867310000000003E-2</v>
      </c>
      <c r="AA3614">
        <v>0.84232839999999998</v>
      </c>
      <c r="AB3614">
        <v>14</v>
      </c>
      <c r="AC3614">
        <v>0.123599999999981</v>
      </c>
      <c r="AD3614">
        <v>8.8886000000000007E-2</v>
      </c>
      <c r="AE3614">
        <v>-0.48810000000000198</v>
      </c>
      <c r="AF3614">
        <v>0.30256159412949601</v>
      </c>
      <c r="AG3614">
        <v>8.8886000000000007E-2</v>
      </c>
      <c r="AH3614">
        <v>0.38325282749380002</v>
      </c>
      <c r="AI3614">
        <v>79.683095457049703</v>
      </c>
      <c r="AJ3614">
        <v>51.710428774928097</v>
      </c>
      <c r="AK3614">
        <v>0.49631337783720297</v>
      </c>
      <c r="AL3614">
        <v>89.287648475454603</v>
      </c>
      <c r="AM3614">
        <v>81.6538950192257</v>
      </c>
      <c r="AN3614">
        <v>1.0000000617539999</v>
      </c>
    </row>
    <row r="3615" spans="1:40" x14ac:dyDescent="0.25">
      <c r="A3615" t="str">
        <f>"20190312161038576"</f>
        <v>20190312161038576</v>
      </c>
      <c r="B3615" t="str">
        <f>"1552378238570124"</f>
        <v>1552378238570124</v>
      </c>
      <c r="C3615" t="s">
        <v>40</v>
      </c>
      <c r="D3615">
        <v>4.664453</v>
      </c>
      <c r="E3615">
        <v>0.67679999999999996</v>
      </c>
      <c r="F3615" t="s">
        <v>42</v>
      </c>
      <c r="G3615">
        <v>-193.92009999999999</v>
      </c>
      <c r="H3615">
        <v>1.2129460000000001</v>
      </c>
      <c r="I3615">
        <v>207.95959999999999</v>
      </c>
      <c r="J3615">
        <v>-194.02170000000001</v>
      </c>
      <c r="K3615">
        <v>1.1080139999999901</v>
      </c>
      <c r="L3615">
        <v>208.45240000000001</v>
      </c>
      <c r="M3615">
        <v>0.78751439999999995</v>
      </c>
      <c r="N3615">
        <v>0</v>
      </c>
      <c r="O3615">
        <v>-0.61595849999999996</v>
      </c>
      <c r="P3615">
        <v>0.69046649999999998</v>
      </c>
      <c r="Q3615">
        <v>-7.2466819999999999E-3</v>
      </c>
      <c r="R3615">
        <v>-0.72332810000000003</v>
      </c>
      <c r="S3615">
        <v>1.084152</v>
      </c>
      <c r="T3615">
        <v>0.56492379999999998</v>
      </c>
      <c r="U3615">
        <v>-3.1338200000000001</v>
      </c>
      <c r="V3615">
        <v>0.1444626</v>
      </c>
      <c r="W3615">
        <v>1.17822E-2</v>
      </c>
      <c r="X3615">
        <v>0.98944010000000004</v>
      </c>
      <c r="Y3615">
        <v>0.54274409999999995</v>
      </c>
      <c r="Z3615">
        <v>-6.4728519999999998E-2</v>
      </c>
      <c r="AA3615">
        <v>0.83740009999999998</v>
      </c>
      <c r="AB3615">
        <v>14</v>
      </c>
      <c r="AC3615">
        <v>0.10160000000001899</v>
      </c>
      <c r="AD3615">
        <v>0.104932</v>
      </c>
      <c r="AE3615">
        <v>-0.492800000000016</v>
      </c>
      <c r="AF3615">
        <v>0.312004198897256</v>
      </c>
      <c r="AG3615">
        <v>0.104932</v>
      </c>
      <c r="AH3615">
        <v>0.36764646250148703</v>
      </c>
      <c r="AI3615">
        <v>77.723048727423901</v>
      </c>
      <c r="AJ3615">
        <v>49.680305430110003</v>
      </c>
      <c r="AK3615">
        <v>0.49347873930228803</v>
      </c>
      <c r="AL3615">
        <v>89.324914038141401</v>
      </c>
      <c r="AM3615">
        <v>81.693258437007302</v>
      </c>
      <c r="AN3615">
        <v>0.99999998726180495</v>
      </c>
    </row>
    <row r="3616" spans="1:40" x14ac:dyDescent="0.25">
      <c r="A3616" t="str">
        <f>"20190312161038598"</f>
        <v>20190312161038598</v>
      </c>
      <c r="B3616" t="str">
        <f>"1552378238589644"</f>
        <v>1552378238589644</v>
      </c>
      <c r="C3616" t="s">
        <v>40</v>
      </c>
      <c r="D3616">
        <v>4.6453259999999998</v>
      </c>
      <c r="E3616">
        <v>0.67650900000000003</v>
      </c>
      <c r="F3616" t="s">
        <v>42</v>
      </c>
      <c r="G3616">
        <v>-193.83250000000001</v>
      </c>
      <c r="H3616">
        <v>1.2178789999999999</v>
      </c>
      <c r="I3616">
        <v>207.88220000000001</v>
      </c>
      <c r="J3616">
        <v>-193.9288</v>
      </c>
      <c r="K3616">
        <v>1.108886</v>
      </c>
      <c r="L3616">
        <v>208.3665</v>
      </c>
      <c r="M3616">
        <v>0.78248969999999995</v>
      </c>
      <c r="N3616">
        <v>0</v>
      </c>
      <c r="O3616">
        <v>-0.62229100000000004</v>
      </c>
      <c r="P3616">
        <v>0.68498729999999997</v>
      </c>
      <c r="Q3616">
        <v>-8.9918180000000004E-3</v>
      </c>
      <c r="R3616">
        <v>-0.72849989999999998</v>
      </c>
      <c r="S3616">
        <v>1.0466770000000001</v>
      </c>
      <c r="T3616">
        <v>0.60776229999999998</v>
      </c>
      <c r="U3616">
        <v>-3.1544189999999999</v>
      </c>
      <c r="V3616">
        <v>0.14389460000000001</v>
      </c>
      <c r="W3616">
        <v>1.136499E-2</v>
      </c>
      <c r="X3616">
        <v>0.98952779999999996</v>
      </c>
      <c r="Y3616">
        <v>0.54654709999999995</v>
      </c>
      <c r="Z3616">
        <v>-7.0437189999999997E-2</v>
      </c>
      <c r="AA3616">
        <v>0.83446089999999995</v>
      </c>
      <c r="AB3616">
        <v>13</v>
      </c>
      <c r="AC3616">
        <v>9.6299999999985106E-2</v>
      </c>
      <c r="AD3616">
        <v>0.10899300000000001</v>
      </c>
      <c r="AE3616">
        <v>-0.48429999999999002</v>
      </c>
      <c r="AF3616">
        <v>0.30428184108707401</v>
      </c>
      <c r="AG3616">
        <v>0.10899300000000001</v>
      </c>
      <c r="AH3616">
        <v>0.35931026583757802</v>
      </c>
      <c r="AI3616">
        <v>76.966411133193603</v>
      </c>
      <c r="AJ3616">
        <v>49.740410706550698</v>
      </c>
      <c r="AK3616">
        <v>0.48329160969399199</v>
      </c>
      <c r="AL3616">
        <v>89.348820048181594</v>
      </c>
      <c r="AM3616">
        <v>81.726189093037704</v>
      </c>
      <c r="AN3616">
        <v>1.0000000429398399</v>
      </c>
    </row>
    <row r="3617" spans="1:40" x14ac:dyDescent="0.25">
      <c r="A3617" t="str">
        <f>"20190312161038620"</f>
        <v>20190312161038620</v>
      </c>
      <c r="B3617" t="str">
        <f>"1552378238610140"</f>
        <v>1552378238610140</v>
      </c>
      <c r="C3617" t="s">
        <v>40</v>
      </c>
      <c r="D3617">
        <v>3.9571040000000002</v>
      </c>
      <c r="E3617">
        <v>0.67560949999999997</v>
      </c>
      <c r="F3617" t="s">
        <v>42</v>
      </c>
      <c r="G3617">
        <v>-193.74780000000001</v>
      </c>
      <c r="H3617">
        <v>1.220623</v>
      </c>
      <c r="I3617">
        <v>207.80770000000001</v>
      </c>
      <c r="J3617">
        <v>-193.8391</v>
      </c>
      <c r="K3617">
        <v>1.1097840000000001</v>
      </c>
      <c r="L3617">
        <v>208.28290000000001</v>
      </c>
      <c r="M3617">
        <v>0.77787949999999995</v>
      </c>
      <c r="N3617">
        <v>0</v>
      </c>
      <c r="O3617">
        <v>-0.62799359999999904</v>
      </c>
      <c r="P3617">
        <v>0.68025150000000001</v>
      </c>
      <c r="Q3617">
        <v>-1.0202549999999999E-2</v>
      </c>
      <c r="R3617">
        <v>-0.73290809999999995</v>
      </c>
      <c r="S3617">
        <v>1.024872</v>
      </c>
      <c r="T3617">
        <v>0.63226879999999996</v>
      </c>
      <c r="U3617">
        <v>-3.162277</v>
      </c>
      <c r="V3617">
        <v>0.1430225</v>
      </c>
      <c r="W3617">
        <v>1.1775529999999999E-2</v>
      </c>
      <c r="X3617">
        <v>0.98964940000000001</v>
      </c>
      <c r="Y3617">
        <v>0.54625419999999902</v>
      </c>
      <c r="Z3617">
        <v>-7.4547719999999998E-2</v>
      </c>
      <c r="AA3617">
        <v>0.83429549999999997</v>
      </c>
      <c r="AB3617">
        <v>13</v>
      </c>
      <c r="AC3617">
        <v>9.1299999999989695E-2</v>
      </c>
      <c r="AD3617">
        <v>0.11083899999999899</v>
      </c>
      <c r="AE3617">
        <v>-0.47520000000000101</v>
      </c>
      <c r="AF3617">
        <v>0.29682147514260399</v>
      </c>
      <c r="AG3617">
        <v>0.11083899999999899</v>
      </c>
      <c r="AH3617">
        <v>0.35111817657363598</v>
      </c>
      <c r="AI3617">
        <v>76.446002692720896</v>
      </c>
      <c r="AJ3617">
        <v>49.790137973105701</v>
      </c>
      <c r="AK3617">
        <v>0.47294000248152701</v>
      </c>
      <c r="AL3617">
        <v>89.325296247417398</v>
      </c>
      <c r="AM3617">
        <v>81.776642768725594</v>
      </c>
      <c r="AN3617">
        <v>1.00000001676669</v>
      </c>
    </row>
    <row r="3618" spans="1:40" x14ac:dyDescent="0.25">
      <c r="A3618" t="str">
        <f>"20190312161038642"</f>
        <v>20190312161038642</v>
      </c>
      <c r="B3618" t="str">
        <f>"1552378238640396"</f>
        <v>1552378238640396</v>
      </c>
      <c r="C3618" t="s">
        <v>40</v>
      </c>
      <c r="D3618">
        <v>5.561185</v>
      </c>
      <c r="E3618">
        <v>0.67498100000000005</v>
      </c>
      <c r="F3618" t="s">
        <v>42</v>
      </c>
      <c r="G3618">
        <v>-193.66499999999999</v>
      </c>
      <c r="H3618">
        <v>1.221374</v>
      </c>
      <c r="I3618">
        <v>207.73689999999999</v>
      </c>
      <c r="J3618">
        <v>-193.7517</v>
      </c>
      <c r="K3618">
        <v>1.1105039999999999</v>
      </c>
      <c r="L3618">
        <v>208.20070000000001</v>
      </c>
      <c r="M3618">
        <v>0.77347869999999996</v>
      </c>
      <c r="N3618">
        <v>0</v>
      </c>
      <c r="O3618">
        <v>-0.63335019999999997</v>
      </c>
      <c r="P3618">
        <v>0.67618919999999905</v>
      </c>
      <c r="Q3618">
        <v>-1.203503E-2</v>
      </c>
      <c r="R3618">
        <v>-0.73663029999999996</v>
      </c>
      <c r="S3618">
        <v>1.0095369999999999</v>
      </c>
      <c r="T3618">
        <v>0.64684200000000003</v>
      </c>
      <c r="U3618">
        <v>-3.1652680000000002</v>
      </c>
      <c r="V3618">
        <v>0.14159550000000001</v>
      </c>
      <c r="W3618">
        <v>1.158051E-2</v>
      </c>
      <c r="X3618">
        <v>0.98985679999999998</v>
      </c>
      <c r="Y3618">
        <v>0.54439950000000004</v>
      </c>
      <c r="Z3618">
        <v>-7.771931E-2</v>
      </c>
      <c r="AA3618">
        <v>0.83521789999999996</v>
      </c>
      <c r="AB3618">
        <v>12</v>
      </c>
      <c r="AC3618">
        <v>8.6700000000007493E-2</v>
      </c>
      <c r="AD3618">
        <v>0.110869999999999</v>
      </c>
      <c r="AE3618">
        <v>-0.46380000000001997</v>
      </c>
      <c r="AF3618">
        <v>0.28801632971713598</v>
      </c>
      <c r="AG3618">
        <v>0.110869999999999</v>
      </c>
      <c r="AH3618">
        <v>0.34203145437878602</v>
      </c>
      <c r="AI3618">
        <v>76.074318008382406</v>
      </c>
      <c r="AJ3618">
        <v>49.9000880905324</v>
      </c>
      <c r="AK3618">
        <v>0.46068544460206001</v>
      </c>
      <c r="AL3618">
        <v>89.336470780677203</v>
      </c>
      <c r="AM3618">
        <v>81.859268428172697</v>
      </c>
      <c r="AN3618">
        <v>0.99999993916917296</v>
      </c>
    </row>
    <row r="3619" spans="1:40" x14ac:dyDescent="0.25">
      <c r="A3619" t="str">
        <f>"20190312161038665"</f>
        <v>20190312161038665</v>
      </c>
      <c r="B3619" t="str">
        <f>"1552378238659917"</f>
        <v>1552378238659917</v>
      </c>
      <c r="C3619" t="s">
        <v>40</v>
      </c>
      <c r="D3619">
        <v>4.7863199999999999</v>
      </c>
      <c r="E3619">
        <v>0.67443940000000002</v>
      </c>
      <c r="F3619" t="s">
        <v>42</v>
      </c>
      <c r="G3619">
        <v>-193.58449999999999</v>
      </c>
      <c r="H3619">
        <v>1.2213639999999999</v>
      </c>
      <c r="I3619">
        <v>207.66900000000001</v>
      </c>
      <c r="J3619">
        <v>-193.66569999999999</v>
      </c>
      <c r="K3619">
        <v>1.1107849999999999</v>
      </c>
      <c r="L3619">
        <v>208.119</v>
      </c>
      <c r="M3619">
        <v>0.76881440000000001</v>
      </c>
      <c r="N3619">
        <v>0</v>
      </c>
      <c r="O3619">
        <v>-0.63895679999999999</v>
      </c>
      <c r="P3619">
        <v>0.67187540000000001</v>
      </c>
      <c r="Q3619">
        <v>-1.377302E-2</v>
      </c>
      <c r="R3619">
        <v>-0.74053649999999904</v>
      </c>
      <c r="S3619">
        <v>0.99652099999999999</v>
      </c>
      <c r="T3619">
        <v>0.66054380000000001</v>
      </c>
      <c r="U3619">
        <v>-3.168625</v>
      </c>
      <c r="V3619">
        <v>0.14012659999999999</v>
      </c>
      <c r="W3619">
        <v>1.1095600000000001E-2</v>
      </c>
      <c r="X3619">
        <v>0.99007140000000005</v>
      </c>
      <c r="Y3619">
        <v>0.5417286</v>
      </c>
      <c r="Z3619">
        <v>-8.0964729999999999E-2</v>
      </c>
      <c r="AA3619">
        <v>0.83664499999999997</v>
      </c>
      <c r="AB3619">
        <v>12</v>
      </c>
      <c r="AC3619">
        <v>8.1199999999995498E-2</v>
      </c>
      <c r="AD3619">
        <v>0.110578999999999</v>
      </c>
      <c r="AE3619">
        <v>-0.450000000000017</v>
      </c>
      <c r="AF3619">
        <v>0.277927001948442</v>
      </c>
      <c r="AG3619">
        <v>0.110578999999999</v>
      </c>
      <c r="AH3619">
        <v>0.33073246675872497</v>
      </c>
      <c r="AI3619">
        <v>75.6424063516356</v>
      </c>
      <c r="AJ3619">
        <v>49.958394130428204</v>
      </c>
      <c r="AK3619">
        <v>0.44593171923665698</v>
      </c>
      <c r="AL3619">
        <v>89.364255888929605</v>
      </c>
      <c r="AM3619">
        <v>81.944328519174107</v>
      </c>
      <c r="AN3619">
        <v>0.99999997673243901</v>
      </c>
    </row>
    <row r="3620" spans="1:40" x14ac:dyDescent="0.25">
      <c r="A3620" t="str">
        <f>"20190312161038690"</f>
        <v>20190312161038690</v>
      </c>
      <c r="B3620" t="str">
        <f>"1552378238680415"</f>
        <v>1552378238680415</v>
      </c>
      <c r="C3620" t="s">
        <v>40</v>
      </c>
      <c r="D3620">
        <v>4.8381949999999998</v>
      </c>
      <c r="E3620">
        <v>0.67426649999999999</v>
      </c>
      <c r="F3620" t="s">
        <v>42</v>
      </c>
      <c r="G3620">
        <v>-193.4701</v>
      </c>
      <c r="H3620">
        <v>1.243803</v>
      </c>
      <c r="I3620">
        <v>207.48769999999999</v>
      </c>
      <c r="J3620">
        <v>-193.57579999999999</v>
      </c>
      <c r="K3620">
        <v>1.1101909999999999</v>
      </c>
      <c r="L3620">
        <v>208.03129999999999</v>
      </c>
      <c r="M3620">
        <v>0.76310009999999995</v>
      </c>
      <c r="N3620">
        <v>0</v>
      </c>
      <c r="O3620">
        <v>-0.64576129999999998</v>
      </c>
      <c r="P3620">
        <v>0.66588309999999995</v>
      </c>
      <c r="Q3620">
        <v>-1.3530550000000001E-2</v>
      </c>
      <c r="R3620">
        <v>-0.74593369999999903</v>
      </c>
      <c r="S3620">
        <v>0.98355099999999995</v>
      </c>
      <c r="T3620">
        <v>0.66825199999999996</v>
      </c>
      <c r="U3620">
        <v>-3.1711879999999999</v>
      </c>
      <c r="V3620">
        <v>0.139326799999999</v>
      </c>
      <c r="W3620">
        <v>1.140934E-2</v>
      </c>
      <c r="X3620">
        <v>0.99018070000000002</v>
      </c>
      <c r="Y3620">
        <v>0.53767390000000004</v>
      </c>
      <c r="Z3620">
        <v>-8.3988090000000001E-2</v>
      </c>
      <c r="AA3620">
        <v>0.83895929999999996</v>
      </c>
      <c r="AB3620">
        <v>11</v>
      </c>
      <c r="AC3620">
        <v>0.105699999999984</v>
      </c>
      <c r="AD3620">
        <v>0.13361200000000001</v>
      </c>
      <c r="AE3620">
        <v>-0.54359999999999697</v>
      </c>
      <c r="AF3620">
        <v>0.32760959539051998</v>
      </c>
      <c r="AG3620">
        <v>0.13361200000000001</v>
      </c>
      <c r="AH3620">
        <v>0.40808478590810099</v>
      </c>
      <c r="AI3620">
        <v>75.677381464618094</v>
      </c>
      <c r="AJ3620">
        <v>51.242577547427501</v>
      </c>
      <c r="AK3620">
        <v>0.54010499537182699</v>
      </c>
      <c r="AL3620">
        <v>89.346278770927597</v>
      </c>
      <c r="AM3620">
        <v>81.990582101702302</v>
      </c>
      <c r="AN3620">
        <v>0.99999997444498201</v>
      </c>
    </row>
    <row r="3621" spans="1:40" x14ac:dyDescent="0.25">
      <c r="A3621" t="str">
        <f>"20190312161038714"</f>
        <v>20190312161038714</v>
      </c>
      <c r="B3621" t="str">
        <f>"1552378238709692"</f>
        <v>1552378238709692</v>
      </c>
      <c r="C3621" t="s">
        <v>40</v>
      </c>
      <c r="D3621">
        <v>4.851432</v>
      </c>
      <c r="E3621">
        <v>0.63982329999999998</v>
      </c>
      <c r="F3621" t="s">
        <v>42</v>
      </c>
      <c r="G3621">
        <v>-193.3921</v>
      </c>
      <c r="H3621">
        <v>1.239363</v>
      </c>
      <c r="I3621">
        <v>207.42349999999999</v>
      </c>
      <c r="J3621">
        <v>-193.4854</v>
      </c>
      <c r="K3621">
        <v>1.1090850000000001</v>
      </c>
      <c r="L3621">
        <v>207.9401</v>
      </c>
      <c r="M3621">
        <v>0.75694640000000002</v>
      </c>
      <c r="N3621">
        <v>0</v>
      </c>
      <c r="O3621">
        <v>-0.65299050000000003</v>
      </c>
      <c r="P3621">
        <v>0.65842900000000004</v>
      </c>
      <c r="Q3621">
        <v>-1.3655520000000001E-2</v>
      </c>
      <c r="R3621">
        <v>-0.7525191</v>
      </c>
      <c r="S3621">
        <v>0.95980829999999995</v>
      </c>
      <c r="T3621">
        <v>0.67522230000000005</v>
      </c>
      <c r="U3621">
        <v>-3.1772610000000001</v>
      </c>
      <c r="V3621">
        <v>0.13978829999999901</v>
      </c>
      <c r="W3621">
        <v>1.0338429999999999E-2</v>
      </c>
      <c r="X3621">
        <v>0.99012739999999999</v>
      </c>
      <c r="Y3621">
        <v>0.53594339999999996</v>
      </c>
      <c r="Z3621">
        <v>-8.6833489999999999E-2</v>
      </c>
      <c r="AA3621">
        <v>0.83977649999999904</v>
      </c>
      <c r="AB3621">
        <v>11</v>
      </c>
      <c r="AC3621">
        <v>9.3299999999999203E-2</v>
      </c>
      <c r="AD3621">
        <v>0.13027799999999901</v>
      </c>
      <c r="AE3621">
        <v>-0.51660000000001005</v>
      </c>
      <c r="AF3621">
        <v>0.31106187403605101</v>
      </c>
      <c r="AG3621">
        <v>0.13027799999999901</v>
      </c>
      <c r="AH3621">
        <v>0.38441261637987501</v>
      </c>
      <c r="AI3621">
        <v>75.2406382261575</v>
      </c>
      <c r="AJ3621">
        <v>51.020649429103699</v>
      </c>
      <c r="AK3621">
        <v>0.51137550429683398</v>
      </c>
      <c r="AL3621">
        <v>89.407641018050697</v>
      </c>
      <c r="AM3621">
        <v>81.963971099313198</v>
      </c>
      <c r="AN3621">
        <v>0.99999996009125602</v>
      </c>
    </row>
    <row r="3622" spans="1:40" x14ac:dyDescent="0.25">
      <c r="A3622" t="str">
        <f>"20190312161038737"</f>
        <v>20190312161038737</v>
      </c>
      <c r="B3622" t="str">
        <f>"1552378238730188"</f>
        <v>1552378238730188</v>
      </c>
      <c r="C3622" t="s">
        <v>40</v>
      </c>
      <c r="D3622">
        <v>4.9103830000000004</v>
      </c>
      <c r="E3622">
        <v>0.63694030000000001</v>
      </c>
      <c r="F3622" t="s">
        <v>42</v>
      </c>
      <c r="G3622">
        <v>-193.27500000000001</v>
      </c>
      <c r="H3622">
        <v>1.1897200000000001</v>
      </c>
      <c r="I3622">
        <v>207.38329999999999</v>
      </c>
      <c r="J3622">
        <v>-193.4025</v>
      </c>
      <c r="K3622">
        <v>1.108379</v>
      </c>
      <c r="L3622">
        <v>207.8535</v>
      </c>
      <c r="M3622">
        <v>0.7511601</v>
      </c>
      <c r="N3622">
        <v>0</v>
      </c>
      <c r="O3622">
        <v>-0.65966599999999997</v>
      </c>
      <c r="P3622">
        <v>0.651879599999999</v>
      </c>
      <c r="Q3622">
        <v>-1.447415E-2</v>
      </c>
      <c r="R3622">
        <v>-0.75818459999999999</v>
      </c>
      <c r="S3622">
        <v>1.1354679999999999</v>
      </c>
      <c r="T3622">
        <v>0.43455670000000002</v>
      </c>
      <c r="U3622">
        <v>-3.0009459999999999</v>
      </c>
      <c r="V3622">
        <v>0.13961080000000001</v>
      </c>
      <c r="W3622">
        <v>8.650497E-3</v>
      </c>
      <c r="X3622">
        <v>0.99016870000000001</v>
      </c>
      <c r="Y3622">
        <v>0.46976400000000001</v>
      </c>
      <c r="Z3622">
        <v>-6.3552460000000005E-2</v>
      </c>
      <c r="AA3622">
        <v>0.88050149999999905</v>
      </c>
      <c r="AB3622">
        <v>11</v>
      </c>
      <c r="AC3622">
        <v>0.127499999999997</v>
      </c>
      <c r="AD3622">
        <v>8.1341000000000094E-2</v>
      </c>
      <c r="AE3622">
        <v>-0.470200000000005</v>
      </c>
      <c r="AF3622">
        <v>0.26186871237071102</v>
      </c>
      <c r="AG3622">
        <v>8.1341000000000094E-2</v>
      </c>
      <c r="AH3622">
        <v>0.395056708788323</v>
      </c>
      <c r="AI3622">
        <v>80.261916278547503</v>
      </c>
      <c r="AJ3622">
        <v>56.461050975835903</v>
      </c>
      <c r="AK3622">
        <v>0.480896437872393</v>
      </c>
      <c r="AL3622">
        <v>89.504356864617506</v>
      </c>
      <c r="AM3622">
        <v>81.974372424264899</v>
      </c>
      <c r="AN3622">
        <v>1.00000003051733</v>
      </c>
    </row>
    <row r="3623" spans="1:40" x14ac:dyDescent="0.25">
      <c r="A3623" t="str">
        <f>"20190312161038754"</f>
        <v>20190312161038754</v>
      </c>
      <c r="B3623" t="str">
        <f>"1552378238749708"</f>
        <v>1552378238749708</v>
      </c>
      <c r="C3623" t="s">
        <v>40</v>
      </c>
      <c r="D3623">
        <v>4.9187289999999999</v>
      </c>
      <c r="E3623">
        <v>0.63468709999999995</v>
      </c>
      <c r="F3623" t="s">
        <v>42</v>
      </c>
      <c r="G3623">
        <v>-193.19139999999999</v>
      </c>
      <c r="H3623">
        <v>1.194091</v>
      </c>
      <c r="I3623">
        <v>207.29259999999999</v>
      </c>
      <c r="J3623">
        <v>-193.34229999999999</v>
      </c>
      <c r="K3623">
        <v>1.1082719999999999</v>
      </c>
      <c r="L3623">
        <v>207.78919999999999</v>
      </c>
      <c r="M3623">
        <v>0.74684879999999998</v>
      </c>
      <c r="N3623">
        <v>0</v>
      </c>
      <c r="O3623">
        <v>-0.66455790000000003</v>
      </c>
      <c r="P3623">
        <v>0.64706770000000002</v>
      </c>
      <c r="Q3623">
        <v>-1.4768420000000001E-2</v>
      </c>
      <c r="R3623">
        <v>-0.76228969999999996</v>
      </c>
      <c r="S3623">
        <v>1.127548</v>
      </c>
      <c r="T3623">
        <v>0.45782030000000001</v>
      </c>
      <c r="U3623">
        <v>-2.9961090000000001</v>
      </c>
      <c r="V3623">
        <v>0.1394097</v>
      </c>
      <c r="W3623">
        <v>7.9638759999999999E-3</v>
      </c>
      <c r="X3623">
        <v>0.99020280000000005</v>
      </c>
      <c r="Y3623">
        <v>0.4656729</v>
      </c>
      <c r="Z3623">
        <v>-6.8161050000000001E-2</v>
      </c>
      <c r="AA3623">
        <v>0.88232809999999995</v>
      </c>
      <c r="AB3623">
        <v>11</v>
      </c>
      <c r="AC3623">
        <v>0.150900000000007</v>
      </c>
      <c r="AD3623">
        <v>8.5819000000000006E-2</v>
      </c>
      <c r="AE3623">
        <v>-0.49659999999999999</v>
      </c>
      <c r="AF3623">
        <v>0.26347830708804398</v>
      </c>
      <c r="AG3623">
        <v>8.5819000000000006E-2</v>
      </c>
      <c r="AH3623">
        <v>0.43106209135899698</v>
      </c>
      <c r="AI3623">
        <v>80.359273466589499</v>
      </c>
      <c r="AJ3623">
        <v>58.565453250830799</v>
      </c>
      <c r="AK3623">
        <v>0.512445358720102</v>
      </c>
      <c r="AL3623">
        <v>89.543698709823602</v>
      </c>
      <c r="AM3623">
        <v>81.986054904018204</v>
      </c>
      <c r="AN3623">
        <v>1.0000000364514301</v>
      </c>
    </row>
    <row r="3624" spans="1:40" x14ac:dyDescent="0.25">
      <c r="A3624" t="str">
        <f>"20190312161038778"</f>
        <v>20190312161038778</v>
      </c>
      <c r="B3624" t="str">
        <f>"1552378238770205"</f>
        <v>1552378238770205</v>
      </c>
      <c r="C3624" t="s">
        <v>40</v>
      </c>
      <c r="D3624">
        <v>4.9693170000000002</v>
      </c>
      <c r="E3624">
        <v>0.63308469999999994</v>
      </c>
      <c r="F3624" t="s">
        <v>42</v>
      </c>
      <c r="G3624">
        <v>-193.12809999999999</v>
      </c>
      <c r="H3624">
        <v>1.1996119999999999</v>
      </c>
      <c r="I3624">
        <v>207.2184</v>
      </c>
      <c r="J3624">
        <v>-193.25989999999999</v>
      </c>
      <c r="K3624">
        <v>1.108544</v>
      </c>
      <c r="L3624">
        <v>207.69980000000001</v>
      </c>
      <c r="M3624">
        <v>0.74068559999999894</v>
      </c>
      <c r="N3624">
        <v>0</v>
      </c>
      <c r="O3624">
        <v>-0.67143640000000004</v>
      </c>
      <c r="P3624">
        <v>0.64036409999999999</v>
      </c>
      <c r="Q3624">
        <v>-1.5430549999999999E-2</v>
      </c>
      <c r="R3624">
        <v>-0.76791659999999995</v>
      </c>
      <c r="S3624">
        <v>1.1230929999999999</v>
      </c>
      <c r="T3624">
        <v>0.47873520000000003</v>
      </c>
      <c r="U3624">
        <v>-2.9914550000000002</v>
      </c>
      <c r="V3624">
        <v>0.1389126</v>
      </c>
      <c r="W3624">
        <v>6.9811419999999897E-3</v>
      </c>
      <c r="X3624">
        <v>0.99028000000000005</v>
      </c>
      <c r="Y3624">
        <v>0.45832070000000003</v>
      </c>
      <c r="Z3624">
        <v>-7.3082289999999994E-2</v>
      </c>
      <c r="AA3624">
        <v>0.88577709999999998</v>
      </c>
      <c r="AB3624">
        <v>11</v>
      </c>
      <c r="AC3624">
        <v>0.131799999999998</v>
      </c>
      <c r="AD3624">
        <v>9.1068000000000093E-2</v>
      </c>
      <c r="AE3624">
        <v>-0.48140000000000699</v>
      </c>
      <c r="AF3624">
        <v>0.259506308467227</v>
      </c>
      <c r="AG3624">
        <v>9.1068000000000093E-2</v>
      </c>
      <c r="AH3624">
        <v>0.40740631618968698</v>
      </c>
      <c r="AI3624">
        <v>79.323197166480796</v>
      </c>
      <c r="AJ3624">
        <v>57.504015560250302</v>
      </c>
      <c r="AK3624">
        <v>0.491545329781027</v>
      </c>
      <c r="AL3624">
        <v>89.6000067631755</v>
      </c>
      <c r="AM3624">
        <v>82.014875854057095</v>
      </c>
      <c r="AN3624">
        <v>0.99999996259119095</v>
      </c>
    </row>
    <row r="3625" spans="1:40" x14ac:dyDescent="0.25">
      <c r="A3625" t="str">
        <f>"20190312161038799"</f>
        <v>20190312161038799</v>
      </c>
      <c r="B3625" t="str">
        <f>"1552378238789724"</f>
        <v>1552378238789724</v>
      </c>
      <c r="C3625" t="s">
        <v>40</v>
      </c>
      <c r="D3625">
        <v>5.0637629999999998</v>
      </c>
      <c r="E3625">
        <v>0.63207170000000001</v>
      </c>
      <c r="F3625" t="s">
        <v>42</v>
      </c>
      <c r="G3625">
        <v>-193.0489</v>
      </c>
      <c r="H3625">
        <v>1.2009840000000001</v>
      </c>
      <c r="I3625">
        <v>207.12899999999999</v>
      </c>
      <c r="J3625">
        <v>-193.19069999999999</v>
      </c>
      <c r="K3625">
        <v>1.1089389999999999</v>
      </c>
      <c r="L3625">
        <v>207.62430000000001</v>
      </c>
      <c r="M3625">
        <v>0.73526639999999999</v>
      </c>
      <c r="N3625">
        <v>0</v>
      </c>
      <c r="O3625">
        <v>-0.67738140000000002</v>
      </c>
      <c r="P3625">
        <v>0.63449109999999997</v>
      </c>
      <c r="Q3625">
        <v>-1.6405989999999999E-2</v>
      </c>
      <c r="R3625">
        <v>-0.77275590000000005</v>
      </c>
      <c r="S3625">
        <v>1.1066590000000001</v>
      </c>
      <c r="T3625">
        <v>0.48478599999999999</v>
      </c>
      <c r="U3625">
        <v>-2.9936219999999998</v>
      </c>
      <c r="V3625">
        <v>0.13846269999999999</v>
      </c>
      <c r="W3625">
        <v>5.7456809999999999E-3</v>
      </c>
      <c r="X3625">
        <v>0.99035099999999998</v>
      </c>
      <c r="Y3625">
        <v>0.4557177</v>
      </c>
      <c r="Z3625">
        <v>-7.5335319999999997E-2</v>
      </c>
      <c r="AA3625">
        <v>0.88693069999999896</v>
      </c>
      <c r="AB3625">
        <v>11</v>
      </c>
      <c r="AC3625">
        <v>0.14179999999998899</v>
      </c>
      <c r="AD3625">
        <v>9.2045000000000099E-2</v>
      </c>
      <c r="AE3625">
        <v>-0.49529999999998597</v>
      </c>
      <c r="AF3625">
        <v>0.259901063486422</v>
      </c>
      <c r="AG3625">
        <v>9.2045000000000099E-2</v>
      </c>
      <c r="AH3625">
        <v>0.42627958779808001</v>
      </c>
      <c r="AI3625">
        <v>79.554130596644796</v>
      </c>
      <c r="AJ3625">
        <v>58.629494825807001</v>
      </c>
      <c r="AK3625">
        <v>0.50767620763600296</v>
      </c>
      <c r="AL3625">
        <v>89.670794922739006</v>
      </c>
      <c r="AM3625">
        <v>82.040968833674398</v>
      </c>
      <c r="AN3625">
        <v>1.00000001767122</v>
      </c>
    </row>
    <row r="3626" spans="1:40" x14ac:dyDescent="0.25">
      <c r="A3626" t="str">
        <f>"20190312161038820"</f>
        <v>20190312161038820</v>
      </c>
      <c r="B3626" t="str">
        <f>"1552378238810221"</f>
        <v>1552378238810221</v>
      </c>
      <c r="C3626" t="s">
        <v>40</v>
      </c>
      <c r="D3626">
        <v>5.535107</v>
      </c>
      <c r="E3626">
        <v>0.63344630000000002</v>
      </c>
      <c r="F3626" t="s">
        <v>42</v>
      </c>
      <c r="G3626">
        <v>-192.98230000000001</v>
      </c>
      <c r="H3626">
        <v>1.19877099999999</v>
      </c>
      <c r="I3626">
        <v>207.0504</v>
      </c>
      <c r="J3626">
        <v>-193.1181</v>
      </c>
      <c r="K3626">
        <v>1.1092500000000001</v>
      </c>
      <c r="L3626">
        <v>207.5444</v>
      </c>
      <c r="M3626">
        <v>0.72954619999999903</v>
      </c>
      <c r="N3626">
        <v>0</v>
      </c>
      <c r="O3626">
        <v>-0.68355540000000004</v>
      </c>
      <c r="P3626">
        <v>0.62839309999999904</v>
      </c>
      <c r="Q3626">
        <v>-1.7059359999999999E-2</v>
      </c>
      <c r="R3626">
        <v>-0.77770879999999998</v>
      </c>
      <c r="S3626">
        <v>1.0897059999999901</v>
      </c>
      <c r="T3626">
        <v>0.46919300000000003</v>
      </c>
      <c r="U3626">
        <v>-2.9974820000000002</v>
      </c>
      <c r="V3626">
        <v>0.13789390000000001</v>
      </c>
      <c r="W3626">
        <v>4.7271709999999996E-3</v>
      </c>
      <c r="X3626">
        <v>0.99043570000000003</v>
      </c>
      <c r="Y3626">
        <v>0.45301370000000002</v>
      </c>
      <c r="Z3626">
        <v>-7.426961E-2</v>
      </c>
      <c r="AA3626">
        <v>0.88840450000000004</v>
      </c>
      <c r="AB3626">
        <v>11</v>
      </c>
      <c r="AC3626">
        <v>0.13579999999998901</v>
      </c>
      <c r="AD3626">
        <v>8.9520999999999698E-2</v>
      </c>
      <c r="AE3626">
        <v>-0.493999999999999</v>
      </c>
      <c r="AF3626">
        <v>0.25970838107452499</v>
      </c>
      <c r="AG3626">
        <v>8.9520999999999698E-2</v>
      </c>
      <c r="AH3626">
        <v>0.42391797565232098</v>
      </c>
      <c r="AI3626">
        <v>79.792165565996498</v>
      </c>
      <c r="AJ3626">
        <v>58.506769406854602</v>
      </c>
      <c r="AK3626">
        <v>0.50514245784977496</v>
      </c>
      <c r="AL3626">
        <v>89.729152037101898</v>
      </c>
      <c r="AM3626">
        <v>82.073917080665495</v>
      </c>
      <c r="AN3626">
        <v>0.99999997481868097</v>
      </c>
    </row>
    <row r="3627" spans="1:40" x14ac:dyDescent="0.25">
      <c r="A3627" t="str">
        <f>"20190312161038845"</f>
        <v>20190312161038845</v>
      </c>
      <c r="B3627" t="str">
        <f>"1552378238840476"</f>
        <v>1552378238840476</v>
      </c>
      <c r="C3627" t="s">
        <v>40</v>
      </c>
      <c r="D3627">
        <v>5.0794449999999998</v>
      </c>
      <c r="E3627">
        <v>0.6324128</v>
      </c>
      <c r="F3627" t="s">
        <v>42</v>
      </c>
      <c r="G3627">
        <v>-192.9178</v>
      </c>
      <c r="H3627">
        <v>1.2005129999999999</v>
      </c>
      <c r="I3627">
        <v>206.9736</v>
      </c>
      <c r="J3627">
        <v>-193.0429</v>
      </c>
      <c r="K3627">
        <v>1.109369</v>
      </c>
      <c r="L3627">
        <v>207.46080000000001</v>
      </c>
      <c r="M3627">
        <v>0.72378889999999996</v>
      </c>
      <c r="N3627">
        <v>0</v>
      </c>
      <c r="O3627">
        <v>-0.68966519999999898</v>
      </c>
      <c r="P3627">
        <v>0.62236480000000005</v>
      </c>
      <c r="Q3627">
        <v>-1.7442260000000001E-2</v>
      </c>
      <c r="R3627">
        <v>-0.78253300000000003</v>
      </c>
      <c r="S3627">
        <v>1.0576779999999999</v>
      </c>
      <c r="T3627">
        <v>0.48172219999999999</v>
      </c>
      <c r="U3627">
        <v>-3.0134430000000001</v>
      </c>
      <c r="V3627">
        <v>0.13721810000000001</v>
      </c>
      <c r="W3627">
        <v>3.8970060000000002E-3</v>
      </c>
      <c r="X3627">
        <v>0.9905332</v>
      </c>
      <c r="Y3627">
        <v>0.4554743</v>
      </c>
      <c r="Z3627">
        <v>-7.7076939999999997E-2</v>
      </c>
      <c r="AA3627">
        <v>0.88690599999999997</v>
      </c>
      <c r="AB3627">
        <v>11</v>
      </c>
      <c r="AC3627">
        <v>0.12510000000000299</v>
      </c>
      <c r="AD3627">
        <v>9.1143999999999795E-2</v>
      </c>
      <c r="AE3627">
        <v>-0.48720000000000102</v>
      </c>
      <c r="AF3627">
        <v>0.25794905446655902</v>
      </c>
      <c r="AG3627">
        <v>9.1143999999999795E-2</v>
      </c>
      <c r="AH3627">
        <v>0.41309263754917303</v>
      </c>
      <c r="AI3627">
        <v>79.399807806957</v>
      </c>
      <c r="AJ3627">
        <v>58.017946100192503</v>
      </c>
      <c r="AK3627">
        <v>0.495469949273944</v>
      </c>
      <c r="AL3627">
        <v>89.776717439862495</v>
      </c>
      <c r="AM3627">
        <v>82.113038294018907</v>
      </c>
      <c r="AN3627">
        <v>1.0000000069627999</v>
      </c>
    </row>
    <row r="3628" spans="1:40" x14ac:dyDescent="0.25">
      <c r="A3628" t="str">
        <f>"20190312161038867"</f>
        <v>20190312161038867</v>
      </c>
      <c r="B3628" t="str">
        <f>"1552378238859996"</f>
        <v>1552378238859996</v>
      </c>
      <c r="C3628" t="s">
        <v>40</v>
      </c>
      <c r="D3628">
        <v>5.1049670000000003</v>
      </c>
      <c r="E3628">
        <v>0.63329230000000003</v>
      </c>
      <c r="F3628" t="s">
        <v>42</v>
      </c>
      <c r="G3628">
        <v>-192.83750000000001</v>
      </c>
      <c r="H3628">
        <v>1.196685</v>
      </c>
      <c r="I3628">
        <v>206.86580000000001</v>
      </c>
      <c r="J3628">
        <v>-192.9699</v>
      </c>
      <c r="K3628">
        <v>1.109351</v>
      </c>
      <c r="L3628">
        <v>207.3783</v>
      </c>
      <c r="M3628">
        <v>0.71838579999999996</v>
      </c>
      <c r="N3628">
        <v>0</v>
      </c>
      <c r="O3628">
        <v>-0.69530579999999997</v>
      </c>
      <c r="P3628">
        <v>0.61643179999999997</v>
      </c>
      <c r="Q3628">
        <v>-1.7951160000000001E-2</v>
      </c>
      <c r="R3628">
        <v>-0.78720429999999997</v>
      </c>
      <c r="S3628">
        <v>1.0406040000000001</v>
      </c>
      <c r="T3628">
        <v>0.44252249999999999</v>
      </c>
      <c r="U3628">
        <v>-3.01593</v>
      </c>
      <c r="V3628">
        <v>0.13695460000000001</v>
      </c>
      <c r="W3628">
        <v>2.9585950000000001E-3</v>
      </c>
      <c r="X3628">
        <v>0.99057289999999998</v>
      </c>
      <c r="Y3628">
        <v>0.4531386</v>
      </c>
      <c r="Z3628">
        <v>-7.2059680000000001E-2</v>
      </c>
      <c r="AA3628">
        <v>0.88852289999999901</v>
      </c>
      <c r="AB3628">
        <v>11</v>
      </c>
      <c r="AC3628">
        <v>0.132399999999989</v>
      </c>
      <c r="AD3628">
        <v>8.7333999999999995E-2</v>
      </c>
      <c r="AE3628">
        <v>-0.51249999999998797</v>
      </c>
      <c r="AF3628">
        <v>0.26886045423653798</v>
      </c>
      <c r="AG3628">
        <v>8.7333999999999995E-2</v>
      </c>
      <c r="AH3628">
        <v>0.439598263429686</v>
      </c>
      <c r="AI3628">
        <v>80.380783898427396</v>
      </c>
      <c r="AJ3628">
        <v>58.549839560343102</v>
      </c>
      <c r="AK3628">
        <v>0.52264692156241899</v>
      </c>
      <c r="AL3628">
        <v>89.830484744718305</v>
      </c>
      <c r="AM3628">
        <v>82.128305112535202</v>
      </c>
      <c r="AN3628">
        <v>0.999999992979972</v>
      </c>
    </row>
    <row r="3629" spans="1:40" x14ac:dyDescent="0.25">
      <c r="A3629" t="str">
        <f>"20190312161038892"</f>
        <v>20190312161038892</v>
      </c>
      <c r="B3629" t="str">
        <f>"1552378238880493"</f>
        <v>1552378238880493</v>
      </c>
      <c r="C3629" t="s">
        <v>40</v>
      </c>
      <c r="D3629">
        <v>5.0430999999999999</v>
      </c>
      <c r="E3629">
        <v>0.63351539999999995</v>
      </c>
      <c r="F3629" t="s">
        <v>42</v>
      </c>
      <c r="G3629">
        <v>-192.7724</v>
      </c>
      <c r="H3629">
        <v>1.199311</v>
      </c>
      <c r="I3629">
        <v>206.78739999999999</v>
      </c>
      <c r="J3629">
        <v>-192.8955</v>
      </c>
      <c r="K3629">
        <v>1.109302</v>
      </c>
      <c r="L3629">
        <v>207.2929</v>
      </c>
      <c r="M3629">
        <v>0.71291689999999996</v>
      </c>
      <c r="N3629">
        <v>0</v>
      </c>
      <c r="O3629">
        <v>-0.70092399999999999</v>
      </c>
      <c r="P3629">
        <v>0.61000549999999998</v>
      </c>
      <c r="Q3629">
        <v>-1.8114809999999999E-2</v>
      </c>
      <c r="R3629">
        <v>-0.79219050000000002</v>
      </c>
      <c r="S3629">
        <v>1.012894</v>
      </c>
      <c r="T3629">
        <v>0.46103179999999999</v>
      </c>
      <c r="U3629">
        <v>-3.028305</v>
      </c>
      <c r="V3629">
        <v>0.137242</v>
      </c>
      <c r="W3629">
        <v>2.394976E-3</v>
      </c>
      <c r="X3629">
        <v>0.99053469999999999</v>
      </c>
      <c r="Y3629">
        <v>0.45463550000000003</v>
      </c>
      <c r="Z3629">
        <v>-7.5860269999999994E-2</v>
      </c>
      <c r="AA3629">
        <v>0.88744120000000004</v>
      </c>
      <c r="AB3629">
        <v>10</v>
      </c>
      <c r="AC3629">
        <v>0.12309999999999301</v>
      </c>
      <c r="AD3629">
        <v>9.0009000000000006E-2</v>
      </c>
      <c r="AE3629">
        <v>-0.50550000000001205</v>
      </c>
      <c r="AF3629">
        <v>0.26619098463877799</v>
      </c>
      <c r="AG3629">
        <v>9.0009000000000006E-2</v>
      </c>
      <c r="AH3629">
        <v>0.429327901302819</v>
      </c>
      <c r="AI3629">
        <v>79.896982141770096</v>
      </c>
      <c r="AJ3629">
        <v>58.200346276244503</v>
      </c>
      <c r="AK3629">
        <v>0.51310983933369003</v>
      </c>
      <c r="AL3629">
        <v>89.862777858457704</v>
      </c>
      <c r="AM3629">
        <v>82.111693667465403</v>
      </c>
      <c r="AN3629">
        <v>1.00000004718906</v>
      </c>
    </row>
    <row r="3630" spans="1:40" x14ac:dyDescent="0.25">
      <c r="A3630" t="str">
        <f>"20190312161038916"</f>
        <v>20190312161038916</v>
      </c>
      <c r="B3630" t="str">
        <f>"1552378238909772"</f>
        <v>1552378238909772</v>
      </c>
      <c r="C3630" t="s">
        <v>40</v>
      </c>
      <c r="D3630">
        <v>5.7758289999999999</v>
      </c>
      <c r="E3630">
        <v>0.67824629999999997</v>
      </c>
      <c r="F3630" t="s">
        <v>42</v>
      </c>
      <c r="G3630">
        <v>-192.7047</v>
      </c>
      <c r="H3630">
        <v>1.2025129999999999</v>
      </c>
      <c r="I3630">
        <v>206.7055</v>
      </c>
      <c r="J3630">
        <v>-192.82060000000001</v>
      </c>
      <c r="K3630">
        <v>1.109275</v>
      </c>
      <c r="L3630">
        <v>207.20519999999999</v>
      </c>
      <c r="M3630">
        <v>0.70727299999999904</v>
      </c>
      <c r="N3630">
        <v>0</v>
      </c>
      <c r="O3630">
        <v>-0.70662930000000002</v>
      </c>
      <c r="P3630">
        <v>0.60377539999999996</v>
      </c>
      <c r="Q3630">
        <v>-1.7437379999999999E-2</v>
      </c>
      <c r="R3630">
        <v>-0.79696400000000001</v>
      </c>
      <c r="S3630">
        <v>0.9870911</v>
      </c>
      <c r="T3630">
        <v>0.48209570000000002</v>
      </c>
      <c r="U3630">
        <v>-3.037903</v>
      </c>
      <c r="V3630">
        <v>0.13706960000000001</v>
      </c>
      <c r="W3630">
        <v>2.7063489999999998E-3</v>
      </c>
      <c r="X3630">
        <v>0.99055769999999999</v>
      </c>
      <c r="Y3630">
        <v>0.45522390000000001</v>
      </c>
      <c r="Z3630">
        <v>-8.0257739999999994E-2</v>
      </c>
      <c r="AA3630">
        <v>0.8867524</v>
      </c>
      <c r="AB3630">
        <v>10</v>
      </c>
      <c r="AC3630">
        <v>0.11590000000001</v>
      </c>
      <c r="AD3630">
        <v>9.3237999999999904E-2</v>
      </c>
      <c r="AE3630">
        <v>-0.49969999999998999</v>
      </c>
      <c r="AF3630">
        <v>0.26290009564460198</v>
      </c>
      <c r="AG3630">
        <v>9.3237999999999904E-2</v>
      </c>
      <c r="AH3630">
        <v>0.421254041382639</v>
      </c>
      <c r="AI3630">
        <v>79.365511823414593</v>
      </c>
      <c r="AJ3630">
        <v>58.0321586429598</v>
      </c>
      <c r="AK3630">
        <v>0.50523732276539801</v>
      </c>
      <c r="AL3630">
        <v>89.844937431757003</v>
      </c>
      <c r="AM3630">
        <v>82.121658886364997</v>
      </c>
      <c r="AN3630">
        <v>0.99999997829917897</v>
      </c>
    </row>
    <row r="3631" spans="1:40" x14ac:dyDescent="0.25">
      <c r="A3631" t="str">
        <f>"20190312161038939"</f>
        <v>20190312161038939</v>
      </c>
      <c r="B3631" t="str">
        <f>"1552378238930270"</f>
        <v>1552378238930270</v>
      </c>
      <c r="C3631" t="s">
        <v>40</v>
      </c>
      <c r="D3631">
        <v>5.8374290000000002</v>
      </c>
      <c r="E3631">
        <v>0.68156810000000001</v>
      </c>
      <c r="F3631" t="s">
        <v>56</v>
      </c>
      <c r="G3631">
        <v>-169.2876</v>
      </c>
      <c r="H3631">
        <v>29.606860000000001</v>
      </c>
      <c r="I3631">
        <v>93.999499999999998</v>
      </c>
      <c r="J3631">
        <v>-192.75389999999999</v>
      </c>
      <c r="K3631">
        <v>1.109281</v>
      </c>
      <c r="L3631">
        <v>207.12610000000001</v>
      </c>
      <c r="M3631">
        <v>0.70209460000000001</v>
      </c>
      <c r="N3631">
        <v>0</v>
      </c>
      <c r="O3631">
        <v>-0.71178409999999903</v>
      </c>
      <c r="P3631">
        <v>0.59806789999999999</v>
      </c>
      <c r="Q3631">
        <v>-1.7026960000000001E-2</v>
      </c>
      <c r="R3631">
        <v>-0.8012648</v>
      </c>
      <c r="S3631">
        <v>0.67927550000000003</v>
      </c>
      <c r="T3631">
        <v>0.82257530000000001</v>
      </c>
      <c r="U3631">
        <v>-3.2676539999999998</v>
      </c>
      <c r="V3631">
        <v>0.1369119</v>
      </c>
      <c r="W3631">
        <v>2.8126840000000002E-3</v>
      </c>
      <c r="X3631">
        <v>0.99057919999999999</v>
      </c>
      <c r="Y3631">
        <v>0.54264999999999997</v>
      </c>
      <c r="Z3631">
        <v>-0.12159979999999999</v>
      </c>
      <c r="AA3631">
        <v>0.83111039999999903</v>
      </c>
      <c r="AB3631">
        <v>10</v>
      </c>
      <c r="AC3631">
        <v>23.466299999999901</v>
      </c>
      <c r="AD3631">
        <v>28.497579000000002</v>
      </c>
      <c r="AE3631">
        <v>-113.1266</v>
      </c>
      <c r="AF3631">
        <v>59.138050982988901</v>
      </c>
      <c r="AG3631">
        <v>28.497579000000002</v>
      </c>
      <c r="AH3631">
        <v>91.453904702111203</v>
      </c>
      <c r="AI3631">
        <v>75.336483337346493</v>
      </c>
      <c r="AJ3631">
        <v>57.111543471366097</v>
      </c>
      <c r="AK3631">
        <v>112.575475873703</v>
      </c>
      <c r="AL3631">
        <v>89.838844859649498</v>
      </c>
      <c r="AM3631">
        <v>82.130778034947397</v>
      </c>
      <c r="AN3631">
        <v>0.99999996551276604</v>
      </c>
    </row>
    <row r="3632" spans="1:40" x14ac:dyDescent="0.25">
      <c r="A3632" t="str">
        <f>"20190312161038958"</f>
        <v>20190312161038958</v>
      </c>
      <c r="B3632" t="str">
        <f>"1552378238949788"</f>
        <v>1552378238949788</v>
      </c>
      <c r="C3632" t="s">
        <v>40</v>
      </c>
      <c r="D3632">
        <v>5.6422169999999996</v>
      </c>
      <c r="E3632">
        <v>0.68209960000000003</v>
      </c>
      <c r="F3632" t="s">
        <v>56</v>
      </c>
      <c r="G3632">
        <v>-168.8691</v>
      </c>
      <c r="H3632">
        <v>32.784779999999998</v>
      </c>
      <c r="I3632">
        <v>83.521429999999995</v>
      </c>
      <c r="J3632">
        <v>-192.6961</v>
      </c>
      <c r="K3632">
        <v>1.109318</v>
      </c>
      <c r="L3632">
        <v>207.05629999999999</v>
      </c>
      <c r="M3632">
        <v>0.69748580000000004</v>
      </c>
      <c r="N3632">
        <v>0</v>
      </c>
      <c r="O3632">
        <v>-0.71630850000000001</v>
      </c>
      <c r="P3632">
        <v>0.59283269999999899</v>
      </c>
      <c r="Q3632">
        <v>-1.6801219999999999E-2</v>
      </c>
      <c r="R3632">
        <v>-0.8051507</v>
      </c>
      <c r="S3632">
        <v>0.63531490000000002</v>
      </c>
      <c r="T3632">
        <v>0.84253849999999997</v>
      </c>
      <c r="U3632">
        <v>-3.287766</v>
      </c>
      <c r="V3632">
        <v>0.1369725</v>
      </c>
      <c r="W3632">
        <v>2.7883650000000001E-3</v>
      </c>
      <c r="X3632">
        <v>0.99057090000000003</v>
      </c>
      <c r="Y3632">
        <v>0.54887030000000003</v>
      </c>
      <c r="Z3632">
        <v>-0.1247603</v>
      </c>
      <c r="AA3632">
        <v>0.82654479999999997</v>
      </c>
      <c r="AB3632">
        <v>10</v>
      </c>
      <c r="AC3632">
        <v>23.827000000000002</v>
      </c>
      <c r="AD3632">
        <v>31.675462</v>
      </c>
      <c r="AE3632">
        <v>-123.534869999999</v>
      </c>
      <c r="AF3632">
        <v>64.991078303915103</v>
      </c>
      <c r="AG3632">
        <v>31.675462</v>
      </c>
      <c r="AH3632">
        <v>98.863230743782907</v>
      </c>
      <c r="AI3632">
        <v>75.011838161261096</v>
      </c>
      <c r="AJ3632">
        <v>56.679732011481001</v>
      </c>
      <c r="AK3632">
        <v>122.479033083697</v>
      </c>
      <c r="AL3632">
        <v>89.840238242632594</v>
      </c>
      <c r="AM3632">
        <v>82.127273484062997</v>
      </c>
      <c r="AN3632">
        <v>0.99999997433121601</v>
      </c>
    </row>
    <row r="3633" spans="1:40" x14ac:dyDescent="0.25">
      <c r="A3633" t="str">
        <f>"20190312161038979"</f>
        <v>20190312161038979</v>
      </c>
      <c r="B3633" t="str">
        <f>"1552378238970286"</f>
        <v>1552378238970286</v>
      </c>
      <c r="C3633" t="s">
        <v>40</v>
      </c>
      <c r="D3633">
        <v>4.9268130000000001</v>
      </c>
      <c r="E3633">
        <v>0.6817763</v>
      </c>
      <c r="F3633" t="s">
        <v>56</v>
      </c>
      <c r="G3633">
        <v>-168.86940000000001</v>
      </c>
      <c r="H3633">
        <v>33.860190000000003</v>
      </c>
      <c r="I3633">
        <v>78.314300000000003</v>
      </c>
      <c r="J3633">
        <v>-192.6377</v>
      </c>
      <c r="K3633">
        <v>1.109345</v>
      </c>
      <c r="L3633">
        <v>206.98500000000001</v>
      </c>
      <c r="M3633">
        <v>0.69276359999999904</v>
      </c>
      <c r="N3633">
        <v>0</v>
      </c>
      <c r="O3633">
        <v>-0.72088339999999995</v>
      </c>
      <c r="P3633">
        <v>0.58758469999999996</v>
      </c>
      <c r="Q3633">
        <v>-1.6561240000000001E-2</v>
      </c>
      <c r="R3633">
        <v>-0.80899330000000003</v>
      </c>
      <c r="S3633">
        <v>0.60974119999999998</v>
      </c>
      <c r="T3633">
        <v>0.8381189</v>
      </c>
      <c r="U3633">
        <v>-3.2946010000000001</v>
      </c>
      <c r="V3633">
        <v>0.13690239999999901</v>
      </c>
      <c r="W3633">
        <v>2.7888420000000001E-3</v>
      </c>
      <c r="X3633">
        <v>0.99058060000000003</v>
      </c>
      <c r="Y3633">
        <v>0.54992909999999995</v>
      </c>
      <c r="Z3633">
        <v>-0.12539610000000001</v>
      </c>
      <c r="AA3633">
        <v>0.82574429999999999</v>
      </c>
      <c r="AB3633">
        <v>10</v>
      </c>
      <c r="AC3633">
        <v>23.768299999999901</v>
      </c>
      <c r="AD3633">
        <v>32.750844999999998</v>
      </c>
      <c r="AE3633">
        <v>-128.67070000000001</v>
      </c>
      <c r="AF3633">
        <v>67.772913353605901</v>
      </c>
      <c r="AG3633">
        <v>32.750844999999998</v>
      </c>
      <c r="AH3633">
        <v>102.803985932161</v>
      </c>
      <c r="AI3633">
        <v>75.105393778880099</v>
      </c>
      <c r="AJ3633">
        <v>56.605370830503098</v>
      </c>
      <c r="AK3633">
        <v>127.414462115528</v>
      </c>
      <c r="AL3633">
        <v>89.840210914132498</v>
      </c>
      <c r="AM3633">
        <v>82.131328203624705</v>
      </c>
      <c r="AN3633">
        <v>0.99999998493091002</v>
      </c>
    </row>
    <row r="3634" spans="1:40" x14ac:dyDescent="0.25">
      <c r="A3634" t="str">
        <f>"20190312161039002"</f>
        <v>20190312161039002</v>
      </c>
      <c r="B3634" t="str">
        <f>"1552378238989804"</f>
        <v>1552378238989804</v>
      </c>
      <c r="C3634" t="s">
        <v>40</v>
      </c>
      <c r="D3634">
        <v>5.2221080000000004</v>
      </c>
      <c r="E3634">
        <v>0.68217130000000004</v>
      </c>
      <c r="F3634" t="s">
        <v>56</v>
      </c>
      <c r="G3634">
        <v>-169.3169</v>
      </c>
      <c r="H3634">
        <v>34.039790000000004</v>
      </c>
      <c r="I3634">
        <v>76.556780000000003</v>
      </c>
      <c r="J3634">
        <v>-192.57220000000001</v>
      </c>
      <c r="K3634">
        <v>1.1093820000000001</v>
      </c>
      <c r="L3634">
        <v>206.90389999999999</v>
      </c>
      <c r="M3634">
        <v>0.68738080000000001</v>
      </c>
      <c r="N3634">
        <v>0</v>
      </c>
      <c r="O3634">
        <v>-0.72602559999999905</v>
      </c>
      <c r="P3634">
        <v>0.58143299999999998</v>
      </c>
      <c r="Q3634">
        <v>-1.6097739999999999E-2</v>
      </c>
      <c r="R3634">
        <v>-0.81343509999999997</v>
      </c>
      <c r="S3634">
        <v>0.58953859999999902</v>
      </c>
      <c r="T3634">
        <v>0.83246620000000005</v>
      </c>
      <c r="U3634">
        <v>-3.2971650000000001</v>
      </c>
      <c r="V3634">
        <v>0.13704569999999999</v>
      </c>
      <c r="W3634">
        <v>2.990543E-3</v>
      </c>
      <c r="X3634">
        <v>0.9905602</v>
      </c>
      <c r="Y3634">
        <v>0.54879860000000003</v>
      </c>
      <c r="Z3634">
        <v>-0.1263725</v>
      </c>
      <c r="AA3634">
        <v>0.82634739999999995</v>
      </c>
      <c r="AB3634">
        <v>10</v>
      </c>
      <c r="AC3634">
        <v>23.255299999999998</v>
      </c>
      <c r="AD3634">
        <v>32.930408</v>
      </c>
      <c r="AE3634">
        <v>-130.34711999999999</v>
      </c>
      <c r="AF3634">
        <v>68.491865504042593</v>
      </c>
      <c r="AG3634">
        <v>32.930408</v>
      </c>
      <c r="AH3634">
        <v>104.19717825617199</v>
      </c>
      <c r="AI3634">
        <v>75.206330243103807</v>
      </c>
      <c r="AJ3634">
        <v>56.681906407253699</v>
      </c>
      <c r="AK3634">
        <v>128.96743529984099</v>
      </c>
      <c r="AL3634">
        <v>89.828654250280806</v>
      </c>
      <c r="AM3634">
        <v>82.1230349705138</v>
      </c>
      <c r="AN3634">
        <v>0.99999998852998195</v>
      </c>
    </row>
    <row r="3635" spans="1:40" x14ac:dyDescent="0.25">
      <c r="A3635" t="str">
        <f>"20190312161039023"</f>
        <v>20190312161039023</v>
      </c>
      <c r="B3635" t="str">
        <f>"1552378239020060"</f>
        <v>1552378239020060</v>
      </c>
      <c r="C3635" t="s">
        <v>40</v>
      </c>
      <c r="D3635">
        <v>4.9493039999999997</v>
      </c>
      <c r="E3635">
        <v>0.67958319999999905</v>
      </c>
      <c r="F3635" t="s">
        <v>42</v>
      </c>
      <c r="G3635">
        <v>-192.4778</v>
      </c>
      <c r="H3635">
        <v>1.2493339999999999</v>
      </c>
      <c r="I3635">
        <v>206.34889999999999</v>
      </c>
      <c r="J3635">
        <v>-192.51329999999999</v>
      </c>
      <c r="K3635">
        <v>1.109405</v>
      </c>
      <c r="L3635">
        <v>206.82990000000001</v>
      </c>
      <c r="M3635">
        <v>0.68246090000000004</v>
      </c>
      <c r="N3635">
        <v>0</v>
      </c>
      <c r="O3635">
        <v>-0.73065880000000005</v>
      </c>
      <c r="P3635">
        <v>0.57639459999999998</v>
      </c>
      <c r="Q3635">
        <v>-1.5852629999999999E-2</v>
      </c>
      <c r="R3635">
        <v>-0.81701769999999996</v>
      </c>
      <c r="S3635">
        <v>0.56213380000000002</v>
      </c>
      <c r="T3635">
        <v>0.83290789999999904</v>
      </c>
      <c r="U3635">
        <v>-3.302765</v>
      </c>
      <c r="V3635">
        <v>0.13647500000000001</v>
      </c>
      <c r="W3635">
        <v>3.0034179999999999E-3</v>
      </c>
      <c r="X3635">
        <v>0.99063900000000005</v>
      </c>
      <c r="Y3635">
        <v>0.55007930000000005</v>
      </c>
      <c r="Z3635">
        <v>-0.1277345</v>
      </c>
      <c r="AA3635">
        <v>0.82528579999999996</v>
      </c>
      <c r="AB3635">
        <v>10</v>
      </c>
      <c r="AC3635">
        <v>3.5499999999984697E-2</v>
      </c>
      <c r="AD3635">
        <v>0.139928999999999</v>
      </c>
      <c r="AE3635">
        <v>-0.48100000000002302</v>
      </c>
      <c r="AF3635">
        <v>0.27890738768951501</v>
      </c>
      <c r="AG3635">
        <v>0.139928999999999</v>
      </c>
      <c r="AH3635">
        <v>0.34657476671415</v>
      </c>
      <c r="AI3635">
        <v>72.539355652651906</v>
      </c>
      <c r="AJ3635">
        <v>51.174492817459502</v>
      </c>
      <c r="AK3635">
        <v>0.46635128912843898</v>
      </c>
      <c r="AL3635">
        <v>89.827916572179205</v>
      </c>
      <c r="AM3635">
        <v>82.156044048790307</v>
      </c>
      <c r="AN3635">
        <v>1.0000000372328399</v>
      </c>
    </row>
    <row r="3636" spans="1:40" x14ac:dyDescent="0.25">
      <c r="A3636" t="str">
        <f>"20190312161039045"</f>
        <v>20190312161039045</v>
      </c>
      <c r="B3636" t="str">
        <f>"1552378239040556"</f>
        <v>1552378239040556</v>
      </c>
      <c r="C3636" t="s">
        <v>40</v>
      </c>
      <c r="D3636">
        <v>5.1823930000000002</v>
      </c>
      <c r="E3636">
        <v>0.67837009999999998</v>
      </c>
      <c r="F3636" t="s">
        <v>42</v>
      </c>
      <c r="G3636">
        <v>-192.42070000000001</v>
      </c>
      <c r="H3636">
        <v>1.2488790000000001</v>
      </c>
      <c r="I3636">
        <v>206.2842</v>
      </c>
      <c r="J3636">
        <v>-192.4539</v>
      </c>
      <c r="K3636">
        <v>1.109415</v>
      </c>
      <c r="L3636">
        <v>206.75409999999999</v>
      </c>
      <c r="M3636">
        <v>0.67740149999999999</v>
      </c>
      <c r="N3636">
        <v>0</v>
      </c>
      <c r="O3636">
        <v>-0.73535879999999998</v>
      </c>
      <c r="P3636">
        <v>0.57080949999999997</v>
      </c>
      <c r="Q3636">
        <v>-1.6362979999999999E-2</v>
      </c>
      <c r="R3636">
        <v>-0.82091950000000002</v>
      </c>
      <c r="S3636">
        <v>0.55896000000000001</v>
      </c>
      <c r="T3636">
        <v>0.84187540000000005</v>
      </c>
      <c r="U3636">
        <v>-3.2938689999999999</v>
      </c>
      <c r="V3636">
        <v>0.13637839999999901</v>
      </c>
      <c r="W3636">
        <v>2.241435E-3</v>
      </c>
      <c r="X3636">
        <v>0.99065429999999999</v>
      </c>
      <c r="Y3636">
        <v>0.54481829999999998</v>
      </c>
      <c r="Z3636">
        <v>-0.13146759999999999</v>
      </c>
      <c r="AA3636">
        <v>0.82818429999999998</v>
      </c>
      <c r="AB3636">
        <v>10</v>
      </c>
      <c r="AC3636">
        <v>3.3199999999993603E-2</v>
      </c>
      <c r="AD3636">
        <v>0.139464</v>
      </c>
      <c r="AE3636">
        <v>-0.46989999999999499</v>
      </c>
      <c r="AF3636">
        <v>0.27026358047092403</v>
      </c>
      <c r="AG3636">
        <v>0.139464</v>
      </c>
      <c r="AH3636">
        <v>0.33843963374855801</v>
      </c>
      <c r="AI3636">
        <v>72.151110665790895</v>
      </c>
      <c r="AJ3636">
        <v>51.390615540339802</v>
      </c>
      <c r="AK3636">
        <v>0.45500988551549298</v>
      </c>
      <c r="AL3636">
        <v>89.871575129103107</v>
      </c>
      <c r="AM3636">
        <v>82.1616466865908</v>
      </c>
      <c r="AN3636">
        <v>1.0000000170629499</v>
      </c>
    </row>
    <row r="3637" spans="1:40" x14ac:dyDescent="0.25">
      <c r="A3637" t="str">
        <f>"20190312161039068"</f>
        <v>20190312161039068</v>
      </c>
      <c r="B3637" t="str">
        <f>"1552378239060076"</f>
        <v>1552378239060076</v>
      </c>
      <c r="C3637" t="s">
        <v>40</v>
      </c>
      <c r="D3637">
        <v>5.4765389999999998</v>
      </c>
      <c r="E3637">
        <v>0.67641700000000005</v>
      </c>
      <c r="F3637" t="s">
        <v>56</v>
      </c>
      <c r="G3637">
        <v>-169.68350000000001</v>
      </c>
      <c r="H3637">
        <v>36.73272</v>
      </c>
      <c r="I3637">
        <v>68.973579999999998</v>
      </c>
      <c r="J3637">
        <v>-192.39259999999999</v>
      </c>
      <c r="K3637">
        <v>1.109405</v>
      </c>
      <c r="L3637">
        <v>206.6747</v>
      </c>
      <c r="M3637">
        <v>0.67207600000000001</v>
      </c>
      <c r="N3637">
        <v>0</v>
      </c>
      <c r="O3637">
        <v>-0.74023689999999998</v>
      </c>
      <c r="P3637">
        <v>0.56468640000000003</v>
      </c>
      <c r="Q3637">
        <v>-1.673388E-2</v>
      </c>
      <c r="R3637">
        <v>-0.82513599999999998</v>
      </c>
      <c r="S3637">
        <v>0.54422000000000004</v>
      </c>
      <c r="T3637">
        <v>0.85140859999999996</v>
      </c>
      <c r="U3637">
        <v>-3.292999</v>
      </c>
      <c r="V3637">
        <v>0.13658489999999901</v>
      </c>
      <c r="W3637">
        <v>1.5862610000000001E-3</v>
      </c>
      <c r="X3637">
        <v>0.99062709999999998</v>
      </c>
      <c r="Y3637">
        <v>0.54241059999999996</v>
      </c>
      <c r="Z3637">
        <v>-0.1348557</v>
      </c>
      <c r="AA3637">
        <v>0.82921929999999999</v>
      </c>
      <c r="AB3637">
        <v>10</v>
      </c>
      <c r="AC3637">
        <v>22.7090999999999</v>
      </c>
      <c r="AD3637">
        <v>35.623314999999998</v>
      </c>
      <c r="AE3637">
        <v>-137.70112</v>
      </c>
      <c r="AF3637">
        <v>71.115795187683503</v>
      </c>
      <c r="AG3637">
        <v>35.623314999999998</v>
      </c>
      <c r="AH3637">
        <v>110.045118753249</v>
      </c>
      <c r="AI3637">
        <v>74.7899082413456</v>
      </c>
      <c r="AJ3637">
        <v>57.127751594582598</v>
      </c>
      <c r="AK3637">
        <v>135.78072417755899</v>
      </c>
      <c r="AL3637">
        <v>89.909113901487203</v>
      </c>
      <c r="AM3637">
        <v>82.149713099381501</v>
      </c>
      <c r="AN3637">
        <v>1.00000000119319</v>
      </c>
    </row>
    <row r="3638" spans="1:40" x14ac:dyDescent="0.25">
      <c r="A3638" t="str">
        <f>"20190312161039091"</f>
        <v>20190312161039091</v>
      </c>
      <c r="B3638" t="str">
        <f>"1552378239080572"</f>
        <v>1552378239080572</v>
      </c>
      <c r="C3638" t="s">
        <v>40</v>
      </c>
      <c r="D3638">
        <v>4.8943779999999997</v>
      </c>
      <c r="E3638">
        <v>0.67455659999999995</v>
      </c>
      <c r="F3638" t="s">
        <v>57</v>
      </c>
      <c r="G3638">
        <v>-167.43090000000001</v>
      </c>
      <c r="H3638">
        <v>40.514429999999997</v>
      </c>
      <c r="I3638">
        <v>52.638840000000002</v>
      </c>
      <c r="J3638">
        <v>-192.334</v>
      </c>
      <c r="K3638">
        <v>1.109394</v>
      </c>
      <c r="L3638">
        <v>206.5977</v>
      </c>
      <c r="M3638">
        <v>0.66690269999999996</v>
      </c>
      <c r="N3638">
        <v>0</v>
      </c>
      <c r="O3638">
        <v>-0.74490859999999903</v>
      </c>
      <c r="P3638">
        <v>0.55876359999999903</v>
      </c>
      <c r="Q3638">
        <v>-1.6894820000000001E-2</v>
      </c>
      <c r="R3638">
        <v>-0.82915499999999998</v>
      </c>
      <c r="S3638">
        <v>0.5328522</v>
      </c>
      <c r="T3638">
        <v>0.841172699999999</v>
      </c>
      <c r="U3638">
        <v>-3.2881770000000001</v>
      </c>
      <c r="V3638">
        <v>0.13676779999999999</v>
      </c>
      <c r="W3638">
        <v>1.1385119999999999E-3</v>
      </c>
      <c r="X3638">
        <v>0.99060250000000005</v>
      </c>
      <c r="Y3638">
        <v>0.53923840000000001</v>
      </c>
      <c r="Z3638">
        <v>-0.13540839999999901</v>
      </c>
      <c r="AA3638">
        <v>0.83119580000000004</v>
      </c>
      <c r="AB3638">
        <v>9</v>
      </c>
      <c r="AC3638">
        <v>24.903099999999899</v>
      </c>
      <c r="AD3638">
        <v>39.405036000000003</v>
      </c>
      <c r="AE3638">
        <v>-153.95885999999999</v>
      </c>
      <c r="AF3638">
        <v>79.090872303649604</v>
      </c>
      <c r="AG3638">
        <v>39.405036000000003</v>
      </c>
      <c r="AH3638">
        <v>123.43643253508</v>
      </c>
      <c r="AI3638">
        <v>74.955027953508605</v>
      </c>
      <c r="AJ3638">
        <v>57.350618440901002</v>
      </c>
      <c r="AK3638">
        <v>151.804729244187</v>
      </c>
      <c r="AL3638">
        <v>89.934768054698097</v>
      </c>
      <c r="AM3638">
        <v>82.139139390506202</v>
      </c>
      <c r="AN3638">
        <v>1.0000000201663299</v>
      </c>
    </row>
    <row r="3639" spans="1:40" x14ac:dyDescent="0.25">
      <c r="A3639" t="str">
        <f>"20190312161039115"</f>
        <v>20190312161039115</v>
      </c>
      <c r="B3639" t="str">
        <f>"1552378239109852"</f>
        <v>1552378239109852</v>
      </c>
      <c r="C3639" t="s">
        <v>40</v>
      </c>
      <c r="D3639">
        <v>5.0107759999999999</v>
      </c>
      <c r="E3639">
        <v>0.67254780000000003</v>
      </c>
      <c r="F3639" t="s">
        <v>57</v>
      </c>
      <c r="G3639">
        <v>-167.8716</v>
      </c>
      <c r="H3639">
        <v>40.277979999999999</v>
      </c>
      <c r="I3639">
        <v>52.638840000000002</v>
      </c>
      <c r="J3639">
        <v>-192.26990000000001</v>
      </c>
      <c r="K3639">
        <v>1.1093839999999999</v>
      </c>
      <c r="L3639">
        <v>206.51230000000001</v>
      </c>
      <c r="M3639">
        <v>0.66116269999999999</v>
      </c>
      <c r="N3639">
        <v>0</v>
      </c>
      <c r="O3639">
        <v>-0.75001600000000002</v>
      </c>
      <c r="P3639">
        <v>0.55175839999999998</v>
      </c>
      <c r="Q3639">
        <v>-1.6840580000000001E-2</v>
      </c>
      <c r="R3639">
        <v>-0.83383419999999897</v>
      </c>
      <c r="S3639">
        <v>0.52172850000000004</v>
      </c>
      <c r="T3639">
        <v>0.83538259999999898</v>
      </c>
      <c r="U3639">
        <v>-3.2836150000000002</v>
      </c>
      <c r="V3639">
        <v>0.13750039999999999</v>
      </c>
      <c r="W3639">
        <v>8.7291389999999999E-4</v>
      </c>
      <c r="X3639">
        <v>0.99050130000000003</v>
      </c>
      <c r="Y3639">
        <v>0.53542380000000001</v>
      </c>
      <c r="Z3639">
        <v>-0.136803799999999</v>
      </c>
      <c r="AA3639">
        <v>0.83343029999999996</v>
      </c>
      <c r="AB3639">
        <v>9</v>
      </c>
      <c r="AC3639">
        <v>24.398299999999999</v>
      </c>
      <c r="AD3639">
        <v>39.168596000000001</v>
      </c>
      <c r="AE3639">
        <v>-153.87345999999999</v>
      </c>
      <c r="AF3639">
        <v>78.489386177422901</v>
      </c>
      <c r="AG3639">
        <v>39.168596000000001</v>
      </c>
      <c r="AH3639">
        <v>123.73993998974601</v>
      </c>
      <c r="AI3639">
        <v>75.034670003068896</v>
      </c>
      <c r="AJ3639">
        <v>57.612666621229202</v>
      </c>
      <c r="AK3639">
        <v>151.67839465060899</v>
      </c>
      <c r="AL3639">
        <v>89.949985709981604</v>
      </c>
      <c r="AM3639">
        <v>82.096765888481599</v>
      </c>
      <c r="AN3639">
        <v>0.99999997364026305</v>
      </c>
    </row>
    <row r="3640" spans="1:40" x14ac:dyDescent="0.25">
      <c r="A3640" t="str">
        <f>"20190312161039136"</f>
        <v>20190312161039136</v>
      </c>
      <c r="B3640" t="str">
        <f>"1552378239130350"</f>
        <v>1552378239130350</v>
      </c>
      <c r="C3640" t="s">
        <v>40</v>
      </c>
      <c r="D3640">
        <v>5.4013400000000003</v>
      </c>
      <c r="E3640">
        <v>0.6713538</v>
      </c>
      <c r="F3640" t="s">
        <v>57</v>
      </c>
      <c r="G3640">
        <v>-168.44659999999999</v>
      </c>
      <c r="H3640">
        <v>39.688029999999998</v>
      </c>
      <c r="I3640">
        <v>52.638840000000002</v>
      </c>
      <c r="J3640">
        <v>-192.2193</v>
      </c>
      <c r="K3640">
        <v>1.109381</v>
      </c>
      <c r="L3640">
        <v>206.44390000000001</v>
      </c>
      <c r="M3640">
        <v>0.6565645</v>
      </c>
      <c r="N3640">
        <v>0</v>
      </c>
      <c r="O3640">
        <v>-0.75405089999999997</v>
      </c>
      <c r="P3640">
        <v>0.54598849999999999</v>
      </c>
      <c r="Q3640">
        <v>-1.6755840000000001E-2</v>
      </c>
      <c r="R3640">
        <v>-0.83762539999999996</v>
      </c>
      <c r="S3640">
        <v>0.50759889999999996</v>
      </c>
      <c r="T3640">
        <v>0.82198700000000002</v>
      </c>
      <c r="U3640">
        <v>-3.2785489999999999</v>
      </c>
      <c r="V3640">
        <v>0.1382786</v>
      </c>
      <c r="W3640">
        <v>7.0506729999999997E-4</v>
      </c>
      <c r="X3640">
        <v>0.99039310000000003</v>
      </c>
      <c r="Y3640">
        <v>0.53362209999999999</v>
      </c>
      <c r="Z3640">
        <v>-0.13645869999999999</v>
      </c>
      <c r="AA3640">
        <v>0.83464150000000004</v>
      </c>
      <c r="AB3640">
        <v>9</v>
      </c>
      <c r="AC3640">
        <v>23.7727</v>
      </c>
      <c r="AD3640">
        <v>38.578648999999999</v>
      </c>
      <c r="AE3640">
        <v>-153.80506</v>
      </c>
      <c r="AF3640">
        <v>78.261891445523801</v>
      </c>
      <c r="AG3640">
        <v>38.578648999999999</v>
      </c>
      <c r="AH3640">
        <v>123.988208801686</v>
      </c>
      <c r="AI3640">
        <v>75.258658358532699</v>
      </c>
      <c r="AJ3640">
        <v>57.739702780258</v>
      </c>
      <c r="AK3640">
        <v>151.61237328511999</v>
      </c>
      <c r="AL3640">
        <v>89.959602615299801</v>
      </c>
      <c r="AM3640">
        <v>82.051749381390493</v>
      </c>
      <c r="AN3640">
        <v>0.99999998043273297</v>
      </c>
    </row>
    <row r="3641" spans="1:40" x14ac:dyDescent="0.25">
      <c r="A3641" t="str">
        <f>"20190312161039157"</f>
        <v>20190312161039157</v>
      </c>
      <c r="B3641" t="str">
        <f>"1552378239149869"</f>
        <v>1552378239149869</v>
      </c>
      <c r="C3641" t="s">
        <v>40</v>
      </c>
      <c r="D3641">
        <v>5.3057309999999998</v>
      </c>
      <c r="E3641">
        <v>0.66917159999999998</v>
      </c>
      <c r="F3641" t="s">
        <v>57</v>
      </c>
      <c r="G3641">
        <v>-169.0951</v>
      </c>
      <c r="H3641">
        <v>39.333460000000002</v>
      </c>
      <c r="I3641">
        <v>52.544620000000002</v>
      </c>
      <c r="J3641">
        <v>-192.1636</v>
      </c>
      <c r="K3641">
        <v>1.1093759999999999</v>
      </c>
      <c r="L3641">
        <v>206.36750000000001</v>
      </c>
      <c r="M3641">
        <v>0.65143280000000003</v>
      </c>
      <c r="N3641">
        <v>0</v>
      </c>
      <c r="O3641">
        <v>-0.75849519999999904</v>
      </c>
      <c r="P3641">
        <v>0.54014050000000002</v>
      </c>
      <c r="Q3641">
        <v>-1.6276769999999999E-2</v>
      </c>
      <c r="R3641">
        <v>-0.84141739999999998</v>
      </c>
      <c r="S3641">
        <v>0.49237059999999999</v>
      </c>
      <c r="T3641">
        <v>0.81388260000000001</v>
      </c>
      <c r="U3641">
        <v>-3.2768860000000002</v>
      </c>
      <c r="V3641">
        <v>0.13845979999999999</v>
      </c>
      <c r="W3641">
        <v>9.1106100000000001E-4</v>
      </c>
      <c r="X3641">
        <v>0.99036769999999996</v>
      </c>
      <c r="Y3641">
        <v>0.53166950000000002</v>
      </c>
      <c r="Z3641">
        <v>-0.13692939999999901</v>
      </c>
      <c r="AA3641">
        <v>0.83580969999999999</v>
      </c>
      <c r="AB3641">
        <v>9</v>
      </c>
      <c r="AC3641">
        <v>23.0685</v>
      </c>
      <c r="AD3641">
        <v>38.224083999999998</v>
      </c>
      <c r="AE3641">
        <v>-153.82288</v>
      </c>
      <c r="AF3641">
        <v>78.010058741173395</v>
      </c>
      <c r="AG3641">
        <v>38.224083999999998</v>
      </c>
      <c r="AH3641">
        <v>124.220762626408</v>
      </c>
      <c r="AI3641">
        <v>75.394289549080497</v>
      </c>
      <c r="AJ3641">
        <v>57.871370955869601</v>
      </c>
      <c r="AK3641">
        <v>151.58313801319301</v>
      </c>
      <c r="AL3641">
        <v>89.947800045926201</v>
      </c>
      <c r="AM3641">
        <v>82.041265879764197</v>
      </c>
      <c r="AN3641">
        <v>1.00000006372573</v>
      </c>
    </row>
    <row r="3642" spans="1:40" x14ac:dyDescent="0.25">
      <c r="A3642" t="str">
        <f>"20190312161039180"</f>
        <v>20190312161039180</v>
      </c>
      <c r="B3642" t="str">
        <f>"1552378239170365"</f>
        <v>1552378239170365</v>
      </c>
      <c r="C3642" t="s">
        <v>40</v>
      </c>
      <c r="D3642">
        <v>5.0542369999999996</v>
      </c>
      <c r="E3642">
        <v>0.66867849999999995</v>
      </c>
      <c r="F3642" t="s">
        <v>42</v>
      </c>
      <c r="G3642">
        <v>-192.08</v>
      </c>
      <c r="H3642">
        <v>1.2490969999999999</v>
      </c>
      <c r="I3642">
        <v>205.80160000000001</v>
      </c>
      <c r="J3642">
        <v>-192.1097</v>
      </c>
      <c r="K3642">
        <v>1.1093729999999999</v>
      </c>
      <c r="L3642">
        <v>206.29249999999999</v>
      </c>
      <c r="M3642">
        <v>0.64639749999999996</v>
      </c>
      <c r="N3642">
        <v>0</v>
      </c>
      <c r="O3642">
        <v>-0.76279719999999995</v>
      </c>
      <c r="P3642">
        <v>0.53479399999999999</v>
      </c>
      <c r="Q3642">
        <v>-1.6197739999999999E-2</v>
      </c>
      <c r="R3642">
        <v>-0.84482739999999901</v>
      </c>
      <c r="S3642">
        <v>0.4842072</v>
      </c>
      <c r="T3642">
        <v>0.80744910000000003</v>
      </c>
      <c r="U3642">
        <v>-3.2702330000000002</v>
      </c>
      <c r="V3642">
        <v>0.1381802</v>
      </c>
      <c r="W3642">
        <v>7.3129309999999997E-4</v>
      </c>
      <c r="X3642">
        <v>0.99040680000000003</v>
      </c>
      <c r="Y3642">
        <v>0.52792510000000004</v>
      </c>
      <c r="Z3642">
        <v>-0.1379263</v>
      </c>
      <c r="AA3642">
        <v>0.83801639999999999</v>
      </c>
      <c r="AB3642">
        <v>9</v>
      </c>
      <c r="AC3642">
        <v>2.9699999999991102E-2</v>
      </c>
      <c r="AD3642">
        <v>0.13972399999999899</v>
      </c>
      <c r="AE3642">
        <v>-0.49089999999998202</v>
      </c>
      <c r="AF3642">
        <v>0.27269584164198102</v>
      </c>
      <c r="AG3642">
        <v>0.13972399999999899</v>
      </c>
      <c r="AH3642">
        <v>0.364310026399077</v>
      </c>
      <c r="AI3642">
        <v>72.9313481937278</v>
      </c>
      <c r="AJ3642">
        <v>53.184159420637997</v>
      </c>
      <c r="AK3642">
        <v>0.47603320636246099</v>
      </c>
      <c r="AL3642">
        <v>89.958099986622599</v>
      </c>
      <c r="AM3642">
        <v>82.057441668647698</v>
      </c>
      <c r="AN3642">
        <v>0.99999996597393803</v>
      </c>
    </row>
    <row r="3643" spans="1:40" x14ac:dyDescent="0.25">
      <c r="A3643" t="str">
        <f>"20190312161039201"</f>
        <v>20190312161039201</v>
      </c>
      <c r="B3643" t="str">
        <f>"1552378239189885"</f>
        <v>1552378239189885</v>
      </c>
      <c r="C3643" t="s">
        <v>40</v>
      </c>
      <c r="D3643">
        <v>4.9327860000000001</v>
      </c>
      <c r="E3643">
        <v>0.66866199999999998</v>
      </c>
      <c r="F3643" t="s">
        <v>42</v>
      </c>
      <c r="G3643">
        <v>-192.03059999999999</v>
      </c>
      <c r="H3643">
        <v>1.245886</v>
      </c>
      <c r="I3643">
        <v>205.73779999999999</v>
      </c>
      <c r="J3643">
        <v>-192.0581</v>
      </c>
      <c r="K3643">
        <v>1.109372</v>
      </c>
      <c r="L3643">
        <v>206.2199</v>
      </c>
      <c r="M3643">
        <v>0.64151539999999996</v>
      </c>
      <c r="N3643">
        <v>0</v>
      </c>
      <c r="O3643">
        <v>-0.76691339999999997</v>
      </c>
      <c r="P3643">
        <v>0.52957589999999999</v>
      </c>
      <c r="Q3643">
        <v>-1.5842209999999999E-2</v>
      </c>
      <c r="R3643">
        <v>-0.84811479999999995</v>
      </c>
      <c r="S3643">
        <v>0.46653749999999999</v>
      </c>
      <c r="T3643">
        <v>0.80498639999999999</v>
      </c>
      <c r="U3643">
        <v>-3.2710880000000002</v>
      </c>
      <c r="V3643">
        <v>0.1379649</v>
      </c>
      <c r="W3643">
        <v>8.4430360000000001E-4</v>
      </c>
      <c r="X3643">
        <v>0.99043680000000001</v>
      </c>
      <c r="Y3643">
        <v>0.52701249999999999</v>
      </c>
      <c r="Z3643">
        <v>-0.1389764</v>
      </c>
      <c r="AA3643">
        <v>0.83841719999999897</v>
      </c>
      <c r="AB3643">
        <v>9</v>
      </c>
      <c r="AC3643">
        <v>2.75000000000034E-2</v>
      </c>
      <c r="AD3643">
        <v>0.136514</v>
      </c>
      <c r="AE3643">
        <v>-0.48210000000000203</v>
      </c>
      <c r="AF3643">
        <v>0.26689687890118402</v>
      </c>
      <c r="AG3643">
        <v>0.136514</v>
      </c>
      <c r="AH3643">
        <v>0.358756374024988</v>
      </c>
      <c r="AI3643">
        <v>73.0225527479748</v>
      </c>
      <c r="AJ3643">
        <v>53.352588967147</v>
      </c>
      <c r="AK3643">
        <v>0.46752128514833502</v>
      </c>
      <c r="AL3643">
        <v>89.951624963310707</v>
      </c>
      <c r="AM3643">
        <v>82.069896632413005</v>
      </c>
      <c r="AN3643">
        <v>1.0000000406373999</v>
      </c>
    </row>
    <row r="3644" spans="1:40" x14ac:dyDescent="0.25">
      <c r="A3644" t="str">
        <f>"20190312161039224"</f>
        <v>20190312161039224</v>
      </c>
      <c r="B3644" t="str">
        <f>"1552378239220388"</f>
        <v>1552378239220388</v>
      </c>
      <c r="C3644" t="s">
        <v>40</v>
      </c>
      <c r="D3644">
        <v>4.9181530000000002</v>
      </c>
      <c r="E3644">
        <v>0.66923359999999998</v>
      </c>
      <c r="F3644" t="s">
        <v>42</v>
      </c>
      <c r="G3644">
        <v>-191.98339999999999</v>
      </c>
      <c r="H3644">
        <v>1.244286</v>
      </c>
      <c r="I3644">
        <v>205.67140000000001</v>
      </c>
      <c r="J3644">
        <v>-192.00389999999999</v>
      </c>
      <c r="K3644">
        <v>1.1093649999999999</v>
      </c>
      <c r="L3644">
        <v>206.14250000000001</v>
      </c>
      <c r="M3644">
        <v>0.63630900000000001</v>
      </c>
      <c r="N3644">
        <v>0</v>
      </c>
      <c r="O3644">
        <v>-0.77124469999999901</v>
      </c>
      <c r="P3644">
        <v>0.52418169999999997</v>
      </c>
      <c r="Q3644">
        <v>-1.5348779999999999E-2</v>
      </c>
      <c r="R3644">
        <v>-0.85146860000000002</v>
      </c>
      <c r="S3644">
        <v>0.44647219999999999</v>
      </c>
      <c r="T3644">
        <v>0.80506829999999996</v>
      </c>
      <c r="U3644">
        <v>-3.273514</v>
      </c>
      <c r="V3644">
        <v>0.137549799999999</v>
      </c>
      <c r="W3644">
        <v>1.077E-3</v>
      </c>
      <c r="X3644">
        <v>0.99049430000000005</v>
      </c>
      <c r="Y3644">
        <v>0.52642880000000003</v>
      </c>
      <c r="Z3644">
        <v>-0.14042789999999999</v>
      </c>
      <c r="AA3644">
        <v>0.83854200000000001</v>
      </c>
      <c r="AB3644">
        <v>9</v>
      </c>
      <c r="AC3644">
        <v>2.0499999999998401E-2</v>
      </c>
      <c r="AD3644">
        <v>0.13492100000000001</v>
      </c>
      <c r="AE3644">
        <v>-0.47110000000000701</v>
      </c>
      <c r="AF3644">
        <v>0.26250552654179199</v>
      </c>
      <c r="AG3644">
        <v>0.13492100000000001</v>
      </c>
      <c r="AH3644">
        <v>0.34794721061204797</v>
      </c>
      <c r="AI3644">
        <v>72.800130318463204</v>
      </c>
      <c r="AJ3644">
        <v>52.967612901500402</v>
      </c>
      <c r="AK3644">
        <v>0.45626756303586702</v>
      </c>
      <c r="AL3644">
        <v>89.938292435563298</v>
      </c>
      <c r="AM3644">
        <v>82.0939072121256</v>
      </c>
      <c r="AN3644">
        <v>1.0000000328707599</v>
      </c>
    </row>
    <row r="3645" spans="1:40" x14ac:dyDescent="0.25">
      <c r="A3645" t="str">
        <f>"20190312161039246"</f>
        <v>20190312161039246</v>
      </c>
      <c r="B3645" t="str">
        <f>"1552378239239909"</f>
        <v>1552378239239909</v>
      </c>
      <c r="C3645" t="s">
        <v>40</v>
      </c>
      <c r="D3645">
        <v>4.955908</v>
      </c>
      <c r="E3645">
        <v>0.66878930000000003</v>
      </c>
      <c r="F3645" t="s">
        <v>57</v>
      </c>
      <c r="G3645">
        <v>-168.9967</v>
      </c>
      <c r="H3645">
        <v>45.077060000000003</v>
      </c>
      <c r="I3645">
        <v>27.192039999999999</v>
      </c>
      <c r="J3645">
        <v>-191.95070000000001</v>
      </c>
      <c r="K3645">
        <v>1.109351</v>
      </c>
      <c r="L3645">
        <v>206.06549999999999</v>
      </c>
      <c r="M3645">
        <v>0.63113549999999996</v>
      </c>
      <c r="N3645">
        <v>0</v>
      </c>
      <c r="O3645">
        <v>-0.77549000000000001</v>
      </c>
      <c r="P3645">
        <v>0.51909259999999902</v>
      </c>
      <c r="Q3645">
        <v>-1.480918E-2</v>
      </c>
      <c r="R3645">
        <v>-0.85458979999999996</v>
      </c>
      <c r="S3645">
        <v>0.42149350000000002</v>
      </c>
      <c r="T3645">
        <v>0.80549419999999905</v>
      </c>
      <c r="U3645">
        <v>-3.278397</v>
      </c>
      <c r="V3645">
        <v>0.13683619999999999</v>
      </c>
      <c r="W3645">
        <v>1.3592879999999999E-3</v>
      </c>
      <c r="X3645">
        <v>0.99059280000000005</v>
      </c>
      <c r="Y3645">
        <v>0.52721340000000005</v>
      </c>
      <c r="Z3645">
        <v>-0.14170429999999901</v>
      </c>
      <c r="AA3645">
        <v>0.83783410000000003</v>
      </c>
      <c r="AB3645">
        <v>9</v>
      </c>
      <c r="AC3645">
        <v>22.954000000000001</v>
      </c>
      <c r="AD3645">
        <v>43.967708999999999</v>
      </c>
      <c r="AE3645">
        <v>-178.87345999999999</v>
      </c>
      <c r="AF3645">
        <v>89.770273730193196</v>
      </c>
      <c r="AG3645">
        <v>43.967708999999999</v>
      </c>
      <c r="AH3645">
        <v>144.62668342935001</v>
      </c>
      <c r="AI3645">
        <v>75.517268805258098</v>
      </c>
      <c r="AJ3645">
        <v>58.171985040684298</v>
      </c>
      <c r="AK3645">
        <v>175.80881388621</v>
      </c>
      <c r="AL3645">
        <v>89.922118513928297</v>
      </c>
      <c r="AM3645">
        <v>82.135181171002699</v>
      </c>
      <c r="AN3645">
        <v>1.0000000443530701</v>
      </c>
    </row>
    <row r="3646" spans="1:40" x14ac:dyDescent="0.25">
      <c r="A3646" t="str">
        <f>"20190312161039269"</f>
        <v>20190312161039269</v>
      </c>
      <c r="B3646" t="str">
        <f>"1552378239260404"</f>
        <v>1552378239260404</v>
      </c>
      <c r="C3646" t="s">
        <v>40</v>
      </c>
      <c r="D3646">
        <v>4.9597559999999996</v>
      </c>
      <c r="E3646">
        <v>0.66820729999999995</v>
      </c>
      <c r="F3646" t="s">
        <v>54</v>
      </c>
      <c r="G3646">
        <v>-157.9383</v>
      </c>
      <c r="H3646">
        <v>68.601240000000004</v>
      </c>
      <c r="I3646">
        <v>-69.649509999999907</v>
      </c>
      <c r="J3646">
        <v>-191.89859999999999</v>
      </c>
      <c r="K3646">
        <v>1.1093379999999999</v>
      </c>
      <c r="L3646">
        <v>205.9888</v>
      </c>
      <c r="M3646">
        <v>0.62598469999999995</v>
      </c>
      <c r="N3646">
        <v>0</v>
      </c>
      <c r="O3646">
        <v>-0.77965899999999999</v>
      </c>
      <c r="P3646">
        <v>0.51419789999999999</v>
      </c>
      <c r="Q3646">
        <v>-1.428522E-2</v>
      </c>
      <c r="R3646">
        <v>-0.85755269999999995</v>
      </c>
      <c r="S3646">
        <v>0.40446470000000001</v>
      </c>
      <c r="T3646">
        <v>0.80258850000000004</v>
      </c>
      <c r="U3646">
        <v>-3.278702</v>
      </c>
      <c r="V3646">
        <v>0.13594139999999999</v>
      </c>
      <c r="W3646">
        <v>1.64491299999999E-3</v>
      </c>
      <c r="X3646">
        <v>0.99071549999999997</v>
      </c>
      <c r="Y3646">
        <v>0.52592280000000002</v>
      </c>
      <c r="Z3646">
        <v>-0.14273429999999901</v>
      </c>
      <c r="AA3646">
        <v>0.838470099999999</v>
      </c>
      <c r="AB3646">
        <v>9</v>
      </c>
      <c r="AC3646">
        <v>33.960299999999897</v>
      </c>
      <c r="AD3646">
        <v>67.491901999999996</v>
      </c>
      <c r="AE3646">
        <v>-275.63830999999999</v>
      </c>
      <c r="AF3646">
        <v>137.94140891870001</v>
      </c>
      <c r="AG3646">
        <v>67.491901999999996</v>
      </c>
      <c r="AH3646">
        <v>223.023592902947</v>
      </c>
      <c r="AI3646">
        <v>75.566938106840794</v>
      </c>
      <c r="AJ3646">
        <v>58.262964297100297</v>
      </c>
      <c r="AK3646">
        <v>270.78129943072702</v>
      </c>
      <c r="AL3646">
        <v>89.905753383609095</v>
      </c>
      <c r="AM3646">
        <v>82.186929251762905</v>
      </c>
      <c r="AN3646">
        <v>0.99999998595649298</v>
      </c>
    </row>
    <row r="3647" spans="1:40" x14ac:dyDescent="0.25">
      <c r="A3647" t="str">
        <f>"20190312161039291"</f>
        <v>20190312161039291</v>
      </c>
      <c r="B3647" t="str">
        <f>"1552378239279924"</f>
        <v>1552378239279924</v>
      </c>
      <c r="C3647" t="s">
        <v>40</v>
      </c>
      <c r="D3647">
        <v>4.9850110000000001</v>
      </c>
      <c r="E3647">
        <v>0.66750140000000002</v>
      </c>
      <c r="F3647" t="s">
        <v>45</v>
      </c>
      <c r="G3647">
        <v>0</v>
      </c>
      <c r="H3647">
        <v>0</v>
      </c>
      <c r="I3647">
        <v>0</v>
      </c>
      <c r="J3647">
        <v>-191.84790000000001</v>
      </c>
      <c r="K3647">
        <v>1.1093280000000001</v>
      </c>
      <c r="L3647">
        <v>205.91309999999999</v>
      </c>
      <c r="M3647">
        <v>0.620896</v>
      </c>
      <c r="N3647">
        <v>0</v>
      </c>
      <c r="O3647">
        <v>-0.78372229999999998</v>
      </c>
      <c r="P3647">
        <v>0.50979830000000004</v>
      </c>
      <c r="Q3647">
        <v>-1.406936E-2</v>
      </c>
      <c r="R3647">
        <v>-0.86017929999999998</v>
      </c>
      <c r="S3647">
        <v>0.390152</v>
      </c>
      <c r="T3647">
        <v>0.80222119999999997</v>
      </c>
      <c r="U3647">
        <v>-3.2777400000000001</v>
      </c>
      <c r="V3647">
        <v>0.1345664</v>
      </c>
      <c r="W3647">
        <v>1.6530189999999999E-3</v>
      </c>
      <c r="X3647">
        <v>0.99090319999999998</v>
      </c>
      <c r="Y3647">
        <v>0.52401260000000005</v>
      </c>
      <c r="Z3647">
        <v>-0.14425250000000001</v>
      </c>
      <c r="AA3647">
        <v>0.83940579999999998</v>
      </c>
      <c r="AB3647">
        <v>9</v>
      </c>
      <c r="AC3647">
        <v>0.390152</v>
      </c>
      <c r="AD3647">
        <v>0.80222119999999997</v>
      </c>
      <c r="AE3647">
        <v>-3.2777400000000001</v>
      </c>
      <c r="AF3647">
        <v>1.6331352768181999</v>
      </c>
      <c r="AG3647">
        <v>0.80222119999999997</v>
      </c>
      <c r="AH3647">
        <v>2.6546606492327598</v>
      </c>
      <c r="AI3647">
        <v>75.566088901822397</v>
      </c>
      <c r="AJ3647">
        <v>58.400357787115098</v>
      </c>
      <c r="AK3647">
        <v>3.2183711483765198</v>
      </c>
      <c r="AL3647">
        <v>89.905288944724305</v>
      </c>
      <c r="AM3647">
        <v>82.266441713374107</v>
      </c>
      <c r="AN3647">
        <v>1.0000000001255001</v>
      </c>
    </row>
    <row r="3648" spans="1:40" x14ac:dyDescent="0.25">
      <c r="A3648" t="str">
        <f>"20190312161039337"</f>
        <v>20190312161039337</v>
      </c>
      <c r="B3648" t="str">
        <f>"1552378239329700"</f>
        <v>1552378239329700</v>
      </c>
      <c r="C3648" t="s">
        <v>40</v>
      </c>
      <c r="D3648">
        <v>5.2302309999999999</v>
      </c>
      <c r="E3648">
        <v>0.66598550000000001</v>
      </c>
      <c r="F3648" t="s">
        <v>45</v>
      </c>
      <c r="G3648">
        <v>0</v>
      </c>
      <c r="H3648">
        <v>0</v>
      </c>
      <c r="I3648">
        <v>0</v>
      </c>
      <c r="J3648">
        <v>-191.74709999999999</v>
      </c>
      <c r="K3648">
        <v>1.1093200000000001</v>
      </c>
      <c r="L3648">
        <v>205.75970000000001</v>
      </c>
      <c r="M3648">
        <v>0.61056100000000002</v>
      </c>
      <c r="N3648">
        <v>0</v>
      </c>
      <c r="O3648">
        <v>-0.79180879999999998</v>
      </c>
      <c r="P3648">
        <v>0.4986775</v>
      </c>
      <c r="Q3648">
        <v>-1.434327E-2</v>
      </c>
      <c r="R3648">
        <v>-0.86666909999999897</v>
      </c>
      <c r="S3648">
        <v>0.3786621</v>
      </c>
      <c r="T3648">
        <v>0.79998669999999905</v>
      </c>
      <c r="U3648">
        <v>-3.2763059999999999</v>
      </c>
      <c r="V3648">
        <v>0.13431860000000001</v>
      </c>
      <c r="W3648">
        <v>9.749569E-4</v>
      </c>
      <c r="X3648">
        <v>0.99093770000000003</v>
      </c>
      <c r="Y3648">
        <v>0.51581030000000005</v>
      </c>
      <c r="Z3648">
        <v>-0.14730969999999999</v>
      </c>
      <c r="AA3648">
        <v>0.84394290000000005</v>
      </c>
      <c r="AB3648">
        <v>9</v>
      </c>
      <c r="AC3648">
        <v>0.3786621</v>
      </c>
      <c r="AD3648">
        <v>0.79998669999999905</v>
      </c>
      <c r="AE3648">
        <v>-3.2763059999999999</v>
      </c>
      <c r="AF3648">
        <v>1.6062683961084001</v>
      </c>
      <c r="AG3648">
        <v>0.79998669999999905</v>
      </c>
      <c r="AH3648">
        <v>2.6687481612382702</v>
      </c>
      <c r="AI3648">
        <v>75.596063015730493</v>
      </c>
      <c r="AJ3648">
        <v>58.957070661992397</v>
      </c>
      <c r="AK3648">
        <v>3.2159436606735201</v>
      </c>
      <c r="AL3648">
        <v>89.944139074515306</v>
      </c>
      <c r="AM3648">
        <v>82.280776476944595</v>
      </c>
      <c r="AN3648">
        <v>0.99999998106410304</v>
      </c>
    </row>
    <row r="3649" spans="1:40" x14ac:dyDescent="0.25">
      <c r="A3649" t="str">
        <f>"20190312161039358"</f>
        <v>20190312161039358</v>
      </c>
      <c r="B3649" t="str">
        <f>"1552378239350196"</f>
        <v>1552378239350196</v>
      </c>
      <c r="C3649" t="s">
        <v>40</v>
      </c>
      <c r="D3649">
        <v>5.0606479999999996</v>
      </c>
      <c r="E3649">
        <v>0.62150130000000003</v>
      </c>
      <c r="F3649" t="s">
        <v>42</v>
      </c>
      <c r="G3649">
        <v>-191.68729999999999</v>
      </c>
      <c r="H3649">
        <v>1.2459180000000001</v>
      </c>
      <c r="I3649">
        <v>205.1935</v>
      </c>
      <c r="J3649">
        <v>-191.69909999999999</v>
      </c>
      <c r="K3649">
        <v>1.1093059999999999</v>
      </c>
      <c r="L3649">
        <v>205.68510000000001</v>
      </c>
      <c r="M3649">
        <v>0.60552410000000001</v>
      </c>
      <c r="N3649">
        <v>0</v>
      </c>
      <c r="O3649">
        <v>-0.79567159999999904</v>
      </c>
      <c r="P3649">
        <v>0.49340800000000001</v>
      </c>
      <c r="Q3649">
        <v>-1.3757419999999999E-2</v>
      </c>
      <c r="R3649">
        <v>-0.86968919999999905</v>
      </c>
      <c r="S3649">
        <v>0.346466099999999</v>
      </c>
      <c r="T3649">
        <v>0.79009589999999996</v>
      </c>
      <c r="U3649">
        <v>-3.2752080000000001</v>
      </c>
      <c r="V3649">
        <v>0.13404929999999901</v>
      </c>
      <c r="W3649">
        <v>1.3507040000000001E-3</v>
      </c>
      <c r="X3649">
        <v>0.99097380000000002</v>
      </c>
      <c r="Y3649">
        <v>0.51853879999999997</v>
      </c>
      <c r="Z3649">
        <v>-0.14674209999999999</v>
      </c>
      <c r="AA3649">
        <v>0.84236819999999901</v>
      </c>
      <c r="AB3649">
        <v>9</v>
      </c>
      <c r="AC3649">
        <v>1.17999999999938E-2</v>
      </c>
      <c r="AD3649">
        <v>0.13661200000000001</v>
      </c>
      <c r="AE3649">
        <v>-0.49160000000000498</v>
      </c>
      <c r="AF3649">
        <v>0.26766410238474297</v>
      </c>
      <c r="AG3649">
        <v>0.13661200000000001</v>
      </c>
      <c r="AH3649">
        <v>0.36980510163348101</v>
      </c>
      <c r="AI3649">
        <v>73.339971894488599</v>
      </c>
      <c r="AJ3649">
        <v>54.103064972299897</v>
      </c>
      <c r="AK3649">
        <v>0.47651098984554302</v>
      </c>
      <c r="AL3649">
        <v>89.922610342212096</v>
      </c>
      <c r="AM3649">
        <v>82.296344244120107</v>
      </c>
      <c r="AN3649">
        <v>1.00000005575911</v>
      </c>
    </row>
    <row r="3650" spans="1:40" x14ac:dyDescent="0.25">
      <c r="A3650" t="str">
        <f>"20190312161039380"</f>
        <v>20190312161039380</v>
      </c>
      <c r="B3650" t="str">
        <f>"1552378239369716"</f>
        <v>1552378239369716</v>
      </c>
      <c r="C3650" t="s">
        <v>40</v>
      </c>
      <c r="D3650">
        <v>5.1553950000000004</v>
      </c>
      <c r="E3650">
        <v>0.62348680000000001</v>
      </c>
      <c r="F3650" t="s">
        <v>56</v>
      </c>
      <c r="G3650">
        <v>-169.9442</v>
      </c>
      <c r="H3650">
        <v>13.63768</v>
      </c>
      <c r="I3650">
        <v>99.91874</v>
      </c>
      <c r="J3650">
        <v>-191.65270000000001</v>
      </c>
      <c r="K3650">
        <v>1.1092820000000001</v>
      </c>
      <c r="L3650">
        <v>205.61199999999999</v>
      </c>
      <c r="M3650">
        <v>0.60059019999999996</v>
      </c>
      <c r="N3650">
        <v>0</v>
      </c>
      <c r="O3650">
        <v>-0.79940690000000003</v>
      </c>
      <c r="P3650">
        <v>0.48818450000000002</v>
      </c>
      <c r="Q3650">
        <v>-1.338511E-2</v>
      </c>
      <c r="R3650">
        <v>-0.87263799999999903</v>
      </c>
      <c r="S3650">
        <v>0.63644409999999996</v>
      </c>
      <c r="T3650">
        <v>0.36651929999999999</v>
      </c>
      <c r="U3650">
        <v>-3.0942080000000001</v>
      </c>
      <c r="V3650">
        <v>0.13386210000000001</v>
      </c>
      <c r="W3650">
        <v>1.5080600000000001E-3</v>
      </c>
      <c r="X3650">
        <v>0.99099879999999996</v>
      </c>
      <c r="Y3650">
        <v>0.4277822</v>
      </c>
      <c r="Z3650">
        <v>-7.6664309999999999E-2</v>
      </c>
      <c r="AA3650">
        <v>0.9006248</v>
      </c>
      <c r="AB3650">
        <v>9</v>
      </c>
      <c r="AC3650">
        <v>21.708500000000001</v>
      </c>
      <c r="AD3650">
        <v>12.528397999999999</v>
      </c>
      <c r="AE3650">
        <v>-105.69326</v>
      </c>
      <c r="AF3650">
        <v>45.516301222183998</v>
      </c>
      <c r="AG3650">
        <v>12.528397999999999</v>
      </c>
      <c r="AH3650">
        <v>96.243987648041397</v>
      </c>
      <c r="AI3650">
        <v>83.288469428180903</v>
      </c>
      <c r="AJ3650">
        <v>64.689307259971002</v>
      </c>
      <c r="AK3650">
        <v>107.19887868719201</v>
      </c>
      <c r="AL3650">
        <v>89.913594492167107</v>
      </c>
      <c r="AM3650">
        <v>82.307165234444597</v>
      </c>
      <c r="AN3650">
        <v>0.99999997883140601</v>
      </c>
    </row>
    <row r="3651" spans="1:40" x14ac:dyDescent="0.25">
      <c r="A3651" t="str">
        <f>"20190312161039403"</f>
        <v>20190312161039403</v>
      </c>
      <c r="B3651" t="str">
        <f>"1552378239399971"</f>
        <v>1552378239399971</v>
      </c>
      <c r="C3651" t="s">
        <v>40</v>
      </c>
      <c r="D3651">
        <v>5.4620819999999997</v>
      </c>
      <c r="E3651">
        <v>0.62868329999999994</v>
      </c>
      <c r="F3651" t="s">
        <v>56</v>
      </c>
      <c r="G3651">
        <v>-169.67670000000001</v>
      </c>
      <c r="H3651">
        <v>16.305399999999999</v>
      </c>
      <c r="I3651">
        <v>92.644670000000005</v>
      </c>
      <c r="J3651">
        <v>-191.6053</v>
      </c>
      <c r="K3651">
        <v>1.1092649999999999</v>
      </c>
      <c r="L3651">
        <v>205.53620000000001</v>
      </c>
      <c r="M3651">
        <v>0.59547439999999996</v>
      </c>
      <c r="N3651">
        <v>0</v>
      </c>
      <c r="O3651">
        <v>-0.80322919999999998</v>
      </c>
      <c r="P3651">
        <v>0.48226609999999998</v>
      </c>
      <c r="Q3651">
        <v>-1.335327E-2</v>
      </c>
      <c r="R3651">
        <v>-0.87592329999999996</v>
      </c>
      <c r="S3651">
        <v>0.60426329999999995</v>
      </c>
      <c r="T3651">
        <v>0.41783940000000003</v>
      </c>
      <c r="U3651">
        <v>-3.106201</v>
      </c>
      <c r="V3651">
        <v>0.13424079999999999</v>
      </c>
      <c r="W3651">
        <v>1.3163719999999999E-3</v>
      </c>
      <c r="X3651">
        <v>0.99094780000000005</v>
      </c>
      <c r="Y3651">
        <v>0.43180360000000001</v>
      </c>
      <c r="Z3651">
        <v>-8.7568930000000003E-2</v>
      </c>
      <c r="AA3651">
        <v>0.89770669999999897</v>
      </c>
      <c r="AB3651">
        <v>9</v>
      </c>
      <c r="AC3651">
        <v>21.9285999999999</v>
      </c>
      <c r="AD3651">
        <v>15.1961349999999</v>
      </c>
      <c r="AE3651">
        <v>-112.89153</v>
      </c>
      <c r="AF3651">
        <v>48.764647932852398</v>
      </c>
      <c r="AG3651">
        <v>15.1961349999999</v>
      </c>
      <c r="AH3651">
        <v>101.967375450886</v>
      </c>
      <c r="AI3651">
        <v>82.342744222559006</v>
      </c>
      <c r="AJ3651">
        <v>64.441113028345001</v>
      </c>
      <c r="AK3651">
        <v>114.04498701519201</v>
      </c>
      <c r="AL3651">
        <v>89.924577413353205</v>
      </c>
      <c r="AM3651">
        <v>82.285271427272704</v>
      </c>
      <c r="AN3651">
        <v>0.99999993377235896</v>
      </c>
    </row>
    <row r="3652" spans="1:40" x14ac:dyDescent="0.25">
      <c r="A3652" t="str">
        <f>"20190312161039426"</f>
        <v>20190312161039426</v>
      </c>
      <c r="B3652" t="str">
        <f>"1552378239420469"</f>
        <v>1552378239420469</v>
      </c>
      <c r="C3652" t="s">
        <v>40</v>
      </c>
      <c r="D3652">
        <v>5.7289000000000003</v>
      </c>
      <c r="E3652">
        <v>0.62943530000000003</v>
      </c>
      <c r="F3652" t="s">
        <v>42</v>
      </c>
      <c r="G3652">
        <v>-191.49860000000001</v>
      </c>
      <c r="H3652">
        <v>1.205719</v>
      </c>
      <c r="I3652">
        <v>204.92410000000001</v>
      </c>
      <c r="J3652">
        <v>-191.55779999999999</v>
      </c>
      <c r="K3652">
        <v>1.109251</v>
      </c>
      <c r="L3652">
        <v>205.45920000000001</v>
      </c>
      <c r="M3652">
        <v>0.59027680000000005</v>
      </c>
      <c r="N3652">
        <v>0</v>
      </c>
      <c r="O3652">
        <v>-0.80706029999999995</v>
      </c>
      <c r="P3652">
        <v>0.47548010000000002</v>
      </c>
      <c r="Q3652">
        <v>-1.3362819999999999E-2</v>
      </c>
      <c r="R3652">
        <v>-0.87962499999999999</v>
      </c>
      <c r="S3652">
        <v>0.54667659999999996</v>
      </c>
      <c r="T3652">
        <v>0.4934077</v>
      </c>
      <c r="U3652">
        <v>-3.1314850000000001</v>
      </c>
      <c r="V3652">
        <v>0.13550129999999999</v>
      </c>
      <c r="W3652">
        <v>1.0889210000000001E-3</v>
      </c>
      <c r="X3652">
        <v>0.99077660000000001</v>
      </c>
      <c r="Y3652">
        <v>0.44344479999999997</v>
      </c>
      <c r="Z3652">
        <v>-0.1027966</v>
      </c>
      <c r="AA3652">
        <v>0.89038729999999999</v>
      </c>
      <c r="AB3652">
        <v>9</v>
      </c>
      <c r="AC3652">
        <v>5.9199999999975703E-2</v>
      </c>
      <c r="AD3652">
        <v>9.6467999999999998E-2</v>
      </c>
      <c r="AE3652">
        <v>-0.53509999999999902</v>
      </c>
      <c r="AF3652">
        <v>0.259768914095451</v>
      </c>
      <c r="AG3652">
        <v>9.6467999999999998E-2</v>
      </c>
      <c r="AH3652">
        <v>0.45233186618538601</v>
      </c>
      <c r="AI3652">
        <v>79.522084291430502</v>
      </c>
      <c r="AJ3652">
        <v>60.1317514005516</v>
      </c>
      <c r="AK3652">
        <v>0.53046213900813299</v>
      </c>
      <c r="AL3652">
        <v>89.937609411992298</v>
      </c>
      <c r="AM3652">
        <v>82.212386957398294</v>
      </c>
      <c r="AN3652">
        <v>1.0000000295790901</v>
      </c>
    </row>
    <row r="3653" spans="1:40" x14ac:dyDescent="0.25">
      <c r="A3653" t="str">
        <f>"20190312161039448"</f>
        <v>20190312161039448</v>
      </c>
      <c r="B3653" t="str">
        <f>"1552378239439987"</f>
        <v>1552378239439987</v>
      </c>
      <c r="C3653" t="s">
        <v>40</v>
      </c>
      <c r="D3653">
        <v>5.2820400000000003</v>
      </c>
      <c r="E3653">
        <v>0.63018790000000002</v>
      </c>
      <c r="F3653" t="s">
        <v>42</v>
      </c>
      <c r="G3653">
        <v>-191.4547</v>
      </c>
      <c r="H3653">
        <v>1.2118119999999999</v>
      </c>
      <c r="I3653">
        <v>204.83189999999999</v>
      </c>
      <c r="J3653">
        <v>-191.51079999999999</v>
      </c>
      <c r="K3653">
        <v>1.109245</v>
      </c>
      <c r="L3653">
        <v>205.3819</v>
      </c>
      <c r="M3653">
        <v>0.58506789999999997</v>
      </c>
      <c r="N3653">
        <v>0</v>
      </c>
      <c r="O3653">
        <v>-0.81084809999999996</v>
      </c>
      <c r="P3653">
        <v>0.46905190000000002</v>
      </c>
      <c r="Q3653">
        <v>-1.3045319999999999E-2</v>
      </c>
      <c r="R3653">
        <v>-0.88307440000000004</v>
      </c>
      <c r="S3653">
        <v>0.51681520000000003</v>
      </c>
      <c r="T3653">
        <v>0.51321899999999998</v>
      </c>
      <c r="U3653">
        <v>-3.1389770000000001</v>
      </c>
      <c r="V3653">
        <v>0.13634859999999999</v>
      </c>
      <c r="W3653">
        <v>1.2095610000000001E-3</v>
      </c>
      <c r="X3653">
        <v>0.99066019999999999</v>
      </c>
      <c r="Y3653">
        <v>0.44631789999999999</v>
      </c>
      <c r="Z3653">
        <v>-0.1073925</v>
      </c>
      <c r="AA3653">
        <v>0.88840710000000001</v>
      </c>
      <c r="AB3653">
        <v>9</v>
      </c>
      <c r="AC3653">
        <v>5.6099999999986397E-2</v>
      </c>
      <c r="AD3653">
        <v>0.10256700000000001</v>
      </c>
      <c r="AE3653">
        <v>-0.55000000000001104</v>
      </c>
      <c r="AF3653">
        <v>0.26713484758378497</v>
      </c>
      <c r="AG3653">
        <v>0.10256700000000001</v>
      </c>
      <c r="AH3653">
        <v>0.46290891966415998</v>
      </c>
      <c r="AI3653">
        <v>79.136540669039704</v>
      </c>
      <c r="AJ3653">
        <v>60.0116739836335</v>
      </c>
      <c r="AK3653">
        <v>0.544211065844174</v>
      </c>
      <c r="AL3653">
        <v>89.930697243972006</v>
      </c>
      <c r="AM3653">
        <v>82.163384251464393</v>
      </c>
      <c r="AN3653">
        <v>1.0000000178119</v>
      </c>
    </row>
    <row r="3654" spans="1:40" x14ac:dyDescent="0.25">
      <c r="A3654" t="str">
        <f>"20190312161039470"</f>
        <v>20190312161039470</v>
      </c>
      <c r="B3654" t="str">
        <f>"1552378239460484"</f>
        <v>1552378239460484</v>
      </c>
      <c r="C3654" t="s">
        <v>40</v>
      </c>
      <c r="D3654">
        <v>5.4281329999999999</v>
      </c>
      <c r="E3654">
        <v>0.63085279999999999</v>
      </c>
      <c r="F3654" t="s">
        <v>42</v>
      </c>
      <c r="G3654">
        <v>-191.4144</v>
      </c>
      <c r="H3654">
        <v>1.2134210000000001</v>
      </c>
      <c r="I3654">
        <v>204.76</v>
      </c>
      <c r="J3654">
        <v>-191.4667</v>
      </c>
      <c r="K3654">
        <v>1.1092379999999999</v>
      </c>
      <c r="L3654">
        <v>205.30840000000001</v>
      </c>
      <c r="M3654">
        <v>0.58010830000000002</v>
      </c>
      <c r="N3654">
        <v>0</v>
      </c>
      <c r="O3654">
        <v>-0.81440679999999999</v>
      </c>
      <c r="P3654">
        <v>0.46288420000000002</v>
      </c>
      <c r="Q3654">
        <v>-1.2741290000000001E-2</v>
      </c>
      <c r="R3654">
        <v>-0.88632749999999905</v>
      </c>
      <c r="S3654">
        <v>0.4885101</v>
      </c>
      <c r="T3654">
        <v>0.52689490000000005</v>
      </c>
      <c r="U3654">
        <v>-3.1455690000000001</v>
      </c>
      <c r="V3654">
        <v>0.1372101</v>
      </c>
      <c r="W3654">
        <v>1.3445060000000001E-3</v>
      </c>
      <c r="X3654">
        <v>0.990541</v>
      </c>
      <c r="Y3654">
        <v>0.44898329999999997</v>
      </c>
      <c r="Z3654">
        <v>-0.110739</v>
      </c>
      <c r="AA3654">
        <v>0.88665149999999904</v>
      </c>
      <c r="AB3654">
        <v>9</v>
      </c>
      <c r="AC3654">
        <v>5.23000000000024E-2</v>
      </c>
      <c r="AD3654">
        <v>0.104182999999999</v>
      </c>
      <c r="AE3654">
        <v>-0.54840000000001499</v>
      </c>
      <c r="AF3654">
        <v>0.26605212819429302</v>
      </c>
      <c r="AG3654">
        <v>0.104182999999999</v>
      </c>
      <c r="AH3654">
        <v>0.46054030908392202</v>
      </c>
      <c r="AI3654">
        <v>78.917106564825701</v>
      </c>
      <c r="AJ3654">
        <v>59.985161040185901</v>
      </c>
      <c r="AK3654">
        <v>0.54197343910640805</v>
      </c>
      <c r="AL3654">
        <v>89.922965453297806</v>
      </c>
      <c r="AM3654">
        <v>82.113553649137302</v>
      </c>
      <c r="AN3654">
        <v>0.99999994595969499</v>
      </c>
    </row>
    <row r="3655" spans="1:40" x14ac:dyDescent="0.25">
      <c r="A3655" t="str">
        <f>"20190312161039493"</f>
        <v>20190312161039493</v>
      </c>
      <c r="B3655" t="str">
        <f>"1552378239489766"</f>
        <v>1552378239489766</v>
      </c>
      <c r="C3655" t="s">
        <v>40</v>
      </c>
      <c r="D3655">
        <v>5.3790110000000002</v>
      </c>
      <c r="E3655">
        <v>0.62130699999999905</v>
      </c>
      <c r="F3655" t="s">
        <v>42</v>
      </c>
      <c r="G3655">
        <v>-191.37620000000001</v>
      </c>
      <c r="H3655">
        <v>1.2139279999999999</v>
      </c>
      <c r="I3655">
        <v>204.6902</v>
      </c>
      <c r="J3655">
        <v>-191.41970000000001</v>
      </c>
      <c r="K3655">
        <v>1.1092329999999999</v>
      </c>
      <c r="L3655">
        <v>205.22880000000001</v>
      </c>
      <c r="M3655">
        <v>0.57473779999999997</v>
      </c>
      <c r="N3655">
        <v>0</v>
      </c>
      <c r="O3655">
        <v>-0.81820850000000001</v>
      </c>
      <c r="P3655">
        <v>0.45664840000000001</v>
      </c>
      <c r="Q3655">
        <v>-1.262633E-2</v>
      </c>
      <c r="R3655">
        <v>-0.88955779999999995</v>
      </c>
      <c r="S3655">
        <v>0.46224979999999899</v>
      </c>
      <c r="T3655">
        <v>0.53358899999999998</v>
      </c>
      <c r="U3655">
        <v>-3.1510310000000001</v>
      </c>
      <c r="V3655">
        <v>0.13764870000000001</v>
      </c>
      <c r="W3655">
        <v>1.2977760000000001E-3</v>
      </c>
      <c r="X3655">
        <v>0.99048020000000003</v>
      </c>
      <c r="Y3655">
        <v>0.45058399999999998</v>
      </c>
      <c r="Z3655">
        <v>-0.1128063</v>
      </c>
      <c r="AA3655">
        <v>0.88557819999999898</v>
      </c>
      <c r="AB3655">
        <v>9</v>
      </c>
      <c r="AC3655">
        <v>4.3499999999994501E-2</v>
      </c>
      <c r="AD3655">
        <v>0.104695</v>
      </c>
      <c r="AE3655">
        <v>-0.53860000000000197</v>
      </c>
      <c r="AF3655">
        <v>0.26407717454188201</v>
      </c>
      <c r="AG3655">
        <v>0.104695</v>
      </c>
      <c r="AH3655">
        <v>0.44888616868123299</v>
      </c>
      <c r="AI3655">
        <v>78.633543816034702</v>
      </c>
      <c r="AJ3655">
        <v>59.531943439491499</v>
      </c>
      <c r="AK3655">
        <v>0.53122178943670995</v>
      </c>
      <c r="AL3655">
        <v>89.925642886942796</v>
      </c>
      <c r="AM3655">
        <v>82.088183393338696</v>
      </c>
      <c r="AN3655">
        <v>0.999999937713136</v>
      </c>
    </row>
    <row r="3656" spans="1:40" x14ac:dyDescent="0.25">
      <c r="A3656" t="str">
        <f>"20190312161039516"</f>
        <v>20190312161039516</v>
      </c>
      <c r="B3656" t="str">
        <f>"1552378239510260"</f>
        <v>1552378239510260</v>
      </c>
      <c r="C3656" t="s">
        <v>40</v>
      </c>
      <c r="D3656">
        <v>5.7296199999999997</v>
      </c>
      <c r="E3656">
        <v>0.62189419999999995</v>
      </c>
      <c r="F3656" t="s">
        <v>51</v>
      </c>
      <c r="G3656">
        <v>-177.4299</v>
      </c>
      <c r="H3656">
        <v>3.2436180000000001</v>
      </c>
      <c r="I3656">
        <v>119.6944</v>
      </c>
      <c r="J3656">
        <v>-191.37569999999999</v>
      </c>
      <c r="K3656">
        <v>1.1092310000000001</v>
      </c>
      <c r="L3656">
        <v>205.1532</v>
      </c>
      <c r="M3656">
        <v>0.56964250000000005</v>
      </c>
      <c r="N3656">
        <v>0</v>
      </c>
      <c r="O3656">
        <v>-0.82176659999999901</v>
      </c>
      <c r="P3656">
        <v>0.45065250000000001</v>
      </c>
      <c r="Q3656">
        <v>-1.2787629999999999E-2</v>
      </c>
      <c r="R3656">
        <v>-0.89260799999999996</v>
      </c>
      <c r="S3656">
        <v>0.50903319999999996</v>
      </c>
      <c r="T3656">
        <v>7.7661869999999994E-2</v>
      </c>
      <c r="U3656">
        <v>-3.1122589999999999</v>
      </c>
      <c r="V3656">
        <v>0.138154799999999</v>
      </c>
      <c r="W3656">
        <v>9.9832219999999991E-4</v>
      </c>
      <c r="X3656">
        <v>0.99041009999999996</v>
      </c>
      <c r="Y3656">
        <v>0.42959259999999999</v>
      </c>
      <c r="Z3656">
        <v>-1.7067590000000001E-2</v>
      </c>
      <c r="AA3656">
        <v>0.90286149999999998</v>
      </c>
      <c r="AB3656">
        <v>9</v>
      </c>
      <c r="AC3656">
        <v>13.945799999999901</v>
      </c>
      <c r="AD3656">
        <v>2.1343869999999998</v>
      </c>
      <c r="AE3656">
        <v>-85.458799999999997</v>
      </c>
      <c r="AF3656">
        <v>37.202022216314298</v>
      </c>
      <c r="AG3656">
        <v>2.1343869999999998</v>
      </c>
      <c r="AH3656">
        <v>78.131929834248098</v>
      </c>
      <c r="AI3656">
        <v>88.587111920362403</v>
      </c>
      <c r="AJ3656">
        <v>64.538842019853703</v>
      </c>
      <c r="AK3656">
        <v>86.562951223215507</v>
      </c>
      <c r="AL3656">
        <v>89.942800339315994</v>
      </c>
      <c r="AM3656">
        <v>82.0589091481487</v>
      </c>
      <c r="AN3656">
        <v>0.99999995579613099</v>
      </c>
    </row>
    <row r="3657" spans="1:40" x14ac:dyDescent="0.25">
      <c r="A3657" t="str">
        <f>"20190312161039538"</f>
        <v>20190312161039538</v>
      </c>
      <c r="B3657" t="str">
        <f>"1552378239529780"</f>
        <v>1552378239529780</v>
      </c>
      <c r="C3657" t="s">
        <v>40</v>
      </c>
      <c r="D3657">
        <v>5.5463129999999996</v>
      </c>
      <c r="E3657">
        <v>0.62339769999999906</v>
      </c>
      <c r="F3657" t="s">
        <v>57</v>
      </c>
      <c r="G3657">
        <v>-167.69909999999999</v>
      </c>
      <c r="H3657">
        <v>4.7673079999999999</v>
      </c>
      <c r="I3657">
        <v>52.638840000000002</v>
      </c>
      <c r="J3657">
        <v>-191.33109999999999</v>
      </c>
      <c r="K3657">
        <v>1.109227</v>
      </c>
      <c r="L3657">
        <v>205.07570000000001</v>
      </c>
      <c r="M3657">
        <v>0.56441479999999999</v>
      </c>
      <c r="N3657">
        <v>0</v>
      </c>
      <c r="O3657">
        <v>-0.82536790000000004</v>
      </c>
      <c r="P3657">
        <v>0.44451499999999999</v>
      </c>
      <c r="Q3657">
        <v>-1.239783E-2</v>
      </c>
      <c r="R3657">
        <v>-0.89568559999999997</v>
      </c>
      <c r="S3657">
        <v>0.48399350000000002</v>
      </c>
      <c r="T3657">
        <v>7.4777839999999998E-2</v>
      </c>
      <c r="U3657">
        <v>-3.1176759999999999</v>
      </c>
      <c r="V3657">
        <v>0.13866899999999999</v>
      </c>
      <c r="W3657">
        <v>1.262967E-3</v>
      </c>
      <c r="X3657">
        <v>0.99033800000000005</v>
      </c>
      <c r="Y3657">
        <v>0.4311796</v>
      </c>
      <c r="Z3657">
        <v>-1.652766E-2</v>
      </c>
      <c r="AA3657">
        <v>0.90211470000000005</v>
      </c>
      <c r="AB3657">
        <v>9</v>
      </c>
      <c r="AC3657">
        <v>23.632000000000001</v>
      </c>
      <c r="AD3657">
        <v>3.6580809999999899</v>
      </c>
      <c r="AE3657">
        <v>-152.43686</v>
      </c>
      <c r="AF3657">
        <v>66.501907275079404</v>
      </c>
      <c r="AG3657">
        <v>3.6580809999999899</v>
      </c>
      <c r="AH3657">
        <v>139.09070236707601</v>
      </c>
      <c r="AI3657">
        <v>88.640774523239401</v>
      </c>
      <c r="AJ3657">
        <v>64.446650647979794</v>
      </c>
      <c r="AK3657">
        <v>154.21448930885899</v>
      </c>
      <c r="AL3657">
        <v>89.927637303477695</v>
      </c>
      <c r="AM3657">
        <v>82.029159429439403</v>
      </c>
      <c r="AN3657">
        <v>1.0000000204453201</v>
      </c>
    </row>
    <row r="3658" spans="1:40" x14ac:dyDescent="0.25">
      <c r="A3658" t="str">
        <f>"20190312161039560"</f>
        <v>20190312161039560</v>
      </c>
      <c r="B3658" t="str">
        <f>"1552378239550276"</f>
        <v>1552378239550276</v>
      </c>
      <c r="C3658" t="s">
        <v>40</v>
      </c>
      <c r="D3658">
        <v>5.7098380000000004</v>
      </c>
      <c r="E3658">
        <v>0.62472669999999997</v>
      </c>
      <c r="F3658" t="s">
        <v>57</v>
      </c>
      <c r="G3658">
        <v>-169.08320000000001</v>
      </c>
      <c r="H3658">
        <v>3.645858</v>
      </c>
      <c r="I3658">
        <v>51.197279999999999</v>
      </c>
      <c r="J3658">
        <v>-191.2894</v>
      </c>
      <c r="K3658">
        <v>1.1092229999999901</v>
      </c>
      <c r="L3658">
        <v>205.00190000000001</v>
      </c>
      <c r="M3658">
        <v>0.55944510000000003</v>
      </c>
      <c r="N3658">
        <v>0</v>
      </c>
      <c r="O3658">
        <v>-0.8287466</v>
      </c>
      <c r="P3658">
        <v>0.43871880000000002</v>
      </c>
      <c r="Q3658">
        <v>-1.310178E-2</v>
      </c>
      <c r="R3658">
        <v>-0.89852940000000003</v>
      </c>
      <c r="S3658">
        <v>0.45193480000000003</v>
      </c>
      <c r="T3658">
        <v>5.1528099999999903E-2</v>
      </c>
      <c r="U3658">
        <v>-3.1258240000000002</v>
      </c>
      <c r="V3658">
        <v>0.13910719999999999</v>
      </c>
      <c r="W3658">
        <v>4.5425100000000003E-4</v>
      </c>
      <c r="X3658">
        <v>0.99027719999999997</v>
      </c>
      <c r="Y3658">
        <v>0.4351506</v>
      </c>
      <c r="Z3658">
        <v>-1.14308E-2</v>
      </c>
      <c r="AA3658">
        <v>0.90028509999999995</v>
      </c>
      <c r="AB3658">
        <v>9</v>
      </c>
      <c r="AC3658">
        <v>22.2061999999999</v>
      </c>
      <c r="AD3658">
        <v>2.536635</v>
      </c>
      <c r="AE3658">
        <v>-153.80462</v>
      </c>
      <c r="AF3658">
        <v>67.630681779111995</v>
      </c>
      <c r="AG3658">
        <v>2.536635</v>
      </c>
      <c r="AH3658">
        <v>139.86494714993</v>
      </c>
      <c r="AI3658">
        <v>89.064576313451298</v>
      </c>
      <c r="AJ3658">
        <v>64.194247624646593</v>
      </c>
      <c r="AK3658">
        <v>155.378721439853</v>
      </c>
      <c r="AL3658">
        <v>89.973973333344205</v>
      </c>
      <c r="AM3658">
        <v>82.003811914023004</v>
      </c>
      <c r="AN3658">
        <v>0.99999997613782499</v>
      </c>
    </row>
    <row r="3659" spans="1:40" x14ac:dyDescent="0.25">
      <c r="A3659" t="str">
        <f>"20190312161039582"</f>
        <v>20190312161039582</v>
      </c>
      <c r="B3659" t="str">
        <f>"1552378239569796"</f>
        <v>1552378239569796</v>
      </c>
      <c r="C3659" t="s">
        <v>40</v>
      </c>
      <c r="D3659">
        <v>5.6406689999999999</v>
      </c>
      <c r="E3659">
        <v>0.62226740000000003</v>
      </c>
      <c r="F3659" t="s">
        <v>42</v>
      </c>
      <c r="G3659">
        <v>-191.2056</v>
      </c>
      <c r="H3659">
        <v>1.2057040000000001</v>
      </c>
      <c r="I3659">
        <v>204.37690000000001</v>
      </c>
      <c r="J3659">
        <v>-191.24770000000001</v>
      </c>
      <c r="K3659">
        <v>1.1092169999999999</v>
      </c>
      <c r="L3659">
        <v>204.9273</v>
      </c>
      <c r="M3659">
        <v>0.55441580000000001</v>
      </c>
      <c r="N3659">
        <v>0</v>
      </c>
      <c r="O3659">
        <v>-0.83212109999999995</v>
      </c>
      <c r="P3659">
        <v>0.43294690000000002</v>
      </c>
      <c r="Q3659">
        <v>-1.323671E-2</v>
      </c>
      <c r="R3659">
        <v>-0.90132250000000003</v>
      </c>
      <c r="S3659">
        <v>0.42112729999999998</v>
      </c>
      <c r="T3659">
        <v>0.48475299999999999</v>
      </c>
      <c r="U3659">
        <v>-3.1402130000000001</v>
      </c>
      <c r="V3659">
        <v>0.13945859999999999</v>
      </c>
      <c r="W3659">
        <v>2.2679960000000001E-4</v>
      </c>
      <c r="X3659">
        <v>0.99022790000000005</v>
      </c>
      <c r="Y3659">
        <v>0.4394768</v>
      </c>
      <c r="Z3659">
        <v>-0.10659250000000001</v>
      </c>
      <c r="AA3659">
        <v>0.89190700000000001</v>
      </c>
      <c r="AB3659">
        <v>9</v>
      </c>
      <c r="AC3659">
        <v>4.2100000000004897E-2</v>
      </c>
      <c r="AD3659">
        <v>9.6487000000000198E-2</v>
      </c>
      <c r="AE3659">
        <v>-0.550399999999996</v>
      </c>
      <c r="AF3659">
        <v>0.26213593206255698</v>
      </c>
      <c r="AG3659">
        <v>9.6487000000000198E-2</v>
      </c>
      <c r="AH3659">
        <v>0.46711633336960201</v>
      </c>
      <c r="AI3659">
        <v>79.788634398958493</v>
      </c>
      <c r="AJ3659">
        <v>60.699769479196</v>
      </c>
      <c r="AK3659">
        <v>0.54426340768782899</v>
      </c>
      <c r="AL3659">
        <v>89.987005340315406</v>
      </c>
      <c r="AM3659">
        <v>81.983480996745598</v>
      </c>
      <c r="AN3659">
        <v>1.00000002324521</v>
      </c>
    </row>
    <row r="3660" spans="1:40" x14ac:dyDescent="0.25">
      <c r="A3660" t="str">
        <f>"20190312161039604"</f>
        <v>20190312161039604</v>
      </c>
      <c r="B3660" t="str">
        <f>"1552378239600053"</f>
        <v>1552378239600053</v>
      </c>
      <c r="C3660" t="s">
        <v>40</v>
      </c>
      <c r="D3660">
        <v>5.4713099999999999</v>
      </c>
      <c r="E3660">
        <v>0.58999630000000003</v>
      </c>
      <c r="F3660" t="s">
        <v>57</v>
      </c>
      <c r="G3660">
        <v>-169.0907</v>
      </c>
      <c r="H3660">
        <v>26.35622</v>
      </c>
      <c r="I3660">
        <v>38.948700000000002</v>
      </c>
      <c r="J3660">
        <v>-191.2056</v>
      </c>
      <c r="K3660">
        <v>1.109218</v>
      </c>
      <c r="L3660">
        <v>204.8509</v>
      </c>
      <c r="M3660">
        <v>0.54927049999999999</v>
      </c>
      <c r="N3660">
        <v>0</v>
      </c>
      <c r="O3660">
        <v>-0.83552780000000004</v>
      </c>
      <c r="P3660">
        <v>0.42721959999999998</v>
      </c>
      <c r="Q3660">
        <v>-1.373183E-2</v>
      </c>
      <c r="R3660">
        <v>-0.90404379999999995</v>
      </c>
      <c r="S3660">
        <v>0.41842649999999998</v>
      </c>
      <c r="T3660">
        <v>0.47678039999999999</v>
      </c>
      <c r="U3660">
        <v>-3.1344449999999999</v>
      </c>
      <c r="V3660">
        <v>0.1396239</v>
      </c>
      <c r="W3660">
        <v>-3.5033599999999997E-4</v>
      </c>
      <c r="X3660">
        <v>0.99020459999999999</v>
      </c>
      <c r="Y3660">
        <v>0.4344729</v>
      </c>
      <c r="Z3660">
        <v>-0.1059948</v>
      </c>
      <c r="AA3660">
        <v>0.89442630000000001</v>
      </c>
      <c r="AB3660">
        <v>8</v>
      </c>
      <c r="AC3660">
        <v>22.114899999999999</v>
      </c>
      <c r="AD3660">
        <v>25.247001999999998</v>
      </c>
      <c r="AE3660">
        <v>-165.90219999999999</v>
      </c>
      <c r="AF3660">
        <v>71.038227725911597</v>
      </c>
      <c r="AG3660">
        <v>25.247001999999998</v>
      </c>
      <c r="AH3660">
        <v>147.42314938123101</v>
      </c>
      <c r="AI3660">
        <v>81.229660323369203</v>
      </c>
      <c r="AJ3660">
        <v>64.272156115002304</v>
      </c>
      <c r="AK3660">
        <v>165.582082007406</v>
      </c>
      <c r="AL3660">
        <v>90.0200727735577</v>
      </c>
      <c r="AM3660">
        <v>81.973916379660196</v>
      </c>
      <c r="AN3660">
        <v>1.00000005302384</v>
      </c>
    </row>
    <row r="3661" spans="1:40" x14ac:dyDescent="0.25">
      <c r="A3661" t="str">
        <f>"20190312161039626"</f>
        <v>20190312161039626</v>
      </c>
      <c r="B3661" t="str">
        <f>"1552378239619825"</f>
        <v>1552378239619825</v>
      </c>
      <c r="C3661" t="s">
        <v>40</v>
      </c>
      <c r="D3661">
        <v>5.6867199999999896</v>
      </c>
      <c r="E3661">
        <v>0.59018930000000003</v>
      </c>
      <c r="F3661" t="s">
        <v>56</v>
      </c>
      <c r="G3661">
        <v>-168.8623</v>
      </c>
      <c r="H3661">
        <v>12.352069999999999</v>
      </c>
      <c r="I3661">
        <v>97.914339999999996</v>
      </c>
      <c r="J3661">
        <v>-191.1634</v>
      </c>
      <c r="K3661">
        <v>1.1092219999999999</v>
      </c>
      <c r="L3661">
        <v>204.7731</v>
      </c>
      <c r="M3661">
        <v>0.54403649999999903</v>
      </c>
      <c r="N3661">
        <v>0</v>
      </c>
      <c r="O3661">
        <v>-0.83894629999999903</v>
      </c>
      <c r="P3661">
        <v>0.42156680000000002</v>
      </c>
      <c r="Q3661">
        <v>-1.4139280000000001E-2</v>
      </c>
      <c r="R3661">
        <v>-0.90668729999999997</v>
      </c>
      <c r="S3661">
        <v>0.63195800000000002</v>
      </c>
      <c r="T3661">
        <v>0.31799329999999998</v>
      </c>
      <c r="U3661">
        <v>-3.024597</v>
      </c>
      <c r="V3661">
        <v>0.1396106</v>
      </c>
      <c r="W3661">
        <v>-8.2848410000000003E-4</v>
      </c>
      <c r="X3661">
        <v>0.99020609999999998</v>
      </c>
      <c r="Y3661">
        <v>0.36157299999999998</v>
      </c>
      <c r="Z3661">
        <v>-7.5517589999999996E-2</v>
      </c>
      <c r="AA3661">
        <v>0.92928040000000001</v>
      </c>
      <c r="AB3661">
        <v>8</v>
      </c>
      <c r="AC3661">
        <v>22.301099999999899</v>
      </c>
      <c r="AD3661">
        <v>11.242848</v>
      </c>
      <c r="AE3661">
        <v>-106.85876</v>
      </c>
      <c r="AF3661">
        <v>39.015591359494998</v>
      </c>
      <c r="AG3661">
        <v>11.242848</v>
      </c>
      <c r="AH3661">
        <v>100.722789513455</v>
      </c>
      <c r="AI3661">
        <v>84.057724186362194</v>
      </c>
      <c r="AJ3661">
        <v>68.825817126658393</v>
      </c>
      <c r="AK3661">
        <v>108.59879524034299</v>
      </c>
      <c r="AL3661">
        <v>90.047468649498498</v>
      </c>
      <c r="AM3661">
        <v>81.974682949189202</v>
      </c>
      <c r="AN3661">
        <v>0.99999996324773599</v>
      </c>
    </row>
    <row r="3662" spans="1:40" x14ac:dyDescent="0.25">
      <c r="A3662" t="str">
        <f>"20190312161039650"</f>
        <v>20190312161039650</v>
      </c>
      <c r="B3662" t="str">
        <f>"1552378239640322"</f>
        <v>1552378239640322</v>
      </c>
      <c r="C3662" t="s">
        <v>40</v>
      </c>
      <c r="D3662">
        <v>5.4456119999999997</v>
      </c>
      <c r="E3662">
        <v>0.61984759999999905</v>
      </c>
      <c r="F3662" t="s">
        <v>56</v>
      </c>
      <c r="G3662">
        <v>-168.86240000000001</v>
      </c>
      <c r="H3662">
        <v>12.57511</v>
      </c>
      <c r="I3662">
        <v>94.352419999999995</v>
      </c>
      <c r="J3662">
        <v>-191.12200000000001</v>
      </c>
      <c r="K3662">
        <v>1.109227</v>
      </c>
      <c r="L3662">
        <v>204.69560000000001</v>
      </c>
      <c r="M3662">
        <v>0.53881759999999901</v>
      </c>
      <c r="N3662">
        <v>0</v>
      </c>
      <c r="O3662">
        <v>-0.84230890000000003</v>
      </c>
      <c r="P3662">
        <v>0.41584300000000002</v>
      </c>
      <c r="Q3662">
        <v>-1.504802E-2</v>
      </c>
      <c r="R3662">
        <v>-0.90931189999999995</v>
      </c>
      <c r="S3662">
        <v>0.61178589999999999</v>
      </c>
      <c r="T3662">
        <v>0.3145442</v>
      </c>
      <c r="U3662">
        <v>-3.029175</v>
      </c>
      <c r="V3662">
        <v>0.13969319999999999</v>
      </c>
      <c r="W3662">
        <v>-1.7993519999999999E-3</v>
      </c>
      <c r="X3662">
        <v>0.9901932</v>
      </c>
      <c r="Y3662">
        <v>0.36199540000000002</v>
      </c>
      <c r="Z3662">
        <v>-7.5121460000000001E-2</v>
      </c>
      <c r="AA3662">
        <v>0.92914799999999997</v>
      </c>
      <c r="AB3662">
        <v>8</v>
      </c>
      <c r="AC3662">
        <v>22.259599999999999</v>
      </c>
      <c r="AD3662">
        <v>11.465883</v>
      </c>
      <c r="AE3662">
        <v>-110.34318</v>
      </c>
      <c r="AF3662">
        <v>40.291248897373201</v>
      </c>
      <c r="AG3662">
        <v>11.465883</v>
      </c>
      <c r="AH3662">
        <v>103.869271724873</v>
      </c>
      <c r="AI3662">
        <v>84.124034183959694</v>
      </c>
      <c r="AJ3662">
        <v>68.798555086451401</v>
      </c>
      <c r="AK3662">
        <v>111.998557219882</v>
      </c>
      <c r="AL3662">
        <v>90.103095331032094</v>
      </c>
      <c r="AM3662">
        <v>81.969893470777706</v>
      </c>
      <c r="AN3662">
        <v>1.00000000056005</v>
      </c>
    </row>
    <row r="3663" spans="1:40" x14ac:dyDescent="0.25">
      <c r="A3663" t="str">
        <f>"20190312161039670"</f>
        <v>20190312161039670</v>
      </c>
      <c r="B3663" t="str">
        <f>"1552378239659838"</f>
        <v>1552378239659838</v>
      </c>
      <c r="C3663" t="s">
        <v>40</v>
      </c>
      <c r="D3663">
        <v>5.8088290000000002</v>
      </c>
      <c r="E3663">
        <v>0.59161129999999995</v>
      </c>
      <c r="F3663" t="s">
        <v>53</v>
      </c>
      <c r="G3663">
        <v>-167.6138</v>
      </c>
      <c r="H3663">
        <v>1.5685750000000001</v>
      </c>
      <c r="I3663">
        <v>10.30523</v>
      </c>
      <c r="J3663">
        <v>-191.08430000000001</v>
      </c>
      <c r="K3663">
        <v>1.1092280000000001</v>
      </c>
      <c r="L3663">
        <v>204.6241</v>
      </c>
      <c r="M3663">
        <v>0.53401330000000002</v>
      </c>
      <c r="N3663">
        <v>0</v>
      </c>
      <c r="O3663">
        <v>-0.84536369999999905</v>
      </c>
      <c r="P3663">
        <v>0.4105277</v>
      </c>
      <c r="Q3663">
        <v>-1.5838140000000001E-2</v>
      </c>
      <c r="R3663">
        <v>-0.91171069999999999</v>
      </c>
      <c r="S3663">
        <v>0.37808229999999998</v>
      </c>
      <c r="T3663">
        <v>7.3876380000000002E-3</v>
      </c>
      <c r="U3663">
        <v>-3.1263730000000001</v>
      </c>
      <c r="V3663">
        <v>0.139825799999999</v>
      </c>
      <c r="W3663">
        <v>-2.639967E-3</v>
      </c>
      <c r="X3663">
        <v>0.99017259999999996</v>
      </c>
      <c r="Y3663">
        <v>0.42869849999999998</v>
      </c>
      <c r="Z3663">
        <v>-1.7011610000000001E-3</v>
      </c>
      <c r="AA3663">
        <v>0.90344599999999997</v>
      </c>
      <c r="AB3663">
        <v>8</v>
      </c>
      <c r="AC3663">
        <v>23.470500000000001</v>
      </c>
      <c r="AD3663">
        <v>0.45934700000000001</v>
      </c>
      <c r="AE3663">
        <v>-194.31887</v>
      </c>
      <c r="AF3663">
        <v>83.935264717546005</v>
      </c>
      <c r="AG3663">
        <v>0.45934700000000001</v>
      </c>
      <c r="AH3663">
        <v>176.81950387125201</v>
      </c>
      <c r="AI3663">
        <v>89.865536275084693</v>
      </c>
      <c r="AJ3663">
        <v>64.606560206219299</v>
      </c>
      <c r="AK3663">
        <v>195.73062257129499</v>
      </c>
      <c r="AL3663">
        <v>90.151259142734204</v>
      </c>
      <c r="AM3663">
        <v>81.962205638634103</v>
      </c>
      <c r="AN3663">
        <v>1.0000000007810801</v>
      </c>
    </row>
    <row r="3664" spans="1:40" x14ac:dyDescent="0.25">
      <c r="A3664" t="str">
        <f>"20190312161039693"</f>
        <v>20190312161039693</v>
      </c>
      <c r="B3664" t="str">
        <f>"1552378239690095"</f>
        <v>1552378239690095</v>
      </c>
      <c r="C3664" t="s">
        <v>40</v>
      </c>
      <c r="D3664">
        <v>5.9586750000000004</v>
      </c>
      <c r="E3664">
        <v>0.59461949999999997</v>
      </c>
      <c r="F3664" t="s">
        <v>56</v>
      </c>
      <c r="G3664">
        <v>-168.86240000000001</v>
      </c>
      <c r="H3664">
        <v>12.497310000000001</v>
      </c>
      <c r="I3664">
        <v>85.028619999999904</v>
      </c>
      <c r="J3664">
        <v>-191.04300000000001</v>
      </c>
      <c r="K3664">
        <v>1.109235</v>
      </c>
      <c r="L3664">
        <v>204.5446</v>
      </c>
      <c r="M3664">
        <v>0.52867419999999998</v>
      </c>
      <c r="N3664">
        <v>0</v>
      </c>
      <c r="O3664">
        <v>-0.84871350000000001</v>
      </c>
      <c r="P3664">
        <v>0.40533960000000002</v>
      </c>
      <c r="Q3664">
        <v>-1.6701440000000001E-2</v>
      </c>
      <c r="R3664">
        <v>-0.91401339999999998</v>
      </c>
      <c r="S3664">
        <v>0.56506350000000005</v>
      </c>
      <c r="T3664">
        <v>0.2895781</v>
      </c>
      <c r="U3664">
        <v>-3.0410919999999999</v>
      </c>
      <c r="V3664">
        <v>0.13920060000000001</v>
      </c>
      <c r="W3664">
        <v>-3.5482280000000001E-3</v>
      </c>
      <c r="X3664">
        <v>0.99025790000000002</v>
      </c>
      <c r="Y3664">
        <v>0.36520229999999998</v>
      </c>
      <c r="Z3664">
        <v>-6.9829429999999998E-2</v>
      </c>
      <c r="AA3664">
        <v>0.92830550000000001</v>
      </c>
      <c r="AB3664">
        <v>8</v>
      </c>
      <c r="AC3664">
        <v>22.180599999999998</v>
      </c>
      <c r="AD3664">
        <v>11.388075000000001</v>
      </c>
      <c r="AE3664">
        <v>-119.51598</v>
      </c>
      <c r="AF3664">
        <v>43.978239089852501</v>
      </c>
      <c r="AG3664">
        <v>11.388075000000001</v>
      </c>
      <c r="AH3664">
        <v>112.187172785638</v>
      </c>
      <c r="AI3664">
        <v>84.6011542191589</v>
      </c>
      <c r="AJ3664">
        <v>68.594436599896497</v>
      </c>
      <c r="AK3664">
        <v>121.03609173831001</v>
      </c>
      <c r="AL3664">
        <v>90.203298905016396</v>
      </c>
      <c r="AM3664">
        <v>81.998358658387403</v>
      </c>
      <c r="AN3664">
        <v>1.00000005273735</v>
      </c>
    </row>
    <row r="3665" spans="1:40" x14ac:dyDescent="0.25">
      <c r="A3665" t="str">
        <f>"20190312161039717"</f>
        <v>20190312161039717</v>
      </c>
      <c r="B3665" t="str">
        <f>"1552378239710122"</f>
        <v>1552378239710122</v>
      </c>
      <c r="C3665" t="s">
        <v>40</v>
      </c>
      <c r="D3665">
        <v>5.7812580000000002</v>
      </c>
      <c r="E3665">
        <v>0.59845109999999901</v>
      </c>
      <c r="F3665" t="s">
        <v>56</v>
      </c>
      <c r="G3665">
        <v>-169.91499999999999</v>
      </c>
      <c r="H3665">
        <v>13.269159999999999</v>
      </c>
      <c r="I3665">
        <v>81.867949999999993</v>
      </c>
      <c r="J3665">
        <v>-191.00149999999999</v>
      </c>
      <c r="K3665">
        <v>1.1092340000000001</v>
      </c>
      <c r="L3665">
        <v>204.46350000000001</v>
      </c>
      <c r="M3665">
        <v>0.52322849999999999</v>
      </c>
      <c r="N3665">
        <v>0</v>
      </c>
      <c r="O3665">
        <v>-0.85208269999999997</v>
      </c>
      <c r="P3665">
        <v>0.39966429999999997</v>
      </c>
      <c r="Q3665">
        <v>-1.6993959999999999E-2</v>
      </c>
      <c r="R3665">
        <v>-0.91650430000000005</v>
      </c>
      <c r="S3665">
        <v>0.52606200000000003</v>
      </c>
      <c r="T3665">
        <v>0.30276629999999999</v>
      </c>
      <c r="U3665">
        <v>-3.0544889999999998</v>
      </c>
      <c r="V3665">
        <v>0.13899539999999999</v>
      </c>
      <c r="W3665">
        <v>-3.882206E-3</v>
      </c>
      <c r="X3665">
        <v>0.99028539999999998</v>
      </c>
      <c r="Y3665">
        <v>0.3714829</v>
      </c>
      <c r="Z3665">
        <v>-7.3084410000000002E-2</v>
      </c>
      <c r="AA3665">
        <v>0.92555880000000001</v>
      </c>
      <c r="AB3665">
        <v>8</v>
      </c>
      <c r="AC3665">
        <v>21.086500000000001</v>
      </c>
      <c r="AD3665">
        <v>12.159925999999899</v>
      </c>
      <c r="AE3665">
        <v>-122.59555</v>
      </c>
      <c r="AF3665">
        <v>45.745246487040198</v>
      </c>
      <c r="AG3665">
        <v>12.159925999999899</v>
      </c>
      <c r="AH3665">
        <v>114.412147647681</v>
      </c>
      <c r="AI3665">
        <v>84.363958784555393</v>
      </c>
      <c r="AJ3665">
        <v>68.207057965306802</v>
      </c>
      <c r="AK3665">
        <v>123.816924957133</v>
      </c>
      <c r="AL3665">
        <v>90.222434581500096</v>
      </c>
      <c r="AM3665">
        <v>82.010220706468104</v>
      </c>
      <c r="AN3665">
        <v>0.99999998309887295</v>
      </c>
    </row>
    <row r="3666" spans="1:40" x14ac:dyDescent="0.25">
      <c r="A3666" t="str">
        <f>"20190312161039740"</f>
        <v>20190312161039740</v>
      </c>
      <c r="B3666" t="str">
        <f>"1552378239730617"</f>
        <v>1552378239730617</v>
      </c>
      <c r="C3666" t="s">
        <v>40</v>
      </c>
      <c r="D3666">
        <v>5.3518879999999998</v>
      </c>
      <c r="E3666">
        <v>0.60028649999999995</v>
      </c>
      <c r="F3666" t="s">
        <v>57</v>
      </c>
      <c r="G3666">
        <v>-167.31610000000001</v>
      </c>
      <c r="H3666">
        <v>16.802340000000001</v>
      </c>
      <c r="I3666">
        <v>52.638840000000002</v>
      </c>
      <c r="J3666">
        <v>-190.9631</v>
      </c>
      <c r="K3666">
        <v>1.1092409999999999</v>
      </c>
      <c r="L3666">
        <v>204.38740000000001</v>
      </c>
      <c r="M3666">
        <v>0.51812449999999999</v>
      </c>
      <c r="N3666">
        <v>0</v>
      </c>
      <c r="O3666">
        <v>-0.85519650000000003</v>
      </c>
      <c r="P3666">
        <v>0.3939124</v>
      </c>
      <c r="Q3666">
        <v>-1.722711E-2</v>
      </c>
      <c r="R3666">
        <v>-0.91898670000000005</v>
      </c>
      <c r="S3666">
        <v>0.47898859999999899</v>
      </c>
      <c r="T3666">
        <v>0.3173609</v>
      </c>
      <c r="U3666">
        <v>-3.0703429999999998</v>
      </c>
      <c r="V3666">
        <v>0.1392775</v>
      </c>
      <c r="W3666">
        <v>-4.1514830000000001E-3</v>
      </c>
      <c r="X3666">
        <v>0.99024469999999998</v>
      </c>
      <c r="Y3666">
        <v>0.38056259999999997</v>
      </c>
      <c r="Z3666">
        <v>-7.6526780000000003E-2</v>
      </c>
      <c r="AA3666">
        <v>0.92158329999999999</v>
      </c>
      <c r="AB3666">
        <v>8</v>
      </c>
      <c r="AC3666">
        <v>23.646999999999899</v>
      </c>
      <c r="AD3666">
        <v>15.693098999999901</v>
      </c>
      <c r="AE3666">
        <v>-151.74856</v>
      </c>
      <c r="AF3666">
        <v>57.8037086401851</v>
      </c>
      <c r="AG3666">
        <v>15.693098999999901</v>
      </c>
      <c r="AH3666">
        <v>140.57239682184601</v>
      </c>
      <c r="AI3666">
        <v>84.105165104224398</v>
      </c>
      <c r="AJ3666">
        <v>67.647416942933305</v>
      </c>
      <c r="AK3666">
        <v>152.80098441116701</v>
      </c>
      <c r="AL3666">
        <v>90.237863135178799</v>
      </c>
      <c r="AM3666">
        <v>81.993890192713707</v>
      </c>
      <c r="AN3666">
        <v>1.0000000113477101</v>
      </c>
    </row>
    <row r="3667" spans="1:40" x14ac:dyDescent="0.25">
      <c r="A3667" t="str">
        <f>"20190312161039760"</f>
        <v>20190312161039760</v>
      </c>
      <c r="B3667" t="str">
        <f>"1552378239750138"</f>
        <v>1552378239750138</v>
      </c>
      <c r="C3667" t="s">
        <v>40</v>
      </c>
      <c r="D3667">
        <v>5.9507269999999997</v>
      </c>
      <c r="E3667">
        <v>0.60177139999999996</v>
      </c>
      <c r="F3667" t="s">
        <v>57</v>
      </c>
      <c r="G3667">
        <v>-168.9804</v>
      </c>
      <c r="H3667">
        <v>16.94802</v>
      </c>
      <c r="I3667">
        <v>52.638829999999999</v>
      </c>
      <c r="J3667">
        <v>-190.9282</v>
      </c>
      <c r="K3667">
        <v>1.109254</v>
      </c>
      <c r="L3667">
        <v>204.31710000000001</v>
      </c>
      <c r="M3667">
        <v>0.51341579999999998</v>
      </c>
      <c r="N3667">
        <v>0</v>
      </c>
      <c r="O3667">
        <v>-0.85803200000000002</v>
      </c>
      <c r="P3667">
        <v>0.38859670000000002</v>
      </c>
      <c r="Q3667">
        <v>-1.6893370000000001E-2</v>
      </c>
      <c r="R3667">
        <v>-0.9212534</v>
      </c>
      <c r="S3667">
        <v>0.44607540000000001</v>
      </c>
      <c r="T3667">
        <v>0.32140229999999997</v>
      </c>
      <c r="U3667">
        <v>-3.0792999999999999</v>
      </c>
      <c r="V3667">
        <v>0.13955909999999999</v>
      </c>
      <c r="W3667">
        <v>-3.8472390000000001E-3</v>
      </c>
      <c r="X3667">
        <v>0.99020620000000004</v>
      </c>
      <c r="Y3667">
        <v>0.38552189999999997</v>
      </c>
      <c r="Z3667">
        <v>-7.7633140000000003E-2</v>
      </c>
      <c r="AA3667">
        <v>0.91942699999999999</v>
      </c>
      <c r="AB3667">
        <v>8</v>
      </c>
      <c r="AC3667">
        <v>21.947800000000001</v>
      </c>
      <c r="AD3667">
        <v>15.838766</v>
      </c>
      <c r="AE3667">
        <v>-151.67827</v>
      </c>
      <c r="AF3667">
        <v>58.423576523760303</v>
      </c>
      <c r="AG3667">
        <v>15.838766</v>
      </c>
      <c r="AH3667">
        <v>139.93170289096301</v>
      </c>
      <c r="AI3667">
        <v>84.037026259605497</v>
      </c>
      <c r="AJ3667">
        <v>67.338734766229805</v>
      </c>
      <c r="AK3667">
        <v>152.46331452580699</v>
      </c>
      <c r="AL3667">
        <v>90.220431116448594</v>
      </c>
      <c r="AM3667">
        <v>81.977605605506199</v>
      </c>
      <c r="AN3667">
        <v>0.99999993107958396</v>
      </c>
    </row>
    <row r="3668" spans="1:40" x14ac:dyDescent="0.25">
      <c r="A3668" t="str">
        <f>"20190312161039783"</f>
        <v>20190312161039783</v>
      </c>
      <c r="B3668" t="str">
        <f>"1552378239780394"</f>
        <v>1552378239780394</v>
      </c>
      <c r="C3668" t="s">
        <v>40</v>
      </c>
      <c r="D3668">
        <v>5.5122030000000004</v>
      </c>
      <c r="E3668">
        <v>0.60514809999999997</v>
      </c>
      <c r="F3668" t="s">
        <v>57</v>
      </c>
      <c r="G3668">
        <v>-168.71979999999999</v>
      </c>
      <c r="H3668">
        <v>18.417850000000001</v>
      </c>
      <c r="I3668">
        <v>40.06832</v>
      </c>
      <c r="J3668">
        <v>-190.8905</v>
      </c>
      <c r="K3668">
        <v>1.109262</v>
      </c>
      <c r="L3668">
        <v>204.24010000000001</v>
      </c>
      <c r="M3668">
        <v>0.50826320000000003</v>
      </c>
      <c r="N3668">
        <v>0</v>
      </c>
      <c r="O3668">
        <v>-0.86109469999999999</v>
      </c>
      <c r="P3668">
        <v>0.38298520000000003</v>
      </c>
      <c r="Q3668">
        <v>-1.6869439999999999E-2</v>
      </c>
      <c r="R3668">
        <v>-0.92360050000000005</v>
      </c>
      <c r="S3668">
        <v>0.41731259999999998</v>
      </c>
      <c r="T3668">
        <v>0.32524229999999998</v>
      </c>
      <c r="U3668">
        <v>-3.0863649999999998</v>
      </c>
      <c r="V3668">
        <v>0.1396473</v>
      </c>
      <c r="W3668">
        <v>-3.8509680000000002E-3</v>
      </c>
      <c r="X3668">
        <v>0.99019380000000001</v>
      </c>
      <c r="Y3668">
        <v>0.38869930000000003</v>
      </c>
      <c r="Z3668">
        <v>-7.8806260000000003E-2</v>
      </c>
      <c r="AA3668">
        <v>0.91798820000000003</v>
      </c>
      <c r="AB3668">
        <v>8</v>
      </c>
      <c r="AC3668">
        <v>22.1707</v>
      </c>
      <c r="AD3668">
        <v>17.308588</v>
      </c>
      <c r="AE3668">
        <v>-164.17178000000001</v>
      </c>
      <c r="AF3668">
        <v>63.662376751245901</v>
      </c>
      <c r="AG3668">
        <v>17.308588</v>
      </c>
      <c r="AH3668">
        <v>151.001691872886</v>
      </c>
      <c r="AI3668">
        <v>83.970667522095994</v>
      </c>
      <c r="AJ3668">
        <v>67.139691426528898</v>
      </c>
      <c r="AK3668">
        <v>164.78469704631399</v>
      </c>
      <c r="AL3668">
        <v>90.220644763223603</v>
      </c>
      <c r="AM3668">
        <v>81.972502382305393</v>
      </c>
      <c r="AN3668">
        <v>0.99999997995513301</v>
      </c>
    </row>
    <row r="3669" spans="1:40" x14ac:dyDescent="0.25">
      <c r="A3669" t="str">
        <f>"20190312161039806"</f>
        <v>20190312161039806</v>
      </c>
      <c r="B3669" t="str">
        <f>"1552378239799914"</f>
        <v>1552378239799914</v>
      </c>
      <c r="C3669" t="s">
        <v>40</v>
      </c>
      <c r="D3669">
        <v>5.4886189999999999</v>
      </c>
      <c r="E3669">
        <v>0.60706150000000003</v>
      </c>
      <c r="F3669" t="s">
        <v>54</v>
      </c>
      <c r="G3669">
        <v>-157.9383</v>
      </c>
      <c r="H3669">
        <v>32.159869999999998</v>
      </c>
      <c r="I3669">
        <v>-69.049750000000003</v>
      </c>
      <c r="J3669">
        <v>-190.8526</v>
      </c>
      <c r="K3669">
        <v>1.109267</v>
      </c>
      <c r="L3669">
        <v>204.16159999999999</v>
      </c>
      <c r="M3669">
        <v>0.50300690000000003</v>
      </c>
      <c r="N3669">
        <v>0</v>
      </c>
      <c r="O3669">
        <v>-0.86417600000000006</v>
      </c>
      <c r="P3669">
        <v>0.37711729999999999</v>
      </c>
      <c r="Q3669">
        <v>-1.7706E-2</v>
      </c>
      <c r="R3669">
        <v>-0.92599629999999999</v>
      </c>
      <c r="S3669">
        <v>0.3737335</v>
      </c>
      <c r="T3669">
        <v>0.35216550000000002</v>
      </c>
      <c r="U3669">
        <v>-3.099564</v>
      </c>
      <c r="V3669">
        <v>0.1398858</v>
      </c>
      <c r="W3669">
        <v>-4.7132069999999996E-3</v>
      </c>
      <c r="X3669">
        <v>0.99015640000000005</v>
      </c>
      <c r="Y3669">
        <v>0.3963373</v>
      </c>
      <c r="Z3669">
        <v>-8.5272940000000005E-2</v>
      </c>
      <c r="AA3669">
        <v>0.91413639999999996</v>
      </c>
      <c r="AB3669">
        <v>8</v>
      </c>
      <c r="AC3669">
        <v>32.914299999999997</v>
      </c>
      <c r="AD3669">
        <v>31.050602999999999</v>
      </c>
      <c r="AE3669">
        <v>-273.21134999999998</v>
      </c>
      <c r="AF3669">
        <v>107.62324669695199</v>
      </c>
      <c r="AG3669">
        <v>31.050602999999999</v>
      </c>
      <c r="AH3669">
        <v>249.505430291007</v>
      </c>
      <c r="AI3669">
        <v>83.481019363967206</v>
      </c>
      <c r="AJ3669">
        <v>66.667226254045204</v>
      </c>
      <c r="AK3669">
        <v>273.49563601812201</v>
      </c>
      <c r="AL3669">
        <v>90.270047875944599</v>
      </c>
      <c r="AM3669">
        <v>81.9586718391825</v>
      </c>
      <c r="AN3669">
        <v>0.99999997391141204</v>
      </c>
    </row>
    <row r="3670" spans="1:40" x14ac:dyDescent="0.25">
      <c r="A3670" t="str">
        <f>"20190312161039828"</f>
        <v>20190312161039828</v>
      </c>
      <c r="B3670" t="str">
        <f>"1552378239819941"</f>
        <v>1552378239819941</v>
      </c>
      <c r="C3670" t="s">
        <v>40</v>
      </c>
      <c r="D3670">
        <v>5.020899</v>
      </c>
      <c r="E3670">
        <v>0.60839169999999998</v>
      </c>
      <c r="F3670" t="s">
        <v>45</v>
      </c>
      <c r="G3670">
        <v>0</v>
      </c>
      <c r="H3670">
        <v>0</v>
      </c>
      <c r="I3670">
        <v>0</v>
      </c>
      <c r="J3670">
        <v>-190.81620000000001</v>
      </c>
      <c r="K3670">
        <v>1.1092679999999999</v>
      </c>
      <c r="L3670">
        <v>204.08500000000001</v>
      </c>
      <c r="M3670">
        <v>0.49788460000000001</v>
      </c>
      <c r="N3670">
        <v>0</v>
      </c>
      <c r="O3670">
        <v>-0.86713759999999995</v>
      </c>
      <c r="P3670">
        <v>0.37111430000000001</v>
      </c>
      <c r="Q3670">
        <v>-1.7607810000000002E-2</v>
      </c>
      <c r="R3670">
        <v>-0.92842009999999997</v>
      </c>
      <c r="S3670">
        <v>0.34001160000000002</v>
      </c>
      <c r="T3670">
        <v>0.36556539999999998</v>
      </c>
      <c r="U3670">
        <v>-3.108276</v>
      </c>
      <c r="V3670">
        <v>0.14043820000000001</v>
      </c>
      <c r="W3670">
        <v>-4.6389040000000001E-3</v>
      </c>
      <c r="X3670">
        <v>0.99007860000000003</v>
      </c>
      <c r="Y3670">
        <v>0.40101399999999998</v>
      </c>
      <c r="Z3670">
        <v>-8.8655680000000001E-2</v>
      </c>
      <c r="AA3670">
        <v>0.91177189999999997</v>
      </c>
      <c r="AB3670">
        <v>8</v>
      </c>
      <c r="AC3670">
        <v>0.34001160000000002</v>
      </c>
      <c r="AD3670">
        <v>0.36556539999999998</v>
      </c>
      <c r="AE3670">
        <v>-3.108276</v>
      </c>
      <c r="AF3670">
        <v>1.2359470358500699</v>
      </c>
      <c r="AG3670">
        <v>0.36556539999999998</v>
      </c>
      <c r="AH3670">
        <v>2.82622153028856</v>
      </c>
      <c r="AI3670">
        <v>83.241345264006299</v>
      </c>
      <c r="AJ3670">
        <v>66.379554279728296</v>
      </c>
      <c r="AK3670">
        <v>3.1062406982348199</v>
      </c>
      <c r="AL3670">
        <v>90.265790568516906</v>
      </c>
      <c r="AM3670">
        <v>81.926708945049796</v>
      </c>
      <c r="AN3670">
        <v>1.00000002081376</v>
      </c>
    </row>
    <row r="3671" spans="1:40" x14ac:dyDescent="0.25">
      <c r="A3671" t="str">
        <f>"20190312161039851"</f>
        <v>20190312161039851</v>
      </c>
      <c r="B3671" t="str">
        <f>"1552378239840437"</f>
        <v>1552378239840437</v>
      </c>
      <c r="C3671" t="s">
        <v>40</v>
      </c>
      <c r="D3671">
        <v>5.9531780000000003</v>
      </c>
      <c r="E3671">
        <v>0.60915609999999998</v>
      </c>
      <c r="F3671" t="s">
        <v>45</v>
      </c>
      <c r="G3671">
        <v>0</v>
      </c>
      <c r="H3671">
        <v>0</v>
      </c>
      <c r="I3671">
        <v>0</v>
      </c>
      <c r="J3671">
        <v>-190.7807</v>
      </c>
      <c r="K3671">
        <v>1.109267</v>
      </c>
      <c r="L3671">
        <v>204.00919999999999</v>
      </c>
      <c r="M3671">
        <v>0.49280879999999999</v>
      </c>
      <c r="N3671">
        <v>0</v>
      </c>
      <c r="O3671">
        <v>-0.87003280000000005</v>
      </c>
      <c r="P3671">
        <v>0.36524329999999999</v>
      </c>
      <c r="Q3671">
        <v>-1.7452760000000001E-2</v>
      </c>
      <c r="R3671">
        <v>-0.93074880000000004</v>
      </c>
      <c r="S3671">
        <v>0.30950929999999999</v>
      </c>
      <c r="T3671">
        <v>0.376446</v>
      </c>
      <c r="U3671">
        <v>-3.1146850000000001</v>
      </c>
      <c r="V3671">
        <v>0.14090720000000001</v>
      </c>
      <c r="W3671">
        <v>-4.5047430000000003E-3</v>
      </c>
      <c r="X3671">
        <v>0.99001260000000002</v>
      </c>
      <c r="Y3671">
        <v>0.4047094</v>
      </c>
      <c r="Z3671">
        <v>-9.1515159999999998E-2</v>
      </c>
      <c r="AA3671">
        <v>0.90985450000000001</v>
      </c>
      <c r="AB3671">
        <v>8</v>
      </c>
      <c r="AC3671">
        <v>0.30950929999999999</v>
      </c>
      <c r="AD3671">
        <v>0.376446</v>
      </c>
      <c r="AE3671">
        <v>-3.1146850000000001</v>
      </c>
      <c r="AF3671">
        <v>1.2477283608080401</v>
      </c>
      <c r="AG3671">
        <v>0.376446</v>
      </c>
      <c r="AH3671">
        <v>2.82185087661846</v>
      </c>
      <c r="AI3671">
        <v>83.043781948136797</v>
      </c>
      <c r="AJ3671">
        <v>66.146583812590606</v>
      </c>
      <c r="AK3671">
        <v>3.1082760532412701</v>
      </c>
      <c r="AL3671">
        <v>90.258103624324306</v>
      </c>
      <c r="AM3671">
        <v>81.899572192792704</v>
      </c>
      <c r="AN3671">
        <v>1.0000000399400399</v>
      </c>
    </row>
    <row r="3672" spans="1:40" x14ac:dyDescent="0.25">
      <c r="A3672" t="str">
        <f>"20190312161039872"</f>
        <v>20190312161039872</v>
      </c>
      <c r="B3672" t="str">
        <f>"1552378239859957"</f>
        <v>1552378239859957</v>
      </c>
      <c r="C3672" t="s">
        <v>40</v>
      </c>
      <c r="D3672">
        <v>6.0259980000000004</v>
      </c>
      <c r="E3672">
        <v>0.60878959999999904</v>
      </c>
      <c r="F3672" t="s">
        <v>45</v>
      </c>
      <c r="G3672">
        <v>0</v>
      </c>
      <c r="H3672">
        <v>0</v>
      </c>
      <c r="I3672">
        <v>0</v>
      </c>
      <c r="J3672">
        <v>-190.74600000000001</v>
      </c>
      <c r="K3672">
        <v>1.1092679999999999</v>
      </c>
      <c r="L3672">
        <v>203.9341</v>
      </c>
      <c r="M3672">
        <v>0.48777700000000002</v>
      </c>
      <c r="N3672">
        <v>0</v>
      </c>
      <c r="O3672">
        <v>-0.87286399999999997</v>
      </c>
      <c r="P3672">
        <v>0.35936299999999999</v>
      </c>
      <c r="Q3672">
        <v>-1.802759E-2</v>
      </c>
      <c r="R3672">
        <v>-0.93302379999999996</v>
      </c>
      <c r="S3672">
        <v>0.28392030000000001</v>
      </c>
      <c r="T3672">
        <v>0.38423190000000002</v>
      </c>
      <c r="U3672">
        <v>-3.1189580000000001</v>
      </c>
      <c r="V3672">
        <v>0.14143049999999999</v>
      </c>
      <c r="W3672">
        <v>-5.0984569999999998E-3</v>
      </c>
      <c r="X3672">
        <v>0.98993500000000001</v>
      </c>
      <c r="Y3672">
        <v>0.40696070000000001</v>
      </c>
      <c r="Z3672">
        <v>-9.3725039999999996E-2</v>
      </c>
      <c r="AA3672">
        <v>0.9086246</v>
      </c>
      <c r="AB3672">
        <v>8</v>
      </c>
      <c r="AC3672">
        <v>0.28392030000000001</v>
      </c>
      <c r="AD3672">
        <v>0.38423190000000002</v>
      </c>
      <c r="AE3672">
        <v>-3.1189580000000001</v>
      </c>
      <c r="AF3672">
        <v>1.2547618742343301</v>
      </c>
      <c r="AG3672">
        <v>0.38423190000000002</v>
      </c>
      <c r="AH3672">
        <v>2.8187495754305498</v>
      </c>
      <c r="AI3672">
        <v>82.9014019736168</v>
      </c>
      <c r="AJ3672">
        <v>66.003838940661893</v>
      </c>
      <c r="AK3672">
        <v>3.1092459991129</v>
      </c>
      <c r="AL3672">
        <v>90.292121350541606</v>
      </c>
      <c r="AM3672">
        <v>81.869261564062697</v>
      </c>
      <c r="AN3672">
        <v>0.99999994240951295</v>
      </c>
    </row>
    <row r="3673" spans="1:40" x14ac:dyDescent="0.25">
      <c r="A3673" t="str">
        <f>"20190312161039896"</f>
        <v>20190312161039896</v>
      </c>
      <c r="B3673" t="str">
        <f>"1552378239880453"</f>
        <v>1552378239880453</v>
      </c>
      <c r="C3673" t="s">
        <v>40</v>
      </c>
      <c r="D3673">
        <v>6.0770189999999999</v>
      </c>
      <c r="E3673">
        <v>0.60921579999999997</v>
      </c>
      <c r="F3673" t="s">
        <v>45</v>
      </c>
      <c r="G3673">
        <v>0</v>
      </c>
      <c r="H3673">
        <v>0</v>
      </c>
      <c r="I3673">
        <v>0</v>
      </c>
      <c r="J3673">
        <v>-190.71090000000001</v>
      </c>
      <c r="K3673">
        <v>1.1092550000000001</v>
      </c>
      <c r="L3673">
        <v>203.85659999999999</v>
      </c>
      <c r="M3673">
        <v>0.48258420000000002</v>
      </c>
      <c r="N3673">
        <v>0</v>
      </c>
      <c r="O3673">
        <v>-0.87574599999999903</v>
      </c>
      <c r="P3673">
        <v>0.35271920000000001</v>
      </c>
      <c r="Q3673">
        <v>-1.8273029999999999E-2</v>
      </c>
      <c r="R3673">
        <v>-0.93555089999999996</v>
      </c>
      <c r="S3673">
        <v>0.26719670000000001</v>
      </c>
      <c r="T3673">
        <v>0.382216</v>
      </c>
      <c r="U3673">
        <v>-3.1198269999999999</v>
      </c>
      <c r="V3673">
        <v>0.14258689999999999</v>
      </c>
      <c r="W3673">
        <v>-5.3642350000000002E-3</v>
      </c>
      <c r="X3673">
        <v>0.98976770000000003</v>
      </c>
      <c r="Y3673">
        <v>0.40639320000000001</v>
      </c>
      <c r="Z3673">
        <v>-9.3758320000000006E-2</v>
      </c>
      <c r="AA3673">
        <v>0.90887510000000005</v>
      </c>
      <c r="AB3673">
        <v>8</v>
      </c>
      <c r="AC3673">
        <v>0.26719670000000001</v>
      </c>
      <c r="AD3673">
        <v>0.382216</v>
      </c>
      <c r="AE3673">
        <v>-3.1198269999999999</v>
      </c>
      <c r="AF3673">
        <v>1.25302817574356</v>
      </c>
      <c r="AG3673">
        <v>0.382216</v>
      </c>
      <c r="AH3673">
        <v>2.8193722009815598</v>
      </c>
      <c r="AI3673">
        <v>82.937960832235603</v>
      </c>
      <c r="AJ3673">
        <v>66.037954553234897</v>
      </c>
      <c r="AK3673">
        <v>3.1088628608433102</v>
      </c>
      <c r="AL3673">
        <v>90.307349515342594</v>
      </c>
      <c r="AM3673">
        <v>81.802314049994706</v>
      </c>
      <c r="AN3673">
        <v>0.99999994951601601</v>
      </c>
    </row>
    <row r="3674" spans="1:40" x14ac:dyDescent="0.25">
      <c r="A3674" t="str">
        <f>"20190312161039919"</f>
        <v>20190312161039919</v>
      </c>
      <c r="B3674" t="str">
        <f>"1552378239910240"</f>
        <v>1552378239910240</v>
      </c>
      <c r="C3674" t="s">
        <v>40</v>
      </c>
      <c r="D3674">
        <v>6.0890649999999997</v>
      </c>
      <c r="E3674">
        <v>0.60955439999999905</v>
      </c>
      <c r="F3674" t="s">
        <v>45</v>
      </c>
      <c r="G3674">
        <v>0</v>
      </c>
      <c r="H3674">
        <v>0</v>
      </c>
      <c r="I3674">
        <v>0</v>
      </c>
      <c r="J3674">
        <v>-190.67599999999999</v>
      </c>
      <c r="K3674">
        <v>1.109264</v>
      </c>
      <c r="L3674">
        <v>203.77850000000001</v>
      </c>
      <c r="M3674">
        <v>0.47734559999999998</v>
      </c>
      <c r="N3674">
        <v>0</v>
      </c>
      <c r="O3674">
        <v>-0.87861250000000002</v>
      </c>
      <c r="P3674">
        <v>0.34603879999999998</v>
      </c>
      <c r="Q3674">
        <v>-1.9319659999999999E-2</v>
      </c>
      <c r="R3674">
        <v>-0.93802160000000001</v>
      </c>
      <c r="S3674">
        <v>0.24188229999999999</v>
      </c>
      <c r="T3674">
        <v>0.38401750000000001</v>
      </c>
      <c r="U3674">
        <v>-3.1230009999999999</v>
      </c>
      <c r="V3674">
        <v>0.1437206</v>
      </c>
      <c r="W3674">
        <v>-6.4293609999999998E-3</v>
      </c>
      <c r="X3674">
        <v>0.98959739999999996</v>
      </c>
      <c r="Y3674">
        <v>0.40833599999999998</v>
      </c>
      <c r="Z3674">
        <v>-9.4579469999999999E-2</v>
      </c>
      <c r="AA3674">
        <v>0.90791880000000003</v>
      </c>
      <c r="AB3674">
        <v>8</v>
      </c>
      <c r="AC3674">
        <v>0.24188229999999999</v>
      </c>
      <c r="AD3674">
        <v>0.38401750000000001</v>
      </c>
      <c r="AE3674">
        <v>-3.1230009999999999</v>
      </c>
      <c r="AF3674">
        <v>1.25941673889832</v>
      </c>
      <c r="AG3674">
        <v>0.38401750000000001</v>
      </c>
      <c r="AH3674">
        <v>2.8172844216179702</v>
      </c>
      <c r="AI3674">
        <v>82.906593057527004</v>
      </c>
      <c r="AJ3674">
        <v>65.913820964894796</v>
      </c>
      <c r="AK3674">
        <v>3.10977354076062</v>
      </c>
      <c r="AL3674">
        <v>90.368377795281702</v>
      </c>
      <c r="AM3674">
        <v>81.736628867151694</v>
      </c>
      <c r="AN3674">
        <v>0.99999998081699304</v>
      </c>
    </row>
    <row r="3675" spans="1:40" x14ac:dyDescent="0.25">
      <c r="A3675" t="str">
        <f>"20190312161039943"</f>
        <v>20190312161039943</v>
      </c>
      <c r="B3675" t="str">
        <f>"1552378239940497"</f>
        <v>1552378239940497</v>
      </c>
      <c r="C3675" t="s">
        <v>40</v>
      </c>
      <c r="D3675">
        <v>6.1432460000000004</v>
      </c>
      <c r="E3675">
        <v>0.60971529999999996</v>
      </c>
      <c r="F3675" t="s">
        <v>45</v>
      </c>
      <c r="G3675">
        <v>0</v>
      </c>
      <c r="H3675">
        <v>0</v>
      </c>
      <c r="I3675">
        <v>0</v>
      </c>
      <c r="J3675">
        <v>-190.63900000000001</v>
      </c>
      <c r="K3675">
        <v>1.109262</v>
      </c>
      <c r="L3675">
        <v>203.69450000000001</v>
      </c>
      <c r="M3675">
        <v>0.47169719999999998</v>
      </c>
      <c r="N3675">
        <v>0</v>
      </c>
      <c r="O3675">
        <v>-0.88165799999999905</v>
      </c>
      <c r="P3675">
        <v>0.33913470000000001</v>
      </c>
      <c r="Q3675">
        <v>-1.954266E-2</v>
      </c>
      <c r="R3675">
        <v>-0.9405348</v>
      </c>
      <c r="S3675">
        <v>0.21720890000000001</v>
      </c>
      <c r="T3675">
        <v>0.38159929999999997</v>
      </c>
      <c r="U3675">
        <v>-3.1259769999999998</v>
      </c>
      <c r="V3675">
        <v>0.144640299999999</v>
      </c>
      <c r="W3675">
        <v>-6.6685269999999996E-3</v>
      </c>
      <c r="X3675">
        <v>0.98946179999999995</v>
      </c>
      <c r="Y3675">
        <v>0.40967160000000002</v>
      </c>
      <c r="Z3675">
        <v>-9.4426300000000005E-2</v>
      </c>
      <c r="AA3675">
        <v>0.90733280000000005</v>
      </c>
      <c r="AB3675">
        <v>8</v>
      </c>
      <c r="AC3675">
        <v>0.21720890000000001</v>
      </c>
      <c r="AD3675">
        <v>0.38159929999999997</v>
      </c>
      <c r="AE3675">
        <v>-3.1259769999999998</v>
      </c>
      <c r="AF3675">
        <v>1.2643755640287899</v>
      </c>
      <c r="AG3675">
        <v>0.38159929999999997</v>
      </c>
      <c r="AH3675">
        <v>2.8169812248921202</v>
      </c>
      <c r="AI3675">
        <v>82.9547662875502</v>
      </c>
      <c r="AJ3675">
        <v>65.827520474589605</v>
      </c>
      <c r="AK3675">
        <v>3.11121307757413</v>
      </c>
      <c r="AL3675">
        <v>90.382081296113398</v>
      </c>
      <c r="AM3675">
        <v>81.683363197865205</v>
      </c>
      <c r="AN3675">
        <v>0.99999996964783899</v>
      </c>
    </row>
    <row r="3676" spans="1:40" x14ac:dyDescent="0.25">
      <c r="A3676" t="str">
        <f>"20190312161039964"</f>
        <v>20190312161039964</v>
      </c>
      <c r="B3676" t="str">
        <f>"1552378239960017"</f>
        <v>1552378239960017</v>
      </c>
      <c r="C3676" t="s">
        <v>40</v>
      </c>
      <c r="D3676">
        <v>5.7140550000000001</v>
      </c>
      <c r="E3676">
        <v>0.6096123</v>
      </c>
      <c r="F3676" t="s">
        <v>45</v>
      </c>
      <c r="G3676">
        <v>0</v>
      </c>
      <c r="H3676">
        <v>0</v>
      </c>
      <c r="I3676">
        <v>0</v>
      </c>
      <c r="J3676">
        <v>-190.6079</v>
      </c>
      <c r="K3676">
        <v>1.109267</v>
      </c>
      <c r="L3676">
        <v>203.6225</v>
      </c>
      <c r="M3676">
        <v>0.46685959999999899</v>
      </c>
      <c r="N3676">
        <v>0</v>
      </c>
      <c r="O3676">
        <v>-0.88422919999999905</v>
      </c>
      <c r="P3676">
        <v>0.33277869999999998</v>
      </c>
      <c r="Q3676">
        <v>-1.9529109999999999E-2</v>
      </c>
      <c r="R3676">
        <v>-0.9428029</v>
      </c>
      <c r="S3676">
        <v>0.19309999999999999</v>
      </c>
      <c r="T3676">
        <v>0.37923289999999998</v>
      </c>
      <c r="U3676">
        <v>-3.127945</v>
      </c>
      <c r="V3676">
        <v>0.14589759999999999</v>
      </c>
      <c r="W3676">
        <v>-6.6695269999999997E-3</v>
      </c>
      <c r="X3676">
        <v>0.98927719999999997</v>
      </c>
      <c r="Y3676">
        <v>0.4116746</v>
      </c>
      <c r="Z3676">
        <v>-9.4204700000000002E-2</v>
      </c>
      <c r="AA3676">
        <v>0.90644880000000005</v>
      </c>
      <c r="AB3676">
        <v>8</v>
      </c>
      <c r="AC3676">
        <v>0.19309999999999999</v>
      </c>
      <c r="AD3676">
        <v>0.37923289999999998</v>
      </c>
      <c r="AE3676">
        <v>-3.127945</v>
      </c>
      <c r="AF3676">
        <v>1.27107032207913</v>
      </c>
      <c r="AG3676">
        <v>0.37923289999999998</v>
      </c>
      <c r="AH3676">
        <v>2.81500788324756</v>
      </c>
      <c r="AI3676">
        <v>83.000150299922893</v>
      </c>
      <c r="AJ3676">
        <v>65.699230295425906</v>
      </c>
      <c r="AK3676">
        <v>3.1118654757008102</v>
      </c>
      <c r="AL3676">
        <v>90.382138587165201</v>
      </c>
      <c r="AM3676">
        <v>81.610551272056398</v>
      </c>
      <c r="AN3676">
        <v>0.99999998535800105</v>
      </c>
    </row>
    <row r="3677" spans="1:40" x14ac:dyDescent="0.25">
      <c r="A3677" t="str">
        <f>"20190312161039985"</f>
        <v>20190312161039985</v>
      </c>
      <c r="B3677" t="str">
        <f>"1552378239980513"</f>
        <v>1552378239980513</v>
      </c>
      <c r="C3677" t="s">
        <v>40</v>
      </c>
      <c r="D3677">
        <v>6.1577769999999896</v>
      </c>
      <c r="E3677">
        <v>0.60948939999999996</v>
      </c>
      <c r="F3677" t="s">
        <v>42</v>
      </c>
      <c r="G3677">
        <v>-190.5701</v>
      </c>
      <c r="H3677">
        <v>1.191778</v>
      </c>
      <c r="I3677">
        <v>202.93549999999999</v>
      </c>
      <c r="J3677">
        <v>-190.57810000000001</v>
      </c>
      <c r="K3677">
        <v>1.10927</v>
      </c>
      <c r="L3677">
        <v>203.55250000000001</v>
      </c>
      <c r="M3677">
        <v>0.46214889999999997</v>
      </c>
      <c r="N3677">
        <v>0</v>
      </c>
      <c r="O3677">
        <v>-0.88670070000000001</v>
      </c>
      <c r="P3677">
        <v>0.32691479999999901</v>
      </c>
      <c r="Q3677">
        <v>-2.0129330000000001E-2</v>
      </c>
      <c r="R3677">
        <v>-0.9448394</v>
      </c>
      <c r="S3677">
        <v>0.1724243</v>
      </c>
      <c r="T3677">
        <v>0.37577159999999998</v>
      </c>
      <c r="U3677">
        <v>-3.1289220000000002</v>
      </c>
      <c r="V3677">
        <v>0.14677299999999999</v>
      </c>
      <c r="W3677">
        <v>-7.2812090000000003E-3</v>
      </c>
      <c r="X3677">
        <v>0.98914340000000001</v>
      </c>
      <c r="Y3677">
        <v>0.41281230000000002</v>
      </c>
      <c r="Z3677">
        <v>-9.3740850000000001E-2</v>
      </c>
      <c r="AA3677">
        <v>0.90597939999999999</v>
      </c>
      <c r="AB3677">
        <v>8</v>
      </c>
      <c r="AC3677">
        <v>8.0000000000097701E-3</v>
      </c>
      <c r="AD3677">
        <v>8.2507999999999998E-2</v>
      </c>
      <c r="AE3677">
        <v>-0.61700000000001798</v>
      </c>
      <c r="AF3677">
        <v>0.27319285277063998</v>
      </c>
      <c r="AG3677">
        <v>8.2507999999999998E-2</v>
      </c>
      <c r="AH3677">
        <v>0.54116555065201399</v>
      </c>
      <c r="AI3677">
        <v>82.249443284781194</v>
      </c>
      <c r="AJ3677">
        <v>63.214302508174299</v>
      </c>
      <c r="AK3677">
        <v>0.61180230310244699</v>
      </c>
      <c r="AL3677">
        <v>90.4171862327469</v>
      </c>
      <c r="AM3677">
        <v>81.559811409601195</v>
      </c>
      <c r="AN3677">
        <v>0.99999999764852998</v>
      </c>
    </row>
    <row r="3678" spans="1:40" x14ac:dyDescent="0.25">
      <c r="A3678" t="str">
        <f>"20190312161040009"</f>
        <v>20190312161040009</v>
      </c>
      <c r="B3678" t="str">
        <f>"1552378240000032"</f>
        <v>1552378240000032</v>
      </c>
      <c r="C3678" t="s">
        <v>40</v>
      </c>
      <c r="D3678">
        <v>5.7348220000000003</v>
      </c>
      <c r="E3678">
        <v>0.60906459999999996</v>
      </c>
      <c r="F3678" t="s">
        <v>42</v>
      </c>
      <c r="G3678">
        <v>-190.5444</v>
      </c>
      <c r="H3678">
        <v>1.1906859999999999</v>
      </c>
      <c r="I3678">
        <v>202.86680000000001</v>
      </c>
      <c r="J3678">
        <v>-190.5437</v>
      </c>
      <c r="K3678">
        <v>1.109281</v>
      </c>
      <c r="L3678">
        <v>203.47040000000001</v>
      </c>
      <c r="M3678">
        <v>0.45661810000000003</v>
      </c>
      <c r="N3678">
        <v>0</v>
      </c>
      <c r="O3678">
        <v>-0.88956170000000001</v>
      </c>
      <c r="P3678">
        <v>0.3199284</v>
      </c>
      <c r="Q3678">
        <v>-2.0817869999999999E-2</v>
      </c>
      <c r="R3678">
        <v>-0.94721330000000004</v>
      </c>
      <c r="S3678">
        <v>0.15414430000000001</v>
      </c>
      <c r="T3678">
        <v>0.37159789999999998</v>
      </c>
      <c r="U3678">
        <v>-3.129715</v>
      </c>
      <c r="V3678">
        <v>0.1479087</v>
      </c>
      <c r="W3678">
        <v>-7.982533E-3</v>
      </c>
      <c r="X3678">
        <v>0.98896879999999998</v>
      </c>
      <c r="Y3678">
        <v>0.41243180000000002</v>
      </c>
      <c r="Z3678">
        <v>-9.3205899999999994E-2</v>
      </c>
      <c r="AA3678">
        <v>0.90620789999999996</v>
      </c>
      <c r="AB3678">
        <v>8</v>
      </c>
      <c r="AC3678">
        <v>-6.9999999999481501E-4</v>
      </c>
      <c r="AD3678">
        <v>8.1405000000000102E-2</v>
      </c>
      <c r="AE3678">
        <v>-0.60360000000000003</v>
      </c>
      <c r="AF3678">
        <v>0.27132712404303599</v>
      </c>
      <c r="AG3678">
        <v>8.1405000000000102E-2</v>
      </c>
      <c r="AH3678">
        <v>0.52708113026657499</v>
      </c>
      <c r="AI3678">
        <v>82.181115638311297</v>
      </c>
      <c r="AJ3678">
        <v>62.761814143158098</v>
      </c>
      <c r="AK3678">
        <v>0.59838089888427703</v>
      </c>
      <c r="AL3678">
        <v>90.457370310036197</v>
      </c>
      <c r="AM3678">
        <v>81.493974888885802</v>
      </c>
      <c r="AN3678">
        <v>0.99999999587111299</v>
      </c>
    </row>
    <row r="3679" spans="1:40" x14ac:dyDescent="0.25">
      <c r="A3679" t="str">
        <f>"20190312161040029"</f>
        <v>20190312161040029</v>
      </c>
      <c r="B3679" t="str">
        <f>"1552378240020060"</f>
        <v>1552378240020060</v>
      </c>
      <c r="C3679" t="s">
        <v>40</v>
      </c>
      <c r="D3679">
        <v>6.1125759999999998</v>
      </c>
      <c r="E3679">
        <v>0.60889899999999997</v>
      </c>
      <c r="F3679" t="s">
        <v>58</v>
      </c>
      <c r="G3679">
        <v>-178.30959999999999</v>
      </c>
      <c r="H3679">
        <v>34.340940000000003</v>
      </c>
      <c r="I3679">
        <v>-81.826549999999997</v>
      </c>
      <c r="J3679">
        <v>-190.51439999999999</v>
      </c>
      <c r="K3679">
        <v>1.1092630000000001</v>
      </c>
      <c r="L3679">
        <v>203.3991</v>
      </c>
      <c r="M3679">
        <v>0.4517948</v>
      </c>
      <c r="N3679">
        <v>0</v>
      </c>
      <c r="O3679">
        <v>-0.89202209999999904</v>
      </c>
      <c r="P3679">
        <v>0.31404090000000001</v>
      </c>
      <c r="Q3679">
        <v>-2.0074310000000001E-2</v>
      </c>
      <c r="R3679">
        <v>-0.94919719999999996</v>
      </c>
      <c r="S3679">
        <v>0.13421629999999901</v>
      </c>
      <c r="T3679">
        <v>0.3645718</v>
      </c>
      <c r="U3679">
        <v>-3.129883</v>
      </c>
      <c r="V3679">
        <v>0.1487031</v>
      </c>
      <c r="W3679">
        <v>-7.3159230000000002E-3</v>
      </c>
      <c r="X3679">
        <v>0.98885480000000003</v>
      </c>
      <c r="Y3679">
        <v>0.41325810000000002</v>
      </c>
      <c r="Z3679">
        <v>-9.1866009999999998E-2</v>
      </c>
      <c r="AA3679">
        <v>0.9059682</v>
      </c>
      <c r="AB3679">
        <v>8</v>
      </c>
      <c r="AC3679">
        <v>12.204800000000001</v>
      </c>
      <c r="AD3679">
        <v>33.231676999999998</v>
      </c>
      <c r="AE3679">
        <v>-285.22564999999997</v>
      </c>
      <c r="AF3679">
        <v>116.409689294061</v>
      </c>
      <c r="AG3679">
        <v>33.231676999999998</v>
      </c>
      <c r="AH3679">
        <v>256.489410157473</v>
      </c>
      <c r="AI3679">
        <v>83.271299849621499</v>
      </c>
      <c r="AJ3679">
        <v>65.588712435401206</v>
      </c>
      <c r="AK3679">
        <v>283.62365493854799</v>
      </c>
      <c r="AL3679">
        <v>90.419175260878902</v>
      </c>
      <c r="AM3679">
        <v>81.4479924152796</v>
      </c>
      <c r="AN3679">
        <v>0.99999997508099503</v>
      </c>
    </row>
    <row r="3680" spans="1:40" x14ac:dyDescent="0.25">
      <c r="A3680" t="str">
        <f>"20190312161040051"</f>
        <v>20190312161040051</v>
      </c>
      <c r="B3680" t="str">
        <f>"1552378240040555"</f>
        <v>1552378240040555</v>
      </c>
      <c r="C3680" t="s">
        <v>40</v>
      </c>
      <c r="D3680">
        <v>6.1089070000000003</v>
      </c>
      <c r="E3680">
        <v>0.60885019999999901</v>
      </c>
      <c r="F3680" t="s">
        <v>58</v>
      </c>
      <c r="G3680">
        <v>-179.95050000000001</v>
      </c>
      <c r="H3680">
        <v>34.302390000000003</v>
      </c>
      <c r="I3680">
        <v>-81.826539999999994</v>
      </c>
      <c r="J3680">
        <v>-190.48439999999999</v>
      </c>
      <c r="K3680">
        <v>1.1091530000000001</v>
      </c>
      <c r="L3680">
        <v>203.3252</v>
      </c>
      <c r="M3680">
        <v>0.44672210000000001</v>
      </c>
      <c r="N3680">
        <v>0</v>
      </c>
      <c r="O3680">
        <v>-0.89457719999999896</v>
      </c>
      <c r="P3680">
        <v>0.30826629999999999</v>
      </c>
      <c r="Q3680">
        <v>-1.9161870000000001E-2</v>
      </c>
      <c r="R3680">
        <v>-0.95110709999999998</v>
      </c>
      <c r="S3680">
        <v>0.115921</v>
      </c>
      <c r="T3680">
        <v>0.3642418</v>
      </c>
      <c r="U3680">
        <v>-3.1298979999999998</v>
      </c>
      <c r="V3680">
        <v>0.1491055</v>
      </c>
      <c r="W3680">
        <v>-6.6818519999999899E-3</v>
      </c>
      <c r="X3680">
        <v>0.98879870000000003</v>
      </c>
      <c r="Y3680">
        <v>0.4133753</v>
      </c>
      <c r="Z3680">
        <v>-9.2221540000000005E-2</v>
      </c>
      <c r="AA3680">
        <v>0.90587859999999998</v>
      </c>
      <c r="AB3680">
        <v>8</v>
      </c>
      <c r="AC3680">
        <v>10.5338999999999</v>
      </c>
      <c r="AD3680">
        <v>33.193236999999897</v>
      </c>
      <c r="AE3680">
        <v>-285.15174000000002</v>
      </c>
      <c r="AF3680">
        <v>116.39524935308999</v>
      </c>
      <c r="AG3680">
        <v>33.193236999999897</v>
      </c>
      <c r="AH3680">
        <v>256.34932388041301</v>
      </c>
      <c r="AI3680">
        <v>83.275853431983904</v>
      </c>
      <c r="AJ3680">
        <v>65.579606061743803</v>
      </c>
      <c r="AK3680">
        <v>283.48654449277001</v>
      </c>
      <c r="AL3680">
        <v>90.382844774220302</v>
      </c>
      <c r="AM3680">
        <v>81.424714435769701</v>
      </c>
      <c r="AN3680">
        <v>0.99999998319904404</v>
      </c>
    </row>
    <row r="3681" spans="1:40" x14ac:dyDescent="0.25">
      <c r="A3681" t="str">
        <f>"20190312161040073"</f>
        <v>20190312161040073</v>
      </c>
      <c r="B3681" t="str">
        <f>"1552378240069835"</f>
        <v>1552378240069835</v>
      </c>
      <c r="C3681" t="s">
        <v>40</v>
      </c>
      <c r="D3681">
        <v>6.0170510000000004</v>
      </c>
      <c r="E3681">
        <v>0.60836029999999996</v>
      </c>
      <c r="F3681" t="s">
        <v>58</v>
      </c>
      <c r="G3681">
        <v>-181.6225</v>
      </c>
      <c r="H3681">
        <v>34.4193</v>
      </c>
      <c r="I3681">
        <v>-81.826580000000007</v>
      </c>
      <c r="J3681">
        <v>-190.45320000000001</v>
      </c>
      <c r="K3681">
        <v>1.1090770000000001</v>
      </c>
      <c r="L3681">
        <v>203.24680000000001</v>
      </c>
      <c r="M3681">
        <v>0.44135239999999998</v>
      </c>
      <c r="N3681">
        <v>0</v>
      </c>
      <c r="O3681">
        <v>-0.89724210000000004</v>
      </c>
      <c r="P3681">
        <v>0.30259849999999999</v>
      </c>
      <c r="Q3681">
        <v>-1.895494E-2</v>
      </c>
      <c r="R3681">
        <v>-0.95292969999999999</v>
      </c>
      <c r="S3681">
        <v>9.7274780000000005E-2</v>
      </c>
      <c r="T3681">
        <v>0.36563849999999998</v>
      </c>
      <c r="U3681">
        <v>-3.1300509999999999</v>
      </c>
      <c r="V3681">
        <v>0.14906549999999999</v>
      </c>
      <c r="W3681">
        <v>-6.7281669999999898E-3</v>
      </c>
      <c r="X3681">
        <v>0.98880449999999998</v>
      </c>
      <c r="Y3681">
        <v>0.41331109999999999</v>
      </c>
      <c r="Z3681">
        <v>-9.3029000000000001E-2</v>
      </c>
      <c r="AA3681">
        <v>0.90582530000000006</v>
      </c>
      <c r="AB3681">
        <v>8</v>
      </c>
      <c r="AC3681">
        <v>8.8307000000000002</v>
      </c>
      <c r="AD3681">
        <v>33.310223000000001</v>
      </c>
      <c r="AE3681">
        <v>-285.07337999999999</v>
      </c>
      <c r="AF3681">
        <v>116.31764061760499</v>
      </c>
      <c r="AG3681">
        <v>33.310223000000001</v>
      </c>
      <c r="AH3681">
        <v>256.203963013372</v>
      </c>
      <c r="AI3681">
        <v>83.248465925084204</v>
      </c>
      <c r="AJ3681">
        <v>65.581758278916894</v>
      </c>
      <c r="AK3681">
        <v>283.33696394737098</v>
      </c>
      <c r="AL3681">
        <v>90.385498456268095</v>
      </c>
      <c r="AM3681">
        <v>81.427030249535306</v>
      </c>
      <c r="AN3681">
        <v>1.0000000653708301</v>
      </c>
    </row>
    <row r="3682" spans="1:40" x14ac:dyDescent="0.25">
      <c r="A3682" t="str">
        <f>"20190312161040096"</f>
        <v>20190312161040096</v>
      </c>
      <c r="B3682" t="str">
        <f>"1552378240090332"</f>
        <v>1552378240090332</v>
      </c>
      <c r="C3682" t="s">
        <v>40</v>
      </c>
      <c r="D3682">
        <v>6.2485720000000002</v>
      </c>
      <c r="E3682">
        <v>0.60829089999999997</v>
      </c>
      <c r="F3682" t="s">
        <v>58</v>
      </c>
      <c r="G3682">
        <v>-182.93549999999999</v>
      </c>
      <c r="H3682">
        <v>34.126980000000003</v>
      </c>
      <c r="I3682">
        <v>-81.826480000000004</v>
      </c>
      <c r="J3682">
        <v>-190.42310000000001</v>
      </c>
      <c r="K3682">
        <v>1.1091070000000001</v>
      </c>
      <c r="L3682">
        <v>203.16990000000001</v>
      </c>
      <c r="M3682">
        <v>0.43612640000000003</v>
      </c>
      <c r="N3682">
        <v>0</v>
      </c>
      <c r="O3682">
        <v>-0.89979500000000001</v>
      </c>
      <c r="P3682">
        <v>0.29758780000000001</v>
      </c>
      <c r="Q3682">
        <v>-1.8876879999999999E-2</v>
      </c>
      <c r="R3682">
        <v>-0.95450789999999996</v>
      </c>
      <c r="S3682">
        <v>8.2519529999999994E-2</v>
      </c>
      <c r="T3682">
        <v>0.36242960000000002</v>
      </c>
      <c r="U3682">
        <v>-3.129181</v>
      </c>
      <c r="V3682">
        <v>0.14851020000000001</v>
      </c>
      <c r="W3682">
        <v>-6.716769E-3</v>
      </c>
      <c r="X3682">
        <v>0.98888810000000005</v>
      </c>
      <c r="Y3682">
        <v>0.41227760000000002</v>
      </c>
      <c r="Z3682">
        <v>-9.2712619999999996E-2</v>
      </c>
      <c r="AA3682">
        <v>0.90632860000000004</v>
      </c>
      <c r="AB3682">
        <v>8</v>
      </c>
      <c r="AC3682">
        <v>7.4876000000000102</v>
      </c>
      <c r="AD3682">
        <v>33.017872999999902</v>
      </c>
      <c r="AE3682">
        <v>-284.99637999999999</v>
      </c>
      <c r="AF3682">
        <v>116.010676500971</v>
      </c>
      <c r="AG3682">
        <v>33.017872999999902</v>
      </c>
      <c r="AH3682">
        <v>256.28745462944403</v>
      </c>
      <c r="AI3682">
        <v>83.305986229905599</v>
      </c>
      <c r="AJ3682">
        <v>65.645714045257094</v>
      </c>
      <c r="AK3682">
        <v>283.25238992830498</v>
      </c>
      <c r="AL3682">
        <v>90.384845396176004</v>
      </c>
      <c r="AM3682">
        <v>81.459205861429794</v>
      </c>
      <c r="AN3682">
        <v>1.0000000344057201</v>
      </c>
    </row>
    <row r="3683" spans="1:40" x14ac:dyDescent="0.25">
      <c r="A3683" t="str">
        <f>"20190312161040120"</f>
        <v>20190312161040120</v>
      </c>
      <c r="B3683" t="str">
        <f>"1552378240110218"</f>
        <v>1552378240110218</v>
      </c>
      <c r="C3683" t="s">
        <v>40</v>
      </c>
      <c r="D3683">
        <v>6.0711769999999996</v>
      </c>
      <c r="E3683">
        <v>0.60781949999999996</v>
      </c>
      <c r="F3683" t="s">
        <v>58</v>
      </c>
      <c r="G3683">
        <v>-184.28049999999999</v>
      </c>
      <c r="H3683">
        <v>14.325139999999999</v>
      </c>
      <c r="I3683">
        <v>-81.819919999999996</v>
      </c>
      <c r="J3683">
        <v>-190.3913</v>
      </c>
      <c r="K3683">
        <v>1.109178</v>
      </c>
      <c r="L3683">
        <v>203.08709999999999</v>
      </c>
      <c r="M3683">
        <v>0.43051679999999998</v>
      </c>
      <c r="N3683">
        <v>0</v>
      </c>
      <c r="O3683">
        <v>-0.90249270000000004</v>
      </c>
      <c r="P3683">
        <v>0.29195840000000001</v>
      </c>
      <c r="Q3683">
        <v>-1.877419E-2</v>
      </c>
      <c r="R3683">
        <v>-0.95624679999999995</v>
      </c>
      <c r="S3683">
        <v>6.7352289999999995E-2</v>
      </c>
      <c r="T3683">
        <v>0.14491080000000001</v>
      </c>
      <c r="U3683">
        <v>-3.1248469999999999</v>
      </c>
      <c r="V3683">
        <v>0.14818319999999999</v>
      </c>
      <c r="W3683">
        <v>-6.6069769999999896E-3</v>
      </c>
      <c r="X3683">
        <v>0.98893790000000004</v>
      </c>
      <c r="Y3683">
        <v>0.41099780000000002</v>
      </c>
      <c r="Z3683">
        <v>-3.7515970000000003E-2</v>
      </c>
      <c r="AA3683">
        <v>0.91086409999999995</v>
      </c>
      <c r="AB3683">
        <v>8</v>
      </c>
      <c r="AC3683">
        <v>6.11080000000001</v>
      </c>
      <c r="AD3683">
        <v>13.215961999999999</v>
      </c>
      <c r="AE3683">
        <v>-284.90701999999999</v>
      </c>
      <c r="AF3683">
        <v>116.900383800688</v>
      </c>
      <c r="AG3683">
        <v>13.215961999999999</v>
      </c>
      <c r="AH3683">
        <v>259.22085685309702</v>
      </c>
      <c r="AI3683">
        <v>87.339035699952404</v>
      </c>
      <c r="AJ3683">
        <v>65.7261355835155</v>
      </c>
      <c r="AK3683">
        <v>284.66790126740199</v>
      </c>
      <c r="AL3683">
        <v>90.378554635891106</v>
      </c>
      <c r="AM3683">
        <v>81.478157980536807</v>
      </c>
      <c r="AN3683">
        <v>1.0000000414818599</v>
      </c>
    </row>
    <row r="3684" spans="1:40" x14ac:dyDescent="0.25">
      <c r="A3684" t="str">
        <f>"20190312161040142"</f>
        <v>20190312161040142</v>
      </c>
      <c r="B3684" t="str">
        <f>"1552378240129736"</f>
        <v>1552378240129736</v>
      </c>
      <c r="C3684" t="s">
        <v>40</v>
      </c>
      <c r="D3684">
        <v>6.0289950000000001</v>
      </c>
      <c r="E3684">
        <v>0.59976430000000003</v>
      </c>
      <c r="F3684" t="s">
        <v>58</v>
      </c>
      <c r="G3684">
        <v>-185.5985</v>
      </c>
      <c r="H3684">
        <v>13.587129999999901</v>
      </c>
      <c r="I3684">
        <v>-81.819670000000002</v>
      </c>
      <c r="J3684">
        <v>-190.36269999999999</v>
      </c>
      <c r="K3684">
        <v>1.109216</v>
      </c>
      <c r="L3684">
        <v>203.01169999999999</v>
      </c>
      <c r="M3684">
        <v>0.42537940000000002</v>
      </c>
      <c r="N3684">
        <v>0</v>
      </c>
      <c r="O3684">
        <v>-0.90492629999999996</v>
      </c>
      <c r="P3684">
        <v>0.28724490000000003</v>
      </c>
      <c r="Q3684">
        <v>-1.8786980000000002E-2</v>
      </c>
      <c r="R3684">
        <v>-0.95767310000000005</v>
      </c>
      <c r="S3684">
        <v>5.2551269999999997E-2</v>
      </c>
      <c r="T3684">
        <v>0.1368164</v>
      </c>
      <c r="U3684">
        <v>-3.123901</v>
      </c>
      <c r="V3684">
        <v>0.14743229999999999</v>
      </c>
      <c r="W3684">
        <v>-6.6639480000000003E-3</v>
      </c>
      <c r="X3684">
        <v>0.98904970000000003</v>
      </c>
      <c r="Y3684">
        <v>0.4101243</v>
      </c>
      <c r="Z3684">
        <v>-3.5602250000000002E-2</v>
      </c>
      <c r="AA3684">
        <v>0.91133450000000005</v>
      </c>
      <c r="AB3684">
        <v>8</v>
      </c>
      <c r="AC3684">
        <v>4.7641999999999802</v>
      </c>
      <c r="AD3684">
        <v>12.477913999999901</v>
      </c>
      <c r="AE3684">
        <v>-284.83136999999999</v>
      </c>
      <c r="AF3684">
        <v>116.63576218575</v>
      </c>
      <c r="AG3684">
        <v>12.477913999999901</v>
      </c>
      <c r="AH3684">
        <v>259.30137509834799</v>
      </c>
      <c r="AI3684">
        <v>87.487130584735695</v>
      </c>
      <c r="AJ3684">
        <v>65.781416606485806</v>
      </c>
      <c r="AK3684">
        <v>284.599371900812</v>
      </c>
      <c r="AL3684">
        <v>90.381818921244204</v>
      </c>
      <c r="AM3684">
        <v>81.521656582232595</v>
      </c>
      <c r="AN3684">
        <v>1.0000000001781599</v>
      </c>
    </row>
    <row r="3685" spans="1:40" x14ac:dyDescent="0.25">
      <c r="A3685" t="str">
        <f>"20190312161040162"</f>
        <v>20190312161040162</v>
      </c>
      <c r="B3685" t="str">
        <f>"1552378240159991"</f>
        <v>1552378240159991</v>
      </c>
      <c r="C3685" t="s">
        <v>40</v>
      </c>
      <c r="D3685">
        <v>6.0857210000000004</v>
      </c>
      <c r="E3685">
        <v>0.59949350000000001</v>
      </c>
      <c r="F3685" t="s">
        <v>58</v>
      </c>
      <c r="G3685">
        <v>-181.37719999999999</v>
      </c>
      <c r="H3685">
        <v>24.595079999999999</v>
      </c>
      <c r="I3685">
        <v>-81.823319999999995</v>
      </c>
      <c r="J3685">
        <v>-190.3356</v>
      </c>
      <c r="K3685">
        <v>1.1092169999999999</v>
      </c>
      <c r="L3685">
        <v>202.93879999999999</v>
      </c>
      <c r="M3685">
        <v>0.4204234</v>
      </c>
      <c r="N3685">
        <v>0</v>
      </c>
      <c r="O3685">
        <v>-0.90724090000000002</v>
      </c>
      <c r="P3685">
        <v>0.2824352</v>
      </c>
      <c r="Q3685">
        <v>-1.8217420000000002E-2</v>
      </c>
      <c r="R3685">
        <v>-0.95911389999999996</v>
      </c>
      <c r="S3685">
        <v>9.8052979999999998E-2</v>
      </c>
      <c r="T3685">
        <v>0.25628570000000001</v>
      </c>
      <c r="U3685">
        <v>-3.108215</v>
      </c>
      <c r="V3685">
        <v>0.14699189999999901</v>
      </c>
      <c r="W3685">
        <v>-6.1796339999999998E-3</v>
      </c>
      <c r="X3685">
        <v>0.98911839999999995</v>
      </c>
      <c r="Y3685">
        <v>0.39165860000000002</v>
      </c>
      <c r="Z3685">
        <v>-6.7490590000000003E-2</v>
      </c>
      <c r="AA3685">
        <v>0.917632</v>
      </c>
      <c r="AB3685">
        <v>8</v>
      </c>
      <c r="AC3685">
        <v>8.9584000000000099</v>
      </c>
      <c r="AD3685">
        <v>23.485862999999998</v>
      </c>
      <c r="AE3685">
        <v>-284.76211999999998</v>
      </c>
      <c r="AF3685">
        <v>110.848786328678</v>
      </c>
      <c r="AG3685">
        <v>23.485862999999998</v>
      </c>
      <c r="AH3685">
        <v>260.36558293915499</v>
      </c>
      <c r="AI3685">
        <v>85.255623006344607</v>
      </c>
      <c r="AJ3685">
        <v>66.938466905609303</v>
      </c>
      <c r="AK3685">
        <v>283.95294675463703</v>
      </c>
      <c r="AL3685">
        <v>90.354069197894802</v>
      </c>
      <c r="AM3685">
        <v>81.547194715229395</v>
      </c>
      <c r="AN3685">
        <v>1.00000000788027</v>
      </c>
    </row>
    <row r="3686" spans="1:40" x14ac:dyDescent="0.25">
      <c r="A3686" t="str">
        <f>"20190312161040186"</f>
        <v>20190312161040186</v>
      </c>
      <c r="B3686" t="str">
        <f>"1552378240180488"</f>
        <v>1552378240180488</v>
      </c>
      <c r="C3686" t="s">
        <v>40</v>
      </c>
      <c r="D3686">
        <v>6.3400499999999997</v>
      </c>
      <c r="E3686">
        <v>0.60064130000000004</v>
      </c>
      <c r="F3686" t="s">
        <v>58</v>
      </c>
      <c r="G3686">
        <v>-182.57429999999999</v>
      </c>
      <c r="H3686">
        <v>23.91591</v>
      </c>
      <c r="I3686">
        <v>-81.823089999999993</v>
      </c>
      <c r="J3686">
        <v>-190.30699999999999</v>
      </c>
      <c r="K3686">
        <v>1.1092070000000001</v>
      </c>
      <c r="L3686">
        <v>202.86089999999999</v>
      </c>
      <c r="M3686">
        <v>0.41515859999999899</v>
      </c>
      <c r="N3686">
        <v>0</v>
      </c>
      <c r="O3686">
        <v>-0.90966309999999995</v>
      </c>
      <c r="P3686">
        <v>0.27751009999999998</v>
      </c>
      <c r="Q3686">
        <v>-1.8002460000000001E-2</v>
      </c>
      <c r="R3686">
        <v>-0.96055429999999997</v>
      </c>
      <c r="S3686">
        <v>8.4701540000000006E-2</v>
      </c>
      <c r="T3686">
        <v>0.2488966</v>
      </c>
      <c r="U3686">
        <v>-3.1076969999999999</v>
      </c>
      <c r="V3686">
        <v>0.14633650000000001</v>
      </c>
      <c r="W3686">
        <v>-6.0330929999999998E-3</v>
      </c>
      <c r="X3686">
        <v>0.9892164</v>
      </c>
      <c r="Y3686">
        <v>0.39026060000000001</v>
      </c>
      <c r="Z3686">
        <v>-6.5880519999999998E-2</v>
      </c>
      <c r="AA3686">
        <v>0.91834439999999995</v>
      </c>
      <c r="AB3686">
        <v>8</v>
      </c>
      <c r="AC3686">
        <v>7.7327000000000199</v>
      </c>
      <c r="AD3686">
        <v>22.806702999999999</v>
      </c>
      <c r="AE3686">
        <v>-284.68398999999999</v>
      </c>
      <c r="AF3686">
        <v>110.45516981226</v>
      </c>
      <c r="AG3686">
        <v>22.806702999999999</v>
      </c>
      <c r="AH3686">
        <v>260.52649665685999</v>
      </c>
      <c r="AI3686">
        <v>85.392126278040095</v>
      </c>
      <c r="AJ3686">
        <v>67.024558874175199</v>
      </c>
      <c r="AK3686">
        <v>283.89178519337702</v>
      </c>
      <c r="AL3686">
        <v>90.345672888290395</v>
      </c>
      <c r="AM3686">
        <v>81.585164525797097</v>
      </c>
      <c r="AN3686">
        <v>0.99999992773617496</v>
      </c>
    </row>
    <row r="3687" spans="1:40" x14ac:dyDescent="0.25">
      <c r="A3687" t="str">
        <f>"20190312161040208"</f>
        <v>20190312161040208</v>
      </c>
      <c r="B3687" t="str">
        <f>"1552378240200008"</f>
        <v>1552378240200008</v>
      </c>
      <c r="C3687" t="s">
        <v>40</v>
      </c>
      <c r="D3687">
        <v>6.3212299999999999</v>
      </c>
      <c r="E3687">
        <v>0.60094840000000005</v>
      </c>
      <c r="F3687" t="s">
        <v>58</v>
      </c>
      <c r="G3687">
        <v>-184.8115</v>
      </c>
      <c r="H3687">
        <v>19.530519999999999</v>
      </c>
      <c r="I3687">
        <v>-81.821640000000002</v>
      </c>
      <c r="J3687">
        <v>-190.27789999999999</v>
      </c>
      <c r="K3687">
        <v>1.1092</v>
      </c>
      <c r="L3687">
        <v>202.77959999999999</v>
      </c>
      <c r="M3687">
        <v>0.40969149999999999</v>
      </c>
      <c r="N3687">
        <v>0</v>
      </c>
      <c r="O3687">
        <v>-0.91213860000000002</v>
      </c>
      <c r="P3687">
        <v>0.27224219999999999</v>
      </c>
      <c r="Q3687">
        <v>-1.8283540000000001E-2</v>
      </c>
      <c r="R3687">
        <v>-0.96205529999999995</v>
      </c>
      <c r="S3687">
        <v>6.0028079999999998E-2</v>
      </c>
      <c r="T3687">
        <v>0.20121810000000001</v>
      </c>
      <c r="U3687">
        <v>-3.1096189999999999</v>
      </c>
      <c r="V3687">
        <v>0.145817</v>
      </c>
      <c r="W3687">
        <v>-6.3448480000000002E-3</v>
      </c>
      <c r="X3687">
        <v>0.98929129999999998</v>
      </c>
      <c r="Y3687">
        <v>0.39203549999999998</v>
      </c>
      <c r="Z3687">
        <v>-5.3497900000000001E-2</v>
      </c>
      <c r="AA3687">
        <v>0.91839329999999997</v>
      </c>
      <c r="AB3687">
        <v>8</v>
      </c>
      <c r="AC3687">
        <v>5.4663999999999904</v>
      </c>
      <c r="AD3687">
        <v>18.421320000000001</v>
      </c>
      <c r="AE3687">
        <v>-284.60124000000002</v>
      </c>
      <c r="AF3687">
        <v>111.15578247447201</v>
      </c>
      <c r="AG3687">
        <v>18.421320000000001</v>
      </c>
      <c r="AH3687">
        <v>260.76366533235199</v>
      </c>
      <c r="AI3687">
        <v>86.281812565511103</v>
      </c>
      <c r="AJ3687">
        <v>66.912892828184894</v>
      </c>
      <c r="AK3687">
        <v>284.06450352977498</v>
      </c>
      <c r="AL3687">
        <v>90.363535427443793</v>
      </c>
      <c r="AM3687">
        <v>81.615237858270604</v>
      </c>
      <c r="AN3687">
        <v>1.00000006542041</v>
      </c>
    </row>
    <row r="3688" spans="1:40" x14ac:dyDescent="0.25">
      <c r="A3688" t="str">
        <f>"20190312161040230"</f>
        <v>20190312161040230</v>
      </c>
      <c r="B3688" t="str">
        <f>"1552378240220504"</f>
        <v>1552378240220504</v>
      </c>
      <c r="C3688" t="s">
        <v>40</v>
      </c>
      <c r="D3688">
        <v>6.4598610000000001</v>
      </c>
      <c r="E3688">
        <v>0.59958210000000001</v>
      </c>
      <c r="F3688" t="s">
        <v>58</v>
      </c>
      <c r="G3688">
        <v>-186.54830000000001</v>
      </c>
      <c r="H3688">
        <v>16.95608</v>
      </c>
      <c r="I3688">
        <v>-81.820790000000002</v>
      </c>
      <c r="J3688">
        <v>-190.25190000000001</v>
      </c>
      <c r="K3688">
        <v>1.1091949999999999</v>
      </c>
      <c r="L3688">
        <v>202.70580000000001</v>
      </c>
      <c r="M3688">
        <v>0.4047076</v>
      </c>
      <c r="N3688">
        <v>0</v>
      </c>
      <c r="O3688">
        <v>-0.91436110000000004</v>
      </c>
      <c r="P3688">
        <v>0.26775389999999999</v>
      </c>
      <c r="Q3688">
        <v>-1.815201E-2</v>
      </c>
      <c r="R3688">
        <v>-0.96331650000000002</v>
      </c>
      <c r="S3688">
        <v>4.0756229999999997E-2</v>
      </c>
      <c r="T3688">
        <v>0.17317270000000001</v>
      </c>
      <c r="U3688">
        <v>-3.110077</v>
      </c>
      <c r="V3688">
        <v>0.14503170000000001</v>
      </c>
      <c r="W3688">
        <v>-6.2305759999999998E-3</v>
      </c>
      <c r="X3688">
        <v>0.98940740000000005</v>
      </c>
      <c r="Y3688">
        <v>0.39271109999999998</v>
      </c>
      <c r="Z3688">
        <v>-4.6234320000000002E-2</v>
      </c>
      <c r="AA3688">
        <v>0.91849899999999995</v>
      </c>
      <c r="AB3688">
        <v>8</v>
      </c>
      <c r="AC3688">
        <v>3.70359999999999</v>
      </c>
      <c r="AD3688">
        <v>15.846885</v>
      </c>
      <c r="AE3688">
        <v>-284.52659</v>
      </c>
      <c r="AF3688">
        <v>111.42675086116</v>
      </c>
      <c r="AG3688">
        <v>15.846885</v>
      </c>
      <c r="AH3688">
        <v>260.87018931358602</v>
      </c>
      <c r="AI3688">
        <v>86.802573308869995</v>
      </c>
      <c r="AJ3688">
        <v>66.870982993341201</v>
      </c>
      <c r="AK3688">
        <v>284.11318210210601</v>
      </c>
      <c r="AL3688">
        <v>90.356988015397604</v>
      </c>
      <c r="AM3688">
        <v>81.660722182963596</v>
      </c>
      <c r="AN3688">
        <v>1.0000000086284699</v>
      </c>
    </row>
    <row r="3689" spans="1:40" x14ac:dyDescent="0.25">
      <c r="A3689" t="str">
        <f>"20190312161040252"</f>
        <v>20190312161040252</v>
      </c>
      <c r="B3689" t="str">
        <f>"1552378240249784"</f>
        <v>1552378240249784</v>
      </c>
      <c r="C3689" t="s">
        <v>40</v>
      </c>
      <c r="D3689">
        <v>6.1787000000000001</v>
      </c>
      <c r="E3689">
        <v>0.59765360000000001</v>
      </c>
      <c r="F3689" t="s">
        <v>58</v>
      </c>
      <c r="G3689">
        <v>-186.88890000000001</v>
      </c>
      <c r="H3689">
        <v>17.523</v>
      </c>
      <c r="I3689">
        <v>-81.820969999999903</v>
      </c>
      <c r="J3689">
        <v>-190.22479999999999</v>
      </c>
      <c r="K3689">
        <v>1.1091879999999901</v>
      </c>
      <c r="L3689">
        <v>202.6275</v>
      </c>
      <c r="M3689">
        <v>0.39940579999999998</v>
      </c>
      <c r="N3689">
        <v>0</v>
      </c>
      <c r="O3689">
        <v>-0.91669</v>
      </c>
      <c r="P3689">
        <v>0.2631674</v>
      </c>
      <c r="Q3689">
        <v>-1.825135E-2</v>
      </c>
      <c r="R3689">
        <v>-0.96457789999999999</v>
      </c>
      <c r="S3689">
        <v>3.6727910000000002E-2</v>
      </c>
      <c r="T3689">
        <v>0.17925949999999999</v>
      </c>
      <c r="U3689">
        <v>-3.1073909999999998</v>
      </c>
      <c r="V3689">
        <v>0.14400839999999901</v>
      </c>
      <c r="W3689">
        <v>-6.3527159999999996E-3</v>
      </c>
      <c r="X3689">
        <v>0.98955610000000005</v>
      </c>
      <c r="Y3689">
        <v>0.3885615</v>
      </c>
      <c r="Z3689">
        <v>-4.8146830000000002E-2</v>
      </c>
      <c r="AA3689">
        <v>0.92016399999999998</v>
      </c>
      <c r="AB3689">
        <v>8</v>
      </c>
      <c r="AC3689">
        <v>3.3358999999999801</v>
      </c>
      <c r="AD3689">
        <v>16.413812</v>
      </c>
      <c r="AE3689">
        <v>-284.44846999999999</v>
      </c>
      <c r="AF3689">
        <v>110.19405273568999</v>
      </c>
      <c r="AG3689">
        <v>16.413812</v>
      </c>
      <c r="AH3689">
        <v>261.233963293702</v>
      </c>
      <c r="AI3689">
        <v>86.686723826024803</v>
      </c>
      <c r="AJ3689">
        <v>67.128946268418602</v>
      </c>
      <c r="AK3689">
        <v>283.998813484886</v>
      </c>
      <c r="AL3689">
        <v>90.363986254165795</v>
      </c>
      <c r="AM3689">
        <v>81.719969908920802</v>
      </c>
      <c r="AN3689">
        <v>1.0000000256591699</v>
      </c>
    </row>
    <row r="3690" spans="1:40" x14ac:dyDescent="0.25">
      <c r="A3690" t="str">
        <f>"20190312161040276"</f>
        <v>20190312161040276</v>
      </c>
      <c r="B3690" t="str">
        <f>"1552378240270280"</f>
        <v>1552378240270280</v>
      </c>
      <c r="C3690" t="s">
        <v>40</v>
      </c>
      <c r="D3690">
        <v>6.4147439999999998</v>
      </c>
      <c r="E3690">
        <v>0.5963792</v>
      </c>
      <c r="F3690" t="s">
        <v>58</v>
      </c>
      <c r="G3690">
        <v>-186.839</v>
      </c>
      <c r="H3690">
        <v>17.851669999999999</v>
      </c>
      <c r="I3690">
        <v>-81.821089999999998</v>
      </c>
      <c r="J3690">
        <v>-190.1979</v>
      </c>
      <c r="K3690">
        <v>1.1091819999999999</v>
      </c>
      <c r="L3690">
        <v>202.54839999999999</v>
      </c>
      <c r="M3690">
        <v>0.39402540000000003</v>
      </c>
      <c r="N3690">
        <v>0</v>
      </c>
      <c r="O3690">
        <v>-0.91901580000000005</v>
      </c>
      <c r="P3690">
        <v>0.2580884</v>
      </c>
      <c r="Q3690">
        <v>-1.8140010000000002E-2</v>
      </c>
      <c r="R3690">
        <v>-0.96595129999999996</v>
      </c>
      <c r="S3690">
        <v>3.694153E-2</v>
      </c>
      <c r="T3690">
        <v>0.1826721</v>
      </c>
      <c r="U3690">
        <v>-3.1035309999999998</v>
      </c>
      <c r="V3690">
        <v>0.1434155</v>
      </c>
      <c r="W3690">
        <v>-6.2655799999999998E-3</v>
      </c>
      <c r="X3690">
        <v>0.98964269999999999</v>
      </c>
      <c r="Y3690">
        <v>0.38307730000000001</v>
      </c>
      <c r="Z3690">
        <v>-4.9393260000000001E-2</v>
      </c>
      <c r="AA3690">
        <v>0.92239479999999996</v>
      </c>
      <c r="AB3690">
        <v>8</v>
      </c>
      <c r="AC3690">
        <v>3.35889999999997</v>
      </c>
      <c r="AD3690">
        <v>16.742488000000002</v>
      </c>
      <c r="AE3690">
        <v>-284.36948999999998</v>
      </c>
      <c r="AF3690">
        <v>108.59393438707799</v>
      </c>
      <c r="AG3690">
        <v>16.742488000000002</v>
      </c>
      <c r="AH3690">
        <v>261.776480643355</v>
      </c>
      <c r="AI3690">
        <v>86.619137667886804</v>
      </c>
      <c r="AJ3690">
        <v>67.469636174564997</v>
      </c>
      <c r="AK3690">
        <v>283.90117877197298</v>
      </c>
      <c r="AL3690">
        <v>90.358993650437696</v>
      </c>
      <c r="AM3690">
        <v>81.754301702218598</v>
      </c>
      <c r="AN3690">
        <v>0.99999996839813698</v>
      </c>
    </row>
    <row r="3691" spans="1:40" x14ac:dyDescent="0.25">
      <c r="A3691" t="str">
        <f>"20190312161040297"</f>
        <v>20190312161040297</v>
      </c>
      <c r="B3691" t="str">
        <f>"1552378240289804"</f>
        <v>1552378240289804</v>
      </c>
      <c r="C3691" t="s">
        <v>40</v>
      </c>
      <c r="D3691">
        <v>6.077172</v>
      </c>
      <c r="E3691">
        <v>0.59160449999999998</v>
      </c>
      <c r="F3691" t="s">
        <v>58</v>
      </c>
      <c r="G3691">
        <v>-187.38679999999999</v>
      </c>
      <c r="H3691">
        <v>18.03154</v>
      </c>
      <c r="I3691">
        <v>-81.82114</v>
      </c>
      <c r="J3691">
        <v>-190.17160000000001</v>
      </c>
      <c r="K3691">
        <v>1.109192</v>
      </c>
      <c r="L3691">
        <v>202.4693</v>
      </c>
      <c r="M3691">
        <v>0.38865319999999998</v>
      </c>
      <c r="N3691">
        <v>0</v>
      </c>
      <c r="O3691">
        <v>-0.92130080000000003</v>
      </c>
      <c r="P3691">
        <v>0.25268020000000002</v>
      </c>
      <c r="Q3691">
        <v>-1.8476369999999999E-2</v>
      </c>
      <c r="R3691">
        <v>-0.96737340000000005</v>
      </c>
      <c r="S3691">
        <v>3.065491E-2</v>
      </c>
      <c r="T3691">
        <v>0.18453620000000001</v>
      </c>
      <c r="U3691">
        <v>-3.101013</v>
      </c>
      <c r="V3691">
        <v>0.14317079999999999</v>
      </c>
      <c r="W3691">
        <v>-6.6193399999999996E-3</v>
      </c>
      <c r="X3691">
        <v>0.98967590000000005</v>
      </c>
      <c r="Y3691">
        <v>0.37954300000000002</v>
      </c>
      <c r="Z3691">
        <v>-5.0182110000000002E-2</v>
      </c>
      <c r="AA3691">
        <v>0.92381219999999997</v>
      </c>
      <c r="AB3691">
        <v>8</v>
      </c>
      <c r="AC3691">
        <v>2.7848000000000099</v>
      </c>
      <c r="AD3691">
        <v>16.922348</v>
      </c>
      <c r="AE3691">
        <v>-284.29043999999999</v>
      </c>
      <c r="AF3691">
        <v>107.551993755623</v>
      </c>
      <c r="AG3691">
        <v>16.922348</v>
      </c>
      <c r="AH3691">
        <v>262.09096828691901</v>
      </c>
      <c r="AI3691">
        <v>86.581619785765795</v>
      </c>
      <c r="AJ3691">
        <v>67.688650560444202</v>
      </c>
      <c r="AK3691">
        <v>283.80534329046299</v>
      </c>
      <c r="AL3691">
        <v>90.379262999507603</v>
      </c>
      <c r="AM3691">
        <v>81.768450162761894</v>
      </c>
      <c r="AN3691">
        <v>1.00000004033774</v>
      </c>
    </row>
    <row r="3692" spans="1:40" x14ac:dyDescent="0.25">
      <c r="A3692" t="str">
        <f>"20190312161040320"</f>
        <v>20190312161040320</v>
      </c>
      <c r="B3692" t="str">
        <f>"1552378240309829"</f>
        <v>1552378240309829</v>
      </c>
      <c r="C3692" t="s">
        <v>40</v>
      </c>
      <c r="D3692">
        <v>6.0691169999999897</v>
      </c>
      <c r="E3692">
        <v>0.59423409999999999</v>
      </c>
      <c r="F3692" t="s">
        <v>87</v>
      </c>
      <c r="G3692">
        <v>-188.85720000000001</v>
      </c>
      <c r="H3692" s="1">
        <v>-2.0837200000000002E-6</v>
      </c>
      <c r="I3692">
        <v>123.1378</v>
      </c>
      <c r="J3692">
        <v>-190.14609999999999</v>
      </c>
      <c r="K3692">
        <v>1.1092010000000001</v>
      </c>
      <c r="L3692">
        <v>202.3913</v>
      </c>
      <c r="M3692">
        <v>0.38334230000000002</v>
      </c>
      <c r="N3692">
        <v>0</v>
      </c>
      <c r="O3692">
        <v>-0.92352339999999999</v>
      </c>
      <c r="P3692">
        <v>0.2469306</v>
      </c>
      <c r="Q3692">
        <v>-1.908253E-2</v>
      </c>
      <c r="R3692">
        <v>-0.96884530000000002</v>
      </c>
      <c r="S3692">
        <v>5.1147459999999999E-2</v>
      </c>
      <c r="T3692">
        <v>-4.316151E-2</v>
      </c>
      <c r="U3692">
        <v>-3.0869900000000001</v>
      </c>
      <c r="V3692">
        <v>0.143344</v>
      </c>
      <c r="W3692">
        <v>-7.2385919999999899E-3</v>
      </c>
      <c r="X3692">
        <v>0.98964640000000004</v>
      </c>
      <c r="Y3692">
        <v>0.36801820000000002</v>
      </c>
      <c r="Z3692">
        <v>1.188852E-2</v>
      </c>
      <c r="AA3692">
        <v>0.92974259999999997</v>
      </c>
      <c r="AB3692">
        <v>8</v>
      </c>
      <c r="AC3692">
        <v>1.28889999999998</v>
      </c>
      <c r="AD3692">
        <v>-1.10920308372</v>
      </c>
      <c r="AE3692">
        <v>-79.253500000000003</v>
      </c>
      <c r="AF3692">
        <v>29.187410443579601</v>
      </c>
      <c r="AG3692">
        <v>-1.10920308372</v>
      </c>
      <c r="AH3692">
        <v>73.677769080640601</v>
      </c>
      <c r="AI3692">
        <v>90.801889461169495</v>
      </c>
      <c r="AJ3692">
        <v>68.389030715051504</v>
      </c>
      <c r="AK3692">
        <v>79.256223204131501</v>
      </c>
      <c r="AL3692">
        <v>90.414744414625503</v>
      </c>
      <c r="AM3692">
        <v>81.758386511059399</v>
      </c>
      <c r="AN3692">
        <v>0.99999994829154903</v>
      </c>
    </row>
    <row r="3693" spans="1:40" x14ac:dyDescent="0.25">
      <c r="A3693" t="str">
        <f>"20190312161040343"</f>
        <v>20190312161040343</v>
      </c>
      <c r="B3693" t="str">
        <f>"1552378240340084"</f>
        <v>1552378240340084</v>
      </c>
      <c r="C3693" t="s">
        <v>40</v>
      </c>
      <c r="D3693">
        <v>6.1288130000000001</v>
      </c>
      <c r="E3693">
        <v>0.59565400000000002</v>
      </c>
      <c r="F3693" t="s">
        <v>41</v>
      </c>
      <c r="G3693">
        <v>-189.99189999999999</v>
      </c>
      <c r="H3693" s="1">
        <v>-2.5599549999999999E-6</v>
      </c>
      <c r="I3693">
        <v>165.01169999999999</v>
      </c>
      <c r="J3693">
        <v>-190.12119999999999</v>
      </c>
      <c r="K3693">
        <v>1.109202</v>
      </c>
      <c r="L3693">
        <v>202.31370000000001</v>
      </c>
      <c r="M3693">
        <v>0.37805339999999998</v>
      </c>
      <c r="N3693">
        <v>0</v>
      </c>
      <c r="O3693">
        <v>-0.92570129999999995</v>
      </c>
      <c r="P3693">
        <v>0.24139630000000001</v>
      </c>
      <c r="Q3693">
        <v>-1.91688E-2</v>
      </c>
      <c r="R3693">
        <v>-0.97023789999999999</v>
      </c>
      <c r="S3693">
        <v>1.275635E-2</v>
      </c>
      <c r="T3693">
        <v>-9.1734889999999999E-2</v>
      </c>
      <c r="U3693">
        <v>-3.091415</v>
      </c>
      <c r="V3693">
        <v>0.1433314</v>
      </c>
      <c r="W3693">
        <v>-7.3360949999999999E-3</v>
      </c>
      <c r="X3693">
        <v>0.98964759999999996</v>
      </c>
      <c r="Y3693">
        <v>0.37425409999999998</v>
      </c>
      <c r="Z3693">
        <v>2.5281959999999999E-2</v>
      </c>
      <c r="AA3693">
        <v>0.92698150000000001</v>
      </c>
      <c r="AB3693">
        <v>8</v>
      </c>
      <c r="AC3693">
        <v>0.1293</v>
      </c>
      <c r="AD3693">
        <v>-1.109204559955</v>
      </c>
      <c r="AE3693">
        <v>-37.302</v>
      </c>
      <c r="AF3693">
        <v>13.971169238165</v>
      </c>
      <c r="AG3693">
        <v>-1.109204559955</v>
      </c>
      <c r="AH3693">
        <v>34.551482498794797</v>
      </c>
      <c r="AI3693">
        <v>91.704728449754995</v>
      </c>
      <c r="AJ3693">
        <v>67.983658943988203</v>
      </c>
      <c r="AK3693">
        <v>37.285772722337398</v>
      </c>
      <c r="AL3693">
        <v>90.420331034953193</v>
      </c>
      <c r="AM3693">
        <v>81.759110857423906</v>
      </c>
      <c r="AN3693">
        <v>1.0000000403507801</v>
      </c>
    </row>
    <row r="3694" spans="1:40" x14ac:dyDescent="0.25">
      <c r="A3694" t="str">
        <f>"20190312161040366"</f>
        <v>20190312161040366</v>
      </c>
      <c r="B3694" t="str">
        <f>"1552378240360579"</f>
        <v>1552378240360579</v>
      </c>
      <c r="C3694" t="s">
        <v>40</v>
      </c>
      <c r="D3694">
        <v>6.1756219999999997</v>
      </c>
      <c r="E3694">
        <v>0.59475279999999997</v>
      </c>
      <c r="F3694" t="s">
        <v>41</v>
      </c>
      <c r="G3694">
        <v>-190.26320000000001</v>
      </c>
      <c r="H3694" s="1">
        <v>-2.175632E-6</v>
      </c>
      <c r="I3694">
        <v>174.4973</v>
      </c>
      <c r="J3694">
        <v>-190.09569999999999</v>
      </c>
      <c r="K3694">
        <v>1.1092059999999999</v>
      </c>
      <c r="L3694">
        <v>202.23230000000001</v>
      </c>
      <c r="M3694">
        <v>0.37250739999999999</v>
      </c>
      <c r="N3694">
        <v>0</v>
      </c>
      <c r="O3694">
        <v>-0.92794710000000002</v>
      </c>
      <c r="P3694">
        <v>0.23594190000000001</v>
      </c>
      <c r="Q3694">
        <v>-1.909812E-2</v>
      </c>
      <c r="R3694">
        <v>-0.97157979999999999</v>
      </c>
      <c r="S3694">
        <v>-1.5792850000000001E-2</v>
      </c>
      <c r="T3694">
        <v>-0.1233571</v>
      </c>
      <c r="U3694">
        <v>-3.093521</v>
      </c>
      <c r="V3694">
        <v>0.14296979999999901</v>
      </c>
      <c r="W3694">
        <v>-7.275653E-3</v>
      </c>
      <c r="X3694">
        <v>0.98970029999999998</v>
      </c>
      <c r="Y3694">
        <v>0.37725409999999998</v>
      </c>
      <c r="Z3694">
        <v>3.4069549999999997E-2</v>
      </c>
      <c r="AA3694">
        <v>0.9254829</v>
      </c>
      <c r="AB3694">
        <v>8</v>
      </c>
      <c r="AC3694">
        <v>-0.167500000000018</v>
      </c>
      <c r="AD3694">
        <v>-1.10920817563199</v>
      </c>
      <c r="AE3694">
        <v>-27.734999999999999</v>
      </c>
      <c r="AF3694">
        <v>10.470976002354799</v>
      </c>
      <c r="AG3694">
        <v>-1.10920817563199</v>
      </c>
      <c r="AH3694">
        <v>25.6351740403355</v>
      </c>
      <c r="AI3694">
        <v>92.293831645192</v>
      </c>
      <c r="AJ3694">
        <v>67.781886421064499</v>
      </c>
      <c r="AK3694">
        <v>27.713423269186201</v>
      </c>
      <c r="AL3694">
        <v>90.416867891597093</v>
      </c>
      <c r="AM3694">
        <v>81.780048433443397</v>
      </c>
      <c r="AN3694">
        <v>0.99999999132935302</v>
      </c>
    </row>
    <row r="3695" spans="1:40" x14ac:dyDescent="0.25">
      <c r="A3695" t="str">
        <f>"20190312161040386"</f>
        <v>20190312161040386</v>
      </c>
      <c r="B3695" t="str">
        <f>"1552378240380100"</f>
        <v>1552378240380100</v>
      </c>
      <c r="C3695" t="s">
        <v>40</v>
      </c>
      <c r="D3695">
        <v>6.160202</v>
      </c>
      <c r="E3695">
        <v>0.58237609999999995</v>
      </c>
      <c r="F3695" t="s">
        <v>41</v>
      </c>
      <c r="G3695">
        <v>-190.36699999999999</v>
      </c>
      <c r="H3695" s="1">
        <v>-3.3232499999999998E-7</v>
      </c>
      <c r="I3695">
        <v>170.1361</v>
      </c>
      <c r="J3695">
        <v>-190.07259999999999</v>
      </c>
      <c r="K3695">
        <v>1.109208</v>
      </c>
      <c r="L3695">
        <v>202.15710000000001</v>
      </c>
      <c r="M3695">
        <v>0.36737769999999997</v>
      </c>
      <c r="N3695">
        <v>0</v>
      </c>
      <c r="O3695">
        <v>-0.92999010000000004</v>
      </c>
      <c r="P3695">
        <v>0.23139870000000001</v>
      </c>
      <c r="Q3695">
        <v>-1.8607479999999999E-2</v>
      </c>
      <c r="R3695">
        <v>-0.97268120000000002</v>
      </c>
      <c r="S3695">
        <v>-2.6138310000000001E-2</v>
      </c>
      <c r="T3695">
        <v>-0.1068567</v>
      </c>
      <c r="U3695">
        <v>-3.0920260000000002</v>
      </c>
      <c r="V3695">
        <v>0.14213499999999901</v>
      </c>
      <c r="W3695">
        <v>-6.790669E-3</v>
      </c>
      <c r="X3695">
        <v>0.98982400000000004</v>
      </c>
      <c r="Y3695">
        <v>0.37524220000000003</v>
      </c>
      <c r="Z3695">
        <v>2.9651130000000001E-2</v>
      </c>
      <c r="AA3695">
        <v>0.92645239999999995</v>
      </c>
      <c r="AB3695">
        <v>8</v>
      </c>
      <c r="AC3695">
        <v>-0.29440000000002398</v>
      </c>
      <c r="AD3695">
        <v>-1.1092083323249999</v>
      </c>
      <c r="AE3695">
        <v>-32.021000000000001</v>
      </c>
      <c r="AF3695">
        <v>12.0240787640343</v>
      </c>
      <c r="AG3695">
        <v>-1.1092083323249999</v>
      </c>
      <c r="AH3695">
        <v>29.637752572037499</v>
      </c>
      <c r="AI3695">
        <v>91.986228724661999</v>
      </c>
      <c r="AJ3695">
        <v>67.917534820634401</v>
      </c>
      <c r="AK3695">
        <v>32.003205945178699</v>
      </c>
      <c r="AL3695">
        <v>90.389079659738002</v>
      </c>
      <c r="AM3695">
        <v>81.8284020072266</v>
      </c>
      <c r="AN3695">
        <v>1.0000000111932299</v>
      </c>
    </row>
    <row r="3696" spans="1:40" x14ac:dyDescent="0.25">
      <c r="A3696" t="str">
        <f>"20190312161040409"</f>
        <v>20190312161040409</v>
      </c>
      <c r="B3696" t="str">
        <f>"1552378240400598"</f>
        <v>1552378240400598</v>
      </c>
      <c r="C3696" t="s">
        <v>40</v>
      </c>
      <c r="D3696">
        <v>6.108949</v>
      </c>
      <c r="E3696">
        <v>0.59128740000000002</v>
      </c>
      <c r="F3696" t="s">
        <v>58</v>
      </c>
      <c r="G3696">
        <v>-185.03980000000001</v>
      </c>
      <c r="H3696">
        <v>12.83276</v>
      </c>
      <c r="I3696">
        <v>-81.819419999999994</v>
      </c>
      <c r="J3696">
        <v>-190.04849999999999</v>
      </c>
      <c r="K3696">
        <v>1.1091979999999999</v>
      </c>
      <c r="L3696">
        <v>202.0771</v>
      </c>
      <c r="M3696">
        <v>0.36192740000000001</v>
      </c>
      <c r="N3696">
        <v>0</v>
      </c>
      <c r="O3696">
        <v>-0.93212459999999997</v>
      </c>
      <c r="P3696">
        <v>0.22666529999999999</v>
      </c>
      <c r="Q3696">
        <v>-1.908934E-2</v>
      </c>
      <c r="R3696">
        <v>-0.97378560000000003</v>
      </c>
      <c r="S3696">
        <v>5.4473880000000002E-2</v>
      </c>
      <c r="T3696">
        <v>0.12689510000000001</v>
      </c>
      <c r="U3696">
        <v>-3.0737459999999999</v>
      </c>
      <c r="V3696">
        <v>0.1411501</v>
      </c>
      <c r="W3696">
        <v>-7.2763339999999998E-3</v>
      </c>
      <c r="X3696">
        <v>0.98996139999999999</v>
      </c>
      <c r="Y3696">
        <v>0.34538249999999998</v>
      </c>
      <c r="Z3696">
        <v>-3.5786999999999999E-2</v>
      </c>
      <c r="AA3696">
        <v>0.93777940000000004</v>
      </c>
      <c r="AB3696">
        <v>8</v>
      </c>
      <c r="AC3696">
        <v>5.00869999999997</v>
      </c>
      <c r="AD3696">
        <v>11.723561999999999</v>
      </c>
      <c r="AE3696">
        <v>-283.89652000000001</v>
      </c>
      <c r="AF3696">
        <v>97.921732684125502</v>
      </c>
      <c r="AG3696">
        <v>11.723561999999999</v>
      </c>
      <c r="AH3696">
        <v>266.00652797076299</v>
      </c>
      <c r="AI3696">
        <v>87.631644685433201</v>
      </c>
      <c r="AJ3696">
        <v>69.7904416158553</v>
      </c>
      <c r="AK3696">
        <v>283.699807121699</v>
      </c>
      <c r="AL3696">
        <v>90.416906934695703</v>
      </c>
      <c r="AM3696">
        <v>81.885380166378795</v>
      </c>
      <c r="AN3696">
        <v>0.99999993462822201</v>
      </c>
    </row>
    <row r="3697" spans="1:40" x14ac:dyDescent="0.25">
      <c r="A3697" t="str">
        <f>"20190312161040431"</f>
        <v>20190312161040431</v>
      </c>
      <c r="B3697" t="str">
        <f>"1552378240420621"</f>
        <v>1552378240420621</v>
      </c>
      <c r="C3697" t="s">
        <v>40</v>
      </c>
      <c r="D3697">
        <v>6.1631530000000003</v>
      </c>
      <c r="E3697">
        <v>0.5914085</v>
      </c>
      <c r="F3697" t="s">
        <v>41</v>
      </c>
      <c r="G3697">
        <v>-190.2561</v>
      </c>
      <c r="H3697" s="1">
        <v>-1.1002719999999999E-7</v>
      </c>
      <c r="I3697">
        <v>179.6867</v>
      </c>
      <c r="J3697">
        <v>-190.0265</v>
      </c>
      <c r="K3697">
        <v>1.109197</v>
      </c>
      <c r="L3697">
        <v>202.0026</v>
      </c>
      <c r="M3697">
        <v>0.35685240000000001</v>
      </c>
      <c r="N3697">
        <v>0</v>
      </c>
      <c r="O3697">
        <v>-0.93407960000000001</v>
      </c>
      <c r="P3697">
        <v>0.22192129999999999</v>
      </c>
      <c r="Q3697">
        <v>-2.0804820000000002E-2</v>
      </c>
      <c r="R3697">
        <v>-0.97484289999999996</v>
      </c>
      <c r="S3697">
        <v>-2.861023E-2</v>
      </c>
      <c r="T3697">
        <v>-0.15279879999999901</v>
      </c>
      <c r="U3697">
        <v>-3.0844119999999999</v>
      </c>
      <c r="V3697">
        <v>0.14056850000000001</v>
      </c>
      <c r="W3697">
        <v>-8.9958759999999999E-3</v>
      </c>
      <c r="X3697">
        <v>0.99003010000000002</v>
      </c>
      <c r="Y3697">
        <v>0.365504</v>
      </c>
      <c r="Z3697">
        <v>4.2877640000000002E-2</v>
      </c>
      <c r="AA3697">
        <v>0.92982169999999997</v>
      </c>
      <c r="AB3697">
        <v>8</v>
      </c>
      <c r="AC3697">
        <v>-0.229600000000004</v>
      </c>
      <c r="AD3697">
        <v>-1.1091971100272</v>
      </c>
      <c r="AE3697">
        <v>-22.315899999999999</v>
      </c>
      <c r="AF3697">
        <v>8.1584139718760298</v>
      </c>
      <c r="AG3697">
        <v>-1.1091971100272</v>
      </c>
      <c r="AH3697">
        <v>20.713301080599599</v>
      </c>
      <c r="AI3697">
        <v>92.852374056901695</v>
      </c>
      <c r="AJ3697">
        <v>68.501849376625003</v>
      </c>
      <c r="AK3697">
        <v>22.289703417070399</v>
      </c>
      <c r="AL3697">
        <v>90.515432672761904</v>
      </c>
      <c r="AM3697">
        <v>81.918926720165004</v>
      </c>
      <c r="AN3697">
        <v>1.0000000139416301</v>
      </c>
    </row>
    <row r="3698" spans="1:40" x14ac:dyDescent="0.25">
      <c r="A3698" t="str">
        <f>"20190312161040453"</f>
        <v>20190312161040453</v>
      </c>
      <c r="B3698" t="str">
        <f>"1552378240449901"</f>
        <v>1552378240449901</v>
      </c>
      <c r="C3698" t="s">
        <v>40</v>
      </c>
      <c r="D3698">
        <v>5.8460409999999996</v>
      </c>
      <c r="E3698">
        <v>0.59561719999999996</v>
      </c>
      <c r="F3698" t="s">
        <v>41</v>
      </c>
      <c r="G3698">
        <v>-190.31639999999999</v>
      </c>
      <c r="H3698" s="1">
        <v>-1.0637089999999999E-6</v>
      </c>
      <c r="I3698">
        <v>181.8724</v>
      </c>
      <c r="J3698">
        <v>-190.00380000000001</v>
      </c>
      <c r="K3698">
        <v>1.1091949999999999</v>
      </c>
      <c r="L3698">
        <v>201.92420000000001</v>
      </c>
      <c r="M3698">
        <v>0.35150110000000001</v>
      </c>
      <c r="N3698">
        <v>0</v>
      </c>
      <c r="O3698">
        <v>-0.93610640000000001</v>
      </c>
      <c r="P3698">
        <v>0.21615090000000001</v>
      </c>
      <c r="Q3698">
        <v>-2.0594640000000001E-2</v>
      </c>
      <c r="R3698">
        <v>-0.97614310000000004</v>
      </c>
      <c r="S3698">
        <v>-4.4418329999999999E-2</v>
      </c>
      <c r="T3698">
        <v>-0.16992829999999901</v>
      </c>
      <c r="U3698">
        <v>-3.083939</v>
      </c>
      <c r="V3698">
        <v>0.14076129999999901</v>
      </c>
      <c r="W3698">
        <v>-8.7923840000000003E-3</v>
      </c>
      <c r="X3698">
        <v>0.99000449999999995</v>
      </c>
      <c r="Y3698">
        <v>0.36493730000000002</v>
      </c>
      <c r="Z3698">
        <v>4.7848750000000002E-2</v>
      </c>
      <c r="AA3698">
        <v>0.92980169999999995</v>
      </c>
      <c r="AB3698">
        <v>8</v>
      </c>
      <c r="AC3698">
        <v>-0.31259999999997401</v>
      </c>
      <c r="AD3698">
        <v>-1.1091960637089999</v>
      </c>
      <c r="AE3698">
        <v>-20.0518</v>
      </c>
      <c r="AF3698">
        <v>7.3190236186544997</v>
      </c>
      <c r="AG3698">
        <v>-1.1091960637089999</v>
      </c>
      <c r="AH3698">
        <v>18.605238746923401</v>
      </c>
      <c r="AI3698">
        <v>93.175458146623896</v>
      </c>
      <c r="AJ3698">
        <v>68.526063333798504</v>
      </c>
      <c r="AK3698">
        <v>20.023819102963099</v>
      </c>
      <c r="AL3698">
        <v>90.503772996153799</v>
      </c>
      <c r="AM3698">
        <v>81.907783163928201</v>
      </c>
      <c r="AN3698">
        <v>0.99999997980717104</v>
      </c>
    </row>
    <row r="3699" spans="1:40" x14ac:dyDescent="0.25">
      <c r="A3699" t="str">
        <f>"20190312161040476"</f>
        <v>20190312161040476</v>
      </c>
      <c r="B3699" t="str">
        <f>"1552378240470398"</f>
        <v>1552378240470398</v>
      </c>
      <c r="C3699" t="s">
        <v>40</v>
      </c>
      <c r="D3699">
        <v>5.6252519999999997</v>
      </c>
      <c r="E3699">
        <v>0.63030439999999999</v>
      </c>
      <c r="F3699" t="s">
        <v>41</v>
      </c>
      <c r="G3699">
        <v>-194.96369999999999</v>
      </c>
      <c r="H3699" s="1">
        <v>-2.679396E-6</v>
      </c>
      <c r="I3699">
        <v>42.756219999999999</v>
      </c>
      <c r="J3699">
        <v>-189.98099999999999</v>
      </c>
      <c r="K3699">
        <v>1.1091899999999999</v>
      </c>
      <c r="L3699">
        <v>201.84379999999999</v>
      </c>
      <c r="M3699">
        <v>0.34602139999999998</v>
      </c>
      <c r="N3699">
        <v>0</v>
      </c>
      <c r="O3699">
        <v>-0.93814580000000003</v>
      </c>
      <c r="P3699">
        <v>0.2107726</v>
      </c>
      <c r="Q3699">
        <v>-2.0840890000000001E-2</v>
      </c>
      <c r="R3699">
        <v>-0.97731319999999999</v>
      </c>
      <c r="S3699">
        <v>-9.6420290000000006E-2</v>
      </c>
      <c r="T3699">
        <v>-2.1562580000000001E-2</v>
      </c>
      <c r="U3699">
        <v>-3.0941930000000002</v>
      </c>
      <c r="V3699">
        <v>0.14042109999999999</v>
      </c>
      <c r="W3699">
        <v>-9.0417320000000002E-3</v>
      </c>
      <c r="X3699">
        <v>0.9900506</v>
      </c>
      <c r="Y3699">
        <v>0.37510100000000002</v>
      </c>
      <c r="Z3699">
        <v>6.0656719999999898E-3</v>
      </c>
      <c r="AA3699">
        <v>0.92696409999999996</v>
      </c>
      <c r="AB3699">
        <v>8</v>
      </c>
      <c r="AC3699">
        <v>-4.9826999999999897</v>
      </c>
      <c r="AD3699">
        <v>-1.1091926793960001</v>
      </c>
      <c r="AE3699">
        <v>-159.08758</v>
      </c>
      <c r="AF3699">
        <v>59.723834707890703</v>
      </c>
      <c r="AG3699">
        <v>-1.1091926793960001</v>
      </c>
      <c r="AH3699">
        <v>147.527246770777</v>
      </c>
      <c r="AI3699">
        <v>90.399295577516497</v>
      </c>
      <c r="AJ3699">
        <v>67.960294191926195</v>
      </c>
      <c r="AK3699">
        <v>159.16172680761301</v>
      </c>
      <c r="AL3699">
        <v>90.518060134612099</v>
      </c>
      <c r="AM3699">
        <v>81.927453718289499</v>
      </c>
      <c r="AN3699">
        <v>1.0000000144015599</v>
      </c>
    </row>
    <row r="3700" spans="1:40" x14ac:dyDescent="0.25">
      <c r="A3700" t="str">
        <f>"20190312161040498"</f>
        <v>20190312161040498</v>
      </c>
      <c r="B3700" t="str">
        <f>"1552378240489934"</f>
        <v>1552378240489934</v>
      </c>
      <c r="C3700" t="s">
        <v>40</v>
      </c>
      <c r="D3700">
        <v>5.8263730000000002</v>
      </c>
      <c r="E3700">
        <v>0.62826930000000003</v>
      </c>
      <c r="F3700" t="s">
        <v>42</v>
      </c>
      <c r="G3700">
        <v>-190.0557</v>
      </c>
      <c r="H3700">
        <v>1.186212</v>
      </c>
      <c r="I3700">
        <v>201.2321</v>
      </c>
      <c r="J3700">
        <v>-189.95920000000001</v>
      </c>
      <c r="K3700">
        <v>1.109191</v>
      </c>
      <c r="L3700">
        <v>201.76490000000001</v>
      </c>
      <c r="M3700">
        <v>0.340638</v>
      </c>
      <c r="N3700">
        <v>0</v>
      </c>
      <c r="O3700">
        <v>-0.94011389999999995</v>
      </c>
      <c r="P3700">
        <v>0.2057436</v>
      </c>
      <c r="Q3700">
        <v>-2.1052379999999999E-2</v>
      </c>
      <c r="R3700">
        <v>-0.97837929999999995</v>
      </c>
      <c r="S3700">
        <v>-0.38531490000000002</v>
      </c>
      <c r="T3700">
        <v>0.39794469999999998</v>
      </c>
      <c r="U3700">
        <v>-3.1612239999999998</v>
      </c>
      <c r="V3700">
        <v>0.1398355</v>
      </c>
      <c r="W3700">
        <v>-9.2534939999999993E-3</v>
      </c>
      <c r="X3700">
        <v>0.99013150000000005</v>
      </c>
      <c r="Y3700">
        <v>0.45104109999999997</v>
      </c>
      <c r="Z3700">
        <v>-0.1065296</v>
      </c>
      <c r="AA3700">
        <v>0.88612259999999998</v>
      </c>
      <c r="AB3700">
        <v>8</v>
      </c>
      <c r="AC3700">
        <v>-9.6499999999991801E-2</v>
      </c>
      <c r="AD3700">
        <v>7.7021000000000006E-2</v>
      </c>
      <c r="AE3700">
        <v>-0.53280000000000804</v>
      </c>
      <c r="AF3700">
        <v>0.26683454610023799</v>
      </c>
      <c r="AG3700">
        <v>7.7021000000000006E-2</v>
      </c>
      <c r="AH3700">
        <v>0.45877397687292198</v>
      </c>
      <c r="AI3700">
        <v>81.742722965055506</v>
      </c>
      <c r="AJ3700">
        <v>59.816634690607998</v>
      </c>
      <c r="AK3700">
        <v>0.53628954053693501</v>
      </c>
      <c r="AL3700">
        <v>90.530193723532904</v>
      </c>
      <c r="AM3700">
        <v>81.961326020905503</v>
      </c>
      <c r="AN3700">
        <v>0.99999999075185397</v>
      </c>
    </row>
    <row r="3701" spans="1:40" x14ac:dyDescent="0.25">
      <c r="A3701" t="str">
        <f>"20190312161040521"</f>
        <v>20190312161040521</v>
      </c>
      <c r="B3701" t="str">
        <f>"1552378240509944"</f>
        <v>1552378240509944</v>
      </c>
      <c r="C3701" t="s">
        <v>40</v>
      </c>
      <c r="D3701">
        <v>6.0547399999999998</v>
      </c>
      <c r="E3701">
        <v>0.62898549999999998</v>
      </c>
      <c r="F3701" t="s">
        <v>42</v>
      </c>
      <c r="G3701">
        <v>-190.03450000000001</v>
      </c>
      <c r="H3701">
        <v>1.188083</v>
      </c>
      <c r="I3701">
        <v>201.14859999999999</v>
      </c>
      <c r="J3701">
        <v>-189.93770000000001</v>
      </c>
      <c r="K3701">
        <v>1.1091850000000001</v>
      </c>
      <c r="L3701">
        <v>201.6857</v>
      </c>
      <c r="M3701">
        <v>0.33523890000000001</v>
      </c>
      <c r="N3701">
        <v>0</v>
      </c>
      <c r="O3701">
        <v>-0.94205249999999996</v>
      </c>
      <c r="P3701">
        <v>0.20020550000000001</v>
      </c>
      <c r="Q3701">
        <v>-2.14384E-2</v>
      </c>
      <c r="R3701">
        <v>-0.97951940000000004</v>
      </c>
      <c r="S3701">
        <v>-0.38525389999999998</v>
      </c>
      <c r="T3701">
        <v>0.40396359999999998</v>
      </c>
      <c r="U3701">
        <v>-3.1560060000000001</v>
      </c>
      <c r="V3701">
        <v>0.1397525</v>
      </c>
      <c r="W3701">
        <v>-9.6407820000000005E-3</v>
      </c>
      <c r="X3701">
        <v>0.99013949999999995</v>
      </c>
      <c r="Y3701">
        <v>0.446046</v>
      </c>
      <c r="Z3701">
        <v>-0.10882020000000001</v>
      </c>
      <c r="AA3701">
        <v>0.88836990000000005</v>
      </c>
      <c r="AB3701">
        <v>8</v>
      </c>
      <c r="AC3701">
        <v>-9.6800000000001704E-2</v>
      </c>
      <c r="AD3701">
        <v>7.8897999999999899E-2</v>
      </c>
      <c r="AE3701">
        <v>-0.53710000000000901</v>
      </c>
      <c r="AF3701">
        <v>0.26571475916036003</v>
      </c>
      <c r="AG3701">
        <v>7.8897999999999899E-2</v>
      </c>
      <c r="AH3701">
        <v>0.46386660115996198</v>
      </c>
      <c r="AI3701">
        <v>81.604406994540895</v>
      </c>
      <c r="AJ3701">
        <v>60.194805436675601</v>
      </c>
      <c r="AK3701">
        <v>0.54037158632865201</v>
      </c>
      <c r="AL3701">
        <v>90.552384694744504</v>
      </c>
      <c r="AM3701">
        <v>81.966099162712894</v>
      </c>
      <c r="AN3701">
        <v>0.99999996769703503</v>
      </c>
    </row>
    <row r="3702" spans="1:40" x14ac:dyDescent="0.25">
      <c r="A3702" t="str">
        <f>"20190312161040545"</f>
        <v>20190312161040545</v>
      </c>
      <c r="B3702" t="str">
        <f>"1552378240540200"</f>
        <v>1552378240540200</v>
      </c>
      <c r="C3702" t="s">
        <v>40</v>
      </c>
      <c r="D3702">
        <v>5.874549</v>
      </c>
      <c r="E3702">
        <v>0.62708869999999906</v>
      </c>
      <c r="F3702" t="s">
        <v>42</v>
      </c>
      <c r="G3702">
        <v>-190.017</v>
      </c>
      <c r="H3702">
        <v>1.186488</v>
      </c>
      <c r="I3702">
        <v>201.07409999999999</v>
      </c>
      <c r="J3702">
        <v>-189.91630000000001</v>
      </c>
      <c r="K3702">
        <v>1.1091799999999901</v>
      </c>
      <c r="L3702">
        <v>201.60489999999999</v>
      </c>
      <c r="M3702">
        <v>0.32974019999999998</v>
      </c>
      <c r="N3702">
        <v>0</v>
      </c>
      <c r="O3702">
        <v>-0.94399149999999998</v>
      </c>
      <c r="P3702">
        <v>0.19384889999999999</v>
      </c>
      <c r="Q3702">
        <v>-2.25793E-2</v>
      </c>
      <c r="R3702">
        <v>-0.98077170000000002</v>
      </c>
      <c r="S3702">
        <v>-0.4084778</v>
      </c>
      <c r="T3702">
        <v>0.39877869999999999</v>
      </c>
      <c r="U3702">
        <v>-3.154938</v>
      </c>
      <c r="V3702">
        <v>0.14038870000000001</v>
      </c>
      <c r="W3702">
        <v>-1.078518E-2</v>
      </c>
      <c r="X3702">
        <v>0.99003770000000002</v>
      </c>
      <c r="Y3702">
        <v>0.44732559999999899</v>
      </c>
      <c r="Z3702">
        <v>-0.1077535</v>
      </c>
      <c r="AA3702">
        <v>0.88785639999999999</v>
      </c>
      <c r="AB3702">
        <v>8</v>
      </c>
      <c r="AC3702">
        <v>-0.10069999999998901</v>
      </c>
      <c r="AD3702">
        <v>7.7308000000000099E-2</v>
      </c>
      <c r="AE3702">
        <v>-0.53079999999999905</v>
      </c>
      <c r="AF3702">
        <v>0.26468694352420302</v>
      </c>
      <c r="AG3702">
        <v>7.7308000000000099E-2</v>
      </c>
      <c r="AH3702">
        <v>0.45851307538303798</v>
      </c>
      <c r="AI3702">
        <v>81.692276365032896</v>
      </c>
      <c r="AJ3702">
        <v>60.0033462885388</v>
      </c>
      <c r="AK3702">
        <v>0.53504200324217199</v>
      </c>
      <c r="AL3702">
        <v>90.617957289849599</v>
      </c>
      <c r="AM3702">
        <v>81.929188016000495</v>
      </c>
      <c r="AN3702">
        <v>0.99999997730830503</v>
      </c>
    </row>
    <row r="3703" spans="1:40" x14ac:dyDescent="0.25">
      <c r="A3703" t="str">
        <f>"20190312161040566"</f>
        <v>20190312161040566</v>
      </c>
      <c r="B3703" t="str">
        <f>"1552378240559719"</f>
        <v>1552378240559719</v>
      </c>
      <c r="C3703" t="s">
        <v>40</v>
      </c>
      <c r="D3703">
        <v>5.7615220000000003</v>
      </c>
      <c r="E3703">
        <v>0.62635839999999998</v>
      </c>
      <c r="F3703" t="s">
        <v>42</v>
      </c>
      <c r="G3703">
        <v>-189.99950000000001</v>
      </c>
      <c r="H3703">
        <v>1.1869240000000001</v>
      </c>
      <c r="I3703">
        <v>200.9726</v>
      </c>
      <c r="J3703">
        <v>-189.89599999999999</v>
      </c>
      <c r="K3703">
        <v>1.109189</v>
      </c>
      <c r="L3703">
        <v>201.5265</v>
      </c>
      <c r="M3703">
        <v>0.32442330000000003</v>
      </c>
      <c r="N3703">
        <v>0</v>
      </c>
      <c r="O3703">
        <v>-0.9458318</v>
      </c>
      <c r="P3703">
        <v>0.18794040000000001</v>
      </c>
      <c r="Q3703">
        <v>-2.371086E-2</v>
      </c>
      <c r="R3703">
        <v>-0.9818945</v>
      </c>
      <c r="S3703">
        <v>-0.41354370000000001</v>
      </c>
      <c r="T3703">
        <v>0.38719419999999999</v>
      </c>
      <c r="U3703">
        <v>-3.1494749999999998</v>
      </c>
      <c r="V3703">
        <v>0.14076710000000001</v>
      </c>
      <c r="W3703">
        <v>-1.191804E-2</v>
      </c>
      <c r="X3703">
        <v>0.98997100000000005</v>
      </c>
      <c r="Y3703">
        <v>0.44394220000000001</v>
      </c>
      <c r="Z3703">
        <v>-0.10527540000000001</v>
      </c>
      <c r="AA3703">
        <v>0.88984969999999997</v>
      </c>
      <c r="AB3703">
        <v>8</v>
      </c>
      <c r="AC3703">
        <v>-0.103500000000025</v>
      </c>
      <c r="AD3703">
        <v>7.7734999999999804E-2</v>
      </c>
      <c r="AE3703">
        <v>-0.55389999999999795</v>
      </c>
      <c r="AF3703">
        <v>0.27242809225908299</v>
      </c>
      <c r="AG3703">
        <v>7.7734999999999804E-2</v>
      </c>
      <c r="AH3703">
        <v>0.481197863778622</v>
      </c>
      <c r="AI3703">
        <v>81.997858971317797</v>
      </c>
      <c r="AJ3703">
        <v>60.483817621097003</v>
      </c>
      <c r="AK3703">
        <v>0.55840055496214602</v>
      </c>
      <c r="AL3703">
        <v>90.682869559518394</v>
      </c>
      <c r="AM3703">
        <v>81.907183925881696</v>
      </c>
      <c r="AN3703">
        <v>0.99999999848042498</v>
      </c>
    </row>
    <row r="3704" spans="1:40" x14ac:dyDescent="0.25">
      <c r="A3704" t="str">
        <f>"20190312161040589"</f>
        <v>20190312161040589</v>
      </c>
      <c r="B3704" t="str">
        <f>"1552378240580216"</f>
        <v>1552378240580216</v>
      </c>
      <c r="C3704" t="s">
        <v>40</v>
      </c>
      <c r="D3704">
        <v>5.8334570000000001</v>
      </c>
      <c r="E3704">
        <v>0.62533629999999996</v>
      </c>
      <c r="F3704" t="s">
        <v>42</v>
      </c>
      <c r="G3704">
        <v>-189.98169999999999</v>
      </c>
      <c r="H3704">
        <v>1.186582</v>
      </c>
      <c r="I3704">
        <v>200.8946</v>
      </c>
      <c r="J3704">
        <v>-189.8759</v>
      </c>
      <c r="K3704">
        <v>1.109194</v>
      </c>
      <c r="L3704">
        <v>201.4468</v>
      </c>
      <c r="M3704">
        <v>0.31903880000000001</v>
      </c>
      <c r="N3704">
        <v>0</v>
      </c>
      <c r="O3704">
        <v>-0.9476618</v>
      </c>
      <c r="P3704">
        <v>0.1814518</v>
      </c>
      <c r="Q3704">
        <v>-2.5388170000000002E-2</v>
      </c>
      <c r="R3704">
        <v>-0.98307219999999995</v>
      </c>
      <c r="S3704">
        <v>-0.4264984</v>
      </c>
      <c r="T3704">
        <v>0.38533079999999997</v>
      </c>
      <c r="U3704">
        <v>-3.146271</v>
      </c>
      <c r="V3704">
        <v>0.1416568</v>
      </c>
      <c r="W3704">
        <v>-1.359895E-2</v>
      </c>
      <c r="X3704">
        <v>0.98982239999999999</v>
      </c>
      <c r="Y3704">
        <v>0.44257099999999999</v>
      </c>
      <c r="Z3704">
        <v>-0.105226</v>
      </c>
      <c r="AA3704">
        <v>0.8905383</v>
      </c>
      <c r="AB3704">
        <v>8</v>
      </c>
      <c r="AC3704">
        <v>-0.105799999999987</v>
      </c>
      <c r="AD3704">
        <v>7.7387999999999998E-2</v>
      </c>
      <c r="AE3704">
        <v>-0.55219999999999902</v>
      </c>
      <c r="AF3704">
        <v>0.271316640103344</v>
      </c>
      <c r="AG3704">
        <v>7.7387999999999998E-2</v>
      </c>
      <c r="AH3704">
        <v>0.48047886336856799</v>
      </c>
      <c r="AI3704">
        <v>82.016403114997601</v>
      </c>
      <c r="AJ3704">
        <v>60.547466545632197</v>
      </c>
      <c r="AK3704">
        <v>0.557190775125468</v>
      </c>
      <c r="AL3704">
        <v>90.779186472118596</v>
      </c>
      <c r="AM3704">
        <v>81.855512141486201</v>
      </c>
      <c r="AN3704">
        <v>0.99999998198455098</v>
      </c>
    </row>
    <row r="3705" spans="1:40" x14ac:dyDescent="0.25">
      <c r="A3705" t="str">
        <f>"20190312161040610"</f>
        <v>20190312161040610</v>
      </c>
      <c r="B3705" t="str">
        <f>"1552378240599740"</f>
        <v>1552378240599740</v>
      </c>
      <c r="C3705" t="s">
        <v>40</v>
      </c>
      <c r="D3705">
        <v>5.9549260000000004</v>
      </c>
      <c r="E3705">
        <v>0.62506680000000003</v>
      </c>
      <c r="F3705" t="s">
        <v>42</v>
      </c>
      <c r="G3705">
        <v>-189.9641</v>
      </c>
      <c r="H3705">
        <v>1.1850369999999999</v>
      </c>
      <c r="I3705">
        <v>200.8158</v>
      </c>
      <c r="J3705">
        <v>-189.85720000000001</v>
      </c>
      <c r="K3705">
        <v>1.1092029999999999</v>
      </c>
      <c r="L3705">
        <v>201.37129999999999</v>
      </c>
      <c r="M3705">
        <v>0.31394879999999997</v>
      </c>
      <c r="N3705">
        <v>0</v>
      </c>
      <c r="O3705">
        <v>-0.94936039999999999</v>
      </c>
      <c r="P3705">
        <v>0.1753527</v>
      </c>
      <c r="Q3705">
        <v>-2.6095380000000001E-2</v>
      </c>
      <c r="R3705">
        <v>-0.98415989999999998</v>
      </c>
      <c r="S3705">
        <v>-0.43888850000000001</v>
      </c>
      <c r="T3705">
        <v>0.37766650000000002</v>
      </c>
      <c r="U3705">
        <v>-3.1424099999999999</v>
      </c>
      <c r="V3705">
        <v>0.14247499999999999</v>
      </c>
      <c r="W3705">
        <v>-1.430903E-2</v>
      </c>
      <c r="X3705">
        <v>0.98969499999999999</v>
      </c>
      <c r="Y3705">
        <v>0.44138569999999999</v>
      </c>
      <c r="Z3705">
        <v>-0.1035967</v>
      </c>
      <c r="AA3705">
        <v>0.89131719999999903</v>
      </c>
      <c r="AB3705">
        <v>8</v>
      </c>
      <c r="AC3705">
        <v>-0.106899999999996</v>
      </c>
      <c r="AD3705">
        <v>7.5833999999999901E-2</v>
      </c>
      <c r="AE3705">
        <v>-0.555499999999995</v>
      </c>
      <c r="AF3705">
        <v>0.27103529471298399</v>
      </c>
      <c r="AG3705">
        <v>7.5833999999999901E-2</v>
      </c>
      <c r="AH3705">
        <v>0.485127726990495</v>
      </c>
      <c r="AI3705">
        <v>82.229173372626093</v>
      </c>
      <c r="AJ3705">
        <v>60.808408693244999</v>
      </c>
      <c r="AK3705">
        <v>0.56085634348834701</v>
      </c>
      <c r="AL3705">
        <v>90.819874980093601</v>
      </c>
      <c r="AM3705">
        <v>81.808066584257105</v>
      </c>
      <c r="AN3705">
        <v>1.0000000334947601</v>
      </c>
    </row>
    <row r="3706" spans="1:40" x14ac:dyDescent="0.25">
      <c r="A3706" t="str">
        <f>"20190312161040632"</f>
        <v>20190312161040632</v>
      </c>
      <c r="B3706" t="str">
        <f>"1552378240629992"</f>
        <v>1552378240629992</v>
      </c>
      <c r="C3706" t="s">
        <v>40</v>
      </c>
      <c r="D3706">
        <v>6.0423770000000001</v>
      </c>
      <c r="E3706">
        <v>0.6243225</v>
      </c>
      <c r="F3706" t="s">
        <v>42</v>
      </c>
      <c r="G3706">
        <v>-189.9486</v>
      </c>
      <c r="H3706">
        <v>1.1834530000000001</v>
      </c>
      <c r="I3706">
        <v>200.7422</v>
      </c>
      <c r="J3706">
        <v>-189.83799999999999</v>
      </c>
      <c r="K3706">
        <v>1.1092109999999999</v>
      </c>
      <c r="L3706">
        <v>201.292</v>
      </c>
      <c r="M3706">
        <v>0.30863879999999999</v>
      </c>
      <c r="N3706">
        <v>0</v>
      </c>
      <c r="O3706">
        <v>-0.9510999</v>
      </c>
      <c r="P3706">
        <v>0.16873360000000001</v>
      </c>
      <c r="Q3706">
        <v>-2.684901E-2</v>
      </c>
      <c r="R3706">
        <v>-0.98529619999999996</v>
      </c>
      <c r="S3706">
        <v>-0.45613100000000001</v>
      </c>
      <c r="T3706">
        <v>0.37052669999999999</v>
      </c>
      <c r="U3706">
        <v>-3.1393740000000001</v>
      </c>
      <c r="V3706">
        <v>0.14358879999999999</v>
      </c>
      <c r="W3706">
        <v>-1.5066680000000001E-2</v>
      </c>
      <c r="X3706">
        <v>0.98952280000000004</v>
      </c>
      <c r="Y3706">
        <v>0.44132179999999999</v>
      </c>
      <c r="Z3706">
        <v>-0.1020281</v>
      </c>
      <c r="AA3706">
        <v>0.89152980000000004</v>
      </c>
      <c r="AB3706">
        <v>8</v>
      </c>
      <c r="AC3706">
        <v>-0.110600000000005</v>
      </c>
      <c r="AD3706">
        <v>7.4241999999999905E-2</v>
      </c>
      <c r="AE3706">
        <v>-0.54980000000000395</v>
      </c>
      <c r="AF3706">
        <v>0.27016730638681602</v>
      </c>
      <c r="AG3706">
        <v>7.4241999999999905E-2</v>
      </c>
      <c r="AH3706">
        <v>0.480397169443887</v>
      </c>
      <c r="AI3706">
        <v>82.328288585853301</v>
      </c>
      <c r="AJ3706">
        <v>60.647329547492298</v>
      </c>
      <c r="AK3706">
        <v>0.55613279746298605</v>
      </c>
      <c r="AL3706">
        <v>90.863289787381106</v>
      </c>
      <c r="AM3706">
        <v>81.743488514964298</v>
      </c>
      <c r="AN3706">
        <v>1.0000000600257399</v>
      </c>
    </row>
    <row r="3707" spans="1:40" x14ac:dyDescent="0.25">
      <c r="A3707" t="str">
        <f>"20190312161040653"</f>
        <v>20190312161040653</v>
      </c>
      <c r="B3707" t="str">
        <f>"1552378240650488"</f>
        <v>1552378240650488</v>
      </c>
      <c r="C3707" t="s">
        <v>40</v>
      </c>
      <c r="D3707">
        <v>5.9916700000000001</v>
      </c>
      <c r="E3707">
        <v>0.62360450000000001</v>
      </c>
      <c r="F3707" t="s">
        <v>42</v>
      </c>
      <c r="G3707">
        <v>-189.93279999999999</v>
      </c>
      <c r="H3707">
        <v>1.1821469999999901</v>
      </c>
      <c r="I3707">
        <v>200.66120000000001</v>
      </c>
      <c r="J3707">
        <v>-189.82050000000001</v>
      </c>
      <c r="K3707">
        <v>1.109226</v>
      </c>
      <c r="L3707">
        <v>201.21809999999999</v>
      </c>
      <c r="M3707">
        <v>0.30371930000000003</v>
      </c>
      <c r="N3707">
        <v>0</v>
      </c>
      <c r="O3707">
        <v>-0.95268229999999998</v>
      </c>
      <c r="P3707">
        <v>0.1630566</v>
      </c>
      <c r="Q3707">
        <v>-2.780324E-2</v>
      </c>
      <c r="R3707">
        <v>-0.98622509999999997</v>
      </c>
      <c r="S3707">
        <v>-0.47062680000000001</v>
      </c>
      <c r="T3707">
        <v>0.36244300000000002</v>
      </c>
      <c r="U3707">
        <v>-3.1352389999999999</v>
      </c>
      <c r="V3707">
        <v>0.14416329999999999</v>
      </c>
      <c r="W3707">
        <v>-1.6022390000000001E-2</v>
      </c>
      <c r="X3707">
        <v>0.98942419999999998</v>
      </c>
      <c r="Y3707">
        <v>0.44092409999999999</v>
      </c>
      <c r="Z3707">
        <v>-0.1002091</v>
      </c>
      <c r="AA3707">
        <v>0.89193279999999997</v>
      </c>
      <c r="AB3707">
        <v>8</v>
      </c>
      <c r="AC3707">
        <v>-0.112299999999976</v>
      </c>
      <c r="AD3707">
        <v>7.2920999999999694E-2</v>
      </c>
      <c r="AE3707">
        <v>-0.55689999999998396</v>
      </c>
      <c r="AF3707">
        <v>0.27167239579842001</v>
      </c>
      <c r="AG3707">
        <v>7.2920999999999694E-2</v>
      </c>
      <c r="AH3707">
        <v>0.48843140055654299</v>
      </c>
      <c r="AI3707">
        <v>82.566497747758504</v>
      </c>
      <c r="AJ3707">
        <v>60.916574389960502</v>
      </c>
      <c r="AK3707">
        <v>0.56363871046041603</v>
      </c>
      <c r="AL3707">
        <v>90.918054597691594</v>
      </c>
      <c r="AM3707">
        <v>81.710097700766696</v>
      </c>
      <c r="AN3707">
        <v>1.00000001079692</v>
      </c>
    </row>
    <row r="3708" spans="1:40" x14ac:dyDescent="0.25">
      <c r="A3708" t="str">
        <f>"20190312161040676"</f>
        <v>20190312161040676</v>
      </c>
      <c r="B3708" t="str">
        <f>"1552378240670008"</f>
        <v>1552378240670008</v>
      </c>
      <c r="C3708" t="s">
        <v>40</v>
      </c>
      <c r="D3708">
        <v>5.8775430000000002</v>
      </c>
      <c r="E3708">
        <v>0.62265490000000001</v>
      </c>
      <c r="F3708" t="s">
        <v>42</v>
      </c>
      <c r="G3708">
        <v>-189.91909999999999</v>
      </c>
      <c r="H3708">
        <v>1.1820059999999999</v>
      </c>
      <c r="I3708">
        <v>200.57749999999999</v>
      </c>
      <c r="J3708">
        <v>-189.80119999999999</v>
      </c>
      <c r="K3708">
        <v>1.109237</v>
      </c>
      <c r="L3708">
        <v>201.13499999999999</v>
      </c>
      <c r="M3708">
        <v>0.29822690000000002</v>
      </c>
      <c r="N3708">
        <v>0</v>
      </c>
      <c r="O3708">
        <v>-0.95441589999999998</v>
      </c>
      <c r="P3708">
        <v>0.15685869999999999</v>
      </c>
      <c r="Q3708">
        <v>-2.8984550000000001E-2</v>
      </c>
      <c r="R3708">
        <v>-0.98719570000000001</v>
      </c>
      <c r="S3708">
        <v>-0.4822845</v>
      </c>
      <c r="T3708">
        <v>0.35580980000000001</v>
      </c>
      <c r="U3708">
        <v>-3.1316679999999999</v>
      </c>
      <c r="V3708">
        <v>0.14466660000000001</v>
      </c>
      <c r="W3708">
        <v>-1.7204299999999999E-2</v>
      </c>
      <c r="X3708">
        <v>0.98933090000000001</v>
      </c>
      <c r="Y3708">
        <v>0.43918000000000001</v>
      </c>
      <c r="Z3708">
        <v>-9.8821619999999999E-2</v>
      </c>
      <c r="AA3708">
        <v>0.89294750000000001</v>
      </c>
      <c r="AB3708">
        <v>8</v>
      </c>
      <c r="AC3708">
        <v>-0.117899999999991</v>
      </c>
      <c r="AD3708">
        <v>7.2768999999999806E-2</v>
      </c>
      <c r="AE3708">
        <v>-0.55750000000000399</v>
      </c>
      <c r="AF3708">
        <v>0.27433432933823798</v>
      </c>
      <c r="AG3708">
        <v>7.2768999999999806E-2</v>
      </c>
      <c r="AH3708">
        <v>0.48898898717921402</v>
      </c>
      <c r="AI3708">
        <v>82.605174018660605</v>
      </c>
      <c r="AJ3708">
        <v>60.706549310971504</v>
      </c>
      <c r="AK3708">
        <v>0.56538914138583696</v>
      </c>
      <c r="AL3708">
        <v>90.985782392414194</v>
      </c>
      <c r="AM3708">
        <v>81.680786955275096</v>
      </c>
      <c r="AN3708">
        <v>1.00000002139442</v>
      </c>
    </row>
    <row r="3709" spans="1:40" x14ac:dyDescent="0.25">
      <c r="A3709" t="str">
        <f>"20190312161040700"</f>
        <v>20190312161040700</v>
      </c>
      <c r="B3709" t="str">
        <f>"1552378240690507"</f>
        <v>1552378240690507</v>
      </c>
      <c r="C3709" t="s">
        <v>40</v>
      </c>
      <c r="D3709">
        <v>5.9886429999999997</v>
      </c>
      <c r="E3709">
        <v>0.62226649999999994</v>
      </c>
      <c r="F3709" t="s">
        <v>88</v>
      </c>
      <c r="G3709">
        <v>-212.23079999999999</v>
      </c>
      <c r="H3709">
        <v>16.957750000000001</v>
      </c>
      <c r="I3709">
        <v>59.251199999999997</v>
      </c>
      <c r="J3709">
        <v>-189.78290000000001</v>
      </c>
      <c r="K3709">
        <v>1.109264</v>
      </c>
      <c r="L3709">
        <v>201.05420000000001</v>
      </c>
      <c r="M3709">
        <v>0.29293439999999998</v>
      </c>
      <c r="N3709">
        <v>0</v>
      </c>
      <c r="O3709">
        <v>-0.95605370000000001</v>
      </c>
      <c r="P3709">
        <v>0.15100910000000001</v>
      </c>
      <c r="Q3709">
        <v>-2.942937E-2</v>
      </c>
      <c r="R3709">
        <v>-0.98809440000000004</v>
      </c>
      <c r="S3709">
        <v>-0.49444579999999999</v>
      </c>
      <c r="T3709">
        <v>0.34936980000000001</v>
      </c>
      <c r="U3709">
        <v>-3.1277309999999998</v>
      </c>
      <c r="V3709">
        <v>0.14504059999999999</v>
      </c>
      <c r="W3709">
        <v>-1.7648609999999999E-2</v>
      </c>
      <c r="X3709">
        <v>0.98926829999999999</v>
      </c>
      <c r="Y3709">
        <v>0.43779129999999999</v>
      </c>
      <c r="Z3709">
        <v>-9.7454780000000005E-2</v>
      </c>
      <c r="AA3709">
        <v>0.8937792</v>
      </c>
      <c r="AB3709">
        <v>8</v>
      </c>
      <c r="AC3709">
        <v>-22.447899999999901</v>
      </c>
      <c r="AD3709">
        <v>15.848485999999999</v>
      </c>
      <c r="AE3709">
        <v>-141.803</v>
      </c>
      <c r="AF3709">
        <v>62.2465970502424</v>
      </c>
      <c r="AG3709">
        <v>15.848485999999999</v>
      </c>
      <c r="AH3709">
        <v>127.452134255063</v>
      </c>
      <c r="AI3709">
        <v>83.624518636923995</v>
      </c>
      <c r="AJ3709">
        <v>63.969488949847999</v>
      </c>
      <c r="AK3709">
        <v>142.72301804193401</v>
      </c>
      <c r="AL3709">
        <v>91.011243358474601</v>
      </c>
      <c r="AM3709">
        <v>81.659061481314893</v>
      </c>
      <c r="AN3709">
        <v>1.0000000092340899</v>
      </c>
    </row>
    <row r="3710" spans="1:40" x14ac:dyDescent="0.25">
      <c r="A3710" t="str">
        <f>"20190312161040721"</f>
        <v>20190312161040721</v>
      </c>
      <c r="B3710" t="str">
        <f>"1552378240710025"</f>
        <v>1552378240710025</v>
      </c>
      <c r="C3710" t="s">
        <v>40</v>
      </c>
      <c r="D3710">
        <v>5.9909369999999997</v>
      </c>
      <c r="E3710">
        <v>0.62157819999999997</v>
      </c>
      <c r="F3710" t="s">
        <v>88</v>
      </c>
      <c r="G3710">
        <v>-211.3638</v>
      </c>
      <c r="H3710">
        <v>15.5880299999999</v>
      </c>
      <c r="I3710">
        <v>68.946399999999997</v>
      </c>
      <c r="J3710">
        <v>-189.76609999999999</v>
      </c>
      <c r="K3710">
        <v>1.1092919999999999</v>
      </c>
      <c r="L3710">
        <v>200.9787</v>
      </c>
      <c r="M3710">
        <v>0.28803529999999999</v>
      </c>
      <c r="N3710">
        <v>0</v>
      </c>
      <c r="O3710">
        <v>-0.95754130000000004</v>
      </c>
      <c r="P3710">
        <v>0.14609440000000001</v>
      </c>
      <c r="Q3710">
        <v>-2.8948560000000002E-2</v>
      </c>
      <c r="R3710">
        <v>-0.98884740000000004</v>
      </c>
      <c r="S3710">
        <v>-0.51039120000000004</v>
      </c>
      <c r="T3710">
        <v>0.34242420000000001</v>
      </c>
      <c r="U3710">
        <v>-3.1243590000000001</v>
      </c>
      <c r="V3710">
        <v>0.14490039999999901</v>
      </c>
      <c r="W3710">
        <v>-1.7164840000000001E-2</v>
      </c>
      <c r="X3710">
        <v>0.98929730000000005</v>
      </c>
      <c r="Y3710">
        <v>0.43781750000000003</v>
      </c>
      <c r="Z3710">
        <v>-9.5843880000000006E-2</v>
      </c>
      <c r="AA3710">
        <v>0.89394059999999897</v>
      </c>
      <c r="AB3710">
        <v>8</v>
      </c>
      <c r="AC3710">
        <v>-21.5977</v>
      </c>
      <c r="AD3710">
        <v>14.4787379999999</v>
      </c>
      <c r="AE3710">
        <v>-132.03229999999999</v>
      </c>
      <c r="AF3710">
        <v>58.035353241814697</v>
      </c>
      <c r="AG3710">
        <v>14.4787379999999</v>
      </c>
      <c r="AH3710">
        <v>118.82285688387699</v>
      </c>
      <c r="AI3710">
        <v>83.751589924412698</v>
      </c>
      <c r="AJ3710">
        <v>63.9682330490091</v>
      </c>
      <c r="AK3710">
        <v>133.028596166467</v>
      </c>
      <c r="AL3710">
        <v>90.9835212346471</v>
      </c>
      <c r="AM3710">
        <v>81.667251621865901</v>
      </c>
      <c r="AN3710">
        <v>0.99999995271983599</v>
      </c>
    </row>
    <row r="3711" spans="1:40" x14ac:dyDescent="0.25">
      <c r="A3711" t="str">
        <f>"20190312161040746"</f>
        <v>20190312161040746</v>
      </c>
      <c r="B3711" t="str">
        <f>"1552378240740280"</f>
        <v>1552378240740280</v>
      </c>
      <c r="C3711" t="s">
        <v>40</v>
      </c>
      <c r="D3711">
        <v>6.0519069999999999</v>
      </c>
      <c r="E3711">
        <v>0.6207954</v>
      </c>
      <c r="F3711" t="s">
        <v>88</v>
      </c>
      <c r="G3711">
        <v>-211.50409999999999</v>
      </c>
      <c r="H3711">
        <v>15.32258</v>
      </c>
      <c r="I3711">
        <v>70.567840000000004</v>
      </c>
      <c r="J3711">
        <v>-189.74780000000001</v>
      </c>
      <c r="K3711">
        <v>1.1093170000000001</v>
      </c>
      <c r="L3711">
        <v>200.8947</v>
      </c>
      <c r="M3711">
        <v>0.28264230000000001</v>
      </c>
      <c r="N3711">
        <v>0</v>
      </c>
      <c r="O3711">
        <v>-0.95914699999999997</v>
      </c>
      <c r="P3711">
        <v>0.14067379999999999</v>
      </c>
      <c r="Q3711">
        <v>-2.9318230000000001E-2</v>
      </c>
      <c r="R3711">
        <v>-0.989622</v>
      </c>
      <c r="S3711">
        <v>-0.52017209999999903</v>
      </c>
      <c r="T3711">
        <v>0.34011209999999997</v>
      </c>
      <c r="U3711">
        <v>-3.1206209999999999</v>
      </c>
      <c r="V3711">
        <v>0.1447512</v>
      </c>
      <c r="W3711">
        <v>-1.7531830000000002E-2</v>
      </c>
      <c r="X3711">
        <v>0.98931279999999999</v>
      </c>
      <c r="Y3711">
        <v>0.43566579999999999</v>
      </c>
      <c r="Z3711">
        <v>-9.5608540000000006E-2</v>
      </c>
      <c r="AA3711">
        <v>0.89501640000000005</v>
      </c>
      <c r="AB3711">
        <v>8</v>
      </c>
      <c r="AC3711">
        <v>-21.7562999999999</v>
      </c>
      <c r="AD3711">
        <v>14.2132629999999</v>
      </c>
      <c r="AE3711">
        <v>-130.32686000000001</v>
      </c>
      <c r="AF3711">
        <v>57.047596702596898</v>
      </c>
      <c r="AG3711">
        <v>14.2132629999999</v>
      </c>
      <c r="AH3711">
        <v>117.50264334177</v>
      </c>
      <c r="AI3711">
        <v>83.789808481160605</v>
      </c>
      <c r="AJ3711">
        <v>64.103401878726302</v>
      </c>
      <c r="AK3711">
        <v>131.38993997621199</v>
      </c>
      <c r="AL3711">
        <v>91.004551285470498</v>
      </c>
      <c r="AM3711">
        <v>81.675839928738597</v>
      </c>
      <c r="AN3711">
        <v>1.00000004560421</v>
      </c>
    </row>
    <row r="3712" spans="1:40" x14ac:dyDescent="0.25">
      <c r="A3712" t="str">
        <f>"20190312161040768"</f>
        <v>20190312161040768</v>
      </c>
      <c r="B3712" t="str">
        <f>"1552378240760776"</f>
        <v>1552378240760776</v>
      </c>
      <c r="C3712" t="s">
        <v>40</v>
      </c>
      <c r="D3712">
        <v>6.0530359999999996</v>
      </c>
      <c r="E3712">
        <v>0.62013759999999996</v>
      </c>
      <c r="F3712" t="s">
        <v>42</v>
      </c>
      <c r="G3712">
        <v>-189.864</v>
      </c>
      <c r="H3712">
        <v>1.181948</v>
      </c>
      <c r="I3712">
        <v>200.2131</v>
      </c>
      <c r="J3712">
        <v>-189.73079999999999</v>
      </c>
      <c r="K3712">
        <v>1.1093329999999999</v>
      </c>
      <c r="L3712">
        <v>200.8143</v>
      </c>
      <c r="M3712">
        <v>0.27753909999999998</v>
      </c>
      <c r="N3712">
        <v>0</v>
      </c>
      <c r="O3712">
        <v>-0.96063620000000005</v>
      </c>
      <c r="P3712">
        <v>0.13511020000000001</v>
      </c>
      <c r="Q3712">
        <v>-3.0261079999999999E-2</v>
      </c>
      <c r="R3712">
        <v>-0.99036840000000004</v>
      </c>
      <c r="S3712">
        <v>-0.53025819999999901</v>
      </c>
      <c r="T3712">
        <v>0.33208080000000001</v>
      </c>
      <c r="U3712">
        <v>-3.1166839999999998</v>
      </c>
      <c r="V3712">
        <v>0.14504220000000001</v>
      </c>
      <c r="W3712">
        <v>-1.8475229999999999E-2</v>
      </c>
      <c r="X3712">
        <v>0.98925300000000005</v>
      </c>
      <c r="Y3712">
        <v>0.43391930000000001</v>
      </c>
      <c r="Z3712">
        <v>-9.3746919999999997E-2</v>
      </c>
      <c r="AA3712">
        <v>0.89606109999999894</v>
      </c>
      <c r="AB3712">
        <v>8</v>
      </c>
      <c r="AC3712">
        <v>-0.133200000000016</v>
      </c>
      <c r="AD3712">
        <v>7.2615000000000096E-2</v>
      </c>
      <c r="AE3712">
        <v>-0.60120000000000495</v>
      </c>
      <c r="AF3712">
        <v>0.29079162675984599</v>
      </c>
      <c r="AG3712">
        <v>7.2615000000000096E-2</v>
      </c>
      <c r="AH3712">
        <v>0.53319227420396897</v>
      </c>
      <c r="AI3712">
        <v>83.181872988926699</v>
      </c>
      <c r="AJ3712">
        <v>61.392896457175901</v>
      </c>
      <c r="AK3712">
        <v>0.61165898153255205</v>
      </c>
      <c r="AL3712">
        <v>91.058612895743195</v>
      </c>
      <c r="AM3712">
        <v>81.658843574483797</v>
      </c>
      <c r="AN3712">
        <v>1.0000000359566901</v>
      </c>
    </row>
    <row r="3713" spans="1:40" x14ac:dyDescent="0.25">
      <c r="A3713" t="str">
        <f>"20190312161040791"</f>
        <v>20190312161040791</v>
      </c>
      <c r="B3713" t="str">
        <f>"1552378240780296"</f>
        <v>1552378240780296</v>
      </c>
      <c r="C3713" t="s">
        <v>40</v>
      </c>
      <c r="D3713">
        <v>6.0469749999999998</v>
      </c>
      <c r="E3713">
        <v>0.61948499999999995</v>
      </c>
      <c r="F3713" t="s">
        <v>88</v>
      </c>
      <c r="G3713">
        <v>-212.23</v>
      </c>
      <c r="H3713">
        <v>14.6579</v>
      </c>
      <c r="I3713">
        <v>71.664289999999994</v>
      </c>
      <c r="J3713">
        <v>-189.714</v>
      </c>
      <c r="K3713">
        <v>1.1093550000000001</v>
      </c>
      <c r="L3713">
        <v>200.7337</v>
      </c>
      <c r="M3713">
        <v>0.2724684</v>
      </c>
      <c r="N3713">
        <v>0</v>
      </c>
      <c r="O3713">
        <v>-0.96208669999999996</v>
      </c>
      <c r="P3713">
        <v>0.12963920000000001</v>
      </c>
      <c r="Q3713">
        <v>-3.039567E-2</v>
      </c>
      <c r="R3713">
        <v>-0.99109519999999995</v>
      </c>
      <c r="S3713">
        <v>-0.54234309999999997</v>
      </c>
      <c r="T3713">
        <v>0.32658680000000001</v>
      </c>
      <c r="U3713">
        <v>-3.1131440000000001</v>
      </c>
      <c r="V3713">
        <v>0.14528640000000001</v>
      </c>
      <c r="W3713">
        <v>-1.8611760000000001E-2</v>
      </c>
      <c r="X3713">
        <v>0.9892145</v>
      </c>
      <c r="Y3713">
        <v>0.43274109999999999</v>
      </c>
      <c r="Z3713">
        <v>-9.2540789999999998E-2</v>
      </c>
      <c r="AA3713">
        <v>0.896756</v>
      </c>
      <c r="AB3713">
        <v>8</v>
      </c>
      <c r="AC3713">
        <v>-22.515999999999899</v>
      </c>
      <c r="AD3713">
        <v>13.548545000000001</v>
      </c>
      <c r="AE3713">
        <v>-129.06941</v>
      </c>
      <c r="AF3713">
        <v>56.232624218662203</v>
      </c>
      <c r="AG3713">
        <v>13.548545000000001</v>
      </c>
      <c r="AH3713">
        <v>116.80091872718501</v>
      </c>
      <c r="AI3713">
        <v>84.033388045439096</v>
      </c>
      <c r="AJ3713">
        <v>64.291979695823898</v>
      </c>
      <c r="AK3713">
        <v>130.33850434023199</v>
      </c>
      <c r="AL3713">
        <v>91.066436945133205</v>
      </c>
      <c r="AM3713">
        <v>81.644677494550606</v>
      </c>
      <c r="AN3713">
        <v>0.999999931322751</v>
      </c>
    </row>
    <row r="3714" spans="1:40" x14ac:dyDescent="0.25">
      <c r="A3714" t="str">
        <f>"20190312161040813"</f>
        <v>20190312161040813</v>
      </c>
      <c r="B3714" t="str">
        <f>"1552378240810552"</f>
        <v>1552378240810552</v>
      </c>
      <c r="C3714" t="s">
        <v>40</v>
      </c>
      <c r="D3714">
        <v>6.1570150000000003</v>
      </c>
      <c r="E3714">
        <v>0.61893489999999995</v>
      </c>
      <c r="F3714" t="s">
        <v>88</v>
      </c>
      <c r="G3714">
        <v>-212.22989999999999</v>
      </c>
      <c r="H3714">
        <v>14.1889</v>
      </c>
      <c r="I3714">
        <v>74.463409999999996</v>
      </c>
      <c r="J3714">
        <v>-189.6985</v>
      </c>
      <c r="K3714">
        <v>1.1093649999999999</v>
      </c>
      <c r="L3714">
        <v>200.6574</v>
      </c>
      <c r="M3714">
        <v>0.2677098</v>
      </c>
      <c r="N3714">
        <v>0</v>
      </c>
      <c r="O3714">
        <v>-0.96342190000000005</v>
      </c>
      <c r="P3714">
        <v>0.1252453</v>
      </c>
      <c r="Q3714">
        <v>-3.048449E-2</v>
      </c>
      <c r="R3714">
        <v>-0.99165760000000003</v>
      </c>
      <c r="S3714">
        <v>-0.55444340000000003</v>
      </c>
      <c r="T3714">
        <v>0.32207799999999998</v>
      </c>
      <c r="U3714">
        <v>-3.1093440000000001</v>
      </c>
      <c r="V3714">
        <v>0.14478099999999999</v>
      </c>
      <c r="W3714">
        <v>-1.870059E-2</v>
      </c>
      <c r="X3714">
        <v>0.98928700000000003</v>
      </c>
      <c r="Y3714">
        <v>0.43187710000000001</v>
      </c>
      <c r="Z3714">
        <v>-9.1581819999999994E-2</v>
      </c>
      <c r="AA3714">
        <v>0.89727080000000004</v>
      </c>
      <c r="AB3714">
        <v>8</v>
      </c>
      <c r="AC3714">
        <v>-22.531399999999898</v>
      </c>
      <c r="AD3714">
        <v>13.079535</v>
      </c>
      <c r="AE3714">
        <v>-126.193989999999</v>
      </c>
      <c r="AF3714">
        <v>54.922981102835898</v>
      </c>
      <c r="AG3714">
        <v>13.079535</v>
      </c>
      <c r="AH3714">
        <v>114.364218849333</v>
      </c>
      <c r="AI3714">
        <v>84.113891169301894</v>
      </c>
      <c r="AJ3714">
        <v>64.347530702137306</v>
      </c>
      <c r="AK3714">
        <v>127.54129779039</v>
      </c>
      <c r="AL3714">
        <v>91.071527332076798</v>
      </c>
      <c r="AM3714">
        <v>81.673936160901505</v>
      </c>
      <c r="AN3714">
        <v>1.00000000919817</v>
      </c>
    </row>
    <row r="3715" spans="1:40" x14ac:dyDescent="0.25">
      <c r="A3715" t="str">
        <f>"20190312161040833"</f>
        <v>20190312161040833</v>
      </c>
      <c r="B3715" t="str">
        <f>"1552378240830072"</f>
        <v>1552378240830072</v>
      </c>
      <c r="C3715" t="s">
        <v>40</v>
      </c>
      <c r="D3715">
        <v>5.6938219999999999</v>
      </c>
      <c r="E3715">
        <v>0.61830959999999902</v>
      </c>
      <c r="F3715" t="s">
        <v>88</v>
      </c>
      <c r="G3715">
        <v>-212.22980000000001</v>
      </c>
      <c r="H3715">
        <v>13.819900000000001</v>
      </c>
      <c r="I3715">
        <v>76.534469999999999</v>
      </c>
      <c r="J3715">
        <v>-189.68360000000001</v>
      </c>
      <c r="K3715">
        <v>1.10937</v>
      </c>
      <c r="L3715">
        <v>200.58240000000001</v>
      </c>
      <c r="M3715">
        <v>0.26307120000000001</v>
      </c>
      <c r="N3715">
        <v>0</v>
      </c>
      <c r="O3715">
        <v>-0.96469870000000002</v>
      </c>
      <c r="P3715">
        <v>0.12130290000000001</v>
      </c>
      <c r="Q3715">
        <v>-3.068158E-2</v>
      </c>
      <c r="R3715">
        <v>-0.99214139999999995</v>
      </c>
      <c r="S3715">
        <v>-0.56385799999999997</v>
      </c>
      <c r="T3715">
        <v>0.3180888</v>
      </c>
      <c r="U3715">
        <v>-3.1062470000000002</v>
      </c>
      <c r="V3715">
        <v>0.14395150000000001</v>
      </c>
      <c r="W3715">
        <v>-1.889687E-2</v>
      </c>
      <c r="X3715">
        <v>0.98940430000000001</v>
      </c>
      <c r="Y3715">
        <v>0.4303458</v>
      </c>
      <c r="Z3715">
        <v>-9.0754890000000005E-2</v>
      </c>
      <c r="AA3715">
        <v>0.89809019999999995</v>
      </c>
      <c r="AB3715">
        <v>8</v>
      </c>
      <c r="AC3715">
        <v>-22.546199999999999</v>
      </c>
      <c r="AD3715">
        <v>12.71053</v>
      </c>
      <c r="AE3715">
        <v>-124.04792999999999</v>
      </c>
      <c r="AF3715">
        <v>53.840609200356198</v>
      </c>
      <c r="AG3715">
        <v>12.71053</v>
      </c>
      <c r="AH3715">
        <v>112.60174809396101</v>
      </c>
      <c r="AI3715">
        <v>84.185179741998994</v>
      </c>
      <c r="AJ3715">
        <v>64.445170374485798</v>
      </c>
      <c r="AK3715">
        <v>125.457253460141</v>
      </c>
      <c r="AL3715">
        <v>91.0827753479671</v>
      </c>
      <c r="AM3715">
        <v>81.721943869595904</v>
      </c>
      <c r="AN3715">
        <v>0.99999999745326795</v>
      </c>
    </row>
    <row r="3716" spans="1:40" x14ac:dyDescent="0.25">
      <c r="A3716" t="str">
        <f>"20190312161040857"</f>
        <v>20190312161040857</v>
      </c>
      <c r="B3716" t="str">
        <f>"1552378240850568"</f>
        <v>1552378240850568</v>
      </c>
      <c r="C3716" t="s">
        <v>40</v>
      </c>
      <c r="D3716">
        <v>5.0697380000000001</v>
      </c>
      <c r="E3716">
        <v>0.61764640000000004</v>
      </c>
      <c r="F3716" t="s">
        <v>88</v>
      </c>
      <c r="G3716">
        <v>-212.22970000000001</v>
      </c>
      <c r="H3716">
        <v>13.486660000000001</v>
      </c>
      <c r="I3716">
        <v>78.095429999999993</v>
      </c>
      <c r="J3716">
        <v>-189.66730000000001</v>
      </c>
      <c r="K3716">
        <v>1.1093759999999999</v>
      </c>
      <c r="L3716">
        <v>200.49870000000001</v>
      </c>
      <c r="M3716">
        <v>0.25793290000000002</v>
      </c>
      <c r="N3716">
        <v>0</v>
      </c>
      <c r="O3716">
        <v>-0.96608539999999998</v>
      </c>
      <c r="P3716">
        <v>0.1160991</v>
      </c>
      <c r="Q3716">
        <v>-3.096927E-2</v>
      </c>
      <c r="R3716">
        <v>-0.99275480000000005</v>
      </c>
      <c r="S3716">
        <v>-0.57122799999999996</v>
      </c>
      <c r="T3716">
        <v>0.31359160000000003</v>
      </c>
      <c r="U3716">
        <v>-3.1033330000000001</v>
      </c>
      <c r="V3716">
        <v>0.14387049999999901</v>
      </c>
      <c r="W3716">
        <v>-1.91869E-2</v>
      </c>
      <c r="X3716">
        <v>0.98941049999999997</v>
      </c>
      <c r="Y3716">
        <v>0.4277745</v>
      </c>
      <c r="Z3716">
        <v>-8.9817519999999998E-2</v>
      </c>
      <c r="AA3716">
        <v>0.89941190000000004</v>
      </c>
      <c r="AB3716">
        <v>8</v>
      </c>
      <c r="AC3716">
        <v>-22.5624</v>
      </c>
      <c r="AD3716">
        <v>12.377284</v>
      </c>
      <c r="AE3716">
        <v>-122.403269999999</v>
      </c>
      <c r="AF3716">
        <v>52.8503893643312</v>
      </c>
      <c r="AG3716">
        <v>12.377284</v>
      </c>
      <c r="AH3716">
        <v>111.339795881035</v>
      </c>
      <c r="AI3716">
        <v>84.265183889240504</v>
      </c>
      <c r="AJ3716">
        <v>64.607404841444193</v>
      </c>
      <c r="AK3716">
        <v>123.866504600754</v>
      </c>
      <c r="AL3716">
        <v>91.099395856238402</v>
      </c>
      <c r="AM3716">
        <v>81.726588474207603</v>
      </c>
      <c r="AN3716">
        <v>0.99999999770605497</v>
      </c>
    </row>
    <row r="3717" spans="1:40" x14ac:dyDescent="0.25">
      <c r="A3717" t="str">
        <f>"20190312161040880"</f>
        <v>20190312161040880</v>
      </c>
      <c r="B3717" t="str">
        <f>"1552378240870088"</f>
        <v>1552378240870088</v>
      </c>
      <c r="C3717" t="s">
        <v>40</v>
      </c>
      <c r="D3717">
        <v>6.1464619999999996</v>
      </c>
      <c r="E3717">
        <v>0.61714630000000004</v>
      </c>
      <c r="F3717" t="s">
        <v>88</v>
      </c>
      <c r="G3717">
        <v>-212.2295</v>
      </c>
      <c r="H3717">
        <v>13.12738</v>
      </c>
      <c r="I3717">
        <v>80.263239999999996</v>
      </c>
      <c r="J3717">
        <v>-189.65170000000001</v>
      </c>
      <c r="K3717">
        <v>1.1093789999999999</v>
      </c>
      <c r="L3717">
        <v>200.41640000000001</v>
      </c>
      <c r="M3717">
        <v>0.2529267</v>
      </c>
      <c r="N3717">
        <v>0</v>
      </c>
      <c r="O3717">
        <v>-0.96740820000000005</v>
      </c>
      <c r="P3717">
        <v>0.111207399999999</v>
      </c>
      <c r="Q3717">
        <v>-3.1742510000000002E-2</v>
      </c>
      <c r="R3717">
        <v>-0.99329009999999995</v>
      </c>
      <c r="S3717">
        <v>-0.58163450000000005</v>
      </c>
      <c r="T3717">
        <v>0.30981389999999998</v>
      </c>
      <c r="U3717">
        <v>-3.099564</v>
      </c>
      <c r="V3717">
        <v>0.1436134</v>
      </c>
      <c r="W3717">
        <v>-1.9961219999999998E-2</v>
      </c>
      <c r="X3717">
        <v>0.98943250000000005</v>
      </c>
      <c r="Y3717">
        <v>0.42622549999999998</v>
      </c>
      <c r="Z3717">
        <v>-8.9057360000000002E-2</v>
      </c>
      <c r="AA3717">
        <v>0.90022250000000004</v>
      </c>
      <c r="AB3717">
        <v>8</v>
      </c>
      <c r="AC3717">
        <v>-22.5778</v>
      </c>
      <c r="AD3717">
        <v>12.0180009999999</v>
      </c>
      <c r="AE3717">
        <v>-120.15316</v>
      </c>
      <c r="AF3717">
        <v>51.735857573603496</v>
      </c>
      <c r="AG3717">
        <v>12.0180009999999</v>
      </c>
      <c r="AH3717">
        <v>109.476979388695</v>
      </c>
      <c r="AI3717">
        <v>84.3318532158073</v>
      </c>
      <c r="AJ3717">
        <v>64.705849474095899</v>
      </c>
      <c r="AK3717">
        <v>121.68089547248201</v>
      </c>
      <c r="AL3717">
        <v>91.143769663855295</v>
      </c>
      <c r="AM3717">
        <v>81.741350236489694</v>
      </c>
      <c r="AN3717">
        <v>0.99999996550984804</v>
      </c>
    </row>
    <row r="3718" spans="1:40" x14ac:dyDescent="0.25">
      <c r="A3718" t="str">
        <f>"20190312161040902"</f>
        <v>20190312161040902</v>
      </c>
      <c r="B3718" t="str">
        <f>"1552378240890584"</f>
        <v>1552378240890584</v>
      </c>
      <c r="C3718" t="s">
        <v>40</v>
      </c>
      <c r="D3718">
        <v>6.1153519999999997</v>
      </c>
      <c r="E3718">
        <v>0.61668219999999996</v>
      </c>
      <c r="F3718" t="s">
        <v>88</v>
      </c>
      <c r="G3718">
        <v>-212.2294</v>
      </c>
      <c r="H3718">
        <v>12.66174</v>
      </c>
      <c r="I3718">
        <v>82.48227</v>
      </c>
      <c r="J3718">
        <v>-189.6377</v>
      </c>
      <c r="K3718">
        <v>1.1093789999999999</v>
      </c>
      <c r="L3718">
        <v>200.3408</v>
      </c>
      <c r="M3718">
        <v>0.24836240000000001</v>
      </c>
      <c r="N3718">
        <v>0</v>
      </c>
      <c r="O3718">
        <v>-0.96859010000000001</v>
      </c>
      <c r="P3718">
        <v>0.106392</v>
      </c>
      <c r="Q3718">
        <v>-3.195489E-2</v>
      </c>
      <c r="R3718">
        <v>-0.99381079999999999</v>
      </c>
      <c r="S3718">
        <v>-0.59277340000000001</v>
      </c>
      <c r="T3718">
        <v>0.30330600000000002</v>
      </c>
      <c r="U3718">
        <v>-3.0963440000000002</v>
      </c>
      <c r="V3718">
        <v>0.1437418</v>
      </c>
      <c r="W3718">
        <v>-2.0175060000000002E-2</v>
      </c>
      <c r="X3718">
        <v>0.9894096</v>
      </c>
      <c r="Y3718">
        <v>0.42528949999999999</v>
      </c>
      <c r="Z3718">
        <v>-8.7457370000000006E-2</v>
      </c>
      <c r="AA3718">
        <v>0.90082189999999995</v>
      </c>
      <c r="AB3718">
        <v>8</v>
      </c>
      <c r="AC3718">
        <v>-22.591699999999999</v>
      </c>
      <c r="AD3718">
        <v>11.552360999999999</v>
      </c>
      <c r="AE3718">
        <v>-117.85853</v>
      </c>
      <c r="AF3718">
        <v>50.687810485841503</v>
      </c>
      <c r="AG3718">
        <v>11.552360999999999</v>
      </c>
      <c r="AH3718">
        <v>107.557030353592</v>
      </c>
      <c r="AI3718">
        <v>84.450652023928996</v>
      </c>
      <c r="AJ3718">
        <v>64.767162324914096</v>
      </c>
      <c r="AK3718">
        <v>119.462236522704</v>
      </c>
      <c r="AL3718">
        <v>91.156024167075998</v>
      </c>
      <c r="AM3718">
        <v>81.7338797612408</v>
      </c>
      <c r="AN3718">
        <v>1.0000000473427</v>
      </c>
    </row>
    <row r="3719" spans="1:40" x14ac:dyDescent="0.25">
      <c r="A3719" t="str">
        <f>"20190312161040923"</f>
        <v>20190312161040923</v>
      </c>
      <c r="B3719" t="str">
        <f>"1552378240919864"</f>
        <v>1552378240919864</v>
      </c>
      <c r="C3719" t="s">
        <v>40</v>
      </c>
      <c r="D3719">
        <v>6.1623640000000002</v>
      </c>
      <c r="E3719">
        <v>0.61594589999999905</v>
      </c>
      <c r="F3719" t="s">
        <v>88</v>
      </c>
      <c r="G3719">
        <v>-212.22919999999999</v>
      </c>
      <c r="H3719">
        <v>12.272690000000001</v>
      </c>
      <c r="I3719">
        <v>84.632739999999998</v>
      </c>
      <c r="J3719">
        <v>-189.6242</v>
      </c>
      <c r="K3719">
        <v>1.109389</v>
      </c>
      <c r="L3719">
        <v>200.26589999999999</v>
      </c>
      <c r="M3719">
        <v>0.2438823</v>
      </c>
      <c r="N3719">
        <v>0</v>
      </c>
      <c r="O3719">
        <v>-0.96972789999999998</v>
      </c>
      <c r="P3719">
        <v>0.10200380000000001</v>
      </c>
      <c r="Q3719">
        <v>-3.1522420000000002E-2</v>
      </c>
      <c r="R3719">
        <v>-0.99428470000000002</v>
      </c>
      <c r="S3719">
        <v>-0.60388180000000002</v>
      </c>
      <c r="T3719">
        <v>0.29840050000000001</v>
      </c>
      <c r="U3719">
        <v>-3.0929259999999998</v>
      </c>
      <c r="V3719">
        <v>0.1435408</v>
      </c>
      <c r="W3719">
        <v>-1.9741970000000001E-2</v>
      </c>
      <c r="X3719">
        <v>0.98944750000000004</v>
      </c>
      <c r="Y3719">
        <v>0.42443320000000001</v>
      </c>
      <c r="Z3719">
        <v>-8.6301950000000002E-2</v>
      </c>
      <c r="AA3719">
        <v>0.90133700000000005</v>
      </c>
      <c r="AB3719">
        <v>8</v>
      </c>
      <c r="AC3719">
        <v>-22.604999999999901</v>
      </c>
      <c r="AD3719">
        <v>11.163301000000001</v>
      </c>
      <c r="AE3719">
        <v>-115.63316</v>
      </c>
      <c r="AF3719">
        <v>49.679347161852597</v>
      </c>
      <c r="AG3719">
        <v>11.163301000000001</v>
      </c>
      <c r="AH3719">
        <v>105.679014061947</v>
      </c>
      <c r="AI3719">
        <v>84.5392470666836</v>
      </c>
      <c r="AJ3719">
        <v>64.821941419418906</v>
      </c>
      <c r="AK3719">
        <v>117.306056266288</v>
      </c>
      <c r="AL3719">
        <v>91.131205013697695</v>
      </c>
      <c r="AM3719">
        <v>81.745591050671806</v>
      </c>
      <c r="AN3719">
        <v>1.00000003095018</v>
      </c>
    </row>
    <row r="3720" spans="1:40" x14ac:dyDescent="0.25">
      <c r="A3720" t="str">
        <f>"20190312161040948"</f>
        <v>20190312161040948</v>
      </c>
      <c r="B3720" t="str">
        <f>"1552378240940361"</f>
        <v>1552378240940361</v>
      </c>
      <c r="C3720" t="s">
        <v>40</v>
      </c>
      <c r="D3720">
        <v>6.0604079999999998</v>
      </c>
      <c r="E3720">
        <v>0.60606019999999905</v>
      </c>
      <c r="F3720" t="s">
        <v>88</v>
      </c>
      <c r="G3720">
        <v>-212.22909999999999</v>
      </c>
      <c r="H3720">
        <v>11.95134</v>
      </c>
      <c r="I3720">
        <v>86.004400000000004</v>
      </c>
      <c r="J3720">
        <v>-189.60929999999999</v>
      </c>
      <c r="K3720">
        <v>1.1093949999999999</v>
      </c>
      <c r="L3720">
        <v>200.1814</v>
      </c>
      <c r="M3720">
        <v>0.2388767</v>
      </c>
      <c r="N3720">
        <v>0</v>
      </c>
      <c r="O3720">
        <v>-0.97097330000000004</v>
      </c>
      <c r="P3720">
        <v>9.6713149999999998E-2</v>
      </c>
      <c r="Q3720">
        <v>-3.2073039999999997E-2</v>
      </c>
      <c r="R3720">
        <v>-0.99479589999999996</v>
      </c>
      <c r="S3720">
        <v>-0.61116029999999999</v>
      </c>
      <c r="T3720">
        <v>0.29312919999999998</v>
      </c>
      <c r="U3720">
        <v>-3.0892330000000001</v>
      </c>
      <c r="V3720">
        <v>0.1436954</v>
      </c>
      <c r="W3720">
        <v>-2.0293390000000001E-2</v>
      </c>
      <c r="X3720">
        <v>0.98941389999999996</v>
      </c>
      <c r="Y3720">
        <v>0.42203479999999999</v>
      </c>
      <c r="Z3720">
        <v>-8.5099110000000006E-2</v>
      </c>
      <c r="AA3720">
        <v>0.90257670000000001</v>
      </c>
      <c r="AB3720">
        <v>8</v>
      </c>
      <c r="AC3720">
        <v>-22.619800000000001</v>
      </c>
      <c r="AD3720">
        <v>10.841945000000001</v>
      </c>
      <c r="AE3720">
        <v>-114.17700000000001</v>
      </c>
      <c r="AF3720">
        <v>48.817550915308097</v>
      </c>
      <c r="AG3720">
        <v>10.841945000000001</v>
      </c>
      <c r="AH3720">
        <v>104.560119106107</v>
      </c>
      <c r="AI3720">
        <v>84.632521190827106</v>
      </c>
      <c r="AJ3720">
        <v>64.972835049361095</v>
      </c>
      <c r="AK3720">
        <v>115.90306103047899</v>
      </c>
      <c r="AL3720">
        <v>91.162805387659105</v>
      </c>
      <c r="AM3720">
        <v>81.736546636201993</v>
      </c>
      <c r="AN3720">
        <v>1.0000000275860299</v>
      </c>
    </row>
    <row r="3721" spans="1:40" x14ac:dyDescent="0.25">
      <c r="A3721" t="str">
        <f>"20190312161040969"</f>
        <v>20190312161040969</v>
      </c>
      <c r="B3721" t="str">
        <f>"1552378240959880"</f>
        <v>1552378240959880</v>
      </c>
      <c r="C3721" t="s">
        <v>40</v>
      </c>
      <c r="D3721">
        <v>6.1076930000000003</v>
      </c>
      <c r="E3721">
        <v>0.60433630000000005</v>
      </c>
      <c r="F3721" t="s">
        <v>88</v>
      </c>
      <c r="G3721">
        <v>-211.3888</v>
      </c>
      <c r="H3721">
        <v>5.5253449999999997</v>
      </c>
      <c r="I3721">
        <v>78.499930000000006</v>
      </c>
      <c r="J3721">
        <v>-189.59559999999999</v>
      </c>
      <c r="K3721">
        <v>1.109405</v>
      </c>
      <c r="L3721">
        <v>200.1019</v>
      </c>
      <c r="M3721">
        <v>0.23421990000000001</v>
      </c>
      <c r="N3721">
        <v>0</v>
      </c>
      <c r="O3721">
        <v>-0.9721069</v>
      </c>
      <c r="P3721">
        <v>9.2326370000000005E-2</v>
      </c>
      <c r="Q3721">
        <v>-3.3003409999999997E-2</v>
      </c>
      <c r="R3721">
        <v>-0.99518189999999995</v>
      </c>
      <c r="S3721">
        <v>-0.54998780000000003</v>
      </c>
      <c r="T3721">
        <v>0.1115141</v>
      </c>
      <c r="U3721">
        <v>-3.0727540000000002</v>
      </c>
      <c r="V3721">
        <v>0.14330670000000001</v>
      </c>
      <c r="W3721">
        <v>-2.122288E-2</v>
      </c>
      <c r="X3721">
        <v>0.98945079999999996</v>
      </c>
      <c r="Y3721">
        <v>0.40175529999999998</v>
      </c>
      <c r="Z3721">
        <v>-3.2953919999999998E-2</v>
      </c>
      <c r="AA3721">
        <v>0.91515389999999996</v>
      </c>
      <c r="AB3721">
        <v>8</v>
      </c>
      <c r="AC3721">
        <v>-21.793199999999999</v>
      </c>
      <c r="AD3721">
        <v>4.41594</v>
      </c>
      <c r="AE3721">
        <v>-121.60196999999999</v>
      </c>
      <c r="AF3721">
        <v>49.607243126701903</v>
      </c>
      <c r="AG3721">
        <v>4.41594</v>
      </c>
      <c r="AH3721">
        <v>112.969808678083</v>
      </c>
      <c r="AI3721">
        <v>87.950209238179397</v>
      </c>
      <c r="AJ3721">
        <v>66.292786600613297</v>
      </c>
      <c r="AK3721">
        <v>123.46074991461001</v>
      </c>
      <c r="AL3721">
        <v>91.216072688670394</v>
      </c>
      <c r="AM3721">
        <v>81.758895180493894</v>
      </c>
      <c r="AN3721">
        <v>1.00000005326051</v>
      </c>
    </row>
    <row r="3722" spans="1:40" x14ac:dyDescent="0.25">
      <c r="A3722" t="str">
        <f>"20190312161040993"</f>
        <v>20190312161040993</v>
      </c>
      <c r="B3722" t="str">
        <f>"1552378240990136"</f>
        <v>1552378240990136</v>
      </c>
      <c r="C3722" t="s">
        <v>40</v>
      </c>
      <c r="D3722">
        <v>6.0437839999999996</v>
      </c>
      <c r="E3722">
        <v>0.60430899999999999</v>
      </c>
      <c r="F3722" t="s">
        <v>88</v>
      </c>
      <c r="G3722">
        <v>-210.72800000000001</v>
      </c>
      <c r="H3722">
        <v>5.525563</v>
      </c>
      <c r="I3722">
        <v>82.136949999999999</v>
      </c>
      <c r="J3722">
        <v>-189.58179999999999</v>
      </c>
      <c r="K3722">
        <v>1.10941</v>
      </c>
      <c r="L3722">
        <v>200.02</v>
      </c>
      <c r="M3722">
        <v>0.22945380000000001</v>
      </c>
      <c r="N3722">
        <v>0</v>
      </c>
      <c r="O3722">
        <v>-0.97324310000000003</v>
      </c>
      <c r="P3722">
        <v>8.7760340000000006E-2</v>
      </c>
      <c r="Q3722">
        <v>-3.3705569999999997E-2</v>
      </c>
      <c r="R3722">
        <v>-0.99557169999999895</v>
      </c>
      <c r="S3722">
        <v>-0.54985050000000002</v>
      </c>
      <c r="T3722">
        <v>0.1149054</v>
      </c>
      <c r="U3722">
        <v>-3.0693510000000002</v>
      </c>
      <c r="V3722">
        <v>0.1429908</v>
      </c>
      <c r="W3722">
        <v>-2.1925699999999999E-2</v>
      </c>
      <c r="X3722">
        <v>0.98948119999999995</v>
      </c>
      <c r="Y3722">
        <v>0.3973932</v>
      </c>
      <c r="Z3722">
        <v>-3.4091059999999999E-2</v>
      </c>
      <c r="AA3722">
        <v>0.91701500000000002</v>
      </c>
      <c r="AB3722">
        <v>8</v>
      </c>
      <c r="AC3722">
        <v>-21.1462</v>
      </c>
      <c r="AD3722">
        <v>4.4161530000000004</v>
      </c>
      <c r="AE3722">
        <v>-117.88305</v>
      </c>
      <c r="AF3722">
        <v>47.5679751982318</v>
      </c>
      <c r="AG3722">
        <v>4.4161530000000004</v>
      </c>
      <c r="AH3722">
        <v>109.73576253296901</v>
      </c>
      <c r="AI3722">
        <v>87.885387097351597</v>
      </c>
      <c r="AJ3722">
        <v>66.564357145272098</v>
      </c>
      <c r="AK3722">
        <v>119.683550458997</v>
      </c>
      <c r="AL3722">
        <v>91.256350654357107</v>
      </c>
      <c r="AM3722">
        <v>81.777062045903094</v>
      </c>
      <c r="AN3722">
        <v>1.0000000751792799</v>
      </c>
    </row>
    <row r="3723" spans="1:40" x14ac:dyDescent="0.25">
      <c r="A3723" t="str">
        <f>"20190312161041011"</f>
        <v>20190312161041011</v>
      </c>
      <c r="B3723" t="str">
        <f>"1552378240999896"</f>
        <v>1552378240999896</v>
      </c>
      <c r="C3723" t="s">
        <v>40</v>
      </c>
      <c r="D3723">
        <v>6.0828819999999997</v>
      </c>
      <c r="E3723">
        <v>0.60442949999999995</v>
      </c>
      <c r="F3723" t="s">
        <v>88</v>
      </c>
      <c r="G3723">
        <v>-210.47579999999999</v>
      </c>
      <c r="H3723">
        <v>6.2464639999999996</v>
      </c>
      <c r="I3723">
        <v>86.195709999999906</v>
      </c>
      <c r="J3723">
        <v>-189.57089999999999</v>
      </c>
      <c r="K3723">
        <v>1.109407</v>
      </c>
      <c r="L3723">
        <v>199.95320000000001</v>
      </c>
      <c r="M3723">
        <v>0.2256001</v>
      </c>
      <c r="N3723">
        <v>0</v>
      </c>
      <c r="O3723">
        <v>-0.97414369999999995</v>
      </c>
      <c r="P3723">
        <v>8.5066939999999994E-2</v>
      </c>
      <c r="Q3723">
        <v>-3.3716299999999998E-2</v>
      </c>
      <c r="R3723">
        <v>-0.99580500000000005</v>
      </c>
      <c r="S3723">
        <v>-0.56311040000000001</v>
      </c>
      <c r="T3723">
        <v>0.1384485</v>
      </c>
      <c r="U3723">
        <v>-3.0676570000000001</v>
      </c>
      <c r="V3723">
        <v>0.14175160000000001</v>
      </c>
      <c r="W3723">
        <v>-2.1933390000000001E-2</v>
      </c>
      <c r="X3723">
        <v>0.98965919999999996</v>
      </c>
      <c r="Y3723">
        <v>0.39763530000000002</v>
      </c>
      <c r="Z3723">
        <v>-4.112826E-2</v>
      </c>
      <c r="AA3723">
        <v>0.91662129999999997</v>
      </c>
      <c r="AB3723">
        <v>8</v>
      </c>
      <c r="AC3723">
        <v>-20.904900000000001</v>
      </c>
      <c r="AD3723">
        <v>5.1370570000000004</v>
      </c>
      <c r="AE3723">
        <v>-113.75749</v>
      </c>
      <c r="AF3723">
        <v>45.940874946541399</v>
      </c>
      <c r="AG3723">
        <v>5.1370570000000004</v>
      </c>
      <c r="AH3723">
        <v>105.89898221525399</v>
      </c>
      <c r="AI3723">
        <v>87.451912263689806</v>
      </c>
      <c r="AJ3723">
        <v>66.547936501024395</v>
      </c>
      <c r="AK3723">
        <v>115.548897786616</v>
      </c>
      <c r="AL3723">
        <v>91.256791508471593</v>
      </c>
      <c r="AM3723">
        <v>81.848808963837598</v>
      </c>
      <c r="AN3723">
        <v>0.99999996092204502</v>
      </c>
    </row>
    <row r="3724" spans="1:40" x14ac:dyDescent="0.25">
      <c r="A3724" t="str">
        <f>"20190312161041036"</f>
        <v>20190312161041036</v>
      </c>
      <c r="B3724" t="str">
        <f>"1552378241030153"</f>
        <v>1552378241030153</v>
      </c>
      <c r="C3724" t="s">
        <v>40</v>
      </c>
      <c r="D3724">
        <v>5.889049</v>
      </c>
      <c r="E3724">
        <v>0.60458990000000001</v>
      </c>
      <c r="F3724" t="s">
        <v>88</v>
      </c>
      <c r="G3724">
        <v>-210.47579999999999</v>
      </c>
      <c r="H3724">
        <v>6.3298360000000002</v>
      </c>
      <c r="I3724">
        <v>87.905029999999996</v>
      </c>
      <c r="J3724">
        <v>-189.55629999999999</v>
      </c>
      <c r="K3724">
        <v>1.1094029999999999</v>
      </c>
      <c r="L3724">
        <v>199.86189999999999</v>
      </c>
      <c r="M3724">
        <v>0.22037019999999999</v>
      </c>
      <c r="N3724">
        <v>0</v>
      </c>
      <c r="O3724">
        <v>-0.97533990000000004</v>
      </c>
      <c r="P3724">
        <v>8.0734029999999998E-2</v>
      </c>
      <c r="Q3724">
        <v>-3.4098429999999999E-2</v>
      </c>
      <c r="R3724">
        <v>-0.99615220000000004</v>
      </c>
      <c r="S3724">
        <v>-0.57209779999999999</v>
      </c>
      <c r="T3724">
        <v>0.14286589999999999</v>
      </c>
      <c r="U3724">
        <v>-3.066376</v>
      </c>
      <c r="V3724">
        <v>0.14074400000000001</v>
      </c>
      <c r="W3724">
        <v>-2.2313969999999999E-2</v>
      </c>
      <c r="X3724">
        <v>0.98979459999999997</v>
      </c>
      <c r="Y3724">
        <v>0.39536579999999999</v>
      </c>
      <c r="Z3724">
        <v>-4.2550049999999999E-2</v>
      </c>
      <c r="AA3724">
        <v>0.91753770000000001</v>
      </c>
      <c r="AB3724">
        <v>8</v>
      </c>
      <c r="AC3724">
        <v>-20.919499999999999</v>
      </c>
      <c r="AD3724">
        <v>5.2204329999999999</v>
      </c>
      <c r="AE3724">
        <v>-111.956869999999</v>
      </c>
      <c r="AF3724">
        <v>44.984432404855703</v>
      </c>
      <c r="AG3724">
        <v>5.2204329999999999</v>
      </c>
      <c r="AH3724">
        <v>104.374482073289</v>
      </c>
      <c r="AI3724">
        <v>87.370140347662797</v>
      </c>
      <c r="AJ3724">
        <v>66.684406561393203</v>
      </c>
      <c r="AK3724">
        <v>113.775588715514</v>
      </c>
      <c r="AL3724">
        <v>91.278602338083104</v>
      </c>
      <c r="AM3724">
        <v>81.907071419055399</v>
      </c>
      <c r="AN3724">
        <v>1.0000000684911501</v>
      </c>
    </row>
    <row r="3725" spans="1:40" x14ac:dyDescent="0.25">
      <c r="A3725" t="str">
        <f>"20190312161041058"</f>
        <v>20190312161041058</v>
      </c>
      <c r="B3725" t="str">
        <f>"1552378241050648"</f>
        <v>1552378241050648</v>
      </c>
      <c r="C3725" t="s">
        <v>40</v>
      </c>
      <c r="D3725">
        <v>6.0208180000000002</v>
      </c>
      <c r="E3725">
        <v>0.60546199999999994</v>
      </c>
      <c r="F3725" t="s">
        <v>88</v>
      </c>
      <c r="G3725">
        <v>-210.476</v>
      </c>
      <c r="H3725">
        <v>6.6889390000000004</v>
      </c>
      <c r="I3725">
        <v>90.531649999999999</v>
      </c>
      <c r="J3725">
        <v>-189.54470000000001</v>
      </c>
      <c r="K3725">
        <v>1.1094079999999999</v>
      </c>
      <c r="L3725">
        <v>199.78700000000001</v>
      </c>
      <c r="M3725">
        <v>0.21612190000000001</v>
      </c>
      <c r="N3725">
        <v>0</v>
      </c>
      <c r="O3725">
        <v>-0.97629030000000006</v>
      </c>
      <c r="P3725">
        <v>7.7584529999999999E-2</v>
      </c>
      <c r="Q3725">
        <v>-3.4503199999999998E-2</v>
      </c>
      <c r="R3725">
        <v>-0.99638859999999996</v>
      </c>
      <c r="S3725">
        <v>-0.58636469999999996</v>
      </c>
      <c r="T3725">
        <v>0.15639129999999901</v>
      </c>
      <c r="U3725">
        <v>-3.0644529999999999</v>
      </c>
      <c r="V3725">
        <v>0.1395605</v>
      </c>
      <c r="W3725">
        <v>-2.2715450000000002E-2</v>
      </c>
      <c r="X3725">
        <v>0.98995299999999997</v>
      </c>
      <c r="Y3725">
        <v>0.39555869999999999</v>
      </c>
      <c r="Z3725">
        <v>-4.6647580000000001E-2</v>
      </c>
      <c r="AA3725">
        <v>0.9172553</v>
      </c>
      <c r="AB3725">
        <v>8</v>
      </c>
      <c r="AC3725">
        <v>-20.9313</v>
      </c>
      <c r="AD3725">
        <v>5.5795309999999896</v>
      </c>
      <c r="AE3725">
        <v>-109.25535000000001</v>
      </c>
      <c r="AF3725">
        <v>43.940231947155397</v>
      </c>
      <c r="AG3725">
        <v>5.5795309999999896</v>
      </c>
      <c r="AH3725">
        <v>101.89248583653399</v>
      </c>
      <c r="AI3725">
        <v>87.121435938735402</v>
      </c>
      <c r="AJ3725">
        <v>66.672306875592099</v>
      </c>
      <c r="AK3725">
        <v>111.10334747296299</v>
      </c>
      <c r="AL3725">
        <v>91.301611324243794</v>
      </c>
      <c r="AM3725">
        <v>81.975500993790703</v>
      </c>
      <c r="AN3725">
        <v>1.00000003351897</v>
      </c>
    </row>
    <row r="3726" spans="1:40" x14ac:dyDescent="0.25">
      <c r="A3726" t="str">
        <f>"20190312161041080"</f>
        <v>20190312161041080</v>
      </c>
      <c r="B3726" t="str">
        <f>"1552378241070168"</f>
        <v>1552378241070168</v>
      </c>
      <c r="C3726" t="s">
        <v>40</v>
      </c>
      <c r="D3726">
        <v>5.8243739999999997</v>
      </c>
      <c r="E3726">
        <v>0.60475669999999904</v>
      </c>
      <c r="F3726" t="s">
        <v>88</v>
      </c>
      <c r="G3726">
        <v>-210.476</v>
      </c>
      <c r="H3726">
        <v>6.9414899999999902</v>
      </c>
      <c r="I3726">
        <v>93.444630000000004</v>
      </c>
      <c r="J3726">
        <v>-189.53299999999999</v>
      </c>
      <c r="K3726">
        <v>1.109413</v>
      </c>
      <c r="L3726">
        <v>199.71039999999999</v>
      </c>
      <c r="M3726">
        <v>0.21181069999999999</v>
      </c>
      <c r="N3726">
        <v>0</v>
      </c>
      <c r="O3726">
        <v>-0.97723470000000001</v>
      </c>
      <c r="P3726">
        <v>7.4746129999999994E-2</v>
      </c>
      <c r="Q3726">
        <v>-3.5004279999999999E-2</v>
      </c>
      <c r="R3726">
        <v>-0.99658829999999998</v>
      </c>
      <c r="S3726">
        <v>-0.60301210000000005</v>
      </c>
      <c r="T3726">
        <v>0.1680169</v>
      </c>
      <c r="U3726">
        <v>-3.0636139999999998</v>
      </c>
      <c r="V3726">
        <v>0.13800699999999999</v>
      </c>
      <c r="W3726">
        <v>-2.3210999999999999E-2</v>
      </c>
      <c r="X3726">
        <v>0.99015920000000002</v>
      </c>
      <c r="Y3726">
        <v>0.3963199</v>
      </c>
      <c r="Z3726">
        <v>-5.0161539999999998E-2</v>
      </c>
      <c r="AA3726">
        <v>0.91674120000000003</v>
      </c>
      <c r="AB3726">
        <v>8</v>
      </c>
      <c r="AC3726">
        <v>-20.943000000000001</v>
      </c>
      <c r="AD3726">
        <v>5.8320769999999902</v>
      </c>
      <c r="AE3726">
        <v>-106.26577</v>
      </c>
      <c r="AF3726">
        <v>42.853396287484401</v>
      </c>
      <c r="AG3726">
        <v>5.8320769999999902</v>
      </c>
      <c r="AH3726">
        <v>99.130610913412497</v>
      </c>
      <c r="AI3726">
        <v>86.908895577813794</v>
      </c>
      <c r="AJ3726">
        <v>66.621545115915296</v>
      </c>
      <c r="AK3726">
        <v>108.154078589633</v>
      </c>
      <c r="AL3726">
        <v>91.330011831209006</v>
      </c>
      <c r="AM3726">
        <v>82.065311936911996</v>
      </c>
      <c r="AN3726">
        <v>0.99999996195731899</v>
      </c>
    </row>
    <row r="3727" spans="1:40" x14ac:dyDescent="0.25">
      <c r="A3727" t="str">
        <f>"20190312161041101"</f>
        <v>20190312161041101</v>
      </c>
      <c r="B3727" t="str">
        <f>"1552378241090664"</f>
        <v>1552378241090664</v>
      </c>
      <c r="C3727" t="s">
        <v>40</v>
      </c>
      <c r="D3727">
        <v>6.0701309999999999</v>
      </c>
      <c r="E3727">
        <v>0.6043172</v>
      </c>
      <c r="F3727" t="s">
        <v>88</v>
      </c>
      <c r="G3727">
        <v>-210.4759</v>
      </c>
      <c r="H3727">
        <v>6.6624129999999999</v>
      </c>
      <c r="I3727">
        <v>93.923190000000005</v>
      </c>
      <c r="J3727">
        <v>-189.5222</v>
      </c>
      <c r="K3727">
        <v>1.109426</v>
      </c>
      <c r="L3727">
        <v>199.6371</v>
      </c>
      <c r="M3727">
        <v>0.20772930000000001</v>
      </c>
      <c r="N3727">
        <v>0</v>
      </c>
      <c r="O3727">
        <v>-0.97811049999999999</v>
      </c>
      <c r="P3727">
        <v>7.2411199999999995E-2</v>
      </c>
      <c r="Q3727">
        <v>-3.4678569999999999E-2</v>
      </c>
      <c r="R3727">
        <v>-0.99677210000000005</v>
      </c>
      <c r="S3727">
        <v>-0.60606380000000004</v>
      </c>
      <c r="T3727">
        <v>0.1606979</v>
      </c>
      <c r="U3727">
        <v>-3.061356</v>
      </c>
      <c r="V3727">
        <v>0.1361974</v>
      </c>
      <c r="W3727">
        <v>-2.2877419999999999E-2</v>
      </c>
      <c r="X3727">
        <v>0.99041749999999995</v>
      </c>
      <c r="Y3727">
        <v>0.39351510000000001</v>
      </c>
      <c r="Z3727">
        <v>-4.811265E-2</v>
      </c>
      <c r="AA3727">
        <v>0.91805829999999999</v>
      </c>
      <c r="AB3727">
        <v>8</v>
      </c>
      <c r="AC3727">
        <v>-20.953700000000001</v>
      </c>
      <c r="AD3727">
        <v>5.5529869999999999</v>
      </c>
      <c r="AE3727">
        <v>-105.71391</v>
      </c>
      <c r="AF3727">
        <v>42.3456360123675</v>
      </c>
      <c r="AG3727">
        <v>5.5529869999999999</v>
      </c>
      <c r="AH3727">
        <v>98.792250838817594</v>
      </c>
      <c r="AI3727">
        <v>87.0425677492061</v>
      </c>
      <c r="AJ3727">
        <v>66.798420777623207</v>
      </c>
      <c r="AK3727">
        <v>107.62851564392101</v>
      </c>
      <c r="AL3727">
        <v>91.310894021896303</v>
      </c>
      <c r="AM3727">
        <v>82.170072196123996</v>
      </c>
      <c r="AN3727">
        <v>0.99999996620943199</v>
      </c>
    </row>
    <row r="3728" spans="1:40" x14ac:dyDescent="0.25">
      <c r="A3728" t="str">
        <f>"20190312161041124"</f>
        <v>20190312161041124</v>
      </c>
      <c r="B3728" t="str">
        <f>"1552378241119944"</f>
        <v>1552378241119944</v>
      </c>
      <c r="C3728" t="s">
        <v>40</v>
      </c>
      <c r="D3728">
        <v>5.8865069999999999</v>
      </c>
      <c r="E3728">
        <v>0.56957939999999996</v>
      </c>
      <c r="F3728" t="s">
        <v>88</v>
      </c>
      <c r="G3728">
        <v>-210.4759</v>
      </c>
      <c r="H3728">
        <v>6.6013859999999998</v>
      </c>
      <c r="I3728">
        <v>94.440209999999993</v>
      </c>
      <c r="J3728">
        <v>-189.51050000000001</v>
      </c>
      <c r="K3728">
        <v>1.109443</v>
      </c>
      <c r="L3728">
        <v>199.5558</v>
      </c>
      <c r="M3728">
        <v>0.20325360000000001</v>
      </c>
      <c r="N3728">
        <v>0</v>
      </c>
      <c r="O3728">
        <v>-0.97905059999999999</v>
      </c>
      <c r="P3728">
        <v>6.9888729999999996E-2</v>
      </c>
      <c r="Q3728">
        <v>-3.4441479999999997E-2</v>
      </c>
      <c r="R3728">
        <v>-0.99696030000000002</v>
      </c>
      <c r="S3728">
        <v>-0.60942079999999998</v>
      </c>
      <c r="T3728">
        <v>0.15972939999999999</v>
      </c>
      <c r="U3728">
        <v>-3.059555</v>
      </c>
      <c r="V3728">
        <v>0.1341774</v>
      </c>
      <c r="W3728">
        <v>-2.2631149999999999E-2</v>
      </c>
      <c r="X3728">
        <v>0.99069890000000005</v>
      </c>
      <c r="Y3728">
        <v>0.39038289999999998</v>
      </c>
      <c r="Z3728">
        <v>-4.7953820000000001E-2</v>
      </c>
      <c r="AA3728">
        <v>0.91940290000000002</v>
      </c>
      <c r="AB3728">
        <v>8</v>
      </c>
      <c r="AC3728">
        <v>-20.965399999999899</v>
      </c>
      <c r="AD3728">
        <v>5.491943</v>
      </c>
      <c r="AE3728">
        <v>-105.11559</v>
      </c>
      <c r="AF3728">
        <v>41.7847110005914</v>
      </c>
      <c r="AG3728">
        <v>5.491943</v>
      </c>
      <c r="AH3728">
        <v>98.401153586097394</v>
      </c>
      <c r="AI3728">
        <v>87.0591850752173</v>
      </c>
      <c r="AJ3728">
        <v>66.992156126595304</v>
      </c>
      <c r="AK3728">
        <v>107.046300909433</v>
      </c>
      <c r="AL3728">
        <v>91.296780056605797</v>
      </c>
      <c r="AM3728">
        <v>82.286957133122399</v>
      </c>
      <c r="AN3728">
        <v>1.00000002704114</v>
      </c>
    </row>
    <row r="3729" spans="1:40" x14ac:dyDescent="0.25">
      <c r="A3729" t="str">
        <f>"20190312161041148"</f>
        <v>20190312161041148</v>
      </c>
      <c r="B3729" t="str">
        <f>"1552378241140440"</f>
        <v>1552378241140440</v>
      </c>
      <c r="C3729" t="s">
        <v>40</v>
      </c>
      <c r="D3729">
        <v>5.9578030000000002</v>
      </c>
      <c r="E3729">
        <v>0.55410959999999998</v>
      </c>
      <c r="F3729" t="s">
        <v>51</v>
      </c>
      <c r="G3729">
        <v>-203.34100000000001</v>
      </c>
      <c r="H3729">
        <v>7.5569490000000004</v>
      </c>
      <c r="I3729">
        <v>76.21463</v>
      </c>
      <c r="J3729">
        <v>-189.499</v>
      </c>
      <c r="K3729">
        <v>1.1094569999999999</v>
      </c>
      <c r="L3729">
        <v>199.4735</v>
      </c>
      <c r="M3729">
        <v>0.1987873</v>
      </c>
      <c r="N3729">
        <v>0</v>
      </c>
      <c r="O3729">
        <v>-0.97996709999999998</v>
      </c>
      <c r="P3729">
        <v>6.6487519999999994E-2</v>
      </c>
      <c r="Q3729">
        <v>-3.5032470000000003E-2</v>
      </c>
      <c r="R3729">
        <v>-0.99717199999999995</v>
      </c>
      <c r="S3729">
        <v>-0.3407135</v>
      </c>
      <c r="T3729">
        <v>0.15883369999999999</v>
      </c>
      <c r="U3729">
        <v>-3.0384980000000001</v>
      </c>
      <c r="V3729">
        <v>0.13303570000000001</v>
      </c>
      <c r="W3729">
        <v>-2.321637E-2</v>
      </c>
      <c r="X3729">
        <v>0.99083929999999998</v>
      </c>
      <c r="Y3729">
        <v>0.30662919999999999</v>
      </c>
      <c r="Z3729">
        <v>-4.9222839999999997E-2</v>
      </c>
      <c r="AA3729">
        <v>0.95055540000000005</v>
      </c>
      <c r="AB3729">
        <v>8</v>
      </c>
      <c r="AC3729">
        <v>-13.841999999999899</v>
      </c>
      <c r="AD3729">
        <v>6.4474919999999996</v>
      </c>
      <c r="AE3729">
        <v>-123.25887</v>
      </c>
      <c r="AF3729">
        <v>37.967230092595997</v>
      </c>
      <c r="AG3729">
        <v>6.4474919999999996</v>
      </c>
      <c r="AH3729">
        <v>117.728649450983</v>
      </c>
      <c r="AI3729">
        <v>87.016314997691197</v>
      </c>
      <c r="AJ3729">
        <v>72.125602963860402</v>
      </c>
      <c r="AK3729">
        <v>123.867330703243</v>
      </c>
      <c r="AL3729">
        <v>91.3303195314042</v>
      </c>
      <c r="AM3729">
        <v>82.352877322740099</v>
      </c>
      <c r="AN3729">
        <v>1.00000000786747</v>
      </c>
    </row>
    <row r="3730" spans="1:40" x14ac:dyDescent="0.25">
      <c r="A3730" t="str">
        <f>"20190312161041172"</f>
        <v>20190312161041172</v>
      </c>
      <c r="B3730" t="str">
        <f>"1552378241170696"</f>
        <v>1552378241170696</v>
      </c>
      <c r="C3730" t="s">
        <v>40</v>
      </c>
      <c r="D3730">
        <v>5.8993140000000004</v>
      </c>
      <c r="E3730">
        <v>0.54899999999999904</v>
      </c>
      <c r="F3730" t="s">
        <v>58</v>
      </c>
      <c r="G3730">
        <v>-210.7431</v>
      </c>
      <c r="H3730">
        <v>10.200229999999999</v>
      </c>
      <c r="I3730">
        <v>-81.818539999999999</v>
      </c>
      <c r="J3730">
        <v>-189.48699999999999</v>
      </c>
      <c r="K3730">
        <v>1.1094679999999999</v>
      </c>
      <c r="L3730">
        <v>199.38570000000001</v>
      </c>
      <c r="M3730">
        <v>0.1940759</v>
      </c>
      <c r="N3730">
        <v>0</v>
      </c>
      <c r="O3730">
        <v>-0.98091110000000004</v>
      </c>
      <c r="P3730">
        <v>6.2389470000000002E-2</v>
      </c>
      <c r="Q3730">
        <v>-3.601414E-2</v>
      </c>
      <c r="R3730">
        <v>-0.99740220000000002</v>
      </c>
      <c r="S3730">
        <v>-0.2286224</v>
      </c>
      <c r="T3730">
        <v>9.7832080000000002E-2</v>
      </c>
      <c r="U3730">
        <v>-3.0271759999999999</v>
      </c>
      <c r="V3730">
        <v>0.13233839999999999</v>
      </c>
      <c r="W3730">
        <v>-2.4195580000000001E-2</v>
      </c>
      <c r="X3730">
        <v>0.99090919999999905</v>
      </c>
      <c r="Y3730">
        <v>0.2673777</v>
      </c>
      <c r="Z3730">
        <v>-3.074578E-2</v>
      </c>
      <c r="AA3730">
        <v>0.96310110000000004</v>
      </c>
      <c r="AB3730">
        <v>8</v>
      </c>
      <c r="AC3730">
        <v>-21.2561</v>
      </c>
      <c r="AD3730">
        <v>9.0907619999999998</v>
      </c>
      <c r="AE3730">
        <v>-281.204239999999</v>
      </c>
      <c r="AF3730">
        <v>75.352587538792207</v>
      </c>
      <c r="AG3730">
        <v>9.0907619999999998</v>
      </c>
      <c r="AH3730">
        <v>271.44908786559898</v>
      </c>
      <c r="AI3730">
        <v>88.151734981041102</v>
      </c>
      <c r="AJ3730">
        <v>74.485674789635695</v>
      </c>
      <c r="AK3730">
        <v>281.86035852101901</v>
      </c>
      <c r="AL3730">
        <v>91.386439970544998</v>
      </c>
      <c r="AM3730">
        <v>82.393019055748297</v>
      </c>
      <c r="AN3730">
        <v>0.99999996042536698</v>
      </c>
    </row>
    <row r="3731" spans="1:40" x14ac:dyDescent="0.25">
      <c r="A3731" t="str">
        <f>"20190312161041196"</f>
        <v>20190312161041196</v>
      </c>
      <c r="B3731" t="str">
        <f>"1552378241190216"</f>
        <v>1552378241190216</v>
      </c>
      <c r="C3731" t="s">
        <v>40</v>
      </c>
      <c r="D3731">
        <v>5.8646880000000001</v>
      </c>
      <c r="E3731">
        <v>0.54793199999999997</v>
      </c>
      <c r="F3731" t="s">
        <v>58</v>
      </c>
      <c r="G3731">
        <v>-208.2345</v>
      </c>
      <c r="H3731">
        <v>2.3573309999999998</v>
      </c>
      <c r="I3731">
        <v>-81.815950000000001</v>
      </c>
      <c r="J3731">
        <v>-189.476</v>
      </c>
      <c r="K3731">
        <v>1.10948</v>
      </c>
      <c r="L3731">
        <v>199.303</v>
      </c>
      <c r="M3731">
        <v>0.1896854</v>
      </c>
      <c r="N3731">
        <v>0</v>
      </c>
      <c r="O3731">
        <v>-0.98176969999999997</v>
      </c>
      <c r="P3731">
        <v>5.9001739999999997E-2</v>
      </c>
      <c r="Q3731">
        <v>-3.6023270000000003E-2</v>
      </c>
      <c r="R3731">
        <v>-0.99760800000000005</v>
      </c>
      <c r="S3731">
        <v>-0.20140079999999999</v>
      </c>
      <c r="T3731">
        <v>1.340556E-2</v>
      </c>
      <c r="U3731">
        <v>-3.0208889999999999</v>
      </c>
      <c r="V3731">
        <v>0.1312712</v>
      </c>
      <c r="W3731">
        <v>-2.4201690000000001E-2</v>
      </c>
      <c r="X3731">
        <v>0.99105100000000002</v>
      </c>
      <c r="Y3731">
        <v>0.2545924</v>
      </c>
      <c r="Z3731">
        <v>-4.2386380000000003E-3</v>
      </c>
      <c r="AA3731">
        <v>0.96703919999999999</v>
      </c>
      <c r="AB3731">
        <v>8</v>
      </c>
      <c r="AC3731">
        <v>-18.758500000000002</v>
      </c>
      <c r="AD3731">
        <v>1.247851</v>
      </c>
      <c r="AE3731">
        <v>-281.11894999999998</v>
      </c>
      <c r="AF3731">
        <v>71.744578859810105</v>
      </c>
      <c r="AG3731">
        <v>1.247851</v>
      </c>
      <c r="AH3731">
        <v>272.450631496749</v>
      </c>
      <c r="AI3731">
        <v>89.746232388313203</v>
      </c>
      <c r="AJ3731">
        <v>75.247185009582296</v>
      </c>
      <c r="AK3731">
        <v>281.74135005509402</v>
      </c>
      <c r="AL3731">
        <v>91.386790140953096</v>
      </c>
      <c r="AM3731">
        <v>82.454720581098897</v>
      </c>
      <c r="AN3731">
        <v>0.99999996717464701</v>
      </c>
    </row>
    <row r="3732" spans="1:40" x14ac:dyDescent="0.25">
      <c r="A3732" t="str">
        <f>"20190312161041213"</f>
        <v>20190312161041213</v>
      </c>
      <c r="B3732" t="str">
        <f>"1552378241210712"</f>
        <v>1552378241210712</v>
      </c>
      <c r="C3732" t="s">
        <v>40</v>
      </c>
      <c r="D3732">
        <v>5.7596259999999999</v>
      </c>
      <c r="E3732">
        <v>0.54805079999999995</v>
      </c>
      <c r="F3732" t="s">
        <v>41</v>
      </c>
      <c r="G3732">
        <v>-203.279</v>
      </c>
      <c r="H3732">
        <v>7.9985539999999994E-2</v>
      </c>
      <c r="I3732">
        <v>-5.5492559999999997</v>
      </c>
      <c r="J3732">
        <v>-189.46789999999999</v>
      </c>
      <c r="K3732">
        <v>1.1094889999999999</v>
      </c>
      <c r="L3732">
        <v>199.24029999999999</v>
      </c>
      <c r="M3732">
        <v>0.18640180000000001</v>
      </c>
      <c r="N3732">
        <v>0</v>
      </c>
      <c r="O3732">
        <v>-0.98239829999999995</v>
      </c>
      <c r="P3732">
        <v>5.6634520000000001E-2</v>
      </c>
      <c r="Q3732">
        <v>-3.5923539999999997E-2</v>
      </c>
      <c r="R3732">
        <v>-0.99774879999999999</v>
      </c>
      <c r="S3732">
        <v>-0.20339969999999999</v>
      </c>
      <c r="T3732">
        <v>-1.517057E-2</v>
      </c>
      <c r="U3732">
        <v>-3.0186920000000002</v>
      </c>
      <c r="V3732">
        <v>0.1303108</v>
      </c>
      <c r="W3732">
        <v>-2.4099200000000001E-2</v>
      </c>
      <c r="X3732">
        <v>0.99118019999999996</v>
      </c>
      <c r="Y3732">
        <v>0.25204219999999999</v>
      </c>
      <c r="Z3732">
        <v>4.806495E-3</v>
      </c>
      <c r="AA3732">
        <v>0.96770429999999996</v>
      </c>
      <c r="AB3732">
        <v>8</v>
      </c>
      <c r="AC3732">
        <v>-13.8111</v>
      </c>
      <c r="AD3732">
        <v>-1.0295034599999999</v>
      </c>
      <c r="AE3732">
        <v>-204.789556</v>
      </c>
      <c r="AF3732">
        <v>51.743669227034303</v>
      </c>
      <c r="AG3732">
        <v>-1.0295034599999999</v>
      </c>
      <c r="AH3732">
        <v>198.62019471859099</v>
      </c>
      <c r="AI3732">
        <v>90.287385286288298</v>
      </c>
      <c r="AJ3732">
        <v>75.398113434230794</v>
      </c>
      <c r="AK3732">
        <v>205.25215938572299</v>
      </c>
      <c r="AL3732">
        <v>91.380916231044907</v>
      </c>
      <c r="AM3732">
        <v>82.510259169391006</v>
      </c>
      <c r="AN3732">
        <v>0.99999993245465701</v>
      </c>
    </row>
    <row r="3733" spans="1:40" x14ac:dyDescent="0.25">
      <c r="A3733" t="str">
        <f>"20190312161041237"</f>
        <v>20190312161041237</v>
      </c>
      <c r="B3733" t="str">
        <f>"1552378241230233"</f>
        <v>1552378241230233</v>
      </c>
      <c r="C3733" t="s">
        <v>40</v>
      </c>
      <c r="D3733">
        <v>5.7722519999999999</v>
      </c>
      <c r="E3733">
        <v>0.54757819999999902</v>
      </c>
      <c r="F3733" t="s">
        <v>58</v>
      </c>
      <c r="G3733">
        <v>-209.15530000000001</v>
      </c>
      <c r="H3733">
        <v>0.37102410000000002</v>
      </c>
      <c r="I3733">
        <v>-81.815290000000005</v>
      </c>
      <c r="J3733">
        <v>-189.45750000000001</v>
      </c>
      <c r="K3733">
        <v>1.1095109999999999</v>
      </c>
      <c r="L3733">
        <v>199.15729999999999</v>
      </c>
      <c r="M3733">
        <v>0.18210470000000001</v>
      </c>
      <c r="N3733">
        <v>0</v>
      </c>
      <c r="O3733">
        <v>-0.98320410000000003</v>
      </c>
      <c r="P3733">
        <v>5.3530800000000003E-2</v>
      </c>
      <c r="Q3733">
        <v>-3.4895900000000001E-2</v>
      </c>
      <c r="R3733">
        <v>-0.99795650000000002</v>
      </c>
      <c r="S3733">
        <v>-0.21144099999999999</v>
      </c>
      <c r="T3733">
        <v>-7.9309940000000002E-3</v>
      </c>
      <c r="U3733">
        <v>-3.0185089999999999</v>
      </c>
      <c r="V3733">
        <v>0.12906969999999901</v>
      </c>
      <c r="W3733">
        <v>-2.3067069999999999E-2</v>
      </c>
      <c r="X3733">
        <v>0.9913672</v>
      </c>
      <c r="Y3733">
        <v>0.25038110000000002</v>
      </c>
      <c r="Z3733">
        <v>2.5164660000000002E-3</v>
      </c>
      <c r="AA3733">
        <v>0.96814409999999895</v>
      </c>
      <c r="AB3733">
        <v>8</v>
      </c>
      <c r="AC3733">
        <v>-19.697800000000001</v>
      </c>
      <c r="AD3733">
        <v>-0.73848689999999995</v>
      </c>
      <c r="AE3733">
        <v>-280.97259000000003</v>
      </c>
      <c r="AF3733">
        <v>70.5381071241043</v>
      </c>
      <c r="AG3733">
        <v>-0.73848689999999995</v>
      </c>
      <c r="AH3733">
        <v>272.68458772900999</v>
      </c>
      <c r="AI3733">
        <v>90.150223832801004</v>
      </c>
      <c r="AJ3733">
        <v>75.496636670654695</v>
      </c>
      <c r="AK3733">
        <v>281.66124033045998</v>
      </c>
      <c r="AL3733">
        <v>91.321762988897405</v>
      </c>
      <c r="AM3733">
        <v>82.5821780191242</v>
      </c>
      <c r="AN3733">
        <v>1.0000000012061501</v>
      </c>
    </row>
    <row r="3734" spans="1:40" x14ac:dyDescent="0.25">
      <c r="A3734" t="str">
        <f>"20190312161041259"</f>
        <v>20190312161041259</v>
      </c>
      <c r="B3734" t="str">
        <f>"1552378241250730"</f>
        <v>1552378241250730</v>
      </c>
      <c r="C3734" t="s">
        <v>40</v>
      </c>
      <c r="D3734">
        <v>5.7764369999999996</v>
      </c>
      <c r="E3734">
        <v>0.54728509999999997</v>
      </c>
      <c r="F3734" t="s">
        <v>58</v>
      </c>
      <c r="G3734">
        <v>-209.65549999999999</v>
      </c>
      <c r="H3734">
        <v>0.39992899999999998</v>
      </c>
      <c r="I3734">
        <v>-81.815290000000005</v>
      </c>
      <c r="J3734">
        <v>-189.4479</v>
      </c>
      <c r="K3734">
        <v>1.1095330000000001</v>
      </c>
      <c r="L3734">
        <v>199.07919999999999</v>
      </c>
      <c r="M3734">
        <v>0.17811270000000001</v>
      </c>
      <c r="N3734">
        <v>0</v>
      </c>
      <c r="O3734">
        <v>-0.983935</v>
      </c>
      <c r="P3734">
        <v>5.1103830000000003E-2</v>
      </c>
      <c r="Q3734">
        <v>-3.359202E-2</v>
      </c>
      <c r="R3734">
        <v>-0.99812829999999997</v>
      </c>
      <c r="S3734">
        <v>-0.2169189</v>
      </c>
      <c r="T3734">
        <v>-7.6205730000000003E-3</v>
      </c>
      <c r="U3734">
        <v>-3.0175320000000001</v>
      </c>
      <c r="V3734">
        <v>0.12746840000000001</v>
      </c>
      <c r="W3734">
        <v>-2.1756609999999999E-2</v>
      </c>
      <c r="X3734">
        <v>0.99160400000000004</v>
      </c>
      <c r="Y3734">
        <v>0.24822169999999999</v>
      </c>
      <c r="Z3734">
        <v>2.4220689999999998E-3</v>
      </c>
      <c r="AA3734">
        <v>0.96870020000000001</v>
      </c>
      <c r="AB3734">
        <v>8</v>
      </c>
      <c r="AC3734">
        <v>-20.2075999999999</v>
      </c>
      <c r="AD3734">
        <v>-0.70960400000000001</v>
      </c>
      <c r="AE3734">
        <v>-280.89449000000002</v>
      </c>
      <c r="AF3734">
        <v>69.918563595457599</v>
      </c>
      <c r="AG3734">
        <v>-0.70960400000000001</v>
      </c>
      <c r="AH3734">
        <v>272.80111621616402</v>
      </c>
      <c r="AI3734">
        <v>90.144369809000906</v>
      </c>
      <c r="AJ3734">
        <v>75.6246045216038</v>
      </c>
      <c r="AK3734">
        <v>281.61952716719401</v>
      </c>
      <c r="AL3734">
        <v>91.246660271453607</v>
      </c>
      <c r="AM3734">
        <v>82.674931550142404</v>
      </c>
      <c r="AN3734">
        <v>1.00000001794662</v>
      </c>
    </row>
    <row r="3735" spans="1:40" x14ac:dyDescent="0.25">
      <c r="A3735" t="str">
        <f>"20190312161041280"</f>
        <v>20190312161041280</v>
      </c>
      <c r="B3735" t="str">
        <f>"1552378241270248"</f>
        <v>1552378241270248</v>
      </c>
      <c r="C3735" t="s">
        <v>40</v>
      </c>
      <c r="D3735">
        <v>5.7493600000000002</v>
      </c>
      <c r="E3735">
        <v>0.54671789999999998</v>
      </c>
      <c r="F3735" t="s">
        <v>58</v>
      </c>
      <c r="G3735">
        <v>-210.1044</v>
      </c>
      <c r="H3735">
        <v>0.46684219999999998</v>
      </c>
      <c r="I3735">
        <v>-81.81532</v>
      </c>
      <c r="J3735">
        <v>-189.43889999999999</v>
      </c>
      <c r="K3735">
        <v>1.1095520000000001</v>
      </c>
      <c r="L3735">
        <v>199.0044</v>
      </c>
      <c r="M3735">
        <v>0.17435349999999999</v>
      </c>
      <c r="N3735">
        <v>0</v>
      </c>
      <c r="O3735">
        <v>-0.98460820000000004</v>
      </c>
      <c r="P3735">
        <v>4.8850690000000002E-2</v>
      </c>
      <c r="Q3735">
        <v>-3.432172E-2</v>
      </c>
      <c r="R3735">
        <v>-0.99821669999999996</v>
      </c>
      <c r="S3735">
        <v>-0.2218475</v>
      </c>
      <c r="T3735">
        <v>-6.9023369999999997E-3</v>
      </c>
      <c r="U3735">
        <v>-3.0167540000000002</v>
      </c>
      <c r="V3735">
        <v>0.12591540000000001</v>
      </c>
      <c r="W3735">
        <v>-2.2479989999999998E-2</v>
      </c>
      <c r="X3735">
        <v>0.99178619999999995</v>
      </c>
      <c r="Y3735">
        <v>0.24611350000000001</v>
      </c>
      <c r="Z3735">
        <v>2.197152E-3</v>
      </c>
      <c r="AA3735">
        <v>0.9692385</v>
      </c>
      <c r="AB3735">
        <v>8</v>
      </c>
      <c r="AC3735">
        <v>-20.665500000000002</v>
      </c>
      <c r="AD3735">
        <v>-0.6427098</v>
      </c>
      <c r="AE3735">
        <v>-280.81972000000002</v>
      </c>
      <c r="AF3735">
        <v>69.314074533845798</v>
      </c>
      <c r="AG3735">
        <v>-0.6427098</v>
      </c>
      <c r="AH3735">
        <v>272.913009871876</v>
      </c>
      <c r="AI3735">
        <v>90.130779200476397</v>
      </c>
      <c r="AJ3735">
        <v>75.749408393269704</v>
      </c>
      <c r="AK3735">
        <v>281.57834604546099</v>
      </c>
      <c r="AL3735">
        <v>91.288117119253698</v>
      </c>
      <c r="AM3735">
        <v>82.764539385261799</v>
      </c>
      <c r="AN3735">
        <v>0.99999995220899895</v>
      </c>
    </row>
    <row r="3736" spans="1:40" x14ac:dyDescent="0.25">
      <c r="A3736" t="str">
        <f>"20190312161041303"</f>
        <v>20190312161041303</v>
      </c>
      <c r="B3736" t="str">
        <f>"1552378241289769"</f>
        <v>1552378241289769</v>
      </c>
      <c r="C3736" t="s">
        <v>40</v>
      </c>
      <c r="D3736">
        <v>5.8063820000000002</v>
      </c>
      <c r="E3736">
        <v>0.54649720000000002</v>
      </c>
      <c r="F3736" t="s">
        <v>43</v>
      </c>
      <c r="G3736">
        <v>-208.0539</v>
      </c>
      <c r="H3736">
        <v>-0.05</v>
      </c>
      <c r="I3736">
        <v>-51.467759999999998</v>
      </c>
      <c r="J3736">
        <v>-189.4299</v>
      </c>
      <c r="K3736">
        <v>1.1095680000000001</v>
      </c>
      <c r="L3736">
        <v>198.9272</v>
      </c>
      <c r="M3736">
        <v>0.17053589999999999</v>
      </c>
      <c r="N3736">
        <v>0</v>
      </c>
      <c r="O3736">
        <v>-0.98527659999999995</v>
      </c>
      <c r="P3736">
        <v>4.6047100000000001E-2</v>
      </c>
      <c r="Q3736">
        <v>-3.4522890000000001E-2</v>
      </c>
      <c r="R3736">
        <v>-0.99834270000000003</v>
      </c>
      <c r="S3736">
        <v>-0.22413640000000001</v>
      </c>
      <c r="T3736">
        <v>-1.396179E-2</v>
      </c>
      <c r="U3736">
        <v>-3.015854</v>
      </c>
      <c r="V3736">
        <v>0.1248567</v>
      </c>
      <c r="W3736">
        <v>-2.2675899999999999E-2</v>
      </c>
      <c r="X3736">
        <v>0.99191560000000001</v>
      </c>
      <c r="Y3736">
        <v>0.24310780000000001</v>
      </c>
      <c r="Z3736">
        <v>4.4518810000000004E-3</v>
      </c>
      <c r="AA3736">
        <v>0.96998910000000005</v>
      </c>
      <c r="AB3736">
        <v>8</v>
      </c>
      <c r="AC3736">
        <v>-18.623999999999899</v>
      </c>
      <c r="AD3736">
        <v>-1.1595679999999999</v>
      </c>
      <c r="AE3736">
        <v>-250.39496</v>
      </c>
      <c r="AF3736">
        <v>61.054322987835498</v>
      </c>
      <c r="AG3736">
        <v>-1.1595679999999999</v>
      </c>
      <c r="AH3736">
        <v>243.54500591068299</v>
      </c>
      <c r="AI3736">
        <v>90.264607081860206</v>
      </c>
      <c r="AJ3736">
        <v>75.926548389331899</v>
      </c>
      <c r="AK3736">
        <v>251.083939863712</v>
      </c>
      <c r="AL3736">
        <v>91.299344768775697</v>
      </c>
      <c r="AM3736">
        <v>82.825664908079304</v>
      </c>
      <c r="AN3736">
        <v>0.99999997474952895</v>
      </c>
    </row>
    <row r="3737" spans="1:40" x14ac:dyDescent="0.25">
      <c r="A3737" t="str">
        <f>"20190312161041326"</f>
        <v>20190312161041326</v>
      </c>
      <c r="B3737" t="str">
        <f>"1552378241320025"</f>
        <v>1552378241320025</v>
      </c>
      <c r="C3737" t="s">
        <v>40</v>
      </c>
      <c r="D3737">
        <v>5.7981009999999999</v>
      </c>
      <c r="E3737">
        <v>0.54602459999999997</v>
      </c>
      <c r="F3737" t="s">
        <v>41</v>
      </c>
      <c r="G3737">
        <v>-204.34299999999999</v>
      </c>
      <c r="H3737">
        <v>7.9985619999999993E-2</v>
      </c>
      <c r="I3737">
        <v>4.3443889999999996</v>
      </c>
      <c r="J3737">
        <v>-189.42070000000001</v>
      </c>
      <c r="K3737">
        <v>1.1095930000000001</v>
      </c>
      <c r="L3737">
        <v>198.84549999999999</v>
      </c>
      <c r="M3737">
        <v>0.16656499999999999</v>
      </c>
      <c r="N3737">
        <v>0</v>
      </c>
      <c r="O3737">
        <v>-0.98595569999999999</v>
      </c>
      <c r="P3737">
        <v>4.3384609999999997E-2</v>
      </c>
      <c r="Q3737">
        <v>-3.3903950000000002E-2</v>
      </c>
      <c r="R3737">
        <v>-0.99848289999999995</v>
      </c>
      <c r="S3737">
        <v>-0.23107910000000001</v>
      </c>
      <c r="T3737">
        <v>-1.5953539999999999E-2</v>
      </c>
      <c r="U3737">
        <v>-3.015091</v>
      </c>
      <c r="V3737">
        <v>0.12351189999999999</v>
      </c>
      <c r="W3737">
        <v>-2.2050440000000001E-2</v>
      </c>
      <c r="X3737">
        <v>0.99209809999999998</v>
      </c>
      <c r="Y3737">
        <v>0.24143829999999999</v>
      </c>
      <c r="Z3737">
        <v>5.0942950000000004E-3</v>
      </c>
      <c r="AA3737">
        <v>0.97040280000000001</v>
      </c>
      <c r="AB3737">
        <v>8</v>
      </c>
      <c r="AC3737">
        <v>-14.9222999999999</v>
      </c>
      <c r="AD3737">
        <v>-1.0296073800000001</v>
      </c>
      <c r="AE3737">
        <v>-194.50111100000001</v>
      </c>
      <c r="AF3737">
        <v>47.111965602191702</v>
      </c>
      <c r="AG3737">
        <v>-1.0296073800000001</v>
      </c>
      <c r="AH3737">
        <v>189.29263012727401</v>
      </c>
      <c r="AI3737">
        <v>90.302416759617699</v>
      </c>
      <c r="AJ3737">
        <v>76.023936391732505</v>
      </c>
      <c r="AK3737">
        <v>195.06998030132701</v>
      </c>
      <c r="AL3737">
        <v>91.263499520250704</v>
      </c>
      <c r="AM3737">
        <v>82.903437846457706</v>
      </c>
      <c r="AN3737">
        <v>1.0000000256846999</v>
      </c>
    </row>
    <row r="3738" spans="1:40" x14ac:dyDescent="0.25">
      <c r="A3738" t="str">
        <f>"20190312161041349"</f>
        <v>20190312161041349</v>
      </c>
      <c r="B3738" t="str">
        <f>"1552378241340520"</f>
        <v>1552378241340520</v>
      </c>
      <c r="C3738" t="s">
        <v>40</v>
      </c>
      <c r="D3738">
        <v>5.7495820000000002</v>
      </c>
      <c r="E3738">
        <v>0.54567169999999998</v>
      </c>
      <c r="F3738" t="s">
        <v>41</v>
      </c>
      <c r="G3738">
        <v>-201.75399999999999</v>
      </c>
      <c r="H3738">
        <v>7.9986539999999995E-2</v>
      </c>
      <c r="I3738">
        <v>40.830849999999998</v>
      </c>
      <c r="J3738">
        <v>-189.4118</v>
      </c>
      <c r="K3738">
        <v>1.109612</v>
      </c>
      <c r="L3738">
        <v>198.7655</v>
      </c>
      <c r="M3738">
        <v>0.16276289999999999</v>
      </c>
      <c r="N3738">
        <v>0</v>
      </c>
      <c r="O3738">
        <v>-0.98659070000000004</v>
      </c>
      <c r="P3738">
        <v>4.0562470000000003E-2</v>
      </c>
      <c r="Q3738">
        <v>-3.3651689999999998E-2</v>
      </c>
      <c r="R3738">
        <v>-0.99861029999999995</v>
      </c>
      <c r="S3738">
        <v>-0.23526</v>
      </c>
      <c r="T3738">
        <v>-1.963985E-2</v>
      </c>
      <c r="U3738">
        <v>-3.0141450000000001</v>
      </c>
      <c r="V3738">
        <v>0.1224946</v>
      </c>
      <c r="W3738">
        <v>-2.179364E-2</v>
      </c>
      <c r="X3738">
        <v>0.9922299</v>
      </c>
      <c r="Y3738">
        <v>0.2390572</v>
      </c>
      <c r="Z3738">
        <v>6.2811179999999996E-3</v>
      </c>
      <c r="AA3738">
        <v>0.97098519999999999</v>
      </c>
      <c r="AB3738">
        <v>8</v>
      </c>
      <c r="AC3738">
        <v>-12.3422</v>
      </c>
      <c r="AD3738">
        <v>-1.0296254600000001</v>
      </c>
      <c r="AE3738">
        <v>-157.93465</v>
      </c>
      <c r="AF3738">
        <v>37.883786268406901</v>
      </c>
      <c r="AG3738">
        <v>-1.0296254600000001</v>
      </c>
      <c r="AH3738">
        <v>153.812815417309</v>
      </c>
      <c r="AI3738">
        <v>90.3724042430064</v>
      </c>
      <c r="AJ3738">
        <v>76.163562635292095</v>
      </c>
      <c r="AK3738">
        <v>158.41282642897801</v>
      </c>
      <c r="AL3738">
        <v>91.248782419614997</v>
      </c>
      <c r="AM3738">
        <v>82.962225235075095</v>
      </c>
      <c r="AN3738">
        <v>1.0000000321138001</v>
      </c>
    </row>
    <row r="3739" spans="1:40" x14ac:dyDescent="0.25">
      <c r="A3739" t="str">
        <f>"20190312161041378"</f>
        <v>20190312161041378</v>
      </c>
      <c r="B3739" t="str">
        <f>"1552378241369801"</f>
        <v>1552378241369801</v>
      </c>
      <c r="C3739" t="s">
        <v>40</v>
      </c>
      <c r="D3739">
        <v>5.7867920000000002</v>
      </c>
      <c r="E3739">
        <v>0.54563399999999995</v>
      </c>
      <c r="F3739" t="s">
        <v>41</v>
      </c>
      <c r="G3739">
        <v>-200.24590000000001</v>
      </c>
      <c r="H3739">
        <v>7.9985730000000005E-2</v>
      </c>
      <c r="I3739">
        <v>63.340049999999998</v>
      </c>
      <c r="J3739">
        <v>-189.40119999999999</v>
      </c>
      <c r="K3739">
        <v>1.109634</v>
      </c>
      <c r="L3739">
        <v>198.66640000000001</v>
      </c>
      <c r="M3739">
        <v>0.15813289999999999</v>
      </c>
      <c r="N3739">
        <v>0</v>
      </c>
      <c r="O3739">
        <v>-0.98734350000000004</v>
      </c>
      <c r="P3739">
        <v>3.6334720000000001E-2</v>
      </c>
      <c r="Q3739">
        <v>-3.3605349999999999E-2</v>
      </c>
      <c r="R3739">
        <v>-0.99877450000000001</v>
      </c>
      <c r="S3739">
        <v>-0.2410583</v>
      </c>
      <c r="T3739">
        <v>-2.2909160000000001E-2</v>
      </c>
      <c r="U3739">
        <v>-3.0132140000000001</v>
      </c>
      <c r="V3739">
        <v>0.122041899999999</v>
      </c>
      <c r="W3739">
        <v>-2.1746379999999999E-2</v>
      </c>
      <c r="X3739">
        <v>0.99228669999999997</v>
      </c>
      <c r="Y3739">
        <v>0.2363807</v>
      </c>
      <c r="Z3739">
        <v>7.3394150000000002E-3</v>
      </c>
      <c r="AA3739">
        <v>0.97163279999999996</v>
      </c>
      <c r="AB3739">
        <v>8</v>
      </c>
      <c r="AC3739">
        <v>-10.8447</v>
      </c>
      <c r="AD3739">
        <v>-1.02964827</v>
      </c>
      <c r="AE3739">
        <v>-135.32634999999999</v>
      </c>
      <c r="AF3739">
        <v>32.107502238871902</v>
      </c>
      <c r="AG3739">
        <v>-1.02964827</v>
      </c>
      <c r="AH3739">
        <v>131.900783372235</v>
      </c>
      <c r="AI3739">
        <v>90.434566005542706</v>
      </c>
      <c r="AJ3739">
        <v>76.319044004176206</v>
      </c>
      <c r="AK3739">
        <v>135.75628357386699</v>
      </c>
      <c r="AL3739">
        <v>91.246074003473396</v>
      </c>
      <c r="AM3739">
        <v>82.988372533452093</v>
      </c>
      <c r="AN3739">
        <v>1.0000000126977999</v>
      </c>
    </row>
    <row r="3740" spans="1:40" x14ac:dyDescent="0.25">
      <c r="A3740" t="str">
        <f>"20190312161041398"</f>
        <v>20190312161041398</v>
      </c>
      <c r="B3740" t="str">
        <f>"1552378241390297"</f>
        <v>1552378241390297</v>
      </c>
      <c r="C3740" t="s">
        <v>40</v>
      </c>
      <c r="D3740">
        <v>5.7661749999999996</v>
      </c>
      <c r="E3740">
        <v>0.54526589999999997</v>
      </c>
      <c r="F3740" t="s">
        <v>41</v>
      </c>
      <c r="G3740">
        <v>-198.50630000000001</v>
      </c>
      <c r="H3740" s="1">
        <v>-2.6694619999999998E-6</v>
      </c>
      <c r="I3740">
        <v>90.535839999999993</v>
      </c>
      <c r="J3740">
        <v>-189.3937</v>
      </c>
      <c r="K3740">
        <v>1.109642</v>
      </c>
      <c r="L3740">
        <v>198.59540000000001</v>
      </c>
      <c r="M3740">
        <v>0.15487919999999999</v>
      </c>
      <c r="N3740">
        <v>0</v>
      </c>
      <c r="O3740">
        <v>-0.98785909999999999</v>
      </c>
      <c r="P3740">
        <v>3.3554279999999999E-2</v>
      </c>
      <c r="Q3740">
        <v>-3.3313000000000002E-2</v>
      </c>
      <c r="R3740">
        <v>-0.99888160000000004</v>
      </c>
      <c r="S3740">
        <v>-0.25361630000000002</v>
      </c>
      <c r="T3740">
        <v>-3.090799E-2</v>
      </c>
      <c r="U3740">
        <v>-3.0118870000000002</v>
      </c>
      <c r="V3740">
        <v>0.1215377</v>
      </c>
      <c r="W3740">
        <v>-2.1453400000000001E-2</v>
      </c>
      <c r="X3740">
        <v>0.99235490000000004</v>
      </c>
      <c r="Y3740">
        <v>0.23723569999999999</v>
      </c>
      <c r="Z3740">
        <v>9.9112909999999992E-3</v>
      </c>
      <c r="AA3740">
        <v>0.97140159999999998</v>
      </c>
      <c r="AB3740">
        <v>8</v>
      </c>
      <c r="AC3740">
        <v>-9.1126000000000094</v>
      </c>
      <c r="AD3740">
        <v>-1.1096446694619999</v>
      </c>
      <c r="AE3740">
        <v>-108.05956</v>
      </c>
      <c r="AF3740">
        <v>25.7373380324807</v>
      </c>
      <c r="AG3740">
        <v>-1.1096446694619999</v>
      </c>
      <c r="AH3740">
        <v>105.332972906335</v>
      </c>
      <c r="AI3740">
        <v>90.586320274332806</v>
      </c>
      <c r="AJ3740">
        <v>76.269235208135001</v>
      </c>
      <c r="AK3740">
        <v>108.437433857397</v>
      </c>
      <c r="AL3740">
        <v>91.229283640747695</v>
      </c>
      <c r="AM3740">
        <v>83.017528732925996</v>
      </c>
      <c r="AN3740">
        <v>0.99999995422342902</v>
      </c>
    </row>
    <row r="3741" spans="1:40" x14ac:dyDescent="0.25">
      <c r="A3741" t="str">
        <f>"20190312161041417"</f>
        <v>20190312161041417</v>
      </c>
      <c r="B3741" t="str">
        <f>"1552378241409817"</f>
        <v>1552378241409817</v>
      </c>
      <c r="C3741" t="s">
        <v>40</v>
      </c>
      <c r="D3741">
        <v>5.7482800000000003</v>
      </c>
      <c r="E3741">
        <v>0.54489509999999997</v>
      </c>
      <c r="F3741" t="s">
        <v>41</v>
      </c>
      <c r="G3741">
        <v>-197.8295</v>
      </c>
      <c r="H3741" s="1">
        <v>-2.494109E-6</v>
      </c>
      <c r="I3741">
        <v>100.54689999999999</v>
      </c>
      <c r="J3741">
        <v>-189.38679999999999</v>
      </c>
      <c r="K3741">
        <v>1.1096569999999999</v>
      </c>
      <c r="L3741">
        <v>198.52789999999999</v>
      </c>
      <c r="M3741">
        <v>0.15184210000000001</v>
      </c>
      <c r="N3741">
        <v>0</v>
      </c>
      <c r="O3741">
        <v>-0.9883305</v>
      </c>
      <c r="P3741">
        <v>3.1333720000000002E-2</v>
      </c>
      <c r="Q3741">
        <v>-3.3128350000000001E-2</v>
      </c>
      <c r="R3741">
        <v>-0.99895990000000001</v>
      </c>
      <c r="S3741">
        <v>-0.25904850000000001</v>
      </c>
      <c r="T3741">
        <v>-3.4075380000000002E-2</v>
      </c>
      <c r="U3741">
        <v>-3.01091</v>
      </c>
      <c r="V3741">
        <v>0.1206955</v>
      </c>
      <c r="W3741">
        <v>-2.1266500000000001E-2</v>
      </c>
      <c r="X3741">
        <v>0.9924617</v>
      </c>
      <c r="Y3741">
        <v>0.2360149</v>
      </c>
      <c r="Z3741">
        <v>1.0939239999999999E-2</v>
      </c>
      <c r="AA3741">
        <v>0.97168790000000005</v>
      </c>
      <c r="AB3741">
        <v>8</v>
      </c>
      <c r="AC3741">
        <v>-8.4427000000000003</v>
      </c>
      <c r="AD3741">
        <v>-1.1096594941090001</v>
      </c>
      <c r="AE3741">
        <v>-97.980999999999995</v>
      </c>
      <c r="AF3741">
        <v>23.220567024358498</v>
      </c>
      <c r="AG3741">
        <v>-1.1096594941090001</v>
      </c>
      <c r="AH3741">
        <v>95.550502841174605</v>
      </c>
      <c r="AI3741">
        <v>90.646548420523501</v>
      </c>
      <c r="AJ3741">
        <v>76.340835635438495</v>
      </c>
      <c r="AK3741">
        <v>98.337808956305906</v>
      </c>
      <c r="AL3741">
        <v>91.218572624313495</v>
      </c>
      <c r="AM3741">
        <v>83.066180248311596</v>
      </c>
      <c r="AN3741">
        <v>0.99999994685469296</v>
      </c>
    </row>
    <row r="3742" spans="1:40" x14ac:dyDescent="0.25">
      <c r="A3742" t="str">
        <f>"20190312161041438"</f>
        <v>20190312161041438</v>
      </c>
      <c r="B3742" t="str">
        <f>"1552378241430313"</f>
        <v>1552378241430313</v>
      </c>
      <c r="C3742" t="s">
        <v>40</v>
      </c>
      <c r="D3742">
        <v>5.7358370000000001</v>
      </c>
      <c r="E3742">
        <v>0.54464869999999899</v>
      </c>
      <c r="F3742" t="s">
        <v>41</v>
      </c>
      <c r="G3742">
        <v>-197.5505</v>
      </c>
      <c r="H3742" s="1">
        <v>-4.0729840000000002E-6</v>
      </c>
      <c r="I3742">
        <v>105.0197</v>
      </c>
      <c r="J3742">
        <v>-189.3793</v>
      </c>
      <c r="K3742">
        <v>1.109677</v>
      </c>
      <c r="L3742">
        <v>198.45240000000001</v>
      </c>
      <c r="M3742">
        <v>0.14851619999999999</v>
      </c>
      <c r="N3742">
        <v>0</v>
      </c>
      <c r="O3742">
        <v>-0.98883580000000004</v>
      </c>
      <c r="P3742">
        <v>2.8507689999999999E-2</v>
      </c>
      <c r="Q3742">
        <v>-3.3328209999999997E-2</v>
      </c>
      <c r="R3742">
        <v>-0.99903799999999998</v>
      </c>
      <c r="S3742">
        <v>-0.26280209999999998</v>
      </c>
      <c r="T3742">
        <v>-3.5721780000000002E-2</v>
      </c>
      <c r="U3742">
        <v>-3.0101779999999998</v>
      </c>
      <c r="V3742">
        <v>0.1201641</v>
      </c>
      <c r="W3742">
        <v>-2.1463889999999999E-2</v>
      </c>
      <c r="X3742">
        <v>0.99252200000000002</v>
      </c>
      <c r="Y3742">
        <v>0.23396729999999999</v>
      </c>
      <c r="Z3742">
        <v>1.14818E-2</v>
      </c>
      <c r="AA3742">
        <v>0.9721767</v>
      </c>
      <c r="AB3742">
        <v>8</v>
      </c>
      <c r="AC3742">
        <v>-8.17119999999999</v>
      </c>
      <c r="AD3742">
        <v>-1.1096810729840001</v>
      </c>
      <c r="AE3742">
        <v>-93.432699999999997</v>
      </c>
      <c r="AF3742">
        <v>21.954781908367</v>
      </c>
      <c r="AG3742">
        <v>-1.1096810729840001</v>
      </c>
      <c r="AH3742">
        <v>91.169968865634999</v>
      </c>
      <c r="AI3742">
        <v>90.677965995149094</v>
      </c>
      <c r="AJ3742">
        <v>76.460308639131995</v>
      </c>
      <c r="AK3742">
        <v>93.782765280666297</v>
      </c>
      <c r="AL3742">
        <v>91.229884737178494</v>
      </c>
      <c r="AM3742">
        <v>83.096828695338004</v>
      </c>
      <c r="AN3742">
        <v>1.0000000149933701</v>
      </c>
    </row>
    <row r="3743" spans="1:40" x14ac:dyDescent="0.25">
      <c r="A3743" t="str">
        <f>"20190312161041462"</f>
        <v>20190312161041462</v>
      </c>
      <c r="B3743" t="str">
        <f>"1552378241449833"</f>
        <v>1552378241449833</v>
      </c>
      <c r="C3743" t="s">
        <v>40</v>
      </c>
      <c r="D3743">
        <v>5.7251269999999996</v>
      </c>
      <c r="E3743">
        <v>0.54483029999999999</v>
      </c>
      <c r="F3743" t="s">
        <v>41</v>
      </c>
      <c r="G3743">
        <v>-197.50960000000001</v>
      </c>
      <c r="H3743" s="1">
        <v>-4.952346E-6</v>
      </c>
      <c r="I3743">
        <v>107.6251</v>
      </c>
      <c r="J3743">
        <v>-189.37139999999999</v>
      </c>
      <c r="K3743">
        <v>1.109693</v>
      </c>
      <c r="L3743">
        <v>198.3716</v>
      </c>
      <c r="M3743">
        <v>0.14503720000000001</v>
      </c>
      <c r="N3743">
        <v>0</v>
      </c>
      <c r="O3743">
        <v>-0.98935220000000001</v>
      </c>
      <c r="P3743">
        <v>2.524055E-2</v>
      </c>
      <c r="Q3743">
        <v>-3.37019E-2</v>
      </c>
      <c r="R3743">
        <v>-0.99911340000000004</v>
      </c>
      <c r="S3743">
        <v>-0.26937870000000003</v>
      </c>
      <c r="T3743">
        <v>-3.6766769999999997E-2</v>
      </c>
      <c r="U3743">
        <v>-3.0093540000000001</v>
      </c>
      <c r="V3743">
        <v>0.1199181</v>
      </c>
      <c r="W3743">
        <v>-2.1834530000000001E-2</v>
      </c>
      <c r="X3743">
        <v>0.99254359999999997</v>
      </c>
      <c r="Y3743">
        <v>0.2326781</v>
      </c>
      <c r="Z3743">
        <v>1.1831070000000001E-2</v>
      </c>
      <c r="AA3743">
        <v>0.97248179999999995</v>
      </c>
      <c r="AB3743">
        <v>8</v>
      </c>
      <c r="AC3743">
        <v>-8.1382000000000101</v>
      </c>
      <c r="AD3743">
        <v>-1.109697952346</v>
      </c>
      <c r="AE3743">
        <v>-90.746499999999997</v>
      </c>
      <c r="AF3743">
        <v>21.2115710729814</v>
      </c>
      <c r="AG3743">
        <v>-1.109697952346</v>
      </c>
      <c r="AH3743">
        <v>88.593253145673103</v>
      </c>
      <c r="AI3743">
        <v>90.697912583500298</v>
      </c>
      <c r="AJ3743">
        <v>76.535341172812807</v>
      </c>
      <c r="AK3743">
        <v>91.103933394024807</v>
      </c>
      <c r="AL3743">
        <v>91.251125907270804</v>
      </c>
      <c r="AM3743">
        <v>83.110973400834695</v>
      </c>
      <c r="AN3743">
        <v>0.999999947654444</v>
      </c>
    </row>
    <row r="3744" spans="1:40" x14ac:dyDescent="0.25">
      <c r="A3744" t="str">
        <f>"20190312161041483"</f>
        <v>20190312161041483</v>
      </c>
      <c r="B3744" t="str">
        <f>"1552378241470329"</f>
        <v>1552378241470329</v>
      </c>
      <c r="C3744" t="s">
        <v>40</v>
      </c>
      <c r="D3744">
        <v>5.7272059999999998</v>
      </c>
      <c r="E3744">
        <v>0.54452889999999998</v>
      </c>
      <c r="F3744" t="s">
        <v>41</v>
      </c>
      <c r="G3744">
        <v>-197.0788</v>
      </c>
      <c r="H3744" s="1">
        <v>-4.2511260000000001E-6</v>
      </c>
      <c r="I3744">
        <v>115.7891</v>
      </c>
      <c r="J3744">
        <v>-189.36429999999999</v>
      </c>
      <c r="K3744">
        <v>1.109723</v>
      </c>
      <c r="L3744">
        <v>198.2978</v>
      </c>
      <c r="M3744">
        <v>0.14194670000000001</v>
      </c>
      <c r="N3744">
        <v>0</v>
      </c>
      <c r="O3744">
        <v>-0.98980049999999997</v>
      </c>
      <c r="P3744">
        <v>2.2359270000000001E-2</v>
      </c>
      <c r="Q3744">
        <v>-3.341483E-2</v>
      </c>
      <c r="R3744">
        <v>-0.99919159999999996</v>
      </c>
      <c r="S3744">
        <v>-0.280777</v>
      </c>
      <c r="T3744">
        <v>-4.0425299999999997E-2</v>
      </c>
      <c r="U3744">
        <v>-3.0084080000000002</v>
      </c>
      <c r="V3744">
        <v>0.119684</v>
      </c>
      <c r="W3744">
        <v>-2.1543799999999998E-2</v>
      </c>
      <c r="X3744">
        <v>0.99257830000000002</v>
      </c>
      <c r="Y3744">
        <v>0.23332059999999999</v>
      </c>
      <c r="Z3744">
        <v>1.301797E-2</v>
      </c>
      <c r="AA3744">
        <v>0.97231270000000003</v>
      </c>
      <c r="AB3744">
        <v>8</v>
      </c>
      <c r="AC3744">
        <v>-7.7145000000000099</v>
      </c>
      <c r="AD3744">
        <v>-1.1097272511259999</v>
      </c>
      <c r="AE3744">
        <v>-82.508699999999905</v>
      </c>
      <c r="AF3744">
        <v>19.345597943233699</v>
      </c>
      <c r="AG3744">
        <v>-1.1097272511259999</v>
      </c>
      <c r="AH3744">
        <v>80.563543860658299</v>
      </c>
      <c r="AI3744">
        <v>90.767363205684603</v>
      </c>
      <c r="AJ3744">
        <v>76.497308759548901</v>
      </c>
      <c r="AK3744">
        <v>82.861138380674902</v>
      </c>
      <c r="AL3744">
        <v>91.2344642729024</v>
      </c>
      <c r="AM3744">
        <v>83.124531125779001</v>
      </c>
      <c r="AN3744">
        <v>1.0000000384026599</v>
      </c>
    </row>
    <row r="3745" spans="1:40" x14ac:dyDescent="0.25">
      <c r="A3745" t="str">
        <f>"20190312161041506"</f>
        <v>20190312161041506</v>
      </c>
      <c r="B3745" t="str">
        <f>"1552378241500584"</f>
        <v>1552378241500584</v>
      </c>
      <c r="C3745" t="s">
        <v>40</v>
      </c>
      <c r="D3745">
        <v>6.1745919999999996</v>
      </c>
      <c r="E3745">
        <v>0.54419899999999999</v>
      </c>
      <c r="F3745" t="s">
        <v>41</v>
      </c>
      <c r="G3745">
        <v>-196.9211</v>
      </c>
      <c r="H3745" s="1">
        <v>-5.3422749999999996E-6</v>
      </c>
      <c r="I3745">
        <v>119.07769999999999</v>
      </c>
      <c r="J3745">
        <v>-189.357</v>
      </c>
      <c r="K3745">
        <v>1.109756</v>
      </c>
      <c r="L3745">
        <v>198.21969999999999</v>
      </c>
      <c r="M3745">
        <v>0.13876659999999999</v>
      </c>
      <c r="N3745">
        <v>0</v>
      </c>
      <c r="O3745">
        <v>-0.99025129999999995</v>
      </c>
      <c r="P3745">
        <v>1.9390859999999999E-2</v>
      </c>
      <c r="Q3745">
        <v>-3.3180269999999998E-2</v>
      </c>
      <c r="R3745">
        <v>-0.99926150000000002</v>
      </c>
      <c r="S3745">
        <v>-0.28688049999999998</v>
      </c>
      <c r="T3745">
        <v>-4.2128800000000001E-2</v>
      </c>
      <c r="U3745">
        <v>-3.0074459999999998</v>
      </c>
      <c r="V3745">
        <v>0.119447499999999</v>
      </c>
      <c r="W3745">
        <v>-2.130545E-2</v>
      </c>
      <c r="X3745">
        <v>0.99261189999999999</v>
      </c>
      <c r="Y3745">
        <v>0.23218079999999999</v>
      </c>
      <c r="Z3745">
        <v>1.358084E-2</v>
      </c>
      <c r="AA3745">
        <v>0.97257780000000005</v>
      </c>
      <c r="AB3745">
        <v>8</v>
      </c>
      <c r="AC3745">
        <v>-7.5640999999999901</v>
      </c>
      <c r="AD3745">
        <v>-1.1097613422749999</v>
      </c>
      <c r="AE3745">
        <v>-79.141999999999996</v>
      </c>
      <c r="AF3745">
        <v>18.4703776371129</v>
      </c>
      <c r="AG3745">
        <v>-1.1097613422749999</v>
      </c>
      <c r="AH3745">
        <v>77.311412495173101</v>
      </c>
      <c r="AI3745">
        <v>90.799883987718502</v>
      </c>
      <c r="AJ3745">
        <v>76.563396812434704</v>
      </c>
      <c r="AK3745">
        <v>79.494911298102494</v>
      </c>
      <c r="AL3745">
        <v>91.220804728896297</v>
      </c>
      <c r="AM3745">
        <v>83.138217700542199</v>
      </c>
      <c r="AN3745">
        <v>1.0000000057387799</v>
      </c>
    </row>
    <row r="3746" spans="1:40" x14ac:dyDescent="0.25">
      <c r="A3746" t="str">
        <f>"20190312161041528"</f>
        <v>20190312161041528</v>
      </c>
      <c r="B3746" t="str">
        <f>"1552378241520211"</f>
        <v>1552378241520211</v>
      </c>
      <c r="C3746" t="s">
        <v>40</v>
      </c>
      <c r="D3746">
        <v>5.6566720000000004</v>
      </c>
      <c r="E3746">
        <v>0.52506109999999995</v>
      </c>
      <c r="F3746" t="s">
        <v>87</v>
      </c>
      <c r="G3746">
        <v>-196.78129999999999</v>
      </c>
      <c r="H3746" s="1">
        <v>-3.1149999999999998E-6</v>
      </c>
      <c r="I3746">
        <v>122.13760000000001</v>
      </c>
      <c r="J3746">
        <v>-189.34950000000001</v>
      </c>
      <c r="K3746">
        <v>1.1097809999999999</v>
      </c>
      <c r="L3746">
        <v>198.1387</v>
      </c>
      <c r="M3746">
        <v>0.13558020000000001</v>
      </c>
      <c r="N3746">
        <v>0</v>
      </c>
      <c r="O3746">
        <v>-0.99069280000000004</v>
      </c>
      <c r="P3746">
        <v>1.6711719999999999E-2</v>
      </c>
      <c r="Q3746">
        <v>-3.2634509999999999E-2</v>
      </c>
      <c r="R3746">
        <v>-0.99932790000000005</v>
      </c>
      <c r="S3746">
        <v>-0.29338069999999999</v>
      </c>
      <c r="T3746">
        <v>-4.3853400000000001E-2</v>
      </c>
      <c r="U3746">
        <v>-3.0064700000000002</v>
      </c>
      <c r="V3746">
        <v>0.1189202</v>
      </c>
      <c r="W3746">
        <v>-2.0755889999999999E-2</v>
      </c>
      <c r="X3746">
        <v>0.99268690000000004</v>
      </c>
      <c r="Y3746">
        <v>0.23116400000000001</v>
      </c>
      <c r="Z3746">
        <v>1.4151189999999999E-2</v>
      </c>
      <c r="AA3746">
        <v>0.97281189999999995</v>
      </c>
      <c r="AB3746">
        <v>8</v>
      </c>
      <c r="AC3746">
        <v>-7.4317999999999804</v>
      </c>
      <c r="AD3746">
        <v>-1.1097841149999901</v>
      </c>
      <c r="AE3746">
        <v>-76.001099999999994</v>
      </c>
      <c r="AF3746">
        <v>17.664432199303999</v>
      </c>
      <c r="AG3746">
        <v>-1.1097841149999901</v>
      </c>
      <c r="AH3746">
        <v>74.275865704252794</v>
      </c>
      <c r="AI3746">
        <v>90.832790751328801</v>
      </c>
      <c r="AJ3746">
        <v>76.622320662596707</v>
      </c>
      <c r="AK3746">
        <v>76.355536877307799</v>
      </c>
      <c r="AL3746">
        <v>91.189310240441401</v>
      </c>
      <c r="AM3746">
        <v>83.168733341893201</v>
      </c>
      <c r="AN3746">
        <v>1.0000000511846601</v>
      </c>
    </row>
    <row r="3747" spans="1:40" x14ac:dyDescent="0.25">
      <c r="A3747" t="str">
        <f>"20190312161041552"</f>
        <v>20190312161041552</v>
      </c>
      <c r="B3747" t="str">
        <f>"1552378241540706"</f>
        <v>1552378241540706</v>
      </c>
      <c r="C3747" t="s">
        <v>40</v>
      </c>
      <c r="D3747">
        <v>5.6417739999999998</v>
      </c>
      <c r="E3747">
        <v>0.53870949999999995</v>
      </c>
      <c r="F3747" t="s">
        <v>58</v>
      </c>
      <c r="G3747">
        <v>-203.15639999999999</v>
      </c>
      <c r="H3747">
        <v>0.37620930000000002</v>
      </c>
      <c r="I3747">
        <v>-81.815290000000005</v>
      </c>
      <c r="J3747">
        <v>-189.34209999999999</v>
      </c>
      <c r="K3747">
        <v>1.1098030000000001</v>
      </c>
      <c r="L3747">
        <v>198.05619999999999</v>
      </c>
      <c r="M3747">
        <v>0.13241789999999901</v>
      </c>
      <c r="N3747">
        <v>0</v>
      </c>
      <c r="O3747">
        <v>-0.99112040000000001</v>
      </c>
      <c r="P3747">
        <v>1.2954240000000001E-2</v>
      </c>
      <c r="Q3747">
        <v>-3.2570269999999998E-2</v>
      </c>
      <c r="R3747">
        <v>-0.99938559999999999</v>
      </c>
      <c r="S3747">
        <v>-0.14816279999999901</v>
      </c>
      <c r="T3747">
        <v>-7.8719849999999997E-3</v>
      </c>
      <c r="U3747">
        <v>-3.0042110000000002</v>
      </c>
      <c r="V3747">
        <v>0.11948549999999999</v>
      </c>
      <c r="W3747">
        <v>-2.0693619999999999E-2</v>
      </c>
      <c r="X3747">
        <v>0.99262030000000001</v>
      </c>
      <c r="Y3747">
        <v>0.18109130000000001</v>
      </c>
      <c r="Z3747">
        <v>2.5624340000000002E-3</v>
      </c>
      <c r="AA3747">
        <v>0.98346290000000003</v>
      </c>
      <c r="AB3747">
        <v>8</v>
      </c>
      <c r="AC3747">
        <v>-13.814299999999999</v>
      </c>
      <c r="AD3747">
        <v>-0.73359370000000002</v>
      </c>
      <c r="AE3747">
        <v>-279.87148999999999</v>
      </c>
      <c r="AF3747">
        <v>50.754983178384101</v>
      </c>
      <c r="AG3747">
        <v>-0.73359370000000002</v>
      </c>
      <c r="AH3747">
        <v>275.57529129713998</v>
      </c>
      <c r="AI3747">
        <v>90.150000651622705</v>
      </c>
      <c r="AJ3747">
        <v>79.564311596391605</v>
      </c>
      <c r="AK3747">
        <v>280.2112553961</v>
      </c>
      <c r="AL3747">
        <v>91.185741684815</v>
      </c>
      <c r="AM3747">
        <v>83.136113106624705</v>
      </c>
      <c r="AN3747">
        <v>1.0000000352955201</v>
      </c>
    </row>
    <row r="3748" spans="1:40" x14ac:dyDescent="0.25">
      <c r="A3748" t="str">
        <f>"20190312161041597"</f>
        <v>20190312161041597</v>
      </c>
      <c r="B3748" t="str">
        <f>"1552378241590482"</f>
        <v>1552378241590482</v>
      </c>
      <c r="C3748" t="s">
        <v>40</v>
      </c>
      <c r="D3748">
        <v>6.8848200000000004</v>
      </c>
      <c r="E3748">
        <v>0.53611529999999996</v>
      </c>
      <c r="F3748" t="s">
        <v>41</v>
      </c>
      <c r="G3748">
        <v>-192.66200000000001</v>
      </c>
      <c r="H3748" s="1">
        <v>-1.422732E-6</v>
      </c>
      <c r="I3748">
        <v>161.10299999999901</v>
      </c>
      <c r="J3748">
        <v>-189.3287</v>
      </c>
      <c r="K3748">
        <v>1.1098209999999999</v>
      </c>
      <c r="L3748">
        <v>197.9032</v>
      </c>
      <c r="M3748">
        <v>0.12678319999999901</v>
      </c>
      <c r="N3748">
        <v>0</v>
      </c>
      <c r="O3748">
        <v>-0.99185710000000005</v>
      </c>
      <c r="P3748">
        <v>5.0510570000000003E-3</v>
      </c>
      <c r="Q3748">
        <v>-3.1420829999999997E-2</v>
      </c>
      <c r="R3748">
        <v>-0.99949379999999999</v>
      </c>
      <c r="S3748">
        <v>-0.26974490000000001</v>
      </c>
      <c r="T3748">
        <v>-9.0170029999999998E-2</v>
      </c>
      <c r="U3748">
        <v>-3.0023960000000001</v>
      </c>
      <c r="V3748">
        <v>0.1216991</v>
      </c>
      <c r="W3748">
        <v>-1.9554200000000001E-2</v>
      </c>
      <c r="X3748">
        <v>0.99237439999999999</v>
      </c>
      <c r="Y3748">
        <v>0.21500520000000001</v>
      </c>
      <c r="Z3748">
        <v>2.9245190000000001E-2</v>
      </c>
      <c r="AA3748">
        <v>0.97617500000000001</v>
      </c>
      <c r="AB3748">
        <v>8</v>
      </c>
      <c r="AC3748">
        <v>-3.3332999999999999</v>
      </c>
      <c r="AD3748">
        <v>-1.1098224227319999</v>
      </c>
      <c r="AE3748">
        <v>-36.800199999999997</v>
      </c>
      <c r="AF3748">
        <v>7.9651989920688502</v>
      </c>
      <c r="AG3748">
        <v>-1.1098224227319999</v>
      </c>
      <c r="AH3748">
        <v>36.048039221474397</v>
      </c>
      <c r="AI3748">
        <v>91.7219180288823</v>
      </c>
      <c r="AJ3748">
        <v>77.540090652399201</v>
      </c>
      <c r="AK3748">
        <v>36.934228467726399</v>
      </c>
      <c r="AL3748">
        <v>91.120444549975502</v>
      </c>
      <c r="AM3748">
        <v>83.008483871434393</v>
      </c>
      <c r="AN3748">
        <v>0.99999999372690496</v>
      </c>
    </row>
    <row r="3749" spans="1:40" x14ac:dyDescent="0.25">
      <c r="A3749" t="str">
        <f>"20190312161041620"</f>
        <v>20190312161041620</v>
      </c>
      <c r="B3749" t="str">
        <f>"1552378241610003"</f>
        <v>1552378241610003</v>
      </c>
      <c r="C3749" t="s">
        <v>40</v>
      </c>
      <c r="D3749">
        <v>6.4400120000000003</v>
      </c>
      <c r="E3749">
        <v>0.5334392</v>
      </c>
      <c r="F3749" t="s">
        <v>41</v>
      </c>
      <c r="G3749">
        <v>-192.25030000000001</v>
      </c>
      <c r="H3749" s="1">
        <v>-3.5225639999999998E-6</v>
      </c>
      <c r="I3749">
        <v>165.77690000000001</v>
      </c>
      <c r="J3749">
        <v>-189.32169999999999</v>
      </c>
      <c r="K3749">
        <v>1.109823</v>
      </c>
      <c r="L3749">
        <v>197.8211</v>
      </c>
      <c r="M3749">
        <v>0.1238679</v>
      </c>
      <c r="N3749">
        <v>0</v>
      </c>
      <c r="O3749">
        <v>-0.99222540000000004</v>
      </c>
      <c r="P3749">
        <v>6.0441179999999996E-4</v>
      </c>
      <c r="Q3749">
        <v>-3.0911060000000001E-2</v>
      </c>
      <c r="R3749">
        <v>-0.99952200000000002</v>
      </c>
      <c r="S3749">
        <v>-0.2727966</v>
      </c>
      <c r="T3749">
        <v>-0.1036246</v>
      </c>
      <c r="U3749">
        <v>-2.9996489999999998</v>
      </c>
      <c r="V3749">
        <v>0.1231997</v>
      </c>
      <c r="W3749">
        <v>-1.9050979999999999E-2</v>
      </c>
      <c r="X3749">
        <v>0.99219900000000005</v>
      </c>
      <c r="Y3749">
        <v>0.21318670000000001</v>
      </c>
      <c r="Z3749">
        <v>3.3659149999999999E-2</v>
      </c>
      <c r="AA3749">
        <v>0.97643150000000001</v>
      </c>
      <c r="AB3749">
        <v>8</v>
      </c>
      <c r="AC3749">
        <v>-2.9286000000000101</v>
      </c>
      <c r="AD3749">
        <v>-1.1098265225640001</v>
      </c>
      <c r="AE3749">
        <v>-32.044199999999897</v>
      </c>
      <c r="AF3749">
        <v>6.8674098482548001</v>
      </c>
      <c r="AG3749">
        <v>-1.1098265225640001</v>
      </c>
      <c r="AH3749">
        <v>31.397246575414702</v>
      </c>
      <c r="AI3749">
        <v>91.977724910014999</v>
      </c>
      <c r="AJ3749">
        <v>77.662197699692399</v>
      </c>
      <c r="AK3749">
        <v>32.158671077199102</v>
      </c>
      <c r="AL3749">
        <v>91.0916068086499</v>
      </c>
      <c r="AM3749">
        <v>82.921906123281602</v>
      </c>
      <c r="AN3749">
        <v>0.99999998076002505</v>
      </c>
    </row>
    <row r="3750" spans="1:40" x14ac:dyDescent="0.25">
      <c r="A3750" t="str">
        <f>"20190312161041661"</f>
        <v>20190312161041661</v>
      </c>
      <c r="B3750" t="str">
        <f>"1552378241650018"</f>
        <v>1552378241650018</v>
      </c>
      <c r="C3750" t="s">
        <v>40</v>
      </c>
      <c r="D3750">
        <v>5.7360680000000004</v>
      </c>
      <c r="E3750">
        <v>0.52959730000000005</v>
      </c>
      <c r="F3750" t="s">
        <v>42</v>
      </c>
      <c r="G3750">
        <v>-189.38659999999999</v>
      </c>
      <c r="H3750">
        <v>0.94355120000000003</v>
      </c>
      <c r="I3750">
        <v>197.1104</v>
      </c>
      <c r="J3750">
        <v>-189.3098</v>
      </c>
      <c r="K3750">
        <v>1.1098460000000001</v>
      </c>
      <c r="L3750">
        <v>197.67689999999999</v>
      </c>
      <c r="M3750">
        <v>0.1189404</v>
      </c>
      <c r="N3750">
        <v>0</v>
      </c>
      <c r="O3750">
        <v>-0.9928283</v>
      </c>
      <c r="P3750">
        <v>-8.5332840000000004E-3</v>
      </c>
      <c r="Q3750">
        <v>-2.9772320000000001E-2</v>
      </c>
      <c r="R3750">
        <v>-0.99952050000000003</v>
      </c>
      <c r="S3750">
        <v>-0.27180480000000001</v>
      </c>
      <c r="T3750">
        <v>-0.69702889999999995</v>
      </c>
      <c r="U3750">
        <v>-2.9800420000000001</v>
      </c>
      <c r="V3750">
        <v>0.12734819999999999</v>
      </c>
      <c r="W3750">
        <v>-1.7923209999999998E-2</v>
      </c>
      <c r="X3750">
        <v>0.99169609999999997</v>
      </c>
      <c r="Y3750">
        <v>0.2063171</v>
      </c>
      <c r="Z3750">
        <v>0.2224401</v>
      </c>
      <c r="AA3750">
        <v>0.95286599999999999</v>
      </c>
      <c r="AB3750">
        <v>8</v>
      </c>
      <c r="AC3750">
        <v>-7.67999999999915E-2</v>
      </c>
      <c r="AD3750">
        <v>-0.16629479999999899</v>
      </c>
      <c r="AE3750">
        <v>-0.56649999999999001</v>
      </c>
      <c r="AF3750">
        <v>0.13243349646479</v>
      </c>
      <c r="AG3750">
        <v>-0.16629479999999899</v>
      </c>
      <c r="AH3750">
        <v>0.51017430067557601</v>
      </c>
      <c r="AI3750">
        <v>107.51049791478501</v>
      </c>
      <c r="AJ3750">
        <v>75.448068659137206</v>
      </c>
      <c r="AK3750">
        <v>0.55269377467340997</v>
      </c>
      <c r="AL3750">
        <v>91.026979298462706</v>
      </c>
      <c r="AM3750">
        <v>82.682436304913494</v>
      </c>
      <c r="AN3750">
        <v>0.99999998012757596</v>
      </c>
    </row>
    <row r="3751" spans="1:40" x14ac:dyDescent="0.25">
      <c r="A3751" t="str">
        <f>"20190312161041684"</f>
        <v>20190312161041684</v>
      </c>
      <c r="B3751" t="str">
        <f>"1552378241680274"</f>
        <v>1552378241680274</v>
      </c>
      <c r="C3751" t="s">
        <v>40</v>
      </c>
      <c r="D3751">
        <v>5.8119189999999996</v>
      </c>
      <c r="E3751">
        <v>0.52015929999999999</v>
      </c>
      <c r="F3751" t="s">
        <v>42</v>
      </c>
      <c r="G3751">
        <v>-189.3724</v>
      </c>
      <c r="H3751">
        <v>0.93443980000000004</v>
      </c>
      <c r="I3751">
        <v>196.97739999999999</v>
      </c>
      <c r="J3751">
        <v>-189.3038</v>
      </c>
      <c r="K3751">
        <v>1.1098589999999999</v>
      </c>
      <c r="L3751">
        <v>197.60169999999999</v>
      </c>
      <c r="M3751">
        <v>0.1164694</v>
      </c>
      <c r="N3751">
        <v>0</v>
      </c>
      <c r="O3751">
        <v>-0.99312100000000003</v>
      </c>
      <c r="P3751">
        <v>-1.2580940000000001E-2</v>
      </c>
      <c r="Q3751">
        <v>-2.905781E-2</v>
      </c>
      <c r="R3751">
        <v>-0.99949840000000001</v>
      </c>
      <c r="S3751">
        <v>-0.266098</v>
      </c>
      <c r="T3751">
        <v>-0.74639699999999998</v>
      </c>
      <c r="U3751">
        <v>-2.9769290000000002</v>
      </c>
      <c r="V3751">
        <v>0.1288994</v>
      </c>
      <c r="W3751">
        <v>-1.721118E-2</v>
      </c>
      <c r="X3751">
        <v>0.99150830000000001</v>
      </c>
      <c r="Y3751">
        <v>0.2018327</v>
      </c>
      <c r="Z3751">
        <v>0.23777019999999999</v>
      </c>
      <c r="AA3751">
        <v>0.95012039999999998</v>
      </c>
      <c r="AB3751">
        <v>8</v>
      </c>
      <c r="AC3751">
        <v>-6.8600000000003505E-2</v>
      </c>
      <c r="AD3751">
        <v>-0.175419199999999</v>
      </c>
      <c r="AE3751">
        <v>-0.62430000000000496</v>
      </c>
      <c r="AF3751">
        <v>0.130657492096135</v>
      </c>
      <c r="AG3751">
        <v>-0.175419199999999</v>
      </c>
      <c r="AH3751">
        <v>0.56776809610769596</v>
      </c>
      <c r="AI3751">
        <v>106.75668337125499</v>
      </c>
      <c r="AJ3751">
        <v>77.040447048348497</v>
      </c>
      <c r="AK3751">
        <v>0.60844382397001096</v>
      </c>
      <c r="AL3751">
        <v>90.986176672265799</v>
      </c>
      <c r="AM3751">
        <v>82.592899152029304</v>
      </c>
      <c r="AN3751">
        <v>0.99999999450312105</v>
      </c>
    </row>
    <row r="3752" spans="1:40" x14ac:dyDescent="0.25">
      <c r="A3752" t="str">
        <f>"20190312161041707"</f>
        <v>20190312161041707</v>
      </c>
      <c r="B3752" t="str">
        <f>"1552378241699795"</f>
        <v>1552378241699795</v>
      </c>
      <c r="C3752" t="s">
        <v>40</v>
      </c>
      <c r="D3752">
        <v>5.7943740000000004</v>
      </c>
      <c r="E3752">
        <v>0.51821289999999998</v>
      </c>
      <c r="F3752" t="s">
        <v>41</v>
      </c>
      <c r="G3752">
        <v>-190.1636</v>
      </c>
      <c r="H3752" s="1">
        <v>-2.2439779999999998E-6</v>
      </c>
      <c r="I3752">
        <v>184.7184</v>
      </c>
      <c r="J3752">
        <v>-189.29740000000001</v>
      </c>
      <c r="K3752">
        <v>1.109877</v>
      </c>
      <c r="L3752">
        <v>197.52099999999999</v>
      </c>
      <c r="M3752">
        <v>0.1139013</v>
      </c>
      <c r="N3752">
        <v>0</v>
      </c>
      <c r="O3752">
        <v>-0.99341889999999999</v>
      </c>
      <c r="P3752">
        <v>-1.640258E-2</v>
      </c>
      <c r="Q3752">
        <v>-2.86866E-2</v>
      </c>
      <c r="R3752">
        <v>-0.99945410000000001</v>
      </c>
      <c r="S3752">
        <v>-0.19964599999999999</v>
      </c>
      <c r="T3752">
        <v>-0.25770989999999999</v>
      </c>
      <c r="U3752">
        <v>-2.991501</v>
      </c>
      <c r="V3752">
        <v>0.13012879999999999</v>
      </c>
      <c r="W3752">
        <v>-1.6841160000000001E-2</v>
      </c>
      <c r="X3752">
        <v>0.99135399999999996</v>
      </c>
      <c r="Y3752">
        <v>0.1795715</v>
      </c>
      <c r="Z3752">
        <v>8.4200300000000006E-2</v>
      </c>
      <c r="AA3752">
        <v>0.98013490000000003</v>
      </c>
      <c r="AB3752">
        <v>8</v>
      </c>
      <c r="AC3752">
        <v>-0.86619999999999198</v>
      </c>
      <c r="AD3752">
        <v>-1.1098792439780001</v>
      </c>
      <c r="AE3752">
        <v>-12.802599999999901</v>
      </c>
      <c r="AF3752">
        <v>2.3016814522540501</v>
      </c>
      <c r="AG3752">
        <v>-1.1098792439780001</v>
      </c>
      <c r="AH3752">
        <v>12.526884743062</v>
      </c>
      <c r="AI3752">
        <v>94.980233537231101</v>
      </c>
      <c r="AJ3752">
        <v>79.588638155947507</v>
      </c>
      <c r="AK3752">
        <v>12.7848508325214</v>
      </c>
      <c r="AL3752">
        <v>90.964973065456903</v>
      </c>
      <c r="AM3752">
        <v>82.521897697488797</v>
      </c>
      <c r="AN3752">
        <v>0.99999994128779102</v>
      </c>
    </row>
    <row r="3753" spans="1:40" x14ac:dyDescent="0.25">
      <c r="A3753" t="str">
        <f>"20190312161041730"</f>
        <v>20190312161041730</v>
      </c>
      <c r="B3753" t="str">
        <f>"1552378241720291"</f>
        <v>1552378241720291</v>
      </c>
      <c r="C3753" t="s">
        <v>40</v>
      </c>
      <c r="D3753">
        <v>6.0298939999999996</v>
      </c>
      <c r="E3753">
        <v>0.51523140000000001</v>
      </c>
      <c r="F3753" t="s">
        <v>41</v>
      </c>
      <c r="G3753">
        <v>-190.4453</v>
      </c>
      <c r="H3753" s="1">
        <v>-2.6151690000000001E-7</v>
      </c>
      <c r="I3753">
        <v>179.92250000000001</v>
      </c>
      <c r="J3753">
        <v>-189.29140000000001</v>
      </c>
      <c r="K3753">
        <v>1.1098859999999999</v>
      </c>
      <c r="L3753">
        <v>197.4425</v>
      </c>
      <c r="M3753">
        <v>0.11148189999999999</v>
      </c>
      <c r="N3753">
        <v>0</v>
      </c>
      <c r="O3753">
        <v>-0.99369350000000001</v>
      </c>
      <c r="P3753">
        <v>-1.9745229999999999E-2</v>
      </c>
      <c r="Q3753">
        <v>-2.8106880000000001E-2</v>
      </c>
      <c r="R3753">
        <v>-0.99941000000000002</v>
      </c>
      <c r="S3753">
        <v>-0.1952209</v>
      </c>
      <c r="T3753">
        <v>-0.18875929999999999</v>
      </c>
      <c r="U3753">
        <v>-2.9930110000000001</v>
      </c>
      <c r="V3753">
        <v>0.1310328</v>
      </c>
      <c r="W3753">
        <v>-1.626215E-2</v>
      </c>
      <c r="X3753">
        <v>0.99124469999999998</v>
      </c>
      <c r="Y3753">
        <v>0.1758082</v>
      </c>
      <c r="Z3753">
        <v>6.1796919999999998E-2</v>
      </c>
      <c r="AA3753">
        <v>0.98248290000000005</v>
      </c>
      <c r="AB3753">
        <v>8</v>
      </c>
      <c r="AC3753">
        <v>-1.1538999999999899</v>
      </c>
      <c r="AD3753">
        <v>-1.1098862615168901</v>
      </c>
      <c r="AE3753">
        <v>-17.5199999999999</v>
      </c>
      <c r="AF3753">
        <v>3.0876727278305101</v>
      </c>
      <c r="AG3753">
        <v>-1.1098862615168901</v>
      </c>
      <c r="AH3753">
        <v>17.213342378835598</v>
      </c>
      <c r="AI3753">
        <v>93.631423892143999</v>
      </c>
      <c r="AJ3753">
        <v>79.830621154924899</v>
      </c>
      <c r="AK3753">
        <v>17.5232624313713</v>
      </c>
      <c r="AL3753">
        <v>90.931793583781698</v>
      </c>
      <c r="AM3753">
        <v>82.4697209073165</v>
      </c>
      <c r="AN3753">
        <v>1.0000000537382701</v>
      </c>
    </row>
    <row r="3754" spans="1:40" x14ac:dyDescent="0.25">
      <c r="A3754" t="str">
        <f>"20190312161041752"</f>
        <v>20190312161041752</v>
      </c>
      <c r="B3754" t="str">
        <f>"1552378241739810"</f>
        <v>1552378241739810</v>
      </c>
      <c r="C3754" t="s">
        <v>40</v>
      </c>
      <c r="D3754">
        <v>5.7448319999999997</v>
      </c>
      <c r="E3754">
        <v>0.51575530000000003</v>
      </c>
      <c r="F3754" t="s">
        <v>41</v>
      </c>
      <c r="G3754">
        <v>-190.6294</v>
      </c>
      <c r="H3754" s="1">
        <v>-2.6262310000000002E-6</v>
      </c>
      <c r="I3754">
        <v>175.32050000000001</v>
      </c>
      <c r="J3754">
        <v>-189.28530000000001</v>
      </c>
      <c r="K3754">
        <v>1.1098920000000001</v>
      </c>
      <c r="L3754">
        <v>197.36349999999999</v>
      </c>
      <c r="M3754">
        <v>0.10910889999999999</v>
      </c>
      <c r="N3754">
        <v>0</v>
      </c>
      <c r="O3754">
        <v>-0.99395690000000003</v>
      </c>
      <c r="P3754">
        <v>-2.2102190000000001E-2</v>
      </c>
      <c r="Q3754">
        <v>-2.8248760000000001E-2</v>
      </c>
      <c r="R3754">
        <v>-0.99935689999999999</v>
      </c>
      <c r="S3754">
        <v>-0.18109130000000001</v>
      </c>
      <c r="T3754">
        <v>-0.1502117</v>
      </c>
      <c r="U3754">
        <v>-2.993973</v>
      </c>
      <c r="V3754">
        <v>0.13100329999999999</v>
      </c>
      <c r="W3754">
        <v>-1.640494E-2</v>
      </c>
      <c r="X3754">
        <v>0.99124619999999997</v>
      </c>
      <c r="Y3754">
        <v>0.16885749999999999</v>
      </c>
      <c r="Z3754">
        <v>4.925446E-2</v>
      </c>
      <c r="AA3754">
        <v>0.98440899999999998</v>
      </c>
      <c r="AB3754">
        <v>8</v>
      </c>
      <c r="AC3754">
        <v>-1.3440999999999901</v>
      </c>
      <c r="AD3754">
        <v>-1.1098946262309899</v>
      </c>
      <c r="AE3754">
        <v>-22.0429999999999</v>
      </c>
      <c r="AF3754">
        <v>3.7319097709729498</v>
      </c>
      <c r="AG3754">
        <v>-1.1098946262309899</v>
      </c>
      <c r="AH3754">
        <v>21.709879648606702</v>
      </c>
      <c r="AI3754">
        <v>92.884405303723298</v>
      </c>
      <c r="AJ3754">
        <v>80.246231297119394</v>
      </c>
      <c r="AK3754">
        <v>22.056243809339101</v>
      </c>
      <c r="AL3754">
        <v>90.939975982388304</v>
      </c>
      <c r="AM3754">
        <v>82.471408045828198</v>
      </c>
      <c r="AN3754">
        <v>1.00000000784086</v>
      </c>
    </row>
    <row r="3755" spans="1:40" x14ac:dyDescent="0.25">
      <c r="A3755" t="str">
        <f>"20190312161041775"</f>
        <v>20190312161041775</v>
      </c>
      <c r="B3755" t="str">
        <f>"1552378241770067"</f>
        <v>1552378241770067</v>
      </c>
      <c r="C3755" t="s">
        <v>40</v>
      </c>
      <c r="D3755">
        <v>5.5974259999999996</v>
      </c>
      <c r="E3755">
        <v>0.51428370000000001</v>
      </c>
      <c r="F3755" t="s">
        <v>41</v>
      </c>
      <c r="G3755">
        <v>-190.56989999999999</v>
      </c>
      <c r="H3755" s="1">
        <v>-3.4994680000000001E-6</v>
      </c>
      <c r="I3755">
        <v>177.393</v>
      </c>
      <c r="J3755">
        <v>-189.27930000000001</v>
      </c>
      <c r="K3755">
        <v>1.1098809999999999</v>
      </c>
      <c r="L3755">
        <v>197.28270000000001</v>
      </c>
      <c r="M3755">
        <v>0.1067391</v>
      </c>
      <c r="N3755">
        <v>0</v>
      </c>
      <c r="O3755">
        <v>-0.99421409999999999</v>
      </c>
      <c r="P3755">
        <v>-2.3782910000000001E-2</v>
      </c>
      <c r="Q3755">
        <v>-2.7599370000000002E-2</v>
      </c>
      <c r="R3755">
        <v>-0.99933629999999996</v>
      </c>
      <c r="S3755">
        <v>-0.1925201</v>
      </c>
      <c r="T3755">
        <v>-0.16634019999999999</v>
      </c>
      <c r="U3755">
        <v>-2.9929809999999999</v>
      </c>
      <c r="V3755">
        <v>0.1303098</v>
      </c>
      <c r="W3755">
        <v>-1.575698E-2</v>
      </c>
      <c r="X3755">
        <v>0.99134809999999995</v>
      </c>
      <c r="Y3755">
        <v>0.17025379999999901</v>
      </c>
      <c r="Z3755">
        <v>5.4553829999999998E-2</v>
      </c>
      <c r="AA3755">
        <v>0.98388900000000001</v>
      </c>
      <c r="AB3755">
        <v>8</v>
      </c>
      <c r="AC3755">
        <v>-1.29059999999998</v>
      </c>
      <c r="AD3755">
        <v>-1.1098844994679999</v>
      </c>
      <c r="AE3755">
        <v>-19.889700000000001</v>
      </c>
      <c r="AF3755">
        <v>3.3958586230558798</v>
      </c>
      <c r="AG3755">
        <v>-1.1098844994679999</v>
      </c>
      <c r="AH3755">
        <v>19.577581142279598</v>
      </c>
      <c r="AI3755">
        <v>93.197078749556496</v>
      </c>
      <c r="AJ3755">
        <v>80.159585313206605</v>
      </c>
      <c r="AK3755">
        <v>19.900888994527001</v>
      </c>
      <c r="AL3755">
        <v>90.902845822855099</v>
      </c>
      <c r="AM3755">
        <v>82.511570088226506</v>
      </c>
      <c r="AN3755">
        <v>0.99999999088418501</v>
      </c>
    </row>
    <row r="3756" spans="1:40" x14ac:dyDescent="0.25">
      <c r="A3756" t="str">
        <f>"20190312161041820"</f>
        <v>20190312161041820</v>
      </c>
      <c r="B3756" t="str">
        <f>"1552378241810083"</f>
        <v>1552378241810083</v>
      </c>
      <c r="C3756" t="s">
        <v>40</v>
      </c>
      <c r="D3756">
        <v>5.6036449999999904</v>
      </c>
      <c r="E3756">
        <v>0.51186809999999905</v>
      </c>
      <c r="F3756" t="s">
        <v>41</v>
      </c>
      <c r="G3756">
        <v>-190.51820000000001</v>
      </c>
      <c r="H3756" s="1">
        <v>-3.4532580000000002E-6</v>
      </c>
      <c r="I3756">
        <v>177.31729999999999</v>
      </c>
      <c r="J3756">
        <v>-189.2681</v>
      </c>
      <c r="K3756">
        <v>1.109853</v>
      </c>
      <c r="L3756">
        <v>197.12809999999999</v>
      </c>
      <c r="M3756">
        <v>0.10232670000000001</v>
      </c>
      <c r="N3756">
        <v>0</v>
      </c>
      <c r="O3756">
        <v>-0.9946777</v>
      </c>
      <c r="P3756">
        <v>-2.531945E-2</v>
      </c>
      <c r="Q3756">
        <v>-2.6125700000000002E-2</v>
      </c>
      <c r="R3756">
        <v>-0.99933819999999995</v>
      </c>
      <c r="S3756">
        <v>-0.18573000000000001</v>
      </c>
      <c r="T3756">
        <v>-0.1663809</v>
      </c>
      <c r="U3756">
        <v>-2.9929809999999999</v>
      </c>
      <c r="V3756">
        <v>0.12744</v>
      </c>
      <c r="W3756">
        <v>-1.4284440000000001E-2</v>
      </c>
      <c r="X3756">
        <v>0.99174340000000005</v>
      </c>
      <c r="Y3756">
        <v>0.16365450000000001</v>
      </c>
      <c r="Z3756">
        <v>5.4640639999999997E-2</v>
      </c>
      <c r="AA3756">
        <v>0.98500339999999997</v>
      </c>
      <c r="AB3756">
        <v>8</v>
      </c>
      <c r="AC3756">
        <v>-1.2501</v>
      </c>
      <c r="AD3756">
        <v>-1.109856453258</v>
      </c>
      <c r="AE3756">
        <v>-19.8108</v>
      </c>
      <c r="AF3756">
        <v>3.2606651910045001</v>
      </c>
      <c r="AG3756">
        <v>-1.109856453258</v>
      </c>
      <c r="AH3756">
        <v>19.517852098615801</v>
      </c>
      <c r="AI3756">
        <v>93.2101495625637</v>
      </c>
      <c r="AJ3756">
        <v>80.515715331533201</v>
      </c>
      <c r="AK3756">
        <v>19.8194417019781</v>
      </c>
      <c r="AL3756">
        <v>90.818465972496597</v>
      </c>
      <c r="AM3756">
        <v>82.677564074101497</v>
      </c>
      <c r="AN3756">
        <v>0.99999998513483601</v>
      </c>
    </row>
    <row r="3757" spans="1:40" x14ac:dyDescent="0.25">
      <c r="A3757" t="str">
        <f>"20190312161041842"</f>
        <v>20190312161041842</v>
      </c>
      <c r="B3757" t="str">
        <f>"1552378241830579"</f>
        <v>1552378241830579</v>
      </c>
      <c r="C3757" t="s">
        <v>40</v>
      </c>
      <c r="D3757">
        <v>5.7365370000000002</v>
      </c>
      <c r="E3757">
        <v>0.51184689999999999</v>
      </c>
      <c r="F3757" t="s">
        <v>41</v>
      </c>
      <c r="G3757">
        <v>-190.45509999999999</v>
      </c>
      <c r="H3757" s="1">
        <v>-3.0272480000000001E-6</v>
      </c>
      <c r="I3757">
        <v>176.36340000000001</v>
      </c>
      <c r="J3757">
        <v>-189.26310000000001</v>
      </c>
      <c r="K3757">
        <v>1.1098380000000001</v>
      </c>
      <c r="L3757">
        <v>197.0557</v>
      </c>
      <c r="M3757">
        <v>0.1003018</v>
      </c>
      <c r="N3757">
        <v>0</v>
      </c>
      <c r="O3757">
        <v>-0.99488390000000004</v>
      </c>
      <c r="P3757">
        <v>-2.6256040000000001E-2</v>
      </c>
      <c r="Q3757">
        <v>-2.6867700000000001E-2</v>
      </c>
      <c r="R3757">
        <v>-0.99929429999999997</v>
      </c>
      <c r="S3757">
        <v>-0.17111209999999999</v>
      </c>
      <c r="T3757">
        <v>-0.15999829999999901</v>
      </c>
      <c r="U3757">
        <v>-2.9934539999999998</v>
      </c>
      <c r="V3757">
        <v>0.12634780000000001</v>
      </c>
      <c r="W3757">
        <v>-1.502794E-2</v>
      </c>
      <c r="X3757">
        <v>0.99187219999999998</v>
      </c>
      <c r="Y3757">
        <v>0.1568464</v>
      </c>
      <c r="Z3757">
        <v>5.2596009999999999E-2</v>
      </c>
      <c r="AA3757">
        <v>0.98622149999999997</v>
      </c>
      <c r="AB3757">
        <v>8</v>
      </c>
      <c r="AC3757">
        <v>-1.19199999999997</v>
      </c>
      <c r="AD3757">
        <v>-1.1098410272479999</v>
      </c>
      <c r="AE3757">
        <v>-20.6922999999999</v>
      </c>
      <c r="AF3757">
        <v>3.2522888395355598</v>
      </c>
      <c r="AG3757">
        <v>-1.1098410272479999</v>
      </c>
      <c r="AH3757">
        <v>20.409846182527101</v>
      </c>
      <c r="AI3757">
        <v>93.073843492008393</v>
      </c>
      <c r="AJ3757">
        <v>80.946094574297803</v>
      </c>
      <c r="AK3757">
        <v>20.697124220430901</v>
      </c>
      <c r="AL3757">
        <v>90.861069920667006</v>
      </c>
      <c r="AM3757">
        <v>82.740579864049295</v>
      </c>
      <c r="AN3757">
        <v>1.0000000333391601</v>
      </c>
    </row>
    <row r="3758" spans="1:40" x14ac:dyDescent="0.25">
      <c r="A3758" t="str">
        <f>"20190312161041864"</f>
        <v>20190312161041864</v>
      </c>
      <c r="B3758" t="str">
        <f>"1552378241859858"</f>
        <v>1552378241859858</v>
      </c>
      <c r="C3758" t="s">
        <v>40</v>
      </c>
      <c r="D3758">
        <v>5.7996460000000001</v>
      </c>
      <c r="E3758">
        <v>0.51140699999999994</v>
      </c>
      <c r="F3758" t="s">
        <v>41</v>
      </c>
      <c r="G3758">
        <v>-190.4066</v>
      </c>
      <c r="H3758" s="1">
        <v>-3.451766E-6</v>
      </c>
      <c r="I3758">
        <v>177.38310000000001</v>
      </c>
      <c r="J3758">
        <v>-189.25790000000001</v>
      </c>
      <c r="K3758">
        <v>1.10982</v>
      </c>
      <c r="L3758">
        <v>196.97900000000001</v>
      </c>
      <c r="M3758">
        <v>9.8177150000000005E-2</v>
      </c>
      <c r="N3758">
        <v>0</v>
      </c>
      <c r="O3758">
        <v>-0.99509590000000003</v>
      </c>
      <c r="P3758">
        <v>-2.7927009999999999E-2</v>
      </c>
      <c r="Q3758">
        <v>-2.7398869999999999E-2</v>
      </c>
      <c r="R3758">
        <v>-0.99923459999999997</v>
      </c>
      <c r="S3758">
        <v>-0.17398069999999999</v>
      </c>
      <c r="T3758">
        <v>-0.168853799999999</v>
      </c>
      <c r="U3758">
        <v>-2.993042</v>
      </c>
      <c r="V3758">
        <v>0.1258861</v>
      </c>
      <c r="W3758">
        <v>-1.5561200000000001E-2</v>
      </c>
      <c r="X3758">
        <v>0.99192259999999999</v>
      </c>
      <c r="Y3758">
        <v>0.15567800000000001</v>
      </c>
      <c r="Z3758">
        <v>5.5527269999999997E-2</v>
      </c>
      <c r="AA3758">
        <v>0.98624590000000001</v>
      </c>
      <c r="AB3758">
        <v>8</v>
      </c>
      <c r="AC3758">
        <v>-1.1486999999999901</v>
      </c>
      <c r="AD3758">
        <v>-1.1098234517659999</v>
      </c>
      <c r="AE3758">
        <v>-19.5959</v>
      </c>
      <c r="AF3758">
        <v>3.05738603577056</v>
      </c>
      <c r="AG3758">
        <v>-1.1098234517659999</v>
      </c>
      <c r="AH3758">
        <v>19.326653735503498</v>
      </c>
      <c r="AI3758">
        <v>93.246290683326905</v>
      </c>
      <c r="AJ3758">
        <v>81.010571329007007</v>
      </c>
      <c r="AK3758">
        <v>19.5984402970712</v>
      </c>
      <c r="AL3758">
        <v>90.8916271134798</v>
      </c>
      <c r="AM3758">
        <v>82.767189400294399</v>
      </c>
      <c r="AN3758">
        <v>0.99999995275470299</v>
      </c>
    </row>
    <row r="3759" spans="1:40" x14ac:dyDescent="0.25">
      <c r="A3759" t="str">
        <f>"20190312161041887"</f>
        <v>20190312161041887</v>
      </c>
      <c r="B3759" t="str">
        <f>"1552378241880355"</f>
        <v>1552378241880355</v>
      </c>
      <c r="C3759" t="s">
        <v>40</v>
      </c>
      <c r="D3759">
        <v>5.78104</v>
      </c>
      <c r="E3759">
        <v>0.51112049999999998</v>
      </c>
      <c r="F3759" t="s">
        <v>41</v>
      </c>
      <c r="G3759">
        <v>-190.32149999999999</v>
      </c>
      <c r="H3759" s="1">
        <v>-4.0549930000000002E-6</v>
      </c>
      <c r="I3759">
        <v>178.84200000000001</v>
      </c>
      <c r="J3759">
        <v>-189.25280000000001</v>
      </c>
      <c r="K3759">
        <v>1.109807</v>
      </c>
      <c r="L3759">
        <v>196.90270000000001</v>
      </c>
      <c r="M3759">
        <v>9.6093150000000002E-2</v>
      </c>
      <c r="N3759">
        <v>0</v>
      </c>
      <c r="O3759">
        <v>-0.9952995</v>
      </c>
      <c r="P3759">
        <v>-3.012254E-2</v>
      </c>
      <c r="Q3759">
        <v>-2.765544E-2</v>
      </c>
      <c r="R3759">
        <v>-0.99916380000000005</v>
      </c>
      <c r="S3759">
        <v>-0.1754761</v>
      </c>
      <c r="T3759">
        <v>-0.18310570000000001</v>
      </c>
      <c r="U3759">
        <v>-2.9923549999999999</v>
      </c>
      <c r="V3759">
        <v>0.1259873</v>
      </c>
      <c r="W3759">
        <v>-1.5819550000000002E-2</v>
      </c>
      <c r="X3759">
        <v>0.9919057</v>
      </c>
      <c r="Y3759">
        <v>0.1540974</v>
      </c>
      <c r="Z3759">
        <v>6.02363E-2</v>
      </c>
      <c r="AA3759">
        <v>0.98621780000000003</v>
      </c>
      <c r="AB3759">
        <v>8</v>
      </c>
      <c r="AC3759">
        <v>-1.06869999999997</v>
      </c>
      <c r="AD3759">
        <v>-1.109811054993</v>
      </c>
      <c r="AE3759">
        <v>-18.060700000000001</v>
      </c>
      <c r="AF3759">
        <v>2.7888950596131998</v>
      </c>
      <c r="AG3759">
        <v>-1.109811054993</v>
      </c>
      <c r="AH3759">
        <v>17.8074013162752</v>
      </c>
      <c r="AI3759">
        <v>93.5233945234001</v>
      </c>
      <c r="AJ3759">
        <v>81.098962281315394</v>
      </c>
      <c r="AK3759">
        <v>18.0586034307806</v>
      </c>
      <c r="AL3759">
        <v>90.906431269499507</v>
      </c>
      <c r="AM3759">
        <v>82.7613145607463</v>
      </c>
      <c r="AN3759">
        <v>0.99999998780799104</v>
      </c>
    </row>
    <row r="3760" spans="1:40" x14ac:dyDescent="0.25">
      <c r="A3760" t="str">
        <f>"20190312161041908"</f>
        <v>20190312161041908</v>
      </c>
      <c r="B3760" t="str">
        <f>"1552378241899876"</f>
        <v>1552378241899876</v>
      </c>
      <c r="C3760" t="s">
        <v>40</v>
      </c>
      <c r="D3760">
        <v>6.0497930000000002</v>
      </c>
      <c r="E3760">
        <v>0.51117380000000001</v>
      </c>
      <c r="F3760" t="s">
        <v>41</v>
      </c>
      <c r="G3760">
        <v>-190.32480000000001</v>
      </c>
      <c r="H3760" s="1">
        <v>-4.1578579999999997E-6</v>
      </c>
      <c r="I3760">
        <v>179.0797</v>
      </c>
      <c r="J3760">
        <v>-189.24780000000001</v>
      </c>
      <c r="K3760">
        <v>1.1098049999999999</v>
      </c>
      <c r="L3760">
        <v>196.82429999999999</v>
      </c>
      <c r="M3760">
        <v>9.3989039999999996E-2</v>
      </c>
      <c r="N3760">
        <v>0</v>
      </c>
      <c r="O3760">
        <v>-0.99550019999999995</v>
      </c>
      <c r="P3760">
        <v>-3.2569099999999997E-2</v>
      </c>
      <c r="Q3760">
        <v>-2.75334E-2</v>
      </c>
      <c r="R3760">
        <v>-0.99909040000000005</v>
      </c>
      <c r="S3760">
        <v>-0.17994689999999999</v>
      </c>
      <c r="T3760">
        <v>-0.18630360000000001</v>
      </c>
      <c r="U3760">
        <v>-2.9919280000000001</v>
      </c>
      <c r="V3760">
        <v>0.12631969999999901</v>
      </c>
      <c r="W3760">
        <v>-1.569839E-2</v>
      </c>
      <c r="X3760">
        <v>0.99186529999999995</v>
      </c>
      <c r="Y3760">
        <v>0.1534816</v>
      </c>
      <c r="Z3760">
        <v>6.1311989999999997E-2</v>
      </c>
      <c r="AA3760">
        <v>0.98624750000000005</v>
      </c>
      <c r="AB3760">
        <v>8</v>
      </c>
      <c r="AC3760">
        <v>-1.07699999999999</v>
      </c>
      <c r="AD3760">
        <v>-1.1098091578579901</v>
      </c>
      <c r="AE3760">
        <v>-17.744599999999899</v>
      </c>
      <c r="AF3760">
        <v>2.72951305251752</v>
      </c>
      <c r="AG3760">
        <v>-1.1098091578579901</v>
      </c>
      <c r="AH3760">
        <v>17.4966136781625</v>
      </c>
      <c r="AI3760">
        <v>93.586145633510597</v>
      </c>
      <c r="AJ3760">
        <v>81.1331918649432</v>
      </c>
      <c r="AK3760">
        <v>17.742981938602998</v>
      </c>
      <c r="AL3760">
        <v>90.899488493879403</v>
      </c>
      <c r="AM3760">
        <v>82.742127204582403</v>
      </c>
      <c r="AN3760">
        <v>0.99999993970038403</v>
      </c>
    </row>
    <row r="3761" spans="1:40" x14ac:dyDescent="0.25">
      <c r="A3761" t="str">
        <f>"20190312161041931"</f>
        <v>20190312161041931</v>
      </c>
      <c r="B3761" t="str">
        <f>"1552378241920374"</f>
        <v>1552378241920374</v>
      </c>
      <c r="C3761" t="s">
        <v>40</v>
      </c>
      <c r="D3761">
        <v>5.862133</v>
      </c>
      <c r="E3761">
        <v>0.5356284</v>
      </c>
      <c r="F3761" t="s">
        <v>41</v>
      </c>
      <c r="G3761">
        <v>-190.4006</v>
      </c>
      <c r="H3761" s="1">
        <v>-3.9083070000000003E-6</v>
      </c>
      <c r="I3761">
        <v>178.45099999999999</v>
      </c>
      <c r="J3761">
        <v>-189.2431</v>
      </c>
      <c r="K3761">
        <v>1.109802</v>
      </c>
      <c r="L3761">
        <v>196.74930000000001</v>
      </c>
      <c r="M3761">
        <v>9.1999419999999998E-2</v>
      </c>
      <c r="N3761">
        <v>0</v>
      </c>
      <c r="O3761">
        <v>-0.99568610000000002</v>
      </c>
      <c r="P3761">
        <v>-3.4827249999999997E-2</v>
      </c>
      <c r="Q3761">
        <v>-2.7915909999999999E-2</v>
      </c>
      <c r="R3761">
        <v>-0.99900350000000004</v>
      </c>
      <c r="S3761">
        <v>-0.18769839999999999</v>
      </c>
      <c r="T3761">
        <v>-0.18070410000000001</v>
      </c>
      <c r="U3761">
        <v>-2.9916230000000001</v>
      </c>
      <c r="V3761">
        <v>0.126578</v>
      </c>
      <c r="W3761">
        <v>-1.6081689999999999E-2</v>
      </c>
      <c r="X3761">
        <v>0.99182630000000005</v>
      </c>
      <c r="Y3761">
        <v>0.1540658</v>
      </c>
      <c r="Z3761">
        <v>5.9491370000000002E-2</v>
      </c>
      <c r="AA3761">
        <v>0.98626800000000003</v>
      </c>
      <c r="AB3761">
        <v>8</v>
      </c>
      <c r="AC3761">
        <v>-1.15749999999999</v>
      </c>
      <c r="AD3761">
        <v>-1.109805908307</v>
      </c>
      <c r="AE3761">
        <v>-18.298300000000001</v>
      </c>
      <c r="AF3761">
        <v>2.8257924045476499</v>
      </c>
      <c r="AG3761">
        <v>-1.109805908307</v>
      </c>
      <c r="AH3761">
        <v>18.0480641691789</v>
      </c>
      <c r="AI3761">
        <v>93.476534877766298</v>
      </c>
      <c r="AJ3761">
        <v>81.101422346429601</v>
      </c>
      <c r="AK3761">
        <v>18.3016226636468</v>
      </c>
      <c r="AL3761">
        <v>90.9214526758348</v>
      </c>
      <c r="AM3761">
        <v>82.727162048310106</v>
      </c>
      <c r="AN3761">
        <v>1.0000000101044699</v>
      </c>
    </row>
    <row r="3762" spans="1:40" x14ac:dyDescent="0.25">
      <c r="A3762" t="str">
        <f>"20190312161041956"</f>
        <v>20190312161041956</v>
      </c>
      <c r="B3762" t="str">
        <f>"1552378241950628"</f>
        <v>1552378241950628</v>
      </c>
      <c r="C3762" t="s">
        <v>40</v>
      </c>
      <c r="D3762">
        <v>6.0662379999999896</v>
      </c>
      <c r="E3762">
        <v>0.57873869999999905</v>
      </c>
      <c r="F3762" t="s">
        <v>89</v>
      </c>
      <c r="G3762">
        <v>-211.00229999999999</v>
      </c>
      <c r="H3762">
        <v>3.9490210000000001</v>
      </c>
      <c r="I3762">
        <v>28.79354</v>
      </c>
      <c r="J3762">
        <v>-189.238</v>
      </c>
      <c r="K3762">
        <v>1.1097969999999999</v>
      </c>
      <c r="L3762">
        <v>196.6662</v>
      </c>
      <c r="M3762">
        <v>8.9824849999999998E-2</v>
      </c>
      <c r="N3762">
        <v>0</v>
      </c>
      <c r="O3762">
        <v>-0.99588489999999996</v>
      </c>
      <c r="P3762">
        <v>-3.6643549999999997E-2</v>
      </c>
      <c r="Q3762">
        <v>-2.809186E-2</v>
      </c>
      <c r="R3762">
        <v>-0.99893390000000004</v>
      </c>
      <c r="S3762">
        <v>-0.38748169999999998</v>
      </c>
      <c r="T3762">
        <v>5.0560470000000003E-2</v>
      </c>
      <c r="U3762">
        <v>-2.9909059999999998</v>
      </c>
      <c r="V3762">
        <v>0.12621470000000001</v>
      </c>
      <c r="W3762">
        <v>-1.625702E-2</v>
      </c>
      <c r="X3762">
        <v>0.99186969999999997</v>
      </c>
      <c r="Y3762">
        <v>0.21702920000000001</v>
      </c>
      <c r="Z3762">
        <v>-1.6529140000000001E-2</v>
      </c>
      <c r="AA3762">
        <v>0.97602520000000004</v>
      </c>
      <c r="AB3762">
        <v>8</v>
      </c>
      <c r="AC3762">
        <v>-21.764299999999899</v>
      </c>
      <c r="AD3762">
        <v>2.8392240000000002</v>
      </c>
      <c r="AE3762">
        <v>-167.87266</v>
      </c>
      <c r="AF3762">
        <v>36.746197378366901</v>
      </c>
      <c r="AG3762">
        <v>2.8392240000000002</v>
      </c>
      <c r="AH3762">
        <v>165.19236097083299</v>
      </c>
      <c r="AI3762">
        <v>89.038821285016894</v>
      </c>
      <c r="AJ3762">
        <v>77.459035044450005</v>
      </c>
      <c r="AK3762">
        <v>169.253834041685</v>
      </c>
      <c r="AL3762">
        <v>90.931499694211496</v>
      </c>
      <c r="AM3762">
        <v>82.748127700851896</v>
      </c>
      <c r="AN3762">
        <v>0.99999997148672903</v>
      </c>
    </row>
    <row r="3763" spans="1:40" x14ac:dyDescent="0.25">
      <c r="A3763" t="str">
        <f>"20190312161041976"</f>
        <v>20190312161041976</v>
      </c>
      <c r="B3763" t="str">
        <f>"1552378241970146"</f>
        <v>1552378241970146</v>
      </c>
      <c r="C3763" t="s">
        <v>40</v>
      </c>
      <c r="D3763">
        <v>6.231833</v>
      </c>
      <c r="E3763">
        <v>0.57959869999999902</v>
      </c>
      <c r="F3763" t="s">
        <v>90</v>
      </c>
      <c r="G3763">
        <v>-210.6978</v>
      </c>
      <c r="H3763">
        <v>0.48883169999999998</v>
      </c>
      <c r="I3763">
        <v>110.0314</v>
      </c>
      <c r="J3763">
        <v>-189.23390000000001</v>
      </c>
      <c r="K3763">
        <v>1.1097939999999999</v>
      </c>
      <c r="L3763">
        <v>196.59639999999999</v>
      </c>
      <c r="M3763">
        <v>8.8028599999999999E-2</v>
      </c>
      <c r="N3763">
        <v>0</v>
      </c>
      <c r="O3763">
        <v>-0.99604490000000001</v>
      </c>
      <c r="P3763">
        <v>-3.7772100000000003E-2</v>
      </c>
      <c r="Q3763">
        <v>-2.8331530000000001E-2</v>
      </c>
      <c r="R3763">
        <v>-0.99888469999999996</v>
      </c>
      <c r="S3763">
        <v>-0.73706050000000001</v>
      </c>
      <c r="T3763">
        <v>-2.1326899999999999E-2</v>
      </c>
      <c r="U3763">
        <v>-2.975571</v>
      </c>
      <c r="V3763">
        <v>0.12554569999999901</v>
      </c>
      <c r="W3763">
        <v>-1.6495010000000001E-2</v>
      </c>
      <c r="X3763">
        <v>0.99195069999999996</v>
      </c>
      <c r="Y3763">
        <v>0.32495079999999998</v>
      </c>
      <c r="Z3763">
        <v>6.8276119999999899E-3</v>
      </c>
      <c r="AA3763">
        <v>0.9457063</v>
      </c>
      <c r="AB3763">
        <v>8</v>
      </c>
      <c r="AC3763">
        <v>-21.463899999999899</v>
      </c>
      <c r="AD3763">
        <v>-0.62096229999999997</v>
      </c>
      <c r="AE3763">
        <v>-86.564999999999898</v>
      </c>
      <c r="AF3763">
        <v>28.999908317486302</v>
      </c>
      <c r="AG3763">
        <v>-0.62096229999999997</v>
      </c>
      <c r="AH3763">
        <v>84.335238266722399</v>
      </c>
      <c r="AI3763">
        <v>90.398936429018406</v>
      </c>
      <c r="AJ3763">
        <v>71.0237169391755</v>
      </c>
      <c r="AK3763">
        <v>89.184150442247699</v>
      </c>
      <c r="AL3763">
        <v>90.945137319297004</v>
      </c>
      <c r="AM3763">
        <v>82.786743053171605</v>
      </c>
      <c r="AN3763">
        <v>0.99999999968693998</v>
      </c>
    </row>
    <row r="3764" spans="1:40" x14ac:dyDescent="0.25">
      <c r="A3764" t="str">
        <f>"20190312161041999"</f>
        <v>20190312161041999</v>
      </c>
      <c r="B3764" t="str">
        <f>"1552378241990644"</f>
        <v>1552378241990644</v>
      </c>
      <c r="C3764" t="s">
        <v>40</v>
      </c>
      <c r="D3764">
        <v>5.8272449999999996</v>
      </c>
      <c r="E3764">
        <v>0.58050819999999903</v>
      </c>
      <c r="F3764" t="s">
        <v>87</v>
      </c>
      <c r="G3764">
        <v>-203.96019999999999</v>
      </c>
      <c r="H3764" s="1">
        <v>-7.487978E-6</v>
      </c>
      <c r="I3764">
        <v>138.01589999999999</v>
      </c>
      <c r="J3764">
        <v>-189.22919999999999</v>
      </c>
      <c r="K3764">
        <v>1.1097870000000001</v>
      </c>
      <c r="L3764">
        <v>196.5164</v>
      </c>
      <c r="M3764">
        <v>8.6009909999999995E-2</v>
      </c>
      <c r="N3764">
        <v>0</v>
      </c>
      <c r="O3764">
        <v>-0.99622140000000003</v>
      </c>
      <c r="P3764">
        <v>-3.9471920000000001E-2</v>
      </c>
      <c r="Q3764">
        <v>-2.884718E-2</v>
      </c>
      <c r="R3764">
        <v>-0.99880449999999998</v>
      </c>
      <c r="S3764">
        <v>-0.74749759999999998</v>
      </c>
      <c r="T3764">
        <v>-5.6332590000000002E-2</v>
      </c>
      <c r="U3764">
        <v>-2.9734950000000002</v>
      </c>
      <c r="V3764">
        <v>0.1252219</v>
      </c>
      <c r="W3764">
        <v>-1.7009E-2</v>
      </c>
      <c r="X3764">
        <v>0.9919829</v>
      </c>
      <c r="Y3764">
        <v>0.32627820000000002</v>
      </c>
      <c r="Z3764">
        <v>1.8037020000000001E-2</v>
      </c>
      <c r="AA3764">
        <v>0.94510170000000004</v>
      </c>
      <c r="AB3764">
        <v>8</v>
      </c>
      <c r="AC3764">
        <v>-14.7309999999999</v>
      </c>
      <c r="AD3764">
        <v>-1.109794487978</v>
      </c>
      <c r="AE3764">
        <v>-58.500500000000002</v>
      </c>
      <c r="AF3764">
        <v>19.701723627489201</v>
      </c>
      <c r="AG3764">
        <v>-1.109794487978</v>
      </c>
      <c r="AH3764">
        <v>56.997288616637398</v>
      </c>
      <c r="AI3764">
        <v>91.054274137983498</v>
      </c>
      <c r="AJ3764">
        <v>70.9317428454696</v>
      </c>
      <c r="AK3764">
        <v>60.316502446244101</v>
      </c>
      <c r="AL3764">
        <v>90.974590956784397</v>
      </c>
      <c r="AM3764">
        <v>82.805382948613101</v>
      </c>
      <c r="AN3764">
        <v>0.99999995210650805</v>
      </c>
    </row>
    <row r="3765" spans="1:40" x14ac:dyDescent="0.25">
      <c r="A3765" t="str">
        <f>"20190312161042025"</f>
        <v>20190312161042025</v>
      </c>
      <c r="B3765" t="str">
        <f>"1552378242019923"</f>
        <v>1552378242019923</v>
      </c>
      <c r="C3765" t="s">
        <v>40</v>
      </c>
      <c r="D3765">
        <v>5.8622620000000003</v>
      </c>
      <c r="E3765">
        <v>0.58143849999999997</v>
      </c>
      <c r="F3765" t="s">
        <v>87</v>
      </c>
      <c r="G3765">
        <v>-205.06720000000001</v>
      </c>
      <c r="H3765" s="1">
        <v>-5.9383560000000002E-6</v>
      </c>
      <c r="I3765">
        <v>134.56020000000001</v>
      </c>
      <c r="J3765">
        <v>-189.22409999999999</v>
      </c>
      <c r="K3765">
        <v>1.109791</v>
      </c>
      <c r="L3765">
        <v>196.4264</v>
      </c>
      <c r="M3765">
        <v>8.3792019999999995E-2</v>
      </c>
      <c r="N3765">
        <v>0</v>
      </c>
      <c r="O3765">
        <v>-0.99641029999999997</v>
      </c>
      <c r="P3765">
        <v>-4.1944719999999998E-2</v>
      </c>
      <c r="Q3765">
        <v>-2.9311670000000001E-2</v>
      </c>
      <c r="R3765">
        <v>-0.99868979999999996</v>
      </c>
      <c r="S3765">
        <v>-0.75975039999999905</v>
      </c>
      <c r="T3765">
        <v>-5.3236600000000002E-2</v>
      </c>
      <c r="U3765">
        <v>-2.9720309999999999</v>
      </c>
      <c r="V3765">
        <v>0.12546849999999901</v>
      </c>
      <c r="W3765">
        <v>-1.7471549999999999E-2</v>
      </c>
      <c r="X3765">
        <v>0.99194380000000004</v>
      </c>
      <c r="Y3765">
        <v>0.32794889999999999</v>
      </c>
      <c r="Z3765">
        <v>1.70455999999999E-2</v>
      </c>
      <c r="AA3765">
        <v>0.94454170000000004</v>
      </c>
      <c r="AB3765">
        <v>8</v>
      </c>
      <c r="AC3765">
        <v>-15.8431</v>
      </c>
      <c r="AD3765">
        <v>-1.109796938356</v>
      </c>
      <c r="AE3765">
        <v>-61.8661999999999</v>
      </c>
      <c r="AF3765">
        <v>20.965315369531702</v>
      </c>
      <c r="AG3765">
        <v>-1.109796938356</v>
      </c>
      <c r="AH3765">
        <v>60.302768497052199</v>
      </c>
      <c r="AI3765">
        <v>90.9958800113926</v>
      </c>
      <c r="AJ3765">
        <v>70.829095876706802</v>
      </c>
      <c r="AK3765">
        <v>63.852955970709601</v>
      </c>
      <c r="AL3765">
        <v>91.001096961596005</v>
      </c>
      <c r="AM3765">
        <v>82.791082302460794</v>
      </c>
      <c r="AN3765">
        <v>1.00000005095504</v>
      </c>
    </row>
    <row r="3766" spans="1:40" x14ac:dyDescent="0.25">
      <c r="A3766" t="str">
        <f>"20190312161042047"</f>
        <v>20190312161042047</v>
      </c>
      <c r="B3766" t="str">
        <f>"1552378242040419"</f>
        <v>1552378242040419</v>
      </c>
      <c r="C3766" t="s">
        <v>40</v>
      </c>
      <c r="D3766">
        <v>5.9124949999999998</v>
      </c>
      <c r="E3766">
        <v>0.58172290000000004</v>
      </c>
      <c r="F3766" t="s">
        <v>87</v>
      </c>
      <c r="G3766">
        <v>-205.23410000000001</v>
      </c>
      <c r="H3766" s="1">
        <v>-6.0166299999999997E-6</v>
      </c>
      <c r="I3766">
        <v>135.03620000000001</v>
      </c>
      <c r="J3766">
        <v>-189.22</v>
      </c>
      <c r="K3766">
        <v>1.109799</v>
      </c>
      <c r="L3766">
        <v>196.35239999999999</v>
      </c>
      <c r="M3766">
        <v>8.2019720000000004E-2</v>
      </c>
      <c r="N3766">
        <v>0</v>
      </c>
      <c r="O3766">
        <v>-0.99655780000000005</v>
      </c>
      <c r="P3766">
        <v>-4.3765520000000002E-2</v>
      </c>
      <c r="Q3766">
        <v>-3.0531260000000001E-2</v>
      </c>
      <c r="R3766">
        <v>-0.99857530000000005</v>
      </c>
      <c r="S3766">
        <v>-0.77450559999999902</v>
      </c>
      <c r="T3766">
        <v>-5.3687930000000002E-2</v>
      </c>
      <c r="U3766">
        <v>-2.9698329999999999</v>
      </c>
      <c r="V3766">
        <v>0.12550929999999999</v>
      </c>
      <c r="W3766">
        <v>-1.8688139999999999E-2</v>
      </c>
      <c r="X3766">
        <v>0.99191640000000003</v>
      </c>
      <c r="Y3766">
        <v>0.33083360000000001</v>
      </c>
      <c r="Z3766">
        <v>1.7186880000000002E-2</v>
      </c>
      <c r="AA3766">
        <v>0.94353260000000005</v>
      </c>
      <c r="AB3766">
        <v>8</v>
      </c>
      <c r="AC3766">
        <v>-16.014099999999999</v>
      </c>
      <c r="AD3766">
        <v>-1.10980501663</v>
      </c>
      <c r="AE3766">
        <v>-61.316199999999903</v>
      </c>
      <c r="AF3766">
        <v>20.983203814603801</v>
      </c>
      <c r="AG3766">
        <v>-1.10980501663</v>
      </c>
      <c r="AH3766">
        <v>59.777677583658402</v>
      </c>
      <c r="AI3766">
        <v>91.003585334165706</v>
      </c>
      <c r="AJ3766">
        <v>70.657869417611195</v>
      </c>
      <c r="AK3766">
        <v>63.363216828030097</v>
      </c>
      <c r="AL3766">
        <v>91.070813897890105</v>
      </c>
      <c r="AM3766">
        <v>82.788565670357102</v>
      </c>
      <c r="AN3766">
        <v>0.99999998777605403</v>
      </c>
    </row>
    <row r="3767" spans="1:40" x14ac:dyDescent="0.25">
      <c r="A3767" t="str">
        <f>"20190312161042065"</f>
        <v>20190312161042065</v>
      </c>
      <c r="B3767" t="str">
        <f>"1552378242059939"</f>
        <v>1552378242059939</v>
      </c>
      <c r="C3767" t="s">
        <v>40</v>
      </c>
      <c r="D3767">
        <v>6.1671339999999999</v>
      </c>
      <c r="E3767">
        <v>0.58169479999999996</v>
      </c>
      <c r="F3767" t="s">
        <v>87</v>
      </c>
      <c r="G3767">
        <v>-204.86330000000001</v>
      </c>
      <c r="H3767" s="1">
        <v>-6.8024359999999996E-6</v>
      </c>
      <c r="I3767">
        <v>136.99109999999999</v>
      </c>
      <c r="J3767">
        <v>-189.2165</v>
      </c>
      <c r="K3767">
        <v>1.1098030000000001</v>
      </c>
      <c r="L3767">
        <v>196.28809999999999</v>
      </c>
      <c r="M3767">
        <v>8.050831E-2</v>
      </c>
      <c r="N3767">
        <v>0</v>
      </c>
      <c r="O3767">
        <v>-0.99668129999999999</v>
      </c>
      <c r="P3767">
        <v>-4.4753370000000001E-2</v>
      </c>
      <c r="Q3767">
        <v>-3.095521E-2</v>
      </c>
      <c r="R3767">
        <v>-0.99851849999999998</v>
      </c>
      <c r="S3767">
        <v>-0.78222659999999999</v>
      </c>
      <c r="T3767">
        <v>-5.5494790000000002E-2</v>
      </c>
      <c r="U3767">
        <v>-2.9683069999999998</v>
      </c>
      <c r="V3767">
        <v>0.1249855</v>
      </c>
      <c r="W3767">
        <v>-1.9108159999999999E-2</v>
      </c>
      <c r="X3767">
        <v>0.99197449999999998</v>
      </c>
      <c r="Y3767">
        <v>0.33181440000000001</v>
      </c>
      <c r="Z3767">
        <v>1.776842E-2</v>
      </c>
      <c r="AA3767">
        <v>0.9431773</v>
      </c>
      <c r="AB3767">
        <v>8</v>
      </c>
      <c r="AC3767">
        <v>-15.646800000000001</v>
      </c>
      <c r="AD3767">
        <v>-1.1098098024359999</v>
      </c>
      <c r="AE3767">
        <v>-59.296999999999997</v>
      </c>
      <c r="AF3767">
        <v>20.363580184092601</v>
      </c>
      <c r="AG3767">
        <v>-1.1098098024359999</v>
      </c>
      <c r="AH3767">
        <v>57.8257642862701</v>
      </c>
      <c r="AI3767">
        <v>91.037090845870395</v>
      </c>
      <c r="AJ3767">
        <v>70.600075785698095</v>
      </c>
      <c r="AK3767">
        <v>61.316605344741802</v>
      </c>
      <c r="AL3767">
        <v>91.094883608456698</v>
      </c>
      <c r="AM3767">
        <v>82.818763193737396</v>
      </c>
      <c r="AN3767">
        <v>0.99999995281954102</v>
      </c>
    </row>
    <row r="3768" spans="1:40" x14ac:dyDescent="0.25">
      <c r="A3768" t="str">
        <f>"20190312161042087"</f>
        <v>20190312161042087</v>
      </c>
      <c r="B3768" t="str">
        <f>"1552378242080435"</f>
        <v>1552378242080435</v>
      </c>
      <c r="C3768" t="s">
        <v>40</v>
      </c>
      <c r="D3768">
        <v>5.8729849999999999</v>
      </c>
      <c r="E3768">
        <v>0.58159179999999999</v>
      </c>
      <c r="F3768" t="s">
        <v>87</v>
      </c>
      <c r="G3768">
        <v>-204.45869999999999</v>
      </c>
      <c r="H3768" s="1">
        <v>-7.498856E-6</v>
      </c>
      <c r="I3768">
        <v>138.66200000000001</v>
      </c>
      <c r="J3768">
        <v>-189.21260000000001</v>
      </c>
      <c r="K3768">
        <v>1.10981</v>
      </c>
      <c r="L3768">
        <v>196.21430000000001</v>
      </c>
      <c r="M3768">
        <v>7.8815659999999996E-2</v>
      </c>
      <c r="N3768">
        <v>0</v>
      </c>
      <c r="O3768">
        <v>-0.99681649999999999</v>
      </c>
      <c r="P3768">
        <v>-4.6939010000000003E-2</v>
      </c>
      <c r="Q3768">
        <v>-3.1823560000000001E-2</v>
      </c>
      <c r="R3768">
        <v>-0.99839089999999997</v>
      </c>
      <c r="S3768">
        <v>-0.7849121</v>
      </c>
      <c r="T3768">
        <v>-5.7150840000000001E-2</v>
      </c>
      <c r="U3768">
        <v>-2.967514</v>
      </c>
      <c r="V3768">
        <v>0.12546969999999999</v>
      </c>
      <c r="W3768">
        <v>-1.9975659999999999E-2</v>
      </c>
      <c r="X3768">
        <v>0.99189629999999995</v>
      </c>
      <c r="Y3768">
        <v>0.33106989999999997</v>
      </c>
      <c r="Z3768">
        <v>1.8307460000000001E-2</v>
      </c>
      <c r="AA3768">
        <v>0.94342859999999995</v>
      </c>
      <c r="AB3768">
        <v>8</v>
      </c>
      <c r="AC3768">
        <v>-15.246099999999901</v>
      </c>
      <c r="AD3768">
        <v>-1.1098174988559999</v>
      </c>
      <c r="AE3768">
        <v>-57.552300000000002</v>
      </c>
      <c r="AF3768">
        <v>19.728161943024599</v>
      </c>
      <c r="AG3768">
        <v>-1.1098174988559999</v>
      </c>
      <c r="AH3768">
        <v>56.152010831666097</v>
      </c>
      <c r="AI3768">
        <v>91.068278152770304</v>
      </c>
      <c r="AJ3768">
        <v>70.641844090418402</v>
      </c>
      <c r="AK3768">
        <v>59.527139936087302</v>
      </c>
      <c r="AL3768">
        <v>91.144597173329998</v>
      </c>
      <c r="AM3768">
        <v>82.790672488388296</v>
      </c>
      <c r="AN3768">
        <v>0.99999997128210705</v>
      </c>
    </row>
    <row r="3769" spans="1:40" x14ac:dyDescent="0.25">
      <c r="A3769" t="str">
        <f>"20190312161042110"</f>
        <v>20190312161042110</v>
      </c>
      <c r="B3769" t="str">
        <f>"1552378242099955"</f>
        <v>1552378242099955</v>
      </c>
      <c r="C3769" t="s">
        <v>40</v>
      </c>
      <c r="D3769">
        <v>6.1647179999999997</v>
      </c>
      <c r="E3769">
        <v>0.58132950000000005</v>
      </c>
      <c r="F3769" t="s">
        <v>87</v>
      </c>
      <c r="G3769">
        <v>-202.4442</v>
      </c>
      <c r="H3769" s="1">
        <v>-1.045606E-5</v>
      </c>
      <c r="I3769">
        <v>146.58199999999999</v>
      </c>
      <c r="J3769">
        <v>-189.20849999999999</v>
      </c>
      <c r="K3769">
        <v>1.1098159999999999</v>
      </c>
      <c r="L3769">
        <v>196.13669999999999</v>
      </c>
      <c r="M3769">
        <v>7.7078659999999993E-2</v>
      </c>
      <c r="N3769">
        <v>0</v>
      </c>
      <c r="O3769">
        <v>-0.99695199999999995</v>
      </c>
      <c r="P3769">
        <v>-4.9133299999999998E-2</v>
      </c>
      <c r="Q3769">
        <v>-3.3681040000000002E-2</v>
      </c>
      <c r="R3769">
        <v>-0.99822379999999999</v>
      </c>
      <c r="S3769">
        <v>-0.79058839999999997</v>
      </c>
      <c r="T3769">
        <v>-6.6311720000000005E-2</v>
      </c>
      <c r="U3769">
        <v>-2.9655300000000002</v>
      </c>
      <c r="V3769">
        <v>0.12591550000000001</v>
      </c>
      <c r="W3769">
        <v>-2.1832910000000001E-2</v>
      </c>
      <c r="X3769">
        <v>0.99180069999999998</v>
      </c>
      <c r="Y3769">
        <v>0.33125339999999998</v>
      </c>
      <c r="Z3769">
        <v>2.1253080000000001E-2</v>
      </c>
      <c r="AA3769">
        <v>0.94330250000000004</v>
      </c>
      <c r="AB3769">
        <v>8</v>
      </c>
      <c r="AC3769">
        <v>-13.2357</v>
      </c>
      <c r="AD3769">
        <v>-1.10982645606</v>
      </c>
      <c r="AE3769">
        <v>-49.554699999999997</v>
      </c>
      <c r="AF3769">
        <v>17.008243262623999</v>
      </c>
      <c r="AG3769">
        <v>-1.10982645606</v>
      </c>
      <c r="AH3769">
        <v>48.364346445403903</v>
      </c>
      <c r="AI3769">
        <v>91.240123531041903</v>
      </c>
      <c r="AJ3769">
        <v>70.624805352594706</v>
      </c>
      <c r="AK3769">
        <v>51.279840685538602</v>
      </c>
      <c r="AL3769">
        <v>91.251032989451602</v>
      </c>
      <c r="AM3769">
        <v>82.764638360451897</v>
      </c>
      <c r="AN3769">
        <v>1.0000000088098999</v>
      </c>
    </row>
    <row r="3770" spans="1:40" x14ac:dyDescent="0.25">
      <c r="A3770" t="str">
        <f>"20190312161042133"</f>
        <v>20190312161042133</v>
      </c>
      <c r="B3770" t="str">
        <f>"1552378242130719"</f>
        <v>1552378242130719</v>
      </c>
      <c r="C3770" t="s">
        <v>40</v>
      </c>
      <c r="D3770">
        <v>5.9706260000000002</v>
      </c>
      <c r="E3770">
        <v>0.58054910000000004</v>
      </c>
      <c r="F3770" t="s">
        <v>87</v>
      </c>
      <c r="G3770">
        <v>-202.5078</v>
      </c>
      <c r="H3770" s="1">
        <v>-1.042164E-5</v>
      </c>
      <c r="I3770">
        <v>146.56110000000001</v>
      </c>
      <c r="J3770">
        <v>-189.20439999999999</v>
      </c>
      <c r="K3770">
        <v>1.1098220000000001</v>
      </c>
      <c r="L3770">
        <v>196.05699999999999</v>
      </c>
      <c r="M3770">
        <v>7.5347159999999996E-2</v>
      </c>
      <c r="N3770">
        <v>0</v>
      </c>
      <c r="O3770">
        <v>-0.99708439999999998</v>
      </c>
      <c r="P3770">
        <v>-5.0974819999999997E-2</v>
      </c>
      <c r="Q3770">
        <v>-3.4566529999999998E-2</v>
      </c>
      <c r="R3770">
        <v>-0.99810140000000003</v>
      </c>
      <c r="S3770">
        <v>-0.79512019999999906</v>
      </c>
      <c r="T3770">
        <v>-6.6352839999999996E-2</v>
      </c>
      <c r="U3770">
        <v>-2.963959</v>
      </c>
      <c r="V3770">
        <v>0.1260202</v>
      </c>
      <c r="W3770">
        <v>-2.2717029999999999E-2</v>
      </c>
      <c r="X3770">
        <v>0.99176750000000002</v>
      </c>
      <c r="Y3770">
        <v>0.33108510000000002</v>
      </c>
      <c r="Z3770">
        <v>2.127805E-2</v>
      </c>
      <c r="AA3770">
        <v>0.94336089999999995</v>
      </c>
      <c r="AB3770">
        <v>8</v>
      </c>
      <c r="AC3770">
        <v>-13.3034</v>
      </c>
      <c r="AD3770">
        <v>-1.10983242164</v>
      </c>
      <c r="AE3770">
        <v>-49.495899999999999</v>
      </c>
      <c r="AF3770">
        <v>16.987259201317698</v>
      </c>
      <c r="AG3770">
        <v>-1.10983242164</v>
      </c>
      <c r="AH3770">
        <v>48.3300720958716</v>
      </c>
      <c r="AI3770">
        <v>91.241081121178198</v>
      </c>
      <c r="AJ3770">
        <v>70.634228220211696</v>
      </c>
      <c r="AK3770">
        <v>51.2405559295469</v>
      </c>
      <c r="AL3770">
        <v>91.301701965241307</v>
      </c>
      <c r="AM3770">
        <v>82.758446086050796</v>
      </c>
      <c r="AN3770">
        <v>0.99999996415815395</v>
      </c>
    </row>
    <row r="3771" spans="1:40" x14ac:dyDescent="0.25">
      <c r="A3771" t="str">
        <f>"20190312161042155"</f>
        <v>20190312161042155</v>
      </c>
      <c r="B3771" t="str">
        <f>"1552378242150239"</f>
        <v>1552378242150239</v>
      </c>
      <c r="C3771" t="s">
        <v>40</v>
      </c>
      <c r="D3771">
        <v>5.8766069999999999</v>
      </c>
      <c r="E3771">
        <v>0.58042850000000001</v>
      </c>
      <c r="F3771" t="s">
        <v>87</v>
      </c>
      <c r="G3771">
        <v>-204.81950000000001</v>
      </c>
      <c r="H3771" s="1">
        <v>-7.0801239999999898E-6</v>
      </c>
      <c r="I3771">
        <v>137.80420000000001</v>
      </c>
      <c r="J3771">
        <v>-189.20079999999999</v>
      </c>
      <c r="K3771">
        <v>1.1098159999999999</v>
      </c>
      <c r="L3771">
        <v>195.98480000000001</v>
      </c>
      <c r="M3771">
        <v>7.3822780000000005E-2</v>
      </c>
      <c r="N3771">
        <v>0</v>
      </c>
      <c r="O3771">
        <v>-0.99719869999999999</v>
      </c>
      <c r="P3771">
        <v>-5.2605529999999998E-2</v>
      </c>
      <c r="Q3771">
        <v>-3.5165370000000001E-2</v>
      </c>
      <c r="R3771">
        <v>-0.9979962</v>
      </c>
      <c r="S3771">
        <v>-0.79429629999999996</v>
      </c>
      <c r="T3771">
        <v>-5.645406E-2</v>
      </c>
      <c r="U3771">
        <v>-2.963165</v>
      </c>
      <c r="V3771">
        <v>0.12612290000000001</v>
      </c>
      <c r="W3771">
        <v>-2.3314430000000001E-2</v>
      </c>
      <c r="X3771">
        <v>0.99174059999999997</v>
      </c>
      <c r="Y3771">
        <v>0.32947700000000002</v>
      </c>
      <c r="Z3771">
        <v>1.811873E-2</v>
      </c>
      <c r="AA3771">
        <v>0.94398979999999999</v>
      </c>
      <c r="AB3771">
        <v>8</v>
      </c>
      <c r="AC3771">
        <v>-15.6187</v>
      </c>
      <c r="AD3771">
        <v>-1.1098230801240001</v>
      </c>
      <c r="AE3771">
        <v>-58.180599999999998</v>
      </c>
      <c r="AF3771">
        <v>19.864698852073101</v>
      </c>
      <c r="AG3771">
        <v>-1.1098230801240001</v>
      </c>
      <c r="AH3771">
        <v>56.849429061651797</v>
      </c>
      <c r="AI3771">
        <v>91.055809456165207</v>
      </c>
      <c r="AJ3771">
        <v>70.739230538516296</v>
      </c>
      <c r="AK3771">
        <v>60.230354078226298</v>
      </c>
      <c r="AL3771">
        <v>91.3359395097537</v>
      </c>
      <c r="AM3771">
        <v>82.752412825523194</v>
      </c>
      <c r="AN3771">
        <v>0.999999983119497</v>
      </c>
    </row>
    <row r="3772" spans="1:40" x14ac:dyDescent="0.25">
      <c r="A3772" t="str">
        <f>"20190312161042177"</f>
        <v>20190312161042177</v>
      </c>
      <c r="B3772" t="str">
        <f>"1552378242170737"</f>
        <v>1552378242170737</v>
      </c>
      <c r="C3772" t="s">
        <v>40</v>
      </c>
      <c r="D3772">
        <v>6.1157430000000002</v>
      </c>
      <c r="E3772">
        <v>0.58030029999999999</v>
      </c>
      <c r="F3772" t="s">
        <v>87</v>
      </c>
      <c r="G3772">
        <v>-204.18950000000001</v>
      </c>
      <c r="H3772" s="1">
        <v>-8.0913940000000004E-6</v>
      </c>
      <c r="I3772">
        <v>140.36609999999999</v>
      </c>
      <c r="J3772">
        <v>-189.19710000000001</v>
      </c>
      <c r="K3772">
        <v>1.109823</v>
      </c>
      <c r="L3772">
        <v>195.90889999999999</v>
      </c>
      <c r="M3772">
        <v>7.2265480000000007E-2</v>
      </c>
      <c r="N3772">
        <v>0</v>
      </c>
      <c r="O3772">
        <v>-0.99731259999999999</v>
      </c>
      <c r="P3772">
        <v>-5.3769669999999999E-2</v>
      </c>
      <c r="Q3772">
        <v>-3.6122040000000001E-2</v>
      </c>
      <c r="R3772">
        <v>-0.99789989999999995</v>
      </c>
      <c r="S3772">
        <v>-0.79818730000000004</v>
      </c>
      <c r="T3772">
        <v>-5.9101220000000003E-2</v>
      </c>
      <c r="U3772">
        <v>-2.9618530000000001</v>
      </c>
      <c r="V3772">
        <v>0.1257286</v>
      </c>
      <c r="W3772">
        <v>-2.4268410000000001E-2</v>
      </c>
      <c r="X3772">
        <v>0.99176779999999998</v>
      </c>
      <c r="Y3772">
        <v>0.32925959999999899</v>
      </c>
      <c r="Z3772">
        <v>1.897706E-2</v>
      </c>
      <c r="AA3772">
        <v>0.94404880000000002</v>
      </c>
      <c r="AB3772">
        <v>8</v>
      </c>
      <c r="AC3772">
        <v>-14.9924</v>
      </c>
      <c r="AD3772">
        <v>-1.1098310913939999</v>
      </c>
      <c r="AE3772">
        <v>-55.5428</v>
      </c>
      <c r="AF3772">
        <v>18.960258329640801</v>
      </c>
      <c r="AG3772">
        <v>-1.1098310913939999</v>
      </c>
      <c r="AH3772">
        <v>54.2938414374904</v>
      </c>
      <c r="AI3772">
        <v>91.105574442736</v>
      </c>
      <c r="AJ3772">
        <v>70.749999904851293</v>
      </c>
      <c r="AK3772">
        <v>57.5199473141057</v>
      </c>
      <c r="AL3772">
        <v>91.390613988993394</v>
      </c>
      <c r="AM3772">
        <v>82.775027319487904</v>
      </c>
      <c r="AN3772">
        <v>1.0000000028493601</v>
      </c>
    </row>
    <row r="3773" spans="1:40" x14ac:dyDescent="0.25">
      <c r="A3773" t="str">
        <f>"20190312161042224"</f>
        <v>20190312161042224</v>
      </c>
      <c r="B3773" t="str">
        <f>"1552378242220042"</f>
        <v>1552378242220042</v>
      </c>
      <c r="C3773" t="s">
        <v>40</v>
      </c>
      <c r="D3773">
        <v>5.8608219999999998</v>
      </c>
      <c r="E3773">
        <v>0.5794511</v>
      </c>
      <c r="F3773" t="s">
        <v>87</v>
      </c>
      <c r="G3773">
        <v>-202.98740000000001</v>
      </c>
      <c r="H3773" s="1">
        <v>-9.7431179999999992E-6</v>
      </c>
      <c r="I3773">
        <v>144.90889999999999</v>
      </c>
      <c r="J3773">
        <v>-189.18940000000001</v>
      </c>
      <c r="K3773">
        <v>1.1098319999999999</v>
      </c>
      <c r="L3773">
        <v>195.7499</v>
      </c>
      <c r="M3773">
        <v>6.9151329999999997E-2</v>
      </c>
      <c r="N3773">
        <v>0</v>
      </c>
      <c r="O3773">
        <v>-0.99753360000000002</v>
      </c>
      <c r="P3773">
        <v>-5.5708479999999998E-2</v>
      </c>
      <c r="Q3773">
        <v>-3.7266000000000001E-2</v>
      </c>
      <c r="R3773">
        <v>-0.99775159999999996</v>
      </c>
      <c r="S3773">
        <v>-0.80061340000000003</v>
      </c>
      <c r="T3773">
        <v>-6.4432500000000004E-2</v>
      </c>
      <c r="U3773">
        <v>-2.960861</v>
      </c>
      <c r="V3773">
        <v>0.1245568</v>
      </c>
      <c r="W3773">
        <v>-2.5406140000000001E-2</v>
      </c>
      <c r="X3773">
        <v>0.99188719999999997</v>
      </c>
      <c r="Y3773">
        <v>0.32710209999999901</v>
      </c>
      <c r="Z3773">
        <v>2.070779E-2</v>
      </c>
      <c r="AA3773">
        <v>0.94476210000000005</v>
      </c>
      <c r="AB3773">
        <v>8</v>
      </c>
      <c r="AC3773">
        <v>-13.798</v>
      </c>
      <c r="AD3773">
        <v>-1.1098417431180001</v>
      </c>
      <c r="AE3773">
        <v>-50.841000000000001</v>
      </c>
      <c r="AF3773">
        <v>17.273276039858001</v>
      </c>
      <c r="AG3773">
        <v>-1.1098417431180001</v>
      </c>
      <c r="AH3773">
        <v>49.742981028474702</v>
      </c>
      <c r="AI3773">
        <v>91.207440063451898</v>
      </c>
      <c r="AJ3773">
        <v>70.850415642847594</v>
      </c>
      <c r="AK3773">
        <v>52.668415349648598</v>
      </c>
      <c r="AL3773">
        <v>91.455821177125202</v>
      </c>
      <c r="AM3773">
        <v>82.842515601825298</v>
      </c>
      <c r="AN3773">
        <v>1.0000000429498801</v>
      </c>
    </row>
    <row r="3774" spans="1:40" x14ac:dyDescent="0.25">
      <c r="A3774" t="str">
        <f>"20190312161042245"</f>
        <v>20190312161042245</v>
      </c>
      <c r="B3774" t="str">
        <f>"1552378242240538"</f>
        <v>1552378242240538</v>
      </c>
      <c r="C3774" t="s">
        <v>40</v>
      </c>
      <c r="D3774">
        <v>5.7700500000000003</v>
      </c>
      <c r="E3774">
        <v>0.57914189999999999</v>
      </c>
      <c r="F3774" t="s">
        <v>87</v>
      </c>
      <c r="G3774">
        <v>-202.5941</v>
      </c>
      <c r="H3774" s="1">
        <v>-1.025637E-5</v>
      </c>
      <c r="I3774">
        <v>146.1343</v>
      </c>
      <c r="J3774">
        <v>-189.18610000000001</v>
      </c>
      <c r="K3774">
        <v>1.109829</v>
      </c>
      <c r="L3774">
        <v>195.6797</v>
      </c>
      <c r="M3774">
        <v>6.7834619999999998E-2</v>
      </c>
      <c r="N3774">
        <v>0</v>
      </c>
      <c r="O3774">
        <v>-0.99762390000000001</v>
      </c>
      <c r="P3774">
        <v>-5.6926570000000003E-2</v>
      </c>
      <c r="Q3774">
        <v>-3.7498650000000001E-2</v>
      </c>
      <c r="R3774">
        <v>-0.99767399999999995</v>
      </c>
      <c r="S3774">
        <v>-0.79960629999999999</v>
      </c>
      <c r="T3774">
        <v>-6.6203239999999997E-2</v>
      </c>
      <c r="U3774">
        <v>-2.959625</v>
      </c>
      <c r="V3774">
        <v>0.124458</v>
      </c>
      <c r="W3774">
        <v>-2.563847E-2</v>
      </c>
      <c r="X3774">
        <v>0.99189360000000004</v>
      </c>
      <c r="Y3774">
        <v>0.32565100000000002</v>
      </c>
      <c r="Z3774">
        <v>2.12946E-2</v>
      </c>
      <c r="AA3774">
        <v>0.94525020000000004</v>
      </c>
      <c r="AB3774">
        <v>8</v>
      </c>
      <c r="AC3774">
        <v>-13.4079999999999</v>
      </c>
      <c r="AD3774">
        <v>-1.1098392563699999</v>
      </c>
      <c r="AE3774">
        <v>-49.545400000000001</v>
      </c>
      <c r="AF3774">
        <v>16.7304262164146</v>
      </c>
      <c r="AG3774">
        <v>-1.1098392563699999</v>
      </c>
      <c r="AH3774">
        <v>48.498991783512501</v>
      </c>
      <c r="AI3774">
        <v>91.239273438729498</v>
      </c>
      <c r="AJ3774">
        <v>70.967387789731603</v>
      </c>
      <c r="AK3774">
        <v>51.315602973901498</v>
      </c>
      <c r="AL3774">
        <v>91.469137077373006</v>
      </c>
      <c r="AM3774">
        <v>82.848179863186701</v>
      </c>
      <c r="AN3774">
        <v>1.00000001931445</v>
      </c>
    </row>
    <row r="3775" spans="1:40" x14ac:dyDescent="0.25">
      <c r="A3775" t="str">
        <f>"20190312161042266"</f>
        <v>20190312161042266</v>
      </c>
      <c r="B3775" t="str">
        <f>"1552378242260059"</f>
        <v>1552378242260059</v>
      </c>
      <c r="C3775" t="s">
        <v>40</v>
      </c>
      <c r="D3775">
        <v>5.482145</v>
      </c>
      <c r="E3775">
        <v>0.5788179</v>
      </c>
      <c r="F3775" t="s">
        <v>87</v>
      </c>
      <c r="G3775">
        <v>-201.28909999999999</v>
      </c>
      <c r="H3775">
        <v>7.9984840000000001E-2</v>
      </c>
      <c r="I3775">
        <v>150.95689999999999</v>
      </c>
      <c r="J3775">
        <v>-189.18260000000001</v>
      </c>
      <c r="K3775">
        <v>1.109834</v>
      </c>
      <c r="L3775">
        <v>195.6044</v>
      </c>
      <c r="M3775">
        <v>6.6459389999999993E-2</v>
      </c>
      <c r="N3775">
        <v>0</v>
      </c>
      <c r="O3775">
        <v>-0.99771650000000001</v>
      </c>
      <c r="P3775">
        <v>-5.7644290000000001E-2</v>
      </c>
      <c r="Q3775">
        <v>-3.8016040000000001E-2</v>
      </c>
      <c r="R3775">
        <v>-0.99761319999999998</v>
      </c>
      <c r="S3775">
        <v>-0.800705</v>
      </c>
      <c r="T3775">
        <v>-6.8132159999999997E-2</v>
      </c>
      <c r="U3775">
        <v>-2.958755</v>
      </c>
      <c r="V3775">
        <v>0.12380289999999999</v>
      </c>
      <c r="W3775">
        <v>-2.6155040000000001E-2</v>
      </c>
      <c r="X3775">
        <v>0.99196209999999996</v>
      </c>
      <c r="Y3775">
        <v>0.32474109999999901</v>
      </c>
      <c r="Z3775">
        <v>2.1926600000000001E-2</v>
      </c>
      <c r="AA3775">
        <v>0.94554879999999997</v>
      </c>
      <c r="AB3775">
        <v>8</v>
      </c>
      <c r="AC3775">
        <v>-12.106499999999899</v>
      </c>
      <c r="AD3775">
        <v>-1.0298491599999999</v>
      </c>
      <c r="AE3775">
        <v>-44.647500000000001</v>
      </c>
      <c r="AF3775">
        <v>15.0397370476954</v>
      </c>
      <c r="AG3775">
        <v>-1.0298491599999999</v>
      </c>
      <c r="AH3775">
        <v>43.722457677110398</v>
      </c>
      <c r="AI3775">
        <v>91.275957294210201</v>
      </c>
      <c r="AJ3775">
        <v>71.017706768636401</v>
      </c>
      <c r="AK3775">
        <v>46.248325213815903</v>
      </c>
      <c r="AL3775">
        <v>91.498744277513396</v>
      </c>
      <c r="AM3775">
        <v>82.885923843083205</v>
      </c>
      <c r="AN3775">
        <v>1.0000000260011099</v>
      </c>
    </row>
    <row r="3776" spans="1:40" x14ac:dyDescent="0.25">
      <c r="A3776" t="str">
        <f>"20190312161042289"</f>
        <v>20190312161042289</v>
      </c>
      <c r="B3776" t="str">
        <f>"1552378242280556"</f>
        <v>1552378242280556</v>
      </c>
      <c r="C3776" t="s">
        <v>40</v>
      </c>
      <c r="D3776">
        <v>5.613086</v>
      </c>
      <c r="E3776">
        <v>0.57866779999999995</v>
      </c>
      <c r="F3776" t="s">
        <v>87</v>
      </c>
      <c r="G3776">
        <v>-200.60769999999999</v>
      </c>
      <c r="H3776">
        <v>7.9984819999999998E-2</v>
      </c>
      <c r="I3776">
        <v>153.36920000000001</v>
      </c>
      <c r="J3776">
        <v>-189.17920000000001</v>
      </c>
      <c r="K3776">
        <v>1.1098220000000001</v>
      </c>
      <c r="L3776">
        <v>195.52969999999999</v>
      </c>
      <c r="M3776">
        <v>6.512134E-2</v>
      </c>
      <c r="N3776">
        <v>0</v>
      </c>
      <c r="O3776">
        <v>-0.99780469999999999</v>
      </c>
      <c r="P3776">
        <v>-5.883157E-2</v>
      </c>
      <c r="Q3776">
        <v>-3.7889279999999997E-2</v>
      </c>
      <c r="R3776">
        <v>-0.99754889999999996</v>
      </c>
      <c r="S3776">
        <v>-0.8002319</v>
      </c>
      <c r="T3776">
        <v>-7.2131990000000007E-2</v>
      </c>
      <c r="U3776">
        <v>-2.9582060000000001</v>
      </c>
      <c r="V3776">
        <v>0.12365329999999999</v>
      </c>
      <c r="W3776">
        <v>-2.6029719999999999E-2</v>
      </c>
      <c r="X3776">
        <v>0.99198399999999998</v>
      </c>
      <c r="Y3776">
        <v>0.32336809999999899</v>
      </c>
      <c r="Z3776">
        <v>2.322658E-2</v>
      </c>
      <c r="AA3776">
        <v>0.94598819999999995</v>
      </c>
      <c r="AB3776">
        <v>8</v>
      </c>
      <c r="AC3776">
        <v>-11.4284999999999</v>
      </c>
      <c r="AD3776">
        <v>-1.0298371799999999</v>
      </c>
      <c r="AE3776">
        <v>-42.1604999999999</v>
      </c>
      <c r="AF3776">
        <v>14.142124688421401</v>
      </c>
      <c r="AG3776">
        <v>-1.0298371799999999</v>
      </c>
      <c r="AH3776">
        <v>41.3037446207044</v>
      </c>
      <c r="AI3776">
        <v>91.351292390735694</v>
      </c>
      <c r="AJ3776">
        <v>71.099140662069104</v>
      </c>
      <c r="AK3776">
        <v>43.669893233354003</v>
      </c>
      <c r="AL3776">
        <v>91.491561607805195</v>
      </c>
      <c r="AM3776">
        <v>82.894587638868998</v>
      </c>
      <c r="AN3776">
        <v>0.99999997059008305</v>
      </c>
    </row>
    <row r="3777" spans="1:40" x14ac:dyDescent="0.25">
      <c r="A3777" t="str">
        <f>"20190312161042312"</f>
        <v>20190312161042312</v>
      </c>
      <c r="B3777" t="str">
        <f>"1552378242300075"</f>
        <v>1552378242300075</v>
      </c>
      <c r="C3777" t="s">
        <v>40</v>
      </c>
      <c r="D3777">
        <v>5.2866489999999997</v>
      </c>
      <c r="E3777">
        <v>0.57847789999999999</v>
      </c>
      <c r="F3777" t="s">
        <v>87</v>
      </c>
      <c r="G3777">
        <v>-200.42339999999999</v>
      </c>
      <c r="H3777">
        <v>7.9984830000000007E-2</v>
      </c>
      <c r="I3777">
        <v>154.0943</v>
      </c>
      <c r="J3777">
        <v>-189.17570000000001</v>
      </c>
      <c r="K3777">
        <v>1.109818</v>
      </c>
      <c r="L3777">
        <v>195.4513</v>
      </c>
      <c r="M3777">
        <v>6.3732479999999994E-2</v>
      </c>
      <c r="N3777">
        <v>0</v>
      </c>
      <c r="O3777">
        <v>-0.99789439999999996</v>
      </c>
      <c r="P3777">
        <v>-5.878821E-2</v>
      </c>
      <c r="Q3777">
        <v>-3.789211E-2</v>
      </c>
      <c r="R3777">
        <v>-0.99755119999999997</v>
      </c>
      <c r="S3777">
        <v>-0.80250549999999998</v>
      </c>
      <c r="T3777">
        <v>-7.3499919999999996E-2</v>
      </c>
      <c r="U3777">
        <v>-2.9572600000000002</v>
      </c>
      <c r="V3777">
        <v>0.1222292</v>
      </c>
      <c r="W3777">
        <v>-2.6032969999999999E-2</v>
      </c>
      <c r="X3777">
        <v>0.99216040000000005</v>
      </c>
      <c r="Y3777">
        <v>0.32280199999999998</v>
      </c>
      <c r="Z3777">
        <v>2.3677409999999999E-2</v>
      </c>
      <c r="AA3777">
        <v>0.94617030000000002</v>
      </c>
      <c r="AB3777">
        <v>8</v>
      </c>
      <c r="AC3777">
        <v>-11.247699999999901</v>
      </c>
      <c r="AD3777">
        <v>-1.0298331700000001</v>
      </c>
      <c r="AE3777">
        <v>-41.356999999999999</v>
      </c>
      <c r="AF3777">
        <v>13.8528074972262</v>
      </c>
      <c r="AG3777">
        <v>-1.0298331700000001</v>
      </c>
      <c r="AH3777">
        <v>40.532612197691101</v>
      </c>
      <c r="AI3777">
        <v>91.377248547273794</v>
      </c>
      <c r="AJ3777">
        <v>71.131140528768995</v>
      </c>
      <c r="AK3777">
        <v>42.846860835791198</v>
      </c>
      <c r="AL3777">
        <v>91.491747874005199</v>
      </c>
      <c r="AM3777">
        <v>82.976834019775197</v>
      </c>
      <c r="AN3777">
        <v>0.99999997609391</v>
      </c>
    </row>
    <row r="3778" spans="1:40" x14ac:dyDescent="0.25">
      <c r="A3778" t="str">
        <f>"20190312161042333"</f>
        <v>20190312161042333</v>
      </c>
      <c r="B3778" t="str">
        <f>"1552378242320104"</f>
        <v>1552378242320104</v>
      </c>
      <c r="C3778" t="s">
        <v>40</v>
      </c>
      <c r="D3778">
        <v>5.2566569999999997</v>
      </c>
      <c r="E3778">
        <v>0.57835639999999999</v>
      </c>
      <c r="F3778" t="s">
        <v>87</v>
      </c>
      <c r="G3778">
        <v>-199.98079999999999</v>
      </c>
      <c r="H3778">
        <v>7.3022519999999994E-2</v>
      </c>
      <c r="I3778">
        <v>155.5574</v>
      </c>
      <c r="J3778">
        <v>-189.17259999999999</v>
      </c>
      <c r="K3778">
        <v>1.1098049999999999</v>
      </c>
      <c r="L3778">
        <v>195.37870000000001</v>
      </c>
      <c r="M3778">
        <v>6.2457550000000001E-2</v>
      </c>
      <c r="N3778">
        <v>0</v>
      </c>
      <c r="O3778">
        <v>-0.9979751</v>
      </c>
      <c r="P3778">
        <v>-5.8471759999999998E-2</v>
      </c>
      <c r="Q3778">
        <v>-3.7463969999999999E-2</v>
      </c>
      <c r="R3778">
        <v>-0.99758599999999997</v>
      </c>
      <c r="S3778">
        <v>-0.80096440000000002</v>
      </c>
      <c r="T3778">
        <v>-7.6856140000000003E-2</v>
      </c>
      <c r="U3778">
        <v>-2.9572750000000001</v>
      </c>
      <c r="V3778">
        <v>0.1206479</v>
      </c>
      <c r="W3778">
        <v>-2.5604720000000001E-2</v>
      </c>
      <c r="X3778">
        <v>0.9923651</v>
      </c>
      <c r="Y3778">
        <v>0.32112479999999999</v>
      </c>
      <c r="Z3778">
        <v>2.476981E-2</v>
      </c>
      <c r="AA3778">
        <v>0.94671289999999997</v>
      </c>
      <c r="AB3778">
        <v>8</v>
      </c>
      <c r="AC3778">
        <v>-10.808199999999999</v>
      </c>
      <c r="AD3778">
        <v>-1.0367824799999901</v>
      </c>
      <c r="AE3778">
        <v>-39.821300000000001</v>
      </c>
      <c r="AF3778">
        <v>13.266040509963901</v>
      </c>
      <c r="AG3778">
        <v>-1.0367824799999901</v>
      </c>
      <c r="AH3778">
        <v>39.043789372355697</v>
      </c>
      <c r="AI3778">
        <v>91.440265527515507</v>
      </c>
      <c r="AJ3778">
        <v>71.233606194184404</v>
      </c>
      <c r="AK3778">
        <v>41.249002864017399</v>
      </c>
      <c r="AL3778">
        <v>91.467202731448197</v>
      </c>
      <c r="AM3778">
        <v>83.068220076295901</v>
      </c>
      <c r="AN3778">
        <v>1.00000000457934</v>
      </c>
    </row>
    <row r="3779" spans="1:40" x14ac:dyDescent="0.25">
      <c r="A3779" t="str">
        <f>"20190312161042356"</f>
        <v>20190312161042356</v>
      </c>
      <c r="B3779" t="str">
        <f>"1552378242350360"</f>
        <v>1552378242350360</v>
      </c>
      <c r="C3779" t="s">
        <v>40</v>
      </c>
      <c r="D3779">
        <v>5.1681990000000004</v>
      </c>
      <c r="E3779">
        <v>0.52062419999999998</v>
      </c>
      <c r="F3779" t="s">
        <v>87</v>
      </c>
      <c r="G3779">
        <v>-199.9769</v>
      </c>
      <c r="H3779">
        <v>6.9084999999999994E-2</v>
      </c>
      <c r="I3779">
        <v>155.3811</v>
      </c>
      <c r="J3779">
        <v>-189.1694</v>
      </c>
      <c r="K3779">
        <v>1.1098079999999999</v>
      </c>
      <c r="L3779">
        <v>195.3022</v>
      </c>
      <c r="M3779">
        <v>6.112952E-2</v>
      </c>
      <c r="N3779">
        <v>0</v>
      </c>
      <c r="O3779">
        <v>-0.99805739999999998</v>
      </c>
      <c r="P3779">
        <v>-5.7691909999999999E-2</v>
      </c>
      <c r="Q3779">
        <v>-3.7872339999999997E-2</v>
      </c>
      <c r="R3779">
        <v>-0.99761610000000001</v>
      </c>
      <c r="S3779">
        <v>-0.79890439999999996</v>
      </c>
      <c r="T3779">
        <v>-7.6954250000000002E-2</v>
      </c>
      <c r="U3779">
        <v>-2.9575499999999999</v>
      </c>
      <c r="V3779">
        <v>0.1185508</v>
      </c>
      <c r="W3779">
        <v>-2.6009069999999999E-2</v>
      </c>
      <c r="X3779">
        <v>0.99260729999999997</v>
      </c>
      <c r="Y3779">
        <v>0.31922719999999999</v>
      </c>
      <c r="Z3779">
        <v>2.481276E-2</v>
      </c>
      <c r="AA3779">
        <v>0.94735329999999995</v>
      </c>
      <c r="AB3779">
        <v>8</v>
      </c>
      <c r="AC3779">
        <v>-10.807499999999999</v>
      </c>
      <c r="AD3779">
        <v>-1.0407229999999901</v>
      </c>
      <c r="AE3779">
        <v>-39.921100000000003</v>
      </c>
      <c r="AF3779">
        <v>13.2194487958098</v>
      </c>
      <c r="AG3779">
        <v>-1.0407229999999901</v>
      </c>
      <c r="AH3779">
        <v>39.160928258063898</v>
      </c>
      <c r="AI3779">
        <v>91.442380601985903</v>
      </c>
      <c r="AJ3779">
        <v>71.346999648083596</v>
      </c>
      <c r="AK3779">
        <v>41.345075073834302</v>
      </c>
      <c r="AL3779">
        <v>91.490377993510606</v>
      </c>
      <c r="AM3779">
        <v>83.189212593542393</v>
      </c>
      <c r="AN3779">
        <v>1.00000000795809</v>
      </c>
    </row>
    <row r="3780" spans="1:40" x14ac:dyDescent="0.25">
      <c r="A3780" t="str">
        <f>"20190312161042378"</f>
        <v>20190312161042378</v>
      </c>
      <c r="B3780" t="str">
        <f>"1552378242369879"</f>
        <v>1552378242369879</v>
      </c>
      <c r="C3780" t="s">
        <v>40</v>
      </c>
      <c r="D3780">
        <v>5.1327509999999998</v>
      </c>
      <c r="E3780">
        <v>0.49001020000000001</v>
      </c>
      <c r="F3780" t="s">
        <v>42</v>
      </c>
      <c r="G3780">
        <v>-189.25579999999999</v>
      </c>
      <c r="H3780">
        <v>1.028394</v>
      </c>
      <c r="I3780">
        <v>194.54580000000001</v>
      </c>
      <c r="J3780">
        <v>-189.16640000000001</v>
      </c>
      <c r="K3780">
        <v>1.109731</v>
      </c>
      <c r="L3780">
        <v>195.22810000000001</v>
      </c>
      <c r="M3780">
        <v>5.9832589999999998E-2</v>
      </c>
      <c r="N3780">
        <v>0</v>
      </c>
      <c r="O3780">
        <v>-0.99813940000000001</v>
      </c>
      <c r="P3780">
        <v>-5.789888E-2</v>
      </c>
      <c r="Q3780">
        <v>-3.850481E-2</v>
      </c>
      <c r="R3780">
        <v>-0.99757989999999996</v>
      </c>
      <c r="S3780">
        <v>-0.3392944</v>
      </c>
      <c r="T3780">
        <v>-0.32017839999999997</v>
      </c>
      <c r="U3780">
        <v>-2.9753880000000001</v>
      </c>
      <c r="V3780">
        <v>0.11746479999999999</v>
      </c>
      <c r="W3780">
        <v>-2.6916099999999998E-2</v>
      </c>
      <c r="X3780">
        <v>0.99271220000000004</v>
      </c>
      <c r="Y3780">
        <v>0.17191099999999901</v>
      </c>
      <c r="Z3780">
        <v>0.1055683</v>
      </c>
      <c r="AA3780">
        <v>0.97943959999999997</v>
      </c>
      <c r="AB3780">
        <v>8</v>
      </c>
      <c r="AC3780">
        <v>-8.9399999999983396E-2</v>
      </c>
      <c r="AD3780">
        <v>-8.1336999999999895E-2</v>
      </c>
      <c r="AE3780">
        <v>-0.68229999999999702</v>
      </c>
      <c r="AF3780">
        <v>0.12827425882341101</v>
      </c>
      <c r="AG3780">
        <v>-8.1336999999999895E-2</v>
      </c>
      <c r="AH3780">
        <v>0.66641740693367402</v>
      </c>
      <c r="AI3780">
        <v>96.834362693446494</v>
      </c>
      <c r="AJ3780">
        <v>79.1047674306338</v>
      </c>
      <c r="AK3780">
        <v>0.68350724451895695</v>
      </c>
      <c r="AL3780">
        <v>91.542365228645906</v>
      </c>
      <c r="AM3780">
        <v>83.251732147882095</v>
      </c>
      <c r="AN3780">
        <v>0.99999998385354405</v>
      </c>
    </row>
    <row r="3781" spans="1:40" x14ac:dyDescent="0.25">
      <c r="A3781" t="str">
        <f>"20190312161042403"</f>
        <v>20190312161042403</v>
      </c>
      <c r="B3781" t="str">
        <f>"1552378242390376"</f>
        <v>1552378242390376</v>
      </c>
      <c r="C3781" t="s">
        <v>40</v>
      </c>
      <c r="D3781">
        <v>5.0120269999999998</v>
      </c>
      <c r="E3781">
        <v>0.49251980000000001</v>
      </c>
      <c r="F3781" t="s">
        <v>42</v>
      </c>
      <c r="G3781">
        <v>-189.19</v>
      </c>
      <c r="H3781">
        <v>0.94224319999999895</v>
      </c>
      <c r="I3781">
        <v>194.524</v>
      </c>
      <c r="J3781">
        <v>-189.16290000000001</v>
      </c>
      <c r="K3781">
        <v>1.1095549999999901</v>
      </c>
      <c r="L3781">
        <v>195.14060000000001</v>
      </c>
      <c r="M3781">
        <v>5.8275340000000002E-2</v>
      </c>
      <c r="N3781">
        <v>0</v>
      </c>
      <c r="O3781">
        <v>-0.99823919999999999</v>
      </c>
      <c r="P3781">
        <v>-5.9527110000000001E-2</v>
      </c>
      <c r="Q3781">
        <v>-3.7730369999999999E-2</v>
      </c>
      <c r="R3781">
        <v>-0.99751369999999895</v>
      </c>
      <c r="S3781">
        <v>-9.925842E-2</v>
      </c>
      <c r="T3781">
        <v>-0.70736409999999905</v>
      </c>
      <c r="U3781">
        <v>-2.9741970000000002</v>
      </c>
      <c r="V3781">
        <v>0.11753710000000001</v>
      </c>
      <c r="W3781">
        <v>-2.6831089999999998E-2</v>
      </c>
      <c r="X3781">
        <v>0.99270590000000003</v>
      </c>
      <c r="Y3781">
        <v>9.0643260000000003E-2</v>
      </c>
      <c r="Z3781">
        <v>0.23025509999999999</v>
      </c>
      <c r="AA3781">
        <v>0.96889959999999997</v>
      </c>
      <c r="AB3781">
        <v>8</v>
      </c>
      <c r="AC3781">
        <v>-2.7099999999990101E-2</v>
      </c>
      <c r="AD3781">
        <v>-0.16731179999999901</v>
      </c>
      <c r="AE3781">
        <v>-0.61660000000000503</v>
      </c>
      <c r="AF3781">
        <v>5.8676760543213899E-2</v>
      </c>
      <c r="AG3781">
        <v>-0.16731179999999901</v>
      </c>
      <c r="AH3781">
        <v>0.57194253384860205</v>
      </c>
      <c r="AI3781">
        <v>106.22526587797699</v>
      </c>
      <c r="AJ3781">
        <v>84.142401469679101</v>
      </c>
      <c r="AK3781">
        <v>0.59879417387967704</v>
      </c>
      <c r="AL3781">
        <v>91.537492821152597</v>
      </c>
      <c r="AM3781">
        <v>83.247574449155294</v>
      </c>
      <c r="AN3781">
        <v>0.99999994058090202</v>
      </c>
    </row>
    <row r="3782" spans="1:40" x14ac:dyDescent="0.25">
      <c r="A3782" t="str">
        <f>"20190312161042424"</f>
        <v>20190312161042424</v>
      </c>
      <c r="B3782" t="str">
        <f>"1552378242420164"</f>
        <v>1552378242420164</v>
      </c>
      <c r="C3782" t="s">
        <v>40</v>
      </c>
      <c r="D3782">
        <v>4.9464410000000001</v>
      </c>
      <c r="E3782">
        <v>0.494898</v>
      </c>
      <c r="F3782" t="s">
        <v>42</v>
      </c>
      <c r="G3782">
        <v>-189.1917</v>
      </c>
      <c r="H3782">
        <v>0.94700470000000003</v>
      </c>
      <c r="I3782">
        <v>194.4512</v>
      </c>
      <c r="J3782">
        <v>-189.1601</v>
      </c>
      <c r="K3782">
        <v>1.1094550000000001</v>
      </c>
      <c r="L3782">
        <v>195.06739999999999</v>
      </c>
      <c r="M3782">
        <v>5.6987250000000003E-2</v>
      </c>
      <c r="N3782">
        <v>0</v>
      </c>
      <c r="O3782">
        <v>-0.99831919999999996</v>
      </c>
      <c r="P3782">
        <v>-6.103604E-2</v>
      </c>
      <c r="Q3782">
        <v>-3.6914130000000003E-2</v>
      </c>
      <c r="R3782">
        <v>-0.99745289999999998</v>
      </c>
      <c r="S3782">
        <v>-0.1234131</v>
      </c>
      <c r="T3782">
        <v>-0.70092460000000001</v>
      </c>
      <c r="U3782">
        <v>-2.9735870000000002</v>
      </c>
      <c r="V3782">
        <v>0.1177594</v>
      </c>
      <c r="W3782">
        <v>-2.6527149999999999E-2</v>
      </c>
      <c r="X3782">
        <v>0.99268780000000001</v>
      </c>
      <c r="Y3782">
        <v>9.7241369999999994E-2</v>
      </c>
      <c r="Z3782">
        <v>0.2282344</v>
      </c>
      <c r="AA3782">
        <v>0.96873790000000004</v>
      </c>
      <c r="AB3782">
        <v>8</v>
      </c>
      <c r="AC3782">
        <v>-3.1599999999997401E-2</v>
      </c>
      <c r="AD3782">
        <v>-0.16245029999999899</v>
      </c>
      <c r="AE3782">
        <v>-0.61619999999999198</v>
      </c>
      <c r="AF3782">
        <v>6.2344436781478503E-2</v>
      </c>
      <c r="AG3782">
        <v>-0.16245029999999899</v>
      </c>
      <c r="AH3782">
        <v>0.57363347652482299</v>
      </c>
      <c r="AI3782">
        <v>105.723896542433</v>
      </c>
      <c r="AJ3782">
        <v>83.797245880358602</v>
      </c>
      <c r="AK3782">
        <v>0.59944332022105695</v>
      </c>
      <c r="AL3782">
        <v>91.520072023539001</v>
      </c>
      <c r="AM3782">
        <v>83.234799515140494</v>
      </c>
      <c r="AN3782">
        <v>1.0000000171221599</v>
      </c>
    </row>
    <row r="3783" spans="1:40" x14ac:dyDescent="0.25">
      <c r="A3783" t="str">
        <f>"20190312161042446"</f>
        <v>20190312161042446</v>
      </c>
      <c r="B3783" t="str">
        <f>"1552378242440661"</f>
        <v>1552378242440661</v>
      </c>
      <c r="C3783" t="s">
        <v>40</v>
      </c>
      <c r="D3783">
        <v>4.911486</v>
      </c>
      <c r="E3783">
        <v>0.49563249999999998</v>
      </c>
      <c r="F3783" t="s">
        <v>42</v>
      </c>
      <c r="G3783">
        <v>-189.1944</v>
      </c>
      <c r="H3783">
        <v>0.94990649999999999</v>
      </c>
      <c r="I3783">
        <v>194.37860000000001</v>
      </c>
      <c r="J3783">
        <v>-189.15719999999999</v>
      </c>
      <c r="K3783">
        <v>1.1094329999999999</v>
      </c>
      <c r="L3783">
        <v>194.98920000000001</v>
      </c>
      <c r="M3783">
        <v>5.5659979999999998E-2</v>
      </c>
      <c r="N3783">
        <v>0</v>
      </c>
      <c r="O3783">
        <v>-0.99839650000000002</v>
      </c>
      <c r="P3783">
        <v>-6.2903929999999997E-2</v>
      </c>
      <c r="Q3783">
        <v>-3.5963059999999998E-2</v>
      </c>
      <c r="R3783">
        <v>-0.99737169999999997</v>
      </c>
      <c r="S3783">
        <v>-0.14735409999999999</v>
      </c>
      <c r="T3783">
        <v>-0.68855489999999997</v>
      </c>
      <c r="U3783">
        <v>-2.97316</v>
      </c>
      <c r="V3783">
        <v>0.1183005</v>
      </c>
      <c r="W3783">
        <v>-2.5827030000000001E-2</v>
      </c>
      <c r="X3783">
        <v>0.99264189999999997</v>
      </c>
      <c r="Y3783">
        <v>0.1037508</v>
      </c>
      <c r="Z3783">
        <v>0.2243551</v>
      </c>
      <c r="AA3783">
        <v>0.96896879999999996</v>
      </c>
      <c r="AB3783">
        <v>8</v>
      </c>
      <c r="AC3783">
        <v>-3.7200000000012702E-2</v>
      </c>
      <c r="AD3783">
        <v>-0.15952649999999899</v>
      </c>
      <c r="AE3783">
        <v>-0.61060000000000503</v>
      </c>
      <c r="AF3783">
        <v>6.6600900033629007E-2</v>
      </c>
      <c r="AG3783">
        <v>-0.15952649999999899</v>
      </c>
      <c r="AH3783">
        <v>0.56889478473072597</v>
      </c>
      <c r="AI3783">
        <v>105.563194174637</v>
      </c>
      <c r="AJ3783">
        <v>83.322738527682802</v>
      </c>
      <c r="AK3783">
        <v>0.59458023864013398</v>
      </c>
      <c r="AL3783">
        <v>91.479944387492907</v>
      </c>
      <c r="AM3783">
        <v>83.203692453632002</v>
      </c>
      <c r="AN3783">
        <v>0.99999999270724005</v>
      </c>
    </row>
    <row r="3784" spans="1:40" x14ac:dyDescent="0.25">
      <c r="A3784" t="str">
        <f>"20190312161042490"</f>
        <v>20190312161042490</v>
      </c>
      <c r="B3784" t="str">
        <f>"1552378242480678"</f>
        <v>1552378242480678</v>
      </c>
      <c r="C3784" t="s">
        <v>40</v>
      </c>
      <c r="D3784">
        <v>4.9023139999999996</v>
      </c>
      <c r="E3784">
        <v>0.49676700000000001</v>
      </c>
      <c r="F3784" t="s">
        <v>42</v>
      </c>
      <c r="G3784">
        <v>-189.19739999999999</v>
      </c>
      <c r="H3784">
        <v>0.93796849999999998</v>
      </c>
      <c r="I3784">
        <v>194.24440000000001</v>
      </c>
      <c r="J3784">
        <v>-189.15180000000001</v>
      </c>
      <c r="K3784">
        <v>1.109977</v>
      </c>
      <c r="L3784">
        <v>194.83920000000001</v>
      </c>
      <c r="M3784">
        <v>5.33456E-2</v>
      </c>
      <c r="N3784">
        <v>0</v>
      </c>
      <c r="O3784">
        <v>-0.99850680000000003</v>
      </c>
      <c r="P3784">
        <v>-6.6869650000000003E-2</v>
      </c>
      <c r="Q3784">
        <v>-3.8437180000000001E-2</v>
      </c>
      <c r="R3784">
        <v>-0.99702159999999995</v>
      </c>
      <c r="S3784">
        <v>-0.15965270000000001</v>
      </c>
      <c r="T3784">
        <v>-0.68434539999999999</v>
      </c>
      <c r="U3784">
        <v>-2.97316</v>
      </c>
      <c r="V3784">
        <v>0.1199472</v>
      </c>
      <c r="W3784">
        <v>-2.6826099999999999E-2</v>
      </c>
      <c r="X3784">
        <v>0.99241780000000002</v>
      </c>
      <c r="Y3784">
        <v>0.1054601</v>
      </c>
      <c r="Z3784">
        <v>0.22305179999999999</v>
      </c>
      <c r="AA3784">
        <v>0.96908519999999998</v>
      </c>
      <c r="AB3784">
        <v>8</v>
      </c>
      <c r="AC3784">
        <v>-4.55999999999789E-2</v>
      </c>
      <c r="AD3784">
        <v>-0.17200850000000001</v>
      </c>
      <c r="AE3784">
        <v>-0.594799999999992</v>
      </c>
      <c r="AF3784">
        <v>7.13362836776682E-2</v>
      </c>
      <c r="AG3784">
        <v>-0.17200850000000001</v>
      </c>
      <c r="AH3784">
        <v>0.54611585854324796</v>
      </c>
      <c r="AI3784">
        <v>107.344306748769</v>
      </c>
      <c r="AJ3784">
        <v>82.5578863071906</v>
      </c>
      <c r="AK3784">
        <v>0.57699074550084295</v>
      </c>
      <c r="AL3784">
        <v>91.537206674614893</v>
      </c>
      <c r="AM3784">
        <v>83.108452671033305</v>
      </c>
      <c r="AN3784">
        <v>1.0000000300929399</v>
      </c>
    </row>
    <row r="3785" spans="1:40" x14ac:dyDescent="0.25">
      <c r="A3785" t="str">
        <f>"20190312161042512"</f>
        <v>20190312161042512</v>
      </c>
      <c r="B3785" t="str">
        <f>"1552378242509956"</f>
        <v>1552378242509956</v>
      </c>
      <c r="C3785" t="s">
        <v>40</v>
      </c>
      <c r="D3785">
        <v>5.371658</v>
      </c>
      <c r="E3785">
        <v>0.49649270000000001</v>
      </c>
      <c r="F3785" t="s">
        <v>42</v>
      </c>
      <c r="G3785">
        <v>-189.1962</v>
      </c>
      <c r="H3785">
        <v>0.94092189999999998</v>
      </c>
      <c r="I3785">
        <v>194.1086</v>
      </c>
      <c r="J3785">
        <v>-189.149</v>
      </c>
      <c r="K3785">
        <v>1.1100019999999999</v>
      </c>
      <c r="L3785">
        <v>194.75989999999999</v>
      </c>
      <c r="M3785">
        <v>5.2097089999999999E-2</v>
      </c>
      <c r="N3785">
        <v>0</v>
      </c>
      <c r="O3785">
        <v>-0.99857059999999997</v>
      </c>
      <c r="P3785">
        <v>-6.8610329999999997E-2</v>
      </c>
      <c r="Q3785">
        <v>-3.8522809999999998E-2</v>
      </c>
      <c r="R3785">
        <v>-0.99689970000000006</v>
      </c>
      <c r="S3785">
        <v>-0.18022160000000001</v>
      </c>
      <c r="T3785">
        <v>-0.68728520000000004</v>
      </c>
      <c r="U3785">
        <v>-2.9703979999999999</v>
      </c>
      <c r="V3785">
        <v>0.1204398</v>
      </c>
      <c r="W3785">
        <v>-2.6739140000000002E-2</v>
      </c>
      <c r="X3785">
        <v>0.99236049999999998</v>
      </c>
      <c r="Y3785">
        <v>0.1109377</v>
      </c>
      <c r="Z3785">
        <v>0.2240714</v>
      </c>
      <c r="AA3785">
        <v>0.96823800000000004</v>
      </c>
      <c r="AB3785">
        <v>7</v>
      </c>
      <c r="AC3785">
        <v>-4.72000000000036E-2</v>
      </c>
      <c r="AD3785">
        <v>-0.16908009999999901</v>
      </c>
      <c r="AE3785">
        <v>-0.651299999999992</v>
      </c>
      <c r="AF3785">
        <v>7.5975583378742106E-2</v>
      </c>
      <c r="AG3785">
        <v>-0.16908009999999901</v>
      </c>
      <c r="AH3785">
        <v>0.60724524232113997</v>
      </c>
      <c r="AI3785">
        <v>105.44461706566899</v>
      </c>
      <c r="AJ3785">
        <v>82.868487282935902</v>
      </c>
      <c r="AK3785">
        <v>0.63490720094153097</v>
      </c>
      <c r="AL3785">
        <v>91.532222423766697</v>
      </c>
      <c r="AM3785">
        <v>83.080028588931199</v>
      </c>
      <c r="AN3785">
        <v>1.0000000444961099</v>
      </c>
    </row>
    <row r="3786" spans="1:40" x14ac:dyDescent="0.25">
      <c r="A3786" t="str">
        <f>"20190312161042534"</f>
        <v>20190312161042534</v>
      </c>
      <c r="B3786" t="str">
        <f>"1552378242530453"</f>
        <v>1552378242530453</v>
      </c>
      <c r="C3786" t="s">
        <v>40</v>
      </c>
      <c r="D3786">
        <v>4.8995290000000002</v>
      </c>
      <c r="E3786">
        <v>0.49683949999999999</v>
      </c>
      <c r="F3786" t="s">
        <v>42</v>
      </c>
      <c r="G3786">
        <v>-189.1935</v>
      </c>
      <c r="H3786">
        <v>0.94302200000000003</v>
      </c>
      <c r="I3786">
        <v>194.0384</v>
      </c>
      <c r="J3786">
        <v>-189.1465</v>
      </c>
      <c r="K3786">
        <v>1.1097980000000001</v>
      </c>
      <c r="L3786">
        <v>194.68629999999999</v>
      </c>
      <c r="M3786">
        <v>5.0908559999999999E-2</v>
      </c>
      <c r="N3786">
        <v>0</v>
      </c>
      <c r="O3786">
        <v>-0.99863800000000003</v>
      </c>
      <c r="P3786">
        <v>-7.0151340000000006E-2</v>
      </c>
      <c r="Q3786">
        <v>-3.7902119999999997E-2</v>
      </c>
      <c r="R3786">
        <v>-0.99681640000000005</v>
      </c>
      <c r="S3786">
        <v>-0.18269350000000001</v>
      </c>
      <c r="T3786">
        <v>-0.68725970000000003</v>
      </c>
      <c r="U3786">
        <v>-2.970215</v>
      </c>
      <c r="V3786">
        <v>0.1207911</v>
      </c>
      <c r="W3786">
        <v>-2.6624439999999999E-2</v>
      </c>
      <c r="X3786">
        <v>0.9923208</v>
      </c>
      <c r="Y3786">
        <v>0.1105611</v>
      </c>
      <c r="Z3786">
        <v>0.22409660000000001</v>
      </c>
      <c r="AA3786">
        <v>0.9682752</v>
      </c>
      <c r="AB3786">
        <v>7</v>
      </c>
      <c r="AC3786">
        <v>-4.6999999999997003E-2</v>
      </c>
      <c r="AD3786">
        <v>-0.16677600000000001</v>
      </c>
      <c r="AE3786">
        <v>-0.64789999999999204</v>
      </c>
      <c r="AF3786">
        <v>7.4982525240252798E-2</v>
      </c>
      <c r="AG3786">
        <v>-0.16677600000000001</v>
      </c>
      <c r="AH3786">
        <v>0.60480250477057595</v>
      </c>
      <c r="AI3786">
        <v>105.304725579123</v>
      </c>
      <c r="AJ3786">
        <v>82.932616420882198</v>
      </c>
      <c r="AK3786">
        <v>0.63184071018269095</v>
      </c>
      <c r="AL3786">
        <v>91.525648385959698</v>
      </c>
      <c r="AM3786">
        <v>83.059765966304795</v>
      </c>
      <c r="AN3786">
        <v>0.99999996037858097</v>
      </c>
    </row>
    <row r="3787" spans="1:40" x14ac:dyDescent="0.25">
      <c r="A3787" t="str">
        <f>"20190312161042558"</f>
        <v>20190312161042558</v>
      </c>
      <c r="B3787" t="str">
        <f>"1552378242549972"</f>
        <v>1552378242549972</v>
      </c>
      <c r="C3787" t="s">
        <v>40</v>
      </c>
      <c r="D3787">
        <v>4.9518170000000001</v>
      </c>
      <c r="E3787">
        <v>0.49824209999999902</v>
      </c>
      <c r="F3787" t="s">
        <v>42</v>
      </c>
      <c r="G3787">
        <v>-189.1926</v>
      </c>
      <c r="H3787">
        <v>0.94559669999999896</v>
      </c>
      <c r="I3787">
        <v>193.96629999999999</v>
      </c>
      <c r="J3787">
        <v>-189.1437</v>
      </c>
      <c r="K3787">
        <v>1.1095600000000001</v>
      </c>
      <c r="L3787">
        <v>194.59989999999999</v>
      </c>
      <c r="M3787">
        <v>4.950798E-2</v>
      </c>
      <c r="N3787">
        <v>0</v>
      </c>
      <c r="O3787">
        <v>-0.99871560000000004</v>
      </c>
      <c r="P3787">
        <v>-7.2325739999999999E-2</v>
      </c>
      <c r="Q3787">
        <v>-3.7047289999999997E-2</v>
      </c>
      <c r="R3787">
        <v>-0.99669339999999995</v>
      </c>
      <c r="S3787">
        <v>-0.18998719999999999</v>
      </c>
      <c r="T3787">
        <v>-0.67738129999999996</v>
      </c>
      <c r="U3787">
        <v>-2.9704440000000001</v>
      </c>
      <c r="V3787">
        <v>0.1215615</v>
      </c>
      <c r="W3787">
        <v>-2.643247E-2</v>
      </c>
      <c r="X3787">
        <v>0.99223189999999994</v>
      </c>
      <c r="Y3787">
        <v>0.11157599999999999</v>
      </c>
      <c r="Z3787">
        <v>0.22101390000000001</v>
      </c>
      <c r="AA3787">
        <v>0.96886719999999904</v>
      </c>
      <c r="AB3787">
        <v>8</v>
      </c>
      <c r="AC3787">
        <v>-4.8900000000003198E-2</v>
      </c>
      <c r="AD3787">
        <v>-0.16396330000000001</v>
      </c>
      <c r="AE3787">
        <v>-0.63360000000000105</v>
      </c>
      <c r="AF3787">
        <v>7.5203732941429194E-2</v>
      </c>
      <c r="AG3787">
        <v>-0.16396330000000001</v>
      </c>
      <c r="AH3787">
        <v>0.591054866903853</v>
      </c>
      <c r="AI3787">
        <v>105.386335608113</v>
      </c>
      <c r="AJ3787">
        <v>82.748849852610704</v>
      </c>
      <c r="AK3787">
        <v>0.61796878633629004</v>
      </c>
      <c r="AL3787">
        <v>91.514645369319794</v>
      </c>
      <c r="AM3787">
        <v>83.015317714771697</v>
      </c>
      <c r="AN3787">
        <v>1.00000000856508</v>
      </c>
    </row>
    <row r="3788" spans="1:40" x14ac:dyDescent="0.25">
      <c r="A3788" t="str">
        <f>"20190312161042580"</f>
        <v>20190312161042580</v>
      </c>
      <c r="B3788" t="str">
        <f>"1552378242570469"</f>
        <v>1552378242570469</v>
      </c>
      <c r="C3788" t="s">
        <v>40</v>
      </c>
      <c r="D3788">
        <v>4.9984690000000001</v>
      </c>
      <c r="E3788">
        <v>0.49946459999999998</v>
      </c>
      <c r="F3788" t="s">
        <v>42</v>
      </c>
      <c r="G3788">
        <v>-189.1934</v>
      </c>
      <c r="H3788">
        <v>0.95020830000000001</v>
      </c>
      <c r="I3788">
        <v>193.89269999999999</v>
      </c>
      <c r="J3788">
        <v>-189.14150000000001</v>
      </c>
      <c r="K3788">
        <v>1.1094539999999999</v>
      </c>
      <c r="L3788">
        <v>194.52520000000001</v>
      </c>
      <c r="M3788">
        <v>4.8313689999999999E-2</v>
      </c>
      <c r="N3788">
        <v>0</v>
      </c>
      <c r="O3788">
        <v>-0.99877720000000003</v>
      </c>
      <c r="P3788">
        <v>-7.4747789999999995E-2</v>
      </c>
      <c r="Q3788">
        <v>-3.6875129999999999E-2</v>
      </c>
      <c r="R3788">
        <v>-0.99652059999999998</v>
      </c>
      <c r="S3788">
        <v>-0.20765690000000001</v>
      </c>
      <c r="T3788">
        <v>-0.66901499999999903</v>
      </c>
      <c r="U3788">
        <v>-2.9700319999999998</v>
      </c>
      <c r="V3788">
        <v>0.1227829</v>
      </c>
      <c r="W3788">
        <v>-2.656969E-2</v>
      </c>
      <c r="X3788">
        <v>0.99207780000000001</v>
      </c>
      <c r="Y3788">
        <v>0.116175</v>
      </c>
      <c r="Z3788">
        <v>0.218365</v>
      </c>
      <c r="AA3788">
        <v>0.96892730000000005</v>
      </c>
      <c r="AB3788">
        <v>8</v>
      </c>
      <c r="AC3788">
        <v>-5.1899999999989101E-2</v>
      </c>
      <c r="AD3788">
        <v>-0.15924569999999999</v>
      </c>
      <c r="AE3788">
        <v>-0.63250000000002105</v>
      </c>
      <c r="AF3788">
        <v>7.7518510967490295E-2</v>
      </c>
      <c r="AG3788">
        <v>-0.15924569999999999</v>
      </c>
      <c r="AH3788">
        <v>0.59197960783921499</v>
      </c>
      <c r="AI3788">
        <v>104.934711769828</v>
      </c>
      <c r="AJ3788">
        <v>82.539683955939395</v>
      </c>
      <c r="AK3788">
        <v>0.617906278175403</v>
      </c>
      <c r="AL3788">
        <v>91.522510309346501</v>
      </c>
      <c r="AM3788">
        <v>82.944757394779899</v>
      </c>
      <c r="AN3788">
        <v>0.99999997510597205</v>
      </c>
    </row>
    <row r="3789" spans="1:40" x14ac:dyDescent="0.25">
      <c r="A3789" t="str">
        <f>"20190312161042605"</f>
        <v>20190312161042605</v>
      </c>
      <c r="B3789" t="str">
        <f>"1552378242600725"</f>
        <v>1552378242600725</v>
      </c>
      <c r="C3789" t="s">
        <v>40</v>
      </c>
      <c r="D3789">
        <v>4.7973249999999998</v>
      </c>
      <c r="E3789">
        <v>0.50096989999999997</v>
      </c>
      <c r="F3789" t="s">
        <v>42</v>
      </c>
      <c r="G3789">
        <v>-189.19479999999999</v>
      </c>
      <c r="H3789">
        <v>0.95176090000000002</v>
      </c>
      <c r="I3789">
        <v>193.82060000000001</v>
      </c>
      <c r="J3789">
        <v>-189.13900000000001</v>
      </c>
      <c r="K3789">
        <v>1.1096889999999999</v>
      </c>
      <c r="L3789">
        <v>194.4391</v>
      </c>
      <c r="M3789">
        <v>4.7023740000000001E-2</v>
      </c>
      <c r="N3789">
        <v>0</v>
      </c>
      <c r="O3789">
        <v>-0.99883120000000003</v>
      </c>
      <c r="P3789">
        <v>-7.7572020000000005E-2</v>
      </c>
      <c r="Q3789">
        <v>-3.7528239999999997E-2</v>
      </c>
      <c r="R3789">
        <v>-0.99628019999999995</v>
      </c>
      <c r="S3789">
        <v>-0.22451779999999999</v>
      </c>
      <c r="T3789">
        <v>-0.66443419999999997</v>
      </c>
      <c r="U3789">
        <v>-2.9690400000000001</v>
      </c>
      <c r="V3789">
        <v>0.1243127</v>
      </c>
      <c r="W3789">
        <v>-2.656002E-2</v>
      </c>
      <c r="X3789">
        <v>0.99188759999999998</v>
      </c>
      <c r="Y3789">
        <v>0.1204118</v>
      </c>
      <c r="Z3789">
        <v>0.21693219999999999</v>
      </c>
      <c r="AA3789">
        <v>0.96873189999999998</v>
      </c>
      <c r="AB3789">
        <v>8</v>
      </c>
      <c r="AC3789">
        <v>-5.57999999999765E-2</v>
      </c>
      <c r="AD3789">
        <v>-0.15792809999999899</v>
      </c>
      <c r="AE3789">
        <v>-0.61849999999998295</v>
      </c>
      <c r="AF3789">
        <v>7.9671706900233993E-2</v>
      </c>
      <c r="AG3789">
        <v>-0.15792809999999899</v>
      </c>
      <c r="AH3789">
        <v>0.57782246871284404</v>
      </c>
      <c r="AI3789">
        <v>105.1498508654</v>
      </c>
      <c r="AJ3789">
        <v>82.149405854016194</v>
      </c>
      <c r="AK3789">
        <v>0.60429104825358104</v>
      </c>
      <c r="AL3789">
        <v>91.5219559548039</v>
      </c>
      <c r="AM3789">
        <v>82.856400268772006</v>
      </c>
      <c r="AN3789">
        <v>1.00000004653872</v>
      </c>
    </row>
    <row r="3790" spans="1:40" x14ac:dyDescent="0.25">
      <c r="A3790" t="str">
        <f>"20190312161042645"</f>
        <v>20190312161042645</v>
      </c>
      <c r="B3790" t="str">
        <f>"1552378242640272"</f>
        <v>1552378242640272</v>
      </c>
      <c r="C3790" t="s">
        <v>40</v>
      </c>
      <c r="D3790">
        <v>4.846565</v>
      </c>
      <c r="E3790">
        <v>0.50245439999999997</v>
      </c>
      <c r="F3790" t="s">
        <v>42</v>
      </c>
      <c r="G3790">
        <v>-189.20070000000001</v>
      </c>
      <c r="H3790">
        <v>0.94075160000000002</v>
      </c>
      <c r="I3790">
        <v>193.6908</v>
      </c>
      <c r="J3790">
        <v>-189.1353</v>
      </c>
      <c r="K3790">
        <v>1.110101</v>
      </c>
      <c r="L3790">
        <v>194.30350000000001</v>
      </c>
      <c r="M3790">
        <v>4.4958600000000001E-2</v>
      </c>
      <c r="N3790">
        <v>0</v>
      </c>
      <c r="O3790">
        <v>-0.9989114</v>
      </c>
      <c r="P3790">
        <v>-8.2500509999999999E-2</v>
      </c>
      <c r="Q3790">
        <v>-3.9041470000000002E-2</v>
      </c>
      <c r="R3790">
        <v>-0.9958264</v>
      </c>
      <c r="S3790">
        <v>-0.24472050000000001</v>
      </c>
      <c r="T3790">
        <v>-0.66980030000000002</v>
      </c>
      <c r="U3790">
        <v>-2.9669189999999999</v>
      </c>
      <c r="V3790">
        <v>0.1271738</v>
      </c>
      <c r="W3790">
        <v>-2.677935E-2</v>
      </c>
      <c r="X3790">
        <v>0.99151889999999998</v>
      </c>
      <c r="Y3790">
        <v>0.1249348</v>
      </c>
      <c r="Z3790">
        <v>0.21866179999999999</v>
      </c>
      <c r="AA3790">
        <v>0.96776969999999995</v>
      </c>
      <c r="AB3790">
        <v>8</v>
      </c>
      <c r="AC3790">
        <v>-6.5400000000010894E-2</v>
      </c>
      <c r="AD3790">
        <v>-0.16934940000000001</v>
      </c>
      <c r="AE3790">
        <v>-0.61270000000001801</v>
      </c>
      <c r="AF3790">
        <v>8.6358955406042395E-2</v>
      </c>
      <c r="AG3790">
        <v>-0.16934940000000001</v>
      </c>
      <c r="AH3790">
        <v>0.56635957311303797</v>
      </c>
      <c r="AI3790">
        <v>106.467536865935</v>
      </c>
      <c r="AJ3790">
        <v>81.330274159077902</v>
      </c>
      <c r="AK3790">
        <v>0.597411294265488</v>
      </c>
      <c r="AL3790">
        <v>91.534527151346097</v>
      </c>
      <c r="AM3790">
        <v>82.691057246848004</v>
      </c>
      <c r="AN3790">
        <v>1.00000001902503</v>
      </c>
    </row>
    <row r="3791" spans="1:40" x14ac:dyDescent="0.25">
      <c r="A3791" t="str">
        <f>"20190312161042668"</f>
        <v>20190312161042668</v>
      </c>
      <c r="B3791" t="str">
        <f>"1552378242660767"</f>
        <v>1552378242660767</v>
      </c>
      <c r="C3791" t="s">
        <v>40</v>
      </c>
      <c r="D3791">
        <v>4.8221299999999996</v>
      </c>
      <c r="E3791">
        <v>0.50315359999999998</v>
      </c>
      <c r="F3791" t="s">
        <v>42</v>
      </c>
      <c r="G3791">
        <v>-189.2038</v>
      </c>
      <c r="H3791">
        <v>0.93916339999999998</v>
      </c>
      <c r="I3791">
        <v>193.5538</v>
      </c>
      <c r="J3791">
        <v>-189.13310000000001</v>
      </c>
      <c r="K3791">
        <v>1.109826</v>
      </c>
      <c r="L3791">
        <v>194.2209</v>
      </c>
      <c r="M3791">
        <v>4.3564730000000003E-2</v>
      </c>
      <c r="N3791">
        <v>0</v>
      </c>
      <c r="O3791">
        <v>-0.99898180000000003</v>
      </c>
      <c r="P3791">
        <v>-8.4239140000000004E-2</v>
      </c>
      <c r="Q3791">
        <v>-3.800564E-2</v>
      </c>
      <c r="R3791">
        <v>-0.99572070000000001</v>
      </c>
      <c r="S3791">
        <v>-0.2708893</v>
      </c>
      <c r="T3791">
        <v>-0.67570810000000003</v>
      </c>
      <c r="U3791">
        <v>-2.963654</v>
      </c>
      <c r="V3791">
        <v>0.127521</v>
      </c>
      <c r="W3791">
        <v>-2.647878E-2</v>
      </c>
      <c r="X3791">
        <v>0.99148239999999999</v>
      </c>
      <c r="Y3791">
        <v>0.132076</v>
      </c>
      <c r="Z3791">
        <v>0.22056339999999999</v>
      </c>
      <c r="AA3791">
        <v>0.96638900000000005</v>
      </c>
      <c r="AB3791">
        <v>7</v>
      </c>
      <c r="AC3791">
        <v>-7.0699999999987995E-2</v>
      </c>
      <c r="AD3791">
        <v>-0.1706626</v>
      </c>
      <c r="AE3791">
        <v>-0.66710000000000402</v>
      </c>
      <c r="AF3791">
        <v>9.3636656448869302E-2</v>
      </c>
      <c r="AG3791">
        <v>-0.1706626</v>
      </c>
      <c r="AH3791">
        <v>0.62306129451359105</v>
      </c>
      <c r="AI3791">
        <v>105.155920631177</v>
      </c>
      <c r="AJ3791">
        <v>81.453274995099903</v>
      </c>
      <c r="AK3791">
        <v>0.65276253200580903</v>
      </c>
      <c r="AL3791">
        <v>91.517299617610604</v>
      </c>
      <c r="AM3791">
        <v>82.671052724453602</v>
      </c>
      <c r="AN3791">
        <v>1.00000004037052</v>
      </c>
    </row>
    <row r="3792" spans="1:40" x14ac:dyDescent="0.25">
      <c r="A3792" t="str">
        <f>"20190312161042690"</f>
        <v>20190312161042690</v>
      </c>
      <c r="B3792" t="str">
        <f>"1552378242680288"</f>
        <v>1552378242680288</v>
      </c>
      <c r="C3792" t="s">
        <v>40</v>
      </c>
      <c r="D3792">
        <v>4.8607230000000001</v>
      </c>
      <c r="E3792">
        <v>0.50359049999999905</v>
      </c>
      <c r="F3792" t="s">
        <v>42</v>
      </c>
      <c r="G3792">
        <v>-189.20349999999999</v>
      </c>
      <c r="H3792">
        <v>0.94143650000000001</v>
      </c>
      <c r="I3792">
        <v>193.4812</v>
      </c>
      <c r="J3792">
        <v>-189.1311</v>
      </c>
      <c r="K3792">
        <v>1.1095680000000001</v>
      </c>
      <c r="L3792">
        <v>194.14160000000001</v>
      </c>
      <c r="M3792">
        <v>4.2218989999999998E-2</v>
      </c>
      <c r="N3792">
        <v>0</v>
      </c>
      <c r="O3792">
        <v>-0.99904820000000005</v>
      </c>
      <c r="P3792">
        <v>-8.6080920000000005E-2</v>
      </c>
      <c r="Q3792">
        <v>-3.7299939999999997E-2</v>
      </c>
      <c r="R3792">
        <v>-0.99558970000000002</v>
      </c>
      <c r="S3792">
        <v>-0.2812653</v>
      </c>
      <c r="T3792">
        <v>-0.67440699999999998</v>
      </c>
      <c r="U3792">
        <v>-2.9633790000000002</v>
      </c>
      <c r="V3792">
        <v>0.12801679999999999</v>
      </c>
      <c r="W3792">
        <v>-2.6538010000000001E-2</v>
      </c>
      <c r="X3792">
        <v>0.99141690000000005</v>
      </c>
      <c r="Y3792">
        <v>0.1341125</v>
      </c>
      <c r="Z3792">
        <v>0.22013369999999999</v>
      </c>
      <c r="AA3792">
        <v>0.96620649999999997</v>
      </c>
      <c r="AB3792">
        <v>8</v>
      </c>
      <c r="AC3792">
        <v>-7.2399999999987502E-2</v>
      </c>
      <c r="AD3792">
        <v>-0.16813149999999999</v>
      </c>
      <c r="AE3792">
        <v>-0.66040000000000898</v>
      </c>
      <c r="AF3792">
        <v>9.41862371299199E-2</v>
      </c>
      <c r="AG3792">
        <v>-0.16813149999999999</v>
      </c>
      <c r="AH3792">
        <v>0.61722327122506804</v>
      </c>
      <c r="AI3792">
        <v>105.07125841341799</v>
      </c>
      <c r="AJ3792">
        <v>81.323783793394497</v>
      </c>
      <c r="AK3792">
        <v>0.64660947649931499</v>
      </c>
      <c r="AL3792">
        <v>91.520694472989206</v>
      </c>
      <c r="AM3792">
        <v>82.642388726767805</v>
      </c>
      <c r="AN3792">
        <v>1.0000000183313</v>
      </c>
    </row>
    <row r="3793" spans="1:40" x14ac:dyDescent="0.25">
      <c r="A3793" t="str">
        <f>"20190312161042711"</f>
        <v>20190312161042711</v>
      </c>
      <c r="B3793" t="str">
        <f>"1552378242700783"</f>
        <v>1552378242700783</v>
      </c>
      <c r="C3793" t="s">
        <v>40</v>
      </c>
      <c r="D3793">
        <v>4.9341169999999996</v>
      </c>
      <c r="E3793">
        <v>0.50408940000000002</v>
      </c>
      <c r="F3793" t="s">
        <v>42</v>
      </c>
      <c r="G3793">
        <v>-189.2029</v>
      </c>
      <c r="H3793">
        <v>0.94398890000000002</v>
      </c>
      <c r="I3793">
        <v>193.4084</v>
      </c>
      <c r="J3793">
        <v>-189.1293</v>
      </c>
      <c r="K3793">
        <v>1.1094520000000001</v>
      </c>
      <c r="L3793">
        <v>194.06659999999999</v>
      </c>
      <c r="M3793">
        <v>4.0976350000000002E-2</v>
      </c>
      <c r="N3793">
        <v>0</v>
      </c>
      <c r="O3793">
        <v>-0.99910410000000005</v>
      </c>
      <c r="P3793">
        <v>-8.7302019999999994E-2</v>
      </c>
      <c r="Q3793">
        <v>-3.6892830000000001E-2</v>
      </c>
      <c r="R3793">
        <v>-0.99549849999999995</v>
      </c>
      <c r="S3793">
        <v>-0.28964230000000002</v>
      </c>
      <c r="T3793">
        <v>-0.66900789999999999</v>
      </c>
      <c r="U3793">
        <v>-2.9631959999999999</v>
      </c>
      <c r="V3793">
        <v>0.12799739999999901</v>
      </c>
      <c r="W3793">
        <v>-2.6529529999999999E-2</v>
      </c>
      <c r="X3793">
        <v>0.99141959999999996</v>
      </c>
      <c r="Y3793">
        <v>0.13562949999999999</v>
      </c>
      <c r="Z3793">
        <v>0.21843580000000001</v>
      </c>
      <c r="AA3793">
        <v>0.96638009999999996</v>
      </c>
      <c r="AB3793">
        <v>8</v>
      </c>
      <c r="AC3793">
        <v>-7.3599999999999E-2</v>
      </c>
      <c r="AD3793">
        <v>-0.165463099999999</v>
      </c>
      <c r="AE3793">
        <v>-0.65819999999999301</v>
      </c>
      <c r="AF3793">
        <v>9.4605505357463093E-2</v>
      </c>
      <c r="AG3793">
        <v>-0.165463099999999</v>
      </c>
      <c r="AH3793">
        <v>0.61617260187845702</v>
      </c>
      <c r="AI3793">
        <v>104.864891987474</v>
      </c>
      <c r="AJ3793">
        <v>81.271122885433996</v>
      </c>
      <c r="AK3793">
        <v>0.64497822785828895</v>
      </c>
      <c r="AL3793">
        <v>91.520208481582202</v>
      </c>
      <c r="AM3793">
        <v>82.643511318812898</v>
      </c>
      <c r="AN3793">
        <v>0.99999998681646995</v>
      </c>
    </row>
    <row r="3794" spans="1:40" x14ac:dyDescent="0.25">
      <c r="A3794" t="str">
        <f>"20190312161042732"</f>
        <v>20190312161042732</v>
      </c>
      <c r="B3794" t="str">
        <f>"1552378242730064"</f>
        <v>1552378242730064</v>
      </c>
      <c r="C3794" t="s">
        <v>40</v>
      </c>
      <c r="D3794">
        <v>4.9764229999999996</v>
      </c>
      <c r="E3794">
        <v>0.50520859999999901</v>
      </c>
      <c r="F3794" t="s">
        <v>42</v>
      </c>
      <c r="G3794">
        <v>-189.20269999999999</v>
      </c>
      <c r="H3794">
        <v>0.94423619999999997</v>
      </c>
      <c r="I3794">
        <v>193.33670000000001</v>
      </c>
      <c r="J3794">
        <v>-189.1277</v>
      </c>
      <c r="K3794">
        <v>1.1095269999999999</v>
      </c>
      <c r="L3794">
        <v>193.98990000000001</v>
      </c>
      <c r="M3794">
        <v>3.9775190000000002E-2</v>
      </c>
      <c r="N3794">
        <v>0</v>
      </c>
      <c r="O3794">
        <v>-0.99915089999999995</v>
      </c>
      <c r="P3794">
        <v>-8.8264819999999994E-2</v>
      </c>
      <c r="Q3794">
        <v>-3.7492190000000002E-2</v>
      </c>
      <c r="R3794">
        <v>-0.99539149999999998</v>
      </c>
      <c r="S3794">
        <v>-0.29695129999999997</v>
      </c>
      <c r="T3794">
        <v>-0.67044199999999998</v>
      </c>
      <c r="U3794">
        <v>-2.9627080000000001</v>
      </c>
      <c r="V3794">
        <v>0.12776179999999901</v>
      </c>
      <c r="W3794">
        <v>-2.6946970000000001E-2</v>
      </c>
      <c r="X3794">
        <v>0.99143870000000001</v>
      </c>
      <c r="Y3794">
        <v>0.13680510000000001</v>
      </c>
      <c r="Z3794">
        <v>0.21888840000000001</v>
      </c>
      <c r="AA3794">
        <v>0.96611199999999997</v>
      </c>
      <c r="AB3794">
        <v>8</v>
      </c>
      <c r="AC3794">
        <v>-7.4999999999988604E-2</v>
      </c>
      <c r="AD3794">
        <v>-0.16529079999999999</v>
      </c>
      <c r="AE3794">
        <v>-0.653199999999998</v>
      </c>
      <c r="AF3794">
        <v>9.4924095230551495E-2</v>
      </c>
      <c r="AG3794">
        <v>-0.16529079999999999</v>
      </c>
      <c r="AH3794">
        <v>0.61107951156085705</v>
      </c>
      <c r="AI3794">
        <v>104.964449273375</v>
      </c>
      <c r="AJ3794">
        <v>81.170335663743998</v>
      </c>
      <c r="AK3794">
        <v>0.64011702201193998</v>
      </c>
      <c r="AL3794">
        <v>91.544134633735595</v>
      </c>
      <c r="AM3794">
        <v>82.657044129056501</v>
      </c>
      <c r="AN3794">
        <v>0.99999995629455396</v>
      </c>
    </row>
    <row r="3795" spans="1:40" x14ac:dyDescent="0.25">
      <c r="A3795" t="str">
        <f>"20190312161042755"</f>
        <v>20190312161042755</v>
      </c>
      <c r="B3795" t="str">
        <f>"1552378242750560"</f>
        <v>1552378242750560</v>
      </c>
      <c r="C3795" t="s">
        <v>40</v>
      </c>
      <c r="D3795">
        <v>5.004956</v>
      </c>
      <c r="E3795">
        <v>0.50520859999999901</v>
      </c>
      <c r="F3795" t="s">
        <v>42</v>
      </c>
      <c r="G3795">
        <v>-189.203</v>
      </c>
      <c r="H3795">
        <v>0.94614659999999995</v>
      </c>
      <c r="I3795">
        <v>193.26689999999999</v>
      </c>
      <c r="J3795">
        <v>-189.12620000000001</v>
      </c>
      <c r="K3795">
        <v>1.109856</v>
      </c>
      <c r="L3795">
        <v>193.91409999999999</v>
      </c>
      <c r="M3795">
        <v>3.8660439999999997E-2</v>
      </c>
      <c r="N3795">
        <v>0</v>
      </c>
      <c r="O3795">
        <v>-0.99918439999999997</v>
      </c>
      <c r="P3795">
        <v>-8.9911249999999998E-2</v>
      </c>
      <c r="Q3795">
        <v>-3.9235989999999998E-2</v>
      </c>
      <c r="R3795">
        <v>-0.99517690000000003</v>
      </c>
      <c r="S3795">
        <v>-0.30839539999999999</v>
      </c>
      <c r="T3795">
        <v>-0.66908630000000002</v>
      </c>
      <c r="U3795">
        <v>-2.9613649999999998</v>
      </c>
      <c r="V3795">
        <v>0.1282961</v>
      </c>
      <c r="W3795">
        <v>-2.7780349999999999E-2</v>
      </c>
      <c r="X3795">
        <v>0.99134679999999997</v>
      </c>
      <c r="Y3795">
        <v>0.13944779999999901</v>
      </c>
      <c r="Z3795">
        <v>0.21849399999999999</v>
      </c>
      <c r="AA3795">
        <v>0.9658234</v>
      </c>
      <c r="AB3795">
        <v>8</v>
      </c>
      <c r="AC3795">
        <v>-7.67999999999915E-2</v>
      </c>
      <c r="AD3795">
        <v>-0.16370939999999901</v>
      </c>
      <c r="AE3795">
        <v>-0.647199999999997</v>
      </c>
      <c r="AF3795">
        <v>9.5725480716922495E-2</v>
      </c>
      <c r="AG3795">
        <v>-0.16370939999999901</v>
      </c>
      <c r="AH3795">
        <v>0.605540004595571</v>
      </c>
      <c r="AI3795">
        <v>104.95120821277401</v>
      </c>
      <c r="AJ3795">
        <v>81.016858600377503</v>
      </c>
      <c r="AK3795">
        <v>0.634541434795593</v>
      </c>
      <c r="AL3795">
        <v>91.591901519408793</v>
      </c>
      <c r="AM3795">
        <v>82.625997101251201</v>
      </c>
      <c r="AN3795">
        <v>1.0000000574957799</v>
      </c>
    </row>
    <row r="3796" spans="1:40" x14ac:dyDescent="0.25">
      <c r="A3796" t="str">
        <f>"20190312161042804"</f>
        <v>20190312161042804</v>
      </c>
      <c r="B3796" t="str">
        <f>"1552378242800335"</f>
        <v>1552378242800335</v>
      </c>
      <c r="C3796" t="s">
        <v>40</v>
      </c>
      <c r="D3796">
        <v>4.9142519999999896</v>
      </c>
      <c r="E3796">
        <v>0.59542479999999998</v>
      </c>
      <c r="F3796" t="s">
        <v>42</v>
      </c>
      <c r="G3796">
        <v>-189.202</v>
      </c>
      <c r="H3796">
        <v>0.94698970000000005</v>
      </c>
      <c r="I3796">
        <v>193.1995</v>
      </c>
      <c r="J3796">
        <v>-189.12289999999999</v>
      </c>
      <c r="K3796">
        <v>1.1098509999999999</v>
      </c>
      <c r="L3796">
        <v>193.74719999999999</v>
      </c>
      <c r="M3796">
        <v>3.6035949999999997E-2</v>
      </c>
      <c r="N3796">
        <v>0</v>
      </c>
      <c r="O3796">
        <v>-0.99928269999999997</v>
      </c>
      <c r="P3796">
        <v>-9.4633200000000001E-2</v>
      </c>
      <c r="Q3796">
        <v>-3.8473510000000002E-2</v>
      </c>
      <c r="R3796">
        <v>-0.9947686</v>
      </c>
      <c r="S3796">
        <v>-0.31283569999999999</v>
      </c>
      <c r="T3796">
        <v>-0.67431079999999999</v>
      </c>
      <c r="U3796">
        <v>-2.959686</v>
      </c>
      <c r="V3796">
        <v>0.1304025</v>
      </c>
      <c r="W3796">
        <v>-2.701982E-2</v>
      </c>
      <c r="X3796">
        <v>0.99109290000000005</v>
      </c>
      <c r="Y3796">
        <v>0.138296</v>
      </c>
      <c r="Z3796">
        <v>0.22026889999999999</v>
      </c>
      <c r="AA3796">
        <v>0.96558580000000005</v>
      </c>
      <c r="AB3796">
        <v>7</v>
      </c>
      <c r="AC3796">
        <v>-7.9100000000010995E-2</v>
      </c>
      <c r="AD3796">
        <v>-0.16286129999999999</v>
      </c>
      <c r="AE3796">
        <v>-0.54769999999999097</v>
      </c>
      <c r="AF3796">
        <v>9.0912595326996901E-2</v>
      </c>
      <c r="AG3796">
        <v>-0.16286129999999999</v>
      </c>
      <c r="AH3796">
        <v>0.501092275534327</v>
      </c>
      <c r="AI3796">
        <v>107.73386051252101</v>
      </c>
      <c r="AJ3796">
        <v>79.716748250061002</v>
      </c>
      <c r="AK3796">
        <v>0.53467969068120602</v>
      </c>
      <c r="AL3796">
        <v>91.548310069354898</v>
      </c>
      <c r="AM3796">
        <v>82.504395838125305</v>
      </c>
      <c r="AN3796">
        <v>1.0000000095547401</v>
      </c>
    </row>
    <row r="3797" spans="1:40" x14ac:dyDescent="0.25">
      <c r="A3797" t="str">
        <f>"20190312161042825"</f>
        <v>20190312161042825</v>
      </c>
      <c r="B3797" t="str">
        <f>"1552378242819856"</f>
        <v>1552378242819856</v>
      </c>
      <c r="C3797" t="s">
        <v>40</v>
      </c>
      <c r="D3797">
        <v>4.9365379999999996</v>
      </c>
      <c r="E3797">
        <v>0.59658029999999995</v>
      </c>
      <c r="F3797" t="s">
        <v>91</v>
      </c>
      <c r="G3797">
        <v>-217.84610000000001</v>
      </c>
      <c r="H3797">
        <v>2.3155019999999999</v>
      </c>
      <c r="I3797">
        <v>113.2439</v>
      </c>
      <c r="J3797">
        <v>-189.1215</v>
      </c>
      <c r="K3797">
        <v>1.109618</v>
      </c>
      <c r="L3797">
        <v>193.67099999999999</v>
      </c>
      <c r="M3797">
        <v>3.4801039999999998E-2</v>
      </c>
      <c r="N3797">
        <v>0</v>
      </c>
      <c r="O3797">
        <v>-0.99933510000000003</v>
      </c>
      <c r="P3797">
        <v>-9.7208050000000004E-2</v>
      </c>
      <c r="Q3797">
        <v>-3.7431069999999997E-2</v>
      </c>
      <c r="R3797">
        <v>-0.99456009999999995</v>
      </c>
      <c r="S3797">
        <v>-1.041275</v>
      </c>
      <c r="T3797">
        <v>4.3708089999999998E-2</v>
      </c>
      <c r="U3797">
        <v>-2.918396</v>
      </c>
      <c r="V3797">
        <v>0.1317422</v>
      </c>
      <c r="W3797">
        <v>-2.6733199999999999E-2</v>
      </c>
      <c r="X3797">
        <v>0.99092349999999996</v>
      </c>
      <c r="Y3797">
        <v>0.36858999999999997</v>
      </c>
      <c r="Z3797">
        <v>-1.400206E-2</v>
      </c>
      <c r="AA3797">
        <v>0.92948660000000005</v>
      </c>
      <c r="AB3797">
        <v>8</v>
      </c>
      <c r="AC3797">
        <v>-28.724599999999999</v>
      </c>
      <c r="AD3797">
        <v>1.205884</v>
      </c>
      <c r="AE3797">
        <v>-80.427099999999996</v>
      </c>
      <c r="AF3797">
        <v>31.500030255193199</v>
      </c>
      <c r="AG3797">
        <v>1.205884</v>
      </c>
      <c r="AH3797">
        <v>79.362848427833995</v>
      </c>
      <c r="AI3797">
        <v>89.190877507123304</v>
      </c>
      <c r="AJ3797">
        <v>68.351300907039004</v>
      </c>
      <c r="AK3797">
        <v>85.394190510121405</v>
      </c>
      <c r="AL3797">
        <v>91.531881991881406</v>
      </c>
      <c r="AM3797">
        <v>82.4269987797081</v>
      </c>
      <c r="AN3797">
        <v>1.0000000270476599</v>
      </c>
    </row>
    <row r="3798" spans="1:40" x14ac:dyDescent="0.25">
      <c r="A3798" t="str">
        <f>"20190312161042846"</f>
        <v>20190312161042846</v>
      </c>
      <c r="B3798" t="str">
        <f>"1552378242840351"</f>
        <v>1552378242840351</v>
      </c>
      <c r="C3798" t="s">
        <v>40</v>
      </c>
      <c r="D3798">
        <v>4.9860319999999998</v>
      </c>
      <c r="E3798">
        <v>0.5937576</v>
      </c>
      <c r="F3798" t="s">
        <v>88</v>
      </c>
      <c r="G3798">
        <v>-224.16749999999999</v>
      </c>
      <c r="H3798">
        <v>2.063542</v>
      </c>
      <c r="I3798">
        <v>97.150019999999998</v>
      </c>
      <c r="J3798">
        <v>-189.12020000000001</v>
      </c>
      <c r="K3798">
        <v>1.1095139999999999</v>
      </c>
      <c r="L3798">
        <v>193.59460000000001</v>
      </c>
      <c r="M3798">
        <v>3.3612309999999999E-2</v>
      </c>
      <c r="N3798">
        <v>0</v>
      </c>
      <c r="O3798">
        <v>-0.99938009999999999</v>
      </c>
      <c r="P3798">
        <v>-9.9073099999999997E-2</v>
      </c>
      <c r="Q3798">
        <v>-3.6752489999999999E-2</v>
      </c>
      <c r="R3798">
        <v>-0.99440150000000005</v>
      </c>
      <c r="S3798">
        <v>-1.0580750000000001</v>
      </c>
      <c r="T3798">
        <v>2.880073E-2</v>
      </c>
      <c r="U3798">
        <v>-2.9140630000000001</v>
      </c>
      <c r="V3798">
        <v>0.1324215</v>
      </c>
      <c r="W3798">
        <v>-2.6489410000000001E-2</v>
      </c>
      <c r="X3798">
        <v>0.99083949999999998</v>
      </c>
      <c r="Y3798">
        <v>0.37268020000000002</v>
      </c>
      <c r="Z3798">
        <v>-9.2239249999999991E-3</v>
      </c>
      <c r="AA3798">
        <v>0.92791400000000002</v>
      </c>
      <c r="AB3798">
        <v>8</v>
      </c>
      <c r="AC3798">
        <v>-35.0472999999999</v>
      </c>
      <c r="AD3798">
        <v>0.95402799999999999</v>
      </c>
      <c r="AE3798">
        <v>-96.444580000000002</v>
      </c>
      <c r="AF3798">
        <v>38.2660894597999</v>
      </c>
      <c r="AG3798">
        <v>0.95402799999999999</v>
      </c>
      <c r="AH3798">
        <v>95.203763283080903</v>
      </c>
      <c r="AI3798">
        <v>89.467282128832693</v>
      </c>
      <c r="AJ3798">
        <v>68.102890000776696</v>
      </c>
      <c r="AK3798">
        <v>102.61072222351299</v>
      </c>
      <c r="AL3798">
        <v>91.517908903253897</v>
      </c>
      <c r="AM3798">
        <v>82.3877691861464</v>
      </c>
      <c r="AN3798">
        <v>1.0000000286323201</v>
      </c>
    </row>
    <row r="3799" spans="1:40" x14ac:dyDescent="0.25">
      <c r="A3799" t="str">
        <f>"20190312161042868"</f>
        <v>20190312161042868</v>
      </c>
      <c r="B3799" t="str">
        <f>"1552378242860849"</f>
        <v>1552378242860849</v>
      </c>
      <c r="C3799" t="s">
        <v>40</v>
      </c>
      <c r="D3799">
        <v>4.9433319999999998</v>
      </c>
      <c r="E3799">
        <v>0.59240409999999999</v>
      </c>
      <c r="F3799" t="s">
        <v>91</v>
      </c>
      <c r="G3799">
        <v>-217.83090000000001</v>
      </c>
      <c r="H3799">
        <v>1.380674</v>
      </c>
      <c r="I3799">
        <v>113.2439</v>
      </c>
      <c r="J3799">
        <v>-189.1189</v>
      </c>
      <c r="K3799">
        <v>1.1095090000000001</v>
      </c>
      <c r="L3799">
        <v>193.51130000000001</v>
      </c>
      <c r="M3799">
        <v>3.2382599999999997E-2</v>
      </c>
      <c r="N3799">
        <v>0</v>
      </c>
      <c r="O3799">
        <v>-0.99942260000000005</v>
      </c>
      <c r="P3799">
        <v>-0.1000577</v>
      </c>
      <c r="Q3799">
        <v>-3.6201799999999999E-2</v>
      </c>
      <c r="R3799">
        <v>-0.99432319999999996</v>
      </c>
      <c r="S3799">
        <v>-1.041061</v>
      </c>
      <c r="T3799">
        <v>9.8333359999999998E-3</v>
      </c>
      <c r="U3799">
        <v>-2.9135439999999999</v>
      </c>
      <c r="V3799">
        <v>0.13218429999999901</v>
      </c>
      <c r="W3799">
        <v>-2.6108429999999998E-2</v>
      </c>
      <c r="X3799">
        <v>0.99088129999999996</v>
      </c>
      <c r="Y3799">
        <v>0.36680049999999997</v>
      </c>
      <c r="Z3799">
        <v>-3.1570029999999998E-3</v>
      </c>
      <c r="AA3799">
        <v>0.93029430000000002</v>
      </c>
      <c r="AB3799">
        <v>8</v>
      </c>
      <c r="AC3799">
        <v>-28.712</v>
      </c>
      <c r="AD3799">
        <v>0.27116499999999899</v>
      </c>
      <c r="AE3799">
        <v>-80.267399999999995</v>
      </c>
      <c r="AF3799">
        <v>31.2960282925225</v>
      </c>
      <c r="AG3799">
        <v>0.27116499999999899</v>
      </c>
      <c r="AH3799">
        <v>79.294678265260004</v>
      </c>
      <c r="AI3799">
        <v>89.817747032005698</v>
      </c>
      <c r="AJ3799">
        <v>68.461838971256398</v>
      </c>
      <c r="AK3799">
        <v>85.247644650950306</v>
      </c>
      <c r="AL3799">
        <v>91.496072780603996</v>
      </c>
      <c r="AM3799">
        <v>82.401561932542407</v>
      </c>
      <c r="AN3799">
        <v>1.00000004498662</v>
      </c>
    </row>
    <row r="3800" spans="1:40" x14ac:dyDescent="0.25">
      <c r="A3800" t="str">
        <f>"20190312161042892"</f>
        <v>20190312161042892</v>
      </c>
      <c r="B3800" t="str">
        <f>"1552378242880368"</f>
        <v>1552378242880368</v>
      </c>
      <c r="C3800" t="s">
        <v>40</v>
      </c>
      <c r="D3800">
        <v>5.0081800000000003</v>
      </c>
      <c r="E3800">
        <v>0.59023289999999995</v>
      </c>
      <c r="F3800" t="s">
        <v>91</v>
      </c>
      <c r="G3800">
        <v>-217.64490000000001</v>
      </c>
      <c r="H3800">
        <v>1.4273279999999999</v>
      </c>
      <c r="I3800">
        <v>113.0643</v>
      </c>
      <c r="J3800">
        <v>-189.11770000000001</v>
      </c>
      <c r="K3800">
        <v>1.1096010000000001</v>
      </c>
      <c r="L3800">
        <v>193.42939999999999</v>
      </c>
      <c r="M3800">
        <v>3.1233159999999999E-2</v>
      </c>
      <c r="N3800">
        <v>0</v>
      </c>
      <c r="O3800">
        <v>-0.99945810000000002</v>
      </c>
      <c r="P3800">
        <v>-0.1006765</v>
      </c>
      <c r="Q3800">
        <v>-3.6564899999999997E-2</v>
      </c>
      <c r="R3800">
        <v>-0.9942474</v>
      </c>
      <c r="S3800">
        <v>-1.033142</v>
      </c>
      <c r="T3800">
        <v>1.1511560000000001E-2</v>
      </c>
      <c r="U3800">
        <v>-2.913589</v>
      </c>
      <c r="V3800">
        <v>0.13166159999999999</v>
      </c>
      <c r="W3800">
        <v>-2.633798E-2</v>
      </c>
      <c r="X3800">
        <v>0.99094470000000001</v>
      </c>
      <c r="Y3800">
        <v>0.36347869999999999</v>
      </c>
      <c r="Z3800">
        <v>-3.7000800000000001E-3</v>
      </c>
      <c r="AA3800">
        <v>0.93159510000000001</v>
      </c>
      <c r="AB3800">
        <v>8</v>
      </c>
      <c r="AC3800">
        <v>-28.527200000000001</v>
      </c>
      <c r="AD3800">
        <v>0.31772699999999998</v>
      </c>
      <c r="AE3800">
        <v>-80.365099999999899</v>
      </c>
      <c r="AF3800">
        <v>31.023041745245301</v>
      </c>
      <c r="AG3800">
        <v>0.31772699999999998</v>
      </c>
      <c r="AH3800">
        <v>79.433742339346097</v>
      </c>
      <c r="AI3800">
        <v>89.786526793084093</v>
      </c>
      <c r="AJ3800">
        <v>68.666747884442799</v>
      </c>
      <c r="AK3800">
        <v>85.277485256117799</v>
      </c>
      <c r="AL3800">
        <v>91.5092297208123</v>
      </c>
      <c r="AM3800">
        <v>82.431738264898598</v>
      </c>
      <c r="AN3800">
        <v>0.99999993228156203</v>
      </c>
    </row>
    <row r="3801" spans="1:40" x14ac:dyDescent="0.25">
      <c r="A3801" t="str">
        <f>"20190312161042936"</f>
        <v>20190312161042936</v>
      </c>
      <c r="B3801" t="str">
        <f>"1552378242930144"</f>
        <v>1552378242930144</v>
      </c>
      <c r="C3801" t="s">
        <v>40</v>
      </c>
      <c r="D3801">
        <v>5.1307799999999997</v>
      </c>
      <c r="E3801">
        <v>0.58901840000000005</v>
      </c>
      <c r="F3801" t="s">
        <v>91</v>
      </c>
      <c r="G3801">
        <v>-217.1824</v>
      </c>
      <c r="H3801">
        <v>1.061342</v>
      </c>
      <c r="I3801">
        <v>113.0643</v>
      </c>
      <c r="J3801">
        <v>-189.1155</v>
      </c>
      <c r="K3801">
        <v>1.109855</v>
      </c>
      <c r="L3801">
        <v>193.2704</v>
      </c>
      <c r="M3801">
        <v>2.9078570000000001E-2</v>
      </c>
      <c r="N3801">
        <v>0</v>
      </c>
      <c r="O3801">
        <v>-0.99951789999999996</v>
      </c>
      <c r="P3801">
        <v>-0.1021635</v>
      </c>
      <c r="Q3801">
        <v>-3.7914450000000002E-2</v>
      </c>
      <c r="R3801">
        <v>-0.99404519999999996</v>
      </c>
      <c r="S3801">
        <v>-1.0177</v>
      </c>
      <c r="T3801">
        <v>-1.749039E-3</v>
      </c>
      <c r="U3801">
        <v>-2.9142459999999999</v>
      </c>
      <c r="V3801">
        <v>0.13101260000000001</v>
      </c>
      <c r="W3801">
        <v>-2.7190889999999999E-2</v>
      </c>
      <c r="X3801">
        <v>0.99100770000000005</v>
      </c>
      <c r="Y3801">
        <v>0.35700559999999998</v>
      </c>
      <c r="Z3801">
        <v>5.6333149999999999E-4</v>
      </c>
      <c r="AA3801">
        <v>0.93410210000000005</v>
      </c>
      <c r="AB3801">
        <v>8</v>
      </c>
      <c r="AC3801">
        <v>-28.0669</v>
      </c>
      <c r="AD3801">
        <v>-4.8513000000000001E-2</v>
      </c>
      <c r="AE3801">
        <v>-80.206099999999907</v>
      </c>
      <c r="AF3801">
        <v>30.387436792554102</v>
      </c>
      <c r="AG3801">
        <v>-4.8513000000000001E-2</v>
      </c>
      <c r="AH3801">
        <v>79.355959643737407</v>
      </c>
      <c r="AI3801">
        <v>90.032710646083103</v>
      </c>
      <c r="AJ3801">
        <v>69.046872486154598</v>
      </c>
      <c r="AK3801">
        <v>84.9750963477602</v>
      </c>
      <c r="AL3801">
        <v>91.558115347989002</v>
      </c>
      <c r="AM3801">
        <v>82.469088524031505</v>
      </c>
      <c r="AN3801">
        <v>0.99999995365852001</v>
      </c>
    </row>
    <row r="3802" spans="1:40" x14ac:dyDescent="0.25">
      <c r="A3802" t="str">
        <f>"20190312161042958"</f>
        <v>20190312161042958</v>
      </c>
      <c r="B3802" t="str">
        <f>"1552378242950640"</f>
        <v>1552378242950640</v>
      </c>
      <c r="C3802" t="s">
        <v>40</v>
      </c>
      <c r="D3802">
        <v>5.1774630000000004</v>
      </c>
      <c r="E3802">
        <v>0.58848459999999903</v>
      </c>
      <c r="F3802" t="s">
        <v>90</v>
      </c>
      <c r="G3802">
        <v>-214.95930000000001</v>
      </c>
      <c r="H3802">
        <v>0.85663140000000004</v>
      </c>
      <c r="I3802">
        <v>118.9074</v>
      </c>
      <c r="J3802">
        <v>-189.11439999999999</v>
      </c>
      <c r="K3802">
        <v>1.1097269999999999</v>
      </c>
      <c r="L3802">
        <v>193.19130000000001</v>
      </c>
      <c r="M3802">
        <v>2.7990170000000002E-2</v>
      </c>
      <c r="N3802">
        <v>0</v>
      </c>
      <c r="O3802">
        <v>-0.9995539</v>
      </c>
      <c r="P3802">
        <v>-0.1032931</v>
      </c>
      <c r="Q3802">
        <v>-3.8160069999999997E-2</v>
      </c>
      <c r="R3802">
        <v>-0.99391910000000006</v>
      </c>
      <c r="S3802">
        <v>-1.0125580000000001</v>
      </c>
      <c r="T3802">
        <v>-9.9201199999999993E-3</v>
      </c>
      <c r="U3802">
        <v>-2.9135279999999999</v>
      </c>
      <c r="V3802">
        <v>0.13105910000000001</v>
      </c>
      <c r="W3802">
        <v>-2.787974E-2</v>
      </c>
      <c r="X3802">
        <v>0.99098249999999999</v>
      </c>
      <c r="Y3802">
        <v>0.35458689999999998</v>
      </c>
      <c r="Z3802">
        <v>3.198383E-3</v>
      </c>
      <c r="AA3802">
        <v>0.9350176</v>
      </c>
      <c r="AB3802">
        <v>8</v>
      </c>
      <c r="AC3802">
        <v>-25.844899999999999</v>
      </c>
      <c r="AD3802">
        <v>-0.25309559999999998</v>
      </c>
      <c r="AE3802">
        <v>-74.283900000000003</v>
      </c>
      <c r="AF3802">
        <v>27.9138156267394</v>
      </c>
      <c r="AG3802">
        <v>-0.25309559999999998</v>
      </c>
      <c r="AH3802">
        <v>73.530588462223307</v>
      </c>
      <c r="AI3802">
        <v>90.184375528845095</v>
      </c>
      <c r="AJ3802">
        <v>69.2121455368044</v>
      </c>
      <c r="AK3802">
        <v>78.651081364639893</v>
      </c>
      <c r="AL3802">
        <v>91.597598378808101</v>
      </c>
      <c r="AM3802">
        <v>82.466256917776207</v>
      </c>
      <c r="AN3802">
        <v>1.0000000414507599</v>
      </c>
    </row>
    <row r="3803" spans="1:40" x14ac:dyDescent="0.25">
      <c r="A3803" t="str">
        <f>"20190312161042980"</f>
        <v>20190312161042980</v>
      </c>
      <c r="B3803" t="str">
        <f>"1552378242970160"</f>
        <v>1552378242970160</v>
      </c>
      <c r="C3803" t="s">
        <v>40</v>
      </c>
      <c r="D3803">
        <v>5.1434179999999996</v>
      </c>
      <c r="E3803">
        <v>0.58778920000000001</v>
      </c>
      <c r="F3803" t="s">
        <v>90</v>
      </c>
      <c r="G3803">
        <v>-214.91589999999999</v>
      </c>
      <c r="H3803">
        <v>0.8830382</v>
      </c>
      <c r="I3803">
        <v>118.8888</v>
      </c>
      <c r="J3803">
        <v>-189.11330000000001</v>
      </c>
      <c r="K3803">
        <v>1.109599</v>
      </c>
      <c r="L3803">
        <v>193.10810000000001</v>
      </c>
      <c r="M3803">
        <v>2.6868030000000001E-2</v>
      </c>
      <c r="N3803">
        <v>0</v>
      </c>
      <c r="O3803">
        <v>-0.99958919999999996</v>
      </c>
      <c r="P3803">
        <v>-0.10431840000000001</v>
      </c>
      <c r="Q3803">
        <v>-3.8112189999999997E-2</v>
      </c>
      <c r="R3803">
        <v>-0.99381359999999996</v>
      </c>
      <c r="S3803">
        <v>-1.0115050000000001</v>
      </c>
      <c r="T3803">
        <v>-8.8858600000000006E-3</v>
      </c>
      <c r="U3803">
        <v>-2.912903</v>
      </c>
      <c r="V3803">
        <v>0.1309678</v>
      </c>
      <c r="W3803">
        <v>-2.8291650000000002E-2</v>
      </c>
      <c r="X3803">
        <v>0.99098280000000005</v>
      </c>
      <c r="Y3803">
        <v>0.3532978</v>
      </c>
      <c r="Z3803">
        <v>2.8665330000000001E-3</v>
      </c>
      <c r="AA3803">
        <v>0.93550650000000002</v>
      </c>
      <c r="AB3803">
        <v>8</v>
      </c>
      <c r="AC3803">
        <v>-25.802599999999899</v>
      </c>
      <c r="AD3803">
        <v>-0.22656079999999901</v>
      </c>
      <c r="AE3803">
        <v>-74.219300000000004</v>
      </c>
      <c r="AF3803">
        <v>27.787278683325301</v>
      </c>
      <c r="AG3803">
        <v>-0.22656079999999901</v>
      </c>
      <c r="AH3803">
        <v>73.498592804986302</v>
      </c>
      <c r="AI3803">
        <v>90.165202530652607</v>
      </c>
      <c r="AJ3803">
        <v>69.2901266715117</v>
      </c>
      <c r="AK3803">
        <v>78.576251696896804</v>
      </c>
      <c r="AL3803">
        <v>91.621208551030605</v>
      </c>
      <c r="AM3803">
        <v>82.471447198117801</v>
      </c>
      <c r="AN3803">
        <v>0.99999994599619901</v>
      </c>
    </row>
    <row r="3804" spans="1:40" x14ac:dyDescent="0.25">
      <c r="A3804" t="str">
        <f>"20190312161043004"</f>
        <v>20190312161043004</v>
      </c>
      <c r="B3804" t="str">
        <f>"1552378243000417"</f>
        <v>1552378243000417</v>
      </c>
      <c r="C3804" t="s">
        <v>40</v>
      </c>
      <c r="D3804">
        <v>5.1535580000000003</v>
      </c>
      <c r="E3804">
        <v>0.58646719999999997</v>
      </c>
      <c r="F3804" t="s">
        <v>90</v>
      </c>
      <c r="G3804">
        <v>-214.78870000000001</v>
      </c>
      <c r="H3804">
        <v>0.73735989999999996</v>
      </c>
      <c r="I3804">
        <v>118.9915</v>
      </c>
      <c r="J3804">
        <v>-189.1122</v>
      </c>
      <c r="K3804">
        <v>1.109558</v>
      </c>
      <c r="L3804">
        <v>193.0206</v>
      </c>
      <c r="M3804">
        <v>2.5732399999999999E-2</v>
      </c>
      <c r="N3804">
        <v>0</v>
      </c>
      <c r="O3804">
        <v>-0.9996216</v>
      </c>
      <c r="P3804">
        <v>-0.10560839999999901</v>
      </c>
      <c r="Q3804">
        <v>-3.8196279999999999E-2</v>
      </c>
      <c r="R3804">
        <v>-0.99367450000000002</v>
      </c>
      <c r="S3804">
        <v>-1.00885</v>
      </c>
      <c r="T3804">
        <v>-1.462507E-2</v>
      </c>
      <c r="U3804">
        <v>-2.9122159999999999</v>
      </c>
      <c r="V3804">
        <v>0.1311272</v>
      </c>
      <c r="W3804">
        <v>-2.862203E-2</v>
      </c>
      <c r="X3804">
        <v>0.99095230000000001</v>
      </c>
      <c r="Y3804">
        <v>0.35153899999999999</v>
      </c>
      <c r="Z3804">
        <v>4.7215080000000001E-3</v>
      </c>
      <c r="AA3804">
        <v>0.93616129999999997</v>
      </c>
      <c r="AB3804">
        <v>8</v>
      </c>
      <c r="AC3804">
        <v>-25.676500000000001</v>
      </c>
      <c r="AD3804">
        <v>-0.37219809999999998</v>
      </c>
      <c r="AE3804">
        <v>-74.0291</v>
      </c>
      <c r="AF3804">
        <v>27.572411153807401</v>
      </c>
      <c r="AG3804">
        <v>-0.37219809999999998</v>
      </c>
      <c r="AH3804">
        <v>73.342180147246296</v>
      </c>
      <c r="AI3804">
        <v>90.272165843750201</v>
      </c>
      <c r="AJ3804">
        <v>69.396647372271403</v>
      </c>
      <c r="AK3804">
        <v>78.354653831226798</v>
      </c>
      <c r="AL3804">
        <v>91.640145492529996</v>
      </c>
      <c r="AM3804">
        <v>82.462160214251398</v>
      </c>
      <c r="AN3804">
        <v>1.00000001202822</v>
      </c>
    </row>
    <row r="3805" spans="1:40" x14ac:dyDescent="0.25">
      <c r="A3805" t="str">
        <f>"20190312161043024"</f>
        <v>20190312161043024</v>
      </c>
      <c r="B3805" t="str">
        <f>"1552378243020914"</f>
        <v>1552378243020914</v>
      </c>
      <c r="C3805" t="s">
        <v>40</v>
      </c>
      <c r="D3805">
        <v>5.2044139999999999</v>
      </c>
      <c r="E3805">
        <v>0.58611919999999995</v>
      </c>
      <c r="F3805" t="s">
        <v>90</v>
      </c>
      <c r="G3805">
        <v>-214.56389999999999</v>
      </c>
      <c r="H3805">
        <v>0.59976300000000005</v>
      </c>
      <c r="I3805">
        <v>119.0886</v>
      </c>
      <c r="J3805">
        <v>-189.1114</v>
      </c>
      <c r="K3805">
        <v>1.109559</v>
      </c>
      <c r="L3805">
        <v>192.9443</v>
      </c>
      <c r="M3805">
        <v>2.4778379999999999E-2</v>
      </c>
      <c r="N3805">
        <v>0</v>
      </c>
      <c r="O3805">
        <v>-0.99964640000000005</v>
      </c>
      <c r="P3805">
        <v>-0.10608190000000001</v>
      </c>
      <c r="Q3805">
        <v>-3.8163540000000003E-2</v>
      </c>
      <c r="R3805">
        <v>-0.99362479999999997</v>
      </c>
      <c r="S3805">
        <v>-1.0024109999999999</v>
      </c>
      <c r="T3805">
        <v>-2.0077109999999999E-2</v>
      </c>
      <c r="U3805">
        <v>-2.9118040000000001</v>
      </c>
      <c r="V3805">
        <v>0.13065379999999999</v>
      </c>
      <c r="W3805">
        <v>-2.8678889999999999E-2</v>
      </c>
      <c r="X3805">
        <v>0.99101320000000004</v>
      </c>
      <c r="Y3805">
        <v>0.34883219999999998</v>
      </c>
      <c r="Z3805">
        <v>6.4883319999999899E-3</v>
      </c>
      <c r="AA3805">
        <v>0.93716279999999996</v>
      </c>
      <c r="AB3805">
        <v>8</v>
      </c>
      <c r="AC3805">
        <v>-25.452499999999901</v>
      </c>
      <c r="AD3805">
        <v>-0.50979599999999903</v>
      </c>
      <c r="AE3805">
        <v>-73.855699999999999</v>
      </c>
      <c r="AF3805">
        <v>27.2736328357026</v>
      </c>
      <c r="AG3805">
        <v>-0.50979599999999903</v>
      </c>
      <c r="AH3805">
        <v>73.199203410712499</v>
      </c>
      <c r="AI3805">
        <v>90.373919142154094</v>
      </c>
      <c r="AJ3805">
        <v>69.564874698580795</v>
      </c>
      <c r="AK3805">
        <v>78.116799217461505</v>
      </c>
      <c r="AL3805">
        <v>91.643404641554199</v>
      </c>
      <c r="AM3805">
        <v>82.489518628987199</v>
      </c>
      <c r="AN3805">
        <v>1.00000002838015</v>
      </c>
    </row>
    <row r="3806" spans="1:40" x14ac:dyDescent="0.25">
      <c r="A3806" t="str">
        <f>"20190312161043069"</f>
        <v>20190312161043069</v>
      </c>
      <c r="B3806" t="str">
        <f>"1552378243059952"</f>
        <v>1552378243059952</v>
      </c>
      <c r="C3806" t="s">
        <v>40</v>
      </c>
      <c r="D3806">
        <v>5.2364360000000003</v>
      </c>
      <c r="E3806">
        <v>0.58511999999999997</v>
      </c>
      <c r="F3806" t="s">
        <v>90</v>
      </c>
      <c r="G3806">
        <v>-214.47210000000001</v>
      </c>
      <c r="H3806">
        <v>0.49435240000000003</v>
      </c>
      <c r="I3806">
        <v>119.16289999999999</v>
      </c>
      <c r="J3806">
        <v>-189.10980000000001</v>
      </c>
      <c r="K3806">
        <v>1.10955</v>
      </c>
      <c r="L3806">
        <v>192.77189999999999</v>
      </c>
      <c r="M3806">
        <v>2.2681059999999999E-2</v>
      </c>
      <c r="N3806">
        <v>0</v>
      </c>
      <c r="O3806">
        <v>-0.99969909999999995</v>
      </c>
      <c r="P3806">
        <v>-0.10625569999999999</v>
      </c>
      <c r="Q3806">
        <v>-3.903293E-2</v>
      </c>
      <c r="R3806">
        <v>-0.99357269999999998</v>
      </c>
      <c r="S3806">
        <v>-1.0007629999999901</v>
      </c>
      <c r="T3806">
        <v>-2.4275660000000001E-2</v>
      </c>
      <c r="U3806">
        <v>-2.9114990000000001</v>
      </c>
      <c r="V3806">
        <v>0.1287479</v>
      </c>
      <c r="W3806">
        <v>-2.982897E-2</v>
      </c>
      <c r="X3806">
        <v>0.99122860000000002</v>
      </c>
      <c r="Y3806">
        <v>0.34641749999999999</v>
      </c>
      <c r="Z3806">
        <v>7.85081199999999E-3</v>
      </c>
      <c r="AA3806">
        <v>0.93804759999999998</v>
      </c>
      <c r="AB3806">
        <v>8</v>
      </c>
      <c r="AC3806">
        <v>-25.362300000000001</v>
      </c>
      <c r="AD3806">
        <v>-0.61519760000000001</v>
      </c>
      <c r="AE3806">
        <v>-73.608999999999995</v>
      </c>
      <c r="AF3806">
        <v>27.023690731669198</v>
      </c>
      <c r="AG3806">
        <v>-0.61519760000000001</v>
      </c>
      <c r="AH3806">
        <v>73.010235010176004</v>
      </c>
      <c r="AI3806">
        <v>90.452755954152096</v>
      </c>
      <c r="AJ3806">
        <v>69.688690348533498</v>
      </c>
      <c r="AK3806">
        <v>77.853405481642795</v>
      </c>
      <c r="AL3806">
        <v>91.709327698867298</v>
      </c>
      <c r="AM3806">
        <v>82.599443939613096</v>
      </c>
      <c r="AN3806">
        <v>0.99999996333181396</v>
      </c>
    </row>
    <row r="3807" spans="1:40" x14ac:dyDescent="0.25">
      <c r="A3807" t="str">
        <f>"20190312161043092"</f>
        <v>20190312161043092</v>
      </c>
      <c r="B3807" t="str">
        <f>"1552378243080448"</f>
        <v>1552378243080448</v>
      </c>
      <c r="C3807" t="s">
        <v>40</v>
      </c>
      <c r="D3807">
        <v>5.2829459999999999</v>
      </c>
      <c r="E3807">
        <v>0.58492819999999901</v>
      </c>
      <c r="F3807" t="s">
        <v>90</v>
      </c>
      <c r="G3807">
        <v>-213.96969999999999</v>
      </c>
      <c r="H3807">
        <v>0.29048239999999997</v>
      </c>
      <c r="I3807">
        <v>119.91719999999999</v>
      </c>
      <c r="J3807">
        <v>-189.10900000000001</v>
      </c>
      <c r="K3807">
        <v>1.1095410000000001</v>
      </c>
      <c r="L3807">
        <v>192.6875</v>
      </c>
      <c r="M3807">
        <v>2.1666609999999999E-2</v>
      </c>
      <c r="N3807">
        <v>0</v>
      </c>
      <c r="O3807">
        <v>-0.99972269999999996</v>
      </c>
      <c r="P3807">
        <v>-0.1055011</v>
      </c>
      <c r="Q3807">
        <v>-3.8802000000000003E-2</v>
      </c>
      <c r="R3807">
        <v>-0.99366180000000004</v>
      </c>
      <c r="S3807">
        <v>-0.99360660000000001</v>
      </c>
      <c r="T3807">
        <v>-3.2735470000000003E-2</v>
      </c>
      <c r="U3807">
        <v>-2.9118650000000001</v>
      </c>
      <c r="V3807">
        <v>0.1269902</v>
      </c>
      <c r="W3807">
        <v>-2.9723860000000001E-2</v>
      </c>
      <c r="X3807">
        <v>0.99145850000000002</v>
      </c>
      <c r="Y3807">
        <v>0.34335589999999999</v>
      </c>
      <c r="Z3807">
        <v>1.0595810000000001E-2</v>
      </c>
      <c r="AA3807">
        <v>0.93914560000000002</v>
      </c>
      <c r="AB3807">
        <v>8</v>
      </c>
      <c r="AC3807">
        <v>-24.860699999999898</v>
      </c>
      <c r="AD3807">
        <v>-0.81905859999999897</v>
      </c>
      <c r="AE3807">
        <v>-72.770300000000006</v>
      </c>
      <c r="AF3807">
        <v>26.4286181186684</v>
      </c>
      <c r="AG3807">
        <v>-0.81905859999999897</v>
      </c>
      <c r="AH3807">
        <v>72.206354465628294</v>
      </c>
      <c r="AI3807">
        <v>90.610303049795206</v>
      </c>
      <c r="AJ3807">
        <v>69.896609807685493</v>
      </c>
      <c r="AK3807">
        <v>76.895385673449894</v>
      </c>
      <c r="AL3807">
        <v>91.703302625659603</v>
      </c>
      <c r="AM3807">
        <v>82.701055430831801</v>
      </c>
      <c r="AN3807">
        <v>0.99999998798579404</v>
      </c>
    </row>
    <row r="3808" spans="1:40" x14ac:dyDescent="0.25">
      <c r="A3808" t="str">
        <f>"20190312161043113"</f>
        <v>20190312161043113</v>
      </c>
      <c r="B3808" t="str">
        <f>"1552378243110704"</f>
        <v>1552378243110704</v>
      </c>
      <c r="C3808" t="s">
        <v>40</v>
      </c>
      <c r="D3808">
        <v>5.2690169999999998</v>
      </c>
      <c r="E3808">
        <v>0.58421080000000003</v>
      </c>
      <c r="F3808" t="s">
        <v>90</v>
      </c>
      <c r="G3808">
        <v>-213.83170000000001</v>
      </c>
      <c r="H3808">
        <v>0.2111625</v>
      </c>
      <c r="I3808">
        <v>119.91719999999999</v>
      </c>
      <c r="J3808">
        <v>-189.10839999999999</v>
      </c>
      <c r="K3808">
        <v>1.1095469999999901</v>
      </c>
      <c r="L3808">
        <v>192.60480000000001</v>
      </c>
      <c r="M3808">
        <v>2.0677640000000001E-2</v>
      </c>
      <c r="N3808">
        <v>0</v>
      </c>
      <c r="O3808">
        <v>-0.99974439999999998</v>
      </c>
      <c r="P3808">
        <v>-0.1049522</v>
      </c>
      <c r="Q3808">
        <v>-3.9232610000000001E-2</v>
      </c>
      <c r="R3808">
        <v>-0.99370320000000001</v>
      </c>
      <c r="S3808">
        <v>-0.98954770000000003</v>
      </c>
      <c r="T3808">
        <v>-3.5957219999999998E-2</v>
      </c>
      <c r="U3808">
        <v>-2.9126889999999999</v>
      </c>
      <c r="V3808">
        <v>0.12546160000000001</v>
      </c>
      <c r="W3808">
        <v>-3.023354E-2</v>
      </c>
      <c r="X3808">
        <v>0.99163769999999996</v>
      </c>
      <c r="Y3808">
        <v>0.34116809999999997</v>
      </c>
      <c r="Z3808">
        <v>1.164307E-2</v>
      </c>
      <c r="AA3808">
        <v>0.93993020000000005</v>
      </c>
      <c r="AB3808">
        <v>9</v>
      </c>
      <c r="AC3808">
        <v>-24.723299999999998</v>
      </c>
      <c r="AD3808">
        <v>-0.89838449999999903</v>
      </c>
      <c r="AE3808">
        <v>-72.687600000000003</v>
      </c>
      <c r="AF3808">
        <v>26.217494771011499</v>
      </c>
      <c r="AG3808">
        <v>-0.89838449999999903</v>
      </c>
      <c r="AH3808">
        <v>72.1509380855112</v>
      </c>
      <c r="AI3808">
        <v>90.670490460527105</v>
      </c>
      <c r="AJ3808">
        <v>70.030367885143903</v>
      </c>
      <c r="AK3808">
        <v>76.771882830871903</v>
      </c>
      <c r="AL3808">
        <v>91.732518242739303</v>
      </c>
      <c r="AM3808">
        <v>82.789272858834096</v>
      </c>
      <c r="AN3808">
        <v>1.0000000040383901</v>
      </c>
    </row>
    <row r="3809" spans="1:40" x14ac:dyDescent="0.25">
      <c r="A3809" t="str">
        <f>"20190312161043136"</f>
        <v>20190312161043136</v>
      </c>
      <c r="B3809" t="str">
        <f>"1552378243130224"</f>
        <v>1552378243130224</v>
      </c>
      <c r="C3809" t="s">
        <v>40</v>
      </c>
      <c r="D3809">
        <v>5.2632510000000003</v>
      </c>
      <c r="E3809">
        <v>0.58378569999999996</v>
      </c>
      <c r="F3809" t="s">
        <v>90</v>
      </c>
      <c r="G3809">
        <v>-213.6121</v>
      </c>
      <c r="H3809">
        <v>0.13820859999999999</v>
      </c>
      <c r="I3809">
        <v>119.91719999999999</v>
      </c>
      <c r="J3809">
        <v>-189.10769999999999</v>
      </c>
      <c r="K3809">
        <v>1.1095410000000001</v>
      </c>
      <c r="L3809">
        <v>192.518</v>
      </c>
      <c r="M3809">
        <v>1.9648559999999999E-2</v>
      </c>
      <c r="N3809">
        <v>0</v>
      </c>
      <c r="O3809">
        <v>-0.99976580000000004</v>
      </c>
      <c r="P3809">
        <v>-0.10549600000000001</v>
      </c>
      <c r="Q3809">
        <v>-3.784357E-2</v>
      </c>
      <c r="R3809">
        <v>-0.99369960000000002</v>
      </c>
      <c r="S3809">
        <v>-0.98225399999999996</v>
      </c>
      <c r="T3809">
        <v>-3.8935780000000003E-2</v>
      </c>
      <c r="U3809">
        <v>-2.9137420000000001</v>
      </c>
      <c r="V3809">
        <v>0.1249854</v>
      </c>
      <c r="W3809">
        <v>-2.8903000000000002E-2</v>
      </c>
      <c r="X3809">
        <v>0.99173750000000005</v>
      </c>
      <c r="Y3809">
        <v>0.33798020000000001</v>
      </c>
      <c r="Z3809">
        <v>1.261587E-2</v>
      </c>
      <c r="AA3809">
        <v>0.94106860000000003</v>
      </c>
      <c r="AB3809">
        <v>9</v>
      </c>
      <c r="AC3809">
        <v>-24.5044</v>
      </c>
      <c r="AD3809">
        <v>-0.97133239999999998</v>
      </c>
      <c r="AE3809">
        <v>-72.600800000000007</v>
      </c>
      <c r="AF3809">
        <v>25.922063353673298</v>
      </c>
      <c r="AG3809">
        <v>-0.97133239999999998</v>
      </c>
      <c r="AH3809">
        <v>72.093702172691295</v>
      </c>
      <c r="AI3809">
        <v>90.726387464568603</v>
      </c>
      <c r="AJ3809">
        <v>70.223408080573293</v>
      </c>
      <c r="AK3809">
        <v>76.618527446746597</v>
      </c>
      <c r="AL3809">
        <v>91.656250568484893</v>
      </c>
      <c r="AM3809">
        <v>82.817070670695401</v>
      </c>
      <c r="AN3809">
        <v>1.0000000012642001</v>
      </c>
    </row>
    <row r="3810" spans="1:40" x14ac:dyDescent="0.25">
      <c r="A3810" t="str">
        <f>"20190312161043158"</f>
        <v>20190312161043158</v>
      </c>
      <c r="B3810" t="str">
        <f>"1552378243150720"</f>
        <v>1552378243150720</v>
      </c>
      <c r="C3810" t="s">
        <v>40</v>
      </c>
      <c r="D3810">
        <v>5.3153329999999999</v>
      </c>
      <c r="E3810">
        <v>0.58351339999999996</v>
      </c>
      <c r="F3810" t="s">
        <v>90</v>
      </c>
      <c r="G3810">
        <v>-213.53659999999999</v>
      </c>
      <c r="H3810">
        <v>0.32489259999999998</v>
      </c>
      <c r="I3810">
        <v>119.91719999999999</v>
      </c>
      <c r="J3810">
        <v>-189.10720000000001</v>
      </c>
      <c r="K3810">
        <v>1.1095330000000001</v>
      </c>
      <c r="L3810">
        <v>192.42859999999999</v>
      </c>
      <c r="M3810">
        <v>1.8596640000000001E-2</v>
      </c>
      <c r="N3810">
        <v>0</v>
      </c>
      <c r="O3810">
        <v>-0.99978659999999997</v>
      </c>
      <c r="P3810">
        <v>-0.104905399999999</v>
      </c>
      <c r="Q3810">
        <v>-3.7320979999999997E-2</v>
      </c>
      <c r="R3810">
        <v>-0.99378200000000005</v>
      </c>
      <c r="S3810">
        <v>-0.98042300000000004</v>
      </c>
      <c r="T3810">
        <v>-3.148973E-2</v>
      </c>
      <c r="U3810">
        <v>-2.9137420000000001</v>
      </c>
      <c r="V3810">
        <v>0.1233528</v>
      </c>
      <c r="W3810">
        <v>-2.844153E-2</v>
      </c>
      <c r="X3810">
        <v>0.99195520000000004</v>
      </c>
      <c r="Y3810">
        <v>0.33646720000000002</v>
      </c>
      <c r="Z3810">
        <v>1.020768E-2</v>
      </c>
      <c r="AA3810">
        <v>0.94163980000000003</v>
      </c>
      <c r="AB3810">
        <v>9</v>
      </c>
      <c r="AC3810">
        <v>-24.429399999999902</v>
      </c>
      <c r="AD3810">
        <v>-0.78464040000000002</v>
      </c>
      <c r="AE3810">
        <v>-72.511399999999995</v>
      </c>
      <c r="AF3810">
        <v>25.770987994449801</v>
      </c>
      <c r="AG3810">
        <v>-0.78464040000000002</v>
      </c>
      <c r="AH3810">
        <v>72.036961104633505</v>
      </c>
      <c r="AI3810">
        <v>90.587586032386</v>
      </c>
      <c r="AJ3810">
        <v>70.315495894596197</v>
      </c>
      <c r="AK3810">
        <v>76.511981074586501</v>
      </c>
      <c r="AL3810">
        <v>91.629799450556106</v>
      </c>
      <c r="AM3810">
        <v>82.911475516301493</v>
      </c>
      <c r="AN3810">
        <v>0.99999997635181004</v>
      </c>
    </row>
    <row r="3811" spans="1:40" x14ac:dyDescent="0.25">
      <c r="A3811" t="str">
        <f>"20190312161043180"</f>
        <v>20190312161043180</v>
      </c>
      <c r="B3811" t="str">
        <f>"1552378243170240"</f>
        <v>1552378243170240</v>
      </c>
      <c r="C3811" t="s">
        <v>40</v>
      </c>
      <c r="D3811">
        <v>5.3094130000000002</v>
      </c>
      <c r="E3811">
        <v>0.58350659999999999</v>
      </c>
      <c r="F3811" t="s">
        <v>90</v>
      </c>
      <c r="G3811">
        <v>-213.41560000000001</v>
      </c>
      <c r="H3811">
        <v>0.3253566</v>
      </c>
      <c r="I3811">
        <v>119.87439999999999</v>
      </c>
      <c r="J3811">
        <v>-189.10669999999999</v>
      </c>
      <c r="K3811">
        <v>1.1095029999999999</v>
      </c>
      <c r="L3811">
        <v>192.34030000000001</v>
      </c>
      <c r="M3811">
        <v>1.756079E-2</v>
      </c>
      <c r="N3811">
        <v>0</v>
      </c>
      <c r="O3811">
        <v>-0.99980570000000002</v>
      </c>
      <c r="P3811">
        <v>-0.104599499999999</v>
      </c>
      <c r="Q3811">
        <v>-3.6399830000000001E-2</v>
      </c>
      <c r="R3811">
        <v>-0.99384810000000001</v>
      </c>
      <c r="S3811">
        <v>-0.97647090000000003</v>
      </c>
      <c r="T3811">
        <v>-3.1499270000000003E-2</v>
      </c>
      <c r="U3811">
        <v>-2.9145050000000001</v>
      </c>
      <c r="V3811">
        <v>0.1220205</v>
      </c>
      <c r="W3811">
        <v>-2.7590079999999999E-2</v>
      </c>
      <c r="X3811">
        <v>0.99214400000000003</v>
      </c>
      <c r="Y3811">
        <v>0.33426869999999997</v>
      </c>
      <c r="Z3811">
        <v>1.02148E-2</v>
      </c>
      <c r="AA3811">
        <v>0.94242250000000005</v>
      </c>
      <c r="AB3811">
        <v>9</v>
      </c>
      <c r="AC3811">
        <v>-24.308900000000001</v>
      </c>
      <c r="AD3811">
        <v>-0.78414640000000002</v>
      </c>
      <c r="AE3811">
        <v>-72.465900000000005</v>
      </c>
      <c r="AF3811">
        <v>25.575068940943499</v>
      </c>
      <c r="AG3811">
        <v>-0.78414640000000002</v>
      </c>
      <c r="AH3811">
        <v>72.020244054381905</v>
      </c>
      <c r="AI3811">
        <v>90.5878424632063</v>
      </c>
      <c r="AJ3811">
        <v>70.449568918838807</v>
      </c>
      <c r="AK3811">
        <v>76.4304559096921</v>
      </c>
      <c r="AL3811">
        <v>91.580995816693303</v>
      </c>
      <c r="AM3811">
        <v>82.988591513035104</v>
      </c>
      <c r="AN3811">
        <v>0.99999996583532702</v>
      </c>
    </row>
    <row r="3812" spans="1:40" x14ac:dyDescent="0.25">
      <c r="A3812" t="str">
        <f>"20190312161043204"</f>
        <v>20190312161043204</v>
      </c>
      <c r="B3812" t="str">
        <f>"1552378243200497"</f>
        <v>1552378243200497</v>
      </c>
      <c r="C3812" t="s">
        <v>40</v>
      </c>
      <c r="D3812">
        <v>5.3713480000000002</v>
      </c>
      <c r="E3812">
        <v>0.58357740000000002</v>
      </c>
      <c r="F3812" t="s">
        <v>90</v>
      </c>
      <c r="G3812">
        <v>-213.3459</v>
      </c>
      <c r="H3812">
        <v>0.32263979999999998</v>
      </c>
      <c r="I3812">
        <v>119.91719999999999</v>
      </c>
      <c r="J3812">
        <v>-189.1063</v>
      </c>
      <c r="K3812">
        <v>1.109483</v>
      </c>
      <c r="L3812">
        <v>192.25149999999999</v>
      </c>
      <c r="M3812">
        <v>1.6520690000000001E-2</v>
      </c>
      <c r="N3812">
        <v>0</v>
      </c>
      <c r="O3812">
        <v>-0.99982400000000005</v>
      </c>
      <c r="P3812">
        <v>-0.1036957</v>
      </c>
      <c r="Q3812">
        <v>-3.6125360000000002E-2</v>
      </c>
      <c r="R3812">
        <v>-0.99395279999999997</v>
      </c>
      <c r="S3812">
        <v>-0.97552490000000003</v>
      </c>
      <c r="T3812">
        <v>-3.1666760000000002E-2</v>
      </c>
      <c r="U3812">
        <v>-2.9147189999999998</v>
      </c>
      <c r="V3812">
        <v>0.120085999999999</v>
      </c>
      <c r="W3812">
        <v>-2.73826E-2</v>
      </c>
      <c r="X3812">
        <v>0.99238579999999998</v>
      </c>
      <c r="Y3812">
        <v>0.33299179999999901</v>
      </c>
      <c r="Z3812">
        <v>1.0271580000000001E-2</v>
      </c>
      <c r="AA3812">
        <v>0.94287379999999998</v>
      </c>
      <c r="AB3812">
        <v>9</v>
      </c>
      <c r="AC3812">
        <v>-24.239599999999999</v>
      </c>
      <c r="AD3812">
        <v>-0.78684319999999996</v>
      </c>
      <c r="AE3812">
        <v>-72.334299999999999</v>
      </c>
      <c r="AF3812">
        <v>25.428646243745</v>
      </c>
      <c r="AG3812">
        <v>-0.78684319999999996</v>
      </c>
      <c r="AH3812">
        <v>71.916305995092799</v>
      </c>
      <c r="AI3812">
        <v>90.590999688524903</v>
      </c>
      <c r="AJ3812">
        <v>70.527085122645303</v>
      </c>
      <c r="AK3812">
        <v>76.283617113969697</v>
      </c>
      <c r="AL3812">
        <v>91.569103517466402</v>
      </c>
      <c r="AM3812">
        <v>83.100334432145502</v>
      </c>
      <c r="AN3812">
        <v>1.00000001511019</v>
      </c>
    </row>
    <row r="3813" spans="1:40" x14ac:dyDescent="0.25">
      <c r="A3813" t="str">
        <f>"20190312161043227"</f>
        <v>20190312161043227</v>
      </c>
      <c r="B3813" t="str">
        <f>"1552378243220016"</f>
        <v>1552378243220016</v>
      </c>
      <c r="C3813" t="s">
        <v>40</v>
      </c>
      <c r="D3813">
        <v>5.2965619999999998</v>
      </c>
      <c r="E3813">
        <v>0.5836325</v>
      </c>
      <c r="F3813" t="s">
        <v>90</v>
      </c>
      <c r="G3813">
        <v>-213.25700000000001</v>
      </c>
      <c r="H3813">
        <v>0.27073380000000002</v>
      </c>
      <c r="I3813">
        <v>119.91719999999999</v>
      </c>
      <c r="J3813">
        <v>-189.1061</v>
      </c>
      <c r="K3813">
        <v>1.10947</v>
      </c>
      <c r="L3813">
        <v>192.15889999999999</v>
      </c>
      <c r="M3813">
        <v>1.5434659999999999E-2</v>
      </c>
      <c r="N3813">
        <v>0</v>
      </c>
      <c r="O3813">
        <v>-0.99984189999999995</v>
      </c>
      <c r="P3813">
        <v>-0.1026648</v>
      </c>
      <c r="Q3813">
        <v>-3.6414790000000002E-2</v>
      </c>
      <c r="R3813">
        <v>-0.99404930000000002</v>
      </c>
      <c r="S3813">
        <v>-0.97340389999999999</v>
      </c>
      <c r="T3813">
        <v>-3.3805010000000003E-2</v>
      </c>
      <c r="U3813">
        <v>-2.9154659999999999</v>
      </c>
      <c r="V3813">
        <v>0.11797820000000001</v>
      </c>
      <c r="W3813">
        <v>-2.7727660000000001E-2</v>
      </c>
      <c r="X3813">
        <v>0.99262899999999998</v>
      </c>
      <c r="Y3813">
        <v>0.33127499999999999</v>
      </c>
      <c r="Z3813">
        <v>1.0967340000000001E-2</v>
      </c>
      <c r="AA3813">
        <v>0.94347049999999999</v>
      </c>
      <c r="AB3813">
        <v>9</v>
      </c>
      <c r="AC3813">
        <v>-24.1509</v>
      </c>
      <c r="AD3813">
        <v>-0.83873620000000004</v>
      </c>
      <c r="AE3813">
        <v>-72.241699999999994</v>
      </c>
      <c r="AF3813">
        <v>25.260029772108101</v>
      </c>
      <c r="AG3813">
        <v>-0.83873620000000004</v>
      </c>
      <c r="AH3813">
        <v>71.851606694797795</v>
      </c>
      <c r="AI3813">
        <v>90.630941974054906</v>
      </c>
      <c r="AJ3813">
        <v>70.630451377336698</v>
      </c>
      <c r="AK3813">
        <v>76.167092416114301</v>
      </c>
      <c r="AL3813">
        <v>91.588881524652606</v>
      </c>
      <c r="AM3813">
        <v>83.221948674838899</v>
      </c>
      <c r="AN3813">
        <v>1.0000000052226501</v>
      </c>
    </row>
    <row r="3814" spans="1:40" x14ac:dyDescent="0.25">
      <c r="A3814" t="str">
        <f>"20190312161043249"</f>
        <v>20190312161043249</v>
      </c>
      <c r="B3814" t="str">
        <f>"1552378243240514"</f>
        <v>1552378243240514</v>
      </c>
      <c r="C3814" t="s">
        <v>40</v>
      </c>
      <c r="D3814">
        <v>5.2551119999999996</v>
      </c>
      <c r="E3814">
        <v>0.58374199999999998</v>
      </c>
      <c r="F3814" t="s">
        <v>90</v>
      </c>
      <c r="G3814">
        <v>-213.15180000000001</v>
      </c>
      <c r="H3814">
        <v>0.21816440000000001</v>
      </c>
      <c r="I3814">
        <v>119.91719999999999</v>
      </c>
      <c r="J3814">
        <v>-189.10589999999999</v>
      </c>
      <c r="K3814">
        <v>1.1094660000000001</v>
      </c>
      <c r="L3814">
        <v>192.0693</v>
      </c>
      <c r="M3814">
        <v>1.438297E-2</v>
      </c>
      <c r="N3814">
        <v>0</v>
      </c>
      <c r="O3814">
        <v>-0.99985809999999997</v>
      </c>
      <c r="P3814">
        <v>-0.10192180000000001</v>
      </c>
      <c r="Q3814">
        <v>-3.6425470000000001E-2</v>
      </c>
      <c r="R3814">
        <v>-0.99412560000000005</v>
      </c>
      <c r="S3814">
        <v>-0.97071839999999998</v>
      </c>
      <c r="T3814">
        <v>-3.5980459999999999E-2</v>
      </c>
      <c r="U3814">
        <v>-2.9163670000000002</v>
      </c>
      <c r="V3814">
        <v>0.1161919</v>
      </c>
      <c r="W3814">
        <v>-2.7781279999999998E-2</v>
      </c>
      <c r="X3814">
        <v>0.9928382</v>
      </c>
      <c r="Y3814">
        <v>0.32940979999999997</v>
      </c>
      <c r="Z3814">
        <v>1.167546E-2</v>
      </c>
      <c r="AA3814">
        <v>0.94411489999999998</v>
      </c>
      <c r="AB3814">
        <v>9</v>
      </c>
      <c r="AC3814">
        <v>-24.0459</v>
      </c>
      <c r="AD3814">
        <v>-0.89130159999999903</v>
      </c>
      <c r="AE3814">
        <v>-72.152100000000004</v>
      </c>
      <c r="AF3814">
        <v>25.077769599977302</v>
      </c>
      <c r="AG3814">
        <v>-0.89130159999999903</v>
      </c>
      <c r="AH3814">
        <v>71.788911422957497</v>
      </c>
      <c r="AI3814">
        <v>90.671534023518305</v>
      </c>
      <c r="AJ3814">
        <v>70.744338156618198</v>
      </c>
      <c r="AK3814">
        <v>76.0482527737814</v>
      </c>
      <c r="AL3814">
        <v>91.591954877975397</v>
      </c>
      <c r="AM3814">
        <v>83.325035303448701</v>
      </c>
      <c r="AN3814">
        <v>1.00000002426164</v>
      </c>
    </row>
    <row r="3815" spans="1:40" x14ac:dyDescent="0.25">
      <c r="A3815" t="str">
        <f>"20190312161043271"</f>
        <v>20190312161043271</v>
      </c>
      <c r="B3815" t="str">
        <f>"1552378243260032"</f>
        <v>1552378243260032</v>
      </c>
      <c r="C3815" t="s">
        <v>40</v>
      </c>
      <c r="D3815">
        <v>5.3285739999999997</v>
      </c>
      <c r="E3815">
        <v>0.58353509999999997</v>
      </c>
      <c r="F3815" t="s">
        <v>90</v>
      </c>
      <c r="G3815">
        <v>-213.09139999999999</v>
      </c>
      <c r="H3815">
        <v>0.18576010000000001</v>
      </c>
      <c r="I3815">
        <v>119.91719999999999</v>
      </c>
      <c r="J3815">
        <v>-189.10579999999999</v>
      </c>
      <c r="K3815">
        <v>1.1094649999999999</v>
      </c>
      <c r="L3815">
        <v>191.97980000000001</v>
      </c>
      <c r="M3815">
        <v>1.333281E-2</v>
      </c>
      <c r="N3815">
        <v>0</v>
      </c>
      <c r="O3815">
        <v>-0.99987300000000001</v>
      </c>
      <c r="P3815">
        <v>-0.1015802</v>
      </c>
      <c r="Q3815">
        <v>-3.5503100000000003E-2</v>
      </c>
      <c r="R3815">
        <v>-0.99419369999999996</v>
      </c>
      <c r="S3815">
        <v>-0.96968080000000001</v>
      </c>
      <c r="T3815">
        <v>-3.7342189999999997E-2</v>
      </c>
      <c r="U3815">
        <v>-2.9169459999999998</v>
      </c>
      <c r="V3815">
        <v>0.11480890000000001</v>
      </c>
      <c r="W3815">
        <v>-2.6896529999999998E-2</v>
      </c>
      <c r="X3815">
        <v>0.9930234</v>
      </c>
      <c r="Y3815">
        <v>0.3280575</v>
      </c>
      <c r="Z3815">
        <v>1.211885E-2</v>
      </c>
      <c r="AA3815">
        <v>0.94457999999999998</v>
      </c>
      <c r="AB3815">
        <v>9</v>
      </c>
      <c r="AC3815">
        <v>-23.985600000000002</v>
      </c>
      <c r="AD3815">
        <v>-0.92370490000000005</v>
      </c>
      <c r="AE3815">
        <v>-72.062600000000003</v>
      </c>
      <c r="AF3815">
        <v>24.9406123008756</v>
      </c>
      <c r="AG3815">
        <v>-0.92370490000000005</v>
      </c>
      <c r="AH3815">
        <v>71.7257771044614</v>
      </c>
      <c r="AI3815">
        <v>90.696905268981098</v>
      </c>
      <c r="AJ3815">
        <v>70.826325335675406</v>
      </c>
      <c r="AK3815">
        <v>75.9438903001667</v>
      </c>
      <c r="AL3815">
        <v>91.541243534811798</v>
      </c>
      <c r="AM3815">
        <v>83.405000605812603</v>
      </c>
      <c r="AN3815">
        <v>0.99999998989640504</v>
      </c>
    </row>
    <row r="3816" spans="1:40" x14ac:dyDescent="0.25">
      <c r="A3816" t="str">
        <f>"20190312161043293"</f>
        <v>20190312161043293</v>
      </c>
      <c r="B3816" t="str">
        <f>"1552378243290288"</f>
        <v>1552378243290288</v>
      </c>
      <c r="C3816" t="s">
        <v>40</v>
      </c>
      <c r="D3816">
        <v>5.4039070000000002</v>
      </c>
      <c r="E3816">
        <v>0.55869899999999995</v>
      </c>
      <c r="F3816" t="s">
        <v>90</v>
      </c>
      <c r="G3816">
        <v>-212.98670000000001</v>
      </c>
      <c r="H3816">
        <v>0.21388480000000001</v>
      </c>
      <c r="I3816">
        <v>119.91719999999999</v>
      </c>
      <c r="J3816">
        <v>-189.10589999999999</v>
      </c>
      <c r="K3816">
        <v>1.109467</v>
      </c>
      <c r="L3816">
        <v>191.89070000000001</v>
      </c>
      <c r="M3816">
        <v>1.228929E-2</v>
      </c>
      <c r="N3816">
        <v>0</v>
      </c>
      <c r="O3816">
        <v>-0.99988659999999996</v>
      </c>
      <c r="P3816">
        <v>-0.101453</v>
      </c>
      <c r="Q3816">
        <v>-3.5239810000000003E-2</v>
      </c>
      <c r="R3816">
        <v>-0.99421599999999999</v>
      </c>
      <c r="S3816">
        <v>-0.96681209999999995</v>
      </c>
      <c r="T3816">
        <v>-3.6256190000000001E-2</v>
      </c>
      <c r="U3816">
        <v>-2.9174349999999998</v>
      </c>
      <c r="V3816">
        <v>0.1136457</v>
      </c>
      <c r="W3816">
        <v>-2.6668319999999999E-2</v>
      </c>
      <c r="X3816">
        <v>0.99316329999999997</v>
      </c>
      <c r="Y3816">
        <v>0.32618839999999999</v>
      </c>
      <c r="Z3816">
        <v>1.177053E-2</v>
      </c>
      <c r="AA3816">
        <v>0.9452315</v>
      </c>
      <c r="AB3816">
        <v>9</v>
      </c>
      <c r="AC3816">
        <v>-23.880800000000001</v>
      </c>
      <c r="AD3816">
        <v>-0.89558219999999999</v>
      </c>
      <c r="AE3816">
        <v>-71.973500000000001</v>
      </c>
      <c r="AF3816">
        <v>24.760079700847001</v>
      </c>
      <c r="AG3816">
        <v>-0.89558219999999999</v>
      </c>
      <c r="AH3816">
        <v>71.664579568254496</v>
      </c>
      <c r="AI3816">
        <v>90.676731688332097</v>
      </c>
      <c r="AJ3816">
        <v>70.939992074666606</v>
      </c>
      <c r="AK3816">
        <v>75.826615241377795</v>
      </c>
      <c r="AL3816">
        <v>91.528163445310994</v>
      </c>
      <c r="AM3816">
        <v>83.472150549586402</v>
      </c>
      <c r="AN3816">
        <v>0.99999994244349899</v>
      </c>
    </row>
    <row r="3817" spans="1:40" x14ac:dyDescent="0.25">
      <c r="A3817" t="str">
        <f>"20190312161043314"</f>
        <v>20190312161043314</v>
      </c>
      <c r="B3817" t="str">
        <f>"1552378243310784"</f>
        <v>1552378243310784</v>
      </c>
      <c r="C3817" t="s">
        <v>40</v>
      </c>
      <c r="D3817">
        <v>5.427467</v>
      </c>
      <c r="E3817">
        <v>0.55810609999999905</v>
      </c>
      <c r="F3817" t="s">
        <v>88</v>
      </c>
      <c r="G3817">
        <v>-213.57239999999999</v>
      </c>
      <c r="H3817">
        <v>1.6628229999999999</v>
      </c>
      <c r="I3817">
        <v>98.375470000000007</v>
      </c>
      <c r="J3817">
        <v>-189.10599999999999</v>
      </c>
      <c r="K3817">
        <v>1.1094710000000001</v>
      </c>
      <c r="L3817">
        <v>191.8038</v>
      </c>
      <c r="M3817">
        <v>1.127357E-2</v>
      </c>
      <c r="N3817">
        <v>0</v>
      </c>
      <c r="O3817">
        <v>-0.99989899999999998</v>
      </c>
      <c r="P3817">
        <v>-0.1032517</v>
      </c>
      <c r="Q3817">
        <v>-3.4387139999999997E-2</v>
      </c>
      <c r="R3817">
        <v>-0.99406079999999997</v>
      </c>
      <c r="S3817">
        <v>-0.76908869999999996</v>
      </c>
      <c r="T3817">
        <v>1.7395259999999999E-2</v>
      </c>
      <c r="U3817">
        <v>-2.9395899999999999</v>
      </c>
      <c r="V3817">
        <v>0.1144342</v>
      </c>
      <c r="W3817">
        <v>-2.5850169999999999E-2</v>
      </c>
      <c r="X3817">
        <v>0.99309440000000004</v>
      </c>
      <c r="Y3817">
        <v>0.26399840000000002</v>
      </c>
      <c r="Z3817">
        <v>-5.7157529999999996E-3</v>
      </c>
      <c r="AA3817">
        <v>0.96450619999999998</v>
      </c>
      <c r="AB3817">
        <v>9</v>
      </c>
      <c r="AC3817">
        <v>-24.4664</v>
      </c>
      <c r="AD3817">
        <v>0.55335199999999996</v>
      </c>
      <c r="AE3817">
        <v>-93.428330000000003</v>
      </c>
      <c r="AF3817">
        <v>25.5173176655886</v>
      </c>
      <c r="AG3817">
        <v>0.55335199999999996</v>
      </c>
      <c r="AH3817">
        <v>93.143500621269993</v>
      </c>
      <c r="AI3817">
        <v>89.6717142895385</v>
      </c>
      <c r="AJ3817">
        <v>74.6793193847368</v>
      </c>
      <c r="AK3817">
        <v>96.577178501274204</v>
      </c>
      <c r="AL3817">
        <v>91.481270714415501</v>
      </c>
      <c r="AM3817">
        <v>83.426801769947303</v>
      </c>
      <c r="AN3817">
        <v>0.99999995236501305</v>
      </c>
    </row>
    <row r="3818" spans="1:40" x14ac:dyDescent="0.25">
      <c r="A3818" t="str">
        <f>"20190312161043337"</f>
        <v>20190312161043337</v>
      </c>
      <c r="B3818" t="str">
        <f>"1552378243330304"</f>
        <v>1552378243330304</v>
      </c>
      <c r="C3818" t="s">
        <v>40</v>
      </c>
      <c r="D3818">
        <v>5.3673520000000003</v>
      </c>
      <c r="E3818">
        <v>0.55864910000000001</v>
      </c>
      <c r="F3818" t="s">
        <v>88</v>
      </c>
      <c r="G3818">
        <v>-213.5752</v>
      </c>
      <c r="H3818">
        <v>1.7523759999999999</v>
      </c>
      <c r="I3818">
        <v>98.375470000000007</v>
      </c>
      <c r="J3818">
        <v>-189.1062</v>
      </c>
      <c r="K3818">
        <v>1.1094790000000001</v>
      </c>
      <c r="L3818">
        <v>191.7098</v>
      </c>
      <c r="M3818">
        <v>1.0179189999999999E-2</v>
      </c>
      <c r="N3818">
        <v>0</v>
      </c>
      <c r="O3818">
        <v>-0.99991090000000005</v>
      </c>
      <c r="P3818">
        <v>-0.1058458</v>
      </c>
      <c r="Q3818">
        <v>-3.2565440000000001E-2</v>
      </c>
      <c r="R3818">
        <v>-0.99384950000000005</v>
      </c>
      <c r="S3818">
        <v>-0.76965329999999998</v>
      </c>
      <c r="T3818">
        <v>2.0222779999999999E-2</v>
      </c>
      <c r="U3818">
        <v>-2.9386899999999998</v>
      </c>
      <c r="V3818">
        <v>0.1159405</v>
      </c>
      <c r="W3818">
        <v>-2.4063069999999999E-2</v>
      </c>
      <c r="X3818">
        <v>0.99296459999999998</v>
      </c>
      <c r="Y3818">
        <v>0.263187</v>
      </c>
      <c r="Z3818">
        <v>-6.6474660000000003E-3</v>
      </c>
      <c r="AA3818">
        <v>0.96472190000000002</v>
      </c>
      <c r="AB3818">
        <v>9</v>
      </c>
      <c r="AC3818">
        <v>-24.468999999999902</v>
      </c>
      <c r="AD3818">
        <v>0.64289699999999905</v>
      </c>
      <c r="AE3818">
        <v>-93.334329999999994</v>
      </c>
      <c r="AF3818">
        <v>25.4167071218133</v>
      </c>
      <c r="AG3818">
        <v>0.64289699999999905</v>
      </c>
      <c r="AH3818">
        <v>93.076278065743793</v>
      </c>
      <c r="AI3818">
        <v>89.618230380864304</v>
      </c>
      <c r="AJ3818">
        <v>74.726394795117699</v>
      </c>
      <c r="AK3818">
        <v>96.486350620387199</v>
      </c>
      <c r="AL3818">
        <v>91.378845490584993</v>
      </c>
      <c r="AM3818">
        <v>83.340188020931606</v>
      </c>
      <c r="AN3818">
        <v>0.99999996386561596</v>
      </c>
    </row>
    <row r="3819" spans="1:40" x14ac:dyDescent="0.25">
      <c r="A3819" t="str">
        <f>"20190312161043360"</f>
        <v>20190312161043360</v>
      </c>
      <c r="B3819" t="str">
        <f>"1552378243350800"</f>
        <v>1552378243350800</v>
      </c>
      <c r="C3819" t="s">
        <v>40</v>
      </c>
      <c r="D3819">
        <v>5.4146020000000004</v>
      </c>
      <c r="E3819">
        <v>0.55877100000000002</v>
      </c>
      <c r="F3819" t="s">
        <v>88</v>
      </c>
      <c r="G3819">
        <v>-213.96850000000001</v>
      </c>
      <c r="H3819">
        <v>1.0743579999999999</v>
      </c>
      <c r="I3819">
        <v>98.375470000000007</v>
      </c>
      <c r="J3819">
        <v>-189.10650000000001</v>
      </c>
      <c r="K3819">
        <v>1.1094790000000001</v>
      </c>
      <c r="L3819">
        <v>191.61519999999999</v>
      </c>
      <c r="M3819">
        <v>9.0861150000000005E-3</v>
      </c>
      <c r="N3819">
        <v>0</v>
      </c>
      <c r="O3819">
        <v>-0.99992159999999997</v>
      </c>
      <c r="P3819">
        <v>-0.1085758</v>
      </c>
      <c r="Q3819">
        <v>-3.0641910000000001E-2</v>
      </c>
      <c r="R3819">
        <v>-0.9936161</v>
      </c>
      <c r="S3819">
        <v>-0.78189090000000006</v>
      </c>
      <c r="T3819">
        <v>-1.1036399999999999E-3</v>
      </c>
      <c r="U3819">
        <v>-2.935257</v>
      </c>
      <c r="V3819">
        <v>0.1175843</v>
      </c>
      <c r="W3819">
        <v>-2.217094E-2</v>
      </c>
      <c r="X3819">
        <v>0.99281540000000001</v>
      </c>
      <c r="Y3819">
        <v>0.26617279999999999</v>
      </c>
      <c r="Z3819">
        <v>3.6286229999999998E-4</v>
      </c>
      <c r="AA3819">
        <v>0.96392520000000004</v>
      </c>
      <c r="AB3819">
        <v>9</v>
      </c>
      <c r="AC3819">
        <v>-24.861999999999899</v>
      </c>
      <c r="AD3819">
        <v>-3.5121000000000097E-2</v>
      </c>
      <c r="AE3819">
        <v>-93.239729999999994</v>
      </c>
      <c r="AF3819">
        <v>25.708188582216</v>
      </c>
      <c r="AG3819">
        <v>-3.5121000000000097E-2</v>
      </c>
      <c r="AH3819">
        <v>93.009961118824904</v>
      </c>
      <c r="AI3819">
        <v>90.020853238487106</v>
      </c>
      <c r="AJ3819">
        <v>74.549066396315794</v>
      </c>
      <c r="AK3819">
        <v>96.497487329923501</v>
      </c>
      <c r="AL3819">
        <v>91.270405359127494</v>
      </c>
      <c r="AM3819">
        <v>83.245626048528806</v>
      </c>
      <c r="AN3819">
        <v>1.0000000183320601</v>
      </c>
    </row>
    <row r="3820" spans="1:40" x14ac:dyDescent="0.25">
      <c r="A3820" t="str">
        <f>"20190312161043382"</f>
        <v>20190312161043382</v>
      </c>
      <c r="B3820" t="str">
        <f>"1552378243370320"</f>
        <v>1552378243370320</v>
      </c>
      <c r="C3820" t="s">
        <v>40</v>
      </c>
      <c r="D3820">
        <v>5.4136739999999897</v>
      </c>
      <c r="E3820">
        <v>0.55943269999999901</v>
      </c>
      <c r="F3820" t="s">
        <v>90</v>
      </c>
      <c r="G3820">
        <v>-210.90029999999999</v>
      </c>
      <c r="H3820">
        <v>0.77606009999999903</v>
      </c>
      <c r="I3820">
        <v>110.82080000000001</v>
      </c>
      <c r="J3820">
        <v>-189.1069</v>
      </c>
      <c r="K3820">
        <v>1.109475</v>
      </c>
      <c r="L3820">
        <v>191.5231</v>
      </c>
      <c r="M3820">
        <v>8.0350370000000001E-3</v>
      </c>
      <c r="N3820">
        <v>0</v>
      </c>
      <c r="O3820">
        <v>-0.99993089999999996</v>
      </c>
      <c r="P3820">
        <v>-0.11068989999999999</v>
      </c>
      <c r="Q3820">
        <v>-2.9524709999999999E-2</v>
      </c>
      <c r="R3820">
        <v>-0.99341650000000004</v>
      </c>
      <c r="S3820">
        <v>-0.79101560000000004</v>
      </c>
      <c r="T3820">
        <v>-1.210058E-2</v>
      </c>
      <c r="U3820">
        <v>-2.9324650000000001</v>
      </c>
      <c r="V3820">
        <v>0.1186542</v>
      </c>
      <c r="W3820">
        <v>-2.108059E-2</v>
      </c>
      <c r="X3820">
        <v>0.99271180000000003</v>
      </c>
      <c r="Y3820">
        <v>0.26818330000000001</v>
      </c>
      <c r="Z3820">
        <v>3.9794879999999998E-3</v>
      </c>
      <c r="AA3820">
        <v>0.96335970000000004</v>
      </c>
      <c r="AB3820">
        <v>9</v>
      </c>
      <c r="AC3820">
        <v>-21.793399999999899</v>
      </c>
      <c r="AD3820">
        <v>-0.33341490000000001</v>
      </c>
      <c r="AE3820">
        <v>-80.702299999999994</v>
      </c>
      <c r="AF3820">
        <v>22.440809268325101</v>
      </c>
      <c r="AG3820">
        <v>-0.33341490000000001</v>
      </c>
      <c r="AH3820">
        <v>80.523296396427199</v>
      </c>
      <c r="AI3820">
        <v>90.228529142167005</v>
      </c>
      <c r="AJ3820">
        <v>74.427528635582107</v>
      </c>
      <c r="AK3820">
        <v>83.592477823424801</v>
      </c>
      <c r="AL3820">
        <v>91.207918355942496</v>
      </c>
      <c r="AM3820">
        <v>83.184038919577404</v>
      </c>
      <c r="AN3820">
        <v>0.99999996415581305</v>
      </c>
    </row>
    <row r="3821" spans="1:40" x14ac:dyDescent="0.25">
      <c r="A3821" t="str">
        <f>"20190312161043406"</f>
        <v>20190312161043406</v>
      </c>
      <c r="B3821" t="str">
        <f>"1552378243400576"</f>
        <v>1552378243400576</v>
      </c>
      <c r="C3821" t="s">
        <v>40</v>
      </c>
      <c r="D3821">
        <v>5.4145120000000002</v>
      </c>
      <c r="E3821">
        <v>0.56038769999999904</v>
      </c>
      <c r="F3821" t="s">
        <v>90</v>
      </c>
      <c r="G3821">
        <v>-210.80009999999999</v>
      </c>
      <c r="H3821">
        <v>0.63393840000000001</v>
      </c>
      <c r="I3821">
        <v>112.3232</v>
      </c>
      <c r="J3821">
        <v>-189.10749999999999</v>
      </c>
      <c r="K3821">
        <v>1.1094759999999999</v>
      </c>
      <c r="L3821">
        <v>191.4256</v>
      </c>
      <c r="M3821">
        <v>6.9412469999999898E-3</v>
      </c>
      <c r="N3821">
        <v>0</v>
      </c>
      <c r="O3821">
        <v>-0.99993940000000003</v>
      </c>
      <c r="P3821">
        <v>-0.11226650000000001</v>
      </c>
      <c r="Q3821">
        <v>-2.9891109999999999E-2</v>
      </c>
      <c r="R3821">
        <v>-0.99322860000000002</v>
      </c>
      <c r="S3821">
        <v>-0.80252080000000003</v>
      </c>
      <c r="T3821">
        <v>-1.7591119999999998E-2</v>
      </c>
      <c r="U3821">
        <v>-2.929932</v>
      </c>
      <c r="V3821">
        <v>0.119143899999999</v>
      </c>
      <c r="W3821">
        <v>-2.1471919999999999E-2</v>
      </c>
      <c r="X3821">
        <v>0.99264479999999999</v>
      </c>
      <c r="Y3821">
        <v>0.27085799999999999</v>
      </c>
      <c r="Z3821">
        <v>5.7848630000000003E-3</v>
      </c>
      <c r="AA3821">
        <v>0.96260190000000001</v>
      </c>
      <c r="AB3821">
        <v>9</v>
      </c>
      <c r="AC3821">
        <v>-21.692599999999999</v>
      </c>
      <c r="AD3821">
        <v>-0.4755376</v>
      </c>
      <c r="AE3821">
        <v>-79.102400000000003</v>
      </c>
      <c r="AF3821">
        <v>22.240419160471301</v>
      </c>
      <c r="AG3821">
        <v>-0.4755376</v>
      </c>
      <c r="AH3821">
        <v>78.947261427299694</v>
      </c>
      <c r="AI3821">
        <v>90.332186535999597</v>
      </c>
      <c r="AJ3821">
        <v>74.266815863841302</v>
      </c>
      <c r="AK3821">
        <v>82.021536606630704</v>
      </c>
      <c r="AL3821">
        <v>91.230344939882499</v>
      </c>
      <c r="AM3821">
        <v>83.155717351332797</v>
      </c>
      <c r="AN3821">
        <v>1.00000000561136</v>
      </c>
    </row>
    <row r="3822" spans="1:40" x14ac:dyDescent="0.25">
      <c r="A3822" t="str">
        <f>"20190312161043428"</f>
        <v>20190312161043428</v>
      </c>
      <c r="B3822" t="str">
        <f>"1552378243420097"</f>
        <v>1552378243420097</v>
      </c>
      <c r="C3822" t="s">
        <v>40</v>
      </c>
      <c r="D3822">
        <v>5.4032140000000002</v>
      </c>
      <c r="E3822">
        <v>0.56098899999999996</v>
      </c>
      <c r="F3822" t="s">
        <v>90</v>
      </c>
      <c r="G3822">
        <v>-210.31460000000001</v>
      </c>
      <c r="H3822">
        <v>0.32535710000000001</v>
      </c>
      <c r="I3822">
        <v>115.2436</v>
      </c>
      <c r="J3822">
        <v>-189.108</v>
      </c>
      <c r="K3822">
        <v>1.109475</v>
      </c>
      <c r="L3822">
        <v>191.3289</v>
      </c>
      <c r="M3822">
        <v>5.8798019999999999E-3</v>
      </c>
      <c r="N3822">
        <v>0</v>
      </c>
      <c r="O3822">
        <v>-0.99994640000000001</v>
      </c>
      <c r="P3822">
        <v>-0.1138695</v>
      </c>
      <c r="Q3822">
        <v>-3.0543810000000001E-2</v>
      </c>
      <c r="R3822">
        <v>-0.99302599999999996</v>
      </c>
      <c r="S3822">
        <v>-0.81492609999999999</v>
      </c>
      <c r="T3822">
        <v>-3.0130270000000001E-2</v>
      </c>
      <c r="U3822">
        <v>-2.9274439999999999</v>
      </c>
      <c r="V3822">
        <v>0.1196922</v>
      </c>
      <c r="W3822">
        <v>-2.2147E-2</v>
      </c>
      <c r="X3822">
        <v>0.992564</v>
      </c>
      <c r="Y3822">
        <v>0.27382440000000002</v>
      </c>
      <c r="Z3822">
        <v>9.9065339999999998E-3</v>
      </c>
      <c r="AA3822">
        <v>0.96172869999999999</v>
      </c>
      <c r="AB3822">
        <v>9</v>
      </c>
      <c r="AC3822">
        <v>-21.206600000000002</v>
      </c>
      <c r="AD3822">
        <v>-0.78411790000000003</v>
      </c>
      <c r="AE3822">
        <v>-76.085300000000004</v>
      </c>
      <c r="AF3822">
        <v>21.651482322119499</v>
      </c>
      <c r="AG3822">
        <v>-0.78411790000000003</v>
      </c>
      <c r="AH3822">
        <v>75.951804276803003</v>
      </c>
      <c r="AI3822">
        <v>90.568834241270693</v>
      </c>
      <c r="AJ3822">
        <v>74.088807467002596</v>
      </c>
      <c r="AK3822">
        <v>78.981504800351502</v>
      </c>
      <c r="AL3822">
        <v>91.269033380487699</v>
      </c>
      <c r="AM3822">
        <v>83.123966457140597</v>
      </c>
      <c r="AN3822">
        <v>1.0000000032229199</v>
      </c>
    </row>
    <row r="3823" spans="1:40" x14ac:dyDescent="0.25">
      <c r="A3823" t="str">
        <f>"20190312161043450"</f>
        <v>20190312161043450</v>
      </c>
      <c r="B3823" t="str">
        <f>"1552378243440592"</f>
        <v>1552378243440592</v>
      </c>
      <c r="C3823" t="s">
        <v>40</v>
      </c>
      <c r="D3823">
        <v>5.4020239999999999</v>
      </c>
      <c r="E3823">
        <v>0.56101109999999998</v>
      </c>
      <c r="F3823" t="s">
        <v>43</v>
      </c>
      <c r="G3823">
        <v>-210.69499999999999</v>
      </c>
      <c r="H3823">
        <v>-0.05</v>
      </c>
      <c r="I3823">
        <v>114.742</v>
      </c>
      <c r="J3823">
        <v>-189.1087</v>
      </c>
      <c r="K3823">
        <v>1.10948</v>
      </c>
      <c r="L3823">
        <v>191.2354</v>
      </c>
      <c r="M3823">
        <v>4.8753499999999996E-3</v>
      </c>
      <c r="N3823">
        <v>0</v>
      </c>
      <c r="O3823">
        <v>-0.99995179999999995</v>
      </c>
      <c r="P3823">
        <v>-0.11490019999999999</v>
      </c>
      <c r="Q3823">
        <v>-3.162475E-2</v>
      </c>
      <c r="R3823">
        <v>-0.99287340000000002</v>
      </c>
      <c r="S3823">
        <v>-0.82449340000000004</v>
      </c>
      <c r="T3823">
        <v>-4.4284940000000002E-2</v>
      </c>
      <c r="U3823">
        <v>-2.9251559999999999</v>
      </c>
      <c r="V3823">
        <v>0.1197251</v>
      </c>
      <c r="W3823">
        <v>-2.324822E-2</v>
      </c>
      <c r="X3823">
        <v>0.9925349</v>
      </c>
      <c r="Y3823">
        <v>0.27595310000000001</v>
      </c>
      <c r="Z3823">
        <v>1.4559860000000001E-2</v>
      </c>
      <c r="AA3823">
        <v>0.96106080000000005</v>
      </c>
      <c r="AB3823">
        <v>9</v>
      </c>
      <c r="AC3823">
        <v>-21.586299999999898</v>
      </c>
      <c r="AD3823">
        <v>-1.1594799999999901</v>
      </c>
      <c r="AE3823">
        <v>-76.493399999999994</v>
      </c>
      <c r="AF3823">
        <v>21.954316880304201</v>
      </c>
      <c r="AG3823">
        <v>-1.1594799999999901</v>
      </c>
      <c r="AH3823">
        <v>76.370993393464502</v>
      </c>
      <c r="AI3823">
        <v>90.835958814867496</v>
      </c>
      <c r="AJ3823">
        <v>73.961680794559499</v>
      </c>
      <c r="AK3823">
        <v>79.472416947364906</v>
      </c>
      <c r="AL3823">
        <v>91.3321448338301</v>
      </c>
      <c r="AM3823">
        <v>83.121894811636295</v>
      </c>
      <c r="AN3823">
        <v>1.00000005351059</v>
      </c>
    </row>
    <row r="3824" spans="1:40" x14ac:dyDescent="0.25">
      <c r="A3824" t="str">
        <f>"20190312161043472"</f>
        <v>20190312161043472</v>
      </c>
      <c r="B3824" t="str">
        <f>"1552378243460113"</f>
        <v>1552378243460113</v>
      </c>
      <c r="C3824" t="s">
        <v>40</v>
      </c>
      <c r="D3824">
        <v>5.4571560000000003</v>
      </c>
      <c r="E3824">
        <v>0.56057950000000001</v>
      </c>
      <c r="F3824" t="s">
        <v>87</v>
      </c>
      <c r="G3824">
        <v>-206.55549999999999</v>
      </c>
      <c r="H3824">
        <v>6.2844529999999996E-2</v>
      </c>
      <c r="I3824">
        <v>129.6035</v>
      </c>
      <c r="J3824">
        <v>-189.10939999999999</v>
      </c>
      <c r="K3824">
        <v>1.109488</v>
      </c>
      <c r="L3824">
        <v>191.1371</v>
      </c>
      <c r="M3824">
        <v>3.8420059999999998E-3</v>
      </c>
      <c r="N3824">
        <v>0</v>
      </c>
      <c r="O3824">
        <v>-0.99995650000000003</v>
      </c>
      <c r="P3824">
        <v>-0.115917699999999</v>
      </c>
      <c r="Q3824">
        <v>-3.2358449999999997E-2</v>
      </c>
      <c r="R3824">
        <v>-0.99273149999999999</v>
      </c>
      <c r="S3824">
        <v>-0.82777400000000001</v>
      </c>
      <c r="T3824">
        <v>-4.9658180000000003E-2</v>
      </c>
      <c r="U3824">
        <v>-2.9241640000000002</v>
      </c>
      <c r="V3824">
        <v>0.1197165</v>
      </c>
      <c r="W3824">
        <v>-2.4006940000000001E-2</v>
      </c>
      <c r="X3824">
        <v>0.99251780000000001</v>
      </c>
      <c r="Y3824">
        <v>0.276036</v>
      </c>
      <c r="Z3824">
        <v>1.6328789999999999E-2</v>
      </c>
      <c r="AA3824">
        <v>0.96100859999999999</v>
      </c>
      <c r="AB3824">
        <v>9</v>
      </c>
      <c r="AC3824">
        <v>-17.446100000000001</v>
      </c>
      <c r="AD3824">
        <v>-1.04664347</v>
      </c>
      <c r="AE3824">
        <v>-61.5336</v>
      </c>
      <c r="AF3824">
        <v>17.677658326556699</v>
      </c>
      <c r="AG3824">
        <v>-1.04664347</v>
      </c>
      <c r="AH3824">
        <v>61.4496597622881</v>
      </c>
      <c r="AI3824">
        <v>90.937772331003998</v>
      </c>
      <c r="AJ3824">
        <v>73.950686108372906</v>
      </c>
      <c r="AK3824">
        <v>63.950416350206403</v>
      </c>
      <c r="AL3824">
        <v>91.375628529009106</v>
      </c>
      <c r="AM3824">
        <v>83.1222667830544</v>
      </c>
      <c r="AN3824">
        <v>0.99999997842862598</v>
      </c>
    </row>
    <row r="3825" spans="1:40" x14ac:dyDescent="0.25">
      <c r="A3825" t="str">
        <f>"20190312161043516"</f>
        <v>20190312161043516</v>
      </c>
      <c r="B3825" t="str">
        <f>"1552378243509889"</f>
        <v>1552378243509889</v>
      </c>
      <c r="C3825" t="s">
        <v>40</v>
      </c>
      <c r="D3825">
        <v>5.6004519999999998</v>
      </c>
      <c r="E3825">
        <v>0.55998689999999995</v>
      </c>
      <c r="F3825" t="s">
        <v>87</v>
      </c>
      <c r="G3825">
        <v>-207.9075</v>
      </c>
      <c r="H3825">
        <v>7.9987820000000001E-2</v>
      </c>
      <c r="I3825">
        <v>124.71169999999999</v>
      </c>
      <c r="J3825">
        <v>-189.11089999999999</v>
      </c>
      <c r="K3825">
        <v>1.1094820000000001</v>
      </c>
      <c r="L3825">
        <v>190.9494</v>
      </c>
      <c r="M3825">
        <v>1.9574850000000001E-3</v>
      </c>
      <c r="N3825">
        <v>0</v>
      </c>
      <c r="O3825">
        <v>-0.99996269999999998</v>
      </c>
      <c r="P3825">
        <v>-0.1179606</v>
      </c>
      <c r="Q3825">
        <v>-3.2247629999999999E-2</v>
      </c>
      <c r="R3825">
        <v>-0.9924946</v>
      </c>
      <c r="S3825">
        <v>-0.82743840000000002</v>
      </c>
      <c r="T3825">
        <v>-4.531574E-2</v>
      </c>
      <c r="U3825">
        <v>-2.9238590000000002</v>
      </c>
      <c r="V3825">
        <v>0.1198898</v>
      </c>
      <c r="W3825">
        <v>-2.3968900000000001E-2</v>
      </c>
      <c r="X3825">
        <v>0.99249779999999999</v>
      </c>
      <c r="Y3825">
        <v>0.27415430000000002</v>
      </c>
      <c r="Z3825">
        <v>1.4907180000000001E-2</v>
      </c>
      <c r="AA3825">
        <v>0.96157020000000004</v>
      </c>
      <c r="AB3825">
        <v>10</v>
      </c>
      <c r="AC3825">
        <v>-18.796600000000002</v>
      </c>
      <c r="AD3825">
        <v>-1.0294941799999999</v>
      </c>
      <c r="AE3825">
        <v>-66.237700000000004</v>
      </c>
      <c r="AF3825">
        <v>18.921997606894902</v>
      </c>
      <c r="AG3825">
        <v>-1.0294941799999999</v>
      </c>
      <c r="AH3825">
        <v>66.185980943904298</v>
      </c>
      <c r="AI3825">
        <v>90.856816720722605</v>
      </c>
      <c r="AJ3825">
        <v>74.045226634151007</v>
      </c>
      <c r="AK3825">
        <v>68.845376934176599</v>
      </c>
      <c r="AL3825">
        <v>91.373448371223702</v>
      </c>
      <c r="AM3825">
        <v>83.112268779360093</v>
      </c>
      <c r="AN3825">
        <v>0.99999997765804405</v>
      </c>
    </row>
    <row r="3826" spans="1:40" x14ac:dyDescent="0.25">
      <c r="A3826" t="str">
        <f>"20190312161043538"</f>
        <v>20190312161043538</v>
      </c>
      <c r="B3826" t="str">
        <f>"1552378243530384"</f>
        <v>1552378243530384</v>
      </c>
      <c r="C3826" t="s">
        <v>40</v>
      </c>
      <c r="D3826">
        <v>5.7119030000000004</v>
      </c>
      <c r="E3826">
        <v>0.55948100000000001</v>
      </c>
      <c r="F3826" t="s">
        <v>90</v>
      </c>
      <c r="G3826">
        <v>-209.94489999999999</v>
      </c>
      <c r="H3826">
        <v>0.16494690000000001</v>
      </c>
      <c r="I3826">
        <v>117.4376</v>
      </c>
      <c r="J3826">
        <v>-189.11189999999999</v>
      </c>
      <c r="K3826">
        <v>1.109477</v>
      </c>
      <c r="L3826">
        <v>190.85130000000001</v>
      </c>
      <c r="M3826">
        <v>1.0204229999999999E-3</v>
      </c>
      <c r="N3826">
        <v>0</v>
      </c>
      <c r="O3826">
        <v>-0.99996479999999999</v>
      </c>
      <c r="P3826">
        <v>-0.1182681</v>
      </c>
      <c r="Q3826">
        <v>-3.1962400000000002E-2</v>
      </c>
      <c r="R3826">
        <v>-0.99246760000000001</v>
      </c>
      <c r="S3826">
        <v>-0.82841489999999995</v>
      </c>
      <c r="T3826">
        <v>-3.7556050000000001E-2</v>
      </c>
      <c r="U3826">
        <v>-2.923019</v>
      </c>
      <c r="V3826">
        <v>0.119268</v>
      </c>
      <c r="W3826">
        <v>-2.3733560000000001E-2</v>
      </c>
      <c r="X3826">
        <v>0.99257839999999997</v>
      </c>
      <c r="Y3826">
        <v>0.27363229999999999</v>
      </c>
      <c r="Z3826">
        <v>1.23588E-2</v>
      </c>
      <c r="AA3826">
        <v>0.96175500000000003</v>
      </c>
      <c r="AB3826">
        <v>10</v>
      </c>
      <c r="AC3826">
        <v>-20.832999999999998</v>
      </c>
      <c r="AD3826">
        <v>-0.94453009999999904</v>
      </c>
      <c r="AE3826">
        <v>-73.413700000000006</v>
      </c>
      <c r="AF3826">
        <v>20.904702308315201</v>
      </c>
      <c r="AG3826">
        <v>-0.94453009999999904</v>
      </c>
      <c r="AH3826">
        <v>73.381161027861793</v>
      </c>
      <c r="AI3826">
        <v>90.709230755577806</v>
      </c>
      <c r="AJ3826">
        <v>74.098895972853995</v>
      </c>
      <c r="AK3826">
        <v>76.306575794659196</v>
      </c>
      <c r="AL3826">
        <v>91.359960502586006</v>
      </c>
      <c r="AM3826">
        <v>83.148202118821601</v>
      </c>
      <c r="AN3826">
        <v>1.00000000892041</v>
      </c>
    </row>
    <row r="3827" spans="1:40" x14ac:dyDescent="0.25">
      <c r="A3827" t="str">
        <f>"20190312161043561"</f>
        <v>20190312161043561</v>
      </c>
      <c r="B3827" t="str">
        <f>"1552378243549904"</f>
        <v>1552378243549904</v>
      </c>
      <c r="C3827" t="s">
        <v>40</v>
      </c>
      <c r="D3827">
        <v>5.5697210000000004</v>
      </c>
      <c r="E3827">
        <v>0.55862959999999995</v>
      </c>
      <c r="F3827" t="s">
        <v>90</v>
      </c>
      <c r="G3827">
        <v>-210.62370000000001</v>
      </c>
      <c r="H3827">
        <v>0.38385229999999998</v>
      </c>
      <c r="I3827">
        <v>114.65860000000001</v>
      </c>
      <c r="J3827">
        <v>-189.1129</v>
      </c>
      <c r="K3827">
        <v>1.109477</v>
      </c>
      <c r="L3827">
        <v>190.74940000000001</v>
      </c>
      <c r="M3827" s="1">
        <v>8.3111849999999894E-5</v>
      </c>
      <c r="N3827">
        <v>0</v>
      </c>
      <c r="O3827">
        <v>-0.99996549999999995</v>
      </c>
      <c r="P3827">
        <v>-0.11878379999999999</v>
      </c>
      <c r="Q3827">
        <v>-3.1722090000000001E-2</v>
      </c>
      <c r="R3827">
        <v>-0.99241299999999999</v>
      </c>
      <c r="S3827">
        <v>-0.8254089</v>
      </c>
      <c r="T3827">
        <v>-2.7841089999999999E-2</v>
      </c>
      <c r="U3827">
        <v>-2.923508</v>
      </c>
      <c r="V3827">
        <v>0.1188544</v>
      </c>
      <c r="W3827">
        <v>-2.3550660000000001E-2</v>
      </c>
      <c r="X3827">
        <v>0.99263239999999997</v>
      </c>
      <c r="Y3827">
        <v>0.27178190000000002</v>
      </c>
      <c r="Z3827">
        <v>9.1644129999999997E-3</v>
      </c>
      <c r="AA3827">
        <v>0.96231529999999998</v>
      </c>
      <c r="AB3827">
        <v>10</v>
      </c>
      <c r="AC3827">
        <v>-21.5108</v>
      </c>
      <c r="AD3827">
        <v>-0.72562469999999901</v>
      </c>
      <c r="AE3827">
        <v>-76.090800000000002</v>
      </c>
      <c r="AF3827">
        <v>21.515312365478501</v>
      </c>
      <c r="AG3827">
        <v>-0.72562469999999901</v>
      </c>
      <c r="AH3827">
        <v>76.082604882387997</v>
      </c>
      <c r="AI3827">
        <v>90.525813064015495</v>
      </c>
      <c r="AJ3827">
        <v>74.2096884670907</v>
      </c>
      <c r="AK3827">
        <v>79.069576722522896</v>
      </c>
      <c r="AL3827">
        <v>91.349478130315703</v>
      </c>
      <c r="AM3827">
        <v>83.172106152296706</v>
      </c>
      <c r="AN3827">
        <v>1.0000000417577699</v>
      </c>
    </row>
    <row r="3828" spans="1:40" x14ac:dyDescent="0.25">
      <c r="A3828" t="str">
        <f>"20190312161043583"</f>
        <v>20190312161043583</v>
      </c>
      <c r="B3828" t="str">
        <f>"1552378243580160"</f>
        <v>1552378243580160</v>
      </c>
      <c r="C3828" t="s">
        <v>40</v>
      </c>
      <c r="D3828">
        <v>5.4867119999999998</v>
      </c>
      <c r="E3828">
        <v>0.47879880000000002</v>
      </c>
      <c r="F3828" t="s">
        <v>90</v>
      </c>
      <c r="G3828">
        <v>-210.696</v>
      </c>
      <c r="H3828">
        <v>0.48636600000000002</v>
      </c>
      <c r="I3828">
        <v>113.7941</v>
      </c>
      <c r="J3828">
        <v>-189.1138</v>
      </c>
      <c r="K3828">
        <v>1.1094790000000001</v>
      </c>
      <c r="L3828">
        <v>190.65430000000001</v>
      </c>
      <c r="M3828">
        <v>-7.5176799999999999E-4</v>
      </c>
      <c r="N3828">
        <v>0</v>
      </c>
      <c r="O3828">
        <v>-0.99996600000000002</v>
      </c>
      <c r="P3828">
        <v>-0.1183712</v>
      </c>
      <c r="Q3828">
        <v>-3.144214E-2</v>
      </c>
      <c r="R3828">
        <v>-0.99247180000000002</v>
      </c>
      <c r="S3828">
        <v>-0.82008359999999902</v>
      </c>
      <c r="T3828">
        <v>-2.3674959999999998E-2</v>
      </c>
      <c r="U3828">
        <v>-2.924026</v>
      </c>
      <c r="V3828">
        <v>0.117614</v>
      </c>
      <c r="W3828">
        <v>-2.332745E-2</v>
      </c>
      <c r="X3828">
        <v>0.99278529999999998</v>
      </c>
      <c r="Y3828">
        <v>0.26931189999999999</v>
      </c>
      <c r="Z3828">
        <v>7.7964559999999898E-3</v>
      </c>
      <c r="AA3828">
        <v>0.96302149999999997</v>
      </c>
      <c r="AB3828">
        <v>10</v>
      </c>
      <c r="AC3828">
        <v>-21.5822</v>
      </c>
      <c r="AD3828">
        <v>-0.62311300000000003</v>
      </c>
      <c r="AE3828">
        <v>-76.860200000000006</v>
      </c>
      <c r="AF3828">
        <v>21.5230996945355</v>
      </c>
      <c r="AG3828">
        <v>-0.62311300000000003</v>
      </c>
      <c r="AH3828">
        <v>76.871720494299495</v>
      </c>
      <c r="AI3828">
        <v>90.447224434870705</v>
      </c>
      <c r="AJ3828">
        <v>74.358432290662904</v>
      </c>
      <c r="AK3828">
        <v>79.830404621455997</v>
      </c>
      <c r="AL3828">
        <v>91.336685764871305</v>
      </c>
      <c r="AM3828">
        <v>83.243732823057599</v>
      </c>
      <c r="AN3828">
        <v>0.99999993740779403</v>
      </c>
    </row>
    <row r="3829" spans="1:40" x14ac:dyDescent="0.25">
      <c r="A3829" t="str">
        <f>"20190312161043606"</f>
        <v>20190312161043606</v>
      </c>
      <c r="B3829" t="str">
        <f>"1552378243600657"</f>
        <v>1552378243600657</v>
      </c>
      <c r="C3829" t="s">
        <v>40</v>
      </c>
      <c r="D3829">
        <v>5.5421110000000002</v>
      </c>
      <c r="E3829">
        <v>0.47334569999999998</v>
      </c>
      <c r="F3829" t="s">
        <v>87</v>
      </c>
      <c r="G3829">
        <v>-191.78569999999999</v>
      </c>
      <c r="H3829" s="1">
        <v>-1.054319E-5</v>
      </c>
      <c r="I3829">
        <v>147.83949999999999</v>
      </c>
      <c r="J3829">
        <v>-189.11490000000001</v>
      </c>
      <c r="K3829">
        <v>1.1094889999999999</v>
      </c>
      <c r="L3829">
        <v>190.54990000000001</v>
      </c>
      <c r="M3829">
        <v>-1.619676E-3</v>
      </c>
      <c r="N3829">
        <v>0</v>
      </c>
      <c r="O3829">
        <v>-0.99996549999999995</v>
      </c>
      <c r="P3829">
        <v>-0.118256399999999</v>
      </c>
      <c r="Q3829">
        <v>-3.098501E-2</v>
      </c>
      <c r="R3829">
        <v>-0.99249960000000004</v>
      </c>
      <c r="S3829">
        <v>-0.187088</v>
      </c>
      <c r="T3829">
        <v>-7.7689170000000002E-2</v>
      </c>
      <c r="U3829">
        <v>-2.9980009999999999</v>
      </c>
      <c r="V3829">
        <v>0.1166387</v>
      </c>
      <c r="W3829">
        <v>-2.293713E-2</v>
      </c>
      <c r="X3829">
        <v>0.9929095</v>
      </c>
      <c r="Y3829">
        <v>6.0645610000000003E-2</v>
      </c>
      <c r="Z3829">
        <v>2.5855940000000001E-2</v>
      </c>
      <c r="AA3829">
        <v>0.99782439999999994</v>
      </c>
      <c r="AB3829">
        <v>10</v>
      </c>
      <c r="AC3829">
        <v>-2.6707999999999799</v>
      </c>
      <c r="AD3829">
        <v>-1.1094995431900001</v>
      </c>
      <c r="AE3829">
        <v>-42.7104</v>
      </c>
      <c r="AF3829">
        <v>2.59986958443602</v>
      </c>
      <c r="AG3829">
        <v>-1.1094995431900001</v>
      </c>
      <c r="AH3829">
        <v>42.685976861543601</v>
      </c>
      <c r="AI3829">
        <v>91.486151466185405</v>
      </c>
      <c r="AJ3829">
        <v>86.514598563406594</v>
      </c>
      <c r="AK3829">
        <v>42.7794685768378</v>
      </c>
      <c r="AL3829">
        <v>91.314316023992703</v>
      </c>
      <c r="AM3829">
        <v>83.300077358059198</v>
      </c>
      <c r="AN3829">
        <v>0.999999986730288</v>
      </c>
    </row>
    <row r="3830" spans="1:40" x14ac:dyDescent="0.25">
      <c r="A3830" t="str">
        <f>"20190312161043628"</f>
        <v>20190312161043628</v>
      </c>
      <c r="B3830" t="str">
        <f>"1552378243620177"</f>
        <v>1552378243620177</v>
      </c>
      <c r="C3830" t="s">
        <v>40</v>
      </c>
      <c r="D3830">
        <v>5.5249560000000004</v>
      </c>
      <c r="E3830">
        <v>0.47140660000000001</v>
      </c>
      <c r="F3830" t="s">
        <v>87</v>
      </c>
      <c r="G3830">
        <v>-190.75729999999999</v>
      </c>
      <c r="H3830" s="1">
        <v>-1.3596109999999999E-5</v>
      </c>
      <c r="I3830">
        <v>156.23099999999999</v>
      </c>
      <c r="J3830">
        <v>-189.11600000000001</v>
      </c>
      <c r="K3830">
        <v>1.109494</v>
      </c>
      <c r="L3830">
        <v>190.44739999999999</v>
      </c>
      <c r="M3830">
        <v>-2.4288560000000001E-3</v>
      </c>
      <c r="N3830">
        <v>0</v>
      </c>
      <c r="O3830">
        <v>-0.99996450000000003</v>
      </c>
      <c r="P3830">
        <v>-0.1182985</v>
      </c>
      <c r="Q3830">
        <v>-3.074673E-2</v>
      </c>
      <c r="R3830">
        <v>-0.99250229999999995</v>
      </c>
      <c r="S3830">
        <v>-0.14369199999999999</v>
      </c>
      <c r="T3830">
        <v>-9.7068790000000002E-2</v>
      </c>
      <c r="U3830">
        <v>-3.0025179999999998</v>
      </c>
      <c r="V3830">
        <v>0.1158783</v>
      </c>
      <c r="W3830">
        <v>-2.2764610000000001E-2</v>
      </c>
      <c r="X3830">
        <v>0.99300250000000001</v>
      </c>
      <c r="Y3830">
        <v>4.5351259999999997E-2</v>
      </c>
      <c r="Z3830">
        <v>3.227704E-2</v>
      </c>
      <c r="AA3830">
        <v>0.99844949999999999</v>
      </c>
      <c r="AB3830">
        <v>10</v>
      </c>
      <c r="AC3830">
        <v>-1.6413</v>
      </c>
      <c r="AD3830">
        <v>-1.10950759611</v>
      </c>
      <c r="AE3830">
        <v>-34.216399999999901</v>
      </c>
      <c r="AF3830">
        <v>1.5565528519655001</v>
      </c>
      <c r="AG3830">
        <v>-1.10950759611</v>
      </c>
      <c r="AH3830">
        <v>34.184424704655001</v>
      </c>
      <c r="AI3830">
        <v>91.857046454948303</v>
      </c>
      <c r="AJ3830">
        <v>87.392896032152194</v>
      </c>
      <c r="AK3830">
        <v>34.237826395304602</v>
      </c>
      <c r="AL3830">
        <v>91.304428774631305</v>
      </c>
      <c r="AM3830">
        <v>83.343980592546004</v>
      </c>
      <c r="AN3830">
        <v>0.99999998644279597</v>
      </c>
    </row>
    <row r="3831" spans="1:40" x14ac:dyDescent="0.25">
      <c r="A3831" t="str">
        <f>"20190312161043651"</f>
        <v>20190312161043651</v>
      </c>
      <c r="B3831" t="str">
        <f>"1552378243640672"</f>
        <v>1552378243640672</v>
      </c>
      <c r="C3831" t="s">
        <v>40</v>
      </c>
      <c r="D3831">
        <v>5.5029640000000004</v>
      </c>
      <c r="E3831">
        <v>0.47031509999999999</v>
      </c>
      <c r="F3831" t="s">
        <v>87</v>
      </c>
      <c r="G3831">
        <v>-190.46209999999999</v>
      </c>
      <c r="H3831" s="1">
        <v>-1.475766E-5</v>
      </c>
      <c r="I3831">
        <v>158.99959999999999</v>
      </c>
      <c r="J3831">
        <v>-189.1172</v>
      </c>
      <c r="K3831">
        <v>1.10949599999999</v>
      </c>
      <c r="L3831">
        <v>190.34620000000001</v>
      </c>
      <c r="M3831">
        <v>-3.1951269999999999E-3</v>
      </c>
      <c r="N3831">
        <v>0</v>
      </c>
      <c r="O3831">
        <v>-0.99996289999999999</v>
      </c>
      <c r="P3831">
        <v>-0.1181224</v>
      </c>
      <c r="Q3831">
        <v>-3.0007860000000001E-2</v>
      </c>
      <c r="R3831">
        <v>-0.99254580000000003</v>
      </c>
      <c r="S3831">
        <v>-0.1285858</v>
      </c>
      <c r="T3831">
        <v>-0.1059862</v>
      </c>
      <c r="U3831">
        <v>-3.0040589999999998</v>
      </c>
      <c r="V3831">
        <v>0.11494210000000001</v>
      </c>
      <c r="W3831">
        <v>-2.2088679999999999E-2</v>
      </c>
      <c r="X3831">
        <v>0.99312659999999997</v>
      </c>
      <c r="Y3831">
        <v>3.9545810000000001E-2</v>
      </c>
      <c r="Z3831">
        <v>3.5228910000000002E-2</v>
      </c>
      <c r="AA3831">
        <v>0.9985965</v>
      </c>
      <c r="AB3831">
        <v>10</v>
      </c>
      <c r="AC3831">
        <v>-1.34489999999999</v>
      </c>
      <c r="AD3831">
        <v>-1.1095107576599901</v>
      </c>
      <c r="AE3831">
        <v>-31.346599999999999</v>
      </c>
      <c r="AF3831">
        <v>1.2431789675281899</v>
      </c>
      <c r="AG3831">
        <v>-1.1095107576599901</v>
      </c>
      <c r="AH3831">
        <v>31.3115821357028</v>
      </c>
      <c r="AI3831">
        <v>92.027802808862603</v>
      </c>
      <c r="AJ3831">
        <v>87.726352011170704</v>
      </c>
      <c r="AK3831">
        <v>31.355887547756101</v>
      </c>
      <c r="AL3831">
        <v>91.265691051921607</v>
      </c>
      <c r="AM3831">
        <v>83.3980967268879</v>
      </c>
      <c r="AN3831">
        <v>1.00000001988205</v>
      </c>
    </row>
    <row r="3832" spans="1:40" x14ac:dyDescent="0.25">
      <c r="A3832" t="str">
        <f>"20190312161043673"</f>
        <v>20190312161043673</v>
      </c>
      <c r="B3832" t="str">
        <f>"1552378243669954"</f>
        <v>1552378243669954</v>
      </c>
      <c r="C3832" t="s">
        <v>40</v>
      </c>
      <c r="D3832">
        <v>5.5074329999999998</v>
      </c>
      <c r="E3832">
        <v>0.46925549999999999</v>
      </c>
      <c r="F3832" t="s">
        <v>41</v>
      </c>
      <c r="G3832">
        <v>-190.3022</v>
      </c>
      <c r="H3832" s="1">
        <v>-5.3258939999999997E-7</v>
      </c>
      <c r="I3832">
        <v>160.54820000000001</v>
      </c>
      <c r="J3832">
        <v>-189.11840000000001</v>
      </c>
      <c r="K3832">
        <v>1.109491</v>
      </c>
      <c r="L3832">
        <v>190.2424</v>
      </c>
      <c r="M3832">
        <v>-3.9538890000000004E-3</v>
      </c>
      <c r="N3832">
        <v>0</v>
      </c>
      <c r="O3832">
        <v>-0.99996070000000004</v>
      </c>
      <c r="P3832">
        <v>-0.1173614</v>
      </c>
      <c r="Q3832">
        <v>-2.9996680000000001E-2</v>
      </c>
      <c r="R3832">
        <v>-0.99263639999999997</v>
      </c>
      <c r="S3832">
        <v>-0.1195068</v>
      </c>
      <c r="T3832">
        <v>-0.11188529999999999</v>
      </c>
      <c r="U3832">
        <v>-3.0049290000000002</v>
      </c>
      <c r="V3832">
        <v>0.11342729999999999</v>
      </c>
      <c r="W3832">
        <v>-2.2141669999999999E-2</v>
      </c>
      <c r="X3832">
        <v>0.9932995</v>
      </c>
      <c r="Y3832">
        <v>3.5760189999999997E-2</v>
      </c>
      <c r="Z3832">
        <v>3.7181150000000003E-2</v>
      </c>
      <c r="AA3832">
        <v>0.99866849999999996</v>
      </c>
      <c r="AB3832">
        <v>10</v>
      </c>
      <c r="AC3832">
        <v>-1.18379999999999</v>
      </c>
      <c r="AD3832">
        <v>-1.1094915325893999</v>
      </c>
      <c r="AE3832">
        <v>-29.694199999999899</v>
      </c>
      <c r="AF3832">
        <v>1.0648951781331499</v>
      </c>
      <c r="AG3832">
        <v>-1.1094915325893999</v>
      </c>
      <c r="AH3832">
        <v>29.657310889983201</v>
      </c>
      <c r="AI3832">
        <v>92.141079775348203</v>
      </c>
      <c r="AJ3832">
        <v>87.943583008279901</v>
      </c>
      <c r="AK3832">
        <v>29.697155796917901</v>
      </c>
      <c r="AL3832">
        <v>91.268727984943993</v>
      </c>
      <c r="AM3832">
        <v>83.485473257665404</v>
      </c>
      <c r="AN3832">
        <v>0.99999995131796304</v>
      </c>
    </row>
    <row r="3833" spans="1:40" x14ac:dyDescent="0.25">
      <c r="A3833" t="str">
        <f>"20190312161043695"</f>
        <v>20190312161043695</v>
      </c>
      <c r="B3833" t="str">
        <f>"1552378243690449"</f>
        <v>1552378243690449</v>
      </c>
      <c r="C3833" t="s">
        <v>40</v>
      </c>
      <c r="D3833">
        <v>5.5428850000000001</v>
      </c>
      <c r="E3833">
        <v>0.46901730000000003</v>
      </c>
      <c r="F3833" t="s">
        <v>41</v>
      </c>
      <c r="G3833">
        <v>-190.14349999999999</v>
      </c>
      <c r="H3833" s="1">
        <v>-1.1426939999999999E-6</v>
      </c>
      <c r="I3833">
        <v>161.9282</v>
      </c>
      <c r="J3833">
        <v>-189.11959999999999</v>
      </c>
      <c r="K3833">
        <v>1.1094759999999999</v>
      </c>
      <c r="L3833">
        <v>190.14250000000001</v>
      </c>
      <c r="M3833">
        <v>-4.6617569999999999E-3</v>
      </c>
      <c r="N3833">
        <v>0</v>
      </c>
      <c r="O3833">
        <v>-0.99995809999999996</v>
      </c>
      <c r="P3833">
        <v>-0.1170383</v>
      </c>
      <c r="Q3833">
        <v>-3.0517639999999999E-2</v>
      </c>
      <c r="R3833">
        <v>-0.99265859999999995</v>
      </c>
      <c r="S3833">
        <v>-0.1088257</v>
      </c>
      <c r="T3833">
        <v>-0.11778279999999999</v>
      </c>
      <c r="U3833">
        <v>-3.005814</v>
      </c>
      <c r="V3833">
        <v>0.1124008</v>
      </c>
      <c r="W3833">
        <v>-2.272685E-2</v>
      </c>
      <c r="X3833">
        <v>0.99340300000000004</v>
      </c>
      <c r="Y3833">
        <v>3.149441E-2</v>
      </c>
      <c r="Z3833">
        <v>3.9131810000000003E-2</v>
      </c>
      <c r="AA3833">
        <v>0.9987376</v>
      </c>
      <c r="AB3833">
        <v>10</v>
      </c>
      <c r="AC3833">
        <v>-1.02389999999999</v>
      </c>
      <c r="AD3833">
        <v>-1.109477142694</v>
      </c>
      <c r="AE3833">
        <v>-28.214300000000001</v>
      </c>
      <c r="AF3833">
        <v>0.89098065581363095</v>
      </c>
      <c r="AG3833">
        <v>-1.109477142694</v>
      </c>
      <c r="AH3833">
        <v>28.175256185951</v>
      </c>
      <c r="AI3833">
        <v>92.253886180503201</v>
      </c>
      <c r="AJ3833">
        <v>88.188750279208804</v>
      </c>
      <c r="AK3833">
        <v>28.2111652932517</v>
      </c>
      <c r="AL3833">
        <v>91.302264727994896</v>
      </c>
      <c r="AM3833">
        <v>83.544595703477995</v>
      </c>
      <c r="AN3833">
        <v>0.99999998498028098</v>
      </c>
    </row>
    <row r="3834" spans="1:40" x14ac:dyDescent="0.25">
      <c r="A3834" t="str">
        <f>"20190312161043717"</f>
        <v>20190312161043717</v>
      </c>
      <c r="B3834" t="str">
        <f>"1552378243709968"</f>
        <v>1552378243709968</v>
      </c>
      <c r="C3834" t="s">
        <v>40</v>
      </c>
      <c r="D3834">
        <v>5.4851599999999996</v>
      </c>
      <c r="E3834">
        <v>0.46901140000000002</v>
      </c>
      <c r="F3834" t="s">
        <v>41</v>
      </c>
      <c r="G3834">
        <v>-190.06880000000001</v>
      </c>
      <c r="H3834" s="1">
        <v>-1.7235059999999901E-6</v>
      </c>
      <c r="I3834">
        <v>163.19890000000001</v>
      </c>
      <c r="J3834">
        <v>-189.12090000000001</v>
      </c>
      <c r="K3834">
        <v>1.1094619999999999</v>
      </c>
      <c r="L3834">
        <v>190.03960000000001</v>
      </c>
      <c r="M3834">
        <v>-5.3723240000000004E-3</v>
      </c>
      <c r="N3834">
        <v>0</v>
      </c>
      <c r="O3834">
        <v>-0.99995520000000004</v>
      </c>
      <c r="P3834">
        <v>-0.117480399999999</v>
      </c>
      <c r="Q3834">
        <v>-3.0697060000000002E-2</v>
      </c>
      <c r="R3834">
        <v>-0.99260099999999996</v>
      </c>
      <c r="S3834">
        <v>-0.105896</v>
      </c>
      <c r="T3834">
        <v>-0.1237769</v>
      </c>
      <c r="U3834">
        <v>-3.0059049999999998</v>
      </c>
      <c r="V3834">
        <v>0.1121369</v>
      </c>
      <c r="W3834">
        <v>-2.2975570000000001E-2</v>
      </c>
      <c r="X3834">
        <v>0.99342710000000001</v>
      </c>
      <c r="Y3834">
        <v>2.9808040000000001E-2</v>
      </c>
      <c r="Z3834">
        <v>4.1120289999999997E-2</v>
      </c>
      <c r="AA3834">
        <v>0.99870939999999997</v>
      </c>
      <c r="AB3834">
        <v>10</v>
      </c>
      <c r="AC3834">
        <v>-0.94790000000000396</v>
      </c>
      <c r="AD3834">
        <v>-1.1094637235060001</v>
      </c>
      <c r="AE3834">
        <v>-26.840699999999998</v>
      </c>
      <c r="AF3834">
        <v>0.80231588056997505</v>
      </c>
      <c r="AG3834">
        <v>-1.1094637235060001</v>
      </c>
      <c r="AH3834">
        <v>26.799672532026801</v>
      </c>
      <c r="AI3834">
        <v>92.369539884506096</v>
      </c>
      <c r="AJ3834">
        <v>88.285218309934393</v>
      </c>
      <c r="AK3834">
        <v>26.8346244309448</v>
      </c>
      <c r="AL3834">
        <v>91.316519060469801</v>
      </c>
      <c r="AM3834">
        <v>83.559779446431804</v>
      </c>
      <c r="AN3834">
        <v>0.99999998208642205</v>
      </c>
    </row>
    <row r="3835" spans="1:40" x14ac:dyDescent="0.25">
      <c r="A3835" t="str">
        <f>"20190312161043741"</f>
        <v>20190312161043741</v>
      </c>
      <c r="B3835" t="str">
        <f>"1552378243730464"</f>
        <v>1552378243730464</v>
      </c>
      <c r="C3835" t="s">
        <v>40</v>
      </c>
      <c r="D3835">
        <v>5.5473420000000004</v>
      </c>
      <c r="E3835">
        <v>0.46878150000000002</v>
      </c>
      <c r="F3835" t="s">
        <v>41</v>
      </c>
      <c r="G3835">
        <v>-190.02619999999999</v>
      </c>
      <c r="H3835" s="1">
        <v>-2.4292770000000002E-6</v>
      </c>
      <c r="I3835">
        <v>164.7159</v>
      </c>
      <c r="J3835">
        <v>-189.1223</v>
      </c>
      <c r="K3835">
        <v>1.1094379999999999</v>
      </c>
      <c r="L3835">
        <v>189.92939999999999</v>
      </c>
      <c r="M3835">
        <v>-6.1206239999999999E-3</v>
      </c>
      <c r="N3835">
        <v>0</v>
      </c>
      <c r="O3835">
        <v>-0.99995120000000004</v>
      </c>
      <c r="P3835">
        <v>-0.1178241</v>
      </c>
      <c r="Q3835">
        <v>-2.9966639999999999E-2</v>
      </c>
      <c r="R3835">
        <v>-0.99258219999999997</v>
      </c>
      <c r="S3835">
        <v>-0.1074524</v>
      </c>
      <c r="T3835">
        <v>-0.1316783</v>
      </c>
      <c r="U3835">
        <v>-3.0055689999999999</v>
      </c>
      <c r="V3835">
        <v>0.11173710000000001</v>
      </c>
      <c r="W3835">
        <v>-2.2318620000000001E-2</v>
      </c>
      <c r="X3835">
        <v>0.99348709999999996</v>
      </c>
      <c r="Y3835">
        <v>2.9576499999999999E-2</v>
      </c>
      <c r="Z3835">
        <v>4.3744720000000001E-2</v>
      </c>
      <c r="AA3835">
        <v>0.99860479999999996</v>
      </c>
      <c r="AB3835">
        <v>10</v>
      </c>
      <c r="AC3835">
        <v>-0.90389999999999204</v>
      </c>
      <c r="AD3835">
        <v>-1.1094404292769999</v>
      </c>
      <c r="AE3835">
        <v>-25.2134999999999</v>
      </c>
      <c r="AF3835">
        <v>0.74810947230872904</v>
      </c>
      <c r="AG3835">
        <v>-1.1094404292769999</v>
      </c>
      <c r="AH3835">
        <v>25.1698898572416</v>
      </c>
      <c r="AI3835">
        <v>92.522741674960002</v>
      </c>
      <c r="AJ3835">
        <v>88.297533277620303</v>
      </c>
      <c r="AK3835">
        <v>25.205433566482199</v>
      </c>
      <c r="AL3835">
        <v>91.278868969738596</v>
      </c>
      <c r="AM3835">
        <v>83.5829331126928</v>
      </c>
      <c r="AN3835">
        <v>0.999999959090761</v>
      </c>
    </row>
    <row r="3836" spans="1:40" x14ac:dyDescent="0.25">
      <c r="A3836" t="str">
        <f>"20190312161043762"</f>
        <v>20190312161043762</v>
      </c>
      <c r="B3836" t="str">
        <f>"1552378243749985"</f>
        <v>1552378243749985</v>
      </c>
      <c r="C3836" t="s">
        <v>40</v>
      </c>
      <c r="D3836">
        <v>5.5283069999999999</v>
      </c>
      <c r="E3836">
        <v>0.46871360000000001</v>
      </c>
      <c r="F3836" t="s">
        <v>41</v>
      </c>
      <c r="G3836">
        <v>-190.02610000000001</v>
      </c>
      <c r="H3836" s="1">
        <v>-2.2990299999999999E-6</v>
      </c>
      <c r="I3836">
        <v>164.44040000000001</v>
      </c>
      <c r="J3836">
        <v>-189.12379999999999</v>
      </c>
      <c r="K3836">
        <v>1.10941</v>
      </c>
      <c r="L3836">
        <v>189.82570000000001</v>
      </c>
      <c r="M3836">
        <v>-6.8219429999999996E-3</v>
      </c>
      <c r="N3836">
        <v>0</v>
      </c>
      <c r="O3836">
        <v>-0.99994720000000004</v>
      </c>
      <c r="P3836">
        <v>-0.1183234</v>
      </c>
      <c r="Q3836">
        <v>-3.0447709999999999E-2</v>
      </c>
      <c r="R3836">
        <v>-0.99250819999999995</v>
      </c>
      <c r="S3836">
        <v>-0.1065826</v>
      </c>
      <c r="T3836">
        <v>-0.13083239999999999</v>
      </c>
      <c r="U3836">
        <v>-3.0058289999999999</v>
      </c>
      <c r="V3836">
        <v>0.1115394</v>
      </c>
      <c r="W3836">
        <v>-2.2866000000000001E-2</v>
      </c>
      <c r="X3836">
        <v>0.99349690000000002</v>
      </c>
      <c r="Y3836">
        <v>2.858422E-2</v>
      </c>
      <c r="Z3836">
        <v>4.3461050000000001E-2</v>
      </c>
      <c r="AA3836">
        <v>0.99864609999999998</v>
      </c>
      <c r="AB3836">
        <v>10</v>
      </c>
      <c r="AC3836">
        <v>-0.90230000000002497</v>
      </c>
      <c r="AD3836">
        <v>-1.1094122990299999</v>
      </c>
      <c r="AE3836">
        <v>-25.385300000000001</v>
      </c>
      <c r="AF3836">
        <v>0.72770868746260398</v>
      </c>
      <c r="AG3836">
        <v>-1.1094122990299999</v>
      </c>
      <c r="AH3836">
        <v>25.342523071742399</v>
      </c>
      <c r="AI3836">
        <v>92.505588889825802</v>
      </c>
      <c r="AJ3836">
        <v>88.355207872337004</v>
      </c>
      <c r="AK3836">
        <v>25.377230566491001</v>
      </c>
      <c r="AL3836">
        <v>91.310239500364204</v>
      </c>
      <c r="AM3836">
        <v>83.594255234907493</v>
      </c>
      <c r="AN3836">
        <v>0.99999999100898496</v>
      </c>
    </row>
    <row r="3837" spans="1:40" x14ac:dyDescent="0.25">
      <c r="A3837" t="str">
        <f>"20190312161043786"</f>
        <v>20190312161043786</v>
      </c>
      <c r="B3837" t="str">
        <f>"1552378243780242"</f>
        <v>1552378243780242</v>
      </c>
      <c r="C3837" t="s">
        <v>40</v>
      </c>
      <c r="D3837">
        <v>5.570322</v>
      </c>
      <c r="E3837">
        <v>0.46845769999999998</v>
      </c>
      <c r="F3837" t="s">
        <v>41</v>
      </c>
      <c r="G3837">
        <v>-190.0061</v>
      </c>
      <c r="H3837" s="1">
        <v>-2.6705140000000001E-6</v>
      </c>
      <c r="I3837">
        <v>165.23759999999999</v>
      </c>
      <c r="J3837">
        <v>-189.12530000000001</v>
      </c>
      <c r="K3837">
        <v>1.109383</v>
      </c>
      <c r="L3837">
        <v>189.71850000000001</v>
      </c>
      <c r="M3837">
        <v>-7.5473409999999999E-3</v>
      </c>
      <c r="N3837">
        <v>0</v>
      </c>
      <c r="O3837">
        <v>-0.99994240000000001</v>
      </c>
      <c r="P3837">
        <v>-0.118848</v>
      </c>
      <c r="Q3837">
        <v>-2.996184E-2</v>
      </c>
      <c r="R3837">
        <v>-0.99246029999999996</v>
      </c>
      <c r="S3837">
        <v>-0.1078491</v>
      </c>
      <c r="T3837">
        <v>-0.13561379999999901</v>
      </c>
      <c r="U3837">
        <v>-3.00563</v>
      </c>
      <c r="V3837">
        <v>0.1113432</v>
      </c>
      <c r="W3837">
        <v>-2.2443479999999998E-2</v>
      </c>
      <c r="X3837">
        <v>0.99352850000000004</v>
      </c>
      <c r="Y3837">
        <v>2.8279149999999999E-2</v>
      </c>
      <c r="Z3837">
        <v>4.5048659999999997E-2</v>
      </c>
      <c r="AA3837">
        <v>0.99858440000000004</v>
      </c>
      <c r="AB3837">
        <v>11</v>
      </c>
      <c r="AC3837">
        <v>-0.88079999999999303</v>
      </c>
      <c r="AD3837">
        <v>-1.1093856705139999</v>
      </c>
      <c r="AE3837">
        <v>-24.480899999999998</v>
      </c>
      <c r="AF3837">
        <v>0.69457930566424797</v>
      </c>
      <c r="AG3837">
        <v>-1.1093856705139999</v>
      </c>
      <c r="AH3837">
        <v>24.436732835531402</v>
      </c>
      <c r="AI3837">
        <v>92.598297209843395</v>
      </c>
      <c r="AJ3837">
        <v>88.371887476559294</v>
      </c>
      <c r="AK3837">
        <v>24.471761045191201</v>
      </c>
      <c r="AL3837">
        <v>91.286024726278001</v>
      </c>
      <c r="AM3837">
        <v>83.605631349886593</v>
      </c>
      <c r="AN3837">
        <v>0.99999994914649903</v>
      </c>
    </row>
    <row r="3838" spans="1:40" x14ac:dyDescent="0.25">
      <c r="A3838" t="str">
        <f>"20190312161043806"</f>
        <v>20190312161043806</v>
      </c>
      <c r="B3838" t="str">
        <f>"1552378243800737"</f>
        <v>1552378243800737</v>
      </c>
      <c r="C3838" t="s">
        <v>40</v>
      </c>
      <c r="D3838">
        <v>5.5242399999999998</v>
      </c>
      <c r="E3838">
        <v>0.46839130000000001</v>
      </c>
      <c r="F3838" t="s">
        <v>41</v>
      </c>
      <c r="G3838">
        <v>-189.99549999999999</v>
      </c>
      <c r="H3838" s="1">
        <v>-2.7149800000000001E-6</v>
      </c>
      <c r="I3838">
        <v>165.33760000000001</v>
      </c>
      <c r="J3838">
        <v>-189.12700000000001</v>
      </c>
      <c r="K3838">
        <v>1.1093679999999999</v>
      </c>
      <c r="L3838">
        <v>189.61410000000001</v>
      </c>
      <c r="M3838">
        <v>-8.2576230000000004E-3</v>
      </c>
      <c r="N3838">
        <v>0</v>
      </c>
      <c r="O3838">
        <v>-0.99993770000000004</v>
      </c>
      <c r="P3838">
        <v>-0.1198921</v>
      </c>
      <c r="Q3838">
        <v>-2.9696230000000001E-2</v>
      </c>
      <c r="R3838">
        <v>-0.99234310000000003</v>
      </c>
      <c r="S3838">
        <v>-0.1072845</v>
      </c>
      <c r="T3838">
        <v>-0.13677120000000001</v>
      </c>
      <c r="U3838">
        <v>-3.005814</v>
      </c>
      <c r="V3838">
        <v>0.111682</v>
      </c>
      <c r="W3838">
        <v>-2.223497E-2</v>
      </c>
      <c r="X3838">
        <v>0.99349520000000002</v>
      </c>
      <c r="Y3838">
        <v>2.7378989999999999E-2</v>
      </c>
      <c r="Z3838">
        <v>4.5429919999999999E-2</v>
      </c>
      <c r="AA3838">
        <v>0.99859229999999999</v>
      </c>
      <c r="AB3838">
        <v>11</v>
      </c>
      <c r="AC3838">
        <v>-0.86849999999998295</v>
      </c>
      <c r="AD3838">
        <v>-1.1093707149800001</v>
      </c>
      <c r="AE3838">
        <v>-24.276499999999999</v>
      </c>
      <c r="AF3838">
        <v>0.66660828670387595</v>
      </c>
      <c r="AG3838">
        <v>-1.1093707149800001</v>
      </c>
      <c r="AH3838">
        <v>24.232305914637799</v>
      </c>
      <c r="AI3838">
        <v>92.620217959623702</v>
      </c>
      <c r="AJ3838">
        <v>88.424243588794397</v>
      </c>
      <c r="AK3838">
        <v>24.266844045564401</v>
      </c>
      <c r="AL3838">
        <v>91.274074951436504</v>
      </c>
      <c r="AM3838">
        <v>83.586122988826403</v>
      </c>
      <c r="AN3838">
        <v>0.99999998771897003</v>
      </c>
    </row>
    <row r="3839" spans="1:40" x14ac:dyDescent="0.25">
      <c r="A3839" t="str">
        <f>"20190312161043830"</f>
        <v>20190312161043830</v>
      </c>
      <c r="B3839" t="str">
        <f>"1552378243820257"</f>
        <v>1552378243820257</v>
      </c>
      <c r="C3839" t="s">
        <v>40</v>
      </c>
      <c r="D3839">
        <v>5.5143700000000004</v>
      </c>
      <c r="E3839">
        <v>0.46824959999999999</v>
      </c>
      <c r="F3839" t="s">
        <v>41</v>
      </c>
      <c r="G3839">
        <v>-190.0067</v>
      </c>
      <c r="H3839" s="1">
        <v>-2.8078169999999999E-6</v>
      </c>
      <c r="I3839">
        <v>165.52770000000001</v>
      </c>
      <c r="J3839">
        <v>-189.12880000000001</v>
      </c>
      <c r="K3839">
        <v>1.1093489999999999</v>
      </c>
      <c r="L3839">
        <v>189.50200000000001</v>
      </c>
      <c r="M3839">
        <v>-9.02529E-3</v>
      </c>
      <c r="N3839">
        <v>0</v>
      </c>
      <c r="O3839">
        <v>-0.99993100000000001</v>
      </c>
      <c r="P3839">
        <v>-0.1215635</v>
      </c>
      <c r="Q3839">
        <v>-2.9379990000000002E-2</v>
      </c>
      <c r="R3839">
        <v>-0.99214869999999999</v>
      </c>
      <c r="S3839">
        <v>-0.109787</v>
      </c>
      <c r="T3839">
        <v>-0.1384387</v>
      </c>
      <c r="U3839">
        <v>-3.0057529999999999</v>
      </c>
      <c r="V3839">
        <v>0.11259180000000001</v>
      </c>
      <c r="W3839">
        <v>-2.1975660000000001E-2</v>
      </c>
      <c r="X3839">
        <v>0.99339829999999996</v>
      </c>
      <c r="Y3839">
        <v>2.744166E-2</v>
      </c>
      <c r="Z3839">
        <v>4.5982380000000003E-2</v>
      </c>
      <c r="AA3839">
        <v>0.99856529999999999</v>
      </c>
      <c r="AB3839">
        <v>11</v>
      </c>
      <c r="AC3839">
        <v>-0.87789999999998203</v>
      </c>
      <c r="AD3839">
        <v>-1.1093518078169999</v>
      </c>
      <c r="AE3839">
        <v>-23.974299999999999</v>
      </c>
      <c r="AF3839">
        <v>0.66007169632159601</v>
      </c>
      <c r="AG3839">
        <v>-1.1093518078169999</v>
      </c>
      <c r="AH3839">
        <v>23.930077798468801</v>
      </c>
      <c r="AI3839">
        <v>92.653212785180003</v>
      </c>
      <c r="AJ3839">
        <v>88.419991127032205</v>
      </c>
      <c r="AK3839">
        <v>23.964869695422099</v>
      </c>
      <c r="AL3839">
        <v>91.259213919780507</v>
      </c>
      <c r="AM3839">
        <v>83.533688684846496</v>
      </c>
      <c r="AN3839">
        <v>1.00000001275128</v>
      </c>
    </row>
    <row r="3840" spans="1:40" x14ac:dyDescent="0.25">
      <c r="A3840" t="str">
        <f>"20190312161043853"</f>
        <v>20190312161043853</v>
      </c>
      <c r="B3840" t="str">
        <f>"1552378243840753"</f>
        <v>1552378243840753</v>
      </c>
      <c r="C3840" t="s">
        <v>40</v>
      </c>
      <c r="D3840">
        <v>5.4382270000000004</v>
      </c>
      <c r="E3840">
        <v>0.46816649999999999</v>
      </c>
      <c r="F3840" t="s">
        <v>41</v>
      </c>
      <c r="G3840">
        <v>-190.01609999999999</v>
      </c>
      <c r="H3840" s="1">
        <v>-3.0753590000000002E-6</v>
      </c>
      <c r="I3840">
        <v>166.08840000000001</v>
      </c>
      <c r="J3840">
        <v>-189.13069999999999</v>
      </c>
      <c r="K3840">
        <v>1.10934</v>
      </c>
      <c r="L3840">
        <v>189.38910000000001</v>
      </c>
      <c r="M3840">
        <v>-9.8031469999999999E-3</v>
      </c>
      <c r="N3840">
        <v>0</v>
      </c>
      <c r="O3840">
        <v>-0.99992429999999999</v>
      </c>
      <c r="P3840">
        <v>-0.12305149999999999</v>
      </c>
      <c r="Q3840">
        <v>-2.9259629999999998E-2</v>
      </c>
      <c r="R3840">
        <v>-0.99196930000000005</v>
      </c>
      <c r="S3840">
        <v>-0.11390690000000001</v>
      </c>
      <c r="T3840">
        <v>-0.1424057</v>
      </c>
      <c r="U3840">
        <v>-3.0055689999999999</v>
      </c>
      <c r="V3840">
        <v>0.1133083</v>
      </c>
      <c r="W3840">
        <v>-2.1907300000000001E-2</v>
      </c>
      <c r="X3840">
        <v>0.99331829999999999</v>
      </c>
      <c r="Y3840">
        <v>2.8030820000000001E-2</v>
      </c>
      <c r="Z3840">
        <v>4.729788E-2</v>
      </c>
      <c r="AA3840">
        <v>0.99848749999999997</v>
      </c>
      <c r="AB3840">
        <v>11</v>
      </c>
      <c r="AC3840">
        <v>-0.88540000000000396</v>
      </c>
      <c r="AD3840">
        <v>-1.1093430753589999</v>
      </c>
      <c r="AE3840">
        <v>-23.300699999999999</v>
      </c>
      <c r="AF3840">
        <v>0.65544739018204301</v>
      </c>
      <c r="AG3840">
        <v>-1.1093430753589999</v>
      </c>
      <c r="AH3840">
        <v>23.255622750681201</v>
      </c>
      <c r="AI3840">
        <v>92.729978857559999</v>
      </c>
      <c r="AJ3840">
        <v>88.385576239377997</v>
      </c>
      <c r="AK3840">
        <v>23.2912911377224</v>
      </c>
      <c r="AL3840">
        <v>91.255296287246694</v>
      </c>
      <c r="AM3840">
        <v>83.492371296238801</v>
      </c>
      <c r="AN3840">
        <v>0.99999997287853404</v>
      </c>
    </row>
    <row r="3841" spans="1:40" x14ac:dyDescent="0.25">
      <c r="A3841" t="str">
        <f>"20190312161043874"</f>
        <v>20190312161043874</v>
      </c>
      <c r="B3841" t="str">
        <f>"1552378243870033"</f>
        <v>1552378243870033</v>
      </c>
      <c r="C3841" t="s">
        <v>40</v>
      </c>
      <c r="D3841">
        <v>5.4097089999999897</v>
      </c>
      <c r="E3841">
        <v>0.46811429999999998</v>
      </c>
      <c r="F3841" t="s">
        <v>41</v>
      </c>
      <c r="G3841">
        <v>-190.04920000000001</v>
      </c>
      <c r="H3841" s="1">
        <v>-3.0248709999999999E-6</v>
      </c>
      <c r="I3841">
        <v>165.96289999999999</v>
      </c>
      <c r="J3841">
        <v>-189.1326</v>
      </c>
      <c r="K3841">
        <v>1.109329</v>
      </c>
      <c r="L3841">
        <v>189.27979999999999</v>
      </c>
      <c r="M3841">
        <v>-1.056085E-2</v>
      </c>
      <c r="N3841">
        <v>0</v>
      </c>
      <c r="O3841">
        <v>-0.99991669999999999</v>
      </c>
      <c r="P3841">
        <v>-0.1243609</v>
      </c>
      <c r="Q3841">
        <v>-2.836735E-2</v>
      </c>
      <c r="R3841">
        <v>-0.99183169999999998</v>
      </c>
      <c r="S3841">
        <v>-0.11784360000000001</v>
      </c>
      <c r="T3841">
        <v>-0.14232330000000001</v>
      </c>
      <c r="U3841">
        <v>-3.0054630000000002</v>
      </c>
      <c r="V3841">
        <v>0.1138666</v>
      </c>
      <c r="W3841">
        <v>-2.1060280000000001E-2</v>
      </c>
      <c r="X3841">
        <v>0.99327279999999996</v>
      </c>
      <c r="Y3841">
        <v>2.8580700000000001E-2</v>
      </c>
      <c r="Z3841">
        <v>4.727013E-2</v>
      </c>
      <c r="AA3841">
        <v>0.99847319999999995</v>
      </c>
      <c r="AB3841">
        <v>11</v>
      </c>
      <c r="AC3841">
        <v>-0.91660000000001596</v>
      </c>
      <c r="AD3841">
        <v>-1.1093320248709999</v>
      </c>
      <c r="AE3841">
        <v>-23.3169</v>
      </c>
      <c r="AF3841">
        <v>0.66878435673269199</v>
      </c>
      <c r="AG3841">
        <v>-1.1093320248709999</v>
      </c>
      <c r="AH3841">
        <v>23.272683389193901</v>
      </c>
      <c r="AI3841">
        <v>92.727910678307197</v>
      </c>
      <c r="AJ3841">
        <v>88.353950951461798</v>
      </c>
      <c r="AK3841">
        <v>23.308704000670598</v>
      </c>
      <c r="AL3841">
        <v>91.206754381054395</v>
      </c>
      <c r="AM3841">
        <v>83.460286591127598</v>
      </c>
      <c r="AN3841">
        <v>0.99999999660453898</v>
      </c>
    </row>
    <row r="3842" spans="1:40" x14ac:dyDescent="0.25">
      <c r="A3842" t="str">
        <f>"20190312161043919"</f>
        <v>20190312161043919</v>
      </c>
      <c r="B3842" t="str">
        <f>"1552378243910049"</f>
        <v>1552378243910049</v>
      </c>
      <c r="C3842" t="s">
        <v>40</v>
      </c>
      <c r="D3842">
        <v>5.2827109999999999</v>
      </c>
      <c r="E3842">
        <v>0.46790579999999998</v>
      </c>
      <c r="F3842" t="s">
        <v>41</v>
      </c>
      <c r="G3842">
        <v>-190.07859999999999</v>
      </c>
      <c r="H3842" s="1">
        <v>-2.97014E-6</v>
      </c>
      <c r="I3842">
        <v>165.8306</v>
      </c>
      <c r="J3842">
        <v>-189.1369</v>
      </c>
      <c r="K3842">
        <v>1.1093090000000001</v>
      </c>
      <c r="L3842">
        <v>189.05760000000001</v>
      </c>
      <c r="M3842">
        <v>-1.210937E-2</v>
      </c>
      <c r="N3842">
        <v>0</v>
      </c>
      <c r="O3842">
        <v>-0.9998996</v>
      </c>
      <c r="P3842">
        <v>-0.1278203</v>
      </c>
      <c r="Q3842">
        <v>-2.725702E-2</v>
      </c>
      <c r="R3842">
        <v>-0.9914229</v>
      </c>
      <c r="S3842">
        <v>-0.1212463</v>
      </c>
      <c r="T3842">
        <v>-0.14218159999999999</v>
      </c>
      <c r="U3842">
        <v>-3.0054470000000002</v>
      </c>
      <c r="V3842">
        <v>0.1157926</v>
      </c>
      <c r="W3842">
        <v>-2.003073E-2</v>
      </c>
      <c r="X3842">
        <v>0.99307140000000005</v>
      </c>
      <c r="Y3842">
        <v>2.8161619999999998E-2</v>
      </c>
      <c r="Z3842">
        <v>4.7221399999999997E-2</v>
      </c>
      <c r="AA3842">
        <v>0.99848740000000002</v>
      </c>
      <c r="AB3842">
        <v>11</v>
      </c>
      <c r="AC3842">
        <v>-0.94169999999999698</v>
      </c>
      <c r="AD3842">
        <v>-1.10931197014</v>
      </c>
      <c r="AE3842">
        <v>-23.227</v>
      </c>
      <c r="AF3842">
        <v>0.65885862083447999</v>
      </c>
      <c r="AG3842">
        <v>-1.10931197014</v>
      </c>
      <c r="AH3842">
        <v>23.183905377920901</v>
      </c>
      <c r="AI3842">
        <v>92.738316188224204</v>
      </c>
      <c r="AJ3842">
        <v>88.372161205158704</v>
      </c>
      <c r="AK3842">
        <v>23.219778989080201</v>
      </c>
      <c r="AL3842">
        <v>91.147753072372495</v>
      </c>
      <c r="AM3842">
        <v>83.349316384951806</v>
      </c>
      <c r="AN3842">
        <v>0.99999998092852604</v>
      </c>
    </row>
    <row r="3843" spans="1:40" x14ac:dyDescent="0.25">
      <c r="A3843" t="str">
        <f>"20190312161043941"</f>
        <v>20190312161043941</v>
      </c>
      <c r="B3843" t="str">
        <f>"1552378243930545"</f>
        <v>1552378243930545</v>
      </c>
      <c r="C3843" t="s">
        <v>40</v>
      </c>
      <c r="D3843">
        <v>5.3822960000000002</v>
      </c>
      <c r="E3843">
        <v>0.46764</v>
      </c>
      <c r="F3843" t="s">
        <v>41</v>
      </c>
      <c r="G3843">
        <v>-190.17779999999999</v>
      </c>
      <c r="H3843" s="1">
        <v>-2.6195449999999998E-6</v>
      </c>
      <c r="I3843">
        <v>165.03309999999999</v>
      </c>
      <c r="J3843">
        <v>-189.13910000000001</v>
      </c>
      <c r="K3843">
        <v>1.109302</v>
      </c>
      <c r="L3843">
        <v>188.94829999999999</v>
      </c>
      <c r="M3843">
        <v>-1.2873610000000001E-2</v>
      </c>
      <c r="N3843">
        <v>0</v>
      </c>
      <c r="O3843">
        <v>-0.99989050000000002</v>
      </c>
      <c r="P3843">
        <v>-0.13010350000000001</v>
      </c>
      <c r="Q3843">
        <v>-2.6941110000000001E-2</v>
      </c>
      <c r="R3843">
        <v>-0.99113470000000004</v>
      </c>
      <c r="S3843">
        <v>-0.13021849999999999</v>
      </c>
      <c r="T3843">
        <v>-0.138769</v>
      </c>
      <c r="U3843">
        <v>-3.005341</v>
      </c>
      <c r="V3843">
        <v>0.1173203</v>
      </c>
      <c r="W3843">
        <v>-1.975068E-2</v>
      </c>
      <c r="X3843">
        <v>0.99289769999999999</v>
      </c>
      <c r="Y3843">
        <v>3.037695E-2</v>
      </c>
      <c r="Z3843">
        <v>4.6087059999999999E-2</v>
      </c>
      <c r="AA3843">
        <v>0.99847540000000001</v>
      </c>
      <c r="AB3843">
        <v>11</v>
      </c>
      <c r="AC3843">
        <v>-1.03869999999997</v>
      </c>
      <c r="AD3843">
        <v>-1.109304619545</v>
      </c>
      <c r="AE3843">
        <v>-23.915199999999999</v>
      </c>
      <c r="AF3843">
        <v>0.72916487480289804</v>
      </c>
      <c r="AG3843">
        <v>-1.109304619545</v>
      </c>
      <c r="AH3843">
        <v>23.875317779989</v>
      </c>
      <c r="AI3843">
        <v>92.658948464925899</v>
      </c>
      <c r="AJ3843">
        <v>88.250700224883104</v>
      </c>
      <c r="AK3843">
        <v>23.912194321079099</v>
      </c>
      <c r="AL3843">
        <v>91.131704200866594</v>
      </c>
      <c r="AM3843">
        <v>83.261204788932403</v>
      </c>
      <c r="AN3843">
        <v>0.99999999240892101</v>
      </c>
    </row>
    <row r="3844" spans="1:40" x14ac:dyDescent="0.25">
      <c r="A3844" t="str">
        <f>"20190312161043964"</f>
        <v>20190312161043964</v>
      </c>
      <c r="B3844" t="str">
        <f>"1552378243960801"</f>
        <v>1552378243960801</v>
      </c>
      <c r="C3844" t="s">
        <v>40</v>
      </c>
      <c r="D3844">
        <v>5.6130740000000001</v>
      </c>
      <c r="E3844">
        <v>0.51217559999999995</v>
      </c>
      <c r="F3844" t="s">
        <v>41</v>
      </c>
      <c r="G3844">
        <v>-190.23740000000001</v>
      </c>
      <c r="H3844" s="1">
        <v>-2.393905E-6</v>
      </c>
      <c r="I3844">
        <v>164.5222</v>
      </c>
      <c r="J3844">
        <v>-189.14160000000001</v>
      </c>
      <c r="K3844">
        <v>1.1093</v>
      </c>
      <c r="L3844">
        <v>188.83199999999999</v>
      </c>
      <c r="M3844">
        <v>-1.36863E-2</v>
      </c>
      <c r="N3844">
        <v>0</v>
      </c>
      <c r="O3844">
        <v>-0.99987979999999999</v>
      </c>
      <c r="P3844">
        <v>-0.13260569999999999</v>
      </c>
      <c r="Q3844">
        <v>-2.6272449999999999E-2</v>
      </c>
      <c r="R3844">
        <v>-0.99082049999999999</v>
      </c>
      <c r="S3844">
        <v>-0.1351318</v>
      </c>
      <c r="T3844">
        <v>-0.136489</v>
      </c>
      <c r="U3844">
        <v>-3.0053860000000001</v>
      </c>
      <c r="V3844">
        <v>0.119019899999999</v>
      </c>
      <c r="W3844">
        <v>-1.9117329999999998E-2</v>
      </c>
      <c r="X3844">
        <v>0.99270780000000003</v>
      </c>
      <c r="Y3844">
        <v>3.1194610000000001E-2</v>
      </c>
      <c r="Z3844">
        <v>4.532779E-2</v>
      </c>
      <c r="AA3844">
        <v>0.99848499999999996</v>
      </c>
      <c r="AB3844">
        <v>11</v>
      </c>
      <c r="AC3844">
        <v>-1.0957999999999899</v>
      </c>
      <c r="AD3844">
        <v>-1.109302393905</v>
      </c>
      <c r="AE3844">
        <v>-24.309799999999999</v>
      </c>
      <c r="AF3844">
        <v>0.76139509965074403</v>
      </c>
      <c r="AG3844">
        <v>-1.109302393905</v>
      </c>
      <c r="AH3844">
        <v>24.272082271961999</v>
      </c>
      <c r="AI3844">
        <v>92.615472552856005</v>
      </c>
      <c r="AJ3844">
        <v>88.203268082491903</v>
      </c>
      <c r="AK3844">
        <v>24.309344954477599</v>
      </c>
      <c r="AL3844">
        <v>91.095409063252703</v>
      </c>
      <c r="AM3844">
        <v>83.163202931078004</v>
      </c>
      <c r="AN3844">
        <v>0.999999992541589</v>
      </c>
    </row>
    <row r="3845" spans="1:40" x14ac:dyDescent="0.25">
      <c r="A3845" t="str">
        <f>"20190312161043987"</f>
        <v>20190312161043987</v>
      </c>
      <c r="B3845" t="str">
        <f>"1552378243980320"</f>
        <v>1552378243980320</v>
      </c>
      <c r="C3845" t="s">
        <v>40</v>
      </c>
      <c r="D3845">
        <v>5.3904529999999999</v>
      </c>
      <c r="E3845">
        <v>0.55990649999999997</v>
      </c>
      <c r="F3845" t="s">
        <v>41</v>
      </c>
      <c r="G3845">
        <v>-193.24639999999999</v>
      </c>
      <c r="H3845" s="1">
        <v>-3.0766599999999999E-6</v>
      </c>
      <c r="I3845">
        <v>164.27289999999999</v>
      </c>
      <c r="J3845">
        <v>-189.14410000000001</v>
      </c>
      <c r="K3845">
        <v>1.1093040000000001</v>
      </c>
      <c r="L3845">
        <v>188.71850000000001</v>
      </c>
      <c r="M3845">
        <v>-1.447881E-2</v>
      </c>
      <c r="N3845">
        <v>0</v>
      </c>
      <c r="O3845">
        <v>-0.9998688</v>
      </c>
      <c r="P3845">
        <v>-0.13580880000000001</v>
      </c>
      <c r="Q3845">
        <v>-2.556874E-2</v>
      </c>
      <c r="R3845">
        <v>-0.99040510000000004</v>
      </c>
      <c r="S3845">
        <v>-0.4944153</v>
      </c>
      <c r="T3845">
        <v>-0.13361289999999901</v>
      </c>
      <c r="U3845">
        <v>-2.9580839999999999</v>
      </c>
      <c r="V3845">
        <v>0.1214423</v>
      </c>
      <c r="W3845">
        <v>-1.8446750000000001E-2</v>
      </c>
      <c r="X3845">
        <v>0.99242710000000001</v>
      </c>
      <c r="Y3845">
        <v>0.15039159999999999</v>
      </c>
      <c r="Z3845">
        <v>4.4550689999999997E-2</v>
      </c>
      <c r="AA3845">
        <v>0.98762220000000001</v>
      </c>
      <c r="AB3845">
        <v>11</v>
      </c>
      <c r="AC3845">
        <v>-4.1022999999999801</v>
      </c>
      <c r="AD3845">
        <v>-1.1093070766599999</v>
      </c>
      <c r="AE3845">
        <v>-24.445599999999999</v>
      </c>
      <c r="AF3845">
        <v>3.7404260448628701</v>
      </c>
      <c r="AG3845">
        <v>-1.1093070766599999</v>
      </c>
      <c r="AH3845">
        <v>24.453459619107001</v>
      </c>
      <c r="AI3845">
        <v>92.5675633837714</v>
      </c>
      <c r="AJ3845">
        <v>81.303386347403901</v>
      </c>
      <c r="AK3845">
        <v>24.7627348354481</v>
      </c>
      <c r="AL3845">
        <v>91.056980838246204</v>
      </c>
      <c r="AM3845">
        <v>83.023458107192297</v>
      </c>
      <c r="AN3845">
        <v>1.00000003181463</v>
      </c>
    </row>
    <row r="3846" spans="1:40" x14ac:dyDescent="0.25">
      <c r="A3846" t="str">
        <f>"20190312161044008"</f>
        <v>20190312161044008</v>
      </c>
      <c r="B3846" t="str">
        <f>"1552378244000818"</f>
        <v>1552378244000818</v>
      </c>
      <c r="C3846" t="s">
        <v>40</v>
      </c>
      <c r="D3846">
        <v>5.3533999999999997</v>
      </c>
      <c r="E3846">
        <v>0.56579969999999902</v>
      </c>
      <c r="F3846" t="s">
        <v>88</v>
      </c>
      <c r="G3846">
        <v>-216.8409</v>
      </c>
      <c r="H3846">
        <v>2.1054909999999998</v>
      </c>
      <c r="I3846">
        <v>97.150019999999998</v>
      </c>
      <c r="J3846">
        <v>-189.14660000000001</v>
      </c>
      <c r="K3846">
        <v>1.109299</v>
      </c>
      <c r="L3846">
        <v>188.6045</v>
      </c>
      <c r="M3846">
        <v>-1.5273800000000001E-2</v>
      </c>
      <c r="N3846">
        <v>0</v>
      </c>
      <c r="O3846">
        <v>-0.99985710000000005</v>
      </c>
      <c r="P3846">
        <v>-0.13848160000000001</v>
      </c>
      <c r="Q3846">
        <v>-2.4764769999999998E-2</v>
      </c>
      <c r="R3846">
        <v>-0.99005540000000003</v>
      </c>
      <c r="S3846">
        <v>-0.87995909999999999</v>
      </c>
      <c r="T3846">
        <v>3.1650780000000003E-2</v>
      </c>
      <c r="U3846">
        <v>-2.9092250000000002</v>
      </c>
      <c r="V3846">
        <v>0.1233315</v>
      </c>
      <c r="W3846">
        <v>-1.7673020000000001E-2</v>
      </c>
      <c r="X3846">
        <v>0.99220810000000004</v>
      </c>
      <c r="Y3846">
        <v>0.27484829999999999</v>
      </c>
      <c r="Z3846">
        <v>-1.043402E-2</v>
      </c>
      <c r="AA3846">
        <v>0.96143100000000004</v>
      </c>
      <c r="AB3846">
        <v>11</v>
      </c>
      <c r="AC3846">
        <v>-27.694299999999998</v>
      </c>
      <c r="AD3846">
        <v>0.99619199999999897</v>
      </c>
      <c r="AE3846">
        <v>-91.454480000000004</v>
      </c>
      <c r="AF3846">
        <v>26.291317663486801</v>
      </c>
      <c r="AG3846">
        <v>0.99619199999999897</v>
      </c>
      <c r="AH3846">
        <v>91.8568359274812</v>
      </c>
      <c r="AI3846">
        <v>89.402634079469905</v>
      </c>
      <c r="AJ3846">
        <v>74.027788018782104</v>
      </c>
      <c r="AK3846">
        <v>95.550531602871999</v>
      </c>
      <c r="AL3846">
        <v>91.012642222423594</v>
      </c>
      <c r="AM3846">
        <v>82.914475175258801</v>
      </c>
      <c r="AN3846">
        <v>0.99999995411688902</v>
      </c>
    </row>
    <row r="3847" spans="1:40" x14ac:dyDescent="0.25">
      <c r="A3847" t="str">
        <f>"20190312161044031"</f>
        <v>20190312161044031</v>
      </c>
      <c r="B3847" t="str">
        <f>"1552378244020337"</f>
        <v>1552378244020337</v>
      </c>
      <c r="C3847" t="s">
        <v>40</v>
      </c>
      <c r="D3847">
        <v>5.2957999999999998</v>
      </c>
      <c r="E3847">
        <v>0.5673475</v>
      </c>
      <c r="F3847" t="s">
        <v>92</v>
      </c>
      <c r="G3847">
        <v>-213.34870000000001</v>
      </c>
      <c r="H3847">
        <v>1.9938149999999999</v>
      </c>
      <c r="I3847">
        <v>113.4871</v>
      </c>
      <c r="J3847">
        <v>-189.14940000000001</v>
      </c>
      <c r="K3847">
        <v>1.1092930000000001</v>
      </c>
      <c r="L3847">
        <v>188.48769999999999</v>
      </c>
      <c r="M3847">
        <v>-1.6086469999999999E-2</v>
      </c>
      <c r="N3847">
        <v>0</v>
      </c>
      <c r="O3847">
        <v>-0.99984470000000003</v>
      </c>
      <c r="P3847">
        <v>-0.14224600000000001</v>
      </c>
      <c r="Q3847">
        <v>-2.432813E-2</v>
      </c>
      <c r="R3847">
        <v>-0.98953239999999998</v>
      </c>
      <c r="S3847">
        <v>-0.93444819999999995</v>
      </c>
      <c r="T3847">
        <v>3.4152389999999998E-2</v>
      </c>
      <c r="U3847">
        <v>-2.900299</v>
      </c>
      <c r="V3847">
        <v>0.12629749999999901</v>
      </c>
      <c r="W3847">
        <v>-1.7267089999999999E-2</v>
      </c>
      <c r="X3847">
        <v>0.99184209999999995</v>
      </c>
      <c r="Y3847">
        <v>0.29129549999999998</v>
      </c>
      <c r="Z3847">
        <v>-1.123278E-2</v>
      </c>
      <c r="AA3847">
        <v>0.95656719999999895</v>
      </c>
      <c r="AB3847">
        <v>12</v>
      </c>
      <c r="AC3847">
        <v>-24.199299999999901</v>
      </c>
      <c r="AD3847">
        <v>0.88452199999999903</v>
      </c>
      <c r="AE3847">
        <v>-75.000599999999906</v>
      </c>
      <c r="AF3847">
        <v>22.986746695685401</v>
      </c>
      <c r="AG3847">
        <v>0.88452199999999903</v>
      </c>
      <c r="AH3847">
        <v>75.370691482083302</v>
      </c>
      <c r="AI3847">
        <v>89.356871734498895</v>
      </c>
      <c r="AJ3847">
        <v>73.039208133494199</v>
      </c>
      <c r="AK3847">
        <v>78.803007793532103</v>
      </c>
      <c r="AL3847">
        <v>90.989380568673596</v>
      </c>
      <c r="AM3847">
        <v>82.743221209815701</v>
      </c>
      <c r="AN3847">
        <v>0.99999998111786303</v>
      </c>
    </row>
    <row r="3848" spans="1:40" x14ac:dyDescent="0.25">
      <c r="A3848" t="str">
        <f>"20190312161044054"</f>
        <v>20190312161044054</v>
      </c>
      <c r="B3848" t="str">
        <f>"1552378244050593"</f>
        <v>1552378244050593</v>
      </c>
      <c r="C3848" t="s">
        <v>40</v>
      </c>
      <c r="D3848">
        <v>5.4402160000000004</v>
      </c>
      <c r="E3848">
        <v>0.56601029999999997</v>
      </c>
      <c r="F3848" t="s">
        <v>91</v>
      </c>
      <c r="G3848">
        <v>-215.09129999999999</v>
      </c>
      <c r="H3848">
        <v>2.0074480000000001</v>
      </c>
      <c r="I3848">
        <v>110.0916</v>
      </c>
      <c r="J3848">
        <v>-189.1524</v>
      </c>
      <c r="K3848">
        <v>1.1092839999999999</v>
      </c>
      <c r="L3848">
        <v>188.3656</v>
      </c>
      <c r="M3848">
        <v>-1.6935289999999999E-2</v>
      </c>
      <c r="N3848">
        <v>0</v>
      </c>
      <c r="O3848">
        <v>-0.99983089999999997</v>
      </c>
      <c r="P3848">
        <v>-0.14588870000000001</v>
      </c>
      <c r="Q3848">
        <v>-2.445249E-2</v>
      </c>
      <c r="R3848">
        <v>-0.98899910000000002</v>
      </c>
      <c r="S3848">
        <v>-0.95793150000000005</v>
      </c>
      <c r="T3848">
        <v>3.3166170000000002E-2</v>
      </c>
      <c r="U3848">
        <v>-2.8948520000000002</v>
      </c>
      <c r="V3848">
        <v>0.12910650000000001</v>
      </c>
      <c r="W3848">
        <v>-1.742281E-2</v>
      </c>
      <c r="X3848">
        <v>0.99147770000000002</v>
      </c>
      <c r="Y3848">
        <v>0.29801329999999998</v>
      </c>
      <c r="Z3848">
        <v>-1.0902790000000001E-2</v>
      </c>
      <c r="AA3848">
        <v>0.95449949999999995</v>
      </c>
      <c r="AB3848">
        <v>12</v>
      </c>
      <c r="AC3848">
        <v>-25.938899999999901</v>
      </c>
      <c r="AD3848">
        <v>0.89816399999999996</v>
      </c>
      <c r="AE3848">
        <v>-78.274000000000001</v>
      </c>
      <c r="AF3848">
        <v>24.606633624705999</v>
      </c>
      <c r="AG3848">
        <v>0.89816399999999996</v>
      </c>
      <c r="AH3848">
        <v>78.692732071001203</v>
      </c>
      <c r="AI3848">
        <v>89.375878016399099</v>
      </c>
      <c r="AJ3848">
        <v>72.635923431473898</v>
      </c>
      <c r="AK3848">
        <v>82.455073814228001</v>
      </c>
      <c r="AL3848">
        <v>90.998303955116199</v>
      </c>
      <c r="AM3848">
        <v>82.580904368417094</v>
      </c>
      <c r="AN3848">
        <v>1.0000000361239101</v>
      </c>
    </row>
    <row r="3849" spans="1:40" x14ac:dyDescent="0.25">
      <c r="A3849" t="str">
        <f>"20190312161044075"</f>
        <v>20190312161044075</v>
      </c>
      <c r="B3849" t="str">
        <f>"1552378244070112"</f>
        <v>1552378244070112</v>
      </c>
      <c r="C3849" t="s">
        <v>40</v>
      </c>
      <c r="D3849">
        <v>5.4502620000000004</v>
      </c>
      <c r="E3849">
        <v>0.56445489999999998</v>
      </c>
      <c r="F3849" t="s">
        <v>91</v>
      </c>
      <c r="G3849">
        <v>-215.09129999999999</v>
      </c>
      <c r="H3849">
        <v>2.0102549999999999</v>
      </c>
      <c r="I3849">
        <v>110.048</v>
      </c>
      <c r="J3849">
        <v>-189.15530000000001</v>
      </c>
      <c r="K3849">
        <v>1.109275</v>
      </c>
      <c r="L3849">
        <v>188.25049999999999</v>
      </c>
      <c r="M3849">
        <v>-1.7735529999999999E-2</v>
      </c>
      <c r="N3849">
        <v>0</v>
      </c>
      <c r="O3849">
        <v>-0.99981710000000001</v>
      </c>
      <c r="P3849">
        <v>-0.1492627</v>
      </c>
      <c r="Q3849">
        <v>-2.4523039999999999E-2</v>
      </c>
      <c r="R3849">
        <v>-0.98849359999999997</v>
      </c>
      <c r="S3849">
        <v>-0.95811460000000004</v>
      </c>
      <c r="T3849">
        <v>3.3280369999999997E-2</v>
      </c>
      <c r="U3849">
        <v>-2.8928379999999998</v>
      </c>
      <c r="V3849">
        <v>0.13169520000000001</v>
      </c>
      <c r="W3849">
        <v>-1.752565E-2</v>
      </c>
      <c r="X3849">
        <v>0.99113530000000005</v>
      </c>
      <c r="Y3849">
        <v>0.29750179999999998</v>
      </c>
      <c r="Z3849">
        <v>-1.094811E-2</v>
      </c>
      <c r="AA3849">
        <v>0.95465849999999997</v>
      </c>
      <c r="AB3849">
        <v>12</v>
      </c>
      <c r="AC3849">
        <v>-25.9359999999999</v>
      </c>
      <c r="AD3849">
        <v>0.90098</v>
      </c>
      <c r="AE3849">
        <v>-78.202500000000001</v>
      </c>
      <c r="AF3849">
        <v>24.541987293637501</v>
      </c>
      <c r="AG3849">
        <v>0.90098</v>
      </c>
      <c r="AH3849">
        <v>78.640795540108499</v>
      </c>
      <c r="AI3849">
        <v>89.373398170349006</v>
      </c>
      <c r="AJ3849">
        <v>72.668055413136202</v>
      </c>
      <c r="AK3849">
        <v>82.386258735681295</v>
      </c>
      <c r="AL3849">
        <v>91.004197210542998</v>
      </c>
      <c r="AM3849">
        <v>82.431268144556199</v>
      </c>
      <c r="AN3849">
        <v>0.99999997850852596</v>
      </c>
    </row>
    <row r="3850" spans="1:40" x14ac:dyDescent="0.25">
      <c r="A3850" t="str">
        <f>"20190312161044097"</f>
        <v>20190312161044097</v>
      </c>
      <c r="B3850" t="str">
        <f>"1552378244090609"</f>
        <v>1552378244090609</v>
      </c>
      <c r="C3850" t="s">
        <v>40</v>
      </c>
      <c r="D3850">
        <v>5.4431159999999998</v>
      </c>
      <c r="E3850">
        <v>0.56266799999999995</v>
      </c>
      <c r="F3850" t="s">
        <v>88</v>
      </c>
      <c r="G3850">
        <v>-219.26830000000001</v>
      </c>
      <c r="H3850">
        <v>3.0595729999999999</v>
      </c>
      <c r="I3850">
        <v>97.150019999999998</v>
      </c>
      <c r="J3850">
        <v>-189.15819999999999</v>
      </c>
      <c r="K3850">
        <v>1.1092599999999999</v>
      </c>
      <c r="L3850">
        <v>188.13669999999999</v>
      </c>
      <c r="M3850">
        <v>-1.8526129999999998E-2</v>
      </c>
      <c r="N3850">
        <v>0</v>
      </c>
      <c r="O3850">
        <v>-0.999803</v>
      </c>
      <c r="P3850">
        <v>-0.15162200000000001</v>
      </c>
      <c r="Q3850">
        <v>-2.4476580000000001E-2</v>
      </c>
      <c r="R3850">
        <v>-0.9881356</v>
      </c>
      <c r="S3850">
        <v>-0.95597840000000001</v>
      </c>
      <c r="T3850">
        <v>6.1915640000000001E-2</v>
      </c>
      <c r="U3850">
        <v>-2.8921049999999999</v>
      </c>
      <c r="V3850">
        <v>0.13327700000000001</v>
      </c>
      <c r="W3850">
        <v>-1.7512010000000001E-2</v>
      </c>
      <c r="X3850">
        <v>0.99092409999999997</v>
      </c>
      <c r="Y3850">
        <v>0.29613689999999998</v>
      </c>
      <c r="Z3850">
        <v>-2.0376160000000001E-2</v>
      </c>
      <c r="AA3850">
        <v>0.9549282</v>
      </c>
      <c r="AB3850">
        <v>12</v>
      </c>
      <c r="AC3850">
        <v>-30.110099999999999</v>
      </c>
      <c r="AD3850">
        <v>1.950313</v>
      </c>
      <c r="AE3850">
        <v>-90.986680000000007</v>
      </c>
      <c r="AF3850">
        <v>28.407494355169199</v>
      </c>
      <c r="AG3850">
        <v>1.950313</v>
      </c>
      <c r="AH3850">
        <v>91.491013794885205</v>
      </c>
      <c r="AI3850">
        <v>88.833720606971795</v>
      </c>
      <c r="AJ3850">
        <v>72.750697147710298</v>
      </c>
      <c r="AK3850">
        <v>95.819596438060799</v>
      </c>
      <c r="AL3850">
        <v>91.003415553977703</v>
      </c>
      <c r="AM3850">
        <v>82.339819358858804</v>
      </c>
      <c r="AN3850">
        <v>1.00000000059202</v>
      </c>
    </row>
    <row r="3851" spans="1:40" x14ac:dyDescent="0.25">
      <c r="A3851" t="str">
        <f>"20190312161044119"</f>
        <v>20190312161044119</v>
      </c>
      <c r="B3851" t="str">
        <f>"1552378244110129"</f>
        <v>1552378244110129</v>
      </c>
      <c r="C3851" t="s">
        <v>40</v>
      </c>
      <c r="D3851">
        <v>5.4151199999999999</v>
      </c>
      <c r="E3851">
        <v>0.56237689999999996</v>
      </c>
      <c r="F3851" t="s">
        <v>92</v>
      </c>
      <c r="G3851">
        <v>-213.9092</v>
      </c>
      <c r="H3851">
        <v>3.1977690000000001</v>
      </c>
      <c r="I3851">
        <v>112.6985</v>
      </c>
      <c r="J3851">
        <v>-189.16149999999999</v>
      </c>
      <c r="K3851">
        <v>1.109256</v>
      </c>
      <c r="L3851">
        <v>188.01439999999999</v>
      </c>
      <c r="M3851">
        <v>-1.9375099999999999E-2</v>
      </c>
      <c r="N3851">
        <v>0</v>
      </c>
      <c r="O3851">
        <v>-0.99978730000000005</v>
      </c>
      <c r="P3851">
        <v>-0.1539346</v>
      </c>
      <c r="Q3851">
        <v>-2.439158E-2</v>
      </c>
      <c r="R3851">
        <v>-0.98777999999999999</v>
      </c>
      <c r="S3851">
        <v>-0.94898990000000005</v>
      </c>
      <c r="T3851">
        <v>8.0077410000000002E-2</v>
      </c>
      <c r="U3851">
        <v>-2.8924099999999999</v>
      </c>
      <c r="V3851">
        <v>0.1347545</v>
      </c>
      <c r="W3851">
        <v>-1.7462350000000001E-2</v>
      </c>
      <c r="X3851">
        <v>0.99072519999999997</v>
      </c>
      <c r="Y3851">
        <v>0.29316920000000002</v>
      </c>
      <c r="Z3851">
        <v>-2.6368019999999999E-2</v>
      </c>
      <c r="AA3851">
        <v>0.95569689999999996</v>
      </c>
      <c r="AB3851">
        <v>12</v>
      </c>
      <c r="AC3851">
        <v>-24.747699999999998</v>
      </c>
      <c r="AD3851">
        <v>2.0885129999999998</v>
      </c>
      <c r="AE3851">
        <v>-75.315899999999999</v>
      </c>
      <c r="AF3851">
        <v>23.267616454584701</v>
      </c>
      <c r="AG3851">
        <v>2.0885129999999998</v>
      </c>
      <c r="AH3851">
        <v>75.728705078512704</v>
      </c>
      <c r="AI3851">
        <v>88.489884378903497</v>
      </c>
      <c r="AJ3851">
        <v>72.920443982427599</v>
      </c>
      <c r="AK3851">
        <v>79.250114415672499</v>
      </c>
      <c r="AL3851">
        <v>91.000569745541</v>
      </c>
      <c r="AM3851">
        <v>82.254388167401103</v>
      </c>
      <c r="AN3851">
        <v>1.0000000654264001</v>
      </c>
    </row>
    <row r="3852" spans="1:40" x14ac:dyDescent="0.25">
      <c r="A3852" t="str">
        <f>"20190312161044142"</f>
        <v>20190312161044142</v>
      </c>
      <c r="B3852" t="str">
        <f>"1552378244130625"</f>
        <v>1552378244130625</v>
      </c>
      <c r="C3852" t="s">
        <v>40</v>
      </c>
      <c r="D3852">
        <v>5.465414</v>
      </c>
      <c r="E3852">
        <v>0.5620252</v>
      </c>
      <c r="F3852" t="s">
        <v>92</v>
      </c>
      <c r="G3852">
        <v>-213.98089999999999</v>
      </c>
      <c r="H3852">
        <v>3.1389580000000001</v>
      </c>
      <c r="I3852">
        <v>112.7968</v>
      </c>
      <c r="J3852">
        <v>-189.16480000000001</v>
      </c>
      <c r="K3852">
        <v>1.109245</v>
      </c>
      <c r="L3852">
        <v>187.8938</v>
      </c>
      <c r="M3852">
        <v>-2.021179E-2</v>
      </c>
      <c r="N3852">
        <v>0</v>
      </c>
      <c r="O3852">
        <v>-0.99977090000000002</v>
      </c>
      <c r="P3852">
        <v>-0.15592049999999999</v>
      </c>
      <c r="Q3852">
        <v>-2.4417029999999999E-2</v>
      </c>
      <c r="R3852">
        <v>-0.98746789999999995</v>
      </c>
      <c r="S3852">
        <v>-0.9537506</v>
      </c>
      <c r="T3852">
        <v>7.7997449999999996E-2</v>
      </c>
      <c r="U3852">
        <v>-2.8904269999999999</v>
      </c>
      <c r="V3852">
        <v>0.13591710000000001</v>
      </c>
      <c r="W3852">
        <v>-1.75208E-2</v>
      </c>
      <c r="X3852">
        <v>0.99056529999999998</v>
      </c>
      <c r="Y3852">
        <v>0.293989099999999</v>
      </c>
      <c r="Z3852">
        <v>-2.5689940000000001E-2</v>
      </c>
      <c r="AA3852">
        <v>0.95546350000000002</v>
      </c>
      <c r="AB3852">
        <v>12</v>
      </c>
      <c r="AC3852">
        <v>-24.816099999999899</v>
      </c>
      <c r="AD3852">
        <v>2.0297130000000001</v>
      </c>
      <c r="AE3852">
        <v>-75.096999999999994</v>
      </c>
      <c r="AF3852">
        <v>23.277817368317201</v>
      </c>
      <c r="AG3852">
        <v>2.0297130000000001</v>
      </c>
      <c r="AH3852">
        <v>75.533503225680306</v>
      </c>
      <c r="AI3852">
        <v>88.528974257470693</v>
      </c>
      <c r="AJ3852">
        <v>72.871816138673296</v>
      </c>
      <c r="AK3852">
        <v>79.065078421759395</v>
      </c>
      <c r="AL3852">
        <v>91.003919236619296</v>
      </c>
      <c r="AM3852">
        <v>82.187138756906805</v>
      </c>
      <c r="AN3852">
        <v>1.00000002503456</v>
      </c>
    </row>
    <row r="3853" spans="1:40" x14ac:dyDescent="0.25">
      <c r="A3853" t="str">
        <f>"20190312161044163"</f>
        <v>20190312161044163</v>
      </c>
      <c r="B3853" t="str">
        <f>"1552378244159905"</f>
        <v>1552378244159905</v>
      </c>
      <c r="C3853" t="s">
        <v>40</v>
      </c>
      <c r="D3853">
        <v>5.4806509999999999</v>
      </c>
      <c r="E3853">
        <v>0.56183879999999997</v>
      </c>
      <c r="F3853" t="s">
        <v>88</v>
      </c>
      <c r="G3853">
        <v>-219.22800000000001</v>
      </c>
      <c r="H3853">
        <v>3.4532430000000001</v>
      </c>
      <c r="I3853">
        <v>97.150019999999998</v>
      </c>
      <c r="J3853">
        <v>-189.16810000000001</v>
      </c>
      <c r="K3853">
        <v>1.1092360000000001</v>
      </c>
      <c r="L3853">
        <v>187.77879999999999</v>
      </c>
      <c r="M3853">
        <v>-2.100987E-2</v>
      </c>
      <c r="N3853">
        <v>0</v>
      </c>
      <c r="O3853">
        <v>-0.9997547</v>
      </c>
      <c r="P3853">
        <v>-0.1572481</v>
      </c>
      <c r="Q3853">
        <v>-2.4158180000000001E-2</v>
      </c>
      <c r="R3853">
        <v>-0.98726380000000002</v>
      </c>
      <c r="S3853">
        <v>-0.95706179999999996</v>
      </c>
      <c r="T3853">
        <v>7.4621919999999994E-2</v>
      </c>
      <c r="U3853">
        <v>-2.8888240000000001</v>
      </c>
      <c r="V3853">
        <v>0.1364581</v>
      </c>
      <c r="W3853">
        <v>-1.7293309999999999E-2</v>
      </c>
      <c r="X3853">
        <v>0.99049489999999996</v>
      </c>
      <c r="Y3853">
        <v>0.29437970000000002</v>
      </c>
      <c r="Z3853">
        <v>-2.4585360000000001E-2</v>
      </c>
      <c r="AA3853">
        <v>0.95537229999999995</v>
      </c>
      <c r="AB3853">
        <v>12</v>
      </c>
      <c r="AC3853">
        <v>-30.059899999999899</v>
      </c>
      <c r="AD3853">
        <v>2.344007</v>
      </c>
      <c r="AE3853">
        <v>-90.628780000000006</v>
      </c>
      <c r="AF3853">
        <v>28.132165290272301</v>
      </c>
      <c r="AG3853">
        <v>2.344007</v>
      </c>
      <c r="AH3853">
        <v>91.185392559019704</v>
      </c>
      <c r="AI3853">
        <v>88.592897446076293</v>
      </c>
      <c r="AJ3853">
        <v>72.854161279136207</v>
      </c>
      <c r="AK3853">
        <v>95.455167009846903</v>
      </c>
      <c r="AL3853">
        <v>90.990883060483398</v>
      </c>
      <c r="AM3853">
        <v>82.155876475891901</v>
      </c>
      <c r="AN3853">
        <v>1.00000000927618</v>
      </c>
    </row>
    <row r="3854" spans="1:40" x14ac:dyDescent="0.25">
      <c r="A3854" t="str">
        <f>"20190312161044186"</f>
        <v>20190312161044186</v>
      </c>
      <c r="B3854" t="str">
        <f>"1552378244180404"</f>
        <v>1552378244180404</v>
      </c>
      <c r="C3854" t="s">
        <v>40</v>
      </c>
      <c r="D3854">
        <v>5.5198869999999998</v>
      </c>
      <c r="E3854">
        <v>0.56138429999999995</v>
      </c>
      <c r="F3854" t="s">
        <v>88</v>
      </c>
      <c r="G3854">
        <v>-219.28229999999999</v>
      </c>
      <c r="H3854">
        <v>3.0377640000000001</v>
      </c>
      <c r="I3854">
        <v>97.150019999999998</v>
      </c>
      <c r="J3854">
        <v>-189.17169999999999</v>
      </c>
      <c r="K3854">
        <v>1.109224</v>
      </c>
      <c r="L3854">
        <v>187.65389999999999</v>
      </c>
      <c r="M3854">
        <v>-2.18771E-2</v>
      </c>
      <c r="N3854">
        <v>0</v>
      </c>
      <c r="O3854">
        <v>-0.99973630000000002</v>
      </c>
      <c r="P3854">
        <v>-0.15639829999999999</v>
      </c>
      <c r="Q3854">
        <v>-2.3539549999999999E-2</v>
      </c>
      <c r="R3854">
        <v>-0.98741400000000001</v>
      </c>
      <c r="S3854">
        <v>-0.95942689999999997</v>
      </c>
      <c r="T3854">
        <v>6.144285E-2</v>
      </c>
      <c r="U3854">
        <v>-2.8873899999999999</v>
      </c>
      <c r="V3854">
        <v>0.13474630000000001</v>
      </c>
      <c r="W3854">
        <v>-1.6707909999999999E-2</v>
      </c>
      <c r="X3854">
        <v>0.99073929999999999</v>
      </c>
      <c r="Y3854">
        <v>0.29442790000000002</v>
      </c>
      <c r="Z3854">
        <v>-2.0251640000000001E-2</v>
      </c>
      <c r="AA3854">
        <v>0.95545910000000001</v>
      </c>
      <c r="AB3854">
        <v>12</v>
      </c>
      <c r="AC3854">
        <v>-30.110600000000002</v>
      </c>
      <c r="AD3854">
        <v>1.9285399999999999</v>
      </c>
      <c r="AE3854">
        <v>-90.503879999999995</v>
      </c>
      <c r="AF3854">
        <v>28.111889879203801</v>
      </c>
      <c r="AG3854">
        <v>1.9285399999999999</v>
      </c>
      <c r="AH3854">
        <v>91.103722211550604</v>
      </c>
      <c r="AI3854">
        <v>88.841206253838095</v>
      </c>
      <c r="AJ3854">
        <v>72.851335323410893</v>
      </c>
      <c r="AK3854">
        <v>95.361867745506402</v>
      </c>
      <c r="AL3854">
        <v>90.957337233418002</v>
      </c>
      <c r="AM3854">
        <v>82.254962667159305</v>
      </c>
      <c r="AN3854">
        <v>1.0000000400923701</v>
      </c>
    </row>
    <row r="3855" spans="1:40" x14ac:dyDescent="0.25">
      <c r="A3855" t="str">
        <f>"20190312161044209"</f>
        <v>20190312161044209</v>
      </c>
      <c r="B3855" t="str">
        <f>"1552378244200897"</f>
        <v>1552378244200897</v>
      </c>
      <c r="C3855" t="s">
        <v>40</v>
      </c>
      <c r="D3855">
        <v>5.4878479999999996</v>
      </c>
      <c r="E3855">
        <v>0.56103760000000003</v>
      </c>
      <c r="F3855" t="s">
        <v>92</v>
      </c>
      <c r="G3855">
        <v>-213.6747</v>
      </c>
      <c r="H3855">
        <v>2.6564480000000001</v>
      </c>
      <c r="I3855">
        <v>113.3972</v>
      </c>
      <c r="J3855">
        <v>-189.1756</v>
      </c>
      <c r="K3855">
        <v>1.1092139999999999</v>
      </c>
      <c r="L3855">
        <v>187.52279999999999</v>
      </c>
      <c r="M3855">
        <v>-2.278695E-2</v>
      </c>
      <c r="N3855">
        <v>0</v>
      </c>
      <c r="O3855">
        <v>-0.99971600000000005</v>
      </c>
      <c r="P3855">
        <v>-0.15520309999999901</v>
      </c>
      <c r="Q3855">
        <v>-2.3791969999999999E-2</v>
      </c>
      <c r="R3855">
        <v>-0.98759600000000003</v>
      </c>
      <c r="S3855">
        <v>-0.95321659999999997</v>
      </c>
      <c r="T3855">
        <v>6.0190800000000003E-2</v>
      </c>
      <c r="U3855">
        <v>-2.8887179999999999</v>
      </c>
      <c r="V3855">
        <v>0.13264529999999999</v>
      </c>
      <c r="W3855">
        <v>-1.699606E-2</v>
      </c>
      <c r="X3855">
        <v>0.99101779999999995</v>
      </c>
      <c r="Y3855">
        <v>0.29157680000000002</v>
      </c>
      <c r="Z3855">
        <v>-1.9845249999999998E-2</v>
      </c>
      <c r="AA3855">
        <v>0.95634160000000001</v>
      </c>
      <c r="AB3855">
        <v>12</v>
      </c>
      <c r="AC3855">
        <v>-24.499099999999999</v>
      </c>
      <c r="AD3855">
        <v>1.547234</v>
      </c>
      <c r="AE3855">
        <v>-74.125599999999906</v>
      </c>
      <c r="AF3855">
        <v>22.794647563804901</v>
      </c>
      <c r="AG3855">
        <v>1.547234</v>
      </c>
      <c r="AH3855">
        <v>74.635309819928096</v>
      </c>
      <c r="AI3855">
        <v>88.864173011792801</v>
      </c>
      <c r="AJ3855">
        <v>73.016609675436001</v>
      </c>
      <c r="AK3855">
        <v>78.0539516137747</v>
      </c>
      <c r="AL3855">
        <v>90.973849433714093</v>
      </c>
      <c r="AM3855">
        <v>82.376411024555196</v>
      </c>
      <c r="AN3855">
        <v>0.99999996079222597</v>
      </c>
    </row>
    <row r="3856" spans="1:40" x14ac:dyDescent="0.25">
      <c r="A3856" t="str">
        <f>"20190312161044232"</f>
        <v>20190312161044232</v>
      </c>
      <c r="B3856" t="str">
        <f>"1552378244220417"</f>
        <v>1552378244220417</v>
      </c>
      <c r="C3856" t="s">
        <v>40</v>
      </c>
      <c r="D3856">
        <v>5.4663110000000001</v>
      </c>
      <c r="E3856">
        <v>0.56080540000000001</v>
      </c>
      <c r="F3856" t="s">
        <v>92</v>
      </c>
      <c r="G3856">
        <v>-213.3691</v>
      </c>
      <c r="H3856">
        <v>2.5811929999999998</v>
      </c>
      <c r="I3856">
        <v>113.6622</v>
      </c>
      <c r="J3856">
        <v>-189.17939999999999</v>
      </c>
      <c r="K3856">
        <v>1.109197</v>
      </c>
      <c r="L3856">
        <v>187.39789999999999</v>
      </c>
      <c r="M3856">
        <v>-2.3653850000000001E-2</v>
      </c>
      <c r="N3856">
        <v>0</v>
      </c>
      <c r="O3856">
        <v>-0.99969649999999999</v>
      </c>
      <c r="P3856">
        <v>-0.1548657</v>
      </c>
      <c r="Q3856">
        <v>-2.398053E-2</v>
      </c>
      <c r="R3856">
        <v>-0.98764470000000004</v>
      </c>
      <c r="S3856">
        <v>-0.94673160000000001</v>
      </c>
      <c r="T3856">
        <v>5.7601810000000003E-2</v>
      </c>
      <c r="U3856">
        <v>-2.8902739999999998</v>
      </c>
      <c r="V3856">
        <v>0.13144719999999999</v>
      </c>
      <c r="W3856">
        <v>-1.7218629999999999E-2</v>
      </c>
      <c r="X3856">
        <v>0.99117359999999999</v>
      </c>
      <c r="Y3856">
        <v>0.28866130000000001</v>
      </c>
      <c r="Z3856">
        <v>-1.8996740000000002E-2</v>
      </c>
      <c r="AA3856">
        <v>0.95724279999999995</v>
      </c>
      <c r="AB3856">
        <v>12</v>
      </c>
      <c r="AC3856">
        <v>-24.189699999999998</v>
      </c>
      <c r="AD3856">
        <v>1.4719960000000001</v>
      </c>
      <c r="AE3856">
        <v>-73.735699999999994</v>
      </c>
      <c r="AF3856">
        <v>22.430686435595401</v>
      </c>
      <c r="AG3856">
        <v>1.4719960000000001</v>
      </c>
      <c r="AH3856">
        <v>74.260542281056502</v>
      </c>
      <c r="AI3856">
        <v>88.912924830179804</v>
      </c>
      <c r="AJ3856">
        <v>73.192853752659403</v>
      </c>
      <c r="AK3856">
        <v>77.588211772617896</v>
      </c>
      <c r="AL3856">
        <v>90.986603606880607</v>
      </c>
      <c r="AM3856">
        <v>82.445644871809705</v>
      </c>
      <c r="AN3856">
        <v>0.99999997647193795</v>
      </c>
    </row>
    <row r="3857" spans="1:40" x14ac:dyDescent="0.25">
      <c r="A3857" t="str">
        <f>"20190312161044254"</f>
        <v>20190312161044254</v>
      </c>
      <c r="B3857" t="str">
        <f>"1552378244250673"</f>
        <v>1552378244250673</v>
      </c>
      <c r="C3857" t="s">
        <v>40</v>
      </c>
      <c r="D3857">
        <v>5.4304790000000001</v>
      </c>
      <c r="E3857">
        <v>0.560299199999999</v>
      </c>
      <c r="F3857" t="s">
        <v>92</v>
      </c>
      <c r="G3857">
        <v>-213.3707</v>
      </c>
      <c r="H3857">
        <v>2.4495119999999999</v>
      </c>
      <c r="I3857">
        <v>113.3252</v>
      </c>
      <c r="J3857">
        <v>-189.18340000000001</v>
      </c>
      <c r="K3857">
        <v>1.1091899999999999</v>
      </c>
      <c r="L3857">
        <v>187.27279999999999</v>
      </c>
      <c r="M3857">
        <v>-2.4523E-2</v>
      </c>
      <c r="N3857">
        <v>0</v>
      </c>
      <c r="O3857">
        <v>-0.99967550000000005</v>
      </c>
      <c r="P3857">
        <v>-0.15444050000000001</v>
      </c>
      <c r="Q3857">
        <v>-2.447796E-2</v>
      </c>
      <c r="R3857">
        <v>-0.98769910000000005</v>
      </c>
      <c r="S3857">
        <v>-0.94409180000000004</v>
      </c>
      <c r="T3857">
        <v>5.2308199999999999E-2</v>
      </c>
      <c r="U3857">
        <v>-2.8907620000000001</v>
      </c>
      <c r="V3857">
        <v>0.13015839999999901</v>
      </c>
      <c r="W3857">
        <v>-1.7747519999999999E-2</v>
      </c>
      <c r="X3857">
        <v>0.99133439999999995</v>
      </c>
      <c r="Y3857">
        <v>0.2870007</v>
      </c>
      <c r="Z3857">
        <v>-1.725498E-2</v>
      </c>
      <c r="AA3857">
        <v>0.95777489999999998</v>
      </c>
      <c r="AB3857">
        <v>12</v>
      </c>
      <c r="AC3857">
        <v>-24.1873</v>
      </c>
      <c r="AD3857">
        <v>1.340322</v>
      </c>
      <c r="AE3857">
        <v>-73.947599999999994</v>
      </c>
      <c r="AF3857">
        <v>22.359929751532</v>
      </c>
      <c r="AG3857">
        <v>1.340322</v>
      </c>
      <c r="AH3857">
        <v>74.4964109285483</v>
      </c>
      <c r="AI3857">
        <v>89.012760477339896</v>
      </c>
      <c r="AJ3857">
        <v>73.292989874954898</v>
      </c>
      <c r="AK3857">
        <v>77.791247340509003</v>
      </c>
      <c r="AL3857">
        <v>91.016911342370506</v>
      </c>
      <c r="AM3857">
        <v>82.520069724204603</v>
      </c>
      <c r="AN3857">
        <v>1.00000003809003</v>
      </c>
    </row>
    <row r="3858" spans="1:40" x14ac:dyDescent="0.25">
      <c r="A3858" t="str">
        <f>"20190312161044277"</f>
        <v>20190312161044277</v>
      </c>
      <c r="B3858" t="str">
        <f>"1552378244270193"</f>
        <v>1552378244270193</v>
      </c>
      <c r="C3858" t="s">
        <v>40</v>
      </c>
      <c r="D3858">
        <v>5.460324</v>
      </c>
      <c r="E3858">
        <v>0.56017030000000001</v>
      </c>
      <c r="F3858" t="s">
        <v>92</v>
      </c>
      <c r="G3858">
        <v>-213.17009999999999</v>
      </c>
      <c r="H3858">
        <v>2.2909709999999999</v>
      </c>
      <c r="I3858">
        <v>113.3964</v>
      </c>
      <c r="J3858">
        <v>-189.1875</v>
      </c>
      <c r="K3858">
        <v>1.1091789999999999</v>
      </c>
      <c r="L3858">
        <v>187.14599999999999</v>
      </c>
      <c r="M3858">
        <v>-2.5404340000000001E-2</v>
      </c>
      <c r="N3858">
        <v>0</v>
      </c>
      <c r="O3858">
        <v>-0.99965380000000004</v>
      </c>
      <c r="P3858">
        <v>-0.15382190000000001</v>
      </c>
      <c r="Q3858">
        <v>-2.389111E-2</v>
      </c>
      <c r="R3858">
        <v>-0.98780990000000002</v>
      </c>
      <c r="S3858">
        <v>-0.93890379999999996</v>
      </c>
      <c r="T3858">
        <v>4.6258929999999997E-2</v>
      </c>
      <c r="U3858">
        <v>-2.8917079999999999</v>
      </c>
      <c r="V3858">
        <v>0.12866359999999999</v>
      </c>
      <c r="W3858">
        <v>-1.7189469999999998E-2</v>
      </c>
      <c r="X3858">
        <v>0.99153930000000001</v>
      </c>
      <c r="Y3858">
        <v>0.28451920000000003</v>
      </c>
      <c r="Z3858">
        <v>-1.5264649999999999E-2</v>
      </c>
      <c r="AA3858">
        <v>0.95854879999999998</v>
      </c>
      <c r="AB3858">
        <v>13</v>
      </c>
      <c r="AC3858">
        <v>-23.982599999999898</v>
      </c>
      <c r="AD3858">
        <v>1.18179199999999</v>
      </c>
      <c r="AE3858">
        <v>-73.749599999999901</v>
      </c>
      <c r="AF3858">
        <v>22.0961243441362</v>
      </c>
      <c r="AG3858">
        <v>1.18179199999999</v>
      </c>
      <c r="AH3858">
        <v>74.317814822006298</v>
      </c>
      <c r="AI3858">
        <v>89.126740959670101</v>
      </c>
      <c r="AJ3858">
        <v>73.441767750065594</v>
      </c>
      <c r="AK3858">
        <v>77.542072085293299</v>
      </c>
      <c r="AL3858">
        <v>90.984932599657597</v>
      </c>
      <c r="AM3858">
        <v>82.606527750539001</v>
      </c>
      <c r="AN3858">
        <v>0.99999999164416498</v>
      </c>
    </row>
    <row r="3859" spans="1:40" x14ac:dyDescent="0.25">
      <c r="A3859" t="str">
        <f>"20190312161044299"</f>
        <v>20190312161044299</v>
      </c>
      <c r="B3859" t="str">
        <f>"1552378244290689"</f>
        <v>1552378244290689</v>
      </c>
      <c r="C3859" t="s">
        <v>40</v>
      </c>
      <c r="D3859">
        <v>5.4409269999999896</v>
      </c>
      <c r="E3859">
        <v>0.56002390000000002</v>
      </c>
      <c r="F3859" t="s">
        <v>92</v>
      </c>
      <c r="G3859">
        <v>-212.90989999999999</v>
      </c>
      <c r="H3859">
        <v>2.3257530000000002</v>
      </c>
      <c r="I3859">
        <v>113.83540000000001</v>
      </c>
      <c r="J3859">
        <v>-189.1918</v>
      </c>
      <c r="K3859">
        <v>1.1091690000000001</v>
      </c>
      <c r="L3859">
        <v>187.01939999999999</v>
      </c>
      <c r="M3859">
        <v>-2.6285240000000001E-2</v>
      </c>
      <c r="N3859">
        <v>0</v>
      </c>
      <c r="O3859">
        <v>-0.99963120000000005</v>
      </c>
      <c r="P3859">
        <v>-0.15366070000000001</v>
      </c>
      <c r="Q3859">
        <v>-2.294264E-2</v>
      </c>
      <c r="R3859">
        <v>-0.98785719999999999</v>
      </c>
      <c r="S3859">
        <v>-0.93595890000000004</v>
      </c>
      <c r="T3859">
        <v>4.8000569999999999E-2</v>
      </c>
      <c r="U3859">
        <v>-2.8924409999999998</v>
      </c>
      <c r="V3859">
        <v>0.12762799999999999</v>
      </c>
      <c r="W3859">
        <v>-1.6268230000000002E-2</v>
      </c>
      <c r="X3859">
        <v>0.99168869999999998</v>
      </c>
      <c r="Y3859">
        <v>0.28271659999999998</v>
      </c>
      <c r="Z3859">
        <v>-1.5841589999999999E-2</v>
      </c>
      <c r="AA3859">
        <v>0.95907260000000005</v>
      </c>
      <c r="AB3859">
        <v>13</v>
      </c>
      <c r="AC3859">
        <v>-23.7181</v>
      </c>
      <c r="AD3859">
        <v>1.2165839999999899</v>
      </c>
      <c r="AE3859">
        <v>-73.183999999999898</v>
      </c>
      <c r="AF3859">
        <v>21.780753941746902</v>
      </c>
      <c r="AG3859">
        <v>1.2165839999999899</v>
      </c>
      <c r="AH3859">
        <v>73.763716271058499</v>
      </c>
      <c r="AI3859">
        <v>89.093780796344603</v>
      </c>
      <c r="AJ3859">
        <v>73.549323609142405</v>
      </c>
      <c r="AK3859">
        <v>76.921824971962295</v>
      </c>
      <c r="AL3859">
        <v>90.932142019923504</v>
      </c>
      <c r="AM3859">
        <v>82.666479399637197</v>
      </c>
      <c r="AN3859">
        <v>1.00000001969951</v>
      </c>
    </row>
    <row r="3860" spans="1:40" x14ac:dyDescent="0.25">
      <c r="A3860" t="str">
        <f>"20190312161044320"</f>
        <v>20190312161044320</v>
      </c>
      <c r="B3860" t="str">
        <f>"1552378244310209"</f>
        <v>1552378244310209</v>
      </c>
      <c r="C3860" t="s">
        <v>40</v>
      </c>
      <c r="D3860">
        <v>5.461106</v>
      </c>
      <c r="E3860">
        <v>0.55993190000000004</v>
      </c>
      <c r="F3860" t="s">
        <v>92</v>
      </c>
      <c r="G3860">
        <v>-212.83510000000001</v>
      </c>
      <c r="H3860">
        <v>2.4044639999999999</v>
      </c>
      <c r="I3860">
        <v>113.80929999999999</v>
      </c>
      <c r="J3860">
        <v>-189.1961</v>
      </c>
      <c r="K3860">
        <v>1.1091690000000001</v>
      </c>
      <c r="L3860">
        <v>186.89259999999999</v>
      </c>
      <c r="M3860">
        <v>-2.7168250000000001E-2</v>
      </c>
      <c r="N3860">
        <v>0</v>
      </c>
      <c r="O3860">
        <v>-0.99960760000000004</v>
      </c>
      <c r="P3860">
        <v>-0.15410009999999999</v>
      </c>
      <c r="Q3860">
        <v>-2.23006E-2</v>
      </c>
      <c r="R3860">
        <v>-0.9878034</v>
      </c>
      <c r="S3860">
        <v>-0.93421940000000003</v>
      </c>
      <c r="T3860">
        <v>5.1181909999999997E-2</v>
      </c>
      <c r="U3860">
        <v>-2.8927459999999998</v>
      </c>
      <c r="V3860">
        <v>0.1271931</v>
      </c>
      <c r="W3860">
        <v>-1.565238E-2</v>
      </c>
      <c r="X3860">
        <v>0.99175449999999998</v>
      </c>
      <c r="Y3860">
        <v>0.2813119</v>
      </c>
      <c r="Z3860">
        <v>-1.6893999999999999E-2</v>
      </c>
      <c r="AA3860">
        <v>0.95946759999999998</v>
      </c>
      <c r="AB3860">
        <v>13</v>
      </c>
      <c r="AC3860">
        <v>-23.638999999999999</v>
      </c>
      <c r="AD3860">
        <v>1.2952950000000001</v>
      </c>
      <c r="AE3860">
        <v>-73.083299999999994</v>
      </c>
      <c r="AF3860">
        <v>21.638528883379799</v>
      </c>
      <c r="AG3860">
        <v>1.2952950000000001</v>
      </c>
      <c r="AH3860">
        <v>73.677615190690702</v>
      </c>
      <c r="AI3860">
        <v>89.033618340300393</v>
      </c>
      <c r="AJ3860">
        <v>73.632906379955799</v>
      </c>
      <c r="AK3860">
        <v>76.800356129131302</v>
      </c>
      <c r="AL3860">
        <v>90.896851905509607</v>
      </c>
      <c r="AM3860">
        <v>82.691677819880496</v>
      </c>
      <c r="AN3860">
        <v>1.0000000349787601</v>
      </c>
    </row>
    <row r="3861" spans="1:40" x14ac:dyDescent="0.25">
      <c r="A3861" t="str">
        <f>"20190312161044343"</f>
        <v>20190312161044343</v>
      </c>
      <c r="B3861" t="str">
        <f>"1552378244339997"</f>
        <v>1552378244339997</v>
      </c>
      <c r="C3861" t="s">
        <v>40</v>
      </c>
      <c r="D3861">
        <v>5.4735760000000004</v>
      </c>
      <c r="E3861">
        <v>0.55988839999999995</v>
      </c>
      <c r="F3861" t="s">
        <v>92</v>
      </c>
      <c r="G3861">
        <v>-212.81190000000001</v>
      </c>
      <c r="H3861">
        <v>2.4435790000000002</v>
      </c>
      <c r="I3861">
        <v>113.7963</v>
      </c>
      <c r="J3861">
        <v>-189.20070000000001</v>
      </c>
      <c r="K3861">
        <v>1.1091580000000001</v>
      </c>
      <c r="L3861">
        <v>186.7619</v>
      </c>
      <c r="M3861">
        <v>-2.8081849999999998E-2</v>
      </c>
      <c r="N3861">
        <v>0</v>
      </c>
      <c r="O3861">
        <v>-0.99958279999999999</v>
      </c>
      <c r="P3861">
        <v>-0.15418989999999999</v>
      </c>
      <c r="Q3861">
        <v>-2.2582049999999999E-2</v>
      </c>
      <c r="R3861">
        <v>-0.98778339999999998</v>
      </c>
      <c r="S3861">
        <v>-0.93449400000000005</v>
      </c>
      <c r="T3861">
        <v>5.2804469999999999E-2</v>
      </c>
      <c r="U3861">
        <v>-2.892471</v>
      </c>
      <c r="V3861">
        <v>0.1263765</v>
      </c>
      <c r="W3861">
        <v>-1.5958239999999999E-2</v>
      </c>
      <c r="X3861">
        <v>0.99185400000000001</v>
      </c>
      <c r="Y3861">
        <v>0.28054109999999999</v>
      </c>
      <c r="Z3861">
        <v>-1.7432070000000001E-2</v>
      </c>
      <c r="AA3861">
        <v>0.95968370000000003</v>
      </c>
      <c r="AB3861">
        <v>13</v>
      </c>
      <c r="AC3861">
        <v>-23.6112</v>
      </c>
      <c r="AD3861">
        <v>1.3344209999999901</v>
      </c>
      <c r="AE3861">
        <v>-72.965599999999995</v>
      </c>
      <c r="AF3861">
        <v>21.546308783815899</v>
      </c>
      <c r="AG3861">
        <v>1.3344209999999901</v>
      </c>
      <c r="AH3861">
        <v>73.577607901388802</v>
      </c>
      <c r="AI3861">
        <v>89.002850523985202</v>
      </c>
      <c r="AJ3861">
        <v>73.677971660061402</v>
      </c>
      <c r="AK3861">
        <v>76.679126795388697</v>
      </c>
      <c r="AL3861">
        <v>90.914378593931801</v>
      </c>
      <c r="AM3861">
        <v>82.738816663562503</v>
      </c>
      <c r="AN3861">
        <v>1.00000002124607</v>
      </c>
    </row>
    <row r="3862" spans="1:40" x14ac:dyDescent="0.25">
      <c r="A3862" t="str">
        <f>"20190312161044365"</f>
        <v>20190312161044365</v>
      </c>
      <c r="B3862" t="str">
        <f>"1552378244360493"</f>
        <v>1552378244360493</v>
      </c>
      <c r="C3862" t="s">
        <v>40</v>
      </c>
      <c r="D3862">
        <v>5.4229779999999996</v>
      </c>
      <c r="E3862">
        <v>0.55991610000000003</v>
      </c>
      <c r="F3862" t="s">
        <v>92</v>
      </c>
      <c r="G3862">
        <v>-212.7835</v>
      </c>
      <c r="H3862">
        <v>2.3945829999999999</v>
      </c>
      <c r="I3862">
        <v>113.7873</v>
      </c>
      <c r="J3862">
        <v>-189.20529999999999</v>
      </c>
      <c r="K3862">
        <v>1.109143</v>
      </c>
      <c r="L3862">
        <v>186.63390000000001</v>
      </c>
      <c r="M3862">
        <v>-2.8981420000000001E-2</v>
      </c>
      <c r="N3862">
        <v>0</v>
      </c>
      <c r="O3862">
        <v>-0.99955729999999998</v>
      </c>
      <c r="P3862">
        <v>-0.15405199999999999</v>
      </c>
      <c r="Q3862">
        <v>-2.2094860000000001E-2</v>
      </c>
      <c r="R3862">
        <v>-0.98781589999999997</v>
      </c>
      <c r="S3862">
        <v>-0.93470759999999997</v>
      </c>
      <c r="T3862">
        <v>5.0950049999999997E-2</v>
      </c>
      <c r="U3862">
        <v>-2.8923489999999998</v>
      </c>
      <c r="V3862">
        <v>0.12534529999999999</v>
      </c>
      <c r="W3862">
        <v>-1.549261E-2</v>
      </c>
      <c r="X3862">
        <v>0.99199219999999999</v>
      </c>
      <c r="Y3862">
        <v>0.27975650000000002</v>
      </c>
      <c r="Z3862">
        <v>-1.6821860000000001E-2</v>
      </c>
      <c r="AA3862">
        <v>0.95992359999999999</v>
      </c>
      <c r="AB3862">
        <v>13</v>
      </c>
      <c r="AC3862">
        <v>-23.578199999999999</v>
      </c>
      <c r="AD3862">
        <v>1.2854399999999999</v>
      </c>
      <c r="AE3862">
        <v>-72.846599999999995</v>
      </c>
      <c r="AF3862">
        <v>21.451003884963999</v>
      </c>
      <c r="AG3862">
        <v>1.2854399999999999</v>
      </c>
      <c r="AH3862">
        <v>73.478634743438107</v>
      </c>
      <c r="AI3862">
        <v>89.037917288070503</v>
      </c>
      <c r="AJ3862">
        <v>73.725613895503699</v>
      </c>
      <c r="AK3862">
        <v>76.556565279706305</v>
      </c>
      <c r="AL3862">
        <v>90.887696684439604</v>
      </c>
      <c r="AM3862">
        <v>82.798434217837993</v>
      </c>
      <c r="AN3862">
        <v>0.99999999502877102</v>
      </c>
    </row>
    <row r="3863" spans="1:40" x14ac:dyDescent="0.25">
      <c r="A3863" t="str">
        <f>"20190312161044386"</f>
        <v>20190312161044386</v>
      </c>
      <c r="B3863" t="str">
        <f>"1552378244380014"</f>
        <v>1552378244380014</v>
      </c>
      <c r="C3863" t="s">
        <v>40</v>
      </c>
      <c r="D3863">
        <v>5.4529829999999997</v>
      </c>
      <c r="E3863">
        <v>0.55996449999999998</v>
      </c>
      <c r="F3863" t="s">
        <v>92</v>
      </c>
      <c r="G3863">
        <v>-212.7347</v>
      </c>
      <c r="H3863">
        <v>2.4289390000000002</v>
      </c>
      <c r="I3863">
        <v>113.7807</v>
      </c>
      <c r="J3863">
        <v>-189.21</v>
      </c>
      <c r="K3863">
        <v>1.1091329999999999</v>
      </c>
      <c r="L3863">
        <v>186.5094</v>
      </c>
      <c r="M3863">
        <v>-2.9864829999999998E-2</v>
      </c>
      <c r="N3863">
        <v>0</v>
      </c>
      <c r="O3863">
        <v>-0.99953130000000001</v>
      </c>
      <c r="P3863">
        <v>-0.1524933</v>
      </c>
      <c r="Q3863">
        <v>-2.0967570000000001E-2</v>
      </c>
      <c r="R3863">
        <v>-0.98808240000000003</v>
      </c>
      <c r="S3863">
        <v>-0.93418880000000004</v>
      </c>
      <c r="T3863">
        <v>5.2400830000000002E-2</v>
      </c>
      <c r="U3863">
        <v>-2.892487</v>
      </c>
      <c r="V3863">
        <v>0.12290329999999999</v>
      </c>
      <c r="W3863">
        <v>-1.4382499999999999E-2</v>
      </c>
      <c r="X3863">
        <v>0.99231449999999999</v>
      </c>
      <c r="Y3863">
        <v>0.27873599999999998</v>
      </c>
      <c r="Z3863">
        <v>-1.730232E-2</v>
      </c>
      <c r="AA3863">
        <v>0.96021190000000001</v>
      </c>
      <c r="AB3863">
        <v>13</v>
      </c>
      <c r="AC3863">
        <v>-23.524699999999999</v>
      </c>
      <c r="AD3863">
        <v>1.31980599999999</v>
      </c>
      <c r="AE3863">
        <v>-72.728700000000003</v>
      </c>
      <c r="AF3863">
        <v>21.335766165280599</v>
      </c>
      <c r="AG3863">
        <v>1.31980599999999</v>
      </c>
      <c r="AH3863">
        <v>73.376959445249895</v>
      </c>
      <c r="AI3863">
        <v>89.010523014925795</v>
      </c>
      <c r="AJ3863">
        <v>73.787191772163396</v>
      </c>
      <c r="AK3863">
        <v>76.427318304170697</v>
      </c>
      <c r="AL3863">
        <v>90.824084902217805</v>
      </c>
      <c r="AM3863">
        <v>82.939576439764707</v>
      </c>
      <c r="AN3863">
        <v>1.0000000721836899</v>
      </c>
    </row>
    <row r="3864" spans="1:40" x14ac:dyDescent="0.25">
      <c r="A3864" t="str">
        <f>"20190312161044409"</f>
        <v>20190312161044409</v>
      </c>
      <c r="B3864" t="str">
        <f>"1552378244400512"</f>
        <v>1552378244400512</v>
      </c>
      <c r="C3864" t="s">
        <v>40</v>
      </c>
      <c r="D3864">
        <v>5.4338089999999903</v>
      </c>
      <c r="E3864">
        <v>0.55999169999999998</v>
      </c>
      <c r="F3864" t="s">
        <v>92</v>
      </c>
      <c r="G3864">
        <v>-212.53890000000001</v>
      </c>
      <c r="H3864">
        <v>2.5161039999999999</v>
      </c>
      <c r="I3864">
        <v>113.90779999999999</v>
      </c>
      <c r="J3864">
        <v>-189.21510000000001</v>
      </c>
      <c r="K3864">
        <v>1.109119</v>
      </c>
      <c r="L3864">
        <v>186.37309999999999</v>
      </c>
      <c r="M3864">
        <v>-3.0840880000000001E-2</v>
      </c>
      <c r="N3864">
        <v>0</v>
      </c>
      <c r="O3864">
        <v>-0.999502</v>
      </c>
      <c r="P3864">
        <v>-0.15098300000000001</v>
      </c>
      <c r="Q3864">
        <v>-2.054369E-2</v>
      </c>
      <c r="R3864">
        <v>-0.98832350000000002</v>
      </c>
      <c r="S3864">
        <v>-0.92988590000000004</v>
      </c>
      <c r="T3864">
        <v>5.6082489999999999E-2</v>
      </c>
      <c r="U3864">
        <v>-2.893875</v>
      </c>
      <c r="V3864">
        <v>0.1204173</v>
      </c>
      <c r="W3864">
        <v>-1.397638E-2</v>
      </c>
      <c r="X3864">
        <v>0.99262499999999998</v>
      </c>
      <c r="Y3864">
        <v>0.27636240000000001</v>
      </c>
      <c r="Z3864">
        <v>-1.8518860000000002E-2</v>
      </c>
      <c r="AA3864">
        <v>0.96087500000000003</v>
      </c>
      <c r="AB3864">
        <v>13</v>
      </c>
      <c r="AC3864">
        <v>-23.323799999999999</v>
      </c>
      <c r="AD3864">
        <v>1.4069849999999999</v>
      </c>
      <c r="AE3864">
        <v>-72.465299999999999</v>
      </c>
      <c r="AF3864">
        <v>21.070563523810499</v>
      </c>
      <c r="AG3864">
        <v>1.4069849999999999</v>
      </c>
      <c r="AH3864">
        <v>73.125190717528696</v>
      </c>
      <c r="AI3864">
        <v>88.940804785435006</v>
      </c>
      <c r="AJ3864">
        <v>73.925996591290499</v>
      </c>
      <c r="AK3864">
        <v>76.113348182011407</v>
      </c>
      <c r="AL3864">
        <v>90.800813637621403</v>
      </c>
      <c r="AM3864">
        <v>83.083134542152095</v>
      </c>
      <c r="AN3864">
        <v>1.0000000279810899</v>
      </c>
    </row>
    <row r="3865" spans="1:40" x14ac:dyDescent="0.25">
      <c r="A3865" t="str">
        <f>"20190312161044433"</f>
        <v>20190312161044433</v>
      </c>
      <c r="B3865" t="str">
        <f>"1552378244420029"</f>
        <v>1552378244420029</v>
      </c>
      <c r="C3865" t="s">
        <v>40</v>
      </c>
      <c r="D3865">
        <v>5.4024850000000004</v>
      </c>
      <c r="E3865">
        <v>0.55997790000000003</v>
      </c>
      <c r="F3865" t="s">
        <v>92</v>
      </c>
      <c r="G3865">
        <v>-212.3289</v>
      </c>
      <c r="H3865">
        <v>2.5596610000000002</v>
      </c>
      <c r="I3865">
        <v>114.0522</v>
      </c>
      <c r="J3865">
        <v>-189.22049999999999</v>
      </c>
      <c r="K3865">
        <v>1.1090979999999999</v>
      </c>
      <c r="L3865">
        <v>186.2362</v>
      </c>
      <c r="M3865">
        <v>-3.1834179999999997E-2</v>
      </c>
      <c r="N3865">
        <v>0</v>
      </c>
      <c r="O3865">
        <v>-0.99947109999999995</v>
      </c>
      <c r="P3865">
        <v>-0.1501662</v>
      </c>
      <c r="Q3865">
        <v>-2.0709669999999999E-2</v>
      </c>
      <c r="R3865">
        <v>-0.98844430000000005</v>
      </c>
      <c r="S3865">
        <v>-0.92533869999999896</v>
      </c>
      <c r="T3865">
        <v>5.8071970000000001E-2</v>
      </c>
      <c r="U3865">
        <v>-2.8952939999999998</v>
      </c>
      <c r="V3865">
        <v>0.11860999999999999</v>
      </c>
      <c r="W3865">
        <v>-1.416009E-2</v>
      </c>
      <c r="X3865">
        <v>0.9928399</v>
      </c>
      <c r="Y3865">
        <v>0.2738969</v>
      </c>
      <c r="Z3865">
        <v>-1.9177079999999999E-2</v>
      </c>
      <c r="AA3865">
        <v>0.96156790000000003</v>
      </c>
      <c r="AB3865">
        <v>13</v>
      </c>
      <c r="AC3865">
        <v>-23.1084</v>
      </c>
      <c r="AD3865">
        <v>1.450563</v>
      </c>
      <c r="AE3865">
        <v>-72.183999999999997</v>
      </c>
      <c r="AF3865">
        <v>20.791102725586502</v>
      </c>
      <c r="AG3865">
        <v>1.450563</v>
      </c>
      <c r="AH3865">
        <v>72.856379947036899</v>
      </c>
      <c r="AI3865">
        <v>88.903173226130207</v>
      </c>
      <c r="AJ3865">
        <v>74.072786695626107</v>
      </c>
      <c r="AK3865">
        <v>75.778797724362605</v>
      </c>
      <c r="AL3865">
        <v>90.811340547078998</v>
      </c>
      <c r="AM3865">
        <v>83.187424901076497</v>
      </c>
      <c r="AN3865">
        <v>0.99999995364040795</v>
      </c>
    </row>
    <row r="3866" spans="1:40" x14ac:dyDescent="0.25">
      <c r="A3866" t="str">
        <f>"20190312161044455"</f>
        <v>20190312161044455</v>
      </c>
      <c r="B3866" t="str">
        <f>"1552378244450794"</f>
        <v>1552378244450794</v>
      </c>
      <c r="C3866" t="s">
        <v>40</v>
      </c>
      <c r="D3866">
        <v>5.3966279999999998</v>
      </c>
      <c r="E3866">
        <v>0.56004390000000004</v>
      </c>
      <c r="F3866" t="s">
        <v>92</v>
      </c>
      <c r="G3866">
        <v>-212.19059999999999</v>
      </c>
      <c r="H3866">
        <v>2.5791200000000001</v>
      </c>
      <c r="I3866">
        <v>114.1399</v>
      </c>
      <c r="J3866">
        <v>-189.226</v>
      </c>
      <c r="K3866">
        <v>1.1090819999999999</v>
      </c>
      <c r="L3866">
        <v>186.10069999999999</v>
      </c>
      <c r="M3866">
        <v>-3.2833460000000002E-2</v>
      </c>
      <c r="N3866">
        <v>0</v>
      </c>
      <c r="O3866">
        <v>-0.99943859999999995</v>
      </c>
      <c r="P3866">
        <v>-0.14989459999999999</v>
      </c>
      <c r="Q3866">
        <v>-2.062522E-2</v>
      </c>
      <c r="R3866">
        <v>-0.98848720000000001</v>
      </c>
      <c r="S3866">
        <v>-0.92271420000000004</v>
      </c>
      <c r="T3866">
        <v>5.9051989999999999E-2</v>
      </c>
      <c r="U3866">
        <v>-2.896118</v>
      </c>
      <c r="V3866">
        <v>0.11734410000000001</v>
      </c>
      <c r="W3866">
        <v>-1.409292E-2</v>
      </c>
      <c r="X3866">
        <v>0.99299130000000002</v>
      </c>
      <c r="Y3866">
        <v>0.27206259999999999</v>
      </c>
      <c r="Z3866">
        <v>-1.9502129999999999E-2</v>
      </c>
      <c r="AA3866">
        <v>0.96208190000000005</v>
      </c>
      <c r="AB3866">
        <v>13</v>
      </c>
      <c r="AC3866">
        <v>-22.964599999999901</v>
      </c>
      <c r="AD3866">
        <v>1.470038</v>
      </c>
      <c r="AE3866">
        <v>-71.960799999999907</v>
      </c>
      <c r="AF3866">
        <v>20.5816480387677</v>
      </c>
      <c r="AG3866">
        <v>1.470038</v>
      </c>
      <c r="AH3866">
        <v>72.648508481163404</v>
      </c>
      <c r="AI3866">
        <v>88.884665349055496</v>
      </c>
      <c r="AJ3866">
        <v>74.182336299207293</v>
      </c>
      <c r="AK3866">
        <v>75.521990388567204</v>
      </c>
      <c r="AL3866">
        <v>90.807491579972606</v>
      </c>
      <c r="AM3866">
        <v>83.260479796208699</v>
      </c>
      <c r="AN3866">
        <v>0.99999998503731302</v>
      </c>
    </row>
    <row r="3867" spans="1:40" x14ac:dyDescent="0.25">
      <c r="A3867" t="str">
        <f>"20190312161044476"</f>
        <v>20190312161044476</v>
      </c>
      <c r="B3867" t="str">
        <f>"1552378244470314"</f>
        <v>1552378244470314</v>
      </c>
      <c r="C3867" t="s">
        <v>40</v>
      </c>
      <c r="D3867">
        <v>5.4416219999999997</v>
      </c>
      <c r="E3867">
        <v>0.55117229999999995</v>
      </c>
      <c r="F3867" t="s">
        <v>92</v>
      </c>
      <c r="G3867">
        <v>-212.13990000000001</v>
      </c>
      <c r="H3867">
        <v>2.5844429999999998</v>
      </c>
      <c r="I3867">
        <v>114.17059999999999</v>
      </c>
      <c r="J3867">
        <v>-189.2313</v>
      </c>
      <c r="K3867">
        <v>1.1090690000000001</v>
      </c>
      <c r="L3867">
        <v>185.97319999999999</v>
      </c>
      <c r="M3867">
        <v>-3.3791870000000002E-2</v>
      </c>
      <c r="N3867">
        <v>0</v>
      </c>
      <c r="O3867">
        <v>-0.99940680000000004</v>
      </c>
      <c r="P3867">
        <v>-0.15013479999999901</v>
      </c>
      <c r="Q3867">
        <v>-2.1225339999999999E-2</v>
      </c>
      <c r="R3867">
        <v>-0.98843780000000003</v>
      </c>
      <c r="S3867">
        <v>-0.92263790000000001</v>
      </c>
      <c r="T3867">
        <v>5.9406880000000002E-2</v>
      </c>
      <c r="U3867">
        <v>-2.8962859999999999</v>
      </c>
      <c r="V3867">
        <v>0.1166326</v>
      </c>
      <c r="W3867">
        <v>-1.470932E-2</v>
      </c>
      <c r="X3867">
        <v>0.99306620000000001</v>
      </c>
      <c r="Y3867">
        <v>0.27110000000000001</v>
      </c>
      <c r="Z3867">
        <v>-1.962005E-2</v>
      </c>
      <c r="AA3867">
        <v>0.96235119999999996</v>
      </c>
      <c r="AB3867">
        <v>13</v>
      </c>
      <c r="AC3867">
        <v>-22.9086</v>
      </c>
      <c r="AD3867">
        <v>1.47537399999999</v>
      </c>
      <c r="AE3867">
        <v>-71.802599999999998</v>
      </c>
      <c r="AF3867">
        <v>20.461277697864599</v>
      </c>
      <c r="AG3867">
        <v>1.47537399999999</v>
      </c>
      <c r="AH3867">
        <v>72.507947701556205</v>
      </c>
      <c r="AI3867">
        <v>88.878122291179395</v>
      </c>
      <c r="AJ3867">
        <v>74.241274088727195</v>
      </c>
      <c r="AK3867">
        <v>75.354117958878803</v>
      </c>
      <c r="AL3867">
        <v>90.842812347626705</v>
      </c>
      <c r="AM3867">
        <v>83.301472113223099</v>
      </c>
      <c r="AN3867">
        <v>1.00000000253003</v>
      </c>
    </row>
    <row r="3868" spans="1:40" x14ac:dyDescent="0.25">
      <c r="A3868" t="str">
        <f>"20190312161044499"</f>
        <v>20190312161044499</v>
      </c>
      <c r="B3868" t="str">
        <f>"1552378244490810"</f>
        <v>1552378244490810</v>
      </c>
      <c r="C3868" t="s">
        <v>40</v>
      </c>
      <c r="D3868">
        <v>5.5081499999999997</v>
      </c>
      <c r="E3868">
        <v>0.54377359999999997</v>
      </c>
      <c r="F3868" t="s">
        <v>41</v>
      </c>
      <c r="G3868">
        <v>-196.7467</v>
      </c>
      <c r="H3868" s="1">
        <v>-2.1932609999999998E-6</v>
      </c>
      <c r="I3868">
        <v>160.43389999999999</v>
      </c>
      <c r="J3868">
        <v>-189.2373</v>
      </c>
      <c r="K3868">
        <v>1.1090500000000001</v>
      </c>
      <c r="L3868">
        <v>185.8313</v>
      </c>
      <c r="M3868">
        <v>-3.488045E-2</v>
      </c>
      <c r="N3868">
        <v>0</v>
      </c>
      <c r="O3868">
        <v>-0.99936930000000002</v>
      </c>
      <c r="P3868">
        <v>-0.15073829999999999</v>
      </c>
      <c r="Q3868">
        <v>-2.0560760000000001E-2</v>
      </c>
      <c r="R3868">
        <v>-0.98836009999999996</v>
      </c>
      <c r="S3868">
        <v>-0.85415649999999999</v>
      </c>
      <c r="T3868">
        <v>-0.12604960000000001</v>
      </c>
      <c r="U3868">
        <v>-2.9026339999999999</v>
      </c>
      <c r="V3868">
        <v>0.1161568</v>
      </c>
      <c r="W3868">
        <v>-1.406219E-2</v>
      </c>
      <c r="X3868">
        <v>0.99313130000000005</v>
      </c>
      <c r="Y3868">
        <v>0.2484199</v>
      </c>
      <c r="Z3868">
        <v>4.1781539999999999E-2</v>
      </c>
      <c r="AA3868">
        <v>0.96775089999999997</v>
      </c>
      <c r="AB3868">
        <v>13</v>
      </c>
      <c r="AC3868">
        <v>-7.5093999999999896</v>
      </c>
      <c r="AD3868">
        <v>-1.109052193261</v>
      </c>
      <c r="AE3868">
        <v>-25.397400000000001</v>
      </c>
      <c r="AF3868">
        <v>6.6073513365628198</v>
      </c>
      <c r="AG3868">
        <v>-1.109052193261</v>
      </c>
      <c r="AH3868">
        <v>25.598991884646601</v>
      </c>
      <c r="AI3868">
        <v>92.402106178159997</v>
      </c>
      <c r="AJ3868">
        <v>75.527271967534602</v>
      </c>
      <c r="AK3868">
        <v>26.461206963446699</v>
      </c>
      <c r="AL3868">
        <v>90.805730723740993</v>
      </c>
      <c r="AM3868">
        <v>83.328985153574294</v>
      </c>
      <c r="AN3868">
        <v>0.99999996320676199</v>
      </c>
    </row>
    <row r="3869" spans="1:40" x14ac:dyDescent="0.25">
      <c r="A3869" t="str">
        <f>"20190312161044521"</f>
        <v>20190312161044521</v>
      </c>
      <c r="B3869" t="str">
        <f>"1552378244510330"</f>
        <v>1552378244510330</v>
      </c>
      <c r="C3869" t="s">
        <v>40</v>
      </c>
      <c r="D3869">
        <v>5.4477909999999996</v>
      </c>
      <c r="E3869">
        <v>0.55365149999999996</v>
      </c>
      <c r="F3869" t="s">
        <v>88</v>
      </c>
      <c r="G3869">
        <v>-213.1593</v>
      </c>
      <c r="H3869">
        <v>1.115731</v>
      </c>
      <c r="I3869">
        <v>98.375470000000007</v>
      </c>
      <c r="J3869">
        <v>-189.2431</v>
      </c>
      <c r="K3869">
        <v>1.109029</v>
      </c>
      <c r="L3869">
        <v>185.69800000000001</v>
      </c>
      <c r="M3869">
        <v>-3.5924419999999999E-2</v>
      </c>
      <c r="N3869">
        <v>0</v>
      </c>
      <c r="O3869">
        <v>-0.99933240000000001</v>
      </c>
      <c r="P3869">
        <v>-0.15091479999999999</v>
      </c>
      <c r="Q3869">
        <v>-2.0451529999999999E-2</v>
      </c>
      <c r="R3869">
        <v>-0.98833539999999998</v>
      </c>
      <c r="S3869">
        <v>-0.79701230000000001</v>
      </c>
      <c r="T3869">
        <v>2.2351740000000001E-4</v>
      </c>
      <c r="U3869">
        <v>-2.9137729999999999</v>
      </c>
      <c r="V3869">
        <v>0.1152961</v>
      </c>
      <c r="W3869">
        <v>-1.396998E-2</v>
      </c>
      <c r="X3869">
        <v>0.99323289999999997</v>
      </c>
      <c r="Y3869">
        <v>0.229018</v>
      </c>
      <c r="Z3869" s="1">
        <v>-7.4253239999999999E-5</v>
      </c>
      <c r="AA3869">
        <v>0.97342220000000002</v>
      </c>
      <c r="AB3869">
        <v>14</v>
      </c>
      <c r="AC3869">
        <v>-23.9162</v>
      </c>
      <c r="AD3869">
        <v>6.7019999999999797E-3</v>
      </c>
      <c r="AE3869">
        <v>-87.322529999999901</v>
      </c>
      <c r="AF3869">
        <v>20.763680970239999</v>
      </c>
      <c r="AG3869">
        <v>6.7019999999999797E-3</v>
      </c>
      <c r="AH3869">
        <v>88.125355776719402</v>
      </c>
      <c r="AI3869">
        <v>89.995758748200799</v>
      </c>
      <c r="AJ3869">
        <v>76.742045031942297</v>
      </c>
      <c r="AK3869">
        <v>90.538438373566393</v>
      </c>
      <c r="AL3869">
        <v>90.800446953388303</v>
      </c>
      <c r="AM3869">
        <v>83.378646848156905</v>
      </c>
      <c r="AN3869">
        <v>0.99999997232940896</v>
      </c>
    </row>
    <row r="3870" spans="1:40" x14ac:dyDescent="0.25">
      <c r="A3870" t="str">
        <f>"20190312161044541"</f>
        <v>20190312161044541</v>
      </c>
      <c r="B3870" t="str">
        <f>"1552378244530184"</f>
        <v>1552378244530184</v>
      </c>
      <c r="C3870" t="s">
        <v>40</v>
      </c>
      <c r="D3870">
        <v>5.5862439999999998</v>
      </c>
      <c r="E3870">
        <v>0.55090760000000005</v>
      </c>
      <c r="F3870" t="s">
        <v>41</v>
      </c>
      <c r="G3870">
        <v>-195.37899999999999</v>
      </c>
      <c r="H3870" s="1">
        <v>-4.072608E-6</v>
      </c>
      <c r="I3870">
        <v>165.4067</v>
      </c>
      <c r="J3870">
        <v>-189.24889999999999</v>
      </c>
      <c r="K3870">
        <v>1.1090100000000001</v>
      </c>
      <c r="L3870">
        <v>185.5692</v>
      </c>
      <c r="M3870">
        <v>-3.6950459999999997E-2</v>
      </c>
      <c r="N3870">
        <v>0</v>
      </c>
      <c r="O3870">
        <v>-0.99929539999999994</v>
      </c>
      <c r="P3870">
        <v>-0.151411299999999</v>
      </c>
      <c r="Q3870">
        <v>-2.0592429999999998E-2</v>
      </c>
      <c r="R3870">
        <v>-0.98825680000000005</v>
      </c>
      <c r="S3870">
        <v>-0.87641909999999901</v>
      </c>
      <c r="T3870">
        <v>-0.15840899999999999</v>
      </c>
      <c r="U3870">
        <v>-2.8982999999999999</v>
      </c>
      <c r="V3870">
        <v>0.11477469999999999</v>
      </c>
      <c r="W3870">
        <v>-1.4131070000000001E-2</v>
      </c>
      <c r="X3870">
        <v>0.99329100000000004</v>
      </c>
      <c r="Y3870">
        <v>0.25348140000000002</v>
      </c>
      <c r="Z3870">
        <v>5.2458079999999997E-2</v>
      </c>
      <c r="AA3870">
        <v>0.96591680000000002</v>
      </c>
      <c r="AB3870">
        <v>14</v>
      </c>
      <c r="AC3870">
        <v>-6.1301000000000201</v>
      </c>
      <c r="AD3870">
        <v>-1.109014072608</v>
      </c>
      <c r="AE3870">
        <v>-20.162499999999898</v>
      </c>
      <c r="AF3870">
        <v>5.3660229852981898</v>
      </c>
      <c r="AG3870">
        <v>-1.109014072608</v>
      </c>
      <c r="AH3870">
        <v>20.318973546545202</v>
      </c>
      <c r="AI3870">
        <v>93.020755088828096</v>
      </c>
      <c r="AJ3870">
        <v>75.206540702746693</v>
      </c>
      <c r="AK3870">
        <v>21.044828364165799</v>
      </c>
      <c r="AL3870">
        <v>90.809677648073702</v>
      </c>
      <c r="AM3870">
        <v>83.408708452695393</v>
      </c>
      <c r="AN3870">
        <v>0.99999996479021602</v>
      </c>
    </row>
    <row r="3871" spans="1:40" x14ac:dyDescent="0.25">
      <c r="A3871" t="str">
        <f>"20190312161044565"</f>
        <v>20190312161044565</v>
      </c>
      <c r="B3871" t="str">
        <f>"1552378244560440"</f>
        <v>1552378244560440</v>
      </c>
      <c r="C3871" t="s">
        <v>40</v>
      </c>
      <c r="D3871">
        <v>5.5453489999999999</v>
      </c>
      <c r="E3871">
        <v>0.5497746</v>
      </c>
      <c r="F3871" t="s">
        <v>87</v>
      </c>
      <c r="G3871">
        <v>-197.1679</v>
      </c>
      <c r="H3871" s="1">
        <v>-1.4752390000000001E-5</v>
      </c>
      <c r="I3871">
        <v>158.7217</v>
      </c>
      <c r="J3871">
        <v>-189.25550000000001</v>
      </c>
      <c r="K3871">
        <v>1.1089800000000001</v>
      </c>
      <c r="L3871">
        <v>185.4265</v>
      </c>
      <c r="M3871">
        <v>-3.8107479999999999E-2</v>
      </c>
      <c r="N3871">
        <v>0</v>
      </c>
      <c r="O3871">
        <v>-0.99925180000000002</v>
      </c>
      <c r="P3871">
        <v>-0.15159890000000001</v>
      </c>
      <c r="Q3871">
        <v>-2.004682E-2</v>
      </c>
      <c r="R3871">
        <v>-0.98823879999999997</v>
      </c>
      <c r="S3871">
        <v>-0.85597230000000002</v>
      </c>
      <c r="T3871">
        <v>-0.119876</v>
      </c>
      <c r="U3871">
        <v>-2.901993</v>
      </c>
      <c r="V3871">
        <v>0.1138131</v>
      </c>
      <c r="W3871">
        <v>-1.3609080000000001E-2</v>
      </c>
      <c r="X3871">
        <v>0.99340899999999999</v>
      </c>
      <c r="Y3871">
        <v>0.2459297</v>
      </c>
      <c r="Z3871">
        <v>3.9749279999999998E-2</v>
      </c>
      <c r="AA3871">
        <v>0.96847229999999995</v>
      </c>
      <c r="AB3871">
        <v>14</v>
      </c>
      <c r="AC3871">
        <v>-7.9123999999999901</v>
      </c>
      <c r="AD3871">
        <v>-1.1089947523899999</v>
      </c>
      <c r="AE3871">
        <v>-26.704799999999999</v>
      </c>
      <c r="AF3871">
        <v>6.8780732771826001</v>
      </c>
      <c r="AG3871">
        <v>-1.1089947523899999</v>
      </c>
      <c r="AH3871">
        <v>26.944213167129799</v>
      </c>
      <c r="AI3871">
        <v>92.283749456733304</v>
      </c>
      <c r="AJ3871">
        <v>75.679875866063199</v>
      </c>
      <c r="AK3871">
        <v>27.830350061809401</v>
      </c>
      <c r="AL3871">
        <v>90.779766890720694</v>
      </c>
      <c r="AM3871">
        <v>83.464221110191403</v>
      </c>
      <c r="AN3871">
        <v>1.00000003503552</v>
      </c>
    </row>
    <row r="3872" spans="1:40" x14ac:dyDescent="0.25">
      <c r="A3872" t="str">
        <f>"20190312161044587"</f>
        <v>20190312161044587</v>
      </c>
      <c r="B3872" t="str">
        <f>"1552378244580936"</f>
        <v>1552378244580936</v>
      </c>
      <c r="C3872" t="s">
        <v>40</v>
      </c>
      <c r="D3872">
        <v>5.5327909999999996</v>
      </c>
      <c r="E3872">
        <v>0.54897600000000002</v>
      </c>
      <c r="F3872" t="s">
        <v>87</v>
      </c>
      <c r="G3872">
        <v>-199.37129999999999</v>
      </c>
      <c r="H3872" s="1">
        <v>-1.2696830000000001E-5</v>
      </c>
      <c r="I3872">
        <v>150.75880000000001</v>
      </c>
      <c r="J3872">
        <v>-189.26240000000001</v>
      </c>
      <c r="K3872">
        <v>1.1089639999999901</v>
      </c>
      <c r="L3872">
        <v>185.28200000000001</v>
      </c>
      <c r="M3872">
        <v>-3.9297930000000002E-2</v>
      </c>
      <c r="N3872">
        <v>0</v>
      </c>
      <c r="O3872">
        <v>-0.99920600000000004</v>
      </c>
      <c r="P3872">
        <v>-0.1513196</v>
      </c>
      <c r="Q3872">
        <v>-1.9303750000000001E-2</v>
      </c>
      <c r="R3872">
        <v>-0.98829639999999996</v>
      </c>
      <c r="S3872">
        <v>-0.84732059999999998</v>
      </c>
      <c r="T3872">
        <v>-9.2891570000000007E-2</v>
      </c>
      <c r="U3872">
        <v>-2.9038390000000001</v>
      </c>
      <c r="V3872">
        <v>0.11234860000000001</v>
      </c>
      <c r="W3872">
        <v>-1.28881E-2</v>
      </c>
      <c r="X3872">
        <v>0.9935853</v>
      </c>
      <c r="Y3872">
        <v>0.24203710000000001</v>
      </c>
      <c r="Z3872">
        <v>3.0818660000000001E-2</v>
      </c>
      <c r="AA3872">
        <v>0.96977740000000001</v>
      </c>
      <c r="AB3872">
        <v>14</v>
      </c>
      <c r="AC3872">
        <v>-10.108899999999901</v>
      </c>
      <c r="AD3872">
        <v>-1.1089766968300001</v>
      </c>
      <c r="AE3872">
        <v>-34.523200000000003</v>
      </c>
      <c r="AF3872">
        <v>8.7360688526202495</v>
      </c>
      <c r="AG3872">
        <v>-1.1089766968300001</v>
      </c>
      <c r="AH3872">
        <v>34.860667546637799</v>
      </c>
      <c r="AI3872">
        <v>91.767444410690402</v>
      </c>
      <c r="AJ3872">
        <v>75.931428161249002</v>
      </c>
      <c r="AK3872">
        <v>35.955734870935899</v>
      </c>
      <c r="AL3872">
        <v>90.7384541582216</v>
      </c>
      <c r="AM3872">
        <v>83.5487422565228</v>
      </c>
      <c r="AN3872">
        <v>1.0000000297098199</v>
      </c>
    </row>
    <row r="3873" spans="1:40" x14ac:dyDescent="0.25">
      <c r="A3873" t="str">
        <f>"20190312161044610"</f>
        <v>20190312161044610</v>
      </c>
      <c r="B3873" t="str">
        <f>"1552378244600458"</f>
        <v>1552378244600458</v>
      </c>
      <c r="C3873" t="s">
        <v>40</v>
      </c>
      <c r="D3873">
        <v>5.4193369999999996</v>
      </c>
      <c r="E3873">
        <v>0.54941459999999998</v>
      </c>
      <c r="F3873" t="s">
        <v>87</v>
      </c>
      <c r="G3873">
        <v>-201.95609999999999</v>
      </c>
      <c r="H3873" s="1">
        <v>-9.20017E-6</v>
      </c>
      <c r="I3873">
        <v>141.38140000000001</v>
      </c>
      <c r="J3873">
        <v>-189.26939999999999</v>
      </c>
      <c r="K3873">
        <v>1.108951</v>
      </c>
      <c r="L3873">
        <v>185.14060000000001</v>
      </c>
      <c r="M3873">
        <v>-4.047357E-2</v>
      </c>
      <c r="N3873">
        <v>0</v>
      </c>
      <c r="O3873">
        <v>-0.99915929999999997</v>
      </c>
      <c r="P3873">
        <v>-0.15007400000000001</v>
      </c>
      <c r="Q3873">
        <v>-1.882615E-2</v>
      </c>
      <c r="R3873">
        <v>-0.98849589999999998</v>
      </c>
      <c r="S3873">
        <v>-0.84010309999999899</v>
      </c>
      <c r="T3873">
        <v>-7.3395249999999995E-2</v>
      </c>
      <c r="U3873">
        <v>-2.9054720000000001</v>
      </c>
      <c r="V3873">
        <v>0.10992730000000001</v>
      </c>
      <c r="W3873">
        <v>-1.2427570000000001E-2</v>
      </c>
      <c r="X3873">
        <v>0.99386189999999996</v>
      </c>
      <c r="Y3873">
        <v>0.23857519999999999</v>
      </c>
      <c r="Z3873">
        <v>2.4358830000000001E-2</v>
      </c>
      <c r="AA3873">
        <v>0.97081850000000003</v>
      </c>
      <c r="AB3873">
        <v>14</v>
      </c>
      <c r="AC3873">
        <v>-12.6867</v>
      </c>
      <c r="AD3873">
        <v>-1.1089602001700001</v>
      </c>
      <c r="AE3873">
        <v>-43.7591999999999</v>
      </c>
      <c r="AF3873">
        <v>10.898718633763901</v>
      </c>
      <c r="AG3873">
        <v>-1.1089602001700001</v>
      </c>
      <c r="AH3873">
        <v>44.210637545958697</v>
      </c>
      <c r="AI3873">
        <v>91.395131436478295</v>
      </c>
      <c r="AJ3873">
        <v>76.151677362792597</v>
      </c>
      <c r="AK3873">
        <v>45.547692947103798</v>
      </c>
      <c r="AL3873">
        <v>90.712065664701299</v>
      </c>
      <c r="AM3873">
        <v>83.688385636420406</v>
      </c>
      <c r="AN3873">
        <v>0.99999996602650099</v>
      </c>
    </row>
    <row r="3874" spans="1:40" x14ac:dyDescent="0.25">
      <c r="A3874" t="str">
        <f>"20190312161044633"</f>
        <v>20190312161044633</v>
      </c>
      <c r="B3874" t="str">
        <f>"1552378244619975"</f>
        <v>1552378244619975</v>
      </c>
      <c r="C3874" t="s">
        <v>40</v>
      </c>
      <c r="D3874">
        <v>5.4912409999999996</v>
      </c>
      <c r="E3874">
        <v>0.54973309999999997</v>
      </c>
      <c r="F3874" t="s">
        <v>87</v>
      </c>
      <c r="G3874">
        <v>-202.61680000000001</v>
      </c>
      <c r="H3874" s="1">
        <v>-8.2826159999999997E-6</v>
      </c>
      <c r="I3874">
        <v>138.95609999999999</v>
      </c>
      <c r="J3874">
        <v>-189.2766</v>
      </c>
      <c r="K3874">
        <v>1.108943</v>
      </c>
      <c r="L3874">
        <v>184.99629999999999</v>
      </c>
      <c r="M3874">
        <v>-4.1683339999999999E-2</v>
      </c>
      <c r="N3874">
        <v>0</v>
      </c>
      <c r="O3874">
        <v>-0.99910969999999999</v>
      </c>
      <c r="P3874">
        <v>-0.14973339999999999</v>
      </c>
      <c r="Q3874">
        <v>-1.9128800000000001E-2</v>
      </c>
      <c r="R3874">
        <v>-0.98854200000000003</v>
      </c>
      <c r="S3874">
        <v>-0.83985900000000002</v>
      </c>
      <c r="T3874">
        <v>-6.9779040000000001E-2</v>
      </c>
      <c r="U3874">
        <v>-2.9060670000000002</v>
      </c>
      <c r="V3874">
        <v>0.10838109999999999</v>
      </c>
      <c r="W3874">
        <v>-1.2747059999999999E-2</v>
      </c>
      <c r="X3874">
        <v>0.99402769999999996</v>
      </c>
      <c r="Y3874">
        <v>0.23727880000000001</v>
      </c>
      <c r="Z3874">
        <v>2.315704E-2</v>
      </c>
      <c r="AA3874">
        <v>0.97116550000000001</v>
      </c>
      <c r="AB3874">
        <v>14</v>
      </c>
      <c r="AC3874">
        <v>-13.340199999999999</v>
      </c>
      <c r="AD3874">
        <v>-1.108951282616</v>
      </c>
      <c r="AE3874">
        <v>-46.040199999999999</v>
      </c>
      <c r="AF3874">
        <v>11.4033518639189</v>
      </c>
      <c r="AG3874">
        <v>-1.108951282616</v>
      </c>
      <c r="AH3874">
        <v>46.531354436256102</v>
      </c>
      <c r="AI3874">
        <v>91.3260105073565</v>
      </c>
      <c r="AJ3874">
        <v>76.230017033274706</v>
      </c>
      <c r="AK3874">
        <v>47.921113847155702</v>
      </c>
      <c r="AL3874">
        <v>90.730372512671096</v>
      </c>
      <c r="AM3874">
        <v>83.777491020001094</v>
      </c>
      <c r="AN3874">
        <v>1.00000000937157</v>
      </c>
    </row>
    <row r="3875" spans="1:40" x14ac:dyDescent="0.25">
      <c r="A3875" t="str">
        <f>"20190312161044656"</f>
        <v>20190312161044656</v>
      </c>
      <c r="B3875" t="str">
        <f>"1552378244650233"</f>
        <v>1552378244650233</v>
      </c>
      <c r="C3875" t="s">
        <v>40</v>
      </c>
      <c r="D3875">
        <v>5.638388</v>
      </c>
      <c r="E3875">
        <v>0.54833869999999996</v>
      </c>
      <c r="F3875" t="s">
        <v>87</v>
      </c>
      <c r="G3875">
        <v>-202.4409</v>
      </c>
      <c r="H3875" s="1">
        <v>-8.5277239999999902E-6</v>
      </c>
      <c r="I3875">
        <v>139.5384</v>
      </c>
      <c r="J3875">
        <v>-189.28389999999999</v>
      </c>
      <c r="K3875">
        <v>1.108935</v>
      </c>
      <c r="L3875">
        <v>184.8544</v>
      </c>
      <c r="M3875">
        <v>-4.2880689999999999E-2</v>
      </c>
      <c r="N3875">
        <v>0</v>
      </c>
      <c r="O3875">
        <v>-0.99905869999999997</v>
      </c>
      <c r="P3875">
        <v>-0.14998919999999999</v>
      </c>
      <c r="Q3875">
        <v>-1.9168600000000001E-2</v>
      </c>
      <c r="R3875">
        <v>-0.98850179999999999</v>
      </c>
      <c r="S3875">
        <v>-0.84153750000000005</v>
      </c>
      <c r="T3875">
        <v>-7.0890430000000004E-2</v>
      </c>
      <c r="U3875">
        <v>-2.9059300000000001</v>
      </c>
      <c r="V3875">
        <v>0.107447</v>
      </c>
      <c r="W3875">
        <v>-1.280273E-2</v>
      </c>
      <c r="X3875">
        <v>0.99412840000000002</v>
      </c>
      <c r="Y3875">
        <v>0.23664199999999999</v>
      </c>
      <c r="Z3875">
        <v>2.3524929999999999E-2</v>
      </c>
      <c r="AA3875">
        <v>0.97131199999999995</v>
      </c>
      <c r="AB3875">
        <v>14</v>
      </c>
      <c r="AC3875">
        <v>-13.157</v>
      </c>
      <c r="AD3875">
        <v>-1.1089435277240001</v>
      </c>
      <c r="AE3875">
        <v>-45.316000000000003</v>
      </c>
      <c r="AF3875">
        <v>11.1954914208034</v>
      </c>
      <c r="AG3875">
        <v>-1.1089435277240001</v>
      </c>
      <c r="AH3875">
        <v>45.813207717854397</v>
      </c>
      <c r="AI3875">
        <v>91.346995653575803</v>
      </c>
      <c r="AJ3875">
        <v>76.267617535340705</v>
      </c>
      <c r="AK3875">
        <v>47.174344566726496</v>
      </c>
      <c r="AL3875">
        <v>90.733562419950701</v>
      </c>
      <c r="AM3875">
        <v>83.831325486991901</v>
      </c>
      <c r="AN3875">
        <v>1.0000000216955001</v>
      </c>
    </row>
    <row r="3876" spans="1:40" x14ac:dyDescent="0.25">
      <c r="A3876" t="str">
        <f>"20190312161044677"</f>
        <v>20190312161044677</v>
      </c>
      <c r="B3876" t="str">
        <f>"1552378244670728"</f>
        <v>1552378244670728</v>
      </c>
      <c r="C3876" t="s">
        <v>40</v>
      </c>
      <c r="D3876">
        <v>5.3797160000000002</v>
      </c>
      <c r="E3876">
        <v>0.54801540000000004</v>
      </c>
      <c r="F3876" t="s">
        <v>87</v>
      </c>
      <c r="G3876">
        <v>-205.0728</v>
      </c>
      <c r="H3876">
        <v>2.8231320000000001E-2</v>
      </c>
      <c r="I3876">
        <v>129.6163</v>
      </c>
      <c r="J3876">
        <v>-189.29140000000001</v>
      </c>
      <c r="K3876">
        <v>1.108927</v>
      </c>
      <c r="L3876">
        <v>184.71369999999999</v>
      </c>
      <c r="M3876">
        <v>-4.4074969999999998E-2</v>
      </c>
      <c r="N3876">
        <v>0</v>
      </c>
      <c r="O3876">
        <v>-0.99900719999999998</v>
      </c>
      <c r="P3876">
        <v>-0.15042639999999999</v>
      </c>
      <c r="Q3876">
        <v>-1.8783250000000001E-2</v>
      </c>
      <c r="R3876">
        <v>-0.98844319999999997</v>
      </c>
      <c r="S3876">
        <v>-0.83110049999999902</v>
      </c>
      <c r="T3876">
        <v>-5.688667E-2</v>
      </c>
      <c r="U3876">
        <v>-2.907654</v>
      </c>
      <c r="V3876">
        <v>0.10669820000000001</v>
      </c>
      <c r="W3876">
        <v>-1.243183E-2</v>
      </c>
      <c r="X3876">
        <v>0.99421380000000004</v>
      </c>
      <c r="Y3876">
        <v>0.232131</v>
      </c>
      <c r="Z3876">
        <v>1.8887069999999999E-2</v>
      </c>
      <c r="AA3876">
        <v>0.97250119999999896</v>
      </c>
      <c r="AB3876">
        <v>14</v>
      </c>
      <c r="AC3876">
        <v>-15.7813999999999</v>
      </c>
      <c r="AD3876">
        <v>-1.08069568</v>
      </c>
      <c r="AE3876">
        <v>-55.097399999999901</v>
      </c>
      <c r="AF3876">
        <v>13.332855641308299</v>
      </c>
      <c r="AG3876">
        <v>-1.08069568</v>
      </c>
      <c r="AH3876">
        <v>55.719623760549297</v>
      </c>
      <c r="AI3876">
        <v>91.080627585759999</v>
      </c>
      <c r="AJ3876">
        <v>76.5430224588671</v>
      </c>
      <c r="AK3876">
        <v>57.302787146193097</v>
      </c>
      <c r="AL3876">
        <v>90.7123096908077</v>
      </c>
      <c r="AM3876">
        <v>83.874509277908103</v>
      </c>
      <c r="AN3876">
        <v>1.00000006819541</v>
      </c>
    </row>
    <row r="3877" spans="1:40" x14ac:dyDescent="0.25">
      <c r="A3877" t="str">
        <f>"20190312161044700"</f>
        <v>20190312161044700</v>
      </c>
      <c r="B3877" t="str">
        <f>"1552378244690266"</f>
        <v>1552378244690266</v>
      </c>
      <c r="C3877" t="s">
        <v>40</v>
      </c>
      <c r="D3877">
        <v>5.4761769999999999</v>
      </c>
      <c r="E3877">
        <v>0.54790569999999905</v>
      </c>
      <c r="F3877" t="s">
        <v>87</v>
      </c>
      <c r="G3877">
        <v>-205.0213</v>
      </c>
      <c r="H3877">
        <v>7.4496430000000002E-2</v>
      </c>
      <c r="I3877">
        <v>129.59180000000001</v>
      </c>
      <c r="J3877">
        <v>-189.29939999999999</v>
      </c>
      <c r="K3877">
        <v>1.108924</v>
      </c>
      <c r="L3877">
        <v>184.56460000000001</v>
      </c>
      <c r="M3877">
        <v>-4.5345919999999998E-2</v>
      </c>
      <c r="N3877">
        <v>0</v>
      </c>
      <c r="O3877">
        <v>-0.99895029999999996</v>
      </c>
      <c r="P3877">
        <v>-0.15093429999999999</v>
      </c>
      <c r="Q3877">
        <v>-1.7977819999999999E-2</v>
      </c>
      <c r="R3877">
        <v>-0.9883805</v>
      </c>
      <c r="S3877">
        <v>-0.82977289999999904</v>
      </c>
      <c r="T3877">
        <v>-5.4567459999999998E-2</v>
      </c>
      <c r="U3877">
        <v>-2.9077449999999998</v>
      </c>
      <c r="V3877">
        <v>0.10594439999999999</v>
      </c>
      <c r="W3877">
        <v>-1.1639969999999999E-2</v>
      </c>
      <c r="X3877">
        <v>0.99430390000000002</v>
      </c>
      <c r="Y3877">
        <v>0.2304785</v>
      </c>
      <c r="Z3877">
        <v>1.8119940000000001E-2</v>
      </c>
      <c r="AA3877">
        <v>0.97290869999999996</v>
      </c>
      <c r="AB3877">
        <v>14</v>
      </c>
      <c r="AC3877">
        <v>-15.7219</v>
      </c>
      <c r="AD3877">
        <v>-1.0344275700000001</v>
      </c>
      <c r="AE3877">
        <v>-54.972799999999999</v>
      </c>
      <c r="AF3877">
        <v>13.208559000832199</v>
      </c>
      <c r="AG3877">
        <v>-1.0344275700000001</v>
      </c>
      <c r="AH3877">
        <v>55.6109864867148</v>
      </c>
      <c r="AI3877">
        <v>91.036806149591698</v>
      </c>
      <c r="AJ3877">
        <v>76.6388553216525</v>
      </c>
      <c r="AK3877">
        <v>57.167454808672602</v>
      </c>
      <c r="AL3877">
        <v>90.666936232204307</v>
      </c>
      <c r="AM3877">
        <v>83.918006056686096</v>
      </c>
      <c r="AN3877">
        <v>0.99999997517408501</v>
      </c>
    </row>
    <row r="3878" spans="1:40" x14ac:dyDescent="0.25">
      <c r="A3878" t="str">
        <f>"20190312161044720"</f>
        <v>20190312161044720</v>
      </c>
      <c r="B3878" t="str">
        <f>"1552378244710748"</f>
        <v>1552378244710748</v>
      </c>
      <c r="C3878" t="s">
        <v>40</v>
      </c>
      <c r="D3878">
        <v>5.5384989999999998</v>
      </c>
      <c r="E3878">
        <v>0.54793419999999904</v>
      </c>
      <c r="F3878" t="s">
        <v>43</v>
      </c>
      <c r="G3878">
        <v>-209.5829</v>
      </c>
      <c r="H3878">
        <v>-0.05</v>
      </c>
      <c r="I3878">
        <v>113.5457</v>
      </c>
      <c r="J3878">
        <v>-189.30699999999999</v>
      </c>
      <c r="K3878">
        <v>1.10891299999999</v>
      </c>
      <c r="L3878">
        <v>184.42689999999999</v>
      </c>
      <c r="M3878">
        <v>-4.6522170000000002E-2</v>
      </c>
      <c r="N3878">
        <v>0</v>
      </c>
      <c r="O3878">
        <v>-0.99889620000000001</v>
      </c>
      <c r="P3878">
        <v>-0.152313</v>
      </c>
      <c r="Q3878">
        <v>-1.7765050000000001E-2</v>
      </c>
      <c r="R3878">
        <v>-0.98817290000000002</v>
      </c>
      <c r="S3878">
        <v>-0.83042909999999903</v>
      </c>
      <c r="T3878">
        <v>-4.7447679999999999E-2</v>
      </c>
      <c r="U3878">
        <v>-2.9075929999999999</v>
      </c>
      <c r="V3878">
        <v>0.1061605</v>
      </c>
      <c r="W3878">
        <v>-1.1439879999999999E-2</v>
      </c>
      <c r="X3878">
        <v>0.99428320000000003</v>
      </c>
      <c r="Y3878">
        <v>0.22955999999999999</v>
      </c>
      <c r="Z3878">
        <v>1.5757119999999999E-2</v>
      </c>
      <c r="AA3878">
        <v>0.97316689999999995</v>
      </c>
      <c r="AB3878">
        <v>14</v>
      </c>
      <c r="AC3878">
        <v>-20.275899999999901</v>
      </c>
      <c r="AD3878">
        <v>-1.1589130000000001</v>
      </c>
      <c r="AE3878">
        <v>-70.881199999999893</v>
      </c>
      <c r="AF3878">
        <v>16.952139940452099</v>
      </c>
      <c r="AG3878">
        <v>-1.1589130000000001</v>
      </c>
      <c r="AH3878">
        <v>71.730024552646597</v>
      </c>
      <c r="AI3878">
        <v>90.900813646436802</v>
      </c>
      <c r="AJ3878">
        <v>76.703116309814007</v>
      </c>
      <c r="AK3878">
        <v>73.7150903833505</v>
      </c>
      <c r="AL3878">
        <v>90.655471138229998</v>
      </c>
      <c r="AM3878">
        <v>83.905567656287104</v>
      </c>
      <c r="AN3878">
        <v>1.0000000022084501</v>
      </c>
    </row>
    <row r="3879" spans="1:40" x14ac:dyDescent="0.25">
      <c r="A3879" t="str">
        <f>"20190312161044742"</f>
        <v>20190312161044742</v>
      </c>
      <c r="B3879" t="str">
        <f>"1552378244730264"</f>
        <v>1552378244730264</v>
      </c>
      <c r="C3879" t="s">
        <v>40</v>
      </c>
      <c r="D3879">
        <v>5.5622669999999896</v>
      </c>
      <c r="E3879">
        <v>0.54818929999999999</v>
      </c>
      <c r="F3879" t="s">
        <v>43</v>
      </c>
      <c r="G3879">
        <v>-210.88560000000001</v>
      </c>
      <c r="H3879">
        <v>-0.05</v>
      </c>
      <c r="I3879">
        <v>109.2891</v>
      </c>
      <c r="J3879">
        <v>-189.3151</v>
      </c>
      <c r="K3879">
        <v>1.1089039999999999</v>
      </c>
      <c r="L3879">
        <v>184.2835</v>
      </c>
      <c r="M3879">
        <v>-4.7749600000000003E-2</v>
      </c>
      <c r="N3879">
        <v>0</v>
      </c>
      <c r="O3879">
        <v>-0.99883849999999996</v>
      </c>
      <c r="P3879">
        <v>-0.15409339999999999</v>
      </c>
      <c r="Q3879">
        <v>-1.7498730000000001E-2</v>
      </c>
      <c r="R3879">
        <v>-0.98790160000000005</v>
      </c>
      <c r="S3879">
        <v>-0.83468629999999999</v>
      </c>
      <c r="T3879">
        <v>-4.4828300000000001E-2</v>
      </c>
      <c r="U3879">
        <v>-2.9064329999999998</v>
      </c>
      <c r="V3879">
        <v>0.1067302</v>
      </c>
      <c r="W3879">
        <v>-1.118589E-2</v>
      </c>
      <c r="X3879">
        <v>0.99422509999999997</v>
      </c>
      <c r="Y3879">
        <v>0.22978760000000001</v>
      </c>
      <c r="Z3879">
        <v>1.4888490000000001E-2</v>
      </c>
      <c r="AA3879">
        <v>0.97312690000000002</v>
      </c>
      <c r="AB3879">
        <v>15</v>
      </c>
      <c r="AC3879">
        <v>-21.570499999999999</v>
      </c>
      <c r="AD3879">
        <v>-1.1589039999999999</v>
      </c>
      <c r="AE3879">
        <v>-74.994399999999999</v>
      </c>
      <c r="AF3879">
        <v>17.960905804855901</v>
      </c>
      <c r="AG3879">
        <v>-1.1589039999999999</v>
      </c>
      <c r="AH3879">
        <v>75.922112297476204</v>
      </c>
      <c r="AI3879">
        <v>90.851030294687803</v>
      </c>
      <c r="AJ3879">
        <v>76.690223676513995</v>
      </c>
      <c r="AK3879">
        <v>78.026305381728207</v>
      </c>
      <c r="AL3879">
        <v>90.640917650335197</v>
      </c>
      <c r="AM3879">
        <v>83.872755257537307</v>
      </c>
      <c r="AN3879">
        <v>1.00000000459857</v>
      </c>
    </row>
    <row r="3880" spans="1:40" x14ac:dyDescent="0.25">
      <c r="A3880" t="str">
        <f>"20190312161044766"</f>
        <v>20190312161044766</v>
      </c>
      <c r="B3880" t="str">
        <f>"1552378244760520"</f>
        <v>1552378244760520</v>
      </c>
      <c r="C3880" t="s">
        <v>40</v>
      </c>
      <c r="D3880">
        <v>5.4421520000000001</v>
      </c>
      <c r="E3880">
        <v>0.45187519999999998</v>
      </c>
      <c r="F3880" t="s">
        <v>43</v>
      </c>
      <c r="G3880">
        <v>-209.4683</v>
      </c>
      <c r="H3880">
        <v>-0.05</v>
      </c>
      <c r="I3880">
        <v>114.7617</v>
      </c>
      <c r="J3880">
        <v>-189.32400000000001</v>
      </c>
      <c r="K3880">
        <v>1.1089</v>
      </c>
      <c r="L3880">
        <v>184.12989999999999</v>
      </c>
      <c r="M3880">
        <v>-4.9064780000000002E-2</v>
      </c>
      <c r="N3880">
        <v>0</v>
      </c>
      <c r="O3880">
        <v>-0.99877470000000002</v>
      </c>
      <c r="P3880">
        <v>-0.1556062</v>
      </c>
      <c r="Q3880">
        <v>-1.707798E-2</v>
      </c>
      <c r="R3880">
        <v>-0.98767179999999999</v>
      </c>
      <c r="S3880">
        <v>-0.84197999999999995</v>
      </c>
      <c r="T3880">
        <v>-4.8417929999999998E-2</v>
      </c>
      <c r="U3880">
        <v>-2.9045559999999999</v>
      </c>
      <c r="V3880">
        <v>0.1069437</v>
      </c>
      <c r="W3880">
        <v>-1.0775710000000001E-2</v>
      </c>
      <c r="X3880">
        <v>0.9942067</v>
      </c>
      <c r="Y3880">
        <v>0.2309233</v>
      </c>
      <c r="Z3880">
        <v>1.6081129999999999E-2</v>
      </c>
      <c r="AA3880">
        <v>0.97283909999999996</v>
      </c>
      <c r="AB3880">
        <v>15</v>
      </c>
      <c r="AC3880">
        <v>-20.144299999999902</v>
      </c>
      <c r="AD3880">
        <v>-1.1589</v>
      </c>
      <c r="AE3880">
        <v>-69.368199999999902</v>
      </c>
      <c r="AF3880">
        <v>16.7121289315517</v>
      </c>
      <c r="AG3880">
        <v>-1.1589</v>
      </c>
      <c r="AH3880">
        <v>70.254961950272403</v>
      </c>
      <c r="AI3880">
        <v>90.919394442058405</v>
      </c>
      <c r="AJ3880">
        <v>76.619267163507601</v>
      </c>
      <c r="AK3880">
        <v>72.224635556498598</v>
      </c>
      <c r="AL3880">
        <v>90.617414643006498</v>
      </c>
      <c r="AM3880">
        <v>83.860479250873396</v>
      </c>
      <c r="AN3880">
        <v>1.00000001661029</v>
      </c>
    </row>
    <row r="3881" spans="1:40" x14ac:dyDescent="0.25">
      <c r="A3881" t="str">
        <f>"20190312161044788"</f>
        <v>20190312161044788</v>
      </c>
      <c r="B3881" t="str">
        <f>"1552378244780056"</f>
        <v>1552378244780056</v>
      </c>
      <c r="C3881" t="s">
        <v>40</v>
      </c>
      <c r="D3881">
        <v>5.435791</v>
      </c>
      <c r="E3881">
        <v>0.45112069999999999</v>
      </c>
      <c r="F3881" t="s">
        <v>41</v>
      </c>
      <c r="G3881">
        <v>-189.92160000000001</v>
      </c>
      <c r="H3881" s="1">
        <v>-2.014693E-6</v>
      </c>
      <c r="I3881">
        <v>163.8638</v>
      </c>
      <c r="J3881">
        <v>-189.333</v>
      </c>
      <c r="K3881">
        <v>1.108892</v>
      </c>
      <c r="L3881">
        <v>183.97829999999999</v>
      </c>
      <c r="M3881">
        <v>-5.0362089999999998E-2</v>
      </c>
      <c r="N3881">
        <v>0</v>
      </c>
      <c r="O3881">
        <v>-0.99871030000000005</v>
      </c>
      <c r="P3881">
        <v>-0.156893</v>
      </c>
      <c r="Q3881">
        <v>-1.675219E-2</v>
      </c>
      <c r="R3881">
        <v>-0.98747410000000002</v>
      </c>
      <c r="S3881">
        <v>-8.9065549999999993E-2</v>
      </c>
      <c r="T3881">
        <v>-0.1652757</v>
      </c>
      <c r="U3881">
        <v>-3.0205380000000002</v>
      </c>
      <c r="V3881">
        <v>0.1069479</v>
      </c>
      <c r="W3881">
        <v>-1.045832E-2</v>
      </c>
      <c r="X3881">
        <v>0.99420960000000003</v>
      </c>
      <c r="Y3881">
        <v>-2.0948689999999999E-2</v>
      </c>
      <c r="Z3881">
        <v>5.4513880000000001E-2</v>
      </c>
      <c r="AA3881">
        <v>0.99829319999999999</v>
      </c>
      <c r="AB3881">
        <v>15</v>
      </c>
      <c r="AC3881">
        <v>-0.588600000000013</v>
      </c>
      <c r="AD3881">
        <v>-1.108894014693</v>
      </c>
      <c r="AE3881">
        <v>-20.1144999999999</v>
      </c>
      <c r="AF3881">
        <v>-0.42388898915822998</v>
      </c>
      <c r="AG3881">
        <v>-1.108894014693</v>
      </c>
      <c r="AH3881">
        <v>20.057710317176699</v>
      </c>
      <c r="AI3881">
        <v>93.163680888822597</v>
      </c>
      <c r="AJ3881">
        <v>91.210678333822003</v>
      </c>
      <c r="AK3881">
        <v>20.092811425450801</v>
      </c>
      <c r="AL3881">
        <v>90.599228533151205</v>
      </c>
      <c r="AM3881">
        <v>83.860257747263404</v>
      </c>
      <c r="AN3881">
        <v>0.99999997925189599</v>
      </c>
    </row>
    <row r="3882" spans="1:40" x14ac:dyDescent="0.25">
      <c r="A3882" t="str">
        <f>"20190312161044811"</f>
        <v>20190312161044811</v>
      </c>
      <c r="B3882" t="str">
        <f>"1552378244800539"</f>
        <v>1552378244800539</v>
      </c>
      <c r="C3882" t="s">
        <v>40</v>
      </c>
      <c r="D3882">
        <v>5.3384650000000002</v>
      </c>
      <c r="E3882">
        <v>0.4534821</v>
      </c>
      <c r="F3882" t="s">
        <v>87</v>
      </c>
      <c r="G3882">
        <v>-190.15639999999999</v>
      </c>
      <c r="H3882" s="1">
        <v>-1.312577E-5</v>
      </c>
      <c r="I3882">
        <v>155.25880000000001</v>
      </c>
      <c r="J3882">
        <v>-189.34209999999999</v>
      </c>
      <c r="K3882">
        <v>1.1088849999999999</v>
      </c>
      <c r="L3882">
        <v>183.82679999999999</v>
      </c>
      <c r="M3882">
        <v>-5.1657920000000003E-2</v>
      </c>
      <c r="N3882">
        <v>0</v>
      </c>
      <c r="O3882">
        <v>-0.99864410000000003</v>
      </c>
      <c r="P3882">
        <v>-0.1582276</v>
      </c>
      <c r="Q3882">
        <v>-1.6776800000000001E-2</v>
      </c>
      <c r="R3882">
        <v>-0.98726029999999998</v>
      </c>
      <c r="S3882">
        <v>-8.6654659999999994E-2</v>
      </c>
      <c r="T3882">
        <v>-0.1166962</v>
      </c>
      <c r="U3882">
        <v>-3.0223080000000002</v>
      </c>
      <c r="V3882">
        <v>0.1070016</v>
      </c>
      <c r="W3882">
        <v>-1.049127E-2</v>
      </c>
      <c r="X3882">
        <v>0.99420350000000002</v>
      </c>
      <c r="Y3882">
        <v>-2.3037390000000001E-2</v>
      </c>
      <c r="Z3882">
        <v>3.849263E-2</v>
      </c>
      <c r="AA3882">
        <v>0.99899329999999997</v>
      </c>
      <c r="AB3882">
        <v>15</v>
      </c>
      <c r="AC3882">
        <v>-0.81430000000000202</v>
      </c>
      <c r="AD3882">
        <v>-1.1088981257699999</v>
      </c>
      <c r="AE3882">
        <v>-28.567999999999898</v>
      </c>
      <c r="AF3882">
        <v>-0.66158529632210406</v>
      </c>
      <c r="AG3882">
        <v>-1.1088981257699999</v>
      </c>
      <c r="AH3882">
        <v>28.528972041828201</v>
      </c>
      <c r="AI3882">
        <v>92.225322512482705</v>
      </c>
      <c r="AJ3882">
        <v>91.328447882629803</v>
      </c>
      <c r="AK3882">
        <v>28.558179142253799</v>
      </c>
      <c r="AL3882">
        <v>90.601116517659506</v>
      </c>
      <c r="AM3882">
        <v>83.857161061138001</v>
      </c>
      <c r="AN3882">
        <v>1.0000000042805099</v>
      </c>
    </row>
    <row r="3883" spans="1:40" x14ac:dyDescent="0.25">
      <c r="A3883" t="str">
        <f>"20190312161044833"</f>
        <v>20190312161044833</v>
      </c>
      <c r="B3883" t="str">
        <f>"1552378244820057"</f>
        <v>1552378244820057</v>
      </c>
      <c r="C3883" t="s">
        <v>40</v>
      </c>
      <c r="D3883">
        <v>5.2957830000000001</v>
      </c>
      <c r="E3883">
        <v>0.45480609999999999</v>
      </c>
      <c r="F3883" t="s">
        <v>87</v>
      </c>
      <c r="G3883">
        <v>-190.4015</v>
      </c>
      <c r="H3883" s="1">
        <v>-1.28574E-5</v>
      </c>
      <c r="I3883">
        <v>154.55879999999999</v>
      </c>
      <c r="J3883">
        <v>-189.35140000000001</v>
      </c>
      <c r="K3883">
        <v>1.1088750000000001</v>
      </c>
      <c r="L3883">
        <v>183.67679999999999</v>
      </c>
      <c r="M3883">
        <v>-5.2939989999999999E-2</v>
      </c>
      <c r="N3883">
        <v>0</v>
      </c>
      <c r="O3883">
        <v>-0.99857680000000004</v>
      </c>
      <c r="P3883">
        <v>-0.15897069999999999</v>
      </c>
      <c r="Q3883">
        <v>-1.684542E-2</v>
      </c>
      <c r="R3883">
        <v>-0.98713960000000001</v>
      </c>
      <c r="S3883">
        <v>-0.1092834</v>
      </c>
      <c r="T3883">
        <v>-0.1143932</v>
      </c>
      <c r="U3883">
        <v>-3.019272</v>
      </c>
      <c r="V3883">
        <v>0.106473499999999</v>
      </c>
      <c r="W3883">
        <v>-1.05702E-2</v>
      </c>
      <c r="X3883">
        <v>0.99425940000000002</v>
      </c>
      <c r="Y3883">
        <v>-1.6811400000000001E-2</v>
      </c>
      <c r="Z3883">
        <v>3.7765920000000001E-2</v>
      </c>
      <c r="AA3883">
        <v>0.99914519999999996</v>
      </c>
      <c r="AB3883">
        <v>15</v>
      </c>
      <c r="AC3883">
        <v>-1.05009999999998</v>
      </c>
      <c r="AD3883">
        <v>-1.1088878573999901</v>
      </c>
      <c r="AE3883">
        <v>-29.117999999999899</v>
      </c>
      <c r="AF3883">
        <v>-0.49219851732934</v>
      </c>
      <c r="AG3883">
        <v>-1.1088878573999901</v>
      </c>
      <c r="AH3883">
        <v>29.090624653957299</v>
      </c>
      <c r="AI3883">
        <v>92.182654058122395</v>
      </c>
      <c r="AJ3883">
        <v>90.969322849120104</v>
      </c>
      <c r="AK3883">
        <v>29.115912048537599</v>
      </c>
      <c r="AL3883">
        <v>90.605639099688304</v>
      </c>
      <c r="AM3883">
        <v>83.887589655146996</v>
      </c>
      <c r="AN3883">
        <v>1.00000004490932</v>
      </c>
    </row>
    <row r="3884" spans="1:40" x14ac:dyDescent="0.25">
      <c r="A3884" t="str">
        <f>"20190312161044856"</f>
        <v>20190312161044856</v>
      </c>
      <c r="B3884" t="str">
        <f>"1552378244850312"</f>
        <v>1552378244850312</v>
      </c>
      <c r="C3884" t="s">
        <v>40</v>
      </c>
      <c r="D3884">
        <v>5.3597839999999897</v>
      </c>
      <c r="E3884">
        <v>0.45509070000000001</v>
      </c>
      <c r="F3884" t="s">
        <v>87</v>
      </c>
      <c r="G3884">
        <v>-190.5146</v>
      </c>
      <c r="H3884" s="1">
        <v>-1.3007140000000001E-5</v>
      </c>
      <c r="I3884">
        <v>154.90819999999999</v>
      </c>
      <c r="J3884">
        <v>-189.36109999999999</v>
      </c>
      <c r="K3884">
        <v>1.108865</v>
      </c>
      <c r="L3884">
        <v>183.52260000000001</v>
      </c>
      <c r="M3884">
        <v>-5.4256829999999999E-2</v>
      </c>
      <c r="N3884">
        <v>0</v>
      </c>
      <c r="O3884">
        <v>-0.99850629999999996</v>
      </c>
      <c r="P3884">
        <v>-0.15958139999999901</v>
      </c>
      <c r="Q3884">
        <v>-1.7493169999999999E-2</v>
      </c>
      <c r="R3884">
        <v>-0.98702990000000002</v>
      </c>
      <c r="S3884">
        <v>-0.1220093</v>
      </c>
      <c r="T3884">
        <v>-0.1163087</v>
      </c>
      <c r="U3884">
        <v>-3.017471</v>
      </c>
      <c r="V3884">
        <v>0.105777</v>
      </c>
      <c r="W3884">
        <v>-1.1231909999999999E-2</v>
      </c>
      <c r="X3884">
        <v>0.99432640000000005</v>
      </c>
      <c r="Y3884">
        <v>-1.3901770000000001E-2</v>
      </c>
      <c r="Z3884">
        <v>3.8413910000000002E-2</v>
      </c>
      <c r="AA3884">
        <v>0.99916519999999998</v>
      </c>
      <c r="AB3884">
        <v>15</v>
      </c>
      <c r="AC3884">
        <v>-1.1535</v>
      </c>
      <c r="AD3884">
        <v>-1.10887800714</v>
      </c>
      <c r="AE3884">
        <v>-28.6144</v>
      </c>
      <c r="AF3884">
        <v>-0.40015794504275498</v>
      </c>
      <c r="AG3884">
        <v>-1.10887800714</v>
      </c>
      <c r="AH3884">
        <v>28.591967788985698</v>
      </c>
      <c r="AI3884">
        <v>92.220763289060599</v>
      </c>
      <c r="AJ3884">
        <v>90.801828848701902</v>
      </c>
      <c r="AK3884">
        <v>28.616260392687501</v>
      </c>
      <c r="AL3884">
        <v>90.643554596690393</v>
      </c>
      <c r="AM3884">
        <v>83.927680582173807</v>
      </c>
      <c r="AN3884">
        <v>0.99999995963410304</v>
      </c>
    </row>
    <row r="3885" spans="1:40" x14ac:dyDescent="0.25">
      <c r="A3885" t="str">
        <f>"20190312161044879"</f>
        <v>20190312161044879</v>
      </c>
      <c r="B3885" t="str">
        <f>"1552378244870808"</f>
        <v>1552378244870808</v>
      </c>
      <c r="C3885" t="s">
        <v>40</v>
      </c>
      <c r="D3885">
        <v>5.3660680000000003</v>
      </c>
      <c r="E3885">
        <v>0.4552505</v>
      </c>
      <c r="F3885" t="s">
        <v>87</v>
      </c>
      <c r="G3885">
        <v>-190.56530000000001</v>
      </c>
      <c r="H3885" s="1">
        <v>-1.2909500000000001E-5</v>
      </c>
      <c r="I3885">
        <v>154.67019999999999</v>
      </c>
      <c r="J3885">
        <v>-189.37129999999999</v>
      </c>
      <c r="K3885">
        <v>1.1088530000000001</v>
      </c>
      <c r="L3885">
        <v>183.3638</v>
      </c>
      <c r="M3885">
        <v>-5.5611019999999997E-2</v>
      </c>
      <c r="N3885">
        <v>0</v>
      </c>
      <c r="O3885">
        <v>-0.99843199999999999</v>
      </c>
      <c r="P3885">
        <v>-0.16127920000000001</v>
      </c>
      <c r="Q3885">
        <v>-1.8335359999999998E-2</v>
      </c>
      <c r="R3885">
        <v>-0.98673880000000003</v>
      </c>
      <c r="S3885">
        <v>-0.12591550000000001</v>
      </c>
      <c r="T3885">
        <v>-0.1159521</v>
      </c>
      <c r="U3885">
        <v>-3.0170140000000001</v>
      </c>
      <c r="V3885">
        <v>0.1061386</v>
      </c>
      <c r="W3885">
        <v>-1.2091920000000001E-2</v>
      </c>
      <c r="X3885">
        <v>0.99427779999999999</v>
      </c>
      <c r="Y3885">
        <v>-1.39601E-2</v>
      </c>
      <c r="Z3885">
        <v>3.8296810000000001E-2</v>
      </c>
      <c r="AA3885">
        <v>0.99916890000000003</v>
      </c>
      <c r="AB3885">
        <v>15</v>
      </c>
      <c r="AC3885">
        <v>-1.1940000000000099</v>
      </c>
      <c r="AD3885">
        <v>-1.1088659095</v>
      </c>
      <c r="AE3885">
        <v>-28.6936</v>
      </c>
      <c r="AF3885">
        <v>-0.40296006292908798</v>
      </c>
      <c r="AG3885">
        <v>-1.1088659095</v>
      </c>
      <c r="AH3885">
        <v>28.672848854513301</v>
      </c>
      <c r="AI3885">
        <v>92.214479209285201</v>
      </c>
      <c r="AJ3885">
        <v>90.805165583929195</v>
      </c>
      <c r="AK3885">
        <v>28.697111733610601</v>
      </c>
      <c r="AL3885">
        <v>90.692832880294503</v>
      </c>
      <c r="AM3885">
        <v>83.906782583124198</v>
      </c>
      <c r="AN3885">
        <v>0.99999998025604298</v>
      </c>
    </row>
    <row r="3886" spans="1:40" x14ac:dyDescent="0.25">
      <c r="A3886" t="str">
        <f>"20190312161044903"</f>
        <v>20190312161044903</v>
      </c>
      <c r="B3886" t="str">
        <f>"1552378244890330"</f>
        <v>1552378244890330</v>
      </c>
      <c r="C3886" t="s">
        <v>40</v>
      </c>
      <c r="D3886">
        <v>5.3861339999999904</v>
      </c>
      <c r="E3886">
        <v>0.45531539999999998</v>
      </c>
      <c r="F3886" t="s">
        <v>87</v>
      </c>
      <c r="G3886">
        <v>-190.60839999999999</v>
      </c>
      <c r="H3886" s="1">
        <v>-1.3128469999999999E-5</v>
      </c>
      <c r="I3886">
        <v>155.17169999999999</v>
      </c>
      <c r="J3886">
        <v>-189.38159999999999</v>
      </c>
      <c r="K3886">
        <v>1.108841</v>
      </c>
      <c r="L3886">
        <v>183.20740000000001</v>
      </c>
      <c r="M3886">
        <v>-5.6942329999999999E-2</v>
      </c>
      <c r="N3886">
        <v>0</v>
      </c>
      <c r="O3886">
        <v>-0.99835719999999994</v>
      </c>
      <c r="P3886">
        <v>-0.16291120000000001</v>
      </c>
      <c r="Q3886">
        <v>-1.821474E-2</v>
      </c>
      <c r="R3886">
        <v>-0.98647300000000004</v>
      </c>
      <c r="S3886">
        <v>-0.13236999999999999</v>
      </c>
      <c r="T3886">
        <v>-0.118647</v>
      </c>
      <c r="U3886">
        <v>-3.0165099999999998</v>
      </c>
      <c r="V3886">
        <v>0.1064572</v>
      </c>
      <c r="W3886">
        <v>-1.198776E-2</v>
      </c>
      <c r="X3886">
        <v>0.99424500000000005</v>
      </c>
      <c r="Y3886">
        <v>-1.3153939999999999E-2</v>
      </c>
      <c r="Z3886">
        <v>3.918605E-2</v>
      </c>
      <c r="AA3886">
        <v>0.99914530000000001</v>
      </c>
      <c r="AB3886">
        <v>15</v>
      </c>
      <c r="AC3886">
        <v>-1.2267999999999899</v>
      </c>
      <c r="AD3886">
        <v>-1.10885412847</v>
      </c>
      <c r="AE3886">
        <v>-28.035699999999999</v>
      </c>
      <c r="AF3886">
        <v>-0.371061638499947</v>
      </c>
      <c r="AG3886">
        <v>-1.10885412847</v>
      </c>
      <c r="AH3886">
        <v>28.0163248537317</v>
      </c>
      <c r="AI3886">
        <v>92.266319937013293</v>
      </c>
      <c r="AJ3886">
        <v>90.7588084067105</v>
      </c>
      <c r="AK3886">
        <v>28.040715085882098</v>
      </c>
      <c r="AL3886">
        <v>90.686864518725699</v>
      </c>
      <c r="AM3886">
        <v>83.888430475507704</v>
      </c>
      <c r="AN3886">
        <v>0.99999998092332798</v>
      </c>
    </row>
    <row r="3887" spans="1:40" x14ac:dyDescent="0.25">
      <c r="A3887" t="str">
        <f>"20190312161044923"</f>
        <v>20190312161044923</v>
      </c>
      <c r="B3887" t="str">
        <f>"1552378244920585"</f>
        <v>1552378244920585</v>
      </c>
      <c r="C3887" t="s">
        <v>40</v>
      </c>
      <c r="D3887">
        <v>5.5929449999999896</v>
      </c>
      <c r="E3887">
        <v>0.4551309</v>
      </c>
      <c r="F3887" t="s">
        <v>87</v>
      </c>
      <c r="G3887">
        <v>-190.6617</v>
      </c>
      <c r="H3887" s="1">
        <v>-1.3143360000000001E-5</v>
      </c>
      <c r="I3887">
        <v>155.19540000000001</v>
      </c>
      <c r="J3887">
        <v>-189.3913</v>
      </c>
      <c r="K3887">
        <v>1.1088279999999999</v>
      </c>
      <c r="L3887">
        <v>183.06270000000001</v>
      </c>
      <c r="M3887">
        <v>-5.8173959999999997E-2</v>
      </c>
      <c r="N3887">
        <v>0</v>
      </c>
      <c r="O3887">
        <v>-0.99828609999999895</v>
      </c>
      <c r="P3887">
        <v>-0.16457649999999999</v>
      </c>
      <c r="Q3887">
        <v>-1.8345940000000002E-2</v>
      </c>
      <c r="R3887">
        <v>-0.98619409999999996</v>
      </c>
      <c r="S3887">
        <v>-0.1378326</v>
      </c>
      <c r="T3887">
        <v>-0.119394899999999</v>
      </c>
      <c r="U3887">
        <v>-3.0161739999999999</v>
      </c>
      <c r="V3887">
        <v>0.106909</v>
      </c>
      <c r="W3887">
        <v>-1.2132840000000001E-2</v>
      </c>
      <c r="X3887">
        <v>0.99419480000000005</v>
      </c>
      <c r="Y3887">
        <v>-1.257717E-2</v>
      </c>
      <c r="Z3887">
        <v>3.943141E-2</v>
      </c>
      <c r="AA3887">
        <v>0.99914309999999995</v>
      </c>
      <c r="AB3887">
        <v>15</v>
      </c>
      <c r="AC3887">
        <v>-1.27039999999999</v>
      </c>
      <c r="AD3887">
        <v>-1.1088411433600001</v>
      </c>
      <c r="AE3887">
        <v>-27.8673</v>
      </c>
      <c r="AF3887">
        <v>-0.35237896191860502</v>
      </c>
      <c r="AG3887">
        <v>-1.1088411433600001</v>
      </c>
      <c r="AH3887">
        <v>27.850007409980599</v>
      </c>
      <c r="AI3887">
        <v>92.279830710185806</v>
      </c>
      <c r="AJ3887">
        <v>90.724910040570407</v>
      </c>
      <c r="AK3887">
        <v>27.8743002127406</v>
      </c>
      <c r="AL3887">
        <v>90.695177567859702</v>
      </c>
      <c r="AM3887">
        <v>83.862383230675107</v>
      </c>
      <c r="AN3887">
        <v>1.0000000202172501</v>
      </c>
    </row>
    <row r="3888" spans="1:40" x14ac:dyDescent="0.25">
      <c r="A3888" t="str">
        <f>"20190312161044945"</f>
        <v>20190312161044945</v>
      </c>
      <c r="B3888" t="str">
        <f>"1552378244940105"</f>
        <v>1552378244940105</v>
      </c>
      <c r="C3888" t="s">
        <v>40</v>
      </c>
      <c r="D3888">
        <v>5.050916</v>
      </c>
      <c r="E3888">
        <v>0.45252700000000001</v>
      </c>
      <c r="F3888" t="s">
        <v>87</v>
      </c>
      <c r="G3888">
        <v>-190.72819999999999</v>
      </c>
      <c r="H3888" s="1">
        <v>-1.2890009999999999E-5</v>
      </c>
      <c r="I3888">
        <v>154.57329999999999</v>
      </c>
      <c r="J3888">
        <v>-189.40209999999999</v>
      </c>
      <c r="K3888">
        <v>1.108814</v>
      </c>
      <c r="L3888">
        <v>182.90440000000001</v>
      </c>
      <c r="M3888">
        <v>-5.9520219999999999E-2</v>
      </c>
      <c r="N3888">
        <v>0</v>
      </c>
      <c r="O3888">
        <v>-0.9982067</v>
      </c>
      <c r="P3888">
        <v>-0.16658100000000001</v>
      </c>
      <c r="Q3888">
        <v>-1.9096930000000002E-2</v>
      </c>
      <c r="R3888">
        <v>-0.98584289999999997</v>
      </c>
      <c r="S3888">
        <v>-0.14154050000000001</v>
      </c>
      <c r="T3888">
        <v>-0.1173941</v>
      </c>
      <c r="U3888">
        <v>-3.0162049999999998</v>
      </c>
      <c r="V3888">
        <v>0.1075888</v>
      </c>
      <c r="W3888">
        <v>-1.289774E-2</v>
      </c>
      <c r="X3888">
        <v>0.99411179999999999</v>
      </c>
      <c r="Y3888">
        <v>-1.26993E-2</v>
      </c>
      <c r="Z3888">
        <v>3.8765479999999998E-2</v>
      </c>
      <c r="AA3888">
        <v>0.99916760000000004</v>
      </c>
      <c r="AB3888">
        <v>15</v>
      </c>
      <c r="AC3888">
        <v>-1.3260999999999901</v>
      </c>
      <c r="AD3888">
        <v>-1.10882689001</v>
      </c>
      <c r="AE3888">
        <v>-28.331099999999999</v>
      </c>
      <c r="AF3888">
        <v>-0.36200547719690501</v>
      </c>
      <c r="AG3888">
        <v>-1.10882689001</v>
      </c>
      <c r="AH3888">
        <v>28.3165208403802</v>
      </c>
      <c r="AI3888">
        <v>92.242276720358703</v>
      </c>
      <c r="AJ3888">
        <v>90.732443659354701</v>
      </c>
      <c r="AK3888">
        <v>28.340534531677701</v>
      </c>
      <c r="AL3888">
        <v>90.739006567557297</v>
      </c>
      <c r="AM3888">
        <v>83.823145104809399</v>
      </c>
      <c r="AN3888">
        <v>0.99999998624089304</v>
      </c>
    </row>
    <row r="3889" spans="1:40" x14ac:dyDescent="0.25">
      <c r="A3889" t="str">
        <f>"20190312161044991"</f>
        <v>20190312161044991</v>
      </c>
      <c r="B3889" t="str">
        <f>"1552378244980120"</f>
        <v>1552378244980120</v>
      </c>
      <c r="C3889" t="s">
        <v>40</v>
      </c>
      <c r="D3889">
        <v>5.5343629999999999</v>
      </c>
      <c r="E3889">
        <v>0.45252700000000001</v>
      </c>
      <c r="F3889" t="s">
        <v>42</v>
      </c>
      <c r="G3889">
        <v>-189.43879999999999</v>
      </c>
      <c r="H3889">
        <v>1.0154160000000001</v>
      </c>
      <c r="I3889">
        <v>182.05770000000001</v>
      </c>
      <c r="J3889">
        <v>-189.42490000000001</v>
      </c>
      <c r="K3889">
        <v>1.108792</v>
      </c>
      <c r="L3889">
        <v>182.5796</v>
      </c>
      <c r="M3889">
        <v>-6.2280729999999999E-2</v>
      </c>
      <c r="N3889">
        <v>0</v>
      </c>
      <c r="O3889">
        <v>-0.9980386</v>
      </c>
      <c r="P3889">
        <v>-0.17160449999999999</v>
      </c>
      <c r="Q3889">
        <v>-1.976172E-2</v>
      </c>
      <c r="R3889">
        <v>-0.98496799999999995</v>
      </c>
      <c r="S3889">
        <v>-0.1303406</v>
      </c>
      <c r="T3889">
        <v>-0.3325475</v>
      </c>
      <c r="U3889">
        <v>-3.0146329999999999</v>
      </c>
      <c r="V3889">
        <v>0.10990610000000001</v>
      </c>
      <c r="W3889">
        <v>-1.358695E-2</v>
      </c>
      <c r="X3889">
        <v>0.99384910000000004</v>
      </c>
      <c r="Y3889">
        <v>-1.9371200000000002E-2</v>
      </c>
      <c r="Z3889">
        <v>0.10926719999999999</v>
      </c>
      <c r="AA3889">
        <v>0.99382360000000003</v>
      </c>
      <c r="AB3889">
        <v>16</v>
      </c>
      <c r="AC3889">
        <v>-1.3899999999978201E-2</v>
      </c>
      <c r="AD3889">
        <v>-9.3375999999999904E-2</v>
      </c>
      <c r="AE3889">
        <v>-0.52189999999998804</v>
      </c>
      <c r="AF3889">
        <v>-1.8054423587435298E-2</v>
      </c>
      <c r="AG3889">
        <v>-9.3375999999999904E-2</v>
      </c>
      <c r="AH3889">
        <v>0.50557997362654705</v>
      </c>
      <c r="AI3889">
        <v>100.457572339916</v>
      </c>
      <c r="AJ3889">
        <v>92.045181666417804</v>
      </c>
      <c r="AK3889">
        <v>0.51444742133603405</v>
      </c>
      <c r="AL3889">
        <v>90.778498849247796</v>
      </c>
      <c r="AM3889">
        <v>83.689512423099202</v>
      </c>
      <c r="AN3889">
        <v>0.99999999479916102</v>
      </c>
    </row>
    <row r="3890" spans="1:40" x14ac:dyDescent="0.25">
      <c r="A3890" t="str">
        <f>"20190312161045033"</f>
        <v>20190312161045033</v>
      </c>
      <c r="B3890" t="str">
        <f>"1552378245030873"</f>
        <v>1552378245030873</v>
      </c>
      <c r="C3890" t="s">
        <v>40</v>
      </c>
      <c r="D3890">
        <v>6.2219989999999896</v>
      </c>
      <c r="E3890">
        <v>0.57984630000000004</v>
      </c>
      <c r="F3890" t="s">
        <v>42</v>
      </c>
      <c r="G3890">
        <v>-189.464</v>
      </c>
      <c r="H3890">
        <v>1.0193639999999999</v>
      </c>
      <c r="I3890">
        <v>181.77279999999999</v>
      </c>
      <c r="J3890">
        <v>-189.44669999999999</v>
      </c>
      <c r="K3890">
        <v>1.108787</v>
      </c>
      <c r="L3890">
        <v>182.28200000000001</v>
      </c>
      <c r="M3890">
        <v>-6.4804810000000004E-2</v>
      </c>
      <c r="N3890">
        <v>0</v>
      </c>
      <c r="O3890">
        <v>-0.99787780000000004</v>
      </c>
      <c r="P3890">
        <v>-0.17509939999999999</v>
      </c>
      <c r="Q3890">
        <v>-1.8911560000000001E-2</v>
      </c>
      <c r="R3890">
        <v>-0.98436950000000001</v>
      </c>
      <c r="S3890">
        <v>-0.14515690000000001</v>
      </c>
      <c r="T3890">
        <v>-0.33403119999999997</v>
      </c>
      <c r="U3890">
        <v>-3.0137939999999999</v>
      </c>
      <c r="V3890">
        <v>0.1109195</v>
      </c>
      <c r="W3890">
        <v>-1.27496E-2</v>
      </c>
      <c r="X3890">
        <v>0.99374759999999995</v>
      </c>
      <c r="Y3890">
        <v>-1.7014970000000001E-2</v>
      </c>
      <c r="Z3890">
        <v>0.1097428</v>
      </c>
      <c r="AA3890">
        <v>0.99381430000000004</v>
      </c>
      <c r="AB3890">
        <v>16</v>
      </c>
      <c r="AC3890">
        <v>-1.7300000000034201E-2</v>
      </c>
      <c r="AD3890">
        <v>-8.9423000000000197E-2</v>
      </c>
      <c r="AE3890">
        <v>-0.50920000000002097</v>
      </c>
      <c r="AF3890">
        <v>-1.52653901079458E-2</v>
      </c>
      <c r="AG3890">
        <v>-8.9423000000000197E-2</v>
      </c>
      <c r="AH3890">
        <v>0.49403210353333099</v>
      </c>
      <c r="AI3890">
        <v>100.25502926029699</v>
      </c>
      <c r="AJ3890">
        <v>91.769853039568304</v>
      </c>
      <c r="AK3890">
        <v>0.50229197125348901</v>
      </c>
      <c r="AL3890">
        <v>90.730518069824498</v>
      </c>
      <c r="AM3890">
        <v>83.631156721606601</v>
      </c>
      <c r="AN3890">
        <v>0.99999999014308405</v>
      </c>
    </row>
    <row r="3891" spans="1:40" x14ac:dyDescent="0.25">
      <c r="A3891" t="str">
        <f>"20190312161045058"</f>
        <v>20190312161045058</v>
      </c>
      <c r="B3891" t="str">
        <f>"1552378245050392"</f>
        <v>1552378245050392</v>
      </c>
      <c r="C3891" t="s">
        <v>40</v>
      </c>
      <c r="D3891">
        <v>5.473821</v>
      </c>
      <c r="E3891">
        <v>0.56603400000000004</v>
      </c>
      <c r="F3891" t="s">
        <v>88</v>
      </c>
      <c r="G3891">
        <v>-222.90260000000001</v>
      </c>
      <c r="H3891">
        <v>6.5824369999999996</v>
      </c>
      <c r="I3891">
        <v>99.413759999999996</v>
      </c>
      <c r="J3891">
        <v>-189.4598</v>
      </c>
      <c r="K3891">
        <v>1.1087880000000001</v>
      </c>
      <c r="L3891">
        <v>182.1063</v>
      </c>
      <c r="M3891">
        <v>-6.6284689999999993E-2</v>
      </c>
      <c r="N3891">
        <v>0</v>
      </c>
      <c r="O3891">
        <v>-0.99778049999999996</v>
      </c>
      <c r="P3891">
        <v>-0.17677479999999901</v>
      </c>
      <c r="Q3891">
        <v>-1.8584099999999999E-2</v>
      </c>
      <c r="R3891">
        <v>-0.98407610000000001</v>
      </c>
      <c r="S3891">
        <v>-1.149338</v>
      </c>
      <c r="T3891">
        <v>0.18804119999999999</v>
      </c>
      <c r="U3891">
        <v>-2.846832</v>
      </c>
      <c r="V3891">
        <v>0.11113720000000001</v>
      </c>
      <c r="W3891">
        <v>-1.2425510000000001E-2</v>
      </c>
      <c r="X3891">
        <v>0.99372740000000004</v>
      </c>
      <c r="Y3891">
        <v>0.3113669</v>
      </c>
      <c r="Z3891">
        <v>-6.1648370000000001E-2</v>
      </c>
      <c r="AA3891">
        <v>0.94828800000000002</v>
      </c>
      <c r="AB3891">
        <v>16</v>
      </c>
      <c r="AC3891">
        <v>-33.442799999999998</v>
      </c>
      <c r="AD3891">
        <v>5.473649</v>
      </c>
      <c r="AE3891">
        <v>-82.692539999999994</v>
      </c>
      <c r="AF3891">
        <v>27.783267453613199</v>
      </c>
      <c r="AG3891">
        <v>5.473649</v>
      </c>
      <c r="AH3891">
        <v>84.409609616697693</v>
      </c>
      <c r="AI3891">
        <v>86.475292063044407</v>
      </c>
      <c r="AJ3891">
        <v>71.781135095761698</v>
      </c>
      <c r="AK3891">
        <v>89.032875834814604</v>
      </c>
      <c r="AL3891">
        <v>90.711947596381094</v>
      </c>
      <c r="AM3891">
        <v>83.6186310578845</v>
      </c>
      <c r="AN3891">
        <v>1.00000000801668</v>
      </c>
    </row>
    <row r="3892" spans="1:40" x14ac:dyDescent="0.25">
      <c r="A3892" t="str">
        <f>"20190312161045079"</f>
        <v>20190312161045079</v>
      </c>
      <c r="B3892" t="str">
        <f>"1552378245070888"</f>
        <v>1552378245070888</v>
      </c>
      <c r="C3892" t="s">
        <v>40</v>
      </c>
      <c r="D3892">
        <v>5.3886070000000004</v>
      </c>
      <c r="E3892">
        <v>0.56332230000000005</v>
      </c>
      <c r="F3892" t="s">
        <v>88</v>
      </c>
      <c r="G3892">
        <v>-220.41050000000001</v>
      </c>
      <c r="H3892">
        <v>10.2127</v>
      </c>
      <c r="I3892">
        <v>97.150030000000001</v>
      </c>
      <c r="J3892">
        <v>-189.47219999999999</v>
      </c>
      <c r="K3892">
        <v>1.1087849999999999</v>
      </c>
      <c r="L3892">
        <v>181.94460000000001</v>
      </c>
      <c r="M3892">
        <v>-6.7635109999999998E-2</v>
      </c>
      <c r="N3892">
        <v>0</v>
      </c>
      <c r="O3892">
        <v>-0.99768999999999997</v>
      </c>
      <c r="P3892">
        <v>-0.1784309</v>
      </c>
      <c r="Q3892">
        <v>-1.822435E-2</v>
      </c>
      <c r="R3892">
        <v>-0.98378379999999999</v>
      </c>
      <c r="S3892">
        <v>-1.0443880000000001</v>
      </c>
      <c r="T3892">
        <v>0.30719950000000001</v>
      </c>
      <c r="U3892">
        <v>-2.86673</v>
      </c>
      <c r="V3892">
        <v>0.11146490000000001</v>
      </c>
      <c r="W3892">
        <v>-1.206716E-2</v>
      </c>
      <c r="X3892">
        <v>0.99369510000000005</v>
      </c>
      <c r="Y3892">
        <v>0.27622580000000002</v>
      </c>
      <c r="Z3892">
        <v>-0.1009089</v>
      </c>
      <c r="AA3892">
        <v>0.95578070000000004</v>
      </c>
      <c r="AB3892">
        <v>16</v>
      </c>
      <c r="AC3892">
        <v>-30.938300000000002</v>
      </c>
      <c r="AD3892">
        <v>9.10391499999999</v>
      </c>
      <c r="AE3892">
        <v>-84.794569999999993</v>
      </c>
      <c r="AF3892">
        <v>24.8791550525494</v>
      </c>
      <c r="AG3892">
        <v>9.10391499999999</v>
      </c>
      <c r="AH3892">
        <v>85.819917007713201</v>
      </c>
      <c r="AI3892">
        <v>84.182402592774807</v>
      </c>
      <c r="AJ3892">
        <v>73.833150176457806</v>
      </c>
      <c r="AK3892">
        <v>89.815988441183407</v>
      </c>
      <c r="AL3892">
        <v>90.691414122351304</v>
      </c>
      <c r="AM3892">
        <v>83.599764497382196</v>
      </c>
      <c r="AN3892">
        <v>0.99999999602324197</v>
      </c>
    </row>
    <row r="3893" spans="1:40" x14ac:dyDescent="0.25">
      <c r="A3893" t="str">
        <f>"20190312161045102"</f>
        <v>20190312161045102</v>
      </c>
      <c r="B3893" t="str">
        <f>"1552378245090413"</f>
        <v>1552378245090413</v>
      </c>
      <c r="C3893" t="s">
        <v>40</v>
      </c>
      <c r="D3893">
        <v>5.4260609999999998</v>
      </c>
      <c r="E3893">
        <v>0.56978079999999998</v>
      </c>
      <c r="F3893" t="s">
        <v>88</v>
      </c>
      <c r="G3893">
        <v>-219.81909999999999</v>
      </c>
      <c r="H3893">
        <v>11.90432</v>
      </c>
      <c r="I3893">
        <v>97.150019999999998</v>
      </c>
      <c r="J3893">
        <v>-189.4845</v>
      </c>
      <c r="K3893">
        <v>1.1087849999999999</v>
      </c>
      <c r="L3893">
        <v>181.78479999999999</v>
      </c>
      <c r="M3893">
        <v>-6.8956299999999998E-2</v>
      </c>
      <c r="N3893">
        <v>0</v>
      </c>
      <c r="O3893">
        <v>-0.99759940000000003</v>
      </c>
      <c r="P3893">
        <v>-0.1804695</v>
      </c>
      <c r="Q3893">
        <v>-1.854892E-2</v>
      </c>
      <c r="R3893">
        <v>-0.98340559999999999</v>
      </c>
      <c r="S3893">
        <v>-1.027115</v>
      </c>
      <c r="T3893">
        <v>0.36538359999999998</v>
      </c>
      <c r="U3893">
        <v>-2.8699340000000002</v>
      </c>
      <c r="V3893">
        <v>0.1122084</v>
      </c>
      <c r="W3893">
        <v>-1.239228E-2</v>
      </c>
      <c r="X3893">
        <v>0.99360740000000003</v>
      </c>
      <c r="Y3893">
        <v>0.26880520000000002</v>
      </c>
      <c r="Z3893">
        <v>-0.1198637</v>
      </c>
      <c r="AA3893">
        <v>0.95570730000000004</v>
      </c>
      <c r="AB3893">
        <v>16</v>
      </c>
      <c r="AC3893">
        <v>-30.334599999999899</v>
      </c>
      <c r="AD3893">
        <v>10.795534999999999</v>
      </c>
      <c r="AE3893">
        <v>-84.634779999999907</v>
      </c>
      <c r="AF3893">
        <v>24.079002106942301</v>
      </c>
      <c r="AG3893">
        <v>10.795534999999999</v>
      </c>
      <c r="AH3893">
        <v>85.295335235527205</v>
      </c>
      <c r="AI3893">
        <v>83.055243825505897</v>
      </c>
      <c r="AJ3893">
        <v>74.235546594159402</v>
      </c>
      <c r="AK3893">
        <v>89.284019462294197</v>
      </c>
      <c r="AL3893">
        <v>90.710043531301395</v>
      </c>
      <c r="AM3893">
        <v>83.556867154896693</v>
      </c>
      <c r="AN3893">
        <v>0.99999997948445896</v>
      </c>
    </row>
    <row r="3894" spans="1:40" x14ac:dyDescent="0.25">
      <c r="A3894" t="str">
        <f>"20190312161045123"</f>
        <v>20190312161045123</v>
      </c>
      <c r="B3894" t="str">
        <f>"1552378245120665"</f>
        <v>1552378245120665</v>
      </c>
      <c r="C3894" t="s">
        <v>40</v>
      </c>
      <c r="D3894">
        <v>5.4723930000000003</v>
      </c>
      <c r="E3894">
        <v>0.57019580000000003</v>
      </c>
      <c r="F3894" t="s">
        <v>87</v>
      </c>
      <c r="G3894">
        <v>-204.60669999999999</v>
      </c>
      <c r="H3894" s="1">
        <v>-8.4242550000000002E-6</v>
      </c>
      <c r="I3894">
        <v>142.22200000000001</v>
      </c>
      <c r="J3894">
        <v>-189.49680000000001</v>
      </c>
      <c r="K3894">
        <v>1.108781</v>
      </c>
      <c r="L3894">
        <v>181.6283</v>
      </c>
      <c r="M3894">
        <v>-7.0235409999999998E-2</v>
      </c>
      <c r="N3894">
        <v>0</v>
      </c>
      <c r="O3894">
        <v>-0.99751040000000002</v>
      </c>
      <c r="P3894">
        <v>-0.18255209999999999</v>
      </c>
      <c r="Q3894">
        <v>-1.8878599999999999E-2</v>
      </c>
      <c r="R3894">
        <v>-0.98301510000000003</v>
      </c>
      <c r="S3894">
        <v>-1.089081</v>
      </c>
      <c r="T3894">
        <v>-7.9853770000000004E-2</v>
      </c>
      <c r="U3894">
        <v>-2.8492579999999998</v>
      </c>
      <c r="V3894">
        <v>0.113038899999999</v>
      </c>
      <c r="W3894">
        <v>-1.272123E-2</v>
      </c>
      <c r="X3894">
        <v>0.99350910000000003</v>
      </c>
      <c r="Y3894">
        <v>0.29042659999999998</v>
      </c>
      <c r="Z3894">
        <v>2.6378209999999999E-2</v>
      </c>
      <c r="AA3894">
        <v>0.95653370000000004</v>
      </c>
      <c r="AB3894">
        <v>16</v>
      </c>
      <c r="AC3894">
        <v>-15.1098999999999</v>
      </c>
      <c r="AD3894">
        <v>-1.108789424255</v>
      </c>
      <c r="AE3894">
        <v>-39.406299999999902</v>
      </c>
      <c r="AF3894">
        <v>12.296323495381801</v>
      </c>
      <c r="AG3894">
        <v>-1.108789424255</v>
      </c>
      <c r="AH3894">
        <v>40.342405748998402</v>
      </c>
      <c r="AI3894">
        <v>91.505979963161593</v>
      </c>
      <c r="AJ3894">
        <v>73.048832879813503</v>
      </c>
      <c r="AK3894">
        <v>42.189319585734502</v>
      </c>
      <c r="AL3894">
        <v>90.7288924661473</v>
      </c>
      <c r="AM3894">
        <v>83.508947654529905</v>
      </c>
      <c r="AN3894">
        <v>0.99999997719436595</v>
      </c>
    </row>
    <row r="3895" spans="1:40" x14ac:dyDescent="0.25">
      <c r="A3895" t="str">
        <f>"20190312161045147"</f>
        <v>20190312161045147</v>
      </c>
      <c r="B3895" t="str">
        <f>"1552378245140185"</f>
        <v>1552378245140185</v>
      </c>
      <c r="C3895" t="s">
        <v>40</v>
      </c>
      <c r="D3895">
        <v>5.4476809999999896</v>
      </c>
      <c r="E3895">
        <v>0.56923449999999998</v>
      </c>
      <c r="F3895" t="s">
        <v>87</v>
      </c>
      <c r="G3895">
        <v>-204.16759999999999</v>
      </c>
      <c r="H3895" s="1">
        <v>-8.9556089999999906E-6</v>
      </c>
      <c r="I3895">
        <v>143.6086</v>
      </c>
      <c r="J3895">
        <v>-189.51079999999999</v>
      </c>
      <c r="K3895">
        <v>1.1087830000000001</v>
      </c>
      <c r="L3895">
        <v>181.45439999999999</v>
      </c>
      <c r="M3895">
        <v>-7.1637729999999997E-2</v>
      </c>
      <c r="N3895">
        <v>0</v>
      </c>
      <c r="O3895">
        <v>-0.99741069999999998</v>
      </c>
      <c r="P3895">
        <v>-0.18446070000000001</v>
      </c>
      <c r="Q3895">
        <v>-1.7990849999999999E-2</v>
      </c>
      <c r="R3895">
        <v>-0.98267559999999998</v>
      </c>
      <c r="S3895">
        <v>-1.0982970000000001</v>
      </c>
      <c r="T3895">
        <v>-8.3007339999999999E-2</v>
      </c>
      <c r="U3895">
        <v>-2.8462679999999998</v>
      </c>
      <c r="V3895">
        <v>0.113571699999999</v>
      </c>
      <c r="W3895">
        <v>-1.183063E-2</v>
      </c>
      <c r="X3895">
        <v>0.99345930000000005</v>
      </c>
      <c r="Y3895">
        <v>0.29210469999999999</v>
      </c>
      <c r="Z3895">
        <v>2.7419269999999999E-2</v>
      </c>
      <c r="AA3895">
        <v>0.95599319999999999</v>
      </c>
      <c r="AB3895">
        <v>16</v>
      </c>
      <c r="AC3895">
        <v>-14.6568</v>
      </c>
      <c r="AD3895">
        <v>-1.108791955609</v>
      </c>
      <c r="AE3895">
        <v>-37.845799999999997</v>
      </c>
      <c r="AF3895">
        <v>11.899018236662601</v>
      </c>
      <c r="AG3895">
        <v>-1.108791955609</v>
      </c>
      <c r="AH3895">
        <v>38.769622642877998</v>
      </c>
      <c r="AI3895">
        <v>91.566120224753703</v>
      </c>
      <c r="AJ3895">
        <v>72.937911210023799</v>
      </c>
      <c r="AK3895">
        <v>40.569689356321298</v>
      </c>
      <c r="AL3895">
        <v>90.677861023438794</v>
      </c>
      <c r="AM3895">
        <v>83.478291444894793</v>
      </c>
      <c r="AN3895">
        <v>0.99999993780178598</v>
      </c>
    </row>
    <row r="3896" spans="1:40" x14ac:dyDescent="0.25">
      <c r="A3896" t="str">
        <f>"20190312161045168"</f>
        <v>20190312161045168</v>
      </c>
      <c r="B3896" t="str">
        <f>"1552378245160681"</f>
        <v>1552378245160681</v>
      </c>
      <c r="C3896" t="s">
        <v>40</v>
      </c>
      <c r="D3896">
        <v>5.7521319999999996</v>
      </c>
      <c r="E3896">
        <v>0.56907869999999905</v>
      </c>
      <c r="F3896" t="s">
        <v>87</v>
      </c>
      <c r="G3896">
        <v>-204.87530000000001</v>
      </c>
      <c r="H3896" s="1">
        <v>-8.1522709999999904E-6</v>
      </c>
      <c r="I3896">
        <v>141.57470000000001</v>
      </c>
      <c r="J3896">
        <v>-189.524</v>
      </c>
      <c r="K3896">
        <v>1.1087940000000001</v>
      </c>
      <c r="L3896">
        <v>181.29130000000001</v>
      </c>
      <c r="M3896">
        <v>-7.293376E-2</v>
      </c>
      <c r="N3896">
        <v>0</v>
      </c>
      <c r="O3896">
        <v>-0.9973166</v>
      </c>
      <c r="P3896">
        <v>-0.1858776</v>
      </c>
      <c r="Q3896">
        <v>-1.7273190000000001E-2</v>
      </c>
      <c r="R3896">
        <v>-0.9824214</v>
      </c>
      <c r="S3896">
        <v>-1.096344</v>
      </c>
      <c r="T3896">
        <v>-7.911849E-2</v>
      </c>
      <c r="U3896">
        <v>-2.8456419999999998</v>
      </c>
      <c r="V3896">
        <v>0.1137135</v>
      </c>
      <c r="W3896">
        <v>-1.110854E-2</v>
      </c>
      <c r="X3896">
        <v>0.99345150000000004</v>
      </c>
      <c r="Y3896">
        <v>0.2903732</v>
      </c>
      <c r="Z3896">
        <v>2.6147429999999999E-2</v>
      </c>
      <c r="AA3896">
        <v>0.95655619999999997</v>
      </c>
      <c r="AB3896">
        <v>17</v>
      </c>
      <c r="AC3896">
        <v>-15.3513</v>
      </c>
      <c r="AD3896">
        <v>-1.1088021522710001</v>
      </c>
      <c r="AE3896">
        <v>-39.7166</v>
      </c>
      <c r="AF3896">
        <v>12.405263274447</v>
      </c>
      <c r="AG3896">
        <v>-1.1088021522710001</v>
      </c>
      <c r="AH3896">
        <v>40.7028719466905</v>
      </c>
      <c r="AI3896">
        <v>91.492675640427706</v>
      </c>
      <c r="AJ3896">
        <v>73.050030657146095</v>
      </c>
      <c r="AK3896">
        <v>42.565758349052203</v>
      </c>
      <c r="AL3896">
        <v>90.6364855358038</v>
      </c>
      <c r="AM3896">
        <v>83.4701682175114</v>
      </c>
      <c r="AN3896">
        <v>1.00000002129771</v>
      </c>
    </row>
    <row r="3897" spans="1:40" x14ac:dyDescent="0.25">
      <c r="A3897" t="str">
        <f>"20190312161045189"</f>
        <v>20190312161045189</v>
      </c>
      <c r="B3897" t="str">
        <f>"1552378245180200"</f>
        <v>1552378245180200</v>
      </c>
      <c r="C3897" t="s">
        <v>40</v>
      </c>
      <c r="D3897">
        <v>5.4857709999999997</v>
      </c>
      <c r="E3897">
        <v>0.56791590000000003</v>
      </c>
      <c r="F3897" t="s">
        <v>87</v>
      </c>
      <c r="G3897">
        <v>-208.2243</v>
      </c>
      <c r="H3897" s="1">
        <v>-3.7986949999999998E-6</v>
      </c>
      <c r="I3897">
        <v>132.89259999999999</v>
      </c>
      <c r="J3897">
        <v>-189.5376</v>
      </c>
      <c r="K3897">
        <v>1.108795</v>
      </c>
      <c r="L3897">
        <v>181.1268</v>
      </c>
      <c r="M3897">
        <v>-7.4224910000000005E-2</v>
      </c>
      <c r="N3897">
        <v>0</v>
      </c>
      <c r="O3897">
        <v>-0.99722149999999998</v>
      </c>
      <c r="P3897">
        <v>-0.187471</v>
      </c>
      <c r="Q3897">
        <v>-1.803138E-2</v>
      </c>
      <c r="R3897">
        <v>-0.98210509999999995</v>
      </c>
      <c r="S3897">
        <v>-1.099091</v>
      </c>
      <c r="T3897">
        <v>-6.5168260000000006E-2</v>
      </c>
      <c r="U3897">
        <v>-2.8445740000000002</v>
      </c>
      <c r="V3897">
        <v>0.1140388</v>
      </c>
      <c r="W3897">
        <v>-1.186247E-2</v>
      </c>
      <c r="X3897">
        <v>0.99340550000000005</v>
      </c>
      <c r="Y3897">
        <v>0.29009810000000003</v>
      </c>
      <c r="Z3897">
        <v>2.1541279999999999E-2</v>
      </c>
      <c r="AA3897">
        <v>0.9567544</v>
      </c>
      <c r="AB3897">
        <v>17</v>
      </c>
      <c r="AC3897">
        <v>-18.686699999999998</v>
      </c>
      <c r="AD3897">
        <v>-1.1087987986950001</v>
      </c>
      <c r="AE3897">
        <v>-48.234200000000001</v>
      </c>
      <c r="AF3897">
        <v>15.047986327182</v>
      </c>
      <c r="AG3897">
        <v>-1.1087987986950001</v>
      </c>
      <c r="AH3897">
        <v>49.465460051692702</v>
      </c>
      <c r="AI3897">
        <v>91.228533795846701</v>
      </c>
      <c r="AJ3897">
        <v>73.079609943400399</v>
      </c>
      <c r="AK3897">
        <v>51.715597892750402</v>
      </c>
      <c r="AL3897">
        <v>90.679685388727293</v>
      </c>
      <c r="AM3897">
        <v>83.451349764909196</v>
      </c>
      <c r="AN3897">
        <v>1.0000000267650899</v>
      </c>
    </row>
    <row r="3898" spans="1:40" x14ac:dyDescent="0.25">
      <c r="A3898" t="str">
        <f>"20190312161045213"</f>
        <v>20190312161045213</v>
      </c>
      <c r="B3898" t="str">
        <f>"1552378245210456"</f>
        <v>1552378245210456</v>
      </c>
      <c r="C3898" t="s">
        <v>40</v>
      </c>
      <c r="D3898">
        <v>5.639589</v>
      </c>
      <c r="E3898">
        <v>0.56681910000000002</v>
      </c>
      <c r="F3898" t="s">
        <v>87</v>
      </c>
      <c r="G3898">
        <v>-208.4915</v>
      </c>
      <c r="H3898" s="1">
        <v>-3.2547380000000001E-6</v>
      </c>
      <c r="I3898">
        <v>131.87049999999999</v>
      </c>
      <c r="J3898">
        <v>-189.55189999999999</v>
      </c>
      <c r="K3898">
        <v>1.108797</v>
      </c>
      <c r="L3898">
        <v>180.95570000000001</v>
      </c>
      <c r="M3898">
        <v>-7.5548850000000001E-2</v>
      </c>
      <c r="N3898">
        <v>0</v>
      </c>
      <c r="O3898">
        <v>-0.9971217</v>
      </c>
      <c r="P3898">
        <v>-0.18965480000000001</v>
      </c>
      <c r="Q3898">
        <v>-1.8477819999999999E-2</v>
      </c>
      <c r="R3898">
        <v>-0.98167689999999996</v>
      </c>
      <c r="S3898">
        <v>-1.094589</v>
      </c>
      <c r="T3898">
        <v>-6.4033270000000003E-2</v>
      </c>
      <c r="U3898">
        <v>-2.8445589999999998</v>
      </c>
      <c r="V3898">
        <v>0.1149292</v>
      </c>
      <c r="W3898">
        <v>-1.2305119999999999E-2</v>
      </c>
      <c r="X3898">
        <v>0.99329750000000006</v>
      </c>
      <c r="Y3898">
        <v>0.28751300000000002</v>
      </c>
      <c r="Z3898">
        <v>2.117747E-2</v>
      </c>
      <c r="AA3898">
        <v>0.95754260000000002</v>
      </c>
      <c r="AB3898">
        <v>17</v>
      </c>
      <c r="AC3898">
        <v>-18.939599999999999</v>
      </c>
      <c r="AD3898">
        <v>-1.108800254738</v>
      </c>
      <c r="AE3898">
        <v>-49.0852</v>
      </c>
      <c r="AF3898">
        <v>15.170326582008</v>
      </c>
      <c r="AG3898">
        <v>-1.108800254738</v>
      </c>
      <c r="AH3898">
        <v>50.353443375631102</v>
      </c>
      <c r="AI3898">
        <v>91.207859141515897</v>
      </c>
      <c r="AJ3898">
        <v>73.233662072162204</v>
      </c>
      <c r="AK3898">
        <v>52.600736747621397</v>
      </c>
      <c r="AL3898">
        <v>90.705049214457503</v>
      </c>
      <c r="AM3898">
        <v>83.399956852407897</v>
      </c>
      <c r="AN3898">
        <v>1.0000000302485501</v>
      </c>
    </row>
    <row r="3899" spans="1:40" x14ac:dyDescent="0.25">
      <c r="A3899" t="str">
        <f>"20190312161045235"</f>
        <v>20190312161045235</v>
      </c>
      <c r="B3899" t="str">
        <f>"1552378245230952"</f>
        <v>1552378245230952</v>
      </c>
      <c r="C3899" t="s">
        <v>40</v>
      </c>
      <c r="D3899">
        <v>5.6362709999999998</v>
      </c>
      <c r="E3899">
        <v>0.56601950000000001</v>
      </c>
      <c r="F3899" t="s">
        <v>43</v>
      </c>
      <c r="G3899">
        <v>-215.1686</v>
      </c>
      <c r="H3899">
        <v>-0.05</v>
      </c>
      <c r="I3899">
        <v>114.2469</v>
      </c>
      <c r="J3899">
        <v>-189.56569999999999</v>
      </c>
      <c r="K3899">
        <v>1.1087990000000001</v>
      </c>
      <c r="L3899">
        <v>180.79230000000001</v>
      </c>
      <c r="M3899">
        <v>-7.6794829999999994E-2</v>
      </c>
      <c r="N3899">
        <v>0</v>
      </c>
      <c r="O3899">
        <v>-0.99702659999999999</v>
      </c>
      <c r="P3899">
        <v>-0.1913832</v>
      </c>
      <c r="Q3899">
        <v>-1.800502E-2</v>
      </c>
      <c r="R3899">
        <v>-0.98135019999999995</v>
      </c>
      <c r="S3899">
        <v>-1.0921479999999999</v>
      </c>
      <c r="T3899">
        <v>-4.9404259999999998E-2</v>
      </c>
      <c r="U3899">
        <v>-2.8440699999999999</v>
      </c>
      <c r="V3899">
        <v>0.1154371</v>
      </c>
      <c r="W3899">
        <v>-1.182716E-2</v>
      </c>
      <c r="X3899">
        <v>0.99324429999999997</v>
      </c>
      <c r="Y3899">
        <v>0.28568700000000002</v>
      </c>
      <c r="Z3899">
        <v>1.6348069999999999E-2</v>
      </c>
      <c r="AA3899">
        <v>0.95818349999999997</v>
      </c>
      <c r="AB3899">
        <v>17</v>
      </c>
      <c r="AC3899">
        <v>-25.602900000000002</v>
      </c>
      <c r="AD3899">
        <v>-1.1587989999999999</v>
      </c>
      <c r="AE3899">
        <v>-66.545400000000001</v>
      </c>
      <c r="AF3899">
        <v>20.411451831926801</v>
      </c>
      <c r="AG3899">
        <v>-1.1587989999999999</v>
      </c>
      <c r="AH3899">
        <v>68.297048377815202</v>
      </c>
      <c r="AI3899">
        <v>90.931350202782994</v>
      </c>
      <c r="AJ3899">
        <v>73.3605476676546</v>
      </c>
      <c r="AK3899">
        <v>71.291352898728903</v>
      </c>
      <c r="AL3899">
        <v>90.677662203444996</v>
      </c>
      <c r="AM3899">
        <v>83.370696788154802</v>
      </c>
      <c r="AN3899">
        <v>0.99999992262627901</v>
      </c>
    </row>
    <row r="3900" spans="1:40" x14ac:dyDescent="0.25">
      <c r="A3900" t="str">
        <f>"20190312161045258"</f>
        <v>20190312161045258</v>
      </c>
      <c r="B3900" t="str">
        <f>"1552378245250472"</f>
        <v>1552378245250472</v>
      </c>
      <c r="C3900" t="s">
        <v>40</v>
      </c>
      <c r="D3900">
        <v>5.3475999999999999</v>
      </c>
      <c r="E3900">
        <v>0.56626049999999895</v>
      </c>
      <c r="F3900" t="s">
        <v>90</v>
      </c>
      <c r="G3900">
        <v>-212.9203</v>
      </c>
      <c r="H3900">
        <v>0.1927169</v>
      </c>
      <c r="I3900">
        <v>119.91719999999999</v>
      </c>
      <c r="J3900">
        <v>-189.5812</v>
      </c>
      <c r="K3900">
        <v>1.108803</v>
      </c>
      <c r="L3900">
        <v>180.61240000000001</v>
      </c>
      <c r="M3900">
        <v>-7.8142840000000005E-2</v>
      </c>
      <c r="N3900">
        <v>0</v>
      </c>
      <c r="O3900">
        <v>-0.99692170000000002</v>
      </c>
      <c r="P3900">
        <v>-0.19298509999999999</v>
      </c>
      <c r="Q3900">
        <v>-1.7194319999999999E-2</v>
      </c>
      <c r="R3900">
        <v>-0.98105120000000001</v>
      </c>
      <c r="S3900">
        <v>-1.0909120000000001</v>
      </c>
      <c r="T3900">
        <v>-4.2789580000000001E-2</v>
      </c>
      <c r="U3900">
        <v>-2.843521</v>
      </c>
      <c r="V3900">
        <v>0.1157157</v>
      </c>
      <c r="W3900">
        <v>-1.100902E-2</v>
      </c>
      <c r="X3900">
        <v>0.99322129999999997</v>
      </c>
      <c r="Y3900">
        <v>0.28410180000000002</v>
      </c>
      <c r="Z3900">
        <v>1.416451E-2</v>
      </c>
      <c r="AA3900">
        <v>0.95868949999999997</v>
      </c>
      <c r="AB3900">
        <v>17</v>
      </c>
      <c r="AC3900">
        <v>-23.339099999999998</v>
      </c>
      <c r="AD3900">
        <v>-0.91608609999999902</v>
      </c>
      <c r="AE3900">
        <v>-60.6952</v>
      </c>
      <c r="AF3900">
        <v>18.5210623484423</v>
      </c>
      <c r="AG3900">
        <v>-0.91608609999999902</v>
      </c>
      <c r="AH3900">
        <v>62.321049520765897</v>
      </c>
      <c r="AI3900">
        <v>90.807266616336193</v>
      </c>
      <c r="AJ3900">
        <v>73.448687351977298</v>
      </c>
      <c r="AK3900">
        <v>65.021397844304005</v>
      </c>
      <c r="AL3900">
        <v>90.630783164883596</v>
      </c>
      <c r="AM3900">
        <v>83.354687806916701</v>
      </c>
      <c r="AN3900">
        <v>0.999999936260768</v>
      </c>
    </row>
    <row r="3901" spans="1:40" x14ac:dyDescent="0.25">
      <c r="A3901" t="str">
        <f>"20190312161045281"</f>
        <v>20190312161045281</v>
      </c>
      <c r="B3901" t="str">
        <f>"1552378245269994"</f>
        <v>1552378245269994</v>
      </c>
      <c r="C3901" t="s">
        <v>40</v>
      </c>
      <c r="D3901">
        <v>5.5562950000000004</v>
      </c>
      <c r="E3901">
        <v>0.56606909999999999</v>
      </c>
      <c r="F3901" t="s">
        <v>90</v>
      </c>
      <c r="G3901">
        <v>-213.02719999999999</v>
      </c>
      <c r="H3901">
        <v>0.15372279999999999</v>
      </c>
      <c r="I3901">
        <v>119.91719999999999</v>
      </c>
      <c r="J3901">
        <v>-189.59630000000001</v>
      </c>
      <c r="K3901">
        <v>1.108808</v>
      </c>
      <c r="L3901">
        <v>180.43799999999999</v>
      </c>
      <c r="M3901">
        <v>-7.9429169999999993E-2</v>
      </c>
      <c r="N3901">
        <v>0</v>
      </c>
      <c r="O3901">
        <v>-0.99682000000000004</v>
      </c>
      <c r="P3901">
        <v>-0.1944738</v>
      </c>
      <c r="Q3901">
        <v>-1.7094700000000001E-2</v>
      </c>
      <c r="R3901">
        <v>-0.98075880000000004</v>
      </c>
      <c r="S3901">
        <v>-1.0975649999999999</v>
      </c>
      <c r="T3901">
        <v>-4.4708129999999999E-2</v>
      </c>
      <c r="U3901">
        <v>-2.841278</v>
      </c>
      <c r="V3901">
        <v>0.11594169999999999</v>
      </c>
      <c r="W3901">
        <v>-1.090123E-2</v>
      </c>
      <c r="X3901">
        <v>0.99319619999999997</v>
      </c>
      <c r="Y3901">
        <v>0.28506900000000002</v>
      </c>
      <c r="Z3901">
        <v>1.479988E-2</v>
      </c>
      <c r="AA3901">
        <v>0.95839269999999999</v>
      </c>
      <c r="AB3901">
        <v>17</v>
      </c>
      <c r="AC3901">
        <v>-23.430899999999902</v>
      </c>
      <c r="AD3901">
        <v>-0.95508519999999997</v>
      </c>
      <c r="AE3901">
        <v>-60.520800000000001</v>
      </c>
      <c r="AF3901">
        <v>18.5456354989639</v>
      </c>
      <c r="AG3901">
        <v>-0.95508519999999997</v>
      </c>
      <c r="AH3901">
        <v>62.177246066594797</v>
      </c>
      <c r="AI3901">
        <v>90.843324830752394</v>
      </c>
      <c r="AJ3901">
        <v>73.391712387700693</v>
      </c>
      <c r="AK3901">
        <v>64.891160509160002</v>
      </c>
      <c r="AL3901">
        <v>90.624606839995593</v>
      </c>
      <c r="AM3901">
        <v>83.341658758939701</v>
      </c>
      <c r="AN3901">
        <v>1.0000000031544201</v>
      </c>
    </row>
    <row r="3902" spans="1:40" x14ac:dyDescent="0.25">
      <c r="A3902" t="str">
        <f>"20190312161045302"</f>
        <v>20190312161045302</v>
      </c>
      <c r="B3902" t="str">
        <f>"1552378245290492"</f>
        <v>1552378245290492</v>
      </c>
      <c r="C3902" t="s">
        <v>40</v>
      </c>
      <c r="D3902">
        <v>5.737463</v>
      </c>
      <c r="E3902">
        <v>0.56614919999999902</v>
      </c>
      <c r="F3902" t="s">
        <v>43</v>
      </c>
      <c r="G3902">
        <v>-216.4057</v>
      </c>
      <c r="H3902">
        <v>-0.05</v>
      </c>
      <c r="I3902">
        <v>111.2427</v>
      </c>
      <c r="J3902">
        <v>-189.6103</v>
      </c>
      <c r="K3902">
        <v>1.108811</v>
      </c>
      <c r="L3902">
        <v>180.27969999999999</v>
      </c>
      <c r="M3902">
        <v>-8.0580639999999995E-2</v>
      </c>
      <c r="N3902">
        <v>0</v>
      </c>
      <c r="O3902">
        <v>-0.99672749999999999</v>
      </c>
      <c r="P3902">
        <v>-0.19547129999999999</v>
      </c>
      <c r="Q3902">
        <v>-1.7003549999999999E-2</v>
      </c>
      <c r="R3902">
        <v>-0.98056180000000004</v>
      </c>
      <c r="S3902">
        <v>-1.1002809999999901</v>
      </c>
      <c r="T3902">
        <v>-4.7558669999999997E-2</v>
      </c>
      <c r="U3902">
        <v>-2.8398439999999998</v>
      </c>
      <c r="V3902">
        <v>0.1158047</v>
      </c>
      <c r="W3902">
        <v>-1.080154E-2</v>
      </c>
      <c r="X3902">
        <v>0.99321329999999997</v>
      </c>
      <c r="Y3902">
        <v>0.28491650000000002</v>
      </c>
      <c r="Z3902">
        <v>1.5746199999999998E-2</v>
      </c>
      <c r="AA3902">
        <v>0.95842300000000002</v>
      </c>
      <c r="AB3902">
        <v>17</v>
      </c>
      <c r="AC3902">
        <v>-26.795400000000001</v>
      </c>
      <c r="AD3902">
        <v>-1.158811</v>
      </c>
      <c r="AE3902">
        <v>-69.036999999999907</v>
      </c>
      <c r="AF3902">
        <v>21.139924085200398</v>
      </c>
      <c r="AG3902">
        <v>-1.158811</v>
      </c>
      <c r="AH3902">
        <v>70.954349690998797</v>
      </c>
      <c r="AI3902">
        <v>90.896712851220599</v>
      </c>
      <c r="AJ3902">
        <v>73.409260188096397</v>
      </c>
      <c r="AK3902">
        <v>74.045654655315801</v>
      </c>
      <c r="AL3902">
        <v>90.618894670474106</v>
      </c>
      <c r="AM3902">
        <v>83.349569400221398</v>
      </c>
      <c r="AN3902">
        <v>1.0000000305526699</v>
      </c>
    </row>
    <row r="3903" spans="1:40" x14ac:dyDescent="0.25">
      <c r="A3903" t="str">
        <f>"20190312161045324"</f>
        <v>20190312161045324</v>
      </c>
      <c r="B3903" t="str">
        <f>"1552378245320745"</f>
        <v>1552378245320745</v>
      </c>
      <c r="C3903" t="s">
        <v>40</v>
      </c>
      <c r="D3903">
        <v>5.6716439999999997</v>
      </c>
      <c r="E3903">
        <v>0.56510389999999999</v>
      </c>
      <c r="F3903" t="s">
        <v>43</v>
      </c>
      <c r="G3903">
        <v>-215.09729999999999</v>
      </c>
      <c r="H3903">
        <v>-0.05</v>
      </c>
      <c r="I3903">
        <v>114.74339999999999</v>
      </c>
      <c r="J3903">
        <v>-189.62549999999999</v>
      </c>
      <c r="K3903">
        <v>1.1088089999999999</v>
      </c>
      <c r="L3903">
        <v>180.10919999999999</v>
      </c>
      <c r="M3903">
        <v>-8.1807439999999995E-2</v>
      </c>
      <c r="N3903">
        <v>0</v>
      </c>
      <c r="O3903">
        <v>-0.99662770000000001</v>
      </c>
      <c r="P3903">
        <v>-0.19634940000000001</v>
      </c>
      <c r="Q3903">
        <v>-1.71615E-2</v>
      </c>
      <c r="R3903">
        <v>-0.98038380000000003</v>
      </c>
      <c r="S3903">
        <v>-1.1038969999999999</v>
      </c>
      <c r="T3903">
        <v>-5.0190569999999997E-2</v>
      </c>
      <c r="U3903">
        <v>-2.8385159999999998</v>
      </c>
      <c r="V3903">
        <v>0.1154718</v>
      </c>
      <c r="W3903">
        <v>-1.095017E-2</v>
      </c>
      <c r="X3903">
        <v>0.99325039999999998</v>
      </c>
      <c r="Y3903">
        <v>0.28494360000000002</v>
      </c>
      <c r="Z3903">
        <v>1.6618299999999999E-2</v>
      </c>
      <c r="AA3903">
        <v>0.95840020000000004</v>
      </c>
      <c r="AB3903">
        <v>17</v>
      </c>
      <c r="AC3903">
        <v>-25.471800000000002</v>
      </c>
      <c r="AD3903">
        <v>-1.158809</v>
      </c>
      <c r="AE3903">
        <v>-65.365799999999993</v>
      </c>
      <c r="AF3903">
        <v>20.033435037122899</v>
      </c>
      <c r="AG3903">
        <v>-1.158809</v>
      </c>
      <c r="AH3903">
        <v>67.212181244790798</v>
      </c>
      <c r="AI3903">
        <v>90.946596065242304</v>
      </c>
      <c r="AJ3903">
        <v>73.402651220092096</v>
      </c>
      <c r="AK3903">
        <v>70.143842676087502</v>
      </c>
      <c r="AL3903">
        <v>90.627411064817494</v>
      </c>
      <c r="AM3903">
        <v>83.368762150351898</v>
      </c>
      <c r="AN3903">
        <v>0.99999999995921396</v>
      </c>
    </row>
    <row r="3904" spans="1:40" x14ac:dyDescent="0.25">
      <c r="A3904" t="str">
        <f>"20190312161045348"</f>
        <v>20190312161045348</v>
      </c>
      <c r="B3904" t="str">
        <f>"1552378245340265"</f>
        <v>1552378245340265</v>
      </c>
      <c r="C3904" t="s">
        <v>40</v>
      </c>
      <c r="D3904">
        <v>5.8141489999999996</v>
      </c>
      <c r="E3904">
        <v>0.53988249999999904</v>
      </c>
      <c r="F3904" t="s">
        <v>87</v>
      </c>
      <c r="G3904">
        <v>-209.16909999999999</v>
      </c>
      <c r="H3904">
        <v>7.7032950000000003E-2</v>
      </c>
      <c r="I3904">
        <v>129.58930000000001</v>
      </c>
      <c r="J3904">
        <v>-189.64189999999999</v>
      </c>
      <c r="K3904">
        <v>1.108808</v>
      </c>
      <c r="L3904">
        <v>179.9282</v>
      </c>
      <c r="M3904">
        <v>-8.3099329999999999E-2</v>
      </c>
      <c r="N3904">
        <v>0</v>
      </c>
      <c r="O3904">
        <v>-0.99652079999999998</v>
      </c>
      <c r="P3904">
        <v>-0.19714499999999999</v>
      </c>
      <c r="Q3904">
        <v>-1.7105760000000001E-2</v>
      </c>
      <c r="R3904">
        <v>-0.98022540000000002</v>
      </c>
      <c r="S3904">
        <v>-1.098282</v>
      </c>
      <c r="T3904">
        <v>-5.7982329999999999E-2</v>
      </c>
      <c r="U3904">
        <v>-2.8390499999999999</v>
      </c>
      <c r="V3904">
        <v>0.1149902</v>
      </c>
      <c r="W3904">
        <v>-1.0885010000000001E-2</v>
      </c>
      <c r="X3904">
        <v>0.99330700000000005</v>
      </c>
      <c r="Y3904">
        <v>0.28197430000000001</v>
      </c>
      <c r="Z3904">
        <v>1.9206020000000001E-2</v>
      </c>
      <c r="AA3904">
        <v>0.95922969999999996</v>
      </c>
      <c r="AB3904">
        <v>17</v>
      </c>
      <c r="AC3904">
        <v>-19.527200000000001</v>
      </c>
      <c r="AD3904">
        <v>-1.03177505</v>
      </c>
      <c r="AE3904">
        <v>-50.338900000000002</v>
      </c>
      <c r="AF3904">
        <v>15.2708673941712</v>
      </c>
      <c r="AG3904">
        <v>-1.03177505</v>
      </c>
      <c r="AH3904">
        <v>51.768610645945401</v>
      </c>
      <c r="AI3904">
        <v>91.095142094624407</v>
      </c>
      <c r="AJ3904">
        <v>73.564829376031</v>
      </c>
      <c r="AK3904">
        <v>53.9838216407069</v>
      </c>
      <c r="AL3904">
        <v>90.623677441237703</v>
      </c>
      <c r="AM3904">
        <v>83.396547332513194</v>
      </c>
      <c r="AN3904">
        <v>1.00000001289387</v>
      </c>
    </row>
    <row r="3905" spans="1:40" x14ac:dyDescent="0.25">
      <c r="A3905" t="str">
        <f>"20190312161045369"</f>
        <v>20190312161045369</v>
      </c>
      <c r="B3905" t="str">
        <f>"1552378245360764"</f>
        <v>1552378245360764</v>
      </c>
      <c r="C3905" t="s">
        <v>40</v>
      </c>
      <c r="D3905">
        <v>5.7926219999999997</v>
      </c>
      <c r="E3905">
        <v>0.53961219999999999</v>
      </c>
      <c r="F3905" t="s">
        <v>88</v>
      </c>
      <c r="G3905">
        <v>-215.58330000000001</v>
      </c>
      <c r="H3905">
        <v>2.1498339999999998</v>
      </c>
      <c r="I3905">
        <v>97.150019999999998</v>
      </c>
      <c r="J3905">
        <v>-189.65799999999999</v>
      </c>
      <c r="K3905">
        <v>1.1088020000000001</v>
      </c>
      <c r="L3905">
        <v>179.75290000000001</v>
      </c>
      <c r="M3905">
        <v>-8.4344749999999996E-2</v>
      </c>
      <c r="N3905">
        <v>0</v>
      </c>
      <c r="O3905">
        <v>-0.99641590000000002</v>
      </c>
      <c r="P3905">
        <v>-0.19853889999999999</v>
      </c>
      <c r="Q3905">
        <v>-1.6398579999999999E-2</v>
      </c>
      <c r="R3905">
        <v>-0.97995600000000005</v>
      </c>
      <c r="S3905">
        <v>-0.90243530000000005</v>
      </c>
      <c r="T3905">
        <v>3.6215539999999997E-2</v>
      </c>
      <c r="U3905">
        <v>-2.8796390000000001</v>
      </c>
      <c r="V3905">
        <v>0.11516120000000001</v>
      </c>
      <c r="W3905">
        <v>-1.017099E-2</v>
      </c>
      <c r="X3905">
        <v>0.99329469999999997</v>
      </c>
      <c r="Y3905">
        <v>0.21747</v>
      </c>
      <c r="Z3905">
        <v>-1.206869E-2</v>
      </c>
      <c r="AA3905">
        <v>0.97599239999999998</v>
      </c>
      <c r="AB3905">
        <v>17</v>
      </c>
      <c r="AC3905">
        <v>-25.9253</v>
      </c>
      <c r="AD3905">
        <v>1.04103199999999</v>
      </c>
      <c r="AE3905">
        <v>-82.602879999999999</v>
      </c>
      <c r="AF3905">
        <v>18.862924237994299</v>
      </c>
      <c r="AG3905">
        <v>1.04103199999999</v>
      </c>
      <c r="AH3905">
        <v>84.483016212313402</v>
      </c>
      <c r="AI3905">
        <v>89.310979085040998</v>
      </c>
      <c r="AJ3905">
        <v>77.413737673337906</v>
      </c>
      <c r="AK3905">
        <v>86.569473180581099</v>
      </c>
      <c r="AL3905">
        <v>90.582764874129893</v>
      </c>
      <c r="AM3905">
        <v>83.386733202043999</v>
      </c>
      <c r="AN3905">
        <v>0.99999995603555403</v>
      </c>
    </row>
    <row r="3906" spans="1:40" x14ac:dyDescent="0.25">
      <c r="A3906" t="str">
        <f>"20190312161045391"</f>
        <v>20190312161045391</v>
      </c>
      <c r="B3906" t="str">
        <f>"1552378245380280"</f>
        <v>1552378245380280</v>
      </c>
      <c r="C3906" t="s">
        <v>40</v>
      </c>
      <c r="D3906">
        <v>5.7808060000000001</v>
      </c>
      <c r="E3906">
        <v>0.54885499999999998</v>
      </c>
      <c r="F3906" t="s">
        <v>88</v>
      </c>
      <c r="G3906">
        <v>-215.60939999999999</v>
      </c>
      <c r="H3906">
        <v>2.2808169999999999</v>
      </c>
      <c r="I3906">
        <v>97.150019999999998</v>
      </c>
      <c r="J3906">
        <v>-189.67429999999999</v>
      </c>
      <c r="K3906">
        <v>1.1088020000000001</v>
      </c>
      <c r="L3906">
        <v>179.57730000000001</v>
      </c>
      <c r="M3906">
        <v>-8.5590440000000004E-2</v>
      </c>
      <c r="N3906">
        <v>0</v>
      </c>
      <c r="O3906">
        <v>-0.99630969999999996</v>
      </c>
      <c r="P3906">
        <v>-0.1997911</v>
      </c>
      <c r="Q3906">
        <v>-1.502826E-2</v>
      </c>
      <c r="R3906">
        <v>-0.97972369999999998</v>
      </c>
      <c r="S3906">
        <v>-0.90443419999999997</v>
      </c>
      <c r="T3906">
        <v>4.0846939999999998E-2</v>
      </c>
      <c r="U3906">
        <v>-2.8787989999999999</v>
      </c>
      <c r="V3906">
        <v>0.1151886</v>
      </c>
      <c r="W3906">
        <v>-8.7938679999999998E-3</v>
      </c>
      <c r="X3906">
        <v>0.99330469999999904</v>
      </c>
      <c r="Y3906">
        <v>0.21694179999999999</v>
      </c>
      <c r="Z3906">
        <v>-1.3612829999999999E-2</v>
      </c>
      <c r="AA3906">
        <v>0.9760896</v>
      </c>
      <c r="AB3906">
        <v>17</v>
      </c>
      <c r="AC3906">
        <v>-25.935099999999998</v>
      </c>
      <c r="AD3906">
        <v>1.17201499999999</v>
      </c>
      <c r="AE3906">
        <v>-82.427279999999996</v>
      </c>
      <c r="AF3906">
        <v>18.781337013244901</v>
      </c>
      <c r="AG3906">
        <v>1.17201499999999</v>
      </c>
      <c r="AH3906">
        <v>84.329121896150895</v>
      </c>
      <c r="AI3906">
        <v>89.222788367238707</v>
      </c>
      <c r="AJ3906">
        <v>77.444304804026103</v>
      </c>
      <c r="AK3906">
        <v>86.403200397561605</v>
      </c>
      <c r="AL3906">
        <v>90.503858023076205</v>
      </c>
      <c r="AM3906">
        <v>83.385239671784802</v>
      </c>
      <c r="AN3906">
        <v>0.99999998636322496</v>
      </c>
    </row>
    <row r="3907" spans="1:40" x14ac:dyDescent="0.25">
      <c r="A3907" t="str">
        <f>"20190312161045413"</f>
        <v>20190312161045413</v>
      </c>
      <c r="B3907" t="str">
        <f>"1552378245400777"</f>
        <v>1552378245400777</v>
      </c>
      <c r="C3907" t="s">
        <v>40</v>
      </c>
      <c r="D3907">
        <v>5.8107150000000001</v>
      </c>
      <c r="E3907">
        <v>0.54902769999999901</v>
      </c>
      <c r="F3907" t="s">
        <v>43</v>
      </c>
      <c r="G3907">
        <v>-210.9289</v>
      </c>
      <c r="H3907">
        <v>-0.05</v>
      </c>
      <c r="I3907">
        <v>117.6014</v>
      </c>
      <c r="J3907">
        <v>-189.68989999999999</v>
      </c>
      <c r="K3907">
        <v>1.1088089999999999</v>
      </c>
      <c r="L3907">
        <v>179.41159999999999</v>
      </c>
      <c r="M3907">
        <v>-8.6765949999999994E-2</v>
      </c>
      <c r="N3907">
        <v>0</v>
      </c>
      <c r="O3907">
        <v>-0.99620779999999998</v>
      </c>
      <c r="P3907">
        <v>-0.20012930000000001</v>
      </c>
      <c r="Q3907">
        <v>-1.037713E-2</v>
      </c>
      <c r="R3907">
        <v>-0.97971459999999999</v>
      </c>
      <c r="S3907">
        <v>-0.98123170000000004</v>
      </c>
      <c r="T3907">
        <v>-5.3496960000000003E-2</v>
      </c>
      <c r="U3907">
        <v>-2.8611599999999999</v>
      </c>
      <c r="V3907">
        <v>0.1143609</v>
      </c>
      <c r="W3907">
        <v>-4.134357E-3</v>
      </c>
      <c r="X3907">
        <v>0.9934307</v>
      </c>
      <c r="Y3907">
        <v>0.24105180000000001</v>
      </c>
      <c r="Z3907">
        <v>1.7804730000000001E-2</v>
      </c>
      <c r="AA3907">
        <v>0.97034889999999996</v>
      </c>
      <c r="AB3907">
        <v>18</v>
      </c>
      <c r="AC3907">
        <v>-21.239000000000001</v>
      </c>
      <c r="AD3907">
        <v>-1.158809</v>
      </c>
      <c r="AE3907">
        <v>-61.810200000000002</v>
      </c>
      <c r="AF3907">
        <v>15.7908019326887</v>
      </c>
      <c r="AG3907">
        <v>-1.158809</v>
      </c>
      <c r="AH3907">
        <v>63.400016629786798</v>
      </c>
      <c r="AI3907">
        <v>91.016085802557797</v>
      </c>
      <c r="AJ3907">
        <v>76.0141225561662</v>
      </c>
      <c r="AK3907">
        <v>65.347183356539006</v>
      </c>
      <c r="AL3907">
        <v>90.236881874349706</v>
      </c>
      <c r="AM3907">
        <v>83.433179717979996</v>
      </c>
      <c r="AN3907">
        <v>1.0000000320295499</v>
      </c>
    </row>
    <row r="3908" spans="1:40" x14ac:dyDescent="0.25">
      <c r="A3908" t="str">
        <f>"20190312161045435"</f>
        <v>20190312161045435</v>
      </c>
      <c r="B3908" t="str">
        <f>"1552378245431033"</f>
        <v>1552378245431033</v>
      </c>
      <c r="C3908" t="s">
        <v>40</v>
      </c>
      <c r="D3908">
        <v>5.9679820000000001</v>
      </c>
      <c r="E3908">
        <v>0.55651919999999899</v>
      </c>
      <c r="F3908" t="s">
        <v>90</v>
      </c>
      <c r="G3908">
        <v>-210.21180000000001</v>
      </c>
      <c r="H3908">
        <v>0.24269489999999999</v>
      </c>
      <c r="I3908">
        <v>119.7213</v>
      </c>
      <c r="J3908">
        <v>-189.7073</v>
      </c>
      <c r="K3908">
        <v>1.1088209999999901</v>
      </c>
      <c r="L3908">
        <v>179.22989999999999</v>
      </c>
      <c r="M3908">
        <v>-8.8057940000000001E-2</v>
      </c>
      <c r="N3908">
        <v>0</v>
      </c>
      <c r="O3908">
        <v>-0.99609449999999999</v>
      </c>
      <c r="P3908">
        <v>-0.200686</v>
      </c>
      <c r="Q3908">
        <v>-5.3725730000000003E-3</v>
      </c>
      <c r="R3908">
        <v>-0.97964090000000004</v>
      </c>
      <c r="S3908">
        <v>-0.98355099999999995</v>
      </c>
      <c r="T3908">
        <v>-4.1508669999999998E-2</v>
      </c>
      <c r="U3908">
        <v>-2.8607640000000001</v>
      </c>
      <c r="V3908">
        <v>0.1136409</v>
      </c>
      <c r="W3908">
        <v>8.772055E-4</v>
      </c>
      <c r="X3908">
        <v>0.99352149999999995</v>
      </c>
      <c r="Y3908">
        <v>0.24055860000000001</v>
      </c>
      <c r="Z3908">
        <v>1.381425E-2</v>
      </c>
      <c r="AA3908">
        <v>0.97053630000000002</v>
      </c>
      <c r="AB3908">
        <v>18</v>
      </c>
      <c r="AC3908">
        <v>-20.5045</v>
      </c>
      <c r="AD3908">
        <v>-0.86612609999999901</v>
      </c>
      <c r="AE3908">
        <v>-59.508599999999902</v>
      </c>
      <c r="AF3908">
        <v>15.1816556382173</v>
      </c>
      <c r="AG3908">
        <v>-0.86612609999999901</v>
      </c>
      <c r="AH3908">
        <v>61.071477823068903</v>
      </c>
      <c r="AI3908">
        <v>90.788528392848505</v>
      </c>
      <c r="AJ3908">
        <v>76.039907629201295</v>
      </c>
      <c r="AK3908">
        <v>62.936144192603003</v>
      </c>
      <c r="AL3908">
        <v>89.949739820502899</v>
      </c>
      <c r="AM3908">
        <v>83.474757007556406</v>
      </c>
      <c r="AN3908">
        <v>0.99999999730227396</v>
      </c>
    </row>
    <row r="3909" spans="1:40" x14ac:dyDescent="0.25">
      <c r="A3909" t="str">
        <f>"20190312161045460"</f>
        <v>20190312161045460</v>
      </c>
      <c r="B3909" t="str">
        <f>"1552378245450553"</f>
        <v>1552378245450553</v>
      </c>
      <c r="C3909" t="s">
        <v>40</v>
      </c>
      <c r="D3909">
        <v>5.7909940000000004</v>
      </c>
      <c r="E3909">
        <v>0.55569930000000001</v>
      </c>
      <c r="F3909" t="s">
        <v>90</v>
      </c>
      <c r="G3909">
        <v>-211.44589999999999</v>
      </c>
      <c r="H3909">
        <v>0.21715899999999999</v>
      </c>
      <c r="I3909">
        <v>119.91719999999999</v>
      </c>
      <c r="J3909">
        <v>-189.72579999999999</v>
      </c>
      <c r="K3909">
        <v>1.108816</v>
      </c>
      <c r="L3909">
        <v>179.03819999999999</v>
      </c>
      <c r="M3909">
        <v>-8.9425710000000005E-2</v>
      </c>
      <c r="N3909">
        <v>0</v>
      </c>
      <c r="O3909">
        <v>-0.99597259999999999</v>
      </c>
      <c r="P3909">
        <v>-0.2014396</v>
      </c>
      <c r="Q3909">
        <v>-3.4293079999999998E-3</v>
      </c>
      <c r="R3909">
        <v>-0.97949489999999995</v>
      </c>
      <c r="S3909">
        <v>-1.0439000000000001</v>
      </c>
      <c r="T3909">
        <v>-4.2816640000000003E-2</v>
      </c>
      <c r="U3909">
        <v>-2.8482210000000001</v>
      </c>
      <c r="V3909">
        <v>0.11304309999999999</v>
      </c>
      <c r="W3909">
        <v>2.8231739999999999E-3</v>
      </c>
      <c r="X3909">
        <v>0.99358610000000003</v>
      </c>
      <c r="Y3909">
        <v>0.25874510000000001</v>
      </c>
      <c r="Z3909">
        <v>1.42227999999999E-2</v>
      </c>
      <c r="AA3909">
        <v>0.9658409</v>
      </c>
      <c r="AB3909">
        <v>18</v>
      </c>
      <c r="AC3909">
        <v>-21.720099999999999</v>
      </c>
      <c r="AD3909">
        <v>-0.89165699999999903</v>
      </c>
      <c r="AE3909">
        <v>-59.121000000000002</v>
      </c>
      <c r="AF3909">
        <v>16.34275194145</v>
      </c>
      <c r="AG3909">
        <v>-0.89165699999999903</v>
      </c>
      <c r="AH3909">
        <v>60.814309315072101</v>
      </c>
      <c r="AI3909">
        <v>90.811230614318205</v>
      </c>
      <c r="AJ3909">
        <v>74.958160258154905</v>
      </c>
      <c r="AK3909">
        <v>62.978256650170003</v>
      </c>
      <c r="AL3909">
        <v>89.838243834209194</v>
      </c>
      <c r="AM3909">
        <v>83.509207298480305</v>
      </c>
      <c r="AN3909">
        <v>1.0000000254411201</v>
      </c>
    </row>
    <row r="3910" spans="1:40" x14ac:dyDescent="0.25">
      <c r="A3910" t="str">
        <f>"20190312161045482"</f>
        <v>20190312161045482</v>
      </c>
      <c r="B3910" t="str">
        <f>"1552378245470072"</f>
        <v>1552378245470072</v>
      </c>
      <c r="C3910" t="s">
        <v>40</v>
      </c>
      <c r="D3910">
        <v>5.920083</v>
      </c>
      <c r="E3910">
        <v>0.55661240000000001</v>
      </c>
      <c r="F3910" t="s">
        <v>90</v>
      </c>
      <c r="G3910">
        <v>-211.56739999999999</v>
      </c>
      <c r="H3910">
        <v>0.45556039999999998</v>
      </c>
      <c r="I3910">
        <v>119.19029999999999</v>
      </c>
      <c r="J3910">
        <v>-189.74350000000001</v>
      </c>
      <c r="K3910">
        <v>1.1088</v>
      </c>
      <c r="L3910">
        <v>178.85759999999999</v>
      </c>
      <c r="M3910">
        <v>-9.0717809999999996E-2</v>
      </c>
      <c r="N3910">
        <v>0</v>
      </c>
      <c r="O3910">
        <v>-0.99585590000000002</v>
      </c>
      <c r="P3910">
        <v>-0.2022012</v>
      </c>
      <c r="Q3910">
        <v>-5.4125459999999999E-3</v>
      </c>
      <c r="R3910">
        <v>-0.97932949999999996</v>
      </c>
      <c r="S3910">
        <v>-1.039703</v>
      </c>
      <c r="T3910">
        <v>-3.109491E-2</v>
      </c>
      <c r="U3910">
        <v>-2.8488769999999999</v>
      </c>
      <c r="V3910">
        <v>0.1125244</v>
      </c>
      <c r="W3910">
        <v>8.3858179999999997E-4</v>
      </c>
      <c r="X3910">
        <v>0.99364859999999999</v>
      </c>
      <c r="Y3910">
        <v>0.25618069999999998</v>
      </c>
      <c r="Z3910">
        <v>1.0331659999999999E-2</v>
      </c>
      <c r="AA3910">
        <v>0.96657369999999998</v>
      </c>
      <c r="AB3910">
        <v>18</v>
      </c>
      <c r="AC3910">
        <v>-21.823899999999899</v>
      </c>
      <c r="AD3910">
        <v>-0.65323959999999903</v>
      </c>
      <c r="AE3910">
        <v>-59.667299999999997</v>
      </c>
      <c r="AF3910">
        <v>16.319184656220401</v>
      </c>
      <c r="AG3910">
        <v>-0.65323959999999903</v>
      </c>
      <c r="AH3910">
        <v>61.394626833477297</v>
      </c>
      <c r="AI3910">
        <v>90.589148685271098</v>
      </c>
      <c r="AJ3910">
        <v>75.114522883191</v>
      </c>
      <c r="AK3910">
        <v>63.5298568693552</v>
      </c>
      <c r="AL3910">
        <v>89.951952796070103</v>
      </c>
      <c r="AM3910">
        <v>83.539140938998699</v>
      </c>
      <c r="AN3910">
        <v>0.99999999204837697</v>
      </c>
    </row>
    <row r="3911" spans="1:40" x14ac:dyDescent="0.25">
      <c r="A3911" t="str">
        <f>"20190312161045513"</f>
        <v>20190312161045513</v>
      </c>
      <c r="B3911" t="str">
        <f>"1552378245510089"</f>
        <v>1552378245510089</v>
      </c>
      <c r="C3911" t="s">
        <v>40</v>
      </c>
      <c r="D3911">
        <v>5.8704070000000002</v>
      </c>
      <c r="E3911">
        <v>0.55686119999999995</v>
      </c>
      <c r="F3911" t="s">
        <v>90</v>
      </c>
      <c r="G3911">
        <v>-211.755</v>
      </c>
      <c r="H3911">
        <v>0.54702819999999996</v>
      </c>
      <c r="I3911">
        <v>119.1258</v>
      </c>
      <c r="J3911">
        <v>-189.76910000000001</v>
      </c>
      <c r="K3911">
        <v>1.1087670000000001</v>
      </c>
      <c r="L3911">
        <v>178.60149999999999</v>
      </c>
      <c r="M3911">
        <v>-9.2553360000000001E-2</v>
      </c>
      <c r="N3911">
        <v>0</v>
      </c>
      <c r="O3911">
        <v>-0.99568690000000004</v>
      </c>
      <c r="P3911">
        <v>-0.20380090000000001</v>
      </c>
      <c r="Q3911">
        <v>-8.8593839999999997E-3</v>
      </c>
      <c r="R3911">
        <v>-0.97897230000000002</v>
      </c>
      <c r="S3911">
        <v>-1.04899599999999</v>
      </c>
      <c r="T3911">
        <v>-2.6770829999999999E-2</v>
      </c>
      <c r="U3911">
        <v>-2.846619</v>
      </c>
      <c r="V3911">
        <v>0.112313</v>
      </c>
      <c r="W3911">
        <v>-2.6113740000000001E-3</v>
      </c>
      <c r="X3911">
        <v>0.99366949999999998</v>
      </c>
      <c r="Y3911">
        <v>0.25743149999999998</v>
      </c>
      <c r="Z3911">
        <v>8.8930509999999904E-3</v>
      </c>
      <c r="AA3911">
        <v>0.96625570000000005</v>
      </c>
      <c r="AB3911">
        <v>18</v>
      </c>
      <c r="AC3911">
        <v>-21.985899999999901</v>
      </c>
      <c r="AD3911">
        <v>-0.56173879999999998</v>
      </c>
      <c r="AE3911">
        <v>-59.475699999999897</v>
      </c>
      <c r="AF3911">
        <v>16.385450604147898</v>
      </c>
      <c r="AG3911">
        <v>-0.56173879999999998</v>
      </c>
      <c r="AH3911">
        <v>61.250507517295603</v>
      </c>
      <c r="AI3911">
        <v>90.507606120380203</v>
      </c>
      <c r="AJ3911">
        <v>75.023195035959802</v>
      </c>
      <c r="AK3911">
        <v>63.406807308889803</v>
      </c>
      <c r="AL3911">
        <v>90.149620871165695</v>
      </c>
      <c r="AM3911">
        <v>83.551311127796893</v>
      </c>
      <c r="AN3911">
        <v>1.0000000522367001</v>
      </c>
    </row>
    <row r="3912" spans="1:40" x14ac:dyDescent="0.25">
      <c r="A3912" t="str">
        <f>"20190312161045537"</f>
        <v>20190312161045537</v>
      </c>
      <c r="B3912" t="str">
        <f>"1552378245530585"</f>
        <v>1552378245530585</v>
      </c>
      <c r="C3912" t="s">
        <v>40</v>
      </c>
      <c r="D3912">
        <v>5.9357300000000004</v>
      </c>
      <c r="E3912">
        <v>0.55658099999999999</v>
      </c>
      <c r="F3912" t="s">
        <v>90</v>
      </c>
      <c r="G3912">
        <v>-211.7953</v>
      </c>
      <c r="H3912">
        <v>0.38847720000000002</v>
      </c>
      <c r="I3912">
        <v>119.2376</v>
      </c>
      <c r="J3912">
        <v>-189.78829999999999</v>
      </c>
      <c r="K3912">
        <v>1.108743</v>
      </c>
      <c r="L3912">
        <v>178.4126</v>
      </c>
      <c r="M3912">
        <v>-9.3908699999999998E-2</v>
      </c>
      <c r="N3912">
        <v>0</v>
      </c>
      <c r="O3912">
        <v>-0.99555990000000005</v>
      </c>
      <c r="P3912">
        <v>-0.2053479</v>
      </c>
      <c r="Q3912">
        <v>-9.9225259999999992E-3</v>
      </c>
      <c r="R3912">
        <v>-0.97863900000000004</v>
      </c>
      <c r="S3912">
        <v>-1.0553889999999999</v>
      </c>
      <c r="T3912">
        <v>-3.451133E-2</v>
      </c>
      <c r="U3912">
        <v>-2.8444210000000001</v>
      </c>
      <c r="V3912">
        <v>0.11253000000000001</v>
      </c>
      <c r="W3912">
        <v>-3.6756620000000001E-3</v>
      </c>
      <c r="X3912">
        <v>0.99364160000000001</v>
      </c>
      <c r="Y3912">
        <v>0.25825939999999997</v>
      </c>
      <c r="Z3912">
        <v>1.1464530000000001E-2</v>
      </c>
      <c r="AA3912">
        <v>0.96600759999999997</v>
      </c>
      <c r="AB3912">
        <v>18</v>
      </c>
      <c r="AC3912">
        <v>-22.007000000000001</v>
      </c>
      <c r="AD3912">
        <v>-0.72026579999999996</v>
      </c>
      <c r="AE3912">
        <v>-59.174999999999997</v>
      </c>
      <c r="AF3912">
        <v>16.350451836400001</v>
      </c>
      <c r="AG3912">
        <v>-0.72026579999999996</v>
      </c>
      <c r="AH3912">
        <v>60.9722398770651</v>
      </c>
      <c r="AI3912">
        <v>90.653709913915193</v>
      </c>
      <c r="AJ3912">
        <v>74.9886120902854</v>
      </c>
      <c r="AK3912">
        <v>63.130579703527602</v>
      </c>
      <c r="AL3912">
        <v>90.210600378927893</v>
      </c>
      <c r="AM3912">
        <v>83.5387769877442</v>
      </c>
      <c r="AN3912">
        <v>1.00000007032084</v>
      </c>
    </row>
    <row r="3913" spans="1:40" x14ac:dyDescent="0.25">
      <c r="A3913" t="str">
        <f>"20190312161045559"</f>
        <v>20190312161045559</v>
      </c>
      <c r="B3913" t="str">
        <f>"1552378245550105"</f>
        <v>1552378245550105</v>
      </c>
      <c r="C3913" t="s">
        <v>40</v>
      </c>
      <c r="D3913">
        <v>5.8970039999999999</v>
      </c>
      <c r="E3913">
        <v>0.55653199999999903</v>
      </c>
      <c r="F3913" t="s">
        <v>90</v>
      </c>
      <c r="G3913">
        <v>-211.804</v>
      </c>
      <c r="H3913">
        <v>0.38596819999999998</v>
      </c>
      <c r="I3913">
        <v>119.2394</v>
      </c>
      <c r="J3913">
        <v>-189.80779999999999</v>
      </c>
      <c r="K3913">
        <v>1.1087290000000001</v>
      </c>
      <c r="L3913">
        <v>178.2216</v>
      </c>
      <c r="M3913">
        <v>-9.5279890000000006E-2</v>
      </c>
      <c r="N3913">
        <v>0</v>
      </c>
      <c r="O3913">
        <v>-0.99542960000000003</v>
      </c>
      <c r="P3913">
        <v>-0.2073121</v>
      </c>
      <c r="Q3913">
        <v>-1.250646E-2</v>
      </c>
      <c r="R3913">
        <v>-0.97819509999999998</v>
      </c>
      <c r="S3913">
        <v>-1.0578160000000001</v>
      </c>
      <c r="T3913">
        <v>-3.47265E-2</v>
      </c>
      <c r="U3913">
        <v>-2.8431549999999999</v>
      </c>
      <c r="V3913">
        <v>0.11315459999999999</v>
      </c>
      <c r="W3913">
        <v>-6.2603249999999997E-3</v>
      </c>
      <c r="X3913">
        <v>0.99355769999999999</v>
      </c>
      <c r="Y3913">
        <v>0.25779299999999999</v>
      </c>
      <c r="Z3913">
        <v>1.153761E-2</v>
      </c>
      <c r="AA3913">
        <v>0.96613130000000003</v>
      </c>
      <c r="AB3913">
        <v>18</v>
      </c>
      <c r="AC3913">
        <v>-21.996200000000002</v>
      </c>
      <c r="AD3913">
        <v>-0.72276079999999998</v>
      </c>
      <c r="AE3913">
        <v>-58.982199999999899</v>
      </c>
      <c r="AF3913">
        <v>16.274044718108499</v>
      </c>
      <c r="AG3913">
        <v>-0.72276079999999998</v>
      </c>
      <c r="AH3913">
        <v>60.801674647961299</v>
      </c>
      <c r="AI3913">
        <v>90.657897128004905</v>
      </c>
      <c r="AJ3913">
        <v>75.015576326152001</v>
      </c>
      <c r="AK3913">
        <v>62.946092449472602</v>
      </c>
      <c r="AL3913">
        <v>90.358692533392301</v>
      </c>
      <c r="AM3913">
        <v>83.502675696705097</v>
      </c>
      <c r="AN3913">
        <v>1.0000000291997699</v>
      </c>
    </row>
    <row r="3914" spans="1:40" x14ac:dyDescent="0.25">
      <c r="A3914" t="str">
        <f>"20190312161045581"</f>
        <v>20190312161045581</v>
      </c>
      <c r="B3914" t="str">
        <f>"1552378245570604"</f>
        <v>1552378245570604</v>
      </c>
      <c r="C3914" t="s">
        <v>40</v>
      </c>
      <c r="D3914">
        <v>5.7302460000000002</v>
      </c>
      <c r="E3914">
        <v>0.55638889999999996</v>
      </c>
      <c r="F3914" t="s">
        <v>90</v>
      </c>
      <c r="G3914">
        <v>-211.62430000000001</v>
      </c>
      <c r="H3914">
        <v>0.2311955</v>
      </c>
      <c r="I3914">
        <v>119.91719999999999</v>
      </c>
      <c r="J3914">
        <v>-189.8253</v>
      </c>
      <c r="K3914">
        <v>1.1087209999999901</v>
      </c>
      <c r="L3914">
        <v>178.05330000000001</v>
      </c>
      <c r="M3914">
        <v>-9.6488439999999995E-2</v>
      </c>
      <c r="N3914">
        <v>0</v>
      </c>
      <c r="O3914">
        <v>-0.99531320000000001</v>
      </c>
      <c r="P3914">
        <v>-0.2089046</v>
      </c>
      <c r="Q3914">
        <v>-1.42474E-2</v>
      </c>
      <c r="R3914">
        <v>-0.97783240000000005</v>
      </c>
      <c r="S3914">
        <v>-1.0630649999999999</v>
      </c>
      <c r="T3914">
        <v>-4.2758699999999997E-2</v>
      </c>
      <c r="U3914">
        <v>-2.8410340000000001</v>
      </c>
      <c r="V3914">
        <v>0.1135655</v>
      </c>
      <c r="W3914">
        <v>-8.0004589999999997E-3</v>
      </c>
      <c r="X3914">
        <v>0.99349829999999995</v>
      </c>
      <c r="Y3914">
        <v>0.25841019999999998</v>
      </c>
      <c r="Z3914">
        <v>1.420752E-2</v>
      </c>
      <c r="AA3914">
        <v>0.96593079999999998</v>
      </c>
      <c r="AB3914">
        <v>18</v>
      </c>
      <c r="AC3914">
        <v>-21.798999999999999</v>
      </c>
      <c r="AD3914">
        <v>-0.87752549999999896</v>
      </c>
      <c r="AE3914">
        <v>-58.136099999999999</v>
      </c>
      <c r="AF3914">
        <v>16.084492660482599</v>
      </c>
      <c r="AG3914">
        <v>-0.87752549999999896</v>
      </c>
      <c r="AH3914">
        <v>59.956250544854001</v>
      </c>
      <c r="AI3914">
        <v>90.809893402975206</v>
      </c>
      <c r="AJ3914">
        <v>74.982825600322101</v>
      </c>
      <c r="AK3914">
        <v>62.0824688180615</v>
      </c>
      <c r="AL3914">
        <v>90.458397424576901</v>
      </c>
      <c r="AM3914">
        <v>83.478898197151494</v>
      </c>
      <c r="AN3914">
        <v>1.00000000111867</v>
      </c>
    </row>
    <row r="3915" spans="1:40" x14ac:dyDescent="0.25">
      <c r="A3915" t="str">
        <f>"20190312161045603"</f>
        <v>20190312161045603</v>
      </c>
      <c r="B3915" t="str">
        <f>"1552378245590121"</f>
        <v>1552378245590121</v>
      </c>
      <c r="C3915" t="s">
        <v>40</v>
      </c>
      <c r="D3915">
        <v>6.1018780000000001</v>
      </c>
      <c r="E3915">
        <v>0.55709140000000001</v>
      </c>
      <c r="F3915" t="s">
        <v>43</v>
      </c>
      <c r="G3915">
        <v>-215.524</v>
      </c>
      <c r="H3915">
        <v>-0.05</v>
      </c>
      <c r="I3915">
        <v>109.6314</v>
      </c>
      <c r="J3915">
        <v>-189.845</v>
      </c>
      <c r="K3915">
        <v>1.108714</v>
      </c>
      <c r="L3915">
        <v>177.8663</v>
      </c>
      <c r="M3915">
        <v>-9.7830520000000004E-2</v>
      </c>
      <c r="N3915">
        <v>0</v>
      </c>
      <c r="O3915">
        <v>-0.99518200000000001</v>
      </c>
      <c r="P3915">
        <v>-0.20887739999999999</v>
      </c>
      <c r="Q3915">
        <v>-1.3184649999999999E-2</v>
      </c>
      <c r="R3915">
        <v>-0.97785290000000002</v>
      </c>
      <c r="S3915">
        <v>-1.0664830000000001</v>
      </c>
      <c r="T3915">
        <v>-4.8086400000000001E-2</v>
      </c>
      <c r="U3915">
        <v>-2.8394780000000002</v>
      </c>
      <c r="V3915">
        <v>0.1121983</v>
      </c>
      <c r="W3915">
        <v>-6.9312419999999998E-3</v>
      </c>
      <c r="X3915">
        <v>0.99366160000000003</v>
      </c>
      <c r="Y3915">
        <v>0.2582912</v>
      </c>
      <c r="Z3915">
        <v>1.597933E-2</v>
      </c>
      <c r="AA3915">
        <v>0.96593490000000004</v>
      </c>
      <c r="AB3915">
        <v>18</v>
      </c>
      <c r="AC3915">
        <v>-25.678999999999998</v>
      </c>
      <c r="AD3915">
        <v>-1.158714</v>
      </c>
      <c r="AE3915">
        <v>-68.234899999999996</v>
      </c>
      <c r="AF3915">
        <v>18.875451349875199</v>
      </c>
      <c r="AG3915">
        <v>-1.158714</v>
      </c>
      <c r="AH3915">
        <v>70.402029346693098</v>
      </c>
      <c r="AI3915">
        <v>90.910759057564704</v>
      </c>
      <c r="AJ3915">
        <v>74.991431838339196</v>
      </c>
      <c r="AK3915">
        <v>72.8976749830057</v>
      </c>
      <c r="AL3915">
        <v>90.397134117919407</v>
      </c>
      <c r="AM3915">
        <v>83.557790691599706</v>
      </c>
      <c r="AN3915">
        <v>0.99999993797655395</v>
      </c>
    </row>
    <row r="3916" spans="1:40" x14ac:dyDescent="0.25">
      <c r="A3916" t="str">
        <f>"20190312161045626"</f>
        <v>20190312161045626</v>
      </c>
      <c r="B3916" t="str">
        <f>"1552378245620377"</f>
        <v>1552378245620377</v>
      </c>
      <c r="C3916" t="s">
        <v>40</v>
      </c>
      <c r="D3916">
        <v>6.0903340000000004</v>
      </c>
      <c r="E3916">
        <v>0.55752959999999996</v>
      </c>
      <c r="F3916" t="s">
        <v>90</v>
      </c>
      <c r="G3916">
        <v>-211.7278</v>
      </c>
      <c r="H3916">
        <v>0.2912324</v>
      </c>
      <c r="I3916">
        <v>119.91719999999999</v>
      </c>
      <c r="J3916">
        <v>-189.8648</v>
      </c>
      <c r="K3916">
        <v>1.1087180000000001</v>
      </c>
      <c r="L3916">
        <v>177.68090000000001</v>
      </c>
      <c r="M3916">
        <v>-9.9160479999999995E-2</v>
      </c>
      <c r="N3916">
        <v>0</v>
      </c>
      <c r="O3916">
        <v>-0.9950504</v>
      </c>
      <c r="P3916">
        <v>-0.20919289999999999</v>
      </c>
      <c r="Q3916">
        <v>-1.141433E-2</v>
      </c>
      <c r="R3916">
        <v>-0.97780809999999996</v>
      </c>
      <c r="S3916">
        <v>-1.0718540000000001</v>
      </c>
      <c r="T3916">
        <v>-4.0040140000000002E-2</v>
      </c>
      <c r="U3916">
        <v>-2.8384399999999999</v>
      </c>
      <c r="V3916">
        <v>0.1111914</v>
      </c>
      <c r="W3916">
        <v>-5.1541670000000003E-3</v>
      </c>
      <c r="X3916">
        <v>0.99378560000000005</v>
      </c>
      <c r="Y3916">
        <v>0.25873089999999999</v>
      </c>
      <c r="Z3916">
        <v>1.330286E-2</v>
      </c>
      <c r="AA3916">
        <v>0.96585790000000005</v>
      </c>
      <c r="AB3916">
        <v>18</v>
      </c>
      <c r="AC3916">
        <v>-21.863</v>
      </c>
      <c r="AD3916">
        <v>-0.81748560000000003</v>
      </c>
      <c r="AE3916">
        <v>-57.7637</v>
      </c>
      <c r="AF3916">
        <v>16.0244391488311</v>
      </c>
      <c r="AG3916">
        <v>-0.81748560000000003</v>
      </c>
      <c r="AH3916">
        <v>59.636540328799697</v>
      </c>
      <c r="AI3916">
        <v>90.758449923772702</v>
      </c>
      <c r="AJ3916">
        <v>74.959780811872207</v>
      </c>
      <c r="AK3916">
        <v>61.757330537591699</v>
      </c>
      <c r="AL3916">
        <v>90.295313336583902</v>
      </c>
      <c r="AM3916">
        <v>83.615915459656506</v>
      </c>
      <c r="AN3916">
        <v>0.99999995581939105</v>
      </c>
    </row>
    <row r="3917" spans="1:40" x14ac:dyDescent="0.25">
      <c r="A3917" t="str">
        <f>"20190312161045648"</f>
        <v>20190312161045648</v>
      </c>
      <c r="B3917" t="str">
        <f>"1552378245640873"</f>
        <v>1552378245640873</v>
      </c>
      <c r="C3917" t="s">
        <v>40</v>
      </c>
      <c r="D3917">
        <v>6.0120639999999996</v>
      </c>
      <c r="E3917">
        <v>0.5572878</v>
      </c>
      <c r="F3917" t="s">
        <v>90</v>
      </c>
      <c r="G3917">
        <v>-212.03649999999999</v>
      </c>
      <c r="H3917">
        <v>0.39146609999999998</v>
      </c>
      <c r="I3917">
        <v>119.2355</v>
      </c>
      <c r="J3917">
        <v>-189.88570000000001</v>
      </c>
      <c r="K3917">
        <v>1.1087129999999901</v>
      </c>
      <c r="L3917">
        <v>177.4871</v>
      </c>
      <c r="M3917">
        <v>-0.10054970000000001</v>
      </c>
      <c r="N3917">
        <v>0</v>
      </c>
      <c r="O3917">
        <v>-0.99491079999999998</v>
      </c>
      <c r="P3917">
        <v>-0.20999989999999999</v>
      </c>
      <c r="Q3917">
        <v>-1.1123640000000001E-2</v>
      </c>
      <c r="R3917">
        <v>-0.97763809999999995</v>
      </c>
      <c r="S3917">
        <v>-1.0764009999999999</v>
      </c>
      <c r="T3917">
        <v>-3.4820080000000003E-2</v>
      </c>
      <c r="U3917">
        <v>-2.8374329999999999</v>
      </c>
      <c r="V3917">
        <v>0.11062429999999999</v>
      </c>
      <c r="W3917">
        <v>-4.8566360000000001E-3</v>
      </c>
      <c r="X3917">
        <v>0.99385040000000002</v>
      </c>
      <c r="Y3917">
        <v>0.2588569</v>
      </c>
      <c r="Z3917">
        <v>1.156683E-2</v>
      </c>
      <c r="AA3917">
        <v>0.96584639999999999</v>
      </c>
      <c r="AB3917">
        <v>19</v>
      </c>
      <c r="AC3917">
        <v>-22.150799999999901</v>
      </c>
      <c r="AD3917">
        <v>-0.71724689999999902</v>
      </c>
      <c r="AE3917">
        <v>-58.251600000000003</v>
      </c>
      <c r="AF3917">
        <v>16.179088137842601</v>
      </c>
      <c r="AG3917">
        <v>-0.71724689999999902</v>
      </c>
      <c r="AH3917">
        <v>60.175703306089197</v>
      </c>
      <c r="AI3917">
        <v>90.659470315867296</v>
      </c>
      <c r="AJ3917">
        <v>74.951100728918405</v>
      </c>
      <c r="AK3917">
        <v>62.316872550458797</v>
      </c>
      <c r="AL3917">
        <v>90.278265847658005</v>
      </c>
      <c r="AM3917">
        <v>83.648619627220299</v>
      </c>
      <c r="AN3917">
        <v>0.99999997012194197</v>
      </c>
    </row>
    <row r="3918" spans="1:40" x14ac:dyDescent="0.25">
      <c r="A3918" t="str">
        <f>"20190312161045672"</f>
        <v>20190312161045672</v>
      </c>
      <c r="B3918" t="str">
        <f>"1552378245660392"</f>
        <v>1552378245660392</v>
      </c>
      <c r="C3918" t="s">
        <v>40</v>
      </c>
      <c r="D3918">
        <v>5.8870969999999998</v>
      </c>
      <c r="E3918">
        <v>0.54183059999999905</v>
      </c>
      <c r="F3918" t="s">
        <v>90</v>
      </c>
      <c r="G3918">
        <v>-211.98220000000001</v>
      </c>
      <c r="H3918">
        <v>0.33850819999999998</v>
      </c>
      <c r="I3918">
        <v>119.27290000000001</v>
      </c>
      <c r="J3918">
        <v>-189.9067</v>
      </c>
      <c r="K3918">
        <v>1.1087039999999999</v>
      </c>
      <c r="L3918">
        <v>177.29570000000001</v>
      </c>
      <c r="M3918">
        <v>-0.1019202</v>
      </c>
      <c r="N3918">
        <v>0</v>
      </c>
      <c r="O3918">
        <v>-0.99477139999999997</v>
      </c>
      <c r="P3918">
        <v>-0.21196290000000001</v>
      </c>
      <c r="Q3918">
        <v>-1.1822249999999999E-2</v>
      </c>
      <c r="R3918">
        <v>-0.97720629999999997</v>
      </c>
      <c r="S3918">
        <v>-1.076813</v>
      </c>
      <c r="T3918">
        <v>-3.7532450000000002E-2</v>
      </c>
      <c r="U3918">
        <v>-2.8369140000000002</v>
      </c>
      <c r="V3918">
        <v>0.11125069999999999</v>
      </c>
      <c r="W3918">
        <v>-5.5507129999999997E-3</v>
      </c>
      <c r="X3918">
        <v>0.99377689999999996</v>
      </c>
      <c r="Y3918">
        <v>0.25770349999999997</v>
      </c>
      <c r="Z3918">
        <v>1.246885E-2</v>
      </c>
      <c r="AA3918">
        <v>0.96614359999999999</v>
      </c>
      <c r="AB3918">
        <v>19</v>
      </c>
      <c r="AC3918">
        <v>-22.075500000000002</v>
      </c>
      <c r="AD3918">
        <v>-0.77019579999999999</v>
      </c>
      <c r="AE3918">
        <v>-58.022799999999997</v>
      </c>
      <c r="AF3918">
        <v>16.044249201839399</v>
      </c>
      <c r="AG3918">
        <v>-0.77019579999999999</v>
      </c>
      <c r="AH3918">
        <v>59.961395567133401</v>
      </c>
      <c r="AI3918">
        <v>90.710908975093801</v>
      </c>
      <c r="AJ3918">
        <v>75.019935082759901</v>
      </c>
      <c r="AK3918">
        <v>62.075599814897501</v>
      </c>
      <c r="AL3918">
        <v>90.318034052481906</v>
      </c>
      <c r="AM3918">
        <v>83.612483409765005</v>
      </c>
      <c r="AN3918">
        <v>1.0000000278194501</v>
      </c>
    </row>
    <row r="3919" spans="1:40" x14ac:dyDescent="0.25">
      <c r="A3919" t="str">
        <f>"20190312161045692"</f>
        <v>20190312161045692</v>
      </c>
      <c r="B3919" t="str">
        <f>"1552378245680889"</f>
        <v>1552378245680889</v>
      </c>
      <c r="C3919" t="s">
        <v>40</v>
      </c>
      <c r="D3919">
        <v>6.1557899999999997</v>
      </c>
      <c r="E3919">
        <v>0.53880139999999999</v>
      </c>
      <c r="F3919" t="s">
        <v>88</v>
      </c>
      <c r="G3919">
        <v>-216.80449999999999</v>
      </c>
      <c r="H3919">
        <v>3.4749059999999998</v>
      </c>
      <c r="I3919">
        <v>97.150019999999998</v>
      </c>
      <c r="J3919">
        <v>-189.9263</v>
      </c>
      <c r="K3919">
        <v>1.10869</v>
      </c>
      <c r="L3919">
        <v>177.11859999999999</v>
      </c>
      <c r="M3919">
        <v>-0.1031874</v>
      </c>
      <c r="N3919">
        <v>0</v>
      </c>
      <c r="O3919">
        <v>-0.99464079999999999</v>
      </c>
      <c r="P3919">
        <v>-0.21469350000000001</v>
      </c>
      <c r="Q3919">
        <v>-1.233779E-2</v>
      </c>
      <c r="R3919">
        <v>-0.97660380000000002</v>
      </c>
      <c r="S3919">
        <v>-0.96072389999999996</v>
      </c>
      <c r="T3919">
        <v>8.4515930000000003E-2</v>
      </c>
      <c r="U3919">
        <v>-2.8626100000000001</v>
      </c>
      <c r="V3919">
        <v>0.1127619</v>
      </c>
      <c r="W3919">
        <v>-6.0638970000000004E-3</v>
      </c>
      <c r="X3919">
        <v>0.99360349999999997</v>
      </c>
      <c r="Y3919">
        <v>0.21851870000000001</v>
      </c>
      <c r="Z3919">
        <v>-2.8148929999999999E-2</v>
      </c>
      <c r="AA3919">
        <v>0.97542669999999998</v>
      </c>
      <c r="AB3919">
        <v>19</v>
      </c>
      <c r="AC3919">
        <v>-26.8782</v>
      </c>
      <c r="AD3919">
        <v>2.3662160000000001</v>
      </c>
      <c r="AE3919">
        <v>-79.968579999999903</v>
      </c>
      <c r="AF3919">
        <v>18.4682647730959</v>
      </c>
      <c r="AG3919">
        <v>2.3662160000000001</v>
      </c>
      <c r="AH3919">
        <v>82.250531074452894</v>
      </c>
      <c r="AI3919">
        <v>88.392157625819195</v>
      </c>
      <c r="AJ3919">
        <v>77.344883760222899</v>
      </c>
      <c r="AK3919">
        <v>84.331640823106099</v>
      </c>
      <c r="AL3919">
        <v>90.347437846574906</v>
      </c>
      <c r="AM3919">
        <v>83.525328592584003</v>
      </c>
      <c r="AN3919">
        <v>0.99999996607534203</v>
      </c>
    </row>
    <row r="3920" spans="1:40" x14ac:dyDescent="0.25">
      <c r="A3920" t="str">
        <f>"20190312161045715"</f>
        <v>20190312161045715</v>
      </c>
      <c r="B3920" t="str">
        <f>"1552378245710169"</f>
        <v>1552378245710169</v>
      </c>
      <c r="C3920" t="s">
        <v>40</v>
      </c>
      <c r="D3920">
        <v>6.1154789999999997</v>
      </c>
      <c r="E3920">
        <v>0.56047340000000001</v>
      </c>
      <c r="F3920" t="s">
        <v>92</v>
      </c>
      <c r="G3920">
        <v>-211.42619999999999</v>
      </c>
      <c r="H3920">
        <v>3.2734589999999999</v>
      </c>
      <c r="I3920">
        <v>111.92570000000001</v>
      </c>
      <c r="J3920">
        <v>-189.94720000000001</v>
      </c>
      <c r="K3920">
        <v>1.108681</v>
      </c>
      <c r="L3920">
        <v>176.9323</v>
      </c>
      <c r="M3920">
        <v>-0.10452019999999999</v>
      </c>
      <c r="N3920">
        <v>0</v>
      </c>
      <c r="O3920">
        <v>-0.99450139999999998</v>
      </c>
      <c r="P3920">
        <v>-0.2167395</v>
      </c>
      <c r="Q3920">
        <v>-1.2667609999999999E-2</v>
      </c>
      <c r="R3920">
        <v>-0.9761474</v>
      </c>
      <c r="S3920">
        <v>-0.94496150000000001</v>
      </c>
      <c r="T3920">
        <v>9.5146540000000002E-2</v>
      </c>
      <c r="U3920">
        <v>-2.8653409999999999</v>
      </c>
      <c r="V3920">
        <v>0.1135121</v>
      </c>
      <c r="W3920">
        <v>-6.3886680000000001E-3</v>
      </c>
      <c r="X3920">
        <v>0.99351610000000001</v>
      </c>
      <c r="Y3920">
        <v>0.2120609</v>
      </c>
      <c r="Z3920">
        <v>-3.1700539999999999E-2</v>
      </c>
      <c r="AA3920">
        <v>0.97674209999999995</v>
      </c>
      <c r="AB3920">
        <v>19</v>
      </c>
      <c r="AC3920">
        <v>-21.4789999999999</v>
      </c>
      <c r="AD3920">
        <v>2.1647780000000001</v>
      </c>
      <c r="AE3920">
        <v>-65.006599999999906</v>
      </c>
      <c r="AF3920">
        <v>14.552153004025</v>
      </c>
      <c r="AG3920">
        <v>2.1647780000000001</v>
      </c>
      <c r="AH3920">
        <v>66.828750079450003</v>
      </c>
      <c r="AI3920">
        <v>88.187124292693298</v>
      </c>
      <c r="AJ3920">
        <v>77.715445700697003</v>
      </c>
      <c r="AK3920">
        <v>68.429038119963494</v>
      </c>
      <c r="AL3920">
        <v>90.366046193493901</v>
      </c>
      <c r="AM3920">
        <v>83.482053885983902</v>
      </c>
      <c r="AN3920">
        <v>1.00000002644221</v>
      </c>
    </row>
    <row r="3921" spans="1:40" x14ac:dyDescent="0.25">
      <c r="A3921" t="str">
        <f>"20190312161045738"</f>
        <v>20190312161045738</v>
      </c>
      <c r="B3921" t="str">
        <f>"1552378245730665"</f>
        <v>1552378245730665</v>
      </c>
      <c r="C3921" t="s">
        <v>40</v>
      </c>
      <c r="D3921">
        <v>5.8825059999999896</v>
      </c>
      <c r="E3921">
        <v>0.5588303</v>
      </c>
      <c r="F3921" t="s">
        <v>87</v>
      </c>
      <c r="G3921">
        <v>-202.60480000000001</v>
      </c>
      <c r="H3921" s="1">
        <v>-9.9368230000000007E-6</v>
      </c>
      <c r="I3921">
        <v>145.07599999999999</v>
      </c>
      <c r="J3921">
        <v>-189.97040000000001</v>
      </c>
      <c r="K3921">
        <v>1.108673</v>
      </c>
      <c r="L3921">
        <v>176.72829999999999</v>
      </c>
      <c r="M3921">
        <v>-0.1059784</v>
      </c>
      <c r="N3921">
        <v>0</v>
      </c>
      <c r="O3921">
        <v>-0.99434710000000004</v>
      </c>
      <c r="P3921">
        <v>-0.21854970000000001</v>
      </c>
      <c r="Q3921">
        <v>-1.305716E-2</v>
      </c>
      <c r="R3921">
        <v>-0.97573849999999995</v>
      </c>
      <c r="S3921">
        <v>-1.121658</v>
      </c>
      <c r="T3921">
        <v>-9.824753E-2</v>
      </c>
      <c r="U3921">
        <v>-2.8229679999999999</v>
      </c>
      <c r="V3921">
        <v>0.11389779999999999</v>
      </c>
      <c r="W3921">
        <v>-6.7710180000000002E-3</v>
      </c>
      <c r="X3921">
        <v>0.99346939999999995</v>
      </c>
      <c r="Y3921">
        <v>0.26848610000000001</v>
      </c>
      <c r="Z3921">
        <v>3.261315E-2</v>
      </c>
      <c r="AA3921">
        <v>0.96273129999999996</v>
      </c>
      <c r="AB3921">
        <v>19</v>
      </c>
      <c r="AC3921">
        <v>-12.634399999999999</v>
      </c>
      <c r="AD3921">
        <v>-1.108682936823</v>
      </c>
      <c r="AE3921">
        <v>-31.6523</v>
      </c>
      <c r="AF3921">
        <v>9.1989792105879609</v>
      </c>
      <c r="AG3921">
        <v>-1.108682936823</v>
      </c>
      <c r="AH3921">
        <v>32.778353853351803</v>
      </c>
      <c r="AI3921">
        <v>91.865206889812498</v>
      </c>
      <c r="AJ3921">
        <v>74.323655328110803</v>
      </c>
      <c r="AK3921">
        <v>34.062749121390297</v>
      </c>
      <c r="AL3921">
        <v>90.387953718016703</v>
      </c>
      <c r="AM3921">
        <v>83.459793501139401</v>
      </c>
      <c r="AN3921">
        <v>1.00000000213297</v>
      </c>
    </row>
    <row r="3922" spans="1:40" x14ac:dyDescent="0.25">
      <c r="A3922" t="str">
        <f>"20190312161045759"</f>
        <v>20190312161045759</v>
      </c>
      <c r="B3922" t="str">
        <f>"1552378245750185"</f>
        <v>1552378245750185</v>
      </c>
      <c r="C3922" t="s">
        <v>40</v>
      </c>
      <c r="D3922">
        <v>6.0426739999999999</v>
      </c>
      <c r="E3922">
        <v>0.5590212</v>
      </c>
      <c r="F3922" t="s">
        <v>87</v>
      </c>
      <c r="G3922">
        <v>-208.54740000000001</v>
      </c>
      <c r="H3922">
        <v>3.7500680000000002E-2</v>
      </c>
      <c r="I3922">
        <v>129.6163</v>
      </c>
      <c r="J3922">
        <v>-189.99180000000001</v>
      </c>
      <c r="K3922">
        <v>1.108671</v>
      </c>
      <c r="L3922">
        <v>176.54150000000001</v>
      </c>
      <c r="M3922">
        <v>-0.10731300000000001</v>
      </c>
      <c r="N3922">
        <v>0</v>
      </c>
      <c r="O3922">
        <v>-0.99420399999999998</v>
      </c>
      <c r="P3922">
        <v>-0.2199188</v>
      </c>
      <c r="Q3922">
        <v>-1.333609E-2</v>
      </c>
      <c r="R3922">
        <v>-0.9754273</v>
      </c>
      <c r="S3922">
        <v>-1.1136629999999901</v>
      </c>
      <c r="T3922">
        <v>-6.4214939999999998E-2</v>
      </c>
      <c r="U3922">
        <v>-2.8242799999999999</v>
      </c>
      <c r="V3922">
        <v>0.1139584</v>
      </c>
      <c r="W3922">
        <v>-7.0420819999999999E-3</v>
      </c>
      <c r="X3922">
        <v>0.99346060000000003</v>
      </c>
      <c r="Y3922">
        <v>0.26479279999999999</v>
      </c>
      <c r="Z3922">
        <v>2.133086E-2</v>
      </c>
      <c r="AA3922">
        <v>0.96406939999999997</v>
      </c>
      <c r="AB3922">
        <v>19</v>
      </c>
      <c r="AC3922">
        <v>-18.555599999999998</v>
      </c>
      <c r="AD3922">
        <v>-1.07117032</v>
      </c>
      <c r="AE3922">
        <v>-46.925199999999997</v>
      </c>
      <c r="AF3922">
        <v>13.4066103307924</v>
      </c>
      <c r="AG3922">
        <v>-1.07117032</v>
      </c>
      <c r="AH3922">
        <v>48.623597402174397</v>
      </c>
      <c r="AI3922">
        <v>91.216628712665994</v>
      </c>
      <c r="AJ3922">
        <v>74.5852805541614</v>
      </c>
      <c r="AK3922">
        <v>50.449368982623596</v>
      </c>
      <c r="AL3922">
        <v>90.403484898051104</v>
      </c>
      <c r="AM3922">
        <v>83.456286457137907</v>
      </c>
      <c r="AN3922">
        <v>1.0000000358009</v>
      </c>
    </row>
    <row r="3923" spans="1:40" x14ac:dyDescent="0.25">
      <c r="A3923" t="str">
        <f>"20190312161045781"</f>
        <v>20190312161045781</v>
      </c>
      <c r="B3923" t="str">
        <f>"1552378245770684"</f>
        <v>1552378245770684</v>
      </c>
      <c r="C3923" t="s">
        <v>40</v>
      </c>
      <c r="D3923">
        <v>5.759436</v>
      </c>
      <c r="E3923">
        <v>0.55974109999999999</v>
      </c>
      <c r="F3923" t="s">
        <v>87</v>
      </c>
      <c r="G3923">
        <v>-209.54239999999999</v>
      </c>
      <c r="H3923">
        <v>7.9987240000000001E-2</v>
      </c>
      <c r="I3923">
        <v>127.23480000000001</v>
      </c>
      <c r="J3923">
        <v>-190.01320000000001</v>
      </c>
      <c r="K3923">
        <v>1.1086670000000001</v>
      </c>
      <c r="L3923">
        <v>176.3579</v>
      </c>
      <c r="M3923">
        <v>-0.1086242</v>
      </c>
      <c r="N3923">
        <v>0</v>
      </c>
      <c r="O3923">
        <v>-0.99406139999999998</v>
      </c>
      <c r="P3923">
        <v>-0.2209333</v>
      </c>
      <c r="Q3923">
        <v>-1.284893E-2</v>
      </c>
      <c r="R3923">
        <v>-0.97520439999999997</v>
      </c>
      <c r="S3923">
        <v>-1.1191249999999999</v>
      </c>
      <c r="T3923">
        <v>-5.8884619999999999E-2</v>
      </c>
      <c r="U3923">
        <v>-2.8224490000000002</v>
      </c>
      <c r="V3923">
        <v>0.1136814</v>
      </c>
      <c r="W3923">
        <v>-6.5458950000000004E-3</v>
      </c>
      <c r="X3923">
        <v>0.99349569999999998</v>
      </c>
      <c r="Y3923">
        <v>0.26536110000000002</v>
      </c>
      <c r="Z3923">
        <v>1.9560259999999999E-2</v>
      </c>
      <c r="AA3923">
        <v>0.96395059999999999</v>
      </c>
      <c r="AB3923">
        <v>19</v>
      </c>
      <c r="AC3923">
        <v>-19.5291999999999</v>
      </c>
      <c r="AD3923">
        <v>-1.0286797599999999</v>
      </c>
      <c r="AE3923">
        <v>-49.123100000000001</v>
      </c>
      <c r="AF3923">
        <v>14.0722383895476</v>
      </c>
      <c r="AG3923">
        <v>-1.0286797599999999</v>
      </c>
      <c r="AH3923">
        <v>50.934522186429902</v>
      </c>
      <c r="AI3923">
        <v>91.115225734273494</v>
      </c>
      <c r="AJ3923">
        <v>74.555537985731803</v>
      </c>
      <c r="AK3923">
        <v>52.8527352717038</v>
      </c>
      <c r="AL3923">
        <v>90.375054832224606</v>
      </c>
      <c r="AM3923">
        <v>83.472283520262295</v>
      </c>
      <c r="AN3923">
        <v>1.0000000076829001</v>
      </c>
    </row>
    <row r="3924" spans="1:40" x14ac:dyDescent="0.25">
      <c r="A3924" t="str">
        <f>"20190312161045805"</f>
        <v>20190312161045805</v>
      </c>
      <c r="B3924" t="str">
        <f>"1552378245800936"</f>
        <v>1552378245800936</v>
      </c>
      <c r="C3924" t="s">
        <v>40</v>
      </c>
      <c r="D3924">
        <v>6.3665039999999999</v>
      </c>
      <c r="E3924">
        <v>0.56370129999999996</v>
      </c>
      <c r="F3924" t="s">
        <v>87</v>
      </c>
      <c r="G3924">
        <v>-205.3674</v>
      </c>
      <c r="H3924" s="1">
        <v>-6.896879E-6</v>
      </c>
      <c r="I3924">
        <v>137.97280000000001</v>
      </c>
      <c r="J3924">
        <v>-190.03749999999999</v>
      </c>
      <c r="K3924">
        <v>1.108657</v>
      </c>
      <c r="L3924">
        <v>176.15110000000001</v>
      </c>
      <c r="M3924">
        <v>-0.1101008</v>
      </c>
      <c r="N3924">
        <v>0</v>
      </c>
      <c r="O3924">
        <v>-0.99389899999999998</v>
      </c>
      <c r="P3924">
        <v>-0.22178600000000001</v>
      </c>
      <c r="Q3924">
        <v>-1.268186E-2</v>
      </c>
      <c r="R3924">
        <v>-0.97501320000000002</v>
      </c>
      <c r="S3924">
        <v>-1.1278840000000001</v>
      </c>
      <c r="T3924">
        <v>-8.1440449999999998E-2</v>
      </c>
      <c r="U3924">
        <v>-2.8196720000000002</v>
      </c>
      <c r="V3924">
        <v>0.1130743</v>
      </c>
      <c r="W3924">
        <v>-6.367508E-3</v>
      </c>
      <c r="X3924">
        <v>0.99356619999999995</v>
      </c>
      <c r="Y3924">
        <v>0.26677299999999998</v>
      </c>
      <c r="Z3924">
        <v>2.704558E-2</v>
      </c>
      <c r="AA3924">
        <v>0.96337980000000001</v>
      </c>
      <c r="AB3924">
        <v>19</v>
      </c>
      <c r="AC3924">
        <v>-15.3299</v>
      </c>
      <c r="AD3924">
        <v>-1.1086638968789999</v>
      </c>
      <c r="AE3924">
        <v>-38.1783</v>
      </c>
      <c r="AF3924">
        <v>11.0251395573053</v>
      </c>
      <c r="AG3924">
        <v>-1.1086638968789999</v>
      </c>
      <c r="AH3924">
        <v>39.605291648034502</v>
      </c>
      <c r="AI3924">
        <v>91.544745265894804</v>
      </c>
      <c r="AJ3924">
        <v>74.444104607695905</v>
      </c>
      <c r="AK3924">
        <v>41.126171283261698</v>
      </c>
      <c r="AL3924">
        <v>90.364833774961397</v>
      </c>
      <c r="AM3924">
        <v>83.507302199631695</v>
      </c>
      <c r="AN3924">
        <v>1.0000000681305199</v>
      </c>
    </row>
    <row r="3925" spans="1:40" x14ac:dyDescent="0.25">
      <c r="A3925" t="str">
        <f>"20190312161045826"</f>
        <v>20190312161045826</v>
      </c>
      <c r="B3925" t="str">
        <f>"1552378245820457"</f>
        <v>1552378245820457</v>
      </c>
      <c r="C3925" t="s">
        <v>40</v>
      </c>
      <c r="D3925">
        <v>6.0758179999999999</v>
      </c>
      <c r="E3925">
        <v>0.56332669999999996</v>
      </c>
      <c r="F3925" t="s">
        <v>41</v>
      </c>
      <c r="G3925">
        <v>-210.53550000000001</v>
      </c>
      <c r="H3925">
        <v>7.9986390000000004E-2</v>
      </c>
      <c r="I3925">
        <v>126.50449999999999</v>
      </c>
      <c r="J3925">
        <v>-190.0592</v>
      </c>
      <c r="K3925">
        <v>1.108638</v>
      </c>
      <c r="L3925">
        <v>175.9682</v>
      </c>
      <c r="M3925">
        <v>-0.11140650000000001</v>
      </c>
      <c r="N3925">
        <v>0</v>
      </c>
      <c r="O3925">
        <v>-0.99375309999999994</v>
      </c>
      <c r="P3925">
        <v>-0.22204399999999999</v>
      </c>
      <c r="Q3925">
        <v>-1.34333E-2</v>
      </c>
      <c r="R3925">
        <v>-0.97494420000000004</v>
      </c>
      <c r="S3925">
        <v>-1.1610259999999999</v>
      </c>
      <c r="T3925">
        <v>-5.826485E-2</v>
      </c>
      <c r="U3925">
        <v>-2.8120270000000001</v>
      </c>
      <c r="V3925">
        <v>0.1120316</v>
      </c>
      <c r="W3925">
        <v>-7.1071900000000002E-3</v>
      </c>
      <c r="X3925">
        <v>0.99367919999999998</v>
      </c>
      <c r="Y3925">
        <v>0.27620600000000001</v>
      </c>
      <c r="Z3925">
        <v>1.9329490000000001E-2</v>
      </c>
      <c r="AA3925">
        <v>0.96090410000000004</v>
      </c>
      <c r="AB3925">
        <v>19</v>
      </c>
      <c r="AC3925">
        <v>-20.476299999999998</v>
      </c>
      <c r="AD3925">
        <v>-1.02865161</v>
      </c>
      <c r="AE3925">
        <v>-49.463700000000003</v>
      </c>
      <c r="AF3925">
        <v>14.8326543394871</v>
      </c>
      <c r="AG3925">
        <v>-1.02865161</v>
      </c>
      <c r="AH3925">
        <v>51.418029598380897</v>
      </c>
      <c r="AI3925">
        <v>91.101195678118401</v>
      </c>
      <c r="AJ3925">
        <v>73.908638005545399</v>
      </c>
      <c r="AK3925">
        <v>53.5245693739747</v>
      </c>
      <c r="AL3925">
        <v>90.407215430857505</v>
      </c>
      <c r="AM3925">
        <v>83.567394974265895</v>
      </c>
      <c r="AN3925">
        <v>0.99999997203044699</v>
      </c>
    </row>
    <row r="3926" spans="1:40" x14ac:dyDescent="0.25">
      <c r="A3926" t="str">
        <f>"20190312161045849"</f>
        <v>20190312161045849</v>
      </c>
      <c r="B3926" t="str">
        <f>"1552378245839978"</f>
        <v>1552378245839978</v>
      </c>
      <c r="C3926" t="s">
        <v>40</v>
      </c>
      <c r="D3926">
        <v>5.8598080000000001</v>
      </c>
      <c r="E3926">
        <v>0.56201969999999901</v>
      </c>
      <c r="F3926" t="s">
        <v>87</v>
      </c>
      <c r="G3926">
        <v>-209.1661</v>
      </c>
      <c r="H3926">
        <v>6.9671930000000007E-2</v>
      </c>
      <c r="I3926">
        <v>129.5966</v>
      </c>
      <c r="J3926">
        <v>-190.08359999999999</v>
      </c>
      <c r="K3926">
        <v>1.1086309999999999</v>
      </c>
      <c r="L3926">
        <v>175.7662</v>
      </c>
      <c r="M3926">
        <v>-0.1128475</v>
      </c>
      <c r="N3926">
        <v>0</v>
      </c>
      <c r="O3926">
        <v>-0.99359059999999999</v>
      </c>
      <c r="P3926">
        <v>-0.22264990000000001</v>
      </c>
      <c r="Q3926">
        <v>-1.3980029999999999E-2</v>
      </c>
      <c r="R3926">
        <v>-0.97479830000000001</v>
      </c>
      <c r="S3926">
        <v>-1.1587829999999999</v>
      </c>
      <c r="T3926">
        <v>-6.3010689999999994E-2</v>
      </c>
      <c r="U3926">
        <v>-2.8123170000000002</v>
      </c>
      <c r="V3926">
        <v>0.1112079</v>
      </c>
      <c r="W3926">
        <v>-7.6424049999999997E-3</v>
      </c>
      <c r="X3926">
        <v>0.99376779999999998</v>
      </c>
      <c r="Y3926">
        <v>0.27410950000000001</v>
      </c>
      <c r="Z3926">
        <v>2.090556E-2</v>
      </c>
      <c r="AA3926">
        <v>0.96147130000000003</v>
      </c>
      <c r="AB3926">
        <v>20</v>
      </c>
      <c r="AC3926">
        <v>-19.0825</v>
      </c>
      <c r="AD3926">
        <v>-1.03895907</v>
      </c>
      <c r="AE3926">
        <v>-46.169600000000003</v>
      </c>
      <c r="AF3926">
        <v>13.744420895770199</v>
      </c>
      <c r="AG3926">
        <v>-1.03895907</v>
      </c>
      <c r="AH3926">
        <v>48.007366023668098</v>
      </c>
      <c r="AI3926">
        <v>91.191910383644199</v>
      </c>
      <c r="AJ3926">
        <v>74.023679762614194</v>
      </c>
      <c r="AK3926">
        <v>49.946929177274299</v>
      </c>
      <c r="AL3926">
        <v>90.437881804847095</v>
      </c>
      <c r="AM3926">
        <v>83.614862509303705</v>
      </c>
      <c r="AN3926">
        <v>1.00000002184671</v>
      </c>
    </row>
    <row r="3927" spans="1:40" x14ac:dyDescent="0.25">
      <c r="A3927" t="str">
        <f>"20190312161045874"</f>
        <v>20190312161045874</v>
      </c>
      <c r="B3927" t="str">
        <f>"1552378245870233"</f>
        <v>1552378245870233</v>
      </c>
      <c r="C3927" t="s">
        <v>40</v>
      </c>
      <c r="D3927">
        <v>5.5752259999999998</v>
      </c>
      <c r="E3927">
        <v>0.56068359999999995</v>
      </c>
      <c r="F3927" t="s">
        <v>87</v>
      </c>
      <c r="G3927">
        <v>-208.95609999999999</v>
      </c>
      <c r="H3927">
        <v>6.2870229999999999E-2</v>
      </c>
      <c r="I3927">
        <v>129.60339999999999</v>
      </c>
      <c r="J3927">
        <v>-190.10849999999999</v>
      </c>
      <c r="K3927">
        <v>1.1086180000000001</v>
      </c>
      <c r="L3927">
        <v>175.56200000000001</v>
      </c>
      <c r="M3927">
        <v>-0.1143048</v>
      </c>
      <c r="N3927">
        <v>0</v>
      </c>
      <c r="O3927">
        <v>-0.99342419999999998</v>
      </c>
      <c r="P3927">
        <v>-0.2237672</v>
      </c>
      <c r="Q3927">
        <v>-1.412091E-2</v>
      </c>
      <c r="R3927">
        <v>-0.97454079999999998</v>
      </c>
      <c r="S3927">
        <v>-1.1503909999999999</v>
      </c>
      <c r="T3927">
        <v>-6.3745140000000006E-2</v>
      </c>
      <c r="U3927">
        <v>-2.8138890000000001</v>
      </c>
      <c r="V3927">
        <v>0.1108893</v>
      </c>
      <c r="W3927">
        <v>-7.77721199999999E-3</v>
      </c>
      <c r="X3927">
        <v>0.99380230000000003</v>
      </c>
      <c r="Y3927">
        <v>0.27005109999999999</v>
      </c>
      <c r="Z3927">
        <v>2.1156810000000002E-2</v>
      </c>
      <c r="AA3927">
        <v>0.96261350000000001</v>
      </c>
      <c r="AB3927">
        <v>20</v>
      </c>
      <c r="AC3927">
        <v>-18.8476</v>
      </c>
      <c r="AD3927">
        <v>-1.04574777</v>
      </c>
      <c r="AE3927">
        <v>-45.958599999999997</v>
      </c>
      <c r="AF3927">
        <v>13.464693761934599</v>
      </c>
      <c r="AG3927">
        <v>-1.04574777</v>
      </c>
      <c r="AH3927">
        <v>47.790597799471499</v>
      </c>
      <c r="AI3927">
        <v>91.206579215428604</v>
      </c>
      <c r="AJ3927">
        <v>74.265158901642394</v>
      </c>
      <c r="AK3927">
        <v>49.662186868199797</v>
      </c>
      <c r="AL3927">
        <v>90.445605930982893</v>
      </c>
      <c r="AM3927">
        <v>83.633224096551103</v>
      </c>
      <c r="AN3927">
        <v>0.99999996668313595</v>
      </c>
    </row>
    <row r="3928" spans="1:40" x14ac:dyDescent="0.25">
      <c r="A3928" t="str">
        <f>"20190312161045895"</f>
        <v>20190312161045895</v>
      </c>
      <c r="B3928" t="str">
        <f>"1552378245890729"</f>
        <v>1552378245890729</v>
      </c>
      <c r="C3928" t="s">
        <v>40</v>
      </c>
      <c r="D3928">
        <v>5.7213190000000003</v>
      </c>
      <c r="E3928">
        <v>0.55919859999999999</v>
      </c>
      <c r="F3928" t="s">
        <v>43</v>
      </c>
      <c r="G3928">
        <v>-214.2662</v>
      </c>
      <c r="H3928">
        <v>-0.05</v>
      </c>
      <c r="I3928">
        <v>116.075</v>
      </c>
      <c r="J3928">
        <v>-190.13249999999999</v>
      </c>
      <c r="K3928">
        <v>1.108603</v>
      </c>
      <c r="L3928">
        <v>175.3673</v>
      </c>
      <c r="M3928">
        <v>-0.11569359999999999</v>
      </c>
      <c r="N3928">
        <v>0</v>
      </c>
      <c r="O3928">
        <v>-0.99326340000000002</v>
      </c>
      <c r="P3928">
        <v>-0.2242181</v>
      </c>
      <c r="Q3928">
        <v>-1.4373850000000001E-2</v>
      </c>
      <c r="R3928">
        <v>-0.97443349999999995</v>
      </c>
      <c r="S3928">
        <v>-1.1432040000000001</v>
      </c>
      <c r="T3928">
        <v>-5.4828759999999997E-2</v>
      </c>
      <c r="U3928">
        <v>-2.8150789999999999</v>
      </c>
      <c r="V3928">
        <v>0.1099595</v>
      </c>
      <c r="W3928">
        <v>-8.0267900000000007E-3</v>
      </c>
      <c r="X3928">
        <v>0.9939036</v>
      </c>
      <c r="Y3928">
        <v>0.2664745</v>
      </c>
      <c r="Z3928">
        <v>1.8204749999999999E-2</v>
      </c>
      <c r="AA3928">
        <v>0.96367000000000003</v>
      </c>
      <c r="AB3928">
        <v>20</v>
      </c>
      <c r="AC3928">
        <v>-24.133700000000001</v>
      </c>
      <c r="AD3928">
        <v>-1.158603</v>
      </c>
      <c r="AE3928">
        <v>-59.292299999999997</v>
      </c>
      <c r="AF3928">
        <v>17.106144195442599</v>
      </c>
      <c r="AG3928">
        <v>-1.158603</v>
      </c>
      <c r="AH3928">
        <v>61.666106918408197</v>
      </c>
      <c r="AI3928">
        <v>91.037207010127602</v>
      </c>
      <c r="AJ3928">
        <v>74.496014741515395</v>
      </c>
      <c r="AK3928">
        <v>64.005244102490806</v>
      </c>
      <c r="AL3928">
        <v>90.459906154668403</v>
      </c>
      <c r="AM3928">
        <v>83.686814506608599</v>
      </c>
      <c r="AN3928">
        <v>0.99999994354545496</v>
      </c>
    </row>
    <row r="3929" spans="1:40" x14ac:dyDescent="0.25">
      <c r="A3929" t="str">
        <f>"20190312161045918"</f>
        <v>20190312161045918</v>
      </c>
      <c r="B3929" t="str">
        <f>"1552378245910249"</f>
        <v>1552378245910249</v>
      </c>
      <c r="C3929" t="s">
        <v>40</v>
      </c>
      <c r="D3929">
        <v>6.069623</v>
      </c>
      <c r="E3929">
        <v>0.55952979999999997</v>
      </c>
      <c r="F3929" t="s">
        <v>90</v>
      </c>
      <c r="G3929">
        <v>-212.6489</v>
      </c>
      <c r="H3929">
        <v>0.3253566</v>
      </c>
      <c r="I3929">
        <v>119.366</v>
      </c>
      <c r="J3929">
        <v>-190.1576</v>
      </c>
      <c r="K3929">
        <v>1.1085799999999999</v>
      </c>
      <c r="L3929">
        <v>175.166</v>
      </c>
      <c r="M3929">
        <v>-0.11712839999999999</v>
      </c>
      <c r="N3929">
        <v>0</v>
      </c>
      <c r="O3929">
        <v>-0.99309510000000001</v>
      </c>
      <c r="P3929">
        <v>-0.223912</v>
      </c>
      <c r="Q3929">
        <v>-1.5142640000000001E-2</v>
      </c>
      <c r="R3929">
        <v>-0.97449200000000002</v>
      </c>
      <c r="S3929">
        <v>-1.1328279999999999</v>
      </c>
      <c r="T3929">
        <v>-3.9404630000000003E-2</v>
      </c>
      <c r="U3929">
        <v>-2.8174899999999998</v>
      </c>
      <c r="V3929">
        <v>0.10821119999999999</v>
      </c>
      <c r="W3929">
        <v>-8.7919230000000001E-3</v>
      </c>
      <c r="X3929">
        <v>0.99408909999999995</v>
      </c>
      <c r="Y3929">
        <v>0.26177030000000001</v>
      </c>
      <c r="Z3929">
        <v>1.308819E-2</v>
      </c>
      <c r="AA3929">
        <v>0.9650415</v>
      </c>
      <c r="AB3929">
        <v>20</v>
      </c>
      <c r="AC3929">
        <v>-22.491299999999899</v>
      </c>
      <c r="AD3929">
        <v>-0.78322339999999901</v>
      </c>
      <c r="AE3929">
        <v>-55.8</v>
      </c>
      <c r="AF3929">
        <v>15.7978978396897</v>
      </c>
      <c r="AG3929">
        <v>-0.78322339999999901</v>
      </c>
      <c r="AH3929">
        <v>58.040489604910299</v>
      </c>
      <c r="AI3929">
        <v>90.745990228496495</v>
      </c>
      <c r="AJ3929">
        <v>74.773668951827005</v>
      </c>
      <c r="AK3929">
        <v>60.157172877598597</v>
      </c>
      <c r="AL3929">
        <v>90.503746546303205</v>
      </c>
      <c r="AM3929">
        <v>83.787549921188202</v>
      </c>
      <c r="AN3929">
        <v>1.00000005022714</v>
      </c>
    </row>
    <row r="3930" spans="1:40" x14ac:dyDescent="0.25">
      <c r="A3930" t="str">
        <f>"20190312161045940"</f>
        <v>20190312161045940</v>
      </c>
      <c r="B3930" t="str">
        <f>"1552378245930745"</f>
        <v>1552378245930745</v>
      </c>
      <c r="C3930" t="s">
        <v>40</v>
      </c>
      <c r="D3930">
        <v>5.8475199999999896</v>
      </c>
      <c r="E3930">
        <v>0.55986099999999905</v>
      </c>
      <c r="F3930" t="s">
        <v>90</v>
      </c>
      <c r="G3930">
        <v>-212.40880000000001</v>
      </c>
      <c r="H3930">
        <v>0.29380209999999901</v>
      </c>
      <c r="I3930">
        <v>119.91719999999999</v>
      </c>
      <c r="J3930">
        <v>-190.18279999999999</v>
      </c>
      <c r="K3930">
        <v>1.1085670000000001</v>
      </c>
      <c r="L3930">
        <v>174.9666</v>
      </c>
      <c r="M3930">
        <v>-0.11855</v>
      </c>
      <c r="N3930">
        <v>0</v>
      </c>
      <c r="O3930">
        <v>-0.99292639999999999</v>
      </c>
      <c r="P3930">
        <v>-0.22356760000000001</v>
      </c>
      <c r="Q3930">
        <v>-1.676565E-2</v>
      </c>
      <c r="R3930">
        <v>-0.97454419999999997</v>
      </c>
      <c r="S3930">
        <v>-1.1346130000000001</v>
      </c>
      <c r="T3930">
        <v>-4.15448E-2</v>
      </c>
      <c r="U3930">
        <v>-2.8171840000000001</v>
      </c>
      <c r="V3930">
        <v>0.1064367</v>
      </c>
      <c r="W3930">
        <v>-1.041098E-2</v>
      </c>
      <c r="X3930">
        <v>0.99426499999999995</v>
      </c>
      <c r="Y3930">
        <v>0.2609474</v>
      </c>
      <c r="Z3930">
        <v>1.379676E-2</v>
      </c>
      <c r="AA3930">
        <v>0.96525439999999996</v>
      </c>
      <c r="AB3930">
        <v>20</v>
      </c>
      <c r="AC3930">
        <v>-22.225999999999999</v>
      </c>
      <c r="AD3930">
        <v>-0.81476490000000001</v>
      </c>
      <c r="AE3930">
        <v>-55.049399999999999</v>
      </c>
      <c r="AF3930">
        <v>15.5400834125155</v>
      </c>
      <c r="AG3930">
        <v>-0.81476490000000001</v>
      </c>
      <c r="AH3930">
        <v>57.2853385712761</v>
      </c>
      <c r="AI3930">
        <v>90.786438785973701</v>
      </c>
      <c r="AJ3930">
        <v>74.822355306675405</v>
      </c>
      <c r="AK3930">
        <v>59.361334634052398</v>
      </c>
      <c r="AL3930">
        <v>90.5965159759741</v>
      </c>
      <c r="AM3930">
        <v>83.889720432928698</v>
      </c>
      <c r="AN3930">
        <v>1.0000000249182199</v>
      </c>
    </row>
    <row r="3931" spans="1:40" x14ac:dyDescent="0.25">
      <c r="A3931" t="str">
        <f>"20190312161045961"</f>
        <v>20190312161045961</v>
      </c>
      <c r="B3931" t="str">
        <f>"1552378245950265"</f>
        <v>1552378245950265</v>
      </c>
      <c r="C3931" t="s">
        <v>40</v>
      </c>
      <c r="D3931">
        <v>5.9042479999999999</v>
      </c>
      <c r="E3931">
        <v>0.55855319999999997</v>
      </c>
      <c r="F3931" t="s">
        <v>43</v>
      </c>
      <c r="G3931">
        <v>-215.55359999999999</v>
      </c>
      <c r="H3931">
        <v>-0.05</v>
      </c>
      <c r="I3931">
        <v>112.0582</v>
      </c>
      <c r="J3931">
        <v>-190.2062</v>
      </c>
      <c r="K3931">
        <v>1.1085560000000001</v>
      </c>
      <c r="L3931">
        <v>174.78309999999999</v>
      </c>
      <c r="M3931">
        <v>-0.11985709999999999</v>
      </c>
      <c r="N3931">
        <v>0</v>
      </c>
      <c r="O3931">
        <v>-0.99276929999999997</v>
      </c>
      <c r="P3931">
        <v>-0.22418379999999999</v>
      </c>
      <c r="Q3931">
        <v>-1.7285399999999999E-2</v>
      </c>
      <c r="R3931">
        <v>-0.97439370000000003</v>
      </c>
      <c r="S3931">
        <v>-1.1360319999999999</v>
      </c>
      <c r="T3931">
        <v>-5.1877140000000002E-2</v>
      </c>
      <c r="U3931">
        <v>-2.8168489999999999</v>
      </c>
      <c r="V3931">
        <v>0.1057563</v>
      </c>
      <c r="W3931">
        <v>-1.092859E-2</v>
      </c>
      <c r="X3931">
        <v>0.99433199999999999</v>
      </c>
      <c r="Y3931">
        <v>0.26011459999999997</v>
      </c>
      <c r="Z3931">
        <v>1.7225319999999999E-2</v>
      </c>
      <c r="AA3931">
        <v>0.96542410000000001</v>
      </c>
      <c r="AB3931">
        <v>20</v>
      </c>
      <c r="AC3931">
        <v>-25.3474</v>
      </c>
      <c r="AD3931">
        <v>-1.1585559999999999</v>
      </c>
      <c r="AE3931">
        <v>-62.724899999999899</v>
      </c>
      <c r="AF3931">
        <v>17.641305208363601</v>
      </c>
      <c r="AG3931">
        <v>-1.1585559999999999</v>
      </c>
      <c r="AH3931">
        <v>65.291690081936594</v>
      </c>
      <c r="AI3931">
        <v>90.9813832554523</v>
      </c>
      <c r="AJ3931">
        <v>74.880161515614006</v>
      </c>
      <c r="AK3931">
        <v>67.642905727174593</v>
      </c>
      <c r="AL3931">
        <v>90.6261745618785</v>
      </c>
      <c r="AM3931">
        <v>83.9288939640889</v>
      </c>
      <c r="AN3931">
        <v>0.99999997764653803</v>
      </c>
    </row>
    <row r="3932" spans="1:40" x14ac:dyDescent="0.25">
      <c r="A3932" t="str">
        <f>"20190312161045983"</f>
        <v>20190312161045983</v>
      </c>
      <c r="B3932" t="str">
        <f>"1552378245970762"</f>
        <v>1552378245970762</v>
      </c>
      <c r="C3932" t="s">
        <v>40</v>
      </c>
      <c r="D3932">
        <v>5.8638370000000002</v>
      </c>
      <c r="E3932">
        <v>0.55734530000000004</v>
      </c>
      <c r="F3932" t="s">
        <v>90</v>
      </c>
      <c r="G3932">
        <v>-212.1574</v>
      </c>
      <c r="H3932">
        <v>0.1881903</v>
      </c>
      <c r="I3932">
        <v>119.91719999999999</v>
      </c>
      <c r="J3932">
        <v>-190.232</v>
      </c>
      <c r="K3932">
        <v>1.1085400000000001</v>
      </c>
      <c r="L3932">
        <v>174.58269999999999</v>
      </c>
      <c r="M3932">
        <v>-0.12128369999999999</v>
      </c>
      <c r="N3932">
        <v>0</v>
      </c>
      <c r="O3932">
        <v>-0.99259589999999998</v>
      </c>
      <c r="P3932">
        <v>-0.2263454</v>
      </c>
      <c r="Q3932">
        <v>-1.8568339999999999E-2</v>
      </c>
      <c r="R3932">
        <v>-0.97387020000000002</v>
      </c>
      <c r="S3932">
        <v>-1.12767</v>
      </c>
      <c r="T3932">
        <v>-4.7279120000000001E-2</v>
      </c>
      <c r="U3932">
        <v>-2.8185419999999999</v>
      </c>
      <c r="V3932">
        <v>0.1065339</v>
      </c>
      <c r="W3932">
        <v>-1.221232E-2</v>
      </c>
      <c r="X3932">
        <v>0.99423410000000001</v>
      </c>
      <c r="Y3932">
        <v>0.25606640000000003</v>
      </c>
      <c r="Z3932">
        <v>1.5703180000000001E-2</v>
      </c>
      <c r="AA3932">
        <v>0.96653160000000005</v>
      </c>
      <c r="AB3932">
        <v>20</v>
      </c>
      <c r="AC3932">
        <v>-21.9254</v>
      </c>
      <c r="AD3932">
        <v>-0.92034969999999905</v>
      </c>
      <c r="AE3932">
        <v>-54.665500000000002</v>
      </c>
      <c r="AF3932">
        <v>15.1296640376297</v>
      </c>
      <c r="AG3932">
        <v>-0.92034969999999905</v>
      </c>
      <c r="AH3932">
        <v>56.907291752900299</v>
      </c>
      <c r="AI3932">
        <v>90.895450367283701</v>
      </c>
      <c r="AJ3932">
        <v>75.111467552475204</v>
      </c>
      <c r="AK3932">
        <v>58.891371457213999</v>
      </c>
      <c r="AL3932">
        <v>90.699731767519296</v>
      </c>
      <c r="AM3932">
        <v>83.883994045429205</v>
      </c>
      <c r="AN3932">
        <v>1.0000000291058999</v>
      </c>
    </row>
    <row r="3933" spans="1:40" x14ac:dyDescent="0.25">
      <c r="A3933" t="str">
        <f>"20190312161046005"</f>
        <v>20190312161046005</v>
      </c>
      <c r="B3933" t="str">
        <f>"1552378246000041"</f>
        <v>1552378246000041</v>
      </c>
      <c r="C3933" t="s">
        <v>40</v>
      </c>
      <c r="D3933">
        <v>6.1851180000000001</v>
      </c>
      <c r="E3933">
        <v>0.55572029999999994</v>
      </c>
      <c r="F3933" t="s">
        <v>90</v>
      </c>
      <c r="G3933">
        <v>-212.0419</v>
      </c>
      <c r="H3933">
        <v>0.24541669999999999</v>
      </c>
      <c r="I3933">
        <v>119.91719999999999</v>
      </c>
      <c r="J3933">
        <v>-190.25890000000001</v>
      </c>
      <c r="K3933">
        <v>1.1085320000000001</v>
      </c>
      <c r="L3933">
        <v>174.37629999999999</v>
      </c>
      <c r="M3933">
        <v>-0.1227528</v>
      </c>
      <c r="N3933">
        <v>0</v>
      </c>
      <c r="O3933">
        <v>-0.99241539999999995</v>
      </c>
      <c r="P3933">
        <v>-0.22975419999999999</v>
      </c>
      <c r="Q3933">
        <v>-1.8627669999999999E-2</v>
      </c>
      <c r="R3933">
        <v>-0.9730704</v>
      </c>
      <c r="S3933">
        <v>-1.12442</v>
      </c>
      <c r="T3933">
        <v>-4.4497130000000003E-2</v>
      </c>
      <c r="U3933">
        <v>-2.818298</v>
      </c>
      <c r="V3933">
        <v>0.1085431</v>
      </c>
      <c r="W3933">
        <v>-1.227437E-2</v>
      </c>
      <c r="X3933">
        <v>0.99401600000000001</v>
      </c>
      <c r="Y3933">
        <v>0.25370759999999998</v>
      </c>
      <c r="Z3933">
        <v>1.478427E-2</v>
      </c>
      <c r="AA3933">
        <v>0.96716800000000003</v>
      </c>
      <c r="AB3933">
        <v>20</v>
      </c>
      <c r="AC3933">
        <v>-21.782999999999902</v>
      </c>
      <c r="AD3933">
        <v>-0.86311530000000003</v>
      </c>
      <c r="AE3933">
        <v>-54.4590999999999</v>
      </c>
      <c r="AF3933">
        <v>14.929868933856801</v>
      </c>
      <c r="AG3933">
        <v>-0.86311530000000003</v>
      </c>
      <c r="AH3933">
        <v>56.708925427984198</v>
      </c>
      <c r="AI3933">
        <v>90.843250150921904</v>
      </c>
      <c r="AJ3933">
        <v>75.250326115137</v>
      </c>
      <c r="AK3933">
        <v>58.647661313985203</v>
      </c>
      <c r="AL3933">
        <v>90.703287231835901</v>
      </c>
      <c r="AM3933">
        <v>83.768190427843095</v>
      </c>
      <c r="AN3933">
        <v>1.00000003648625</v>
      </c>
    </row>
    <row r="3934" spans="1:40" x14ac:dyDescent="0.25">
      <c r="A3934" t="str">
        <f>"20190312161046028"</f>
        <v>20190312161046028</v>
      </c>
      <c r="B3934" t="str">
        <f>"1552378246020541"</f>
        <v>1552378246020541</v>
      </c>
      <c r="C3934" t="s">
        <v>40</v>
      </c>
      <c r="D3934">
        <v>5.7681659999999999</v>
      </c>
      <c r="E3934">
        <v>0.55519810000000003</v>
      </c>
      <c r="F3934" t="s">
        <v>90</v>
      </c>
      <c r="G3934">
        <v>-212.214</v>
      </c>
      <c r="H3934">
        <v>0.40654479999999998</v>
      </c>
      <c r="I3934">
        <v>119.22490000000001</v>
      </c>
      <c r="J3934">
        <v>-190.28630000000001</v>
      </c>
      <c r="K3934">
        <v>1.1085179999999999</v>
      </c>
      <c r="L3934">
        <v>174.1695</v>
      </c>
      <c r="M3934">
        <v>-0.12422420000000001</v>
      </c>
      <c r="N3934">
        <v>0</v>
      </c>
      <c r="O3934">
        <v>-0.99223240000000001</v>
      </c>
      <c r="P3934">
        <v>-0.2331358</v>
      </c>
      <c r="Q3934">
        <v>-1.8581480000000001E-2</v>
      </c>
      <c r="R3934">
        <v>-0.97226699999999999</v>
      </c>
      <c r="S3934">
        <v>-1.121613</v>
      </c>
      <c r="T3934">
        <v>-3.5860780000000002E-2</v>
      </c>
      <c r="U3934">
        <v>-2.8175050000000001</v>
      </c>
      <c r="V3934">
        <v>0.11052439999999999</v>
      </c>
      <c r="W3934">
        <v>-1.222965E-2</v>
      </c>
      <c r="X3934">
        <v>0.99379819999999996</v>
      </c>
      <c r="Y3934">
        <v>0.25154910000000003</v>
      </c>
      <c r="Z3934">
        <v>1.192066E-2</v>
      </c>
      <c r="AA3934">
        <v>0.9677711</v>
      </c>
      <c r="AB3934">
        <v>20</v>
      </c>
      <c r="AC3934">
        <v>-21.927700000000002</v>
      </c>
      <c r="AD3934">
        <v>-0.70197319999999996</v>
      </c>
      <c r="AE3934">
        <v>-54.944600000000001</v>
      </c>
      <c r="AF3934">
        <v>14.9301458703089</v>
      </c>
      <c r="AG3934">
        <v>-0.70197319999999996</v>
      </c>
      <c r="AH3934">
        <v>57.234941391612999</v>
      </c>
      <c r="AI3934">
        <v>90.679933531534402</v>
      </c>
      <c r="AJ3934">
        <v>75.379789986804994</v>
      </c>
      <c r="AK3934">
        <v>59.154378858911102</v>
      </c>
      <c r="AL3934">
        <v>90.700724773495907</v>
      </c>
      <c r="AM3934">
        <v>83.653977880554507</v>
      </c>
      <c r="AN3934">
        <v>1.00000003482886</v>
      </c>
    </row>
    <row r="3935" spans="1:40" x14ac:dyDescent="0.25">
      <c r="A3935" t="str">
        <f>"20190312161046051"</f>
        <v>20190312161046051</v>
      </c>
      <c r="B3935" t="str">
        <f>"1552378246040057"</f>
        <v>1552378246040057</v>
      </c>
      <c r="C3935" t="s">
        <v>40</v>
      </c>
      <c r="D3935">
        <v>6.1298870000000001</v>
      </c>
      <c r="E3935">
        <v>0.55468119999999999</v>
      </c>
      <c r="F3935" t="s">
        <v>90</v>
      </c>
      <c r="G3935">
        <v>-212.3339</v>
      </c>
      <c r="H3935">
        <v>0.55662080000000003</v>
      </c>
      <c r="I3935">
        <v>119.119</v>
      </c>
      <c r="J3935">
        <v>-190.31379999999999</v>
      </c>
      <c r="K3935">
        <v>1.1085119999999999</v>
      </c>
      <c r="L3935">
        <v>173.96279999999999</v>
      </c>
      <c r="M3935">
        <v>-0.1256941</v>
      </c>
      <c r="N3935">
        <v>0</v>
      </c>
      <c r="O3935">
        <v>-0.99204709999999996</v>
      </c>
      <c r="P3935">
        <v>-0.2362986</v>
      </c>
      <c r="Q3935">
        <v>-1.8094720000000002E-2</v>
      </c>
      <c r="R3935">
        <v>-0.9715123</v>
      </c>
      <c r="S3935">
        <v>-1.1273040000000001</v>
      </c>
      <c r="T3935">
        <v>-2.8217200000000001E-2</v>
      </c>
      <c r="U3935">
        <v>-2.814743</v>
      </c>
      <c r="V3935">
        <v>0.11228539999999999</v>
      </c>
      <c r="W3935">
        <v>-1.174264E-2</v>
      </c>
      <c r="X3935">
        <v>0.99360660000000001</v>
      </c>
      <c r="Y3935">
        <v>0.252139</v>
      </c>
      <c r="Z3935">
        <v>9.3818589999999993E-3</v>
      </c>
      <c r="AA3935">
        <v>0.96764550000000005</v>
      </c>
      <c r="AB3935">
        <v>20</v>
      </c>
      <c r="AC3935">
        <v>-22.020099999999999</v>
      </c>
      <c r="AD3935">
        <v>-0.55189120000000003</v>
      </c>
      <c r="AE3935">
        <v>-54.843799999999902</v>
      </c>
      <c r="AF3935">
        <v>14.950456045747099</v>
      </c>
      <c r="AG3935">
        <v>-0.55189120000000003</v>
      </c>
      <c r="AH3935">
        <v>57.171688608571998</v>
      </c>
      <c r="AI3935">
        <v>90.535080363492995</v>
      </c>
      <c r="AJ3935">
        <v>75.345255712227896</v>
      </c>
      <c r="AK3935">
        <v>59.096723244423401</v>
      </c>
      <c r="AL3935">
        <v>90.672819183409402</v>
      </c>
      <c r="AM3935">
        <v>83.552477799529498</v>
      </c>
      <c r="AN3935">
        <v>0.99999998810544399</v>
      </c>
    </row>
    <row r="3936" spans="1:40" x14ac:dyDescent="0.25">
      <c r="A3936" t="str">
        <f>"20190312161046073"</f>
        <v>20190312161046073</v>
      </c>
      <c r="B3936" t="str">
        <f>"1552378246060553"</f>
        <v>1552378246060553</v>
      </c>
      <c r="C3936" t="s">
        <v>40</v>
      </c>
      <c r="D3936">
        <v>6.1485440000000002</v>
      </c>
      <c r="E3936">
        <v>0.55411730000000003</v>
      </c>
      <c r="F3936" t="s">
        <v>90</v>
      </c>
      <c r="G3936">
        <v>-212.44200000000001</v>
      </c>
      <c r="H3936">
        <v>0.72085859999999902</v>
      </c>
      <c r="I3936">
        <v>119.00320000000001</v>
      </c>
      <c r="J3936">
        <v>-190.34030000000001</v>
      </c>
      <c r="K3936">
        <v>1.1085050000000001</v>
      </c>
      <c r="L3936">
        <v>173.76669999999999</v>
      </c>
      <c r="M3936">
        <v>-0.1270886</v>
      </c>
      <c r="N3936">
        <v>0</v>
      </c>
      <c r="O3936">
        <v>-0.99186940000000001</v>
      </c>
      <c r="P3936">
        <v>-0.23884420000000001</v>
      </c>
      <c r="Q3936">
        <v>-1.7085840000000001E-2</v>
      </c>
      <c r="R3936">
        <v>-0.97090790000000005</v>
      </c>
      <c r="S3936">
        <v>-1.132263</v>
      </c>
      <c r="T3936">
        <v>-1.983416E-2</v>
      </c>
      <c r="U3936">
        <v>-2.812195</v>
      </c>
      <c r="V3936">
        <v>0.1134922</v>
      </c>
      <c r="W3936">
        <v>-1.0731289999999999E-2</v>
      </c>
      <c r="X3936">
        <v>0.9934809</v>
      </c>
      <c r="Y3936">
        <v>0.25255870000000002</v>
      </c>
      <c r="Z3936">
        <v>6.5960619999999998E-3</v>
      </c>
      <c r="AA3936">
        <v>0.96755910000000001</v>
      </c>
      <c r="AB3936">
        <v>20</v>
      </c>
      <c r="AC3936">
        <v>-22.101699999999902</v>
      </c>
      <c r="AD3936">
        <v>-0.3876464</v>
      </c>
      <c r="AE3936">
        <v>-54.763499999999901</v>
      </c>
      <c r="AF3936">
        <v>14.9618647432647</v>
      </c>
      <c r="AG3936">
        <v>-0.3876464</v>
      </c>
      <c r="AH3936">
        <v>57.125897441568704</v>
      </c>
      <c r="AI3936">
        <v>90.376107618103205</v>
      </c>
      <c r="AJ3936">
        <v>75.3233063490663</v>
      </c>
      <c r="AK3936">
        <v>59.054007694921197</v>
      </c>
      <c r="AL3936">
        <v>90.614869446412996</v>
      </c>
      <c r="AM3936">
        <v>83.482957817142506</v>
      </c>
      <c r="AN3936">
        <v>0.99999996935535596</v>
      </c>
    </row>
    <row r="3937" spans="1:40" x14ac:dyDescent="0.25">
      <c r="A3937" t="str">
        <f>"20190312161046096"</f>
        <v>20190312161046096</v>
      </c>
      <c r="B3937" t="str">
        <f>"1552378246090810"</f>
        <v>1552378246090810</v>
      </c>
      <c r="C3937" t="s">
        <v>40</v>
      </c>
      <c r="D3937">
        <v>5.7157439999999999</v>
      </c>
      <c r="E3937">
        <v>0.55383859999999996</v>
      </c>
      <c r="F3937" t="s">
        <v>90</v>
      </c>
      <c r="G3937">
        <v>-212.51130000000001</v>
      </c>
      <c r="H3937">
        <v>0.90264820000000001</v>
      </c>
      <c r="I3937">
        <v>118.875</v>
      </c>
      <c r="J3937">
        <v>-190.36940000000001</v>
      </c>
      <c r="K3937">
        <v>1.108508</v>
      </c>
      <c r="L3937">
        <v>173.55340000000001</v>
      </c>
      <c r="M3937">
        <v>-0.12860479999999999</v>
      </c>
      <c r="N3937">
        <v>0</v>
      </c>
      <c r="O3937">
        <v>-0.9916739</v>
      </c>
      <c r="P3937">
        <v>-0.2405767</v>
      </c>
      <c r="Q3937">
        <v>-1.6453869999999999E-2</v>
      </c>
      <c r="R3937">
        <v>-0.97049090000000005</v>
      </c>
      <c r="S3937">
        <v>-1.135162</v>
      </c>
      <c r="T3937">
        <v>-1.0538459999999999E-2</v>
      </c>
      <c r="U3937">
        <v>-2.8104710000000002</v>
      </c>
      <c r="V3937">
        <v>0.11374620000000001</v>
      </c>
      <c r="W3937">
        <v>-1.009289E-2</v>
      </c>
      <c r="X3937">
        <v>0.99345859999999997</v>
      </c>
      <c r="Y3937">
        <v>0.25214950000000003</v>
      </c>
      <c r="Z3937">
        <v>3.5052260000000002E-3</v>
      </c>
      <c r="AA3937">
        <v>0.96768189999999998</v>
      </c>
      <c r="AB3937">
        <v>21</v>
      </c>
      <c r="AC3937">
        <v>-22.1419</v>
      </c>
      <c r="AD3937">
        <v>-0.20585980000000001</v>
      </c>
      <c r="AE3937">
        <v>-54.678400000000003</v>
      </c>
      <c r="AF3937">
        <v>14.9257838661681</v>
      </c>
      <c r="AG3937">
        <v>-0.20585980000000001</v>
      </c>
      <c r="AH3937">
        <v>57.071248305815899</v>
      </c>
      <c r="AI3937">
        <v>90.199944118765501</v>
      </c>
      <c r="AJ3937">
        <v>75.343758757546496</v>
      </c>
      <c r="AK3937">
        <v>58.9910907295409</v>
      </c>
      <c r="AL3937">
        <v>90.578289802708596</v>
      </c>
      <c r="AM3937">
        <v>83.468352968893797</v>
      </c>
      <c r="AN3937">
        <v>1.0000000271784699</v>
      </c>
    </row>
    <row r="3938" spans="1:40" x14ac:dyDescent="0.25">
      <c r="A3938" t="str">
        <f>"20190312161046384"</f>
        <v>20190312161046384</v>
      </c>
      <c r="B3938" t="str">
        <f>"1552378246380070"</f>
        <v>1552378246380070</v>
      </c>
      <c r="C3938" t="s">
        <v>40</v>
      </c>
      <c r="D3938">
        <v>5.9806699999999999</v>
      </c>
      <c r="E3938">
        <v>0.56400329999999999</v>
      </c>
      <c r="F3938" t="s">
        <v>90</v>
      </c>
      <c r="G3938">
        <v>-212.54339999999999</v>
      </c>
      <c r="H3938">
        <v>0.98575889999999999</v>
      </c>
      <c r="I3938">
        <v>118.8164</v>
      </c>
      <c r="J3938">
        <v>-190.77199999999999</v>
      </c>
      <c r="K3938">
        <v>1.108452</v>
      </c>
      <c r="L3938">
        <v>170.81729999999999</v>
      </c>
      <c r="M3938">
        <v>-0.148008</v>
      </c>
      <c r="N3938">
        <v>0</v>
      </c>
      <c r="O3938">
        <v>-0.98896269999999997</v>
      </c>
      <c r="P3938">
        <v>-0.26857799999999998</v>
      </c>
      <c r="Q3938">
        <v>-8.6359780000000008E-3</v>
      </c>
      <c r="R3938">
        <v>-0.96321900000000005</v>
      </c>
      <c r="S3938">
        <v>-1.137939</v>
      </c>
      <c r="T3938">
        <v>-6.2978269999999998E-3</v>
      </c>
      <c r="U3938">
        <v>-2.809021</v>
      </c>
      <c r="V3938">
        <v>0.1230478</v>
      </c>
      <c r="W3938">
        <v>-2.1623340000000001E-3</v>
      </c>
      <c r="X3938">
        <v>0.99239840000000001</v>
      </c>
      <c r="Y3938">
        <v>0.23414460000000001</v>
      </c>
      <c r="Z3938">
        <v>2.0915920000000002E-3</v>
      </c>
      <c r="AA3938">
        <v>0.97219949999999999</v>
      </c>
      <c r="AB3938">
        <v>22</v>
      </c>
      <c r="AC3938">
        <v>-21.7713999999999</v>
      </c>
      <c r="AD3938">
        <v>-0.1226931</v>
      </c>
      <c r="AE3938">
        <v>-52.000899999999902</v>
      </c>
      <c r="AF3938">
        <v>13.834808830060901</v>
      </c>
      <c r="AG3938">
        <v>-0.1226931</v>
      </c>
      <c r="AH3938">
        <v>54.650301155858202</v>
      </c>
      <c r="AI3938">
        <v>90.124698497641702</v>
      </c>
      <c r="AJ3938">
        <v>75.793933862153196</v>
      </c>
      <c r="AK3938">
        <v>56.374394944754101</v>
      </c>
      <c r="AL3938">
        <v>90.1238927073382</v>
      </c>
      <c r="AM3938">
        <v>82.931950834172497</v>
      </c>
      <c r="AN3938">
        <v>1.0000000105478599</v>
      </c>
    </row>
    <row r="3939" spans="1:40" x14ac:dyDescent="0.25">
      <c r="A3939" t="str">
        <f>"20190312161046407"</f>
        <v>20190312161046407</v>
      </c>
      <c r="B3939" t="str">
        <f>"1552378246400565"</f>
        <v>1552378246400565</v>
      </c>
      <c r="C3939" t="s">
        <v>40</v>
      </c>
      <c r="D3939">
        <v>5.7497980000000002</v>
      </c>
      <c r="E3939">
        <v>0.56375759999999997</v>
      </c>
      <c r="F3939" t="s">
        <v>41</v>
      </c>
      <c r="G3939">
        <v>-192.89009999999999</v>
      </c>
      <c r="H3939" s="1">
        <v>-3.9637389999999999E-6</v>
      </c>
      <c r="I3939">
        <v>166.3501</v>
      </c>
      <c r="J3939">
        <v>-190.80789999999999</v>
      </c>
      <c r="K3939">
        <v>1.108439</v>
      </c>
      <c r="L3939">
        <v>170.58969999999999</v>
      </c>
      <c r="M3939">
        <v>-0.14962979999999901</v>
      </c>
      <c r="N3939">
        <v>0</v>
      </c>
      <c r="O3939">
        <v>-0.98871889999999996</v>
      </c>
      <c r="P3939">
        <v>-0.27102599999999999</v>
      </c>
      <c r="Q3939">
        <v>-8.0652420000000002E-3</v>
      </c>
      <c r="R3939">
        <v>-0.96253869999999997</v>
      </c>
      <c r="S3939">
        <v>-1.3017430000000001</v>
      </c>
      <c r="T3939">
        <v>-0.68124019999999996</v>
      </c>
      <c r="U3939">
        <v>-2.7454679999999998</v>
      </c>
      <c r="V3939">
        <v>0.1239436</v>
      </c>
      <c r="W3939">
        <v>-1.582043E-3</v>
      </c>
      <c r="X3939">
        <v>0.99228799999999995</v>
      </c>
      <c r="Y3939">
        <v>0.27774850000000001</v>
      </c>
      <c r="Z3939">
        <v>0.2210752</v>
      </c>
      <c r="AA3939">
        <v>0.93486979999999997</v>
      </c>
      <c r="AB3939">
        <v>22</v>
      </c>
      <c r="AC3939">
        <v>-2.0821999999999998</v>
      </c>
      <c r="AD3939">
        <v>-1.1084429637390001</v>
      </c>
      <c r="AE3939">
        <v>-4.2395999999999896</v>
      </c>
      <c r="AF3939">
        <v>1.35002398676098</v>
      </c>
      <c r="AG3939">
        <v>-1.1084429637390001</v>
      </c>
      <c r="AH3939">
        <v>4.2683671050369503</v>
      </c>
      <c r="AI3939">
        <v>103.90666810246201</v>
      </c>
      <c r="AJ3939">
        <v>72.448575612689893</v>
      </c>
      <c r="AK3939">
        <v>4.6119592704244496</v>
      </c>
      <c r="AL3939">
        <v>90.090644425001599</v>
      </c>
      <c r="AM3939">
        <v>82.880236905798199</v>
      </c>
      <c r="AN3939">
        <v>0.99999999689250596</v>
      </c>
    </row>
    <row r="3940" spans="1:40" x14ac:dyDescent="0.25">
      <c r="A3940" t="str">
        <f>"20190312161046429"</f>
        <v>20190312161046429</v>
      </c>
      <c r="B3940" t="str">
        <f>"1552378246420084"</f>
        <v>1552378246420084</v>
      </c>
      <c r="C3940" t="s">
        <v>40</v>
      </c>
      <c r="D3940">
        <v>5.7995020000000004</v>
      </c>
      <c r="E3940">
        <v>0.56135299999999999</v>
      </c>
      <c r="F3940" t="s">
        <v>90</v>
      </c>
      <c r="G3940">
        <v>-214.81819999999999</v>
      </c>
      <c r="H3940">
        <v>0.25258370000000002</v>
      </c>
      <c r="I3940">
        <v>119.91719999999999</v>
      </c>
      <c r="J3940">
        <v>-190.84270000000001</v>
      </c>
      <c r="K3940">
        <v>1.1084270000000001</v>
      </c>
      <c r="L3940">
        <v>170.37180000000001</v>
      </c>
      <c r="M3940">
        <v>-0.151190299999999</v>
      </c>
      <c r="N3940">
        <v>0</v>
      </c>
      <c r="O3940">
        <v>-0.98848119999999995</v>
      </c>
      <c r="P3940">
        <v>-0.27326040000000001</v>
      </c>
      <c r="Q3940">
        <v>-7.6517599999999996E-3</v>
      </c>
      <c r="R3940">
        <v>-0.96190980000000004</v>
      </c>
      <c r="S3940">
        <v>-1.302826</v>
      </c>
      <c r="T3940">
        <v>-4.6438100000000003E-2</v>
      </c>
      <c r="U3940">
        <v>-2.7495419999999999</v>
      </c>
      <c r="V3940">
        <v>0.124682</v>
      </c>
      <c r="W3940">
        <v>-1.159453E-3</v>
      </c>
      <c r="X3940">
        <v>0.99219610000000003</v>
      </c>
      <c r="Y3940">
        <v>0.2865914</v>
      </c>
      <c r="Z3940">
        <v>1.5423249999999999E-2</v>
      </c>
      <c r="AA3940">
        <v>0.95792869999999997</v>
      </c>
      <c r="AB3940">
        <v>22</v>
      </c>
      <c r="AC3940">
        <v>-23.975499999999901</v>
      </c>
      <c r="AD3940">
        <v>-0.85584329999999997</v>
      </c>
      <c r="AE3940">
        <v>-50.454599999999999</v>
      </c>
      <c r="AF3940">
        <v>16.067686304762798</v>
      </c>
      <c r="AG3940">
        <v>-0.85584329999999997</v>
      </c>
      <c r="AH3940">
        <v>53.486973164920002</v>
      </c>
      <c r="AI3940">
        <v>90.877957187390294</v>
      </c>
      <c r="AJ3940">
        <v>73.279536024960393</v>
      </c>
      <c r="AK3940">
        <v>55.854805606028997</v>
      </c>
      <c r="AL3940">
        <v>90.066431776789898</v>
      </c>
      <c r="AM3940">
        <v>82.837603267458604</v>
      </c>
      <c r="AN3940">
        <v>1.00000002315523</v>
      </c>
    </row>
    <row r="3941" spans="1:40" x14ac:dyDescent="0.25">
      <c r="A3941" t="str">
        <f>"20190312161046451"</f>
        <v>20190312161046451</v>
      </c>
      <c r="B3941" t="str">
        <f>"1552378246440581"</f>
        <v>1552378246440581</v>
      </c>
      <c r="C3941" t="s">
        <v>40</v>
      </c>
      <c r="D3941">
        <v>5.6750870000000004</v>
      </c>
      <c r="E3941">
        <v>0.56284309999999904</v>
      </c>
      <c r="F3941" t="s">
        <v>91</v>
      </c>
      <c r="G3941">
        <v>-217.72229999999999</v>
      </c>
      <c r="H3941">
        <v>3.1757029999999999</v>
      </c>
      <c r="I3941">
        <v>112.9751</v>
      </c>
      <c r="J3941">
        <v>-190.876</v>
      </c>
      <c r="K3941">
        <v>1.1084039999999999</v>
      </c>
      <c r="L3941">
        <v>170.16550000000001</v>
      </c>
      <c r="M3941">
        <v>-0.1526817</v>
      </c>
      <c r="N3941">
        <v>0</v>
      </c>
      <c r="O3941">
        <v>-0.98825180000000001</v>
      </c>
      <c r="P3941">
        <v>-0.2746112</v>
      </c>
      <c r="Q3941">
        <v>-7.4752169999999897E-3</v>
      </c>
      <c r="R3941">
        <v>-0.96152629999999994</v>
      </c>
      <c r="S3941">
        <v>-1.2894129999999999</v>
      </c>
      <c r="T3941">
        <v>9.9168179999999995E-2</v>
      </c>
      <c r="U3941">
        <v>-2.7533110000000001</v>
      </c>
      <c r="V3941">
        <v>0.12457849999999999</v>
      </c>
      <c r="W3941">
        <v>-9.7257669999999997E-4</v>
      </c>
      <c r="X3941">
        <v>0.99220929999999996</v>
      </c>
      <c r="Y3941">
        <v>0.28063259999999901</v>
      </c>
      <c r="Z3941">
        <v>-3.293169E-2</v>
      </c>
      <c r="AA3941">
        <v>0.95925020000000005</v>
      </c>
      <c r="AB3941">
        <v>22</v>
      </c>
      <c r="AC3941">
        <v>-26.846299999999999</v>
      </c>
      <c r="AD3941">
        <v>2.0672990000000002</v>
      </c>
      <c r="AE3941">
        <v>-57.190399999999997</v>
      </c>
      <c r="AF3941">
        <v>17.7803545244433</v>
      </c>
      <c r="AG3941">
        <v>2.0672990000000002</v>
      </c>
      <c r="AH3941">
        <v>60.554033117430201</v>
      </c>
      <c r="AI3941">
        <v>88.1238428069299</v>
      </c>
      <c r="AJ3941">
        <v>73.6362885946685</v>
      </c>
      <c r="AK3941">
        <v>63.144324043868899</v>
      </c>
      <c r="AL3941">
        <v>90.055724547733703</v>
      </c>
      <c r="AM3941">
        <v>82.843581406747205</v>
      </c>
      <c r="AN3941">
        <v>1.0000000217870799</v>
      </c>
    </row>
    <row r="3942" spans="1:40" x14ac:dyDescent="0.25">
      <c r="A3942" t="str">
        <f>"20190312161046473"</f>
        <v>20190312161046473</v>
      </c>
      <c r="B3942" t="str">
        <f>"1552378246470837"</f>
        <v>1552378246470837</v>
      </c>
      <c r="C3942" t="s">
        <v>40</v>
      </c>
      <c r="D3942">
        <v>5.872077</v>
      </c>
      <c r="E3942">
        <v>0.5643378</v>
      </c>
      <c r="F3942" t="s">
        <v>91</v>
      </c>
      <c r="G3942">
        <v>-217.9248</v>
      </c>
      <c r="H3942">
        <v>1.4872970000000001</v>
      </c>
      <c r="I3942">
        <v>113.2439</v>
      </c>
      <c r="J3942">
        <v>-190.91210000000001</v>
      </c>
      <c r="K3942">
        <v>1.108379</v>
      </c>
      <c r="L3942">
        <v>169.94380000000001</v>
      </c>
      <c r="M3942">
        <v>-0.15430949999999999</v>
      </c>
      <c r="N3942">
        <v>0</v>
      </c>
      <c r="O3942">
        <v>-0.98799899999999996</v>
      </c>
      <c r="P3942">
        <v>-0.27583419999999997</v>
      </c>
      <c r="Q3942">
        <v>-7.9027609999999995E-3</v>
      </c>
      <c r="R3942">
        <v>-0.96117319999999995</v>
      </c>
      <c r="S3942">
        <v>-1.3055270000000001</v>
      </c>
      <c r="T3942">
        <v>1.828873E-2</v>
      </c>
      <c r="U3942">
        <v>-2.7473450000000001</v>
      </c>
      <c r="V3942">
        <v>0.1242056</v>
      </c>
      <c r="W3942">
        <v>-1.3897619999999999E-3</v>
      </c>
      <c r="X3942">
        <v>0.99225549999999996</v>
      </c>
      <c r="Y3942">
        <v>0.28467510000000001</v>
      </c>
      <c r="Z3942">
        <v>-6.0752760000000001E-3</v>
      </c>
      <c r="AA3942">
        <v>0.95860480000000003</v>
      </c>
      <c r="AB3942">
        <v>22</v>
      </c>
      <c r="AC3942">
        <v>-27.012699999999899</v>
      </c>
      <c r="AD3942">
        <v>0.37891799999999898</v>
      </c>
      <c r="AE3942">
        <v>-56.6999</v>
      </c>
      <c r="AF3942">
        <v>17.938951992328999</v>
      </c>
      <c r="AG3942">
        <v>0.37891799999999898</v>
      </c>
      <c r="AH3942">
        <v>60.186971021086897</v>
      </c>
      <c r="AI3942">
        <v>89.654316325924498</v>
      </c>
      <c r="AJ3942">
        <v>73.403115361473098</v>
      </c>
      <c r="AK3942">
        <v>62.804626088584897</v>
      </c>
      <c r="AL3942">
        <v>90.079627525157406</v>
      </c>
      <c r="AM3942">
        <v>82.865110349025002</v>
      </c>
      <c r="AN3942">
        <v>0.99999996989501205</v>
      </c>
    </row>
    <row r="3943" spans="1:40" x14ac:dyDescent="0.25">
      <c r="A3943" t="str">
        <f>"20190312161046498"</f>
        <v>20190312161046498</v>
      </c>
      <c r="B3943" t="str">
        <f>"1552378246490356"</f>
        <v>1552378246490356</v>
      </c>
      <c r="C3943" t="s">
        <v>40</v>
      </c>
      <c r="D3943">
        <v>5.795185</v>
      </c>
      <c r="E3943">
        <v>0.56245730000000005</v>
      </c>
      <c r="F3943" t="s">
        <v>90</v>
      </c>
      <c r="G3943">
        <v>-215.52940000000001</v>
      </c>
      <c r="H3943">
        <v>0.97469249999999996</v>
      </c>
      <c r="I3943">
        <v>118.8242</v>
      </c>
      <c r="J3943">
        <v>-190.95089999999999</v>
      </c>
      <c r="K3943">
        <v>1.1083430000000001</v>
      </c>
      <c r="L3943">
        <v>169.70849999999999</v>
      </c>
      <c r="M3943">
        <v>-0.15607789999999999</v>
      </c>
      <c r="N3943">
        <v>0</v>
      </c>
      <c r="O3943">
        <v>-0.98772079999999995</v>
      </c>
      <c r="P3943">
        <v>-0.27716000000000002</v>
      </c>
      <c r="Q3943">
        <v>-7.809926E-3</v>
      </c>
      <c r="R3943">
        <v>-0.96079219999999999</v>
      </c>
      <c r="S3943">
        <v>-1.320511</v>
      </c>
      <c r="T3943">
        <v>-7.1696040000000004E-3</v>
      </c>
      <c r="U3943">
        <v>-2.7421259999999998</v>
      </c>
      <c r="V3943">
        <v>0.1237984</v>
      </c>
      <c r="W3943">
        <v>-1.2880280000000001E-3</v>
      </c>
      <c r="X3943">
        <v>0.99230649999999998</v>
      </c>
      <c r="Y3943">
        <v>0.28793239999999998</v>
      </c>
      <c r="Z3943">
        <v>2.3808969999999999E-3</v>
      </c>
      <c r="AA3943">
        <v>0.95764769999999999</v>
      </c>
      <c r="AB3943">
        <v>22</v>
      </c>
      <c r="AC3943">
        <v>-24.578499999999998</v>
      </c>
      <c r="AD3943">
        <v>-0.13365050000000001</v>
      </c>
      <c r="AE3943">
        <v>-50.884299999999897</v>
      </c>
      <c r="AF3943">
        <v>16.3350760383044</v>
      </c>
      <c r="AG3943">
        <v>-0.13365050000000001</v>
      </c>
      <c r="AH3943">
        <v>54.096619256199801</v>
      </c>
      <c r="AI3943">
        <v>90.135510823080097</v>
      </c>
      <c r="AJ3943">
        <v>73.197725051919093</v>
      </c>
      <c r="AK3943">
        <v>56.509262838791201</v>
      </c>
      <c r="AL3943">
        <v>90.073798592655706</v>
      </c>
      <c r="AM3943">
        <v>82.888623488871204</v>
      </c>
      <c r="AN3943">
        <v>0.99999994640046797</v>
      </c>
    </row>
    <row r="3944" spans="1:40" x14ac:dyDescent="0.25">
      <c r="A3944" t="str">
        <f>"20190312161046520"</f>
        <v>20190312161046520</v>
      </c>
      <c r="B3944" t="str">
        <f>"1552378246510852"</f>
        <v>1552378246510852</v>
      </c>
      <c r="C3944" t="s">
        <v>40</v>
      </c>
      <c r="D3944">
        <v>5.5961939999999997</v>
      </c>
      <c r="E3944">
        <v>0.56236509999999995</v>
      </c>
      <c r="F3944" t="s">
        <v>90</v>
      </c>
      <c r="G3944">
        <v>-215.18889999999999</v>
      </c>
      <c r="H3944">
        <v>0.82013309999999995</v>
      </c>
      <c r="I3944">
        <v>118.9332</v>
      </c>
      <c r="J3944">
        <v>-190.989</v>
      </c>
      <c r="K3944">
        <v>1.1083019999999999</v>
      </c>
      <c r="L3944">
        <v>169.48009999999999</v>
      </c>
      <c r="M3944">
        <v>-0.15784419999999999</v>
      </c>
      <c r="N3944">
        <v>0</v>
      </c>
      <c r="O3944">
        <v>-0.98743999999999998</v>
      </c>
      <c r="P3944">
        <v>-0.27930110000000002</v>
      </c>
      <c r="Q3944">
        <v>-7.8426329999999999E-3</v>
      </c>
      <c r="R3944">
        <v>-0.96017189999999997</v>
      </c>
      <c r="S3944">
        <v>-1.3100590000000001</v>
      </c>
      <c r="T3944">
        <v>-1.5576120000000001E-2</v>
      </c>
      <c r="U3944">
        <v>-2.7443849999999999</v>
      </c>
      <c r="V3944">
        <v>0.1242355</v>
      </c>
      <c r="W3944">
        <v>-1.3172259999999999E-3</v>
      </c>
      <c r="X3944">
        <v>0.99225189999999996</v>
      </c>
      <c r="Y3944">
        <v>0.282937099999999</v>
      </c>
      <c r="Z3944">
        <v>5.1744640000000001E-3</v>
      </c>
      <c r="AA3944">
        <v>0.95912450000000005</v>
      </c>
      <c r="AB3944">
        <v>22</v>
      </c>
      <c r="AC3944">
        <v>-24.1998999999999</v>
      </c>
      <c r="AD3944">
        <v>-0.28816890000000001</v>
      </c>
      <c r="AE3944">
        <v>-50.546900000000001</v>
      </c>
      <c r="AF3944">
        <v>15.917371084765399</v>
      </c>
      <c r="AG3944">
        <v>-0.28816890000000001</v>
      </c>
      <c r="AH3944">
        <v>53.731699036293897</v>
      </c>
      <c r="AI3944">
        <v>90.2946248712542</v>
      </c>
      <c r="AJ3944">
        <v>73.498709204322296</v>
      </c>
      <c r="AK3944">
        <v>56.0405319825921</v>
      </c>
      <c r="AL3944">
        <v>90.075471511248296</v>
      </c>
      <c r="AM3944">
        <v>82.863384850224094</v>
      </c>
      <c r="AN3944">
        <v>1.0000000137990901</v>
      </c>
    </row>
    <row r="3945" spans="1:40" x14ac:dyDescent="0.25">
      <c r="A3945" t="str">
        <f>"20190312161046540"</f>
        <v>20190312161046540</v>
      </c>
      <c r="B3945" t="str">
        <f>"1552378246530372"</f>
        <v>1552378246530372</v>
      </c>
      <c r="C3945" t="s">
        <v>40</v>
      </c>
      <c r="D3945">
        <v>5.8275959999999998</v>
      </c>
      <c r="E3945">
        <v>0.56303579999999998</v>
      </c>
      <c r="F3945" t="s">
        <v>90</v>
      </c>
      <c r="G3945">
        <v>-215.11269999999999</v>
      </c>
      <c r="H3945">
        <v>0.42727229999999999</v>
      </c>
      <c r="I3945">
        <v>119.2103</v>
      </c>
      <c r="J3945">
        <v>-191.02359999999999</v>
      </c>
      <c r="K3945">
        <v>1.1082540000000001</v>
      </c>
      <c r="L3945">
        <v>169.27520000000001</v>
      </c>
      <c r="M3945">
        <v>-0.15948190000000001</v>
      </c>
      <c r="N3945">
        <v>0</v>
      </c>
      <c r="O3945">
        <v>-0.98717699999999997</v>
      </c>
      <c r="P3945">
        <v>-0.2820764</v>
      </c>
      <c r="Q3945">
        <v>-8.5195040000000007E-3</v>
      </c>
      <c r="R3945">
        <v>-0.95935429999999999</v>
      </c>
      <c r="S3945">
        <v>-1.315582</v>
      </c>
      <c r="T3945">
        <v>-3.713822E-2</v>
      </c>
      <c r="U3945">
        <v>-2.7414550000000002</v>
      </c>
      <c r="V3945">
        <v>0.12545770000000001</v>
      </c>
      <c r="W3945">
        <v>-1.9957500000000001E-3</v>
      </c>
      <c r="X3945">
        <v>0.99209700000000001</v>
      </c>
      <c r="Y3945">
        <v>0.28328930000000002</v>
      </c>
      <c r="Z3945">
        <v>1.2337839999999999E-2</v>
      </c>
      <c r="AA3945">
        <v>0.95895520000000001</v>
      </c>
      <c r="AB3945">
        <v>22</v>
      </c>
      <c r="AC3945">
        <v>-24.089099999999998</v>
      </c>
      <c r="AD3945">
        <v>-0.68098169999999902</v>
      </c>
      <c r="AE3945">
        <v>-50.064900000000002</v>
      </c>
      <c r="AF3945">
        <v>15.7937593093011</v>
      </c>
      <c r="AG3945">
        <v>-0.68098169999999902</v>
      </c>
      <c r="AH3945">
        <v>53.257946397809299</v>
      </c>
      <c r="AI3945">
        <v>90.702342251604506</v>
      </c>
      <c r="AJ3945">
        <v>73.482162527780801</v>
      </c>
      <c r="AK3945">
        <v>55.554616583212898</v>
      </c>
      <c r="AL3945">
        <v>90.1143481235884</v>
      </c>
      <c r="AM3945">
        <v>82.792797703386</v>
      </c>
      <c r="AN3945">
        <v>1.0000000374581699</v>
      </c>
    </row>
    <row r="3946" spans="1:40" x14ac:dyDescent="0.25">
      <c r="A3946" t="str">
        <f>"20190312161046564"</f>
        <v>20190312161046564</v>
      </c>
      <c r="B3946" t="str">
        <f>"1552378246560161"</f>
        <v>1552378246560161</v>
      </c>
      <c r="C3946" t="s">
        <v>40</v>
      </c>
      <c r="D3946">
        <v>5.8453900000000001</v>
      </c>
      <c r="E3946">
        <v>0.56347230000000004</v>
      </c>
      <c r="F3946" t="s">
        <v>90</v>
      </c>
      <c r="G3946">
        <v>-214.99629999999999</v>
      </c>
      <c r="H3946">
        <v>0.2817093</v>
      </c>
      <c r="I3946">
        <v>119.91719999999999</v>
      </c>
      <c r="J3946">
        <v>-191.0624</v>
      </c>
      <c r="K3946">
        <v>1.108195</v>
      </c>
      <c r="L3946">
        <v>169.04820000000001</v>
      </c>
      <c r="M3946">
        <v>-0.16135579999999999</v>
      </c>
      <c r="N3946">
        <v>0</v>
      </c>
      <c r="O3946">
        <v>-0.98687199999999997</v>
      </c>
      <c r="P3946">
        <v>-0.28602949999999999</v>
      </c>
      <c r="Q3946">
        <v>-9.5130639999999999E-3</v>
      </c>
      <c r="R3946">
        <v>-0.95817379999999996</v>
      </c>
      <c r="S3946">
        <v>-1.3288420000000001</v>
      </c>
      <c r="T3946">
        <v>-4.5814870000000001E-2</v>
      </c>
      <c r="U3946">
        <v>-2.7359770000000001</v>
      </c>
      <c r="V3946">
        <v>0.12766269999999999</v>
      </c>
      <c r="W3946">
        <v>-2.9958749999999998E-3</v>
      </c>
      <c r="X3946">
        <v>0.9918131</v>
      </c>
      <c r="Y3946">
        <v>0.2859662</v>
      </c>
      <c r="Z3946">
        <v>1.5218570000000001E-2</v>
      </c>
      <c r="AA3946">
        <v>0.9581189</v>
      </c>
      <c r="AB3946">
        <v>22</v>
      </c>
      <c r="AC3946">
        <v>-23.933899999999898</v>
      </c>
      <c r="AD3946">
        <v>-0.82648569999999999</v>
      </c>
      <c r="AE3946">
        <v>-49.131</v>
      </c>
      <c r="AF3946">
        <v>15.6889120959389</v>
      </c>
      <c r="AG3946">
        <v>-0.82648569999999999</v>
      </c>
      <c r="AH3946">
        <v>52.337167278757697</v>
      </c>
      <c r="AI3946">
        <v>90.866621250935793</v>
      </c>
      <c r="AJ3946">
        <v>73.313047903981996</v>
      </c>
      <c r="AK3946">
        <v>54.644342068791303</v>
      </c>
      <c r="AL3946">
        <v>90.171651253173707</v>
      </c>
      <c r="AM3946">
        <v>82.665417295684605</v>
      </c>
      <c r="AN3946">
        <v>0.99999998278495705</v>
      </c>
    </row>
    <row r="3947" spans="1:40" x14ac:dyDescent="0.25">
      <c r="A3947" t="str">
        <f>"20190312161046599"</f>
        <v>20190312161046599</v>
      </c>
      <c r="B3947" t="str">
        <f>"1552378246590416"</f>
        <v>1552378246590416</v>
      </c>
      <c r="C3947" t="s">
        <v>40</v>
      </c>
      <c r="D3947">
        <v>5.7434339999999997</v>
      </c>
      <c r="E3947">
        <v>0.56290689999999999</v>
      </c>
      <c r="F3947" t="s">
        <v>43</v>
      </c>
      <c r="G3947">
        <v>-219.01949999999999</v>
      </c>
      <c r="H3947">
        <v>-0.05</v>
      </c>
      <c r="I3947">
        <v>112.24160000000001</v>
      </c>
      <c r="J3947">
        <v>-191.12370000000001</v>
      </c>
      <c r="K3947">
        <v>1.108114</v>
      </c>
      <c r="L3947">
        <v>168.69589999999999</v>
      </c>
      <c r="M3947">
        <v>-0.1644089</v>
      </c>
      <c r="N3947">
        <v>0</v>
      </c>
      <c r="O3947">
        <v>-0.98636789999999996</v>
      </c>
      <c r="P3947">
        <v>-0.29158469999999997</v>
      </c>
      <c r="Q3947">
        <v>-9.1556469999999994E-3</v>
      </c>
      <c r="R3947">
        <v>-0.9565015</v>
      </c>
      <c r="S3947">
        <v>-1.343262</v>
      </c>
      <c r="T3947">
        <v>-5.5648089999999997E-2</v>
      </c>
      <c r="U3947">
        <v>-2.7294010000000002</v>
      </c>
      <c r="V3947">
        <v>0.13034809999999999</v>
      </c>
      <c r="W3947">
        <v>-2.6469890000000002E-3</v>
      </c>
      <c r="X3947">
        <v>0.99146469999999998</v>
      </c>
      <c r="Y3947">
        <v>0.287966</v>
      </c>
      <c r="Z3947">
        <v>1.848352E-2</v>
      </c>
      <c r="AA3947">
        <v>0.95746229999999999</v>
      </c>
      <c r="AB3947">
        <v>23</v>
      </c>
      <c r="AC3947">
        <v>-27.895799999999898</v>
      </c>
      <c r="AD3947">
        <v>-1.1581139999999901</v>
      </c>
      <c r="AE3947">
        <v>-56.454299999999897</v>
      </c>
      <c r="AF3947">
        <v>18.2282050686463</v>
      </c>
      <c r="AG3947">
        <v>-1.1581139999999901</v>
      </c>
      <c r="AH3947">
        <v>60.2520961494807</v>
      </c>
      <c r="AI3947">
        <v>91.053988302268706</v>
      </c>
      <c r="AJ3947">
        <v>73.167738666302796</v>
      </c>
      <c r="AK3947">
        <v>62.959699637687997</v>
      </c>
      <c r="AL3947">
        <v>90.151661483937005</v>
      </c>
      <c r="AM3947">
        <v>82.510265038269907</v>
      </c>
      <c r="AN3947">
        <v>0.99999994253523095</v>
      </c>
    </row>
    <row r="3948" spans="1:40" x14ac:dyDescent="0.25">
      <c r="A3948" t="str">
        <f>"20190312161046620"</f>
        <v>20190312161046620</v>
      </c>
      <c r="B3948" t="str">
        <f>"1552378246610914"</f>
        <v>1552378246610914</v>
      </c>
      <c r="C3948" t="s">
        <v>40</v>
      </c>
      <c r="D3948">
        <v>5.9354380000000004</v>
      </c>
      <c r="E3948">
        <v>0.56278009999999901</v>
      </c>
      <c r="F3948" t="s">
        <v>90</v>
      </c>
      <c r="G3948">
        <v>-215.39429999999999</v>
      </c>
      <c r="H3948">
        <v>0.17207939999999999</v>
      </c>
      <c r="I3948">
        <v>119.91719999999999</v>
      </c>
      <c r="J3948">
        <v>-191.16249999999999</v>
      </c>
      <c r="K3948">
        <v>1.1080680000000001</v>
      </c>
      <c r="L3948">
        <v>168.47630000000001</v>
      </c>
      <c r="M3948">
        <v>-0.16638269999999999</v>
      </c>
      <c r="N3948">
        <v>0</v>
      </c>
      <c r="O3948">
        <v>-0.98603660000000004</v>
      </c>
      <c r="P3948">
        <v>-0.29421819999999999</v>
      </c>
      <c r="Q3948">
        <v>-8.5019689999999998E-3</v>
      </c>
      <c r="R3948">
        <v>-0.95570069999999996</v>
      </c>
      <c r="S3948">
        <v>-1.354843</v>
      </c>
      <c r="T3948">
        <v>-5.2249909999999997E-2</v>
      </c>
      <c r="U3948">
        <v>-2.722931</v>
      </c>
      <c r="V3948">
        <v>0.1310953</v>
      </c>
      <c r="W3948">
        <v>-1.993515E-3</v>
      </c>
      <c r="X3948">
        <v>0.99136780000000002</v>
      </c>
      <c r="Y3948">
        <v>0.29022819999999999</v>
      </c>
      <c r="Z3948">
        <v>1.7361669999999999E-2</v>
      </c>
      <c r="AA3948">
        <v>0.95679999999999998</v>
      </c>
      <c r="AB3948">
        <v>23</v>
      </c>
      <c r="AC3948">
        <v>-24.2318</v>
      </c>
      <c r="AD3948">
        <v>-0.93598859999999995</v>
      </c>
      <c r="AE3948">
        <v>-48.559100000000001</v>
      </c>
      <c r="AF3948">
        <v>15.809729183093699</v>
      </c>
      <c r="AG3948">
        <v>-0.93598859999999995</v>
      </c>
      <c r="AH3948">
        <v>51.898626372718297</v>
      </c>
      <c r="AI3948">
        <v>90.988380943525001</v>
      </c>
      <c r="AJ3948">
        <v>73.057842214438494</v>
      </c>
      <c r="AK3948">
        <v>54.261321683839498</v>
      </c>
      <c r="AL3948">
        <v>90.114220067742806</v>
      </c>
      <c r="AM3948">
        <v>82.467095110299596</v>
      </c>
      <c r="AN3948">
        <v>1.0000000333304899</v>
      </c>
    </row>
    <row r="3949" spans="1:40" x14ac:dyDescent="0.25">
      <c r="A3949" t="str">
        <f>"20190312161046641"</f>
        <v>20190312161046641</v>
      </c>
      <c r="B3949" t="str">
        <f>"1552378246630435"</f>
        <v>1552378246630435</v>
      </c>
      <c r="C3949" t="s">
        <v>40</v>
      </c>
      <c r="D3949">
        <v>5.9194769999999997</v>
      </c>
      <c r="E3949">
        <v>0.56267330000000004</v>
      </c>
      <c r="F3949" t="s">
        <v>90</v>
      </c>
      <c r="G3949">
        <v>-215.47</v>
      </c>
      <c r="H3949">
        <v>0.25186120000000001</v>
      </c>
      <c r="I3949">
        <v>119.91719999999999</v>
      </c>
      <c r="J3949">
        <v>-191.20060000000001</v>
      </c>
      <c r="K3949">
        <v>1.108028</v>
      </c>
      <c r="L3949">
        <v>168.26400000000001</v>
      </c>
      <c r="M3949">
        <v>-0.16834360000000001</v>
      </c>
      <c r="N3949">
        <v>0</v>
      </c>
      <c r="O3949">
        <v>-0.98570349999999995</v>
      </c>
      <c r="P3949">
        <v>-0.296168599999999</v>
      </c>
      <c r="Q3949">
        <v>-8.652603E-3</v>
      </c>
      <c r="R3949">
        <v>-0.95509659999999996</v>
      </c>
      <c r="S3949">
        <v>-1.361343</v>
      </c>
      <c r="T3949">
        <v>-4.7950390000000002E-2</v>
      </c>
      <c r="U3949">
        <v>-2.7195589999999998</v>
      </c>
      <c r="V3949">
        <v>0.13114700000000001</v>
      </c>
      <c r="W3949">
        <v>-2.1405819999999998E-3</v>
      </c>
      <c r="X3949">
        <v>0.99136060000000004</v>
      </c>
      <c r="Y3949">
        <v>0.29063899999999998</v>
      </c>
      <c r="Z3949">
        <v>1.5933900000000001E-2</v>
      </c>
      <c r="AA3949">
        <v>0.95670010000000005</v>
      </c>
      <c r="AB3949">
        <v>23</v>
      </c>
      <c r="AC3949">
        <v>-24.269399999999901</v>
      </c>
      <c r="AD3949">
        <v>-0.85616680000000001</v>
      </c>
      <c r="AE3949">
        <v>-48.346800000000002</v>
      </c>
      <c r="AF3949">
        <v>15.7799925676466</v>
      </c>
      <c r="AG3949">
        <v>-0.85616680000000001</v>
      </c>
      <c r="AH3949">
        <v>51.7295195090148</v>
      </c>
      <c r="AI3949">
        <v>90.906954324752604</v>
      </c>
      <c r="AJ3949">
        <v>73.035771831463094</v>
      </c>
      <c r="AK3949">
        <v>54.089595817106499</v>
      </c>
      <c r="AL3949">
        <v>90.122646410605597</v>
      </c>
      <c r="AM3949">
        <v>82.464104395276806</v>
      </c>
      <c r="AN3949">
        <v>0.99999997846632904</v>
      </c>
    </row>
    <row r="3950" spans="1:40" x14ac:dyDescent="0.25">
      <c r="A3950" t="str">
        <f>"20190312161046663"</f>
        <v>20190312161046663</v>
      </c>
      <c r="B3950" t="str">
        <f>"1552378246660688"</f>
        <v>1552378246660688</v>
      </c>
      <c r="C3950" t="s">
        <v>40</v>
      </c>
      <c r="D3950">
        <v>5.6834499999999997</v>
      </c>
      <c r="E3950">
        <v>0.56267309999999904</v>
      </c>
      <c r="F3950" t="s">
        <v>90</v>
      </c>
      <c r="G3950">
        <v>-215.51169999999999</v>
      </c>
      <c r="H3950">
        <v>0.245533</v>
      </c>
      <c r="I3950">
        <v>119.91719999999999</v>
      </c>
      <c r="J3950">
        <v>-191.24209999999999</v>
      </c>
      <c r="K3950">
        <v>1.10798</v>
      </c>
      <c r="L3950">
        <v>168.03550000000001</v>
      </c>
      <c r="M3950">
        <v>-0.170510299999999</v>
      </c>
      <c r="N3950">
        <v>0</v>
      </c>
      <c r="O3950">
        <v>-0.98533090000000001</v>
      </c>
      <c r="P3950">
        <v>-0.29813070000000003</v>
      </c>
      <c r="Q3950">
        <v>-9.5323089999999992E-3</v>
      </c>
      <c r="R3950">
        <v>-0.95447769999999998</v>
      </c>
      <c r="S3950">
        <v>-1.3662259999999999</v>
      </c>
      <c r="T3950">
        <v>-4.846835E-2</v>
      </c>
      <c r="U3950">
        <v>-2.7169650000000001</v>
      </c>
      <c r="V3950">
        <v>0.13100290000000001</v>
      </c>
      <c r="W3950">
        <v>-3.0148750000000002E-3</v>
      </c>
      <c r="X3950">
        <v>0.99137739999999996</v>
      </c>
      <c r="Y3950">
        <v>0.290273</v>
      </c>
      <c r="Z3950">
        <v>1.6105319999999999E-2</v>
      </c>
      <c r="AA3950">
        <v>0.95680829999999994</v>
      </c>
      <c r="AB3950">
        <v>23</v>
      </c>
      <c r="AC3950">
        <v>-24.269600000000001</v>
      </c>
      <c r="AD3950">
        <v>-0.86244699999999996</v>
      </c>
      <c r="AE3950">
        <v>-48.118299999999998</v>
      </c>
      <c r="AF3950">
        <v>15.705285794091299</v>
      </c>
      <c r="AG3950">
        <v>-0.86244699999999996</v>
      </c>
      <c r="AH3950">
        <v>51.538735129994201</v>
      </c>
      <c r="AI3950">
        <v>90.917069245230905</v>
      </c>
      <c r="AJ3950">
        <v>73.052563343410398</v>
      </c>
      <c r="AK3950">
        <v>53.885443632780699</v>
      </c>
      <c r="AL3950">
        <v>90.172739875074498</v>
      </c>
      <c r="AM3950">
        <v>82.472415682515603</v>
      </c>
      <c r="AN3950">
        <v>0.99999999925521699</v>
      </c>
    </row>
    <row r="3951" spans="1:40" x14ac:dyDescent="0.25">
      <c r="A3951" t="str">
        <f>"20190312161046688"</f>
        <v>20190312161046688</v>
      </c>
      <c r="B3951" t="str">
        <f>"1552378246680207"</f>
        <v>1552378246680207</v>
      </c>
      <c r="C3951" t="s">
        <v>40</v>
      </c>
      <c r="D3951">
        <v>5.9066020000000004</v>
      </c>
      <c r="E3951">
        <v>0.5625057</v>
      </c>
      <c r="F3951" t="s">
        <v>41</v>
      </c>
      <c r="G3951">
        <v>-212.7646</v>
      </c>
      <c r="H3951">
        <v>7.9985879999999995E-2</v>
      </c>
      <c r="I3951">
        <v>125.4503</v>
      </c>
      <c r="J3951">
        <v>-191.28710000000001</v>
      </c>
      <c r="K3951">
        <v>1.1079239999999999</v>
      </c>
      <c r="L3951">
        <v>167.7911</v>
      </c>
      <c r="M3951">
        <v>-0.17289119999999999</v>
      </c>
      <c r="N3951">
        <v>0</v>
      </c>
      <c r="O3951">
        <v>-0.98491600000000001</v>
      </c>
      <c r="P3951">
        <v>-0.30076180000000002</v>
      </c>
      <c r="Q3951">
        <v>-1.01464E-2</v>
      </c>
      <c r="R3951">
        <v>-0.95364590000000005</v>
      </c>
      <c r="S3951">
        <v>-1.371658</v>
      </c>
      <c r="T3951">
        <v>-6.5515400000000001E-2</v>
      </c>
      <c r="U3951">
        <v>-2.7140049999999998</v>
      </c>
      <c r="V3951">
        <v>0.1313395</v>
      </c>
      <c r="W3951">
        <v>-3.624726E-3</v>
      </c>
      <c r="X3951">
        <v>0.99133079999999996</v>
      </c>
      <c r="Y3951">
        <v>0.28985680000000003</v>
      </c>
      <c r="Z3951">
        <v>2.1766850000000001E-2</v>
      </c>
      <c r="AA3951">
        <v>0.95682250000000002</v>
      </c>
      <c r="AB3951">
        <v>23</v>
      </c>
      <c r="AC3951">
        <v>-21.4774999999999</v>
      </c>
      <c r="AD3951">
        <v>-1.02793812</v>
      </c>
      <c r="AE3951">
        <v>-42.340800000000002</v>
      </c>
      <c r="AF3951">
        <v>13.8270393997258</v>
      </c>
      <c r="AG3951">
        <v>-1.02793812</v>
      </c>
      <c r="AH3951">
        <v>45.395236577000396</v>
      </c>
      <c r="AI3951">
        <v>91.240925587523904</v>
      </c>
      <c r="AJ3951">
        <v>73.059668094286096</v>
      </c>
      <c r="AK3951">
        <v>47.465473548906701</v>
      </c>
      <c r="AL3951">
        <v>90.207681960838201</v>
      </c>
      <c r="AM3951">
        <v>82.452946223778298</v>
      </c>
      <c r="AN3951">
        <v>0.99999997896373205</v>
      </c>
    </row>
    <row r="3952" spans="1:40" x14ac:dyDescent="0.25">
      <c r="A3952" t="str">
        <f>"20190312161046710"</f>
        <v>20190312161046710</v>
      </c>
      <c r="B3952" t="str">
        <f>"1552378246700704"</f>
        <v>1552378246700704</v>
      </c>
      <c r="C3952" t="s">
        <v>40</v>
      </c>
      <c r="D3952">
        <v>5.7539959999999999</v>
      </c>
      <c r="E3952">
        <v>0.56250129999999998</v>
      </c>
      <c r="F3952" t="s">
        <v>41</v>
      </c>
      <c r="G3952">
        <v>-212.54589999999999</v>
      </c>
      <c r="H3952">
        <v>7.9985909999999993E-2</v>
      </c>
      <c r="I3952">
        <v>125.9667</v>
      </c>
      <c r="J3952">
        <v>-191.33109999999999</v>
      </c>
      <c r="K3952">
        <v>1.1078840000000001</v>
      </c>
      <c r="L3952">
        <v>167.55609999999999</v>
      </c>
      <c r="M3952">
        <v>-0.17522869999999999</v>
      </c>
      <c r="N3952">
        <v>0</v>
      </c>
      <c r="O3952">
        <v>-0.98450269999999995</v>
      </c>
      <c r="P3952">
        <v>-0.30345509999999998</v>
      </c>
      <c r="Q3952">
        <v>-1.000475E-2</v>
      </c>
      <c r="R3952">
        <v>-0.95279349999999996</v>
      </c>
      <c r="S3952">
        <v>-1.3777619999999999</v>
      </c>
      <c r="T3952">
        <v>-6.6619629999999999E-2</v>
      </c>
      <c r="U3952">
        <v>-2.7106020000000002</v>
      </c>
      <c r="V3952">
        <v>0.131787299999999</v>
      </c>
      <c r="W3952">
        <v>-3.4788190000000002E-3</v>
      </c>
      <c r="X3952">
        <v>0.99127189999999998</v>
      </c>
      <c r="Y3952">
        <v>0.28977849999999999</v>
      </c>
      <c r="Z3952">
        <v>2.213393E-2</v>
      </c>
      <c r="AA3952">
        <v>0.95683779999999996</v>
      </c>
      <c r="AB3952">
        <v>23</v>
      </c>
      <c r="AC3952">
        <v>-21.2148</v>
      </c>
      <c r="AD3952">
        <v>-1.0278980900000001</v>
      </c>
      <c r="AE3952">
        <v>-41.589399999999898</v>
      </c>
      <c r="AF3952">
        <v>13.5921184221147</v>
      </c>
      <c r="AG3952">
        <v>-1.0278980900000001</v>
      </c>
      <c r="AH3952">
        <v>44.6417812668804</v>
      </c>
      <c r="AI3952">
        <v>91.261856564083104</v>
      </c>
      <c r="AJ3952">
        <v>73.066039095504706</v>
      </c>
      <c r="AK3952">
        <v>46.676449011939702</v>
      </c>
      <c r="AL3952">
        <v>90.199322050985899</v>
      </c>
      <c r="AM3952">
        <v>82.427068037238399</v>
      </c>
      <c r="AN3952">
        <v>0.99999998717626704</v>
      </c>
    </row>
    <row r="3953" spans="1:40" x14ac:dyDescent="0.25">
      <c r="A3953" t="str">
        <f>"20190312161046731"</f>
        <v>20190312161046731</v>
      </c>
      <c r="B3953" t="str">
        <f>"1552378246720223"</f>
        <v>1552378246720223</v>
      </c>
      <c r="C3953" t="s">
        <v>40</v>
      </c>
      <c r="D3953">
        <v>5.888452</v>
      </c>
      <c r="E3953">
        <v>0.56250889999999998</v>
      </c>
      <c r="F3953" t="s">
        <v>41</v>
      </c>
      <c r="G3953">
        <v>-210.76339999999999</v>
      </c>
      <c r="H3953">
        <v>7.3806389999999999E-2</v>
      </c>
      <c r="I3953">
        <v>129.5925</v>
      </c>
      <c r="J3953">
        <v>-191.3723</v>
      </c>
      <c r="K3953">
        <v>1.1078539999999999</v>
      </c>
      <c r="L3953">
        <v>167.33879999999999</v>
      </c>
      <c r="M3953">
        <v>-0.1774202</v>
      </c>
      <c r="N3953">
        <v>0</v>
      </c>
      <c r="O3953">
        <v>-0.98410989999999998</v>
      </c>
      <c r="P3953">
        <v>-0.30648540000000002</v>
      </c>
      <c r="Q3953">
        <v>-1.0374980000000001E-2</v>
      </c>
      <c r="R3953">
        <v>-0.95181919999999998</v>
      </c>
      <c r="S3953">
        <v>-1.385437</v>
      </c>
      <c r="T3953">
        <v>-7.3725219999999994E-2</v>
      </c>
      <c r="U3953">
        <v>-2.7066349999999999</v>
      </c>
      <c r="V3953">
        <v>0.1327335</v>
      </c>
      <c r="W3953">
        <v>-3.8451969999999999E-3</v>
      </c>
      <c r="X3953">
        <v>0.99114429999999998</v>
      </c>
      <c r="Y3953">
        <v>0.29034100000000002</v>
      </c>
      <c r="Z3953">
        <v>2.449345E-2</v>
      </c>
      <c r="AA3953">
        <v>0.95660970000000001</v>
      </c>
      <c r="AB3953">
        <v>23</v>
      </c>
      <c r="AC3953">
        <v>-19.391099999999899</v>
      </c>
      <c r="AD3953">
        <v>-1.03404761</v>
      </c>
      <c r="AE3953">
        <v>-37.746299999999898</v>
      </c>
      <c r="AF3953">
        <v>12.378975442067301</v>
      </c>
      <c r="AG3953">
        <v>-1.03404761</v>
      </c>
      <c r="AH3953">
        <v>40.563805099405897</v>
      </c>
      <c r="AI3953">
        <v>91.396697750685405</v>
      </c>
      <c r="AJ3953">
        <v>73.029229411010604</v>
      </c>
      <c r="AK3953">
        <v>42.423231508191897</v>
      </c>
      <c r="AL3953">
        <v>90.220314103402202</v>
      </c>
      <c r="AM3953">
        <v>82.372363715542207</v>
      </c>
      <c r="AN3953">
        <v>0.99999999549235397</v>
      </c>
    </row>
    <row r="3954" spans="1:40" x14ac:dyDescent="0.25">
      <c r="A3954" t="str">
        <f>"20190312161046753"</f>
        <v>20190312161046753</v>
      </c>
      <c r="B3954" t="str">
        <f>"1552378246750479"</f>
        <v>1552378246750479</v>
      </c>
      <c r="C3954" t="s">
        <v>40</v>
      </c>
      <c r="D3954">
        <v>5.9823459999999997</v>
      </c>
      <c r="E3954">
        <v>0.56200830000000002</v>
      </c>
      <c r="F3954" t="s">
        <v>41</v>
      </c>
      <c r="G3954">
        <v>-210.84270000000001</v>
      </c>
      <c r="H3954">
        <v>6.7342340000000001E-2</v>
      </c>
      <c r="I3954">
        <v>129.59899999999999</v>
      </c>
      <c r="J3954">
        <v>-191.41499999999999</v>
      </c>
      <c r="K3954">
        <v>1.107818</v>
      </c>
      <c r="L3954">
        <v>167.1163</v>
      </c>
      <c r="M3954">
        <v>-0.17969189999999999</v>
      </c>
      <c r="N3954">
        <v>0</v>
      </c>
      <c r="O3954">
        <v>-0.98369759999999995</v>
      </c>
      <c r="P3954">
        <v>-0.31021549999999998</v>
      </c>
      <c r="Q3954">
        <v>-1.1718259999999999E-2</v>
      </c>
      <c r="R3954">
        <v>-0.95059450000000001</v>
      </c>
      <c r="S3954">
        <v>-1.3940889999999999</v>
      </c>
      <c r="T3954">
        <v>-7.4500919999999998E-2</v>
      </c>
      <c r="U3954">
        <v>-2.7021790000000001</v>
      </c>
      <c r="V3954">
        <v>0.13432910000000001</v>
      </c>
      <c r="W3954">
        <v>-5.1813520000000002E-3</v>
      </c>
      <c r="X3954">
        <v>0.9909232</v>
      </c>
      <c r="Y3954">
        <v>0.29119030000000001</v>
      </c>
      <c r="Z3954">
        <v>2.4751240000000001E-2</v>
      </c>
      <c r="AA3954">
        <v>0.95634490000000005</v>
      </c>
      <c r="AB3954">
        <v>23</v>
      </c>
      <c r="AC3954">
        <v>-19.427700000000002</v>
      </c>
      <c r="AD3954">
        <v>-1.04047566</v>
      </c>
      <c r="AE3954">
        <v>-37.517299999999999</v>
      </c>
      <c r="AF3954">
        <v>12.362237602845701</v>
      </c>
      <c r="AG3954">
        <v>-1.04047566</v>
      </c>
      <c r="AH3954">
        <v>40.373198993982498</v>
      </c>
      <c r="AI3954">
        <v>91.411604102012802</v>
      </c>
      <c r="AJ3954">
        <v>72.975458461819102</v>
      </c>
      <c r="AK3954">
        <v>42.236272387084199</v>
      </c>
      <c r="AL3954">
        <v>90.296870938738493</v>
      </c>
      <c r="AM3954">
        <v>82.280068722931205</v>
      </c>
      <c r="AN3954">
        <v>0.99999997090679804</v>
      </c>
    </row>
    <row r="3955" spans="1:40" x14ac:dyDescent="0.25">
      <c r="A3955" t="str">
        <f>"20190312161046776"</f>
        <v>20190312161046776</v>
      </c>
      <c r="B3955" t="str">
        <f>"1552378246770975"</f>
        <v>1552378246770975</v>
      </c>
      <c r="C3955" t="s">
        <v>40</v>
      </c>
      <c r="D3955">
        <v>5.9161219999999997</v>
      </c>
      <c r="E3955">
        <v>0.56275280000000005</v>
      </c>
      <c r="F3955" t="s">
        <v>43</v>
      </c>
      <c r="G3955">
        <v>-216.67160000000001</v>
      </c>
      <c r="H3955">
        <v>-0.05</v>
      </c>
      <c r="I3955">
        <v>118.4781</v>
      </c>
      <c r="J3955">
        <v>-191.46180000000001</v>
      </c>
      <c r="K3955">
        <v>1.107783</v>
      </c>
      <c r="L3955">
        <v>166.8758</v>
      </c>
      <c r="M3955">
        <v>-0.18217839999999999</v>
      </c>
      <c r="N3955">
        <v>0</v>
      </c>
      <c r="O3955">
        <v>-0.9832398</v>
      </c>
      <c r="P3955">
        <v>-0.31472919999999999</v>
      </c>
      <c r="Q3955">
        <v>-1.2681309999999999E-2</v>
      </c>
      <c r="R3955">
        <v>-0.94909719999999997</v>
      </c>
      <c r="S3955">
        <v>-1.40097</v>
      </c>
      <c r="T3955">
        <v>-6.4223530000000001E-2</v>
      </c>
      <c r="U3955">
        <v>-2.697937</v>
      </c>
      <c r="V3955">
        <v>0.1365304</v>
      </c>
      <c r="W3955">
        <v>-6.1279350000000002E-3</v>
      </c>
      <c r="X3955">
        <v>0.99061690000000002</v>
      </c>
      <c r="Y3955">
        <v>0.29134389999999999</v>
      </c>
      <c r="Z3955">
        <v>2.1341120000000002E-2</v>
      </c>
      <c r="AA3955">
        <v>0.95638029999999996</v>
      </c>
      <c r="AB3955">
        <v>23</v>
      </c>
      <c r="AC3955">
        <v>-25.209800000000001</v>
      </c>
      <c r="AD3955">
        <v>-1.157783</v>
      </c>
      <c r="AE3955">
        <v>-48.3977</v>
      </c>
      <c r="AF3955">
        <v>15.9634808201608</v>
      </c>
      <c r="AG3955">
        <v>-1.157783</v>
      </c>
      <c r="AH3955">
        <v>52.157066132860898</v>
      </c>
      <c r="AI3955">
        <v>91.215981792336905</v>
      </c>
      <c r="AJ3955">
        <v>72.982455492621199</v>
      </c>
      <c r="AK3955">
        <v>54.557609267254001</v>
      </c>
      <c r="AL3955">
        <v>90.351107019873893</v>
      </c>
      <c r="AM3955">
        <v>82.152726689285501</v>
      </c>
      <c r="AN3955">
        <v>0.99999997213856595</v>
      </c>
    </row>
    <row r="3956" spans="1:40" x14ac:dyDescent="0.25">
      <c r="A3956" t="str">
        <f>"20190312161046799"</f>
        <v>20190312161046799</v>
      </c>
      <c r="B3956" t="str">
        <f>"1552378246790499"</f>
        <v>1552378246790499</v>
      </c>
      <c r="C3956" t="s">
        <v>40</v>
      </c>
      <c r="D3956">
        <v>5.9394819999999999</v>
      </c>
      <c r="E3956">
        <v>0.56356300000000004</v>
      </c>
      <c r="F3956" t="s">
        <v>41</v>
      </c>
      <c r="G3956">
        <v>-213.39240000000001</v>
      </c>
      <c r="H3956">
        <v>7.9985719999999996E-2</v>
      </c>
      <c r="I3956">
        <v>125.31780000000001</v>
      </c>
      <c r="J3956">
        <v>-191.50899999999999</v>
      </c>
      <c r="K3956">
        <v>1.1077520000000001</v>
      </c>
      <c r="L3956">
        <v>166.63630000000001</v>
      </c>
      <c r="M3956">
        <v>-0.18468200000000001</v>
      </c>
      <c r="N3956">
        <v>0</v>
      </c>
      <c r="O3956">
        <v>-0.98277230000000004</v>
      </c>
      <c r="P3956">
        <v>-0.3182719</v>
      </c>
      <c r="Q3956">
        <v>-1.2899320000000001E-2</v>
      </c>
      <c r="R3956">
        <v>-0.94791190000000003</v>
      </c>
      <c r="S3956">
        <v>-1.4192049999999901</v>
      </c>
      <c r="T3956">
        <v>-6.6512349999999998E-2</v>
      </c>
      <c r="U3956">
        <v>-2.689362</v>
      </c>
      <c r="V3956">
        <v>0.13770679999999999</v>
      </c>
      <c r="W3956">
        <v>-6.3118139999999998E-3</v>
      </c>
      <c r="X3956">
        <v>0.99045289999999997</v>
      </c>
      <c r="Y3956">
        <v>0.29522989999999999</v>
      </c>
      <c r="Z3956">
        <v>2.210142E-2</v>
      </c>
      <c r="AA3956">
        <v>0.95517059999999998</v>
      </c>
      <c r="AB3956">
        <v>23</v>
      </c>
      <c r="AC3956">
        <v>-21.883399999999899</v>
      </c>
      <c r="AD3956">
        <v>-1.02776628</v>
      </c>
      <c r="AE3956">
        <v>-41.3185</v>
      </c>
      <c r="AF3956">
        <v>13.8692696217642</v>
      </c>
      <c r="AG3956">
        <v>-1.02776628</v>
      </c>
      <c r="AH3956">
        <v>44.627725923665203</v>
      </c>
      <c r="AI3956">
        <v>91.259858054249307</v>
      </c>
      <c r="AJ3956">
        <v>72.735958438260198</v>
      </c>
      <c r="AK3956">
        <v>46.744484856347199</v>
      </c>
      <c r="AL3956">
        <v>90.361642713789294</v>
      </c>
      <c r="AM3956">
        <v>82.084670819003094</v>
      </c>
      <c r="AN3956">
        <v>0.99999997444030997</v>
      </c>
    </row>
    <row r="3957" spans="1:40" x14ac:dyDescent="0.25">
      <c r="A3957" t="str">
        <f>"20190312161046820"</f>
        <v>20190312161046820</v>
      </c>
      <c r="B3957" t="str">
        <f>"1552378246810992"</f>
        <v>1552378246810992</v>
      </c>
      <c r="C3957" t="s">
        <v>40</v>
      </c>
      <c r="D3957">
        <v>5.837987</v>
      </c>
      <c r="E3957">
        <v>0.56412739999999995</v>
      </c>
      <c r="F3957" t="s">
        <v>41</v>
      </c>
      <c r="G3957">
        <v>-212.2825</v>
      </c>
      <c r="H3957">
        <v>7.9985890000000004E-2</v>
      </c>
      <c r="I3957">
        <v>127.81780000000001</v>
      </c>
      <c r="J3957">
        <v>-191.55260000000001</v>
      </c>
      <c r="K3957">
        <v>1.1077360000000001</v>
      </c>
      <c r="L3957">
        <v>166.41829999999999</v>
      </c>
      <c r="M3957">
        <v>-0.18698429999999999</v>
      </c>
      <c r="N3957">
        <v>0</v>
      </c>
      <c r="O3957">
        <v>-0.98233630000000005</v>
      </c>
      <c r="P3957">
        <v>-0.3214571</v>
      </c>
      <c r="Q3957">
        <v>-1.315274E-2</v>
      </c>
      <c r="R3957">
        <v>-0.94683280000000003</v>
      </c>
      <c r="S3957">
        <v>-1.435257</v>
      </c>
      <c r="T3957">
        <v>-7.1009279999999994E-2</v>
      </c>
      <c r="U3957">
        <v>-2.682007</v>
      </c>
      <c r="V3957">
        <v>0.13871520000000001</v>
      </c>
      <c r="W3957">
        <v>-6.5174569999999999E-3</v>
      </c>
      <c r="X3957">
        <v>0.99031080000000005</v>
      </c>
      <c r="Y3957">
        <v>0.29850890000000002</v>
      </c>
      <c r="Z3957">
        <v>2.3592519999999999E-2</v>
      </c>
      <c r="AA3957">
        <v>0.95411520000000005</v>
      </c>
      <c r="AB3957">
        <v>24</v>
      </c>
      <c r="AC3957">
        <v>-20.729899999999901</v>
      </c>
      <c r="AD3957">
        <v>-1.0277501099999999</v>
      </c>
      <c r="AE3957">
        <v>-38.600499999999897</v>
      </c>
      <c r="AF3957">
        <v>13.1391599331791</v>
      </c>
      <c r="AG3957">
        <v>-1.0277501099999999</v>
      </c>
      <c r="AH3957">
        <v>41.772946175659598</v>
      </c>
      <c r="AI3957">
        <v>91.344465177072493</v>
      </c>
      <c r="AJ3957">
        <v>72.539680785673397</v>
      </c>
      <c r="AK3957">
        <v>43.802657753072701</v>
      </c>
      <c r="AL3957">
        <v>90.373425448260306</v>
      </c>
      <c r="AM3957">
        <v>82.026321769663198</v>
      </c>
      <c r="AN3957">
        <v>0.99999993227671102</v>
      </c>
    </row>
    <row r="3958" spans="1:40" x14ac:dyDescent="0.25">
      <c r="A3958" t="str">
        <f>"20190312161046842"</f>
        <v>20190312161046842</v>
      </c>
      <c r="B3958" t="str">
        <f>"1552378246830515"</f>
        <v>1552378246830515</v>
      </c>
      <c r="C3958" t="s">
        <v>40</v>
      </c>
      <c r="D3958">
        <v>5.7161739999999996</v>
      </c>
      <c r="E3958">
        <v>0.56463609999999997</v>
      </c>
      <c r="F3958" t="s">
        <v>41</v>
      </c>
      <c r="G3958">
        <v>-212.83410000000001</v>
      </c>
      <c r="H3958">
        <v>7.9985790000000001E-2</v>
      </c>
      <c r="I3958">
        <v>127.1086</v>
      </c>
      <c r="J3958">
        <v>-191.59829999999999</v>
      </c>
      <c r="K3958">
        <v>1.107728</v>
      </c>
      <c r="L3958">
        <v>166.19290000000001</v>
      </c>
      <c r="M3958">
        <v>-0.1893862</v>
      </c>
      <c r="N3958">
        <v>0</v>
      </c>
      <c r="O3958">
        <v>-0.98187550000000001</v>
      </c>
      <c r="P3958">
        <v>-0.32430920000000002</v>
      </c>
      <c r="Q3958">
        <v>-1.407686E-2</v>
      </c>
      <c r="R3958">
        <v>-0.94584669999999904</v>
      </c>
      <c r="S3958">
        <v>-1.4485629999999901</v>
      </c>
      <c r="T3958">
        <v>-6.9955829999999997E-2</v>
      </c>
      <c r="U3958">
        <v>-2.6756899999999999</v>
      </c>
      <c r="V3958">
        <v>0.13927639999999999</v>
      </c>
      <c r="W3958">
        <v>-7.353999E-3</v>
      </c>
      <c r="X3958">
        <v>0.99022619999999895</v>
      </c>
      <c r="Y3958">
        <v>0.30079119999999998</v>
      </c>
      <c r="Z3958">
        <v>2.3240199999999999E-2</v>
      </c>
      <c r="AA3958">
        <v>0.9534068</v>
      </c>
      <c r="AB3958">
        <v>24</v>
      </c>
      <c r="AC3958">
        <v>-21.235800000000001</v>
      </c>
      <c r="AD3958">
        <v>-1.02774221</v>
      </c>
      <c r="AE3958">
        <v>-39.084299999999999</v>
      </c>
      <c r="AF3958">
        <v>13.4420674697437</v>
      </c>
      <c r="AG3958">
        <v>-1.02774221</v>
      </c>
      <c r="AH3958">
        <v>42.376192757538703</v>
      </c>
      <c r="AI3958">
        <v>91.3243069598917</v>
      </c>
      <c r="AJ3958">
        <v>72.400556120842396</v>
      </c>
      <c r="AK3958">
        <v>44.468945844661498</v>
      </c>
      <c r="AL3958">
        <v>90.421356919221395</v>
      </c>
      <c r="AM3958">
        <v>81.993804969959498</v>
      </c>
      <c r="AN3958">
        <v>0.99999996203234498</v>
      </c>
    </row>
    <row r="3959" spans="1:40" x14ac:dyDescent="0.25">
      <c r="A3959" t="str">
        <f>"20190312161046865"</f>
        <v>20190312161046865</v>
      </c>
      <c r="B3959" t="str">
        <f>"1552378246860768"</f>
        <v>1552378246860768</v>
      </c>
      <c r="C3959" t="s">
        <v>40</v>
      </c>
      <c r="D3959">
        <v>5.6538539999999999</v>
      </c>
      <c r="E3959">
        <v>0.56529869999999904</v>
      </c>
      <c r="F3959" t="s">
        <v>41</v>
      </c>
      <c r="G3959">
        <v>-212.50739999999999</v>
      </c>
      <c r="H3959">
        <v>7.9985829999999994E-2</v>
      </c>
      <c r="I3959">
        <v>127.9723</v>
      </c>
      <c r="J3959">
        <v>-191.64789999999999</v>
      </c>
      <c r="K3959">
        <v>1.1077330000000001</v>
      </c>
      <c r="L3959">
        <v>165.95140000000001</v>
      </c>
      <c r="M3959">
        <v>-0.19198570000000001</v>
      </c>
      <c r="N3959">
        <v>0</v>
      </c>
      <c r="O3959">
        <v>-0.98136880000000004</v>
      </c>
      <c r="P3959">
        <v>-0.3277235</v>
      </c>
      <c r="Q3959">
        <v>-1.478344E-2</v>
      </c>
      <c r="R3959">
        <v>-0.94465829999999995</v>
      </c>
      <c r="S3959">
        <v>-1.4605870000000001</v>
      </c>
      <c r="T3959">
        <v>-7.1791889999999997E-2</v>
      </c>
      <c r="U3959">
        <v>-2.669861</v>
      </c>
      <c r="V3959">
        <v>0.14022989999999999</v>
      </c>
      <c r="W3959">
        <v>-7.8976269999999904E-3</v>
      </c>
      <c r="X3959">
        <v>0.99008739999999995</v>
      </c>
      <c r="Y3959">
        <v>0.30244009999999999</v>
      </c>
      <c r="Z3959">
        <v>2.3846470000000002E-2</v>
      </c>
      <c r="AA3959">
        <v>0.95286999999999999</v>
      </c>
      <c r="AB3959">
        <v>24</v>
      </c>
      <c r="AC3959">
        <v>-20.859500000000001</v>
      </c>
      <c r="AD3959">
        <v>-1.02774717</v>
      </c>
      <c r="AE3959">
        <v>-37.979100000000003</v>
      </c>
      <c r="AF3959">
        <v>13.1723819548239</v>
      </c>
      <c r="AG3959">
        <v>-1.02774717</v>
      </c>
      <c r="AH3959">
        <v>41.254192315127298</v>
      </c>
      <c r="AI3959">
        <v>91.359496623091204</v>
      </c>
      <c r="AJ3959">
        <v>72.291820246173899</v>
      </c>
      <c r="AK3959">
        <v>43.3183136119439</v>
      </c>
      <c r="AL3959">
        <v>90.452505431688394</v>
      </c>
      <c r="AM3959">
        <v>81.938596555551598</v>
      </c>
      <c r="AN3959">
        <v>0.99999992850249797</v>
      </c>
    </row>
    <row r="3960" spans="1:40" x14ac:dyDescent="0.25">
      <c r="A3960" t="str">
        <f>"20190312161046901"</f>
        <v>20190312161046901</v>
      </c>
      <c r="B3960" t="str">
        <f>"1552378246891023"</f>
        <v>1552378246891023</v>
      </c>
      <c r="C3960" t="s">
        <v>40</v>
      </c>
      <c r="D3960">
        <v>5.8287199999999997</v>
      </c>
      <c r="E3960">
        <v>0.56510539999999998</v>
      </c>
      <c r="F3960" t="s">
        <v>41</v>
      </c>
      <c r="G3960">
        <v>-212.45840000000001</v>
      </c>
      <c r="H3960">
        <v>7.9985829999999994E-2</v>
      </c>
      <c r="I3960">
        <v>128.3853</v>
      </c>
      <c r="J3960">
        <v>-191.72640000000001</v>
      </c>
      <c r="K3960">
        <v>1.1077709999999901</v>
      </c>
      <c r="L3960">
        <v>165.5762</v>
      </c>
      <c r="M3960">
        <v>-0.19608229999999999</v>
      </c>
      <c r="N3960">
        <v>0</v>
      </c>
      <c r="O3960">
        <v>-0.98055510000000001</v>
      </c>
      <c r="P3960">
        <v>-0.33217859999999899</v>
      </c>
      <c r="Q3960">
        <v>-1.5143159999999999E-2</v>
      </c>
      <c r="R3960">
        <v>-0.94309520000000002</v>
      </c>
      <c r="S3960">
        <v>-1.4751430000000001</v>
      </c>
      <c r="T3960">
        <v>-7.285142E-2</v>
      </c>
      <c r="U3960">
        <v>-2.6628569999999998</v>
      </c>
      <c r="V3960">
        <v>0.14076810000000001</v>
      </c>
      <c r="W3960">
        <v>-7.8397380000000006E-3</v>
      </c>
      <c r="X3960">
        <v>0.99001159999999999</v>
      </c>
      <c r="Y3960">
        <v>0.30350450000000001</v>
      </c>
      <c r="Z3960">
        <v>2.4189660000000002E-2</v>
      </c>
      <c r="AA3960">
        <v>0.95252289999999995</v>
      </c>
      <c r="AB3960">
        <v>24</v>
      </c>
      <c r="AC3960">
        <v>-20.731999999999999</v>
      </c>
      <c r="AD3960">
        <v>-1.02778516999999</v>
      </c>
      <c r="AE3960">
        <v>-37.190899999999999</v>
      </c>
      <c r="AF3960">
        <v>13.029213030174899</v>
      </c>
      <c r="AG3960">
        <v>-1.02778516999999</v>
      </c>
      <c r="AH3960">
        <v>40.510586701886197</v>
      </c>
      <c r="AI3960">
        <v>91.3835573119011</v>
      </c>
      <c r="AJ3960">
        <v>72.170916695950297</v>
      </c>
      <c r="AK3960">
        <v>42.566704940274498</v>
      </c>
      <c r="AL3960">
        <v>90.449188481591904</v>
      </c>
      <c r="AM3960">
        <v>81.907454685905705</v>
      </c>
      <c r="AN3960">
        <v>1.00000004380203</v>
      </c>
    </row>
    <row r="3961" spans="1:40" x14ac:dyDescent="0.25">
      <c r="A3961" t="str">
        <f>"20190312161046924"</f>
        <v>20190312161046924</v>
      </c>
      <c r="B3961" t="str">
        <f>"1552378246920304"</f>
        <v>1552378246920304</v>
      </c>
      <c r="C3961" t="s">
        <v>40</v>
      </c>
      <c r="D3961">
        <v>5.7555430000000003</v>
      </c>
      <c r="E3961">
        <v>0.56481870000000001</v>
      </c>
      <c r="F3961" t="s">
        <v>43</v>
      </c>
      <c r="G3961">
        <v>-218.05699999999999</v>
      </c>
      <c r="H3961">
        <v>-0.05</v>
      </c>
      <c r="I3961">
        <v>118.5095</v>
      </c>
      <c r="J3961">
        <v>-191.7757</v>
      </c>
      <c r="K3961">
        <v>1.1078030000000001</v>
      </c>
      <c r="L3961">
        <v>165.3449</v>
      </c>
      <c r="M3961">
        <v>-0.1986414</v>
      </c>
      <c r="N3961">
        <v>0</v>
      </c>
      <c r="O3961">
        <v>-0.9800373</v>
      </c>
      <c r="P3961">
        <v>-0.33435900000000002</v>
      </c>
      <c r="Q3961">
        <v>-1.536393E-2</v>
      </c>
      <c r="R3961">
        <v>-0.94232090000000002</v>
      </c>
      <c r="S3961">
        <v>-1.486145</v>
      </c>
      <c r="T3961">
        <v>-6.5346600000000005E-2</v>
      </c>
      <c r="U3961">
        <v>-2.6565249999999998</v>
      </c>
      <c r="V3961">
        <v>0.1404736</v>
      </c>
      <c r="W3961">
        <v>-7.736634E-3</v>
      </c>
      <c r="X3961">
        <v>0.9900542</v>
      </c>
      <c r="Y3961">
        <v>0.30501620000000002</v>
      </c>
      <c r="Z3961">
        <v>2.1701160000000001E-2</v>
      </c>
      <c r="AA3961">
        <v>0.9520999</v>
      </c>
      <c r="AB3961">
        <v>24</v>
      </c>
      <c r="AC3961">
        <v>-26.281300000000002</v>
      </c>
      <c r="AD3961">
        <v>-1.1578029999999999</v>
      </c>
      <c r="AE3961">
        <v>-46.8353999999999</v>
      </c>
      <c r="AF3961">
        <v>16.446124687113301</v>
      </c>
      <c r="AG3961">
        <v>-1.1578029999999999</v>
      </c>
      <c r="AH3961">
        <v>51.098994686428497</v>
      </c>
      <c r="AI3961">
        <v>91.235590214275703</v>
      </c>
      <c r="AJ3961">
        <v>72.159316915290503</v>
      </c>
      <c r="AK3961">
        <v>53.692855977071503</v>
      </c>
      <c r="AL3961">
        <v>90.443280896552196</v>
      </c>
      <c r="AM3961">
        <v>81.924504373098898</v>
      </c>
      <c r="AN3961">
        <v>1.00000000337012</v>
      </c>
    </row>
    <row r="3962" spans="1:40" x14ac:dyDescent="0.25">
      <c r="A3962" t="str">
        <f>"20190312161046943"</f>
        <v>20190312161046943</v>
      </c>
      <c r="B3962" t="str">
        <f>"1552378246931039"</f>
        <v>1552378246931039</v>
      </c>
      <c r="C3962" t="s">
        <v>40</v>
      </c>
      <c r="D3962">
        <v>6.1051539999999997</v>
      </c>
      <c r="E3962">
        <v>0.56481870000000001</v>
      </c>
      <c r="F3962" t="s">
        <v>43</v>
      </c>
      <c r="G3962">
        <v>-220.73990000000001</v>
      </c>
      <c r="H3962">
        <v>-0.05</v>
      </c>
      <c r="I3962">
        <v>113.7593</v>
      </c>
      <c r="J3962">
        <v>-191.821</v>
      </c>
      <c r="K3962">
        <v>1.107847</v>
      </c>
      <c r="L3962">
        <v>165.13509999999999</v>
      </c>
      <c r="M3962">
        <v>-0.2009939</v>
      </c>
      <c r="N3962">
        <v>0</v>
      </c>
      <c r="O3962">
        <v>-0.97955420000000004</v>
      </c>
      <c r="P3962">
        <v>-0.336752</v>
      </c>
      <c r="Q3962">
        <v>-1.559869E-2</v>
      </c>
      <c r="R3962">
        <v>-0.94146459999999998</v>
      </c>
      <c r="S3962">
        <v>-1.4901279999999999</v>
      </c>
      <c r="T3962">
        <v>-5.9565659999999999E-2</v>
      </c>
      <c r="U3962">
        <v>-2.653931</v>
      </c>
      <c r="V3962">
        <v>0.14061199999999999</v>
      </c>
      <c r="W3962">
        <v>-7.6076340000000003E-3</v>
      </c>
      <c r="X3962">
        <v>0.99003549999999996</v>
      </c>
      <c r="Y3962">
        <v>0.3042319</v>
      </c>
      <c r="Z3962">
        <v>1.9780289999999999E-2</v>
      </c>
      <c r="AA3962">
        <v>0.95239260000000003</v>
      </c>
      <c r="AB3962">
        <v>24</v>
      </c>
      <c r="AC3962">
        <v>-28.918900000000001</v>
      </c>
      <c r="AD3962">
        <v>-1.1578469999999901</v>
      </c>
      <c r="AE3962">
        <v>-51.375799999999998</v>
      </c>
      <c r="AF3962">
        <v>17.995142088413299</v>
      </c>
      <c r="AG3962">
        <v>-1.1578469999999901</v>
      </c>
      <c r="AH3962">
        <v>56.118364152410798</v>
      </c>
      <c r="AI3962">
        <v>91.125536407740995</v>
      </c>
      <c r="AJ3962">
        <v>72.220821763441705</v>
      </c>
      <c r="AK3962">
        <v>58.944351244204697</v>
      </c>
      <c r="AL3962">
        <v>90.435889546327402</v>
      </c>
      <c r="AM3962">
        <v>81.916502525574202</v>
      </c>
      <c r="AN3962">
        <v>0.99999995094966199</v>
      </c>
    </row>
    <row r="3963" spans="1:40" x14ac:dyDescent="0.25">
      <c r="A3963" t="str">
        <f>"20190312161046967"</f>
        <v>20190312161046967</v>
      </c>
      <c r="B3963" t="str">
        <f>"1552378246960321"</f>
        <v>1552378246960321</v>
      </c>
      <c r="C3963" t="s">
        <v>40</v>
      </c>
      <c r="D3963">
        <v>5.8075400000000004</v>
      </c>
      <c r="E3963">
        <v>0.51626130000000003</v>
      </c>
      <c r="F3963" t="s">
        <v>43</v>
      </c>
      <c r="G3963">
        <v>-220.26750000000001</v>
      </c>
      <c r="H3963">
        <v>-0.05</v>
      </c>
      <c r="I3963">
        <v>114.7769</v>
      </c>
      <c r="J3963">
        <v>-191.87360000000001</v>
      </c>
      <c r="K3963">
        <v>1.107912</v>
      </c>
      <c r="L3963">
        <v>164.89490000000001</v>
      </c>
      <c r="M3963">
        <v>-0.20373359999999999</v>
      </c>
      <c r="N3963">
        <v>0</v>
      </c>
      <c r="O3963">
        <v>-0.97898300000000005</v>
      </c>
      <c r="P3963">
        <v>-0.3402037</v>
      </c>
      <c r="Q3963">
        <v>-1.6977550000000001E-2</v>
      </c>
      <c r="R3963">
        <v>-0.9401988</v>
      </c>
      <c r="S3963">
        <v>-1.4969790000000001</v>
      </c>
      <c r="T3963">
        <v>-6.0930970000000001E-2</v>
      </c>
      <c r="U3963">
        <v>-2.6500699999999999</v>
      </c>
      <c r="V3963">
        <v>0.14147390000000001</v>
      </c>
      <c r="W3963">
        <v>-8.4732030000000003E-3</v>
      </c>
      <c r="X3963">
        <v>0.9899057</v>
      </c>
      <c r="Y3963">
        <v>0.30402230000000002</v>
      </c>
      <c r="Z3963">
        <v>2.0230270000000002E-2</v>
      </c>
      <c r="AA3963">
        <v>0.95245009999999997</v>
      </c>
      <c r="AB3963">
        <v>24</v>
      </c>
      <c r="AC3963">
        <v>-28.393899999999999</v>
      </c>
      <c r="AD3963">
        <v>-1.1579120000000001</v>
      </c>
      <c r="AE3963">
        <v>-50.118000000000002</v>
      </c>
      <c r="AF3963">
        <v>17.580067666934301</v>
      </c>
      <c r="AG3963">
        <v>-1.1579120000000001</v>
      </c>
      <c r="AH3963">
        <v>54.829634378669098</v>
      </c>
      <c r="AI3963">
        <v>91.152060057028294</v>
      </c>
      <c r="AJ3963">
        <v>72.222551155924705</v>
      </c>
      <c r="AK3963">
        <v>57.590696692020202</v>
      </c>
      <c r="AL3963">
        <v>90.485484591275906</v>
      </c>
      <c r="AM3963">
        <v>81.866562394274894</v>
      </c>
      <c r="AN3963">
        <v>0.999999977221389</v>
      </c>
    </row>
    <row r="3964" spans="1:40" x14ac:dyDescent="0.25">
      <c r="A3964" t="str">
        <f>"20190312161046990"</f>
        <v>20190312161046990</v>
      </c>
      <c r="B3964" t="str">
        <f>"1552378246980816"</f>
        <v>1552378246980816</v>
      </c>
      <c r="C3964" t="s">
        <v>40</v>
      </c>
      <c r="D3964">
        <v>6.462701</v>
      </c>
      <c r="E3964">
        <v>0.51263429999999999</v>
      </c>
      <c r="F3964" t="s">
        <v>42</v>
      </c>
      <c r="G3964">
        <v>-192.2148</v>
      </c>
      <c r="H3964">
        <v>0.97508410000000001</v>
      </c>
      <c r="I3964">
        <v>164.06620000000001</v>
      </c>
      <c r="J3964">
        <v>-191.928</v>
      </c>
      <c r="K3964">
        <v>1.1079749999999999</v>
      </c>
      <c r="L3964">
        <v>164.65029999999999</v>
      </c>
      <c r="M3964">
        <v>-0.20658660000000001</v>
      </c>
      <c r="N3964">
        <v>0</v>
      </c>
      <c r="O3964">
        <v>-0.9783792</v>
      </c>
      <c r="P3964">
        <v>-0.34460730000000001</v>
      </c>
      <c r="Q3964">
        <v>-1.878784E-2</v>
      </c>
      <c r="R3964">
        <v>-0.93855909999999998</v>
      </c>
      <c r="S3964">
        <v>-1.1403350000000001</v>
      </c>
      <c r="T3964">
        <v>-0.44397910000000002</v>
      </c>
      <c r="U3964">
        <v>-2.770187</v>
      </c>
      <c r="V3964">
        <v>0.1432281</v>
      </c>
      <c r="W3964">
        <v>-9.7088150000000008E-3</v>
      </c>
      <c r="X3964">
        <v>0.98964209999999997</v>
      </c>
      <c r="Y3964">
        <v>0.1772379</v>
      </c>
      <c r="Z3964">
        <v>0.14619560000000001</v>
      </c>
      <c r="AA3964">
        <v>0.97324900000000003</v>
      </c>
      <c r="AB3964">
        <v>24</v>
      </c>
      <c r="AC3964">
        <v>-0.286799999999999</v>
      </c>
      <c r="AD3964">
        <v>-0.13289089999999901</v>
      </c>
      <c r="AE3964">
        <v>-0.58409999999997797</v>
      </c>
      <c r="AF3964">
        <v>0.15353603741751401</v>
      </c>
      <c r="AG3964">
        <v>-0.13289089999999901</v>
      </c>
      <c r="AH3964">
        <v>0.60549700716485799</v>
      </c>
      <c r="AI3964">
        <v>102.010122353803</v>
      </c>
      <c r="AJ3964">
        <v>75.771390669402095</v>
      </c>
      <c r="AK3964">
        <v>0.63863912483834195</v>
      </c>
      <c r="AL3964">
        <v>90.556282853150606</v>
      </c>
      <c r="AM3964">
        <v>81.764923501648994</v>
      </c>
      <c r="AN3964">
        <v>1.0000000179053601</v>
      </c>
    </row>
    <row r="3965" spans="1:40" x14ac:dyDescent="0.25">
      <c r="A3965" t="str">
        <f>"20190312161047010"</f>
        <v>20190312161047010</v>
      </c>
      <c r="B3965" t="str">
        <f>"1552378247000335"</f>
        <v>1552378247000335</v>
      </c>
      <c r="C3965" t="s">
        <v>40</v>
      </c>
      <c r="D3965">
        <v>5.5626410000000002</v>
      </c>
      <c r="E3965">
        <v>0.51171390000000005</v>
      </c>
      <c r="F3965" t="s">
        <v>42</v>
      </c>
      <c r="G3965">
        <v>-192.249</v>
      </c>
      <c r="H3965">
        <v>0.97121690000000005</v>
      </c>
      <c r="I3965">
        <v>163.85939999999999</v>
      </c>
      <c r="J3965">
        <v>-191.97499999999999</v>
      </c>
      <c r="K3965">
        <v>1.108025</v>
      </c>
      <c r="L3965">
        <v>164.4419</v>
      </c>
      <c r="M3965">
        <v>-0.20906169999999999</v>
      </c>
      <c r="N3965">
        <v>0</v>
      </c>
      <c r="O3965">
        <v>-0.9778481</v>
      </c>
      <c r="P3965">
        <v>-0.34885179999999999</v>
      </c>
      <c r="Q3965">
        <v>-2.013158E-2</v>
      </c>
      <c r="R3965">
        <v>-0.93696179999999996</v>
      </c>
      <c r="S3965">
        <v>-1.125381</v>
      </c>
      <c r="T3965">
        <v>-0.47951510000000003</v>
      </c>
      <c r="U3965">
        <v>-2.7736209999999999</v>
      </c>
      <c r="V3965">
        <v>0.145203</v>
      </c>
      <c r="W3965">
        <v>-1.0568799999999901E-2</v>
      </c>
      <c r="X3965">
        <v>0.98934540000000004</v>
      </c>
      <c r="Y3965">
        <v>0.1691493</v>
      </c>
      <c r="Z3965">
        <v>0.1575666</v>
      </c>
      <c r="AA3965">
        <v>0.97291380000000005</v>
      </c>
      <c r="AB3965">
        <v>24</v>
      </c>
      <c r="AC3965">
        <v>-0.274000000000029</v>
      </c>
      <c r="AD3965">
        <v>-0.13680809999999999</v>
      </c>
      <c r="AE3965">
        <v>-0.58250000000001001</v>
      </c>
      <c r="AF3965">
        <v>0.13984338362447099</v>
      </c>
      <c r="AG3965">
        <v>-0.13680809999999999</v>
      </c>
      <c r="AH3965">
        <v>0.59982057229993502</v>
      </c>
      <c r="AI3965">
        <v>102.52348648775499</v>
      </c>
      <c r="AJ3965">
        <v>76.876373263797007</v>
      </c>
      <c r="AK3965">
        <v>0.63091786083718804</v>
      </c>
      <c r="AL3965">
        <v>90.605558929134702</v>
      </c>
      <c r="AM3965">
        <v>81.650495408177804</v>
      </c>
      <c r="AN3965">
        <v>0.99999996562179905</v>
      </c>
    </row>
    <row r="3966" spans="1:40" x14ac:dyDescent="0.25">
      <c r="A3966" t="str">
        <f>"20190312161047033"</f>
        <v>20190312161047033</v>
      </c>
      <c r="B3966" t="str">
        <f>"1552378247020832"</f>
        <v>1552378247020832</v>
      </c>
      <c r="C3966" t="s">
        <v>40</v>
      </c>
      <c r="D3966">
        <v>5.5549239999999998</v>
      </c>
      <c r="E3966">
        <v>0.51004289999999997</v>
      </c>
      <c r="F3966" t="s">
        <v>42</v>
      </c>
      <c r="G3966">
        <v>-192.2962</v>
      </c>
      <c r="H3966">
        <v>0.96778690000000001</v>
      </c>
      <c r="I3966">
        <v>163.6551</v>
      </c>
      <c r="J3966">
        <v>-192.02799999999999</v>
      </c>
      <c r="K3966">
        <v>1.108066</v>
      </c>
      <c r="L3966">
        <v>164.2098</v>
      </c>
      <c r="M3966">
        <v>-0.21186279999999999</v>
      </c>
      <c r="N3966">
        <v>0</v>
      </c>
      <c r="O3966">
        <v>-0.97723919999999997</v>
      </c>
      <c r="P3966">
        <v>-0.35310619999999998</v>
      </c>
      <c r="Q3966">
        <v>-2.0091029999999999E-2</v>
      </c>
      <c r="R3966">
        <v>-0.93536779999999997</v>
      </c>
      <c r="S3966">
        <v>-1.1307069999999999</v>
      </c>
      <c r="T3966">
        <v>-0.49368919999999999</v>
      </c>
      <c r="U3966">
        <v>-2.7702330000000002</v>
      </c>
      <c r="V3966">
        <v>0.1468642</v>
      </c>
      <c r="W3966">
        <v>-1.002225E-2</v>
      </c>
      <c r="X3966">
        <v>0.98910589999999998</v>
      </c>
      <c r="Y3966">
        <v>0.16805999999999999</v>
      </c>
      <c r="Z3966">
        <v>0.16208880000000001</v>
      </c>
      <c r="AA3966">
        <v>0.97235950000000004</v>
      </c>
      <c r="AB3966">
        <v>24</v>
      </c>
      <c r="AC3966">
        <v>-0.26820000000000699</v>
      </c>
      <c r="AD3966">
        <v>-0.14027909999999999</v>
      </c>
      <c r="AE3966">
        <v>-0.55469999999999597</v>
      </c>
      <c r="AF3966">
        <v>0.137458445600915</v>
      </c>
      <c r="AG3966">
        <v>-0.14027909999999999</v>
      </c>
      <c r="AH3966">
        <v>0.56941512640694103</v>
      </c>
      <c r="AI3966">
        <v>103.467420829763</v>
      </c>
      <c r="AJ3966">
        <v>76.428290084353307</v>
      </c>
      <c r="AK3966">
        <v>0.60233432273519205</v>
      </c>
      <c r="AL3966">
        <v>90.574242234053401</v>
      </c>
      <c r="AM3966">
        <v>81.5543269882712</v>
      </c>
      <c r="AN3966">
        <v>1.00000001007575</v>
      </c>
    </row>
    <row r="3967" spans="1:40" x14ac:dyDescent="0.25">
      <c r="A3967" t="str">
        <f>"20190312161047056"</f>
        <v>20190312161047056</v>
      </c>
      <c r="B3967" t="str">
        <f>"1552378247050112"</f>
        <v>1552378247050112</v>
      </c>
      <c r="C3967" t="s">
        <v>40</v>
      </c>
      <c r="D3967">
        <v>5.6009449999999896</v>
      </c>
      <c r="E3967">
        <v>0.51031479999999996</v>
      </c>
      <c r="F3967" t="s">
        <v>42</v>
      </c>
      <c r="G3967">
        <v>-192.3287</v>
      </c>
      <c r="H3967">
        <v>0.91108060000000002</v>
      </c>
      <c r="I3967">
        <v>163.47370000000001</v>
      </c>
      <c r="J3967">
        <v>-192.0838</v>
      </c>
      <c r="K3967">
        <v>1.108085</v>
      </c>
      <c r="L3967">
        <v>163.9691</v>
      </c>
      <c r="M3967">
        <v>-0.21481410000000001</v>
      </c>
      <c r="N3967">
        <v>0</v>
      </c>
      <c r="O3967">
        <v>-0.97658889999999998</v>
      </c>
      <c r="P3967">
        <v>-0.3574193</v>
      </c>
      <c r="Q3967">
        <v>-2.0144760000000001E-2</v>
      </c>
      <c r="R3967">
        <v>-0.93372659999999996</v>
      </c>
      <c r="S3967">
        <v>-1.1289370000000001</v>
      </c>
      <c r="T3967">
        <v>-0.73988269999999901</v>
      </c>
      <c r="U3967">
        <v>-2.7651979999999998</v>
      </c>
      <c r="V3967">
        <v>0.14844079999999901</v>
      </c>
      <c r="W3967">
        <v>-9.6007019999999992E-3</v>
      </c>
      <c r="X3967">
        <v>0.9888747</v>
      </c>
      <c r="Y3967">
        <v>0.15906719999999999</v>
      </c>
      <c r="Z3967">
        <v>0.23920130000000001</v>
      </c>
      <c r="AA3967">
        <v>0.95785189999999998</v>
      </c>
      <c r="AB3967">
        <v>24</v>
      </c>
      <c r="AC3967">
        <v>-0.24490000000000101</v>
      </c>
      <c r="AD3967">
        <v>-0.1970044</v>
      </c>
      <c r="AE3967">
        <v>-0.49539999999998902</v>
      </c>
      <c r="AF3967">
        <v>0.117787511860533</v>
      </c>
      <c r="AG3967">
        <v>-0.1970044</v>
      </c>
      <c r="AH3967">
        <v>0.47595856533493802</v>
      </c>
      <c r="AI3967">
        <v>111.88977404829301</v>
      </c>
      <c r="AJ3967">
        <v>76.100036851698803</v>
      </c>
      <c r="AK3967">
        <v>0.52841384111825396</v>
      </c>
      <c r="AL3967">
        <v>90.550088151129401</v>
      </c>
      <c r="AM3967">
        <v>81.463024245226293</v>
      </c>
      <c r="AN3967">
        <v>1.0000000084418099</v>
      </c>
    </row>
    <row r="3968" spans="1:40" x14ac:dyDescent="0.25">
      <c r="A3968" t="str">
        <f>"20190312161047078"</f>
        <v>20190312161047078</v>
      </c>
      <c r="B3968" t="str">
        <f>"1552378247070613"</f>
        <v>1552378247070613</v>
      </c>
      <c r="C3968" t="s">
        <v>40</v>
      </c>
      <c r="D3968">
        <v>5.5559029999999998</v>
      </c>
      <c r="E3968">
        <v>0.5089321</v>
      </c>
      <c r="F3968" t="s">
        <v>42</v>
      </c>
      <c r="G3968">
        <v>-192.3749</v>
      </c>
      <c r="H3968">
        <v>0.91468640000000001</v>
      </c>
      <c r="I3968">
        <v>163.26679999999999</v>
      </c>
      <c r="J3968">
        <v>-192.13509999999999</v>
      </c>
      <c r="K3968">
        <v>1.1080859999999999</v>
      </c>
      <c r="L3968">
        <v>163.7508</v>
      </c>
      <c r="M3968">
        <v>-0.2175396</v>
      </c>
      <c r="N3968">
        <v>0</v>
      </c>
      <c r="O3968">
        <v>-0.97598059999999998</v>
      </c>
      <c r="P3968">
        <v>-0.36178630000000001</v>
      </c>
      <c r="Q3968">
        <v>-2.1080580000000002E-2</v>
      </c>
      <c r="R3968">
        <v>-0.93202300000000005</v>
      </c>
      <c r="S3968">
        <v>-1.1434169999999999</v>
      </c>
      <c r="T3968">
        <v>-0.75962759999999996</v>
      </c>
      <c r="U3968">
        <v>-2.7588499999999998</v>
      </c>
      <c r="V3968">
        <v>0.1503089</v>
      </c>
      <c r="W3968">
        <v>-1.015253E-2</v>
      </c>
      <c r="X3968">
        <v>0.98858699999999999</v>
      </c>
      <c r="Y3968">
        <v>0.16079350000000001</v>
      </c>
      <c r="Z3968">
        <v>0.24520020000000001</v>
      </c>
      <c r="AA3968">
        <v>0.95604520000000004</v>
      </c>
      <c r="AB3968">
        <v>23</v>
      </c>
      <c r="AC3968">
        <v>-0.23980000000000201</v>
      </c>
      <c r="AD3968">
        <v>-0.1933996</v>
      </c>
      <c r="AE3968">
        <v>-0.48400000000000798</v>
      </c>
      <c r="AF3968">
        <v>0.114128684698348</v>
      </c>
      <c r="AG3968">
        <v>-0.1933996</v>
      </c>
      <c r="AH3968">
        <v>0.46496833500050999</v>
      </c>
      <c r="AI3968">
        <v>111.99628401373501</v>
      </c>
      <c r="AJ3968">
        <v>76.209122249737504</v>
      </c>
      <c r="AK3968">
        <v>0.51635677056109297</v>
      </c>
      <c r="AL3968">
        <v>90.581707085924904</v>
      </c>
      <c r="AM3968">
        <v>81.354723258971305</v>
      </c>
      <c r="AN3968">
        <v>1.0000000479268001</v>
      </c>
    </row>
    <row r="3969" spans="1:40" x14ac:dyDescent="0.25">
      <c r="A3969" t="str">
        <f>"20190312161047102"</f>
        <v>20190312161047102</v>
      </c>
      <c r="B3969" t="str">
        <f>"1552378247090129"</f>
        <v>1552378247090129</v>
      </c>
      <c r="C3969" t="s">
        <v>40</v>
      </c>
      <c r="D3969">
        <v>5.5510539999999997</v>
      </c>
      <c r="E3969">
        <v>0.5081137</v>
      </c>
      <c r="F3969" t="s">
        <v>42</v>
      </c>
      <c r="G3969">
        <v>-192.4239</v>
      </c>
      <c r="H3969">
        <v>0.92795260000000002</v>
      </c>
      <c r="I3969">
        <v>163.05629999999999</v>
      </c>
      <c r="J3969">
        <v>-192.19300000000001</v>
      </c>
      <c r="K3969">
        <v>1.108082</v>
      </c>
      <c r="L3969">
        <v>163.5078</v>
      </c>
      <c r="M3969">
        <v>-0.22063659999999999</v>
      </c>
      <c r="N3969">
        <v>0</v>
      </c>
      <c r="O3969">
        <v>-0.97528020000000004</v>
      </c>
      <c r="P3969">
        <v>-0.36618220000000001</v>
      </c>
      <c r="Q3969">
        <v>-2.2604019999999999E-2</v>
      </c>
      <c r="R3969">
        <v>-0.93026889999999995</v>
      </c>
      <c r="S3969">
        <v>-1.145996</v>
      </c>
      <c r="T3969">
        <v>-0.71514299999999997</v>
      </c>
      <c r="U3969">
        <v>-2.7578130000000001</v>
      </c>
      <c r="V3969">
        <v>0.1518379</v>
      </c>
      <c r="W3969">
        <v>-1.129198E-2</v>
      </c>
      <c r="X3969">
        <v>0.98834089999999997</v>
      </c>
      <c r="Y3969">
        <v>0.1598658</v>
      </c>
      <c r="Z3969">
        <v>0.23149069999999999</v>
      </c>
      <c r="AA3969">
        <v>0.95961189999999996</v>
      </c>
      <c r="AB3969">
        <v>23</v>
      </c>
      <c r="AC3969">
        <v>-0.23090000000001901</v>
      </c>
      <c r="AD3969">
        <v>-0.1801294</v>
      </c>
      <c r="AE3969">
        <v>-0.45150000000001</v>
      </c>
      <c r="AF3969">
        <v>0.111514372386033</v>
      </c>
      <c r="AG3969">
        <v>-0.1801294</v>
      </c>
      <c r="AH3969">
        <v>0.436275739390865</v>
      </c>
      <c r="AI3969">
        <v>111.802348667866</v>
      </c>
      <c r="AJ3969">
        <v>75.661891519077699</v>
      </c>
      <c r="AK3969">
        <v>0.48499337807237802</v>
      </c>
      <c r="AL3969">
        <v>90.646996549283799</v>
      </c>
      <c r="AM3969">
        <v>81.265988159439402</v>
      </c>
      <c r="AN3969">
        <v>0.99999999565077002</v>
      </c>
    </row>
    <row r="3970" spans="1:40" x14ac:dyDescent="0.25">
      <c r="A3970" t="str">
        <f>"20190312161047124"</f>
        <v>20190312161047124</v>
      </c>
      <c r="B3970" t="str">
        <f>"1552378247120384"</f>
        <v>1552378247120384</v>
      </c>
      <c r="C3970" t="s">
        <v>40</v>
      </c>
      <c r="D3970">
        <v>5.5713280000000003</v>
      </c>
      <c r="E3970">
        <v>0.50742410000000004</v>
      </c>
      <c r="F3970" t="s">
        <v>42</v>
      </c>
      <c r="G3970">
        <v>-192.47020000000001</v>
      </c>
      <c r="H3970">
        <v>0.94189500000000004</v>
      </c>
      <c r="I3970">
        <v>162.84540000000001</v>
      </c>
      <c r="J3970">
        <v>-192.2473</v>
      </c>
      <c r="K3970">
        <v>1.1080680000000001</v>
      </c>
      <c r="L3970">
        <v>163.28389999999999</v>
      </c>
      <c r="M3970">
        <v>-0.2235618</v>
      </c>
      <c r="N3970">
        <v>0</v>
      </c>
      <c r="O3970">
        <v>-0.97460939999999996</v>
      </c>
      <c r="P3970">
        <v>-0.36977389999999999</v>
      </c>
      <c r="Q3970">
        <v>-2.2895559999999999E-2</v>
      </c>
      <c r="R3970">
        <v>-0.92883959999999999</v>
      </c>
      <c r="S3970">
        <v>-1.152374</v>
      </c>
      <c r="T3970">
        <v>-0.69105399999999995</v>
      </c>
      <c r="U3970">
        <v>-2.7544710000000001</v>
      </c>
      <c r="V3970">
        <v>0.1526912</v>
      </c>
      <c r="W3970">
        <v>-1.126975E-2</v>
      </c>
      <c r="X3970">
        <v>0.98820969999999997</v>
      </c>
      <c r="Y3970">
        <v>0.159894799999999</v>
      </c>
      <c r="Z3970">
        <v>0.22403529999999999</v>
      </c>
      <c r="AA3970">
        <v>0.96137490000000003</v>
      </c>
      <c r="AB3970">
        <v>23</v>
      </c>
      <c r="AC3970">
        <v>-0.22290000000000901</v>
      </c>
      <c r="AD3970">
        <v>-0.16617299999999999</v>
      </c>
      <c r="AE3970">
        <v>-0.43849999999997602</v>
      </c>
      <c r="AF3970">
        <v>0.107006266286697</v>
      </c>
      <c r="AG3970">
        <v>-0.16617299999999999</v>
      </c>
      <c r="AH3970">
        <v>0.42835162912985703</v>
      </c>
      <c r="AI3970">
        <v>110.624833612253</v>
      </c>
      <c r="AJ3970">
        <v>75.974034826066401</v>
      </c>
      <c r="AK3970">
        <v>0.47175091428827398</v>
      </c>
      <c r="AL3970">
        <v>90.645722773460903</v>
      </c>
      <c r="AM3970">
        <v>81.216519992000201</v>
      </c>
      <c r="AN3970">
        <v>1.00000001049829</v>
      </c>
    </row>
    <row r="3971" spans="1:40" x14ac:dyDescent="0.25">
      <c r="A3971" t="str">
        <f>"20190312161047145"</f>
        <v>20190312161047145</v>
      </c>
      <c r="B3971" t="str">
        <f>"1552378247140880"</f>
        <v>1552378247140880</v>
      </c>
      <c r="C3971" t="s">
        <v>40</v>
      </c>
      <c r="D3971">
        <v>5.6222899999999996</v>
      </c>
      <c r="E3971">
        <v>0.50733760000000006</v>
      </c>
      <c r="F3971" t="s">
        <v>42</v>
      </c>
      <c r="G3971">
        <v>-192.51849999999999</v>
      </c>
      <c r="H3971">
        <v>0.946353</v>
      </c>
      <c r="I3971">
        <v>162.6397</v>
      </c>
      <c r="J3971">
        <v>-192.3004</v>
      </c>
      <c r="K3971">
        <v>1.1080369999999999</v>
      </c>
      <c r="L3971">
        <v>163.0676</v>
      </c>
      <c r="M3971">
        <v>-0.2264574</v>
      </c>
      <c r="N3971">
        <v>0</v>
      </c>
      <c r="O3971">
        <v>-0.9739371</v>
      </c>
      <c r="P3971">
        <v>-0.37447649999999999</v>
      </c>
      <c r="Q3971">
        <v>-2.3032569999999999E-2</v>
      </c>
      <c r="R3971">
        <v>-0.92695059999999996</v>
      </c>
      <c r="S3971">
        <v>-1.1581729999999999</v>
      </c>
      <c r="T3971">
        <v>-0.69070819999999999</v>
      </c>
      <c r="U3971">
        <v>-2.7517550000000002</v>
      </c>
      <c r="V3971">
        <v>0.15476129999999999</v>
      </c>
      <c r="W3971">
        <v>-1.1152189999999999E-2</v>
      </c>
      <c r="X3971">
        <v>0.98788889999999996</v>
      </c>
      <c r="Y3971">
        <v>0.15903689999999901</v>
      </c>
      <c r="Z3971">
        <v>0.2238308</v>
      </c>
      <c r="AA3971">
        <v>0.96156489999999994</v>
      </c>
      <c r="AB3971">
        <v>23</v>
      </c>
      <c r="AC3971">
        <v>-0.21809999999999199</v>
      </c>
      <c r="AD3971">
        <v>-0.16168399999999999</v>
      </c>
      <c r="AE3971">
        <v>-0.42789999999999401</v>
      </c>
      <c r="AF3971">
        <v>0.10376425460178</v>
      </c>
      <c r="AG3971">
        <v>-0.16168399999999999</v>
      </c>
      <c r="AH3971">
        <v>0.418721818785186</v>
      </c>
      <c r="AI3971">
        <v>110.54600386867401</v>
      </c>
      <c r="AJ3971">
        <v>76.081810739861794</v>
      </c>
      <c r="AK3971">
        <v>0.46069154313470601</v>
      </c>
      <c r="AL3971">
        <v>90.638986693801797</v>
      </c>
      <c r="AM3971">
        <v>81.096488705603903</v>
      </c>
      <c r="AN3971">
        <v>0.99999995503134698</v>
      </c>
    </row>
    <row r="3972" spans="1:40" x14ac:dyDescent="0.25">
      <c r="A3972" t="str">
        <f>"20190312161047168"</f>
        <v>20190312161047168</v>
      </c>
      <c r="B3972" t="str">
        <f>"1552378247160399"</f>
        <v>1552378247160399</v>
      </c>
      <c r="C3972" t="s">
        <v>40</v>
      </c>
      <c r="D3972">
        <v>5.6319679999999996</v>
      </c>
      <c r="E3972">
        <v>0.5075364</v>
      </c>
      <c r="F3972" t="s">
        <v>42</v>
      </c>
      <c r="G3972">
        <v>-192.6454</v>
      </c>
      <c r="H3972">
        <v>0.90503239999999996</v>
      </c>
      <c r="I3972">
        <v>162.25909999999999</v>
      </c>
      <c r="J3972">
        <v>-192.35910000000001</v>
      </c>
      <c r="K3972">
        <v>1.108006</v>
      </c>
      <c r="L3972">
        <v>162.8323</v>
      </c>
      <c r="M3972">
        <v>-0.2296822</v>
      </c>
      <c r="N3972">
        <v>0</v>
      </c>
      <c r="O3972">
        <v>-0.97317819999999999</v>
      </c>
      <c r="P3972">
        <v>-0.37894499999999998</v>
      </c>
      <c r="Q3972">
        <v>-2.3923409999999999E-2</v>
      </c>
      <c r="R3972">
        <v>-0.92511030000000005</v>
      </c>
      <c r="S3972">
        <v>-1.1717379999999999</v>
      </c>
      <c r="T3972">
        <v>-0.68946960000000002</v>
      </c>
      <c r="U3972">
        <v>-2.7458800000000001</v>
      </c>
      <c r="V3972">
        <v>0.1562558</v>
      </c>
      <c r="W3972">
        <v>-1.1801259999999999E-2</v>
      </c>
      <c r="X3972">
        <v>0.98764609999999997</v>
      </c>
      <c r="Y3972">
        <v>0.160566299999999</v>
      </c>
      <c r="Z3972">
        <v>0.22339120000000001</v>
      </c>
      <c r="AA3972">
        <v>0.96141290000000001</v>
      </c>
      <c r="AB3972">
        <v>23</v>
      </c>
      <c r="AC3972">
        <v>-0.28629999999998201</v>
      </c>
      <c r="AD3972">
        <v>-0.2029736</v>
      </c>
      <c r="AE3972">
        <v>-0.57320000000001403</v>
      </c>
      <c r="AF3972">
        <v>0.13357472022891001</v>
      </c>
      <c r="AG3972">
        <v>-0.2029736</v>
      </c>
      <c r="AH3972">
        <v>0.56675974721251698</v>
      </c>
      <c r="AI3972">
        <v>109.217515355603</v>
      </c>
      <c r="AJ3972">
        <v>76.738457305245106</v>
      </c>
      <c r="AK3972">
        <v>0.61664990005803699</v>
      </c>
      <c r="AL3972">
        <v>90.676178099048101</v>
      </c>
      <c r="AM3972">
        <v>81.009732795411395</v>
      </c>
      <c r="AN3972">
        <v>0.99999998180821803</v>
      </c>
    </row>
    <row r="3973" spans="1:40" x14ac:dyDescent="0.25">
      <c r="A3973" t="str">
        <f>"20190312161047190"</f>
        <v>20190312161047190</v>
      </c>
      <c r="B3973" t="str">
        <f>"1552378247180895"</f>
        <v>1552378247180895</v>
      </c>
      <c r="C3973" t="s">
        <v>40</v>
      </c>
      <c r="D3973">
        <v>5.7451559999999997</v>
      </c>
      <c r="E3973">
        <v>0.50773559999999995</v>
      </c>
      <c r="F3973" t="s">
        <v>42</v>
      </c>
      <c r="G3973">
        <v>-192.69589999999999</v>
      </c>
      <c r="H3973">
        <v>0.91057860000000002</v>
      </c>
      <c r="I3973">
        <v>162.05500000000001</v>
      </c>
      <c r="J3973">
        <v>-192.4177</v>
      </c>
      <c r="K3973">
        <v>1.107985</v>
      </c>
      <c r="L3973">
        <v>162.60079999999999</v>
      </c>
      <c r="M3973">
        <v>-0.23291519999999999</v>
      </c>
      <c r="N3973">
        <v>0</v>
      </c>
      <c r="O3973">
        <v>-0.97240629999999995</v>
      </c>
      <c r="P3973">
        <v>-0.38342480000000001</v>
      </c>
      <c r="Q3973">
        <v>-2.442517E-2</v>
      </c>
      <c r="R3973">
        <v>-0.9232494</v>
      </c>
      <c r="S3973">
        <v>-1.186493</v>
      </c>
      <c r="T3973">
        <v>-0.6956272</v>
      </c>
      <c r="U3973">
        <v>-2.738861</v>
      </c>
      <c r="V3973">
        <v>0.15776029999999999</v>
      </c>
      <c r="W3973">
        <v>-1.209757E-2</v>
      </c>
      <c r="X3973">
        <v>0.98740329999999998</v>
      </c>
      <c r="Y3973">
        <v>0.16236639999999999</v>
      </c>
      <c r="Z3973">
        <v>0.22527140000000001</v>
      </c>
      <c r="AA3973">
        <v>0.96067159999999996</v>
      </c>
      <c r="AB3973">
        <v>23</v>
      </c>
      <c r="AC3973">
        <v>-0.278199999999998</v>
      </c>
      <c r="AD3973">
        <v>-0.19740640000000001</v>
      </c>
      <c r="AE3973">
        <v>-0.54579999999998496</v>
      </c>
      <c r="AF3973">
        <v>0.12992042565352999</v>
      </c>
      <c r="AG3973">
        <v>-0.19740640000000001</v>
      </c>
      <c r="AH3973">
        <v>0.53956238960573999</v>
      </c>
      <c r="AI3973">
        <v>109.580353918146</v>
      </c>
      <c r="AJ3973">
        <v>76.461556435420505</v>
      </c>
      <c r="AK3973">
        <v>0.58904683688142401</v>
      </c>
      <c r="AL3973">
        <v>90.693156632138198</v>
      </c>
      <c r="AM3973">
        <v>80.922409971917304</v>
      </c>
      <c r="AN3973">
        <v>0.999999970153442</v>
      </c>
    </row>
    <row r="3974" spans="1:40" x14ac:dyDescent="0.25">
      <c r="A3974" t="str">
        <f>"20190312161047211"</f>
        <v>20190312161047211</v>
      </c>
      <c r="B3974" t="str">
        <f>"1552378247200419"</f>
        <v>1552378247200419</v>
      </c>
      <c r="C3974" t="s">
        <v>40</v>
      </c>
      <c r="D3974">
        <v>5.5874769999999998</v>
      </c>
      <c r="E3974">
        <v>0.50825739999999997</v>
      </c>
      <c r="F3974" t="s">
        <v>42</v>
      </c>
      <c r="G3974">
        <v>-192.7474</v>
      </c>
      <c r="H3974">
        <v>0.91644219999999998</v>
      </c>
      <c r="I3974">
        <v>161.85130000000001</v>
      </c>
      <c r="J3974">
        <v>-192.47</v>
      </c>
      <c r="K3974">
        <v>1.10797099999999</v>
      </c>
      <c r="L3974">
        <v>162.3972</v>
      </c>
      <c r="M3974">
        <v>-0.2358074</v>
      </c>
      <c r="N3974">
        <v>0</v>
      </c>
      <c r="O3974">
        <v>-0.97170630000000002</v>
      </c>
      <c r="P3974">
        <v>-0.38842470000000001</v>
      </c>
      <c r="Q3974">
        <v>-2.5214629999999998E-2</v>
      </c>
      <c r="R3974">
        <v>-0.9211355</v>
      </c>
      <c r="S3974">
        <v>-1.200928</v>
      </c>
      <c r="T3974">
        <v>-0.69798609999999905</v>
      </c>
      <c r="U3974">
        <v>-2.732208</v>
      </c>
      <c r="V3974">
        <v>0.16017519999999999</v>
      </c>
      <c r="W3974">
        <v>-1.273822E-2</v>
      </c>
      <c r="X3974">
        <v>0.98700639999999995</v>
      </c>
      <c r="Y3974">
        <v>0.16447609999999999</v>
      </c>
      <c r="Z3974">
        <v>0.22597909999999999</v>
      </c>
      <c r="AA3974">
        <v>0.96014639999999996</v>
      </c>
      <c r="AB3974">
        <v>23</v>
      </c>
      <c r="AC3974">
        <v>-0.27739999999999998</v>
      </c>
      <c r="AD3974">
        <v>-0.191528799999999</v>
      </c>
      <c r="AE3974">
        <v>-0.54589999999998895</v>
      </c>
      <c r="AF3974">
        <v>0.12828622072078699</v>
      </c>
      <c r="AG3974">
        <v>-0.191528799999999</v>
      </c>
      <c r="AH3974">
        <v>0.54281617683045902</v>
      </c>
      <c r="AI3974">
        <v>108.95162359243901</v>
      </c>
      <c r="AJ3974">
        <v>76.703007643361403</v>
      </c>
      <c r="AK3974">
        <v>0.58973726140129401</v>
      </c>
      <c r="AL3974">
        <v>90.729865987135398</v>
      </c>
      <c r="AM3974">
        <v>80.782179956343498</v>
      </c>
      <c r="AN3974">
        <v>0.99999999529238404</v>
      </c>
    </row>
    <row r="3975" spans="1:40" x14ac:dyDescent="0.25">
      <c r="A3975" t="str">
        <f>"20190312161047233"</f>
        <v>20190312161047233</v>
      </c>
      <c r="B3975" t="str">
        <f>"1552378247230672"</f>
        <v>1552378247230672</v>
      </c>
      <c r="C3975" t="s">
        <v>40</v>
      </c>
      <c r="D3975">
        <v>5.5794810000000004</v>
      </c>
      <c r="E3975">
        <v>0.55970279999999994</v>
      </c>
      <c r="F3975" t="s">
        <v>42</v>
      </c>
      <c r="G3975">
        <v>-192.80369999999999</v>
      </c>
      <c r="H3975">
        <v>0.91633489999999995</v>
      </c>
      <c r="I3975">
        <v>161.65170000000001</v>
      </c>
      <c r="J3975">
        <v>-192.52860000000001</v>
      </c>
      <c r="K3975">
        <v>1.1079540000000001</v>
      </c>
      <c r="L3975">
        <v>162.17240000000001</v>
      </c>
      <c r="M3975">
        <v>-0.23906060000000001</v>
      </c>
      <c r="N3975">
        <v>0</v>
      </c>
      <c r="O3975">
        <v>-0.97090889999999996</v>
      </c>
      <c r="P3975">
        <v>-0.39349770000000001</v>
      </c>
      <c r="Q3975">
        <v>-2.54646E-2</v>
      </c>
      <c r="R3975">
        <v>-0.91897300000000004</v>
      </c>
      <c r="S3975">
        <v>-1.218567</v>
      </c>
      <c r="T3975">
        <v>-0.69997600000000004</v>
      </c>
      <c r="U3975">
        <v>-2.7238310000000001</v>
      </c>
      <c r="V3975">
        <v>0.1623106</v>
      </c>
      <c r="W3975">
        <v>-1.2844680000000001E-2</v>
      </c>
      <c r="X3975">
        <v>0.98665610000000004</v>
      </c>
      <c r="Y3975">
        <v>0.1673916</v>
      </c>
      <c r="Z3975">
        <v>0.22659560000000001</v>
      </c>
      <c r="AA3975">
        <v>0.95949700000000004</v>
      </c>
      <c r="AB3975">
        <v>23</v>
      </c>
      <c r="AC3975">
        <v>-0.27509999999998003</v>
      </c>
      <c r="AD3975">
        <v>-0.19161909999999999</v>
      </c>
      <c r="AE3975">
        <v>-0.52070000000000405</v>
      </c>
      <c r="AF3975">
        <v>0.128976258444533</v>
      </c>
      <c r="AG3975">
        <v>-0.19161909999999999</v>
      </c>
      <c r="AH3975">
        <v>0.51666929648918403</v>
      </c>
      <c r="AI3975">
        <v>109.790340041867</v>
      </c>
      <c r="AJ3975">
        <v>75.983700037331801</v>
      </c>
      <c r="AK3975">
        <v>0.56595045424647406</v>
      </c>
      <c r="AL3975">
        <v>90.735966200176705</v>
      </c>
      <c r="AM3975">
        <v>80.658185090434401</v>
      </c>
      <c r="AN3975">
        <v>0.99999998817193603</v>
      </c>
    </row>
    <row r="3976" spans="1:40" x14ac:dyDescent="0.25">
      <c r="A3976" t="str">
        <f>"20190312161047257"</f>
        <v>20190312161047257</v>
      </c>
      <c r="B3976" t="str">
        <f>"1552378247250191"</f>
        <v>1552378247250191</v>
      </c>
      <c r="C3976" t="s">
        <v>40</v>
      </c>
      <c r="D3976">
        <v>5.4788050000000004</v>
      </c>
      <c r="E3976">
        <v>0.56524090000000005</v>
      </c>
      <c r="F3976" t="s">
        <v>87</v>
      </c>
      <c r="G3976">
        <v>-198.59899999999999</v>
      </c>
      <c r="H3976" s="1">
        <v>-1.307545E-5</v>
      </c>
      <c r="I3976">
        <v>152.53579999999999</v>
      </c>
      <c r="J3976">
        <v>-192.59010000000001</v>
      </c>
      <c r="K3976">
        <v>1.1079349999999999</v>
      </c>
      <c r="L3976">
        <v>161.93960000000001</v>
      </c>
      <c r="M3976">
        <v>-0.2424954</v>
      </c>
      <c r="N3976">
        <v>0</v>
      </c>
      <c r="O3976">
        <v>-0.97005450000000004</v>
      </c>
      <c r="P3976">
        <v>-0.39765820000000002</v>
      </c>
      <c r="Q3976">
        <v>-2.5363050000000002E-2</v>
      </c>
      <c r="R3976">
        <v>-0.91718299999999997</v>
      </c>
      <c r="S3976">
        <v>-1.61554</v>
      </c>
      <c r="T3976">
        <v>-0.29486760000000001</v>
      </c>
      <c r="U3976">
        <v>-2.5646059999999999</v>
      </c>
      <c r="V3976">
        <v>0.16328870000000001</v>
      </c>
      <c r="W3976">
        <v>-1.2609810000000001E-2</v>
      </c>
      <c r="X3976">
        <v>0.98649779999999998</v>
      </c>
      <c r="Y3976">
        <v>0.309289799999999</v>
      </c>
      <c r="Z3976">
        <v>9.7681669999999998E-2</v>
      </c>
      <c r="AA3976">
        <v>0.94593769999999999</v>
      </c>
      <c r="AB3976">
        <v>23</v>
      </c>
      <c r="AC3976">
        <v>-6.0089000000000103</v>
      </c>
      <c r="AD3976">
        <v>-1.10794807545</v>
      </c>
      <c r="AE3976">
        <v>-9.4038000000000093</v>
      </c>
      <c r="AF3976">
        <v>3.5142803023400702</v>
      </c>
      <c r="AG3976">
        <v>-1.10794807545</v>
      </c>
      <c r="AH3976">
        <v>10.4770653133818</v>
      </c>
      <c r="AI3976">
        <v>95.725341830402897</v>
      </c>
      <c r="AJ3976">
        <v>71.457207190813406</v>
      </c>
      <c r="AK3976">
        <v>11.1061520141846</v>
      </c>
      <c r="AL3976">
        <v>90.722507999665794</v>
      </c>
      <c r="AM3976">
        <v>80.601410545611699</v>
      </c>
      <c r="AN3976">
        <v>1.0000000581303801</v>
      </c>
    </row>
    <row r="3977" spans="1:40" x14ac:dyDescent="0.25">
      <c r="A3977" t="str">
        <f>"20190312161047279"</f>
        <v>20190312161047279</v>
      </c>
      <c r="B3977" t="str">
        <f>"1552378247270691"</f>
        <v>1552378247270691</v>
      </c>
      <c r="C3977" t="s">
        <v>40</v>
      </c>
      <c r="D3977">
        <v>5.5477919999999896</v>
      </c>
      <c r="E3977">
        <v>0.56783009999999901</v>
      </c>
      <c r="F3977" t="s">
        <v>87</v>
      </c>
      <c r="G3977">
        <v>-199.81909999999999</v>
      </c>
      <c r="H3977" s="1">
        <v>-1.277964E-5</v>
      </c>
      <c r="I3977">
        <v>150.93010000000001</v>
      </c>
      <c r="J3977">
        <v>-192.6508</v>
      </c>
      <c r="K3977">
        <v>1.1079159999999999</v>
      </c>
      <c r="L3977">
        <v>161.71360000000001</v>
      </c>
      <c r="M3977">
        <v>-0.24589430000000001</v>
      </c>
      <c r="N3977">
        <v>0</v>
      </c>
      <c r="O3977">
        <v>-0.96919670000000002</v>
      </c>
      <c r="P3977">
        <v>-0.40169579999999999</v>
      </c>
      <c r="Q3977">
        <v>-2.55003E-2</v>
      </c>
      <c r="R3977">
        <v>-0.91541799999999995</v>
      </c>
      <c r="S3977">
        <v>-1.6681520000000001</v>
      </c>
      <c r="T3977">
        <v>-0.25566879999999997</v>
      </c>
      <c r="U3977">
        <v>-2.540543</v>
      </c>
      <c r="V3977">
        <v>0.16417670000000001</v>
      </c>
      <c r="W3977">
        <v>-1.263831E-2</v>
      </c>
      <c r="X3977">
        <v>0.98634999999999995</v>
      </c>
      <c r="Y3977">
        <v>0.32443620000000001</v>
      </c>
      <c r="Z3977">
        <v>8.4705030000000001E-2</v>
      </c>
      <c r="AA3977">
        <v>0.94210729999999998</v>
      </c>
      <c r="AB3977">
        <v>23</v>
      </c>
      <c r="AC3977">
        <v>-7.1682999999999799</v>
      </c>
      <c r="AD3977">
        <v>-1.1079287796399999</v>
      </c>
      <c r="AE3977">
        <v>-10.7835</v>
      </c>
      <c r="AF3977">
        <v>4.2650829246171398</v>
      </c>
      <c r="AG3977">
        <v>-1.1079287796399999</v>
      </c>
      <c r="AH3977">
        <v>12.1263824569935</v>
      </c>
      <c r="AI3977">
        <v>94.926118057184297</v>
      </c>
      <c r="AJ3977">
        <v>70.622241884532897</v>
      </c>
      <c r="AK3977">
        <v>12.902231978533599</v>
      </c>
      <c r="AL3977">
        <v>90.724141087684103</v>
      </c>
      <c r="AM3977">
        <v>80.549827863231101</v>
      </c>
      <c r="AN3977">
        <v>1.0000000191012699</v>
      </c>
    </row>
    <row r="3978" spans="1:40" x14ac:dyDescent="0.25">
      <c r="A3978" t="str">
        <f>"20190312161047303"</f>
        <v>20190312161047303</v>
      </c>
      <c r="B3978" t="str">
        <f>"1552378247300945"</f>
        <v>1552378247300945</v>
      </c>
      <c r="C3978" t="s">
        <v>40</v>
      </c>
      <c r="D3978">
        <v>5.3984199999999998</v>
      </c>
      <c r="E3978">
        <v>0.5713722</v>
      </c>
      <c r="F3978" t="s">
        <v>87</v>
      </c>
      <c r="G3978">
        <v>-200.15440000000001</v>
      </c>
      <c r="H3978" s="1">
        <v>-1.2602539999999999E-5</v>
      </c>
      <c r="I3978">
        <v>150.5583</v>
      </c>
      <c r="J3978">
        <v>-192.71459999999999</v>
      </c>
      <c r="K3978">
        <v>1.107899</v>
      </c>
      <c r="L3978">
        <v>161.4796</v>
      </c>
      <c r="M3978">
        <v>-0.2494729</v>
      </c>
      <c r="N3978">
        <v>0</v>
      </c>
      <c r="O3978">
        <v>-0.96828000000000003</v>
      </c>
      <c r="P3978">
        <v>-0.40575840000000002</v>
      </c>
      <c r="Q3978">
        <v>-2.578569E-2</v>
      </c>
      <c r="R3978">
        <v>-0.9136166</v>
      </c>
      <c r="S3978">
        <v>-1.69838</v>
      </c>
      <c r="T3978">
        <v>-0.25077070000000001</v>
      </c>
      <c r="U3978">
        <v>-2.524918</v>
      </c>
      <c r="V3978">
        <v>0.16491410000000001</v>
      </c>
      <c r="W3978">
        <v>-1.282818E-2</v>
      </c>
      <c r="X3978">
        <v>0.98622449999999995</v>
      </c>
      <c r="Y3978">
        <v>0.33149240000000002</v>
      </c>
      <c r="Z3978">
        <v>8.3044980000000004E-2</v>
      </c>
      <c r="AA3978">
        <v>0.93979590000000002</v>
      </c>
      <c r="AB3978">
        <v>23</v>
      </c>
      <c r="AC3978">
        <v>-7.4398000000000097</v>
      </c>
      <c r="AD3978">
        <v>-1.10791160254</v>
      </c>
      <c r="AE3978">
        <v>-10.9213</v>
      </c>
      <c r="AF3978">
        <v>4.44841411990366</v>
      </c>
      <c r="AG3978">
        <v>-1.10791160254</v>
      </c>
      <c r="AH3978">
        <v>12.345352850427901</v>
      </c>
      <c r="AI3978">
        <v>94.825999806261294</v>
      </c>
      <c r="AJ3978">
        <v>70.184333161710498</v>
      </c>
      <c r="AK3978">
        <v>13.1690391943668</v>
      </c>
      <c r="AL3978">
        <v>90.735020737997303</v>
      </c>
      <c r="AM3978">
        <v>80.506967181260407</v>
      </c>
      <c r="AN3978">
        <v>0.99999999349058599</v>
      </c>
    </row>
    <row r="3979" spans="1:40" x14ac:dyDescent="0.25">
      <c r="A3979" t="str">
        <f>"20190312161047326"</f>
        <v>20190312161047326</v>
      </c>
      <c r="B3979" t="str">
        <f>"1552378247320464"</f>
        <v>1552378247320464</v>
      </c>
      <c r="C3979" t="s">
        <v>40</v>
      </c>
      <c r="D3979">
        <v>5.4933350000000001</v>
      </c>
      <c r="E3979">
        <v>0.57234240000000003</v>
      </c>
      <c r="F3979" t="s">
        <v>87</v>
      </c>
      <c r="G3979">
        <v>-200.49189999999999</v>
      </c>
      <c r="H3979" s="1">
        <v>-1.236009E-5</v>
      </c>
      <c r="I3979">
        <v>150.2484</v>
      </c>
      <c r="J3979">
        <v>-192.77539999999999</v>
      </c>
      <c r="K3979">
        <v>1.107882</v>
      </c>
      <c r="L3979">
        <v>161.26</v>
      </c>
      <c r="M3979">
        <v>-0.25288829999999901</v>
      </c>
      <c r="N3979">
        <v>0</v>
      </c>
      <c r="O3979">
        <v>-0.96739209999999998</v>
      </c>
      <c r="P3979">
        <v>-0.40960679999999999</v>
      </c>
      <c r="Q3979">
        <v>-2.562209E-2</v>
      </c>
      <c r="R3979">
        <v>-0.91190210000000005</v>
      </c>
      <c r="S3979">
        <v>-1.735336</v>
      </c>
      <c r="T3979">
        <v>-0.24720510000000001</v>
      </c>
      <c r="U3979">
        <v>-2.5059969999999998</v>
      </c>
      <c r="V3979">
        <v>0.16559079999999901</v>
      </c>
      <c r="W3979">
        <v>-1.2589639999999999E-2</v>
      </c>
      <c r="X3979">
        <v>0.98611420000000005</v>
      </c>
      <c r="Y3979">
        <v>0.34091830000000001</v>
      </c>
      <c r="Z3979">
        <v>8.1814020000000001E-2</v>
      </c>
      <c r="AA3979">
        <v>0.93652610000000003</v>
      </c>
      <c r="AB3979">
        <v>23</v>
      </c>
      <c r="AC3979">
        <v>-7.7164999999999901</v>
      </c>
      <c r="AD3979">
        <v>-1.10789436009</v>
      </c>
      <c r="AE3979">
        <v>-11.0115999999999</v>
      </c>
      <c r="AF3979">
        <v>4.6490823754235704</v>
      </c>
      <c r="AG3979">
        <v>-1.10789436009</v>
      </c>
      <c r="AH3979">
        <v>12.520209836207099</v>
      </c>
      <c r="AI3979">
        <v>94.742062946205195</v>
      </c>
      <c r="AJ3979">
        <v>69.628717573549395</v>
      </c>
      <c r="AK3979">
        <v>13.401382435750801</v>
      </c>
      <c r="AL3979">
        <v>90.721352284125103</v>
      </c>
      <c r="AM3979">
        <v>80.467680671251301</v>
      </c>
      <c r="AN3979">
        <v>1.0000000137608001</v>
      </c>
    </row>
    <row r="3980" spans="1:40" x14ac:dyDescent="0.25">
      <c r="A3980" t="str">
        <f>"20190312161047347"</f>
        <v>20190312161047347</v>
      </c>
      <c r="B3980" t="str">
        <f>"1552378247340961"</f>
        <v>1552378247340961</v>
      </c>
      <c r="C3980" t="s">
        <v>40</v>
      </c>
      <c r="D3980">
        <v>5.5014760000000003</v>
      </c>
      <c r="E3980">
        <v>0.57271419999999995</v>
      </c>
      <c r="F3980" t="s">
        <v>87</v>
      </c>
      <c r="G3980">
        <v>-201.0607</v>
      </c>
      <c r="H3980" s="1">
        <v>-1.19266699999999E-5</v>
      </c>
      <c r="I3980">
        <v>149.4631</v>
      </c>
      <c r="J3980">
        <v>-192.8372</v>
      </c>
      <c r="K3980">
        <v>1.1078709999999901</v>
      </c>
      <c r="L3980">
        <v>161.0401</v>
      </c>
      <c r="M3980">
        <v>-0.2563588</v>
      </c>
      <c r="N3980">
        <v>0</v>
      </c>
      <c r="O3980">
        <v>-0.96647729999999998</v>
      </c>
      <c r="P3980">
        <v>-0.41366340000000001</v>
      </c>
      <c r="Q3980">
        <v>-2.5885200000000001E-2</v>
      </c>
      <c r="R3980">
        <v>-0.91006200000000004</v>
      </c>
      <c r="S3980">
        <v>-1.7529300000000001</v>
      </c>
      <c r="T3980">
        <v>-0.23439850000000001</v>
      </c>
      <c r="U3980">
        <v>-2.495895</v>
      </c>
      <c r="V3980">
        <v>0.16644220000000001</v>
      </c>
      <c r="W3980">
        <v>-1.279011E-2</v>
      </c>
      <c r="X3980">
        <v>0.98596819999999996</v>
      </c>
      <c r="Y3980">
        <v>0.3439506</v>
      </c>
      <c r="Z3980">
        <v>7.7564449999999993E-2</v>
      </c>
      <c r="AA3980">
        <v>0.93577869999999996</v>
      </c>
      <c r="AB3980">
        <v>23</v>
      </c>
      <c r="AC3980">
        <v>-8.2234999999999996</v>
      </c>
      <c r="AD3980">
        <v>-1.1078829266700001</v>
      </c>
      <c r="AE3980">
        <v>-11.5769999999999</v>
      </c>
      <c r="AF3980">
        <v>4.9503315080100503</v>
      </c>
      <c r="AG3980">
        <v>-1.1078829266700001</v>
      </c>
      <c r="AH3980">
        <v>13.217962102272301</v>
      </c>
      <c r="AI3980">
        <v>94.488075691551003</v>
      </c>
      <c r="AJ3980">
        <v>69.468296695189593</v>
      </c>
      <c r="AK3980">
        <v>14.1579556700644</v>
      </c>
      <c r="AL3980">
        <v>90.732839346330493</v>
      </c>
      <c r="AM3980">
        <v>80.418183239453796</v>
      </c>
      <c r="AN3980">
        <v>0.99999994213294396</v>
      </c>
    </row>
    <row r="3981" spans="1:40" x14ac:dyDescent="0.25">
      <c r="A3981" t="str">
        <f>"20190312161047370"</f>
        <v>20190312161047370</v>
      </c>
      <c r="B3981" t="str">
        <f>"1552378247360480"</f>
        <v>1552378247360480</v>
      </c>
      <c r="C3981" t="s">
        <v>40</v>
      </c>
      <c r="D3981">
        <v>5.4246800000000004</v>
      </c>
      <c r="E3981">
        <v>0.57335579999999997</v>
      </c>
      <c r="F3981" t="s">
        <v>87</v>
      </c>
      <c r="G3981">
        <v>-201.60650000000001</v>
      </c>
      <c r="H3981" s="1">
        <v>-1.1456540000000001E-5</v>
      </c>
      <c r="I3981">
        <v>148.69630000000001</v>
      </c>
      <c r="J3981">
        <v>-192.90020000000001</v>
      </c>
      <c r="K3981">
        <v>1.107869</v>
      </c>
      <c r="L3981">
        <v>160.8192</v>
      </c>
      <c r="M3981">
        <v>-0.25988139999999998</v>
      </c>
      <c r="N3981">
        <v>0</v>
      </c>
      <c r="O3981">
        <v>-0.96553489999999997</v>
      </c>
      <c r="P3981">
        <v>-0.41763499999999998</v>
      </c>
      <c r="Q3981">
        <v>-2.6170450000000001E-2</v>
      </c>
      <c r="R3981">
        <v>-0.9082382</v>
      </c>
      <c r="S3981">
        <v>-1.7668459999999999</v>
      </c>
      <c r="T3981">
        <v>-0.22321949999999999</v>
      </c>
      <c r="U3981">
        <v>-2.4870610000000002</v>
      </c>
      <c r="V3981">
        <v>0.16715389999999999</v>
      </c>
      <c r="W3981">
        <v>-1.3019330000000001E-2</v>
      </c>
      <c r="X3981">
        <v>0.98584490000000002</v>
      </c>
      <c r="Y3981">
        <v>0.345744</v>
      </c>
      <c r="Z3981">
        <v>7.3860529999999994E-2</v>
      </c>
      <c r="AA3981">
        <v>0.93541739999999995</v>
      </c>
      <c r="AB3981">
        <v>23</v>
      </c>
      <c r="AC3981">
        <v>-8.7062999999999899</v>
      </c>
      <c r="AD3981">
        <v>-1.10788045654</v>
      </c>
      <c r="AE3981">
        <v>-12.1228999999999</v>
      </c>
      <c r="AF3981">
        <v>5.2274539724689797</v>
      </c>
      <c r="AG3981">
        <v>-1.10788045654</v>
      </c>
      <c r="AH3981">
        <v>13.892567480309699</v>
      </c>
      <c r="AI3981">
        <v>94.268492269248597</v>
      </c>
      <c r="AJ3981">
        <v>69.379834273820904</v>
      </c>
      <c r="AK3981">
        <v>14.8847944337576</v>
      </c>
      <c r="AL3981">
        <v>90.745973700381299</v>
      </c>
      <c r="AM3981">
        <v>80.376795274113903</v>
      </c>
      <c r="AN3981">
        <v>1.00000004804743</v>
      </c>
    </row>
    <row r="3982" spans="1:40" x14ac:dyDescent="0.25">
      <c r="A3982" t="str">
        <f>"20190312161047391"</f>
        <v>20190312161047391</v>
      </c>
      <c r="B3982" t="str">
        <f>"1552378247380975"</f>
        <v>1552378247380975</v>
      </c>
      <c r="C3982" t="s">
        <v>40</v>
      </c>
      <c r="D3982">
        <v>5.4351059999999896</v>
      </c>
      <c r="E3982">
        <v>0.57394959999999995</v>
      </c>
      <c r="F3982" t="s">
        <v>87</v>
      </c>
      <c r="G3982">
        <v>-201.9545</v>
      </c>
      <c r="H3982" s="1">
        <v>-1.116472E-5</v>
      </c>
      <c r="I3982">
        <v>148.23419999999999</v>
      </c>
      <c r="J3982">
        <v>-192.96170000000001</v>
      </c>
      <c r="K3982">
        <v>1.1078699999999999</v>
      </c>
      <c r="L3982">
        <v>160.60669999999999</v>
      </c>
      <c r="M3982">
        <v>-0.26329609999999998</v>
      </c>
      <c r="N3982">
        <v>0</v>
      </c>
      <c r="O3982">
        <v>-0.96460860000000004</v>
      </c>
      <c r="P3982">
        <v>-0.42170839999999998</v>
      </c>
      <c r="Q3982">
        <v>-2.6279319999999998E-2</v>
      </c>
      <c r="R3982">
        <v>-0.90635060000000001</v>
      </c>
      <c r="S3982">
        <v>-1.7822720000000001</v>
      </c>
      <c r="T3982">
        <v>-0.2180791</v>
      </c>
      <c r="U3982">
        <v>-2.4772799999999999</v>
      </c>
      <c r="V3982">
        <v>0.16809170000000001</v>
      </c>
      <c r="W3982">
        <v>-1.308198E-2</v>
      </c>
      <c r="X3982">
        <v>0.98568460000000002</v>
      </c>
      <c r="Y3982">
        <v>0.34809000000000001</v>
      </c>
      <c r="Z3982">
        <v>7.2145879999999996E-2</v>
      </c>
      <c r="AA3982">
        <v>0.93468090000000004</v>
      </c>
      <c r="AB3982">
        <v>23</v>
      </c>
      <c r="AC3982">
        <v>-8.9927999999999795</v>
      </c>
      <c r="AD3982">
        <v>-1.10788116472</v>
      </c>
      <c r="AE3982">
        <v>-12.3725</v>
      </c>
      <c r="AF3982">
        <v>5.3891836233020403</v>
      </c>
      <c r="AG3982">
        <v>-1.10788116472</v>
      </c>
      <c r="AH3982">
        <v>14.229205558015099</v>
      </c>
      <c r="AI3982">
        <v>94.164490089133594</v>
      </c>
      <c r="AJ3982">
        <v>69.256268406773202</v>
      </c>
      <c r="AK3982">
        <v>15.2558510615782</v>
      </c>
      <c r="AL3982">
        <v>90.749563589374503</v>
      </c>
      <c r="AM3982">
        <v>80.322279358046202</v>
      </c>
      <c r="AN3982">
        <v>1.0000000442433801</v>
      </c>
    </row>
    <row r="3983" spans="1:40" x14ac:dyDescent="0.25">
      <c r="A3983" t="str">
        <f>"20190312161047414"</f>
        <v>20190312161047414</v>
      </c>
      <c r="B3983" t="str">
        <f>"1552378247410257"</f>
        <v>1552378247410257</v>
      </c>
      <c r="C3983" t="s">
        <v>40</v>
      </c>
      <c r="D3983">
        <v>5.5271839999999903</v>
      </c>
      <c r="E3983">
        <v>0.57497830000000005</v>
      </c>
      <c r="F3983" t="s">
        <v>87</v>
      </c>
      <c r="G3983">
        <v>-202.0762</v>
      </c>
      <c r="H3983" s="1">
        <v>-1.106963E-5</v>
      </c>
      <c r="I3983">
        <v>148.096</v>
      </c>
      <c r="J3983">
        <v>-193.02600000000001</v>
      </c>
      <c r="K3983">
        <v>1.1078840000000001</v>
      </c>
      <c r="L3983">
        <v>160.38740000000001</v>
      </c>
      <c r="M3983">
        <v>-0.26683580000000001</v>
      </c>
      <c r="N3983">
        <v>0</v>
      </c>
      <c r="O3983">
        <v>-0.96363449999999995</v>
      </c>
      <c r="P3983">
        <v>-0.42568650000000002</v>
      </c>
      <c r="Q3983">
        <v>-2.6564330000000001E-2</v>
      </c>
      <c r="R3983">
        <v>-0.90448079999999997</v>
      </c>
      <c r="S3983">
        <v>-1.797531</v>
      </c>
      <c r="T3983">
        <v>-0.21849160000000001</v>
      </c>
      <c r="U3983">
        <v>-2.4672999999999998</v>
      </c>
      <c r="V3983">
        <v>0.16880410000000001</v>
      </c>
      <c r="W3983">
        <v>-1.332263E-2</v>
      </c>
      <c r="X3983">
        <v>0.98555959999999998</v>
      </c>
      <c r="Y3983">
        <v>0.35022009999999998</v>
      </c>
      <c r="Z3983">
        <v>7.2259870000000004E-2</v>
      </c>
      <c r="AA3983">
        <v>0.93387600000000004</v>
      </c>
      <c r="AB3983">
        <v>23</v>
      </c>
      <c r="AC3983">
        <v>-9.0502000000000091</v>
      </c>
      <c r="AD3983">
        <v>-1.1078950696300001</v>
      </c>
      <c r="AE3983">
        <v>-12.291399999999999</v>
      </c>
      <c r="AF3983">
        <v>5.4133441360759802</v>
      </c>
      <c r="AG3983">
        <v>-1.1078950696300001</v>
      </c>
      <c r="AH3983">
        <v>14.1860755787238</v>
      </c>
      <c r="AI3983">
        <v>94.173214034896006</v>
      </c>
      <c r="AJ3983">
        <v>69.1133652829932</v>
      </c>
      <c r="AK3983">
        <v>15.2242065982488</v>
      </c>
      <c r="AL3983">
        <v>90.763353037765199</v>
      </c>
      <c r="AM3983">
        <v>80.280835070339904</v>
      </c>
      <c r="AN3983">
        <v>1.0000000208995401</v>
      </c>
    </row>
    <row r="3984" spans="1:40" x14ac:dyDescent="0.25">
      <c r="A3984" t="str">
        <f>"20190312161047436"</f>
        <v>20190312161047436</v>
      </c>
      <c r="B3984" t="str">
        <f>"1552378247430752"</f>
        <v>1552378247430752</v>
      </c>
      <c r="C3984" t="s">
        <v>40</v>
      </c>
      <c r="D3984">
        <v>5.4808890000000003</v>
      </c>
      <c r="E3984">
        <v>0.57540230000000003</v>
      </c>
      <c r="F3984" t="s">
        <v>87</v>
      </c>
      <c r="G3984">
        <v>-202.21709999999999</v>
      </c>
      <c r="H3984" s="1">
        <v>-1.096596E-5</v>
      </c>
      <c r="I3984">
        <v>147.95750000000001</v>
      </c>
      <c r="J3984">
        <v>-193.08930000000001</v>
      </c>
      <c r="K3984">
        <v>1.1078969999999999</v>
      </c>
      <c r="L3984">
        <v>160.17449999999999</v>
      </c>
      <c r="M3984">
        <v>-0.27028390000000002</v>
      </c>
      <c r="N3984">
        <v>0</v>
      </c>
      <c r="O3984">
        <v>-0.96267270000000005</v>
      </c>
      <c r="P3984">
        <v>-0.42935319999999999</v>
      </c>
      <c r="Q3984">
        <v>-2.6352250000000001E-2</v>
      </c>
      <c r="R3984">
        <v>-0.9027522</v>
      </c>
      <c r="S3984">
        <v>-1.815887</v>
      </c>
      <c r="T3984">
        <v>-0.21888630000000001</v>
      </c>
      <c r="U3984">
        <v>-2.455765</v>
      </c>
      <c r="V3984">
        <v>0.1692747</v>
      </c>
      <c r="W3984">
        <v>-1.3071030000000001E-2</v>
      </c>
      <c r="X3984">
        <v>0.98548219999999997</v>
      </c>
      <c r="Y3984">
        <v>0.35347489999999998</v>
      </c>
      <c r="Z3984">
        <v>7.2363810000000001E-2</v>
      </c>
      <c r="AA3984">
        <v>0.93264089999999999</v>
      </c>
      <c r="AB3984">
        <v>23</v>
      </c>
      <c r="AC3984">
        <v>-9.1277999999999793</v>
      </c>
      <c r="AD3984">
        <v>-1.10790796596</v>
      </c>
      <c r="AE3984">
        <v>-12.216999999999899</v>
      </c>
      <c r="AF3984">
        <v>5.4567959820196599</v>
      </c>
      <c r="AG3984">
        <v>-1.10790796596</v>
      </c>
      <c r="AH3984">
        <v>14.154842924233</v>
      </c>
      <c r="AI3984">
        <v>94.176990672767701</v>
      </c>
      <c r="AJ3984">
        <v>68.917982250094795</v>
      </c>
      <c r="AK3984">
        <v>15.2106430061366</v>
      </c>
      <c r="AL3984">
        <v>90.748936201676599</v>
      </c>
      <c r="AM3984">
        <v>80.253507683354798</v>
      </c>
      <c r="AN3984">
        <v>0.99999997120109496</v>
      </c>
    </row>
    <row r="3985" spans="1:40" x14ac:dyDescent="0.25">
      <c r="A3985" t="str">
        <f>"20190312161047459"</f>
        <v>20190312161047459</v>
      </c>
      <c r="B3985" t="str">
        <f>"1552378247451248"</f>
        <v>1552378247451248</v>
      </c>
      <c r="C3985" t="s">
        <v>40</v>
      </c>
      <c r="D3985">
        <v>5.469843</v>
      </c>
      <c r="E3985">
        <v>0.57583229999999996</v>
      </c>
      <c r="F3985" t="s">
        <v>87</v>
      </c>
      <c r="G3985">
        <v>-202.33439999999999</v>
      </c>
      <c r="H3985" s="1">
        <v>-1.086875E-5</v>
      </c>
      <c r="I3985">
        <v>147.80549999999999</v>
      </c>
      <c r="J3985">
        <v>-193.15530000000001</v>
      </c>
      <c r="K3985">
        <v>1.10792</v>
      </c>
      <c r="L3985">
        <v>159.95509999999999</v>
      </c>
      <c r="M3985">
        <v>-0.27384140000000001</v>
      </c>
      <c r="N3985">
        <v>0</v>
      </c>
      <c r="O3985">
        <v>-0.96166620000000003</v>
      </c>
      <c r="P3985">
        <v>-0.4332433</v>
      </c>
      <c r="Q3985">
        <v>-2.657967E-2</v>
      </c>
      <c r="R3985">
        <v>-0.9008853</v>
      </c>
      <c r="S3985">
        <v>-1.8289340000000001</v>
      </c>
      <c r="T3985">
        <v>-0.2191746</v>
      </c>
      <c r="U3985">
        <v>-2.4469150000000002</v>
      </c>
      <c r="V3985">
        <v>0.1698827</v>
      </c>
      <c r="W3985">
        <v>-1.326433E-2</v>
      </c>
      <c r="X3985">
        <v>0.985375</v>
      </c>
      <c r="Y3985">
        <v>0.35482269999999999</v>
      </c>
      <c r="Z3985">
        <v>7.2431999999999996E-2</v>
      </c>
      <c r="AA3985">
        <v>0.93212360000000005</v>
      </c>
      <c r="AB3985">
        <v>23</v>
      </c>
      <c r="AC3985">
        <v>-9.1790999999999698</v>
      </c>
      <c r="AD3985">
        <v>-1.10793086875</v>
      </c>
      <c r="AE3985">
        <v>-12.1495999999999</v>
      </c>
      <c r="AF3985">
        <v>5.4717740927848597</v>
      </c>
      <c r="AG3985">
        <v>-1.10793086875</v>
      </c>
      <c r="AH3985">
        <v>14.1241878428142</v>
      </c>
      <c r="AI3985">
        <v>94.183450444943901</v>
      </c>
      <c r="AJ3985">
        <v>68.823407470064396</v>
      </c>
      <c r="AK3985">
        <v>15.1875114732961</v>
      </c>
      <c r="AL3985">
        <v>90.760012427951395</v>
      </c>
      <c r="AM3985">
        <v>80.218131747691501</v>
      </c>
      <c r="AN3985">
        <v>0.99999998241731902</v>
      </c>
    </row>
    <row r="3986" spans="1:40" x14ac:dyDescent="0.25">
      <c r="A3986" t="str">
        <f>"20190312161047480"</f>
        <v>20190312161047480</v>
      </c>
      <c r="B3986" t="str">
        <f>"1552378247470772"</f>
        <v>1552378247470772</v>
      </c>
      <c r="C3986" t="s">
        <v>40</v>
      </c>
      <c r="D3986">
        <v>5.5590260000000002</v>
      </c>
      <c r="E3986">
        <v>0.57626149999999998</v>
      </c>
      <c r="F3986" t="s">
        <v>87</v>
      </c>
      <c r="G3986">
        <v>-202.41589999999999</v>
      </c>
      <c r="H3986" s="1">
        <v>-1.0802559999999999E-5</v>
      </c>
      <c r="I3986">
        <v>147.7046</v>
      </c>
      <c r="J3986">
        <v>-193.22040000000001</v>
      </c>
      <c r="K3986">
        <v>1.107939</v>
      </c>
      <c r="L3986">
        <v>159.74189999999999</v>
      </c>
      <c r="M3986">
        <v>-0.277306099999999</v>
      </c>
      <c r="N3986">
        <v>0</v>
      </c>
      <c r="O3986">
        <v>-0.96067230000000003</v>
      </c>
      <c r="P3986">
        <v>-0.43722270000000002</v>
      </c>
      <c r="Q3986">
        <v>-2.6790049999999999E-2</v>
      </c>
      <c r="R3986">
        <v>-0.89895429999999998</v>
      </c>
      <c r="S3986">
        <v>-1.8425450000000001</v>
      </c>
      <c r="T3986">
        <v>-0.2204412</v>
      </c>
      <c r="U3986">
        <v>-2.4374539999999998</v>
      </c>
      <c r="V3986">
        <v>0.17068849999999999</v>
      </c>
      <c r="W3986">
        <v>-1.344892E-2</v>
      </c>
      <c r="X3986">
        <v>0.98523320000000003</v>
      </c>
      <c r="Y3986">
        <v>0.3564889</v>
      </c>
      <c r="Z3986">
        <v>7.2826879999999997E-2</v>
      </c>
      <c r="AA3986">
        <v>0.93145690000000003</v>
      </c>
      <c r="AB3986">
        <v>23</v>
      </c>
      <c r="AC3986">
        <v>-9.1954999999999796</v>
      </c>
      <c r="AD3986">
        <v>-1.1079498025599901</v>
      </c>
      <c r="AE3986">
        <v>-12.037299999999901</v>
      </c>
      <c r="AF3986">
        <v>5.4671739517889897</v>
      </c>
      <c r="AG3986">
        <v>-1.1079498025599901</v>
      </c>
      <c r="AH3986">
        <v>14.0402377902426</v>
      </c>
      <c r="AI3986">
        <v>94.205632856111094</v>
      </c>
      <c r="AJ3986">
        <v>68.724396775130998</v>
      </c>
      <c r="AK3986">
        <v>15.1078066240824</v>
      </c>
      <c r="AL3986">
        <v>90.770589626191295</v>
      </c>
      <c r="AM3986">
        <v>80.1712494375695</v>
      </c>
      <c r="AN3986">
        <v>0.99999994793182601</v>
      </c>
    </row>
    <row r="3987" spans="1:40" x14ac:dyDescent="0.25">
      <c r="A3987" t="str">
        <f>"20190312161047503"</f>
        <v>20190312161047503</v>
      </c>
      <c r="B3987" t="str">
        <f>"1552378247501024"</f>
        <v>1552378247501024</v>
      </c>
      <c r="C3987" t="s">
        <v>40</v>
      </c>
      <c r="D3987">
        <v>5.4544370000000004</v>
      </c>
      <c r="E3987">
        <v>0.57667740000000001</v>
      </c>
      <c r="F3987" t="s">
        <v>87</v>
      </c>
      <c r="G3987">
        <v>-202.2773</v>
      </c>
      <c r="H3987" s="1">
        <v>-1.092098E-5</v>
      </c>
      <c r="I3987">
        <v>147.89599999999999</v>
      </c>
      <c r="J3987">
        <v>-193.28890000000001</v>
      </c>
      <c r="K3987">
        <v>1.1079509999999999</v>
      </c>
      <c r="L3987">
        <v>159.52029999999999</v>
      </c>
      <c r="M3987">
        <v>-0.28092009999999901</v>
      </c>
      <c r="N3987">
        <v>0</v>
      </c>
      <c r="O3987">
        <v>-0.95962150000000002</v>
      </c>
      <c r="P3987">
        <v>-0.44145830000000003</v>
      </c>
      <c r="Q3987">
        <v>-2.69258E-2</v>
      </c>
      <c r="R3987">
        <v>-0.89687790000000001</v>
      </c>
      <c r="S3987">
        <v>-1.8560939999999999</v>
      </c>
      <c r="T3987">
        <v>-0.22706000000000001</v>
      </c>
      <c r="U3987">
        <v>-2.427673</v>
      </c>
      <c r="V3987">
        <v>0.17162769999999999</v>
      </c>
      <c r="W3987">
        <v>-1.3565209999999999E-2</v>
      </c>
      <c r="X3987">
        <v>0.98506850000000001</v>
      </c>
      <c r="Y3987">
        <v>0.35796549999999999</v>
      </c>
      <c r="Z3987">
        <v>7.4981229999999996E-2</v>
      </c>
      <c r="AA3987">
        <v>0.93071930000000003</v>
      </c>
      <c r="AB3987">
        <v>23</v>
      </c>
      <c r="AC3987">
        <v>-8.9883999999999808</v>
      </c>
      <c r="AD3987">
        <v>-1.10796192098</v>
      </c>
      <c r="AE3987">
        <v>-11.6242999999999</v>
      </c>
      <c r="AF3987">
        <v>5.3302217745017</v>
      </c>
      <c r="AG3987">
        <v>-1.10796192098</v>
      </c>
      <c r="AH3987">
        <v>13.604045063992601</v>
      </c>
      <c r="AI3987">
        <v>94.336478208574803</v>
      </c>
      <c r="AJ3987">
        <v>68.604181144842002</v>
      </c>
      <c r="AK3987">
        <v>14.6529480271669</v>
      </c>
      <c r="AL3987">
        <v>90.777253107701696</v>
      </c>
      <c r="AM3987">
        <v>80.116611175065302</v>
      </c>
      <c r="AN3987">
        <v>1.0000000160109399</v>
      </c>
    </row>
    <row r="3988" spans="1:40" x14ac:dyDescent="0.25">
      <c r="A3988" t="str">
        <f>"20190312161047526"</f>
        <v>20190312161047526</v>
      </c>
      <c r="B3988" t="str">
        <f>"1552378247520544"</f>
        <v>1552378247520544</v>
      </c>
      <c r="C3988" t="s">
        <v>40</v>
      </c>
      <c r="D3988">
        <v>5.5331489999999999</v>
      </c>
      <c r="E3988">
        <v>0.57621460000000002</v>
      </c>
      <c r="F3988" t="s">
        <v>87</v>
      </c>
      <c r="G3988">
        <v>-202.4581</v>
      </c>
      <c r="H3988" s="1">
        <v>-1.077382E-5</v>
      </c>
      <c r="I3988">
        <v>147.67099999999999</v>
      </c>
      <c r="J3988">
        <v>-193.3578</v>
      </c>
      <c r="K3988">
        <v>1.107953</v>
      </c>
      <c r="L3988">
        <v>159.3004</v>
      </c>
      <c r="M3988">
        <v>-0.28453020000000001</v>
      </c>
      <c r="N3988">
        <v>0</v>
      </c>
      <c r="O3988">
        <v>-0.95855670000000004</v>
      </c>
      <c r="P3988">
        <v>-0.44485190000000002</v>
      </c>
      <c r="Q3988">
        <v>-2.6796170000000001E-2</v>
      </c>
      <c r="R3988">
        <v>-0.89520330000000004</v>
      </c>
      <c r="S3988">
        <v>-1.8706510000000001</v>
      </c>
      <c r="T3988">
        <v>-0.22603870000000001</v>
      </c>
      <c r="U3988">
        <v>-2.4174190000000002</v>
      </c>
      <c r="V3988">
        <v>0.17165</v>
      </c>
      <c r="W3988">
        <v>-1.3416640000000001E-2</v>
      </c>
      <c r="X3988">
        <v>0.98506669999999996</v>
      </c>
      <c r="Y3988">
        <v>0.35988579999999998</v>
      </c>
      <c r="Z3988">
        <v>7.4621010000000002E-2</v>
      </c>
      <c r="AA3988">
        <v>0.93000749999999999</v>
      </c>
      <c r="AB3988">
        <v>22</v>
      </c>
      <c r="AC3988">
        <v>-9.1003000000000007</v>
      </c>
      <c r="AD3988">
        <v>-1.1079637738200001</v>
      </c>
      <c r="AE3988">
        <v>-11.6294</v>
      </c>
      <c r="AF3988">
        <v>5.38449837101395</v>
      </c>
      <c r="AG3988">
        <v>-1.1079637738200001</v>
      </c>
      <c r="AH3988">
        <v>13.661295407583699</v>
      </c>
      <c r="AI3988">
        <v>94.314969054683502</v>
      </c>
      <c r="AJ3988">
        <v>68.488488064498299</v>
      </c>
      <c r="AK3988">
        <v>14.725875140202</v>
      </c>
      <c r="AL3988">
        <v>90.768739860609898</v>
      </c>
      <c r="AM3988">
        <v>80.115334624480099</v>
      </c>
      <c r="AN3988">
        <v>1.0000000660888799</v>
      </c>
    </row>
    <row r="3989" spans="1:40" x14ac:dyDescent="0.25">
      <c r="A3989" t="str">
        <f>"20190312161047548"</f>
        <v>20190312161047548</v>
      </c>
      <c r="B3989" t="str">
        <f>"1552378247541039"</f>
        <v>1552378247541039</v>
      </c>
      <c r="C3989" t="s">
        <v>40</v>
      </c>
      <c r="D3989">
        <v>5.5929260000000003</v>
      </c>
      <c r="E3989">
        <v>0.576219699999999</v>
      </c>
      <c r="F3989" t="s">
        <v>87</v>
      </c>
      <c r="G3989">
        <v>-203.09970000000001</v>
      </c>
      <c r="H3989" s="1">
        <v>-1.0224000000000001E-5</v>
      </c>
      <c r="I3989">
        <v>146.7791</v>
      </c>
      <c r="J3989">
        <v>-193.4263</v>
      </c>
      <c r="K3989">
        <v>1.107942</v>
      </c>
      <c r="L3989">
        <v>159.08519999999999</v>
      </c>
      <c r="M3989">
        <v>-0.28810059999999998</v>
      </c>
      <c r="N3989">
        <v>0</v>
      </c>
      <c r="O3989">
        <v>-0.95748949999999999</v>
      </c>
      <c r="P3989">
        <v>-0.44789449999999997</v>
      </c>
      <c r="Q3989">
        <v>-2.69041E-2</v>
      </c>
      <c r="R3989">
        <v>-0.89368150000000002</v>
      </c>
      <c r="S3989">
        <v>-1.8767400000000001</v>
      </c>
      <c r="T3989">
        <v>-0.2134452</v>
      </c>
      <c r="U3989">
        <v>-2.4121860000000002</v>
      </c>
      <c r="V3989">
        <v>0.1713297</v>
      </c>
      <c r="W3989">
        <v>-1.3510350000000001E-2</v>
      </c>
      <c r="X3989">
        <v>0.98512109999999997</v>
      </c>
      <c r="Y3989">
        <v>0.35904039999999998</v>
      </c>
      <c r="Z3989">
        <v>7.0454859999999994E-2</v>
      </c>
      <c r="AA3989">
        <v>0.93065889999999996</v>
      </c>
      <c r="AB3989">
        <v>22</v>
      </c>
      <c r="AC3989">
        <v>-9.6734000000000098</v>
      </c>
      <c r="AD3989">
        <v>-1.1079522239999999</v>
      </c>
      <c r="AE3989">
        <v>-12.306099999999899</v>
      </c>
      <c r="AF3989">
        <v>5.6888878089201897</v>
      </c>
      <c r="AG3989">
        <v>-1.1079522239999999</v>
      </c>
      <c r="AH3989">
        <v>14.498776921913599</v>
      </c>
      <c r="AI3989">
        <v>94.068993583161401</v>
      </c>
      <c r="AJ3989">
        <v>68.576437858993799</v>
      </c>
      <c r="AK3989">
        <v>15.614273433770901</v>
      </c>
      <c r="AL3989">
        <v>90.774109594386402</v>
      </c>
      <c r="AM3989">
        <v>80.133950797213799</v>
      </c>
      <c r="AN3989">
        <v>0.99999998866221096</v>
      </c>
    </row>
    <row r="3990" spans="1:40" x14ac:dyDescent="0.25">
      <c r="A3990" t="str">
        <f>"20190312161047570"</f>
        <v>20190312161047570</v>
      </c>
      <c r="B3990" t="str">
        <f>"1552378247560562"</f>
        <v>1552378247560562</v>
      </c>
      <c r="C3990" t="s">
        <v>40</v>
      </c>
      <c r="D3990">
        <v>5.5903970000000003</v>
      </c>
      <c r="E3990">
        <v>0.57652219999999998</v>
      </c>
      <c r="F3990" t="s">
        <v>87</v>
      </c>
      <c r="G3990">
        <v>-203.3141</v>
      </c>
      <c r="H3990" s="1">
        <v>-1.0035599999999999E-5</v>
      </c>
      <c r="I3990">
        <v>146.46530000000001</v>
      </c>
      <c r="J3990">
        <v>-193.49420000000001</v>
      </c>
      <c r="K3990">
        <v>1.107934</v>
      </c>
      <c r="L3990">
        <v>158.87450000000001</v>
      </c>
      <c r="M3990">
        <v>-0.29163060000000002</v>
      </c>
      <c r="N3990">
        <v>0</v>
      </c>
      <c r="O3990">
        <v>-0.95642000000000005</v>
      </c>
      <c r="P3990">
        <v>-0.45104129999999998</v>
      </c>
      <c r="Q3990">
        <v>-2.690615E-2</v>
      </c>
      <c r="R3990">
        <v>-0.89209749999999999</v>
      </c>
      <c r="S3990">
        <v>-1.884995</v>
      </c>
      <c r="T3990">
        <v>-0.2112185</v>
      </c>
      <c r="U3990">
        <v>-2.4058229999999998</v>
      </c>
      <c r="V3990">
        <v>0.17116709999999999</v>
      </c>
      <c r="W3990">
        <v>-1.350399E-2</v>
      </c>
      <c r="X3990">
        <v>0.98514939999999995</v>
      </c>
      <c r="Y3990">
        <v>0.35880610000000002</v>
      </c>
      <c r="Z3990">
        <v>6.9690730000000006E-2</v>
      </c>
      <c r="AA3990">
        <v>0.93080680000000005</v>
      </c>
      <c r="AB3990">
        <v>22</v>
      </c>
      <c r="AC3990">
        <v>-9.8198999999999899</v>
      </c>
      <c r="AD3990">
        <v>-1.1079440356000001</v>
      </c>
      <c r="AE3990">
        <v>-12.409199999999901</v>
      </c>
      <c r="AF3990">
        <v>5.7454953107089501</v>
      </c>
      <c r="AG3990">
        <v>-1.1079440356000001</v>
      </c>
      <c r="AH3990">
        <v>14.6618832032371</v>
      </c>
      <c r="AI3990">
        <v>94.024535033228005</v>
      </c>
      <c r="AJ3990">
        <v>68.601469818367903</v>
      </c>
      <c r="AK3990">
        <v>15.7863572560856</v>
      </c>
      <c r="AL3990">
        <v>90.773745199881503</v>
      </c>
      <c r="AM3990">
        <v>80.143408006977197</v>
      </c>
      <c r="AN3990">
        <v>0.99999993709434298</v>
      </c>
    </row>
    <row r="3991" spans="1:40" x14ac:dyDescent="0.25">
      <c r="A3991" t="str">
        <f>"20190312161047591"</f>
        <v>20190312161047591</v>
      </c>
      <c r="B3991" t="str">
        <f>"1552378247581056"</f>
        <v>1552378247581056</v>
      </c>
      <c r="C3991" t="s">
        <v>40</v>
      </c>
      <c r="D3991">
        <v>5.4972859999999999</v>
      </c>
      <c r="E3991">
        <v>0.57703419999999905</v>
      </c>
      <c r="F3991" t="s">
        <v>87</v>
      </c>
      <c r="G3991">
        <v>-203.42760000000001</v>
      </c>
      <c r="H3991" s="1">
        <v>-9.9471039999999993E-6</v>
      </c>
      <c r="I3991">
        <v>146.30930000000001</v>
      </c>
      <c r="J3991">
        <v>-193.5598</v>
      </c>
      <c r="K3991">
        <v>1.107915</v>
      </c>
      <c r="L3991">
        <v>158.67349999999999</v>
      </c>
      <c r="M3991">
        <v>-0.295043099999999</v>
      </c>
      <c r="N3991">
        <v>0</v>
      </c>
      <c r="O3991">
        <v>-0.95537260000000002</v>
      </c>
      <c r="P3991">
        <v>-0.45399869999999998</v>
      </c>
      <c r="Q3991">
        <v>-2.645322E-2</v>
      </c>
      <c r="R3991">
        <v>-0.8906094</v>
      </c>
      <c r="S3991">
        <v>-1.895721</v>
      </c>
      <c r="T3991">
        <v>-0.21144389999999999</v>
      </c>
      <c r="U3991">
        <v>-2.3979949999999999</v>
      </c>
      <c r="V3991">
        <v>0.17091689999999901</v>
      </c>
      <c r="W3991">
        <v>-1.3046E-2</v>
      </c>
      <c r="X3991">
        <v>0.98519909999999999</v>
      </c>
      <c r="Y3991">
        <v>0.3595139</v>
      </c>
      <c r="Z3991">
        <v>6.9733470000000006E-2</v>
      </c>
      <c r="AA3991">
        <v>0.93053050000000004</v>
      </c>
      <c r="AB3991">
        <v>22</v>
      </c>
      <c r="AC3991">
        <v>-9.8678000000000097</v>
      </c>
      <c r="AD3991">
        <v>-1.107924947104</v>
      </c>
      <c r="AE3991">
        <v>-12.364199999999901</v>
      </c>
      <c r="AF3991">
        <v>5.7518550847898897</v>
      </c>
      <c r="AG3991">
        <v>-1.107924947104</v>
      </c>
      <c r="AH3991">
        <v>14.6535330871639</v>
      </c>
      <c r="AI3991">
        <v>94.025855044373202</v>
      </c>
      <c r="AJ3991">
        <v>68.568829417700897</v>
      </c>
      <c r="AK3991">
        <v>15.7809177978167</v>
      </c>
      <c r="AL3991">
        <v>90.747501925218799</v>
      </c>
      <c r="AM3991">
        <v>80.158020513699896</v>
      </c>
      <c r="AN3991">
        <v>1.0000000257312001</v>
      </c>
    </row>
    <row r="3992" spans="1:40" x14ac:dyDescent="0.25">
      <c r="A3992" t="str">
        <f>"20190312161047613"</f>
        <v>20190312161047613</v>
      </c>
      <c r="B3992" t="str">
        <f>"1552378247610336"</f>
        <v>1552378247610336</v>
      </c>
      <c r="C3992" t="s">
        <v>40</v>
      </c>
      <c r="D3992">
        <v>5.509671</v>
      </c>
      <c r="E3992">
        <v>0.57784599999999997</v>
      </c>
      <c r="F3992" t="s">
        <v>87</v>
      </c>
      <c r="G3992">
        <v>-203.8938</v>
      </c>
      <c r="H3992" s="1">
        <v>-9.6175260000000001E-6</v>
      </c>
      <c r="I3992">
        <v>145.72559999999999</v>
      </c>
      <c r="J3992">
        <v>-193.62780000000001</v>
      </c>
      <c r="K3992">
        <v>1.107891</v>
      </c>
      <c r="L3992">
        <v>158.46780000000001</v>
      </c>
      <c r="M3992">
        <v>-0.29859609999999998</v>
      </c>
      <c r="N3992">
        <v>0</v>
      </c>
      <c r="O3992">
        <v>-0.95426789999999995</v>
      </c>
      <c r="P3992">
        <v>-0.45686100000000002</v>
      </c>
      <c r="Q3992">
        <v>-2.6112429999999999E-2</v>
      </c>
      <c r="R3992">
        <v>-0.88915499999999903</v>
      </c>
      <c r="S3992">
        <v>-1.907516</v>
      </c>
      <c r="T3992">
        <v>-0.20450779999999999</v>
      </c>
      <c r="U3992">
        <v>-2.389999</v>
      </c>
      <c r="V3992">
        <v>0.17041770000000001</v>
      </c>
      <c r="W3992">
        <v>-1.2702440000000001E-2</v>
      </c>
      <c r="X3992">
        <v>0.98529009999999995</v>
      </c>
      <c r="Y3992">
        <v>0.3604695</v>
      </c>
      <c r="Z3992">
        <v>6.7413089999999995E-2</v>
      </c>
      <c r="AA3992">
        <v>0.93033180000000004</v>
      </c>
      <c r="AB3992">
        <v>22</v>
      </c>
      <c r="AC3992">
        <v>-10.265999999999901</v>
      </c>
      <c r="AD3992">
        <v>-1.107900617526</v>
      </c>
      <c r="AE3992">
        <v>-12.7422</v>
      </c>
      <c r="AF3992">
        <v>5.96503668056571</v>
      </c>
      <c r="AG3992">
        <v>-1.107900617526</v>
      </c>
      <c r="AH3992">
        <v>15.156999857817601</v>
      </c>
      <c r="AI3992">
        <v>93.891106092360005</v>
      </c>
      <c r="AJ3992">
        <v>68.517883662616597</v>
      </c>
      <c r="AK3992">
        <v>16.326167678567199</v>
      </c>
      <c r="AL3992">
        <v>90.727815729118504</v>
      </c>
      <c r="AM3992">
        <v>80.187095195583694</v>
      </c>
      <c r="AN3992">
        <v>1.0000000628066199</v>
      </c>
    </row>
    <row r="3993" spans="1:40" x14ac:dyDescent="0.25">
      <c r="A3993" t="str">
        <f>"20190312161047636"</f>
        <v>20190312161047636</v>
      </c>
      <c r="B3993" t="str">
        <f>"1552378247631079"</f>
        <v>1552378247631079</v>
      </c>
      <c r="C3993" t="s">
        <v>40</v>
      </c>
      <c r="D3993">
        <v>5.5561790000000002</v>
      </c>
      <c r="E3993">
        <v>0.57833310000000004</v>
      </c>
      <c r="F3993" t="s">
        <v>87</v>
      </c>
      <c r="G3993">
        <v>-204.38140000000001</v>
      </c>
      <c r="H3993" s="1">
        <v>-9.2794930000000007E-6</v>
      </c>
      <c r="I3993">
        <v>145.1405</v>
      </c>
      <c r="J3993">
        <v>-193.70160000000001</v>
      </c>
      <c r="K3993">
        <v>1.1078589999999999</v>
      </c>
      <c r="L3993">
        <v>158.24799999999999</v>
      </c>
      <c r="M3993">
        <v>-0.30247560000000001</v>
      </c>
      <c r="N3993">
        <v>0</v>
      </c>
      <c r="O3993">
        <v>-0.95304509999999998</v>
      </c>
      <c r="P3993">
        <v>-0.46017089999999999</v>
      </c>
      <c r="Q3993">
        <v>-2.5532470000000002E-2</v>
      </c>
      <c r="R3993">
        <v>-0.88746320000000001</v>
      </c>
      <c r="S3993">
        <v>-1.921219</v>
      </c>
      <c r="T3993">
        <v>-0.19793559999999999</v>
      </c>
      <c r="U3993">
        <v>-2.381027</v>
      </c>
      <c r="V3993">
        <v>0.17007800000000001</v>
      </c>
      <c r="W3993">
        <v>-1.212659E-2</v>
      </c>
      <c r="X3993">
        <v>0.98535600000000001</v>
      </c>
      <c r="Y3993">
        <v>0.36172939999999998</v>
      </c>
      <c r="Z3993">
        <v>6.5203250000000004E-2</v>
      </c>
      <c r="AA3993">
        <v>0.93000020000000005</v>
      </c>
      <c r="AB3993">
        <v>22</v>
      </c>
      <c r="AC3993">
        <v>-10.6798</v>
      </c>
      <c r="AD3993">
        <v>-1.1078682794929999</v>
      </c>
      <c r="AE3993">
        <v>-13.1074999999999</v>
      </c>
      <c r="AF3993">
        <v>6.1877284210637802</v>
      </c>
      <c r="AG3993">
        <v>-1.1078682794929999</v>
      </c>
      <c r="AH3993">
        <v>15.6568731338518</v>
      </c>
      <c r="AI3993">
        <v>93.765004052613506</v>
      </c>
      <c r="AJ3993">
        <v>68.435649909417094</v>
      </c>
      <c r="AK3993">
        <v>16.8716635654899</v>
      </c>
      <c r="AL3993">
        <v>90.694819447564299</v>
      </c>
      <c r="AM3993">
        <v>80.206918785073199</v>
      </c>
      <c r="AN3993">
        <v>1.00000001350251</v>
      </c>
    </row>
    <row r="3994" spans="1:40" x14ac:dyDescent="0.25">
      <c r="A3994" t="str">
        <f>"20190312161047659"</f>
        <v>20190312161047659</v>
      </c>
      <c r="B3994" t="str">
        <f>"1552378247650603"</f>
        <v>1552378247650603</v>
      </c>
      <c r="C3994" t="s">
        <v>40</v>
      </c>
      <c r="D3994">
        <v>5.5046939999999998</v>
      </c>
      <c r="E3994">
        <v>0.5788297</v>
      </c>
      <c r="F3994" t="s">
        <v>87</v>
      </c>
      <c r="G3994">
        <v>-204.8674</v>
      </c>
      <c r="H3994" s="1">
        <v>-8.9404399999999994E-6</v>
      </c>
      <c r="I3994">
        <v>144.54910000000001</v>
      </c>
      <c r="J3994">
        <v>-193.7748</v>
      </c>
      <c r="K3994">
        <v>1.1078159999999999</v>
      </c>
      <c r="L3994">
        <v>158.03280000000001</v>
      </c>
      <c r="M3994">
        <v>-0.30636960000000002</v>
      </c>
      <c r="N3994">
        <v>0</v>
      </c>
      <c r="O3994">
        <v>-0.95180030000000004</v>
      </c>
      <c r="P3994">
        <v>-0.46277839999999998</v>
      </c>
      <c r="Q3994">
        <v>-2.430061E-2</v>
      </c>
      <c r="R3994">
        <v>-0.88614079999999995</v>
      </c>
      <c r="S3994">
        <v>-1.9336089999999999</v>
      </c>
      <c r="T3994">
        <v>-0.19185189999999999</v>
      </c>
      <c r="U3994">
        <v>-2.3722690000000002</v>
      </c>
      <c r="V3994">
        <v>0.16894210000000001</v>
      </c>
      <c r="W3994">
        <v>-1.089714E-2</v>
      </c>
      <c r="X3994">
        <v>0.98556569999999999</v>
      </c>
      <c r="Y3994">
        <v>0.36260569999999998</v>
      </c>
      <c r="Z3994">
        <v>6.3163179999999999E-2</v>
      </c>
      <c r="AA3994">
        <v>0.92979970000000001</v>
      </c>
      <c r="AB3994">
        <v>22</v>
      </c>
      <c r="AC3994">
        <v>-11.092599999999999</v>
      </c>
      <c r="AD3994">
        <v>-1.10782494044</v>
      </c>
      <c r="AE3994">
        <v>-13.483700000000001</v>
      </c>
      <c r="AF3994">
        <v>6.4018592333516597</v>
      </c>
      <c r="AG3994">
        <v>-1.10782494044</v>
      </c>
      <c r="AH3994">
        <v>16.168869150159001</v>
      </c>
      <c r="AI3994">
        <v>93.6450612859214</v>
      </c>
      <c r="AJ3994">
        <v>68.399537229067903</v>
      </c>
      <c r="AK3994">
        <v>17.425366777697199</v>
      </c>
      <c r="AL3994">
        <v>90.624372510214897</v>
      </c>
      <c r="AM3994">
        <v>80.273100282312996</v>
      </c>
      <c r="AN3994">
        <v>0.99999996491453902</v>
      </c>
    </row>
    <row r="3995" spans="1:40" x14ac:dyDescent="0.25">
      <c r="A3995" t="str">
        <f>"20190312161047692"</f>
        <v>20190312161047692</v>
      </c>
      <c r="B3995" t="str">
        <f>"1552378247680860"</f>
        <v>1552378247680860</v>
      </c>
      <c r="C3995" t="s">
        <v>40</v>
      </c>
      <c r="D3995">
        <v>5.4532999999999996</v>
      </c>
      <c r="E3995">
        <v>0.57931759999999999</v>
      </c>
      <c r="F3995" t="s">
        <v>87</v>
      </c>
      <c r="G3995">
        <v>-205.52289999999999</v>
      </c>
      <c r="H3995" s="1">
        <v>-8.4430050000000007E-6</v>
      </c>
      <c r="I3995">
        <v>143.74299999999999</v>
      </c>
      <c r="J3995">
        <v>-193.87960000000001</v>
      </c>
      <c r="K3995">
        <v>1.1077330000000001</v>
      </c>
      <c r="L3995">
        <v>157.73060000000001</v>
      </c>
      <c r="M3995">
        <v>-0.31203259999999899</v>
      </c>
      <c r="N3995">
        <v>0</v>
      </c>
      <c r="O3995">
        <v>-0.94995859999999999</v>
      </c>
      <c r="P3995">
        <v>-0.46663979999999999</v>
      </c>
      <c r="Q3995">
        <v>-2.3097619999999999E-2</v>
      </c>
      <c r="R3995">
        <v>-0.88414570000000003</v>
      </c>
      <c r="S3995">
        <v>-1.944366</v>
      </c>
      <c r="T3995">
        <v>-0.18335019999999999</v>
      </c>
      <c r="U3995">
        <v>-2.365021</v>
      </c>
      <c r="V3995">
        <v>0.167367299999999</v>
      </c>
      <c r="W3995">
        <v>-9.7062850000000003E-3</v>
      </c>
      <c r="X3995">
        <v>0.98584680000000002</v>
      </c>
      <c r="Y3995">
        <v>0.36109550000000001</v>
      </c>
      <c r="Z3995">
        <v>6.0287920000000002E-2</v>
      </c>
      <c r="AA3995">
        <v>0.93057800000000002</v>
      </c>
      <c r="AB3995">
        <v>22</v>
      </c>
      <c r="AC3995">
        <v>-11.643299999999901</v>
      </c>
      <c r="AD3995">
        <v>-1.1077414430050001</v>
      </c>
      <c r="AE3995">
        <v>-13.9876</v>
      </c>
      <c r="AF3995">
        <v>6.6720649650078299</v>
      </c>
      <c r="AG3995">
        <v>-1.1077414430050001</v>
      </c>
      <c r="AH3995">
        <v>16.860080864284701</v>
      </c>
      <c r="AI3995">
        <v>93.495986271579397</v>
      </c>
      <c r="AJ3995">
        <v>68.409734360191905</v>
      </c>
      <c r="AK3995">
        <v>18.166063655950801</v>
      </c>
      <c r="AL3995">
        <v>90.556137915158203</v>
      </c>
      <c r="AM3995">
        <v>80.364758037646197</v>
      </c>
      <c r="AN3995">
        <v>0.999999969074015</v>
      </c>
    </row>
    <row r="3996" spans="1:40" x14ac:dyDescent="0.25">
      <c r="A3996" t="str">
        <f>"20190312161047726"</f>
        <v>20190312161047726</v>
      </c>
      <c r="B3996" t="str">
        <f>"1552378247720871"</f>
        <v>1552378247720871</v>
      </c>
      <c r="C3996" t="s">
        <v>40</v>
      </c>
      <c r="D3996">
        <v>5.7162319999999998</v>
      </c>
      <c r="E3996">
        <v>0.57971470000000003</v>
      </c>
      <c r="F3996" t="s">
        <v>87</v>
      </c>
      <c r="G3996">
        <v>-206.46250000000001</v>
      </c>
      <c r="H3996" s="1">
        <v>-7.724205E-6</v>
      </c>
      <c r="I3996">
        <v>142.5984</v>
      </c>
      <c r="J3996">
        <v>-193.99420000000001</v>
      </c>
      <c r="K3996">
        <v>1.107637</v>
      </c>
      <c r="L3996">
        <v>157.4075</v>
      </c>
      <c r="M3996">
        <v>-0.31834770000000001</v>
      </c>
      <c r="N3996">
        <v>0</v>
      </c>
      <c r="O3996">
        <v>-0.94786079999999995</v>
      </c>
      <c r="P3996">
        <v>-0.4718077</v>
      </c>
      <c r="Q3996">
        <v>-2.155955E-2</v>
      </c>
      <c r="R3996">
        <v>-0.88143799999999894</v>
      </c>
      <c r="S3996">
        <v>-1.958267</v>
      </c>
      <c r="T3996">
        <v>-0.17239760000000001</v>
      </c>
      <c r="U3996">
        <v>-2.3550260000000001</v>
      </c>
      <c r="V3996">
        <v>0.16657269999999999</v>
      </c>
      <c r="W3996">
        <v>-8.1933430000000005E-3</v>
      </c>
      <c r="X3996">
        <v>0.98599510000000001</v>
      </c>
      <c r="Y3996">
        <v>0.36022359999999998</v>
      </c>
      <c r="Z3996">
        <v>5.6615989999999998E-2</v>
      </c>
      <c r="AA3996">
        <v>0.93114640000000004</v>
      </c>
      <c r="AB3996">
        <v>22</v>
      </c>
      <c r="AC3996">
        <v>-12.468299999999999</v>
      </c>
      <c r="AD3996">
        <v>-1.107644724205</v>
      </c>
      <c r="AE3996">
        <v>-14.809100000000001</v>
      </c>
      <c r="AF3996">
        <v>7.0813502108774102</v>
      </c>
      <c r="AG3996">
        <v>-1.107644724205</v>
      </c>
      <c r="AH3996">
        <v>17.9493919148047</v>
      </c>
      <c r="AI3996">
        <v>93.285375223169794</v>
      </c>
      <c r="AJ3996">
        <v>68.469895324990006</v>
      </c>
      <c r="AK3996">
        <v>19.327520993531699</v>
      </c>
      <c r="AL3996">
        <v>90.469449242374594</v>
      </c>
      <c r="AM3996">
        <v>80.411066765878601</v>
      </c>
      <c r="AN3996">
        <v>0.99999996623940701</v>
      </c>
    </row>
    <row r="3997" spans="1:40" x14ac:dyDescent="0.25">
      <c r="A3997" t="str">
        <f>"20190312161047748"</f>
        <v>20190312161047748</v>
      </c>
      <c r="B3997" t="str">
        <f>"1552378247740395"</f>
        <v>1552378247740395</v>
      </c>
      <c r="C3997" t="s">
        <v>40</v>
      </c>
      <c r="D3997">
        <v>5.86327</v>
      </c>
      <c r="E3997">
        <v>0.5798565</v>
      </c>
      <c r="F3997" t="s">
        <v>87</v>
      </c>
      <c r="G3997">
        <v>-206.91800000000001</v>
      </c>
      <c r="H3997" s="1">
        <v>-7.385589E-6</v>
      </c>
      <c r="I3997">
        <v>142.08099999999999</v>
      </c>
      <c r="J3997">
        <v>-194.06780000000001</v>
      </c>
      <c r="K3997">
        <v>1.107578</v>
      </c>
      <c r="L3997">
        <v>157.2045</v>
      </c>
      <c r="M3997">
        <v>-0.32247039999999999</v>
      </c>
      <c r="N3997">
        <v>0</v>
      </c>
      <c r="O3997">
        <v>-0.94646609999999998</v>
      </c>
      <c r="P3997">
        <v>-0.47532449999999998</v>
      </c>
      <c r="Q3997">
        <v>-2.1102880000000001E-2</v>
      </c>
      <c r="R3997">
        <v>-0.87955759999999905</v>
      </c>
      <c r="S3997">
        <v>-1.9750369999999999</v>
      </c>
      <c r="T3997">
        <v>-0.16927220000000001</v>
      </c>
      <c r="U3997">
        <v>-2.3422239999999999</v>
      </c>
      <c r="V3997">
        <v>0.16621739999999999</v>
      </c>
      <c r="W3997">
        <v>-7.7532510000000001E-3</v>
      </c>
      <c r="X3997">
        <v>0.98605869999999995</v>
      </c>
      <c r="Y3997">
        <v>0.36260890000000001</v>
      </c>
      <c r="Z3997">
        <v>5.556444E-2</v>
      </c>
      <c r="AA3997">
        <v>0.93028350000000004</v>
      </c>
      <c r="AB3997">
        <v>22</v>
      </c>
      <c r="AC3997">
        <v>-12.850199999999999</v>
      </c>
      <c r="AD3997">
        <v>-1.1075853855889899</v>
      </c>
      <c r="AE3997">
        <v>-15.1234999999999</v>
      </c>
      <c r="AF3997">
        <v>7.2635557240545898</v>
      </c>
      <c r="AG3997">
        <v>-1.1075853855889899</v>
      </c>
      <c r="AH3997">
        <v>18.4023524427223</v>
      </c>
      <c r="AI3997">
        <v>93.204299512685495</v>
      </c>
      <c r="AJ3997">
        <v>68.460453857194196</v>
      </c>
      <c r="AK3997">
        <v>19.814958051153699</v>
      </c>
      <c r="AL3997">
        <v>90.444232989067103</v>
      </c>
      <c r="AM3997">
        <v>80.431747164642303</v>
      </c>
      <c r="AN3997">
        <v>1.00000004840475</v>
      </c>
    </row>
    <row r="3998" spans="1:40" x14ac:dyDescent="0.25">
      <c r="A3998" t="str">
        <f>"20190312161047770"</f>
        <v>20190312161047770</v>
      </c>
      <c r="B3998" t="str">
        <f>"1552378247760891"</f>
        <v>1552378247760891</v>
      </c>
      <c r="C3998" t="s">
        <v>40</v>
      </c>
      <c r="D3998">
        <v>5.5966959999999997</v>
      </c>
      <c r="E3998">
        <v>0.58029750000000002</v>
      </c>
      <c r="F3998" t="s">
        <v>87</v>
      </c>
      <c r="G3998">
        <v>-206.84710000000001</v>
      </c>
      <c r="H3998" s="1">
        <v>-7.444052E-6</v>
      </c>
      <c r="I3998">
        <v>142.1833</v>
      </c>
      <c r="J3998">
        <v>-194.1448</v>
      </c>
      <c r="K3998">
        <v>1.107513</v>
      </c>
      <c r="L3998">
        <v>156.99520000000001</v>
      </c>
      <c r="M3998">
        <v>-0.32683970000000001</v>
      </c>
      <c r="N3998">
        <v>0</v>
      </c>
      <c r="O3998">
        <v>-0.94496599999999997</v>
      </c>
      <c r="P3998">
        <v>-0.47940909999999898</v>
      </c>
      <c r="Q3998">
        <v>-2.1543779999999998E-2</v>
      </c>
      <c r="R3998">
        <v>-0.87732699999999997</v>
      </c>
      <c r="S3998">
        <v>-1.985428</v>
      </c>
      <c r="T3998">
        <v>-0.17207739999999999</v>
      </c>
      <c r="U3998">
        <v>-2.3337400000000001</v>
      </c>
      <c r="V3998">
        <v>0.166246</v>
      </c>
      <c r="W3998">
        <v>-8.2134240000000004E-3</v>
      </c>
      <c r="X3998">
        <v>0.98605010000000004</v>
      </c>
      <c r="Y3998">
        <v>0.36234290000000002</v>
      </c>
      <c r="Z3998">
        <v>5.6437540000000001E-2</v>
      </c>
      <c r="AA3998">
        <v>0.93033460000000001</v>
      </c>
      <c r="AB3998">
        <v>22</v>
      </c>
      <c r="AC3998">
        <v>-12.702299999999999</v>
      </c>
      <c r="AD3998">
        <v>-1.1075204440519999</v>
      </c>
      <c r="AE3998">
        <v>-14.8119</v>
      </c>
      <c r="AF3998">
        <v>7.1398929608618698</v>
      </c>
      <c r="AG3998">
        <v>-1.1075204440519999</v>
      </c>
      <c r="AH3998">
        <v>18.092024114141498</v>
      </c>
      <c r="AI3998">
        <v>93.259025995912495</v>
      </c>
      <c r="AJ3998">
        <v>68.463669869252399</v>
      </c>
      <c r="AK3998">
        <v>19.481427298153399</v>
      </c>
      <c r="AL3998">
        <v>90.470599823540098</v>
      </c>
      <c r="AM3998">
        <v>80.430049339588805</v>
      </c>
      <c r="AN3998">
        <v>0.99999999627990599</v>
      </c>
    </row>
    <row r="3999" spans="1:40" x14ac:dyDescent="0.25">
      <c r="A3999" t="str">
        <f>"20190312161047792"</f>
        <v>20190312161047792</v>
      </c>
      <c r="B3999" t="str">
        <f>"1552378247780408"</f>
        <v>1552378247780408</v>
      </c>
      <c r="C3999" t="s">
        <v>40</v>
      </c>
      <c r="D3999">
        <v>6.1348440000000002</v>
      </c>
      <c r="E3999">
        <v>0.58088830000000002</v>
      </c>
      <c r="F3999" t="s">
        <v>87</v>
      </c>
      <c r="G3999">
        <v>-207.11259999999999</v>
      </c>
      <c r="H3999" s="1">
        <v>-7.2591699999999902E-6</v>
      </c>
      <c r="I3999">
        <v>141.929</v>
      </c>
      <c r="J3999">
        <v>-194.21889999999999</v>
      </c>
      <c r="K3999">
        <v>1.107448</v>
      </c>
      <c r="L3999">
        <v>156.79689999999999</v>
      </c>
      <c r="M3999">
        <v>-0.33110640000000002</v>
      </c>
      <c r="N3999">
        <v>0</v>
      </c>
      <c r="O3999">
        <v>-0.94347919999999996</v>
      </c>
      <c r="P3999">
        <v>-0.4836222</v>
      </c>
      <c r="Q3999">
        <v>-2.213795E-2</v>
      </c>
      <c r="R3999">
        <v>-0.87499680000000002</v>
      </c>
      <c r="S3999">
        <v>-1.999268</v>
      </c>
      <c r="T3999">
        <v>-0.17074839999999999</v>
      </c>
      <c r="U3999">
        <v>-2.322784</v>
      </c>
      <c r="V3999">
        <v>0.16653109999999999</v>
      </c>
      <c r="W3999">
        <v>-8.8307479999999994E-3</v>
      </c>
      <c r="X3999">
        <v>0.98599669999999895</v>
      </c>
      <c r="Y3999">
        <v>0.36350460000000001</v>
      </c>
      <c r="Z3999">
        <v>5.5964470000000002E-2</v>
      </c>
      <c r="AA3999">
        <v>0.92990980000000001</v>
      </c>
      <c r="AB3999">
        <v>22</v>
      </c>
      <c r="AC3999">
        <v>-12.8936999999999</v>
      </c>
      <c r="AD3999">
        <v>-1.10745525917</v>
      </c>
      <c r="AE3999">
        <v>-14.867899999999899</v>
      </c>
      <c r="AF3999">
        <v>7.21999821587052</v>
      </c>
      <c r="AG3999">
        <v>-1.10745525917</v>
      </c>
      <c r="AH3999">
        <v>18.240950192143401</v>
      </c>
      <c r="AI3999">
        <v>93.230995700107698</v>
      </c>
      <c r="AJ3999">
        <v>68.405715775905406</v>
      </c>
      <c r="AK3999">
        <v>19.649099096408801</v>
      </c>
      <c r="AL3999">
        <v>90.505971145913605</v>
      </c>
      <c r="AM3999">
        <v>80.413432331446401</v>
      </c>
      <c r="AN3999">
        <v>1.0000000408941601</v>
      </c>
    </row>
    <row r="4000" spans="1:40" x14ac:dyDescent="0.25">
      <c r="A4000" t="str">
        <f>"20190312161047815"</f>
        <v>20190312161047815</v>
      </c>
      <c r="B4000" t="str">
        <f>"1552378247810664"</f>
        <v>1552378247810664</v>
      </c>
      <c r="C4000" t="s">
        <v>40</v>
      </c>
      <c r="D4000">
        <v>5.5346650000000004</v>
      </c>
      <c r="E4000">
        <v>0.58135369999999997</v>
      </c>
      <c r="F4000" t="s">
        <v>87</v>
      </c>
      <c r="G4000">
        <v>-207.16130000000001</v>
      </c>
      <c r="H4000" s="1">
        <v>-7.2439679999999902E-6</v>
      </c>
      <c r="I4000">
        <v>141.95310000000001</v>
      </c>
      <c r="J4000">
        <v>-194.29839999999999</v>
      </c>
      <c r="K4000">
        <v>1.107364</v>
      </c>
      <c r="L4000">
        <v>156.58760000000001</v>
      </c>
      <c r="M4000">
        <v>-0.33576440000000002</v>
      </c>
      <c r="N4000">
        <v>0</v>
      </c>
      <c r="O4000">
        <v>-0.94183159999999999</v>
      </c>
      <c r="P4000">
        <v>-0.488479</v>
      </c>
      <c r="Q4000">
        <v>-2.2066539999999999E-2</v>
      </c>
      <c r="R4000">
        <v>-0.87229679999999998</v>
      </c>
      <c r="S4000">
        <v>-2.0146790000000001</v>
      </c>
      <c r="T4000">
        <v>-0.17239279999999901</v>
      </c>
      <c r="U4000">
        <v>-2.3106689999999999</v>
      </c>
      <c r="V4000">
        <v>0.16713819999999999</v>
      </c>
      <c r="W4000">
        <v>-8.7914280000000004E-3</v>
      </c>
      <c r="X4000">
        <v>0.9858943</v>
      </c>
      <c r="Y4000">
        <v>0.36482320000000001</v>
      </c>
      <c r="Z4000">
        <v>5.6455499999999902E-2</v>
      </c>
      <c r="AA4000">
        <v>0.92936370000000001</v>
      </c>
      <c r="AB4000">
        <v>22</v>
      </c>
      <c r="AC4000">
        <v>-12.8629</v>
      </c>
      <c r="AD4000">
        <v>-1.1073712439679999</v>
      </c>
      <c r="AE4000">
        <v>-14.634499999999999</v>
      </c>
      <c r="AF4000">
        <v>7.1785292790565904</v>
      </c>
      <c r="AG4000">
        <v>-1.1073712439679999</v>
      </c>
      <c r="AH4000">
        <v>18.045797138493398</v>
      </c>
      <c r="AI4000">
        <v>93.263400393017704</v>
      </c>
      <c r="AJ4000">
        <v>68.307580774226295</v>
      </c>
      <c r="AK4000">
        <v>19.452720839149901</v>
      </c>
      <c r="AL4000">
        <v>90.503718199558406</v>
      </c>
      <c r="AM4000">
        <v>80.378155366783403</v>
      </c>
      <c r="AN4000">
        <v>1.0000000189389999</v>
      </c>
    </row>
    <row r="4001" spans="1:40" x14ac:dyDescent="0.25">
      <c r="A4001" t="str">
        <f>"20190312161047837"</f>
        <v>20190312161047837</v>
      </c>
      <c r="B4001" t="str">
        <f>"1552378247830184"</f>
        <v>1552378247830184</v>
      </c>
      <c r="C4001" t="s">
        <v>40</v>
      </c>
      <c r="D4001">
        <v>5.5414199999999996</v>
      </c>
      <c r="E4001">
        <v>0.5819048</v>
      </c>
      <c r="F4001" t="s">
        <v>87</v>
      </c>
      <c r="G4001">
        <v>-207.51400000000001</v>
      </c>
      <c r="H4001" s="1">
        <v>-7.0033929999999997E-6</v>
      </c>
      <c r="I4001">
        <v>141.6344</v>
      </c>
      <c r="J4001">
        <v>-194.37979999999999</v>
      </c>
      <c r="K4001">
        <v>1.107273</v>
      </c>
      <c r="L4001">
        <v>156.37719999999999</v>
      </c>
      <c r="M4001">
        <v>-0.34061529999999901</v>
      </c>
      <c r="N4001">
        <v>0</v>
      </c>
      <c r="O4001">
        <v>-0.94008820000000004</v>
      </c>
      <c r="P4001">
        <v>-0.49325249999999998</v>
      </c>
      <c r="Q4001">
        <v>-2.2044790000000002E-2</v>
      </c>
      <c r="R4001">
        <v>-0.86960729999999997</v>
      </c>
      <c r="S4001">
        <v>-2.030716</v>
      </c>
      <c r="T4001">
        <v>-0.17015910000000001</v>
      </c>
      <c r="U4001">
        <v>-2.297714</v>
      </c>
      <c r="V4001">
        <v>0.16745679999999999</v>
      </c>
      <c r="W4001">
        <v>-8.8047950000000007E-3</v>
      </c>
      <c r="X4001">
        <v>0.9858401</v>
      </c>
      <c r="Y4001">
        <v>0.36629729999999999</v>
      </c>
      <c r="Z4001">
        <v>5.5680609999999998E-2</v>
      </c>
      <c r="AA4001">
        <v>0.92883039999999994</v>
      </c>
      <c r="AB4001">
        <v>22</v>
      </c>
      <c r="AC4001">
        <v>-13.1342</v>
      </c>
      <c r="AD4001">
        <v>-1.1072800033929999</v>
      </c>
      <c r="AE4001">
        <v>-14.7427999999999</v>
      </c>
      <c r="AF4001">
        <v>7.3035033606389996</v>
      </c>
      <c r="AG4001">
        <v>-1.1072800033929999</v>
      </c>
      <c r="AH4001">
        <v>18.277734582517098</v>
      </c>
      <c r="AI4001">
        <v>93.219833260319902</v>
      </c>
      <c r="AJ4001">
        <v>68.219105595682905</v>
      </c>
      <c r="AK4001">
        <v>19.714025763748001</v>
      </c>
      <c r="AL4001">
        <v>90.5044841096488</v>
      </c>
      <c r="AM4001">
        <v>80.359637953549694</v>
      </c>
      <c r="AN4001">
        <v>1.0000000035246199</v>
      </c>
    </row>
    <row r="4002" spans="1:40" x14ac:dyDescent="0.25">
      <c r="A4002" t="str">
        <f>"20190312161047860"</f>
        <v>20190312161047860</v>
      </c>
      <c r="B4002" t="str">
        <f>"1552378247850279"</f>
        <v>1552378247850279</v>
      </c>
      <c r="C4002" t="s">
        <v>40</v>
      </c>
      <c r="D4002">
        <v>5.5944279999999997</v>
      </c>
      <c r="E4002">
        <v>0.5822427</v>
      </c>
      <c r="F4002" t="s">
        <v>87</v>
      </c>
      <c r="G4002">
        <v>-208.06819999999999</v>
      </c>
      <c r="H4002" s="1">
        <v>-6.6168370000000003E-6</v>
      </c>
      <c r="I4002">
        <v>141.101</v>
      </c>
      <c r="J4002">
        <v>-194.46119999999999</v>
      </c>
      <c r="K4002">
        <v>1.1071610000000001</v>
      </c>
      <c r="L4002">
        <v>156.1703</v>
      </c>
      <c r="M4002">
        <v>-0.34556399999999998</v>
      </c>
      <c r="N4002">
        <v>0</v>
      </c>
      <c r="O4002">
        <v>-0.93828020000000001</v>
      </c>
      <c r="P4002">
        <v>-0.4981912</v>
      </c>
      <c r="Q4002">
        <v>-2.2107620000000001E-2</v>
      </c>
      <c r="R4002">
        <v>-0.86678549999999999</v>
      </c>
      <c r="S4002">
        <v>-2.0470730000000001</v>
      </c>
      <c r="T4002">
        <v>-0.16559170000000001</v>
      </c>
      <c r="U4002">
        <v>-2.2845309999999999</v>
      </c>
      <c r="V4002">
        <v>0.16786779999999901</v>
      </c>
      <c r="W4002">
        <v>-8.9079339999999993E-3</v>
      </c>
      <c r="X4002">
        <v>0.98576929999999996</v>
      </c>
      <c r="Y4002">
        <v>0.36780849999999998</v>
      </c>
      <c r="Z4002">
        <v>5.4140969999999997E-2</v>
      </c>
      <c r="AA4002">
        <v>0.92832409999999999</v>
      </c>
      <c r="AB4002">
        <v>22</v>
      </c>
      <c r="AC4002">
        <v>-13.606999999999999</v>
      </c>
      <c r="AD4002">
        <v>-1.1071676168369999</v>
      </c>
      <c r="AE4002">
        <v>-15.069299999999901</v>
      </c>
      <c r="AF4002">
        <v>7.5381713699017201</v>
      </c>
      <c r="AG4002">
        <v>-1.1071676168369999</v>
      </c>
      <c r="AH4002">
        <v>18.787481888965299</v>
      </c>
      <c r="AI4002">
        <v>93.130552534859802</v>
      </c>
      <c r="AJ4002">
        <v>68.137679103467306</v>
      </c>
      <c r="AK4002">
        <v>20.2736115051556</v>
      </c>
      <c r="AL4002">
        <v>90.510393756678496</v>
      </c>
      <c r="AM4002">
        <v>80.335741663857405</v>
      </c>
      <c r="AN4002">
        <v>1.00000003119373</v>
      </c>
    </row>
    <row r="4003" spans="1:40" x14ac:dyDescent="0.25">
      <c r="A4003" t="str">
        <f>"20190312161047881"</f>
        <v>20190312161047881</v>
      </c>
      <c r="B4003" t="str">
        <f>"1552378247870776"</f>
        <v>1552378247870776</v>
      </c>
      <c r="C4003" t="s">
        <v>40</v>
      </c>
      <c r="D4003">
        <v>5.5770309999999998</v>
      </c>
      <c r="E4003">
        <v>0.58268739999999997</v>
      </c>
      <c r="F4003" t="s">
        <v>87</v>
      </c>
      <c r="G4003">
        <v>-208.76429999999999</v>
      </c>
      <c r="H4003" s="1">
        <v>-6.1274199999999997E-6</v>
      </c>
      <c r="I4003">
        <v>140.41630000000001</v>
      </c>
      <c r="J4003">
        <v>-194.53630000000001</v>
      </c>
      <c r="K4003">
        <v>1.1070450000000001</v>
      </c>
      <c r="L4003">
        <v>155.98269999999999</v>
      </c>
      <c r="M4003">
        <v>-0.35022399999999998</v>
      </c>
      <c r="N4003">
        <v>0</v>
      </c>
      <c r="O4003">
        <v>-0.93655060000000001</v>
      </c>
      <c r="P4003">
        <v>-0.50216439999999996</v>
      </c>
      <c r="Q4003">
        <v>-2.3106390000000001E-2</v>
      </c>
      <c r="R4003">
        <v>-0.8644636</v>
      </c>
      <c r="S4003">
        <v>-2.062408</v>
      </c>
      <c r="T4003">
        <v>-0.15964589999999901</v>
      </c>
      <c r="U4003">
        <v>-2.2716059999999998</v>
      </c>
      <c r="V4003">
        <v>0.1674908</v>
      </c>
      <c r="W4003">
        <v>-9.9386270000000002E-3</v>
      </c>
      <c r="X4003">
        <v>0.98582349999999996</v>
      </c>
      <c r="Y4003">
        <v>0.36932549999999997</v>
      </c>
      <c r="Z4003">
        <v>5.2162189999999997E-2</v>
      </c>
      <c r="AA4003">
        <v>0.92783499999999997</v>
      </c>
      <c r="AB4003">
        <v>22</v>
      </c>
      <c r="AC4003">
        <v>-14.2279999999999</v>
      </c>
      <c r="AD4003">
        <v>-1.1070511274199999</v>
      </c>
      <c r="AE4003">
        <v>-15.5663999999999</v>
      </c>
      <c r="AF4003">
        <v>7.8527268333688101</v>
      </c>
      <c r="AG4003">
        <v>-1.1070511274199999</v>
      </c>
      <c r="AH4003">
        <v>19.510060080020001</v>
      </c>
      <c r="AI4003">
        <v>93.013196062712694</v>
      </c>
      <c r="AJ4003">
        <v>68.075397626394803</v>
      </c>
      <c r="AK4003">
        <v>21.060230892471701</v>
      </c>
      <c r="AL4003">
        <v>90.569450779702393</v>
      </c>
      <c r="AM4003">
        <v>80.357558028079396</v>
      </c>
      <c r="AN4003">
        <v>0.99999995877176595</v>
      </c>
    </row>
    <row r="4004" spans="1:40" x14ac:dyDescent="0.25">
      <c r="A4004" t="str">
        <f>"20190312161047905"</f>
        <v>20190312161047905</v>
      </c>
      <c r="B4004" t="str">
        <f>"1552378247901031"</f>
        <v>1552378247901031</v>
      </c>
      <c r="C4004" t="s">
        <v>40</v>
      </c>
      <c r="D4004">
        <v>5.5538540000000003</v>
      </c>
      <c r="E4004">
        <v>0.58320459999999996</v>
      </c>
      <c r="F4004" t="s">
        <v>87</v>
      </c>
      <c r="G4004">
        <v>-208.99449999999999</v>
      </c>
      <c r="H4004" s="1">
        <v>-5.9792869999999999E-6</v>
      </c>
      <c r="I4004">
        <v>140.24189999999999</v>
      </c>
      <c r="J4004">
        <v>-194.62270000000001</v>
      </c>
      <c r="K4004">
        <v>1.1069089999999999</v>
      </c>
      <c r="L4004">
        <v>155.77099999999999</v>
      </c>
      <c r="M4004">
        <v>-0.35569780000000001</v>
      </c>
      <c r="N4004">
        <v>0</v>
      </c>
      <c r="O4004">
        <v>-0.93448509999999996</v>
      </c>
      <c r="P4004">
        <v>-0.50698920000000003</v>
      </c>
      <c r="Q4004">
        <v>-2.3867340000000001E-2</v>
      </c>
      <c r="R4004">
        <v>-0.861621999999999</v>
      </c>
      <c r="S4004">
        <v>-2.0760040000000002</v>
      </c>
      <c r="T4004">
        <v>-0.1589583</v>
      </c>
      <c r="U4004">
        <v>-2.2601779999999998</v>
      </c>
      <c r="V4004">
        <v>0.16723189999999999</v>
      </c>
      <c r="W4004">
        <v>-1.073811E-2</v>
      </c>
      <c r="X4004">
        <v>0.98585909999999999</v>
      </c>
      <c r="Y4004">
        <v>0.36926520000000002</v>
      </c>
      <c r="Z4004">
        <v>5.1872679999999997E-2</v>
      </c>
      <c r="AA4004">
        <v>0.92787520000000001</v>
      </c>
      <c r="AB4004">
        <v>22</v>
      </c>
      <c r="AC4004">
        <v>-14.371799999999901</v>
      </c>
      <c r="AD4004">
        <v>-1.1069149792869999</v>
      </c>
      <c r="AE4004">
        <v>-15.5291</v>
      </c>
      <c r="AF4004">
        <v>7.8858411499811503</v>
      </c>
      <c r="AG4004">
        <v>-1.1069149792869999</v>
      </c>
      <c r="AH4004">
        <v>19.572291462393</v>
      </c>
      <c r="AI4004">
        <v>93.002836185416896</v>
      </c>
      <c r="AJ4004">
        <v>68.055079099771504</v>
      </c>
      <c r="AK4004">
        <v>21.1302234844539</v>
      </c>
      <c r="AL4004">
        <v>90.615260213320695</v>
      </c>
      <c r="AM4004">
        <v>80.372524851909006</v>
      </c>
      <c r="AN4004">
        <v>0.99999999021839603</v>
      </c>
    </row>
    <row r="4005" spans="1:40" x14ac:dyDescent="0.25">
      <c r="A4005" t="str">
        <f>"20190312161047929"</f>
        <v>20190312161047929</v>
      </c>
      <c r="B4005" t="str">
        <f>"1552378247920552"</f>
        <v>1552378247920552</v>
      </c>
      <c r="C4005" t="s">
        <v>40</v>
      </c>
      <c r="D4005">
        <v>5.977004</v>
      </c>
      <c r="E4005">
        <v>0.58341809999999905</v>
      </c>
      <c r="F4005" t="s">
        <v>87</v>
      </c>
      <c r="G4005">
        <v>-209.42310000000001</v>
      </c>
      <c r="H4005" s="1">
        <v>-5.6932790000000002E-6</v>
      </c>
      <c r="I4005">
        <v>139.8785</v>
      </c>
      <c r="J4005">
        <v>-194.71129999999999</v>
      </c>
      <c r="K4005">
        <v>1.106778</v>
      </c>
      <c r="L4005">
        <v>155.55869999999999</v>
      </c>
      <c r="M4005">
        <v>-0.36143789999999998</v>
      </c>
      <c r="N4005">
        <v>0</v>
      </c>
      <c r="O4005">
        <v>-0.93227959999999999</v>
      </c>
      <c r="P4005">
        <v>-0.51231159999999998</v>
      </c>
      <c r="Q4005">
        <v>-2.490562E-2</v>
      </c>
      <c r="R4005">
        <v>-0.858438699999999</v>
      </c>
      <c r="S4005">
        <v>-2.0920869999999998</v>
      </c>
      <c r="T4005">
        <v>-0.15646669999999999</v>
      </c>
      <c r="U4005">
        <v>-2.2464599999999999</v>
      </c>
      <c r="V4005">
        <v>0.16726830000000001</v>
      </c>
      <c r="W4005">
        <v>-1.1816449999999999E-2</v>
      </c>
      <c r="X4005">
        <v>0.98584059999999996</v>
      </c>
      <c r="Y4005">
        <v>0.36996760000000001</v>
      </c>
      <c r="Z4005">
        <v>5.0998460000000002E-2</v>
      </c>
      <c r="AA4005">
        <v>0.92764389999999997</v>
      </c>
      <c r="AB4005">
        <v>22</v>
      </c>
      <c r="AC4005">
        <v>-14.7118</v>
      </c>
      <c r="AD4005">
        <v>-1.1067836932790001</v>
      </c>
      <c r="AE4005">
        <v>-15.6801999999999</v>
      </c>
      <c r="AF4005">
        <v>8.0276964335252892</v>
      </c>
      <c r="AG4005">
        <v>-1.1067836932790001</v>
      </c>
      <c r="AH4005">
        <v>19.885210184335499</v>
      </c>
      <c r="AI4005">
        <v>92.954505470671407</v>
      </c>
      <c r="AJ4005">
        <v>68.015978350325994</v>
      </c>
      <c r="AK4005">
        <v>21.473017120277799</v>
      </c>
      <c r="AL4005">
        <v>90.6770484698921</v>
      </c>
      <c r="AM4005">
        <v>80.370291231466297</v>
      </c>
      <c r="AN4005">
        <v>1.0000000006419201</v>
      </c>
    </row>
    <row r="4006" spans="1:40" x14ac:dyDescent="0.25">
      <c r="A4006" t="str">
        <f>"20190312161047951"</f>
        <v>20190312161047951</v>
      </c>
      <c r="B4006" t="str">
        <f>"1552378247941047"</f>
        <v>1552378247941047</v>
      </c>
      <c r="C4006" t="s">
        <v>40</v>
      </c>
      <c r="D4006">
        <v>5.559043</v>
      </c>
      <c r="E4006">
        <v>0.58376669999999997</v>
      </c>
      <c r="F4006" t="s">
        <v>87</v>
      </c>
      <c r="G4006">
        <v>-209.3955</v>
      </c>
      <c r="H4006" s="1">
        <v>-5.7385259999999996E-6</v>
      </c>
      <c r="I4006">
        <v>140.00360000000001</v>
      </c>
      <c r="J4006">
        <v>-194.79920000000001</v>
      </c>
      <c r="K4006">
        <v>1.10667</v>
      </c>
      <c r="L4006">
        <v>155.352</v>
      </c>
      <c r="M4006">
        <v>-0.3672221</v>
      </c>
      <c r="N4006">
        <v>0</v>
      </c>
      <c r="O4006">
        <v>-0.93001630000000002</v>
      </c>
      <c r="P4006">
        <v>-0.51781149999999998</v>
      </c>
      <c r="Q4006">
        <v>-2.593912E-2</v>
      </c>
      <c r="R4006">
        <v>-0.85510160000000002</v>
      </c>
      <c r="S4006">
        <v>-2.1074220000000001</v>
      </c>
      <c r="T4006">
        <v>-0.15884100000000001</v>
      </c>
      <c r="U4006">
        <v>-2.2324069999999998</v>
      </c>
      <c r="V4006">
        <v>0.1674715</v>
      </c>
      <c r="W4006">
        <v>-1.288363E-2</v>
      </c>
      <c r="X4006">
        <v>0.98579280000000002</v>
      </c>
      <c r="Y4006">
        <v>0.37045529999999999</v>
      </c>
      <c r="Z4006">
        <v>5.1712250000000001E-2</v>
      </c>
      <c r="AA4006">
        <v>0.9274097</v>
      </c>
      <c r="AB4006">
        <v>22</v>
      </c>
      <c r="AC4006">
        <v>-14.5962999999999</v>
      </c>
      <c r="AD4006">
        <v>-1.106675738526</v>
      </c>
      <c r="AE4006">
        <v>-15.3483999999999</v>
      </c>
      <c r="AF4006">
        <v>7.9177738964954196</v>
      </c>
      <c r="AG4006">
        <v>-1.106675738526</v>
      </c>
      <c r="AH4006">
        <v>19.583021840987101</v>
      </c>
      <c r="AI4006">
        <v>92.999081133047</v>
      </c>
      <c r="AJ4006">
        <v>67.985615723871106</v>
      </c>
      <c r="AK4006">
        <v>21.1520830910538</v>
      </c>
      <c r="AL4006">
        <v>90.738197996647997</v>
      </c>
      <c r="AM4006">
        <v>80.358353652395294</v>
      </c>
      <c r="AN4006">
        <v>1.0000000678830301</v>
      </c>
    </row>
    <row r="4007" spans="1:40" x14ac:dyDescent="0.25">
      <c r="A4007" t="str">
        <f>"20190312161047972"</f>
        <v>20190312161047972</v>
      </c>
      <c r="B4007" t="str">
        <f>"1552378247960572"</f>
        <v>1552378247960572</v>
      </c>
      <c r="C4007" t="s">
        <v>40</v>
      </c>
      <c r="D4007">
        <v>5.7516160000000003</v>
      </c>
      <c r="E4007">
        <v>0.58415399999999995</v>
      </c>
      <c r="F4007" t="s">
        <v>87</v>
      </c>
      <c r="G4007">
        <v>-209.5196</v>
      </c>
      <c r="H4007" s="1">
        <v>-5.678741E-6</v>
      </c>
      <c r="I4007">
        <v>139.98560000000001</v>
      </c>
      <c r="J4007">
        <v>-194.87700000000001</v>
      </c>
      <c r="K4007">
        <v>1.1065849999999999</v>
      </c>
      <c r="L4007">
        <v>155.17269999999999</v>
      </c>
      <c r="M4007">
        <v>-0.37239909999999998</v>
      </c>
      <c r="N4007">
        <v>0</v>
      </c>
      <c r="O4007">
        <v>-0.92795550000000004</v>
      </c>
      <c r="P4007">
        <v>-0.52335940000000003</v>
      </c>
      <c r="Q4007">
        <v>-2.6855159999999999E-2</v>
      </c>
      <c r="R4007">
        <v>-0.85168889999999997</v>
      </c>
      <c r="S4007">
        <v>-2.124069</v>
      </c>
      <c r="T4007">
        <v>-0.15968740000000001</v>
      </c>
      <c r="U4007">
        <v>-2.2172999999999998</v>
      </c>
      <c r="V4007">
        <v>0.1683857</v>
      </c>
      <c r="W4007">
        <v>-1.383408E-2</v>
      </c>
      <c r="X4007">
        <v>0.9856241</v>
      </c>
      <c r="Y4007">
        <v>0.37205880000000002</v>
      </c>
      <c r="Z4007">
        <v>5.1940390000000003E-2</v>
      </c>
      <c r="AA4007">
        <v>0.92675479999999999</v>
      </c>
      <c r="AB4007">
        <v>21</v>
      </c>
      <c r="AC4007">
        <v>-14.6425999999999</v>
      </c>
      <c r="AD4007">
        <v>-1.106590678741</v>
      </c>
      <c r="AE4007">
        <v>-15.1870999999999</v>
      </c>
      <c r="AF4007">
        <v>7.9111145489990404</v>
      </c>
      <c r="AG4007">
        <v>-1.106590678741</v>
      </c>
      <c r="AH4007">
        <v>19.4943323238343</v>
      </c>
      <c r="AI4007">
        <v>93.010902427400097</v>
      </c>
      <c r="AJ4007">
        <v>67.911892174937904</v>
      </c>
      <c r="AK4007">
        <v>21.067493184756302</v>
      </c>
      <c r="AL4007">
        <v>90.792659685330705</v>
      </c>
      <c r="AM4007">
        <v>80.305089753674295</v>
      </c>
      <c r="AN4007">
        <v>0.999999996117373</v>
      </c>
    </row>
    <row r="4008" spans="1:40" x14ac:dyDescent="0.25">
      <c r="A4008" t="str">
        <f>"20190312161047994"</f>
        <v>20190312161047994</v>
      </c>
      <c r="B4008" t="str">
        <f>"1552378247990824"</f>
        <v>1552378247990824</v>
      </c>
      <c r="C4008" t="s">
        <v>40</v>
      </c>
      <c r="D4008">
        <v>5.9810299999999996</v>
      </c>
      <c r="E4008">
        <v>0.58447649999999995</v>
      </c>
      <c r="F4008" t="s">
        <v>87</v>
      </c>
      <c r="G4008">
        <v>-209.75239999999999</v>
      </c>
      <c r="H4008" s="1">
        <v>-5.5459730000000002E-6</v>
      </c>
      <c r="I4008">
        <v>139.87370000000001</v>
      </c>
      <c r="J4008">
        <v>-194.96690000000001</v>
      </c>
      <c r="K4008">
        <v>1.106484</v>
      </c>
      <c r="L4008">
        <v>154.9691</v>
      </c>
      <c r="M4008">
        <v>-0.37847900000000001</v>
      </c>
      <c r="N4008">
        <v>0</v>
      </c>
      <c r="O4008">
        <v>-0.92549199999999998</v>
      </c>
      <c r="P4008">
        <v>-0.52976140000000005</v>
      </c>
      <c r="Q4008">
        <v>-2.7128380000000001E-2</v>
      </c>
      <c r="R4008">
        <v>-0.84771280000000004</v>
      </c>
      <c r="S4008">
        <v>-2.1408839999999998</v>
      </c>
      <c r="T4008">
        <v>-0.15926100000000001</v>
      </c>
      <c r="U4008">
        <v>-2.2018279999999999</v>
      </c>
      <c r="V4008">
        <v>0.169342299999999</v>
      </c>
      <c r="W4008">
        <v>-1.4146189999999999E-2</v>
      </c>
      <c r="X4008">
        <v>0.98545579999999999</v>
      </c>
      <c r="Y4008">
        <v>0.37287150000000002</v>
      </c>
      <c r="Z4008">
        <v>5.1735169999999997E-2</v>
      </c>
      <c r="AA4008">
        <v>0.92643960000000003</v>
      </c>
      <c r="AB4008">
        <v>21</v>
      </c>
      <c r="AC4008">
        <v>-14.7854999999999</v>
      </c>
      <c r="AD4008">
        <v>-1.106489545973</v>
      </c>
      <c r="AE4008">
        <v>-15.0953999999999</v>
      </c>
      <c r="AF4008">
        <v>7.9496407436472802</v>
      </c>
      <c r="AG4008">
        <v>-1.106489545973</v>
      </c>
      <c r="AH4008">
        <v>19.515294522829301</v>
      </c>
      <c r="AI4008">
        <v>93.005789165164202</v>
      </c>
      <c r="AJ4008">
        <v>67.836259861763196</v>
      </c>
      <c r="AK4008">
        <v>21.101370272595499</v>
      </c>
      <c r="AL4008">
        <v>90.810543992811105</v>
      </c>
      <c r="AM4008">
        <v>80.249433916953905</v>
      </c>
      <c r="AN4008">
        <v>1.0000000315072199</v>
      </c>
    </row>
    <row r="4009" spans="1:40" x14ac:dyDescent="0.25">
      <c r="A4009" t="str">
        <f>"20190312161048018"</f>
        <v>20190312161048018</v>
      </c>
      <c r="B4009" t="str">
        <f>"1552378248010344"</f>
        <v>1552378248010344</v>
      </c>
      <c r="C4009" t="s">
        <v>40</v>
      </c>
      <c r="D4009">
        <v>5.8644590000000001</v>
      </c>
      <c r="E4009">
        <v>0.52823889999999996</v>
      </c>
      <c r="F4009" t="s">
        <v>41</v>
      </c>
      <c r="G4009">
        <v>-210.52979999999999</v>
      </c>
      <c r="H4009" s="1">
        <v>-4.5256159999999999E-6</v>
      </c>
      <c r="I4009">
        <v>139.23009999999999</v>
      </c>
      <c r="J4009">
        <v>-195.06059999999999</v>
      </c>
      <c r="K4009">
        <v>1.1063689999999999</v>
      </c>
      <c r="L4009">
        <v>154.7612</v>
      </c>
      <c r="M4009">
        <v>-0.38491629999999999</v>
      </c>
      <c r="N4009">
        <v>0</v>
      </c>
      <c r="O4009">
        <v>-0.92283309999999996</v>
      </c>
      <c r="P4009">
        <v>-0.5361766</v>
      </c>
      <c r="Q4009">
        <v>-2.7520320000000001E-2</v>
      </c>
      <c r="R4009">
        <v>-0.8436574</v>
      </c>
      <c r="S4009">
        <v>-2.159821</v>
      </c>
      <c r="T4009">
        <v>-0.15355829999999901</v>
      </c>
      <c r="U4009">
        <v>-2.18425</v>
      </c>
      <c r="V4009">
        <v>0.1699504</v>
      </c>
      <c r="W4009">
        <v>-1.4577400000000001E-2</v>
      </c>
      <c r="X4009">
        <v>0.98534480000000002</v>
      </c>
      <c r="Y4009">
        <v>0.37427159999999998</v>
      </c>
      <c r="Z4009">
        <v>4.9820030000000001E-2</v>
      </c>
      <c r="AA4009">
        <v>0.92597989999999997</v>
      </c>
      <c r="AB4009">
        <v>21</v>
      </c>
      <c r="AC4009">
        <v>-15.469200000000001</v>
      </c>
      <c r="AD4009">
        <v>-1.1063735256159899</v>
      </c>
      <c r="AE4009">
        <v>-15.5311</v>
      </c>
      <c r="AF4009">
        <v>8.2771376018777296</v>
      </c>
      <c r="AG4009">
        <v>-1.1063735256159899</v>
      </c>
      <c r="AH4009">
        <v>20.2376235544628</v>
      </c>
      <c r="AI4009">
        <v>92.896725337769993</v>
      </c>
      <c r="AJ4009">
        <v>67.755560775994894</v>
      </c>
      <c r="AK4009">
        <v>21.892840756529299</v>
      </c>
      <c r="AL4009">
        <v>90.835253074196103</v>
      </c>
      <c r="AM4009">
        <v>80.2140147994741</v>
      </c>
      <c r="AN4009">
        <v>1.0000000069689701</v>
      </c>
    </row>
    <row r="4010" spans="1:40" x14ac:dyDescent="0.25">
      <c r="A4010" t="str">
        <f>"20190312161048039"</f>
        <v>20190312161048039</v>
      </c>
      <c r="B4010" t="str">
        <f>"1552378248030840"</f>
        <v>1552378248030840</v>
      </c>
      <c r="C4010" t="s">
        <v>40</v>
      </c>
      <c r="D4010">
        <v>5.7660980000000004</v>
      </c>
      <c r="E4010">
        <v>0.50315959999999904</v>
      </c>
      <c r="F4010" t="s">
        <v>42</v>
      </c>
      <c r="G4010">
        <v>-195.5352</v>
      </c>
      <c r="H4010">
        <v>1.0014890000000001</v>
      </c>
      <c r="I4010">
        <v>154.12639999999999</v>
      </c>
      <c r="J4010">
        <v>-195.1455</v>
      </c>
      <c r="K4010">
        <v>1.106252</v>
      </c>
      <c r="L4010">
        <v>154.57669999999999</v>
      </c>
      <c r="M4010">
        <v>-0.39083190000000001</v>
      </c>
      <c r="N4010">
        <v>0</v>
      </c>
      <c r="O4010">
        <v>-0.92034289999999996</v>
      </c>
      <c r="P4010">
        <v>-0.54194709999999902</v>
      </c>
      <c r="Q4010">
        <v>-2.7903460000000001E-2</v>
      </c>
      <c r="R4010">
        <v>-0.83994919999999995</v>
      </c>
      <c r="S4010">
        <v>-1.795639</v>
      </c>
      <c r="T4010">
        <v>-0.39668569999999997</v>
      </c>
      <c r="U4010">
        <v>-2.4018099999999998</v>
      </c>
      <c r="V4010">
        <v>0.170376799999999</v>
      </c>
      <c r="W4010">
        <v>-1.499732E-2</v>
      </c>
      <c r="X4010">
        <v>0.98526480000000005</v>
      </c>
      <c r="Y4010">
        <v>0.232877</v>
      </c>
      <c r="Z4010">
        <v>0.1268685</v>
      </c>
      <c r="AA4010">
        <v>0.96419540000000004</v>
      </c>
      <c r="AB4010">
        <v>21</v>
      </c>
      <c r="AC4010">
        <v>-0.38970000000000399</v>
      </c>
      <c r="AD4010">
        <v>-0.104763</v>
      </c>
      <c r="AE4010">
        <v>-0.45029999999999798</v>
      </c>
      <c r="AF4010">
        <v>0.177202012092077</v>
      </c>
      <c r="AG4010">
        <v>-0.104763</v>
      </c>
      <c r="AH4010">
        <v>0.54978501730620799</v>
      </c>
      <c r="AI4010">
        <v>100.279702846855</v>
      </c>
      <c r="AJ4010">
        <v>72.135273986173402</v>
      </c>
      <c r="AK4010">
        <v>0.58705996670942295</v>
      </c>
      <c r="AL4010">
        <v>90.859315397968203</v>
      </c>
      <c r="AM4010">
        <v>80.189157485463397</v>
      </c>
      <c r="AN4010">
        <v>0.99999994985222995</v>
      </c>
    </row>
    <row r="4011" spans="1:40" x14ac:dyDescent="0.25">
      <c r="A4011" t="str">
        <f>"20190312161048061"</f>
        <v>20190312161048061</v>
      </c>
      <c r="B4011" t="str">
        <f>"1552378248050412"</f>
        <v>1552378248050412</v>
      </c>
      <c r="C4011" t="s">
        <v>40</v>
      </c>
      <c r="D4011">
        <v>5.7292350000000001</v>
      </c>
      <c r="E4011">
        <v>0.49410929999999997</v>
      </c>
      <c r="F4011" t="s">
        <v>42</v>
      </c>
      <c r="G4011">
        <v>-195.53890000000001</v>
      </c>
      <c r="H4011">
        <v>0.89177269999999897</v>
      </c>
      <c r="I4011">
        <v>153.98060000000001</v>
      </c>
      <c r="J4011">
        <v>-195.23509999999999</v>
      </c>
      <c r="K4011">
        <v>1.1061209999999999</v>
      </c>
      <c r="L4011">
        <v>154.386</v>
      </c>
      <c r="M4011">
        <v>-0.39714700000000003</v>
      </c>
      <c r="N4011">
        <v>0</v>
      </c>
      <c r="O4011">
        <v>-0.91763530000000004</v>
      </c>
      <c r="P4011">
        <v>-0.54772989999999999</v>
      </c>
      <c r="Q4011">
        <v>-2.7851460000000001E-2</v>
      </c>
      <c r="R4011">
        <v>-0.83619179999999904</v>
      </c>
      <c r="S4011">
        <v>-1.63896199999999</v>
      </c>
      <c r="T4011">
        <v>-0.8934453</v>
      </c>
      <c r="U4011">
        <v>-2.4844970000000002</v>
      </c>
      <c r="V4011">
        <v>0.17039989999999999</v>
      </c>
      <c r="W4011">
        <v>-1.498069E-2</v>
      </c>
      <c r="X4011">
        <v>0.9852611</v>
      </c>
      <c r="Y4011">
        <v>0.1509625</v>
      </c>
      <c r="Z4011">
        <v>0.27363500000000002</v>
      </c>
      <c r="AA4011">
        <v>0.94991270000000005</v>
      </c>
      <c r="AB4011">
        <v>21</v>
      </c>
      <c r="AC4011">
        <v>-0.303800000000023</v>
      </c>
      <c r="AD4011">
        <v>-0.21434829999999999</v>
      </c>
      <c r="AE4011">
        <v>-0.40539999999998599</v>
      </c>
      <c r="AF4011">
        <v>9.9902306630855101E-2</v>
      </c>
      <c r="AG4011">
        <v>-0.21434829999999999</v>
      </c>
      <c r="AH4011">
        <v>0.417902450033457</v>
      </c>
      <c r="AI4011">
        <v>116.512696830366</v>
      </c>
      <c r="AJ4011">
        <v>76.555390788625999</v>
      </c>
      <c r="AK4011">
        <v>0.48017509548811599</v>
      </c>
      <c r="AL4011">
        <v>90.858362426659198</v>
      </c>
      <c r="AM4011">
        <v>80.187817035309394</v>
      </c>
      <c r="AN4011">
        <v>0.99999999108304805</v>
      </c>
    </row>
    <row r="4012" spans="1:40" x14ac:dyDescent="0.25">
      <c r="A4012" t="str">
        <f>"20190312161048083"</f>
        <v>20190312161048083</v>
      </c>
      <c r="B4012" t="str">
        <f>"1552378248080665"</f>
        <v>1552378248080665</v>
      </c>
      <c r="C4012" t="s">
        <v>40</v>
      </c>
      <c r="D4012">
        <v>5.709085</v>
      </c>
      <c r="E4012">
        <v>0.4917204</v>
      </c>
      <c r="F4012" t="s">
        <v>42</v>
      </c>
      <c r="G4012">
        <v>-195.6097</v>
      </c>
      <c r="H4012">
        <v>0.90768040000000005</v>
      </c>
      <c r="I4012">
        <v>153.79599999999999</v>
      </c>
      <c r="J4012">
        <v>-195.3253</v>
      </c>
      <c r="K4012">
        <v>1.1059870000000001</v>
      </c>
      <c r="L4012">
        <v>154.1979</v>
      </c>
      <c r="M4012">
        <v>-0.40358739999999999</v>
      </c>
      <c r="N4012">
        <v>0</v>
      </c>
      <c r="O4012">
        <v>-0.91482059999999998</v>
      </c>
      <c r="P4012">
        <v>-0.55420709999999995</v>
      </c>
      <c r="Q4012">
        <v>-2.8597709999999998E-2</v>
      </c>
      <c r="R4012">
        <v>-0.83188759999999995</v>
      </c>
      <c r="S4012">
        <v>-1.596069</v>
      </c>
      <c r="T4012">
        <v>-0.84549390000000002</v>
      </c>
      <c r="U4012">
        <v>-2.5140690000000001</v>
      </c>
      <c r="V4012">
        <v>0.17112289999999999</v>
      </c>
      <c r="W4012">
        <v>-1.5772129999999999E-2</v>
      </c>
      <c r="X4012">
        <v>0.98512350000000004</v>
      </c>
      <c r="Y4012">
        <v>0.12980059999999999</v>
      </c>
      <c r="Z4012">
        <v>0.25802069999999999</v>
      </c>
      <c r="AA4012">
        <v>0.95738040000000002</v>
      </c>
      <c r="AB4012">
        <v>21</v>
      </c>
      <c r="AC4012">
        <v>-0.28440000000000498</v>
      </c>
      <c r="AD4012">
        <v>-0.1983066</v>
      </c>
      <c r="AE4012">
        <v>-0.40190000000001103</v>
      </c>
      <c r="AF4012">
        <v>8.4306949452842506E-2</v>
      </c>
      <c r="AG4012">
        <v>-0.1983066</v>
      </c>
      <c r="AH4012">
        <v>0.41515031401144498</v>
      </c>
      <c r="AI4012">
        <v>115.085195025582</v>
      </c>
      <c r="AJ4012">
        <v>78.520720255314203</v>
      </c>
      <c r="AK4012">
        <v>0.46774239978155302</v>
      </c>
      <c r="AL4012">
        <v>90.903713900585302</v>
      </c>
      <c r="AM4012">
        <v>80.145649349586407</v>
      </c>
      <c r="AN4012">
        <v>1.0000000586206901</v>
      </c>
    </row>
    <row r="4013" spans="1:40" x14ac:dyDescent="0.25">
      <c r="A4013" t="str">
        <f>"20190312161048129"</f>
        <v>20190312161048129</v>
      </c>
      <c r="B4013" t="str">
        <f>"1552378248120681"</f>
        <v>1552378248120681</v>
      </c>
      <c r="C4013" t="s">
        <v>40</v>
      </c>
      <c r="D4013">
        <v>5.7962339999999903</v>
      </c>
      <c r="E4013">
        <v>0.49111579999999999</v>
      </c>
      <c r="F4013" t="s">
        <v>42</v>
      </c>
      <c r="G4013">
        <v>-195.69290000000001</v>
      </c>
      <c r="H4013">
        <v>0.91384480000000001</v>
      </c>
      <c r="I4013">
        <v>153.6208</v>
      </c>
      <c r="J4013">
        <v>-195.52269999999999</v>
      </c>
      <c r="K4013">
        <v>1.105723</v>
      </c>
      <c r="L4013">
        <v>153.8006</v>
      </c>
      <c r="M4013">
        <v>-0.4179466</v>
      </c>
      <c r="N4013">
        <v>0</v>
      </c>
      <c r="O4013">
        <v>-0.90834970000000004</v>
      </c>
      <c r="P4013">
        <v>-0.56864979999999998</v>
      </c>
      <c r="Q4013">
        <v>-2.8791150000000001E-2</v>
      </c>
      <c r="R4013">
        <v>-0.82207640000000004</v>
      </c>
      <c r="S4013">
        <v>-1.599442</v>
      </c>
      <c r="T4013">
        <v>-0.83593249999999997</v>
      </c>
      <c r="U4013">
        <v>-2.5119319999999998</v>
      </c>
      <c r="V4013">
        <v>0.17279910000000001</v>
      </c>
      <c r="W4013">
        <v>-1.6053810000000002E-2</v>
      </c>
      <c r="X4013">
        <v>0.98482630000000004</v>
      </c>
      <c r="Y4013">
        <v>0.1161121</v>
      </c>
      <c r="Z4013">
        <v>0.25305509999999998</v>
      </c>
      <c r="AA4013">
        <v>0.96045879999999995</v>
      </c>
      <c r="AB4013">
        <v>21</v>
      </c>
      <c r="AC4013">
        <v>-0.170200000000022</v>
      </c>
      <c r="AD4013">
        <v>-0.1918782</v>
      </c>
      <c r="AE4013">
        <v>-0.17979999999999999</v>
      </c>
      <c r="AF4013">
        <v>4.9644406759775703E-2</v>
      </c>
      <c r="AG4013">
        <v>-0.1918782</v>
      </c>
      <c r="AH4013">
        <v>0.14649195207744201</v>
      </c>
      <c r="AI4013">
        <v>141.12729315216399</v>
      </c>
      <c r="AJ4013">
        <v>71.279082237054297</v>
      </c>
      <c r="AK4013">
        <v>0.24645831854743599</v>
      </c>
      <c r="AL4013">
        <v>90.919855028897302</v>
      </c>
      <c r="AM4013">
        <v>80.048100217514701</v>
      </c>
      <c r="AN4013">
        <v>1.0000000474740001</v>
      </c>
    </row>
    <row r="4014" spans="1:40" x14ac:dyDescent="0.25">
      <c r="A4014" t="str">
        <f>"20190312161048163"</f>
        <v>20190312161048163</v>
      </c>
      <c r="B4014" t="str">
        <f>"1552378248150467"</f>
        <v>1552378248150467</v>
      </c>
      <c r="C4014" t="s">
        <v>40</v>
      </c>
      <c r="D4014">
        <v>5.7965080000000002</v>
      </c>
      <c r="E4014">
        <v>0.4918865</v>
      </c>
      <c r="F4014" t="s">
        <v>42</v>
      </c>
      <c r="G4014">
        <v>-195.9633</v>
      </c>
      <c r="H4014">
        <v>0.87800869999999998</v>
      </c>
      <c r="I4014">
        <v>153.1327</v>
      </c>
      <c r="J4014">
        <v>-195.66759999999999</v>
      </c>
      <c r="K4014">
        <v>1.105583</v>
      </c>
      <c r="L4014">
        <v>153.5197</v>
      </c>
      <c r="M4014">
        <v>-0.42859170000000002</v>
      </c>
      <c r="N4014">
        <v>0</v>
      </c>
      <c r="O4014">
        <v>-0.90337500000000004</v>
      </c>
      <c r="P4014">
        <v>-0.57888090000000003</v>
      </c>
      <c r="Q4014">
        <v>-2.8750129999999999E-2</v>
      </c>
      <c r="R4014">
        <v>-0.8149052</v>
      </c>
      <c r="S4014">
        <v>-1.6396329999999999</v>
      </c>
      <c r="T4014">
        <v>-0.84717969999999898</v>
      </c>
      <c r="U4014">
        <v>-2.4854280000000002</v>
      </c>
      <c r="V4014">
        <v>0.17353080000000001</v>
      </c>
      <c r="W4014">
        <v>-1.6049609999999999E-2</v>
      </c>
      <c r="X4014">
        <v>0.98469759999999995</v>
      </c>
      <c r="Y4014">
        <v>0.1195295</v>
      </c>
      <c r="Z4014">
        <v>0.25532090000000002</v>
      </c>
      <c r="AA4014">
        <v>0.95943940000000005</v>
      </c>
      <c r="AB4014">
        <v>21</v>
      </c>
      <c r="AC4014">
        <v>-0.29570000000001001</v>
      </c>
      <c r="AD4014">
        <v>-0.22757430000000001</v>
      </c>
      <c r="AE4014">
        <v>-0.38700000000000001</v>
      </c>
      <c r="AF4014">
        <v>8.3125333341525498E-2</v>
      </c>
      <c r="AG4014">
        <v>-0.22757430000000001</v>
      </c>
      <c r="AH4014">
        <v>0.39102119090036802</v>
      </c>
      <c r="AI4014">
        <v>119.65192898868</v>
      </c>
      <c r="AJ4014">
        <v>77.998427942698498</v>
      </c>
      <c r="AK4014">
        <v>0.45999723346643201</v>
      </c>
      <c r="AL4014">
        <v>90.919614448963401</v>
      </c>
      <c r="AM4014">
        <v>80.005527839440703</v>
      </c>
      <c r="AN4014">
        <v>0.99999994598777397</v>
      </c>
    </row>
    <row r="4015" spans="1:40" x14ac:dyDescent="0.25">
      <c r="A4015" t="str">
        <f>"20190312161048186"</f>
        <v>20190312161048186</v>
      </c>
      <c r="B4015" t="str">
        <f>"1552378248180724"</f>
        <v>1552378248180724</v>
      </c>
      <c r="C4015" t="s">
        <v>40</v>
      </c>
      <c r="D4015">
        <v>5.8788970000000003</v>
      </c>
      <c r="E4015">
        <v>0.49168990000000001</v>
      </c>
      <c r="F4015" t="s">
        <v>42</v>
      </c>
      <c r="G4015">
        <v>-196.05529999999999</v>
      </c>
      <c r="H4015">
        <v>0.91194529999999996</v>
      </c>
      <c r="I4015">
        <v>152.9503</v>
      </c>
      <c r="J4015">
        <v>-195.77109999999999</v>
      </c>
      <c r="K4015">
        <v>1.105507</v>
      </c>
      <c r="L4015">
        <v>153.32470000000001</v>
      </c>
      <c r="M4015">
        <v>-0.436224</v>
      </c>
      <c r="N4015">
        <v>0</v>
      </c>
      <c r="O4015">
        <v>-0.89971389999999996</v>
      </c>
      <c r="P4015">
        <v>-0.58610779999999996</v>
      </c>
      <c r="Q4015">
        <v>-2.943173E-2</v>
      </c>
      <c r="R4015">
        <v>-0.80969829999999998</v>
      </c>
      <c r="S4015">
        <v>-1.6752779999999901</v>
      </c>
      <c r="T4015">
        <v>-0.83651640000000005</v>
      </c>
      <c r="U4015">
        <v>-2.4618380000000002</v>
      </c>
      <c r="V4015">
        <v>0.17395459999999999</v>
      </c>
      <c r="W4015">
        <v>-1.6749259999999998E-2</v>
      </c>
      <c r="X4015">
        <v>0.98461120000000002</v>
      </c>
      <c r="Y4015">
        <v>0.12541649999999999</v>
      </c>
      <c r="Z4015">
        <v>0.25182290000000002</v>
      </c>
      <c r="AA4015">
        <v>0.95961240000000003</v>
      </c>
      <c r="AB4015">
        <v>21</v>
      </c>
      <c r="AC4015">
        <v>-0.28419999999999801</v>
      </c>
      <c r="AD4015">
        <v>-0.193561699999999</v>
      </c>
      <c r="AE4015">
        <v>-0.374400000000008</v>
      </c>
      <c r="AF4015">
        <v>7.8991916695508702E-2</v>
      </c>
      <c r="AG4015">
        <v>-0.193561699999999</v>
      </c>
      <c r="AH4015">
        <v>0.39405797450545099</v>
      </c>
      <c r="AI4015">
        <v>115.71638940355599</v>
      </c>
      <c r="AJ4015">
        <v>78.664859481966204</v>
      </c>
      <c r="AK4015">
        <v>0.44608019669276799</v>
      </c>
      <c r="AL4015">
        <v>90.959706805100097</v>
      </c>
      <c r="AM4015">
        <v>79.9807517520819</v>
      </c>
      <c r="AN4015">
        <v>0.99999997786857298</v>
      </c>
    </row>
    <row r="4016" spans="1:40" x14ac:dyDescent="0.25">
      <c r="A4016" t="str">
        <f>"20190312161048208"</f>
        <v>20190312161048208</v>
      </c>
      <c r="B4016" t="str">
        <f>"1552378248200244"</f>
        <v>1552378248200244</v>
      </c>
      <c r="C4016" t="s">
        <v>40</v>
      </c>
      <c r="D4016">
        <v>5.874911</v>
      </c>
      <c r="E4016">
        <v>0.49124200000000001</v>
      </c>
      <c r="F4016" t="s">
        <v>42</v>
      </c>
      <c r="G4016">
        <v>-196.2467</v>
      </c>
      <c r="H4016">
        <v>0.87696479999999999</v>
      </c>
      <c r="I4016">
        <v>152.6388</v>
      </c>
      <c r="J4016">
        <v>-195.87039999999999</v>
      </c>
      <c r="K4016">
        <v>1.105453</v>
      </c>
      <c r="L4016">
        <v>153.14179999999999</v>
      </c>
      <c r="M4016">
        <v>-0.44356689999999999</v>
      </c>
      <c r="N4016">
        <v>0</v>
      </c>
      <c r="O4016">
        <v>-0.89611659999999904</v>
      </c>
      <c r="P4016">
        <v>-0.59300520000000001</v>
      </c>
      <c r="Q4016">
        <v>-3.0222840000000001E-2</v>
      </c>
      <c r="R4016">
        <v>-0.80463180000000001</v>
      </c>
      <c r="S4016">
        <v>-1.6964109999999999</v>
      </c>
      <c r="T4016">
        <v>-0.81494519999999904</v>
      </c>
      <c r="U4016">
        <v>-2.447495</v>
      </c>
      <c r="V4016">
        <v>0.174317</v>
      </c>
      <c r="W4016">
        <v>-1.7557610000000001E-2</v>
      </c>
      <c r="X4016">
        <v>0.98453299999999999</v>
      </c>
      <c r="Y4016">
        <v>0.12659100000000001</v>
      </c>
      <c r="Z4016">
        <v>0.24499689999999999</v>
      </c>
      <c r="AA4016">
        <v>0.96122379999999996</v>
      </c>
      <c r="AB4016">
        <v>21</v>
      </c>
      <c r="AC4016">
        <v>-0.37630000000001401</v>
      </c>
      <c r="AD4016">
        <v>-0.228488199999999</v>
      </c>
      <c r="AE4016">
        <v>-0.50299999999998501</v>
      </c>
      <c r="AF4016">
        <v>0.100774803348942</v>
      </c>
      <c r="AG4016">
        <v>-0.228488199999999</v>
      </c>
      <c r="AH4016">
        <v>0.54555337042506602</v>
      </c>
      <c r="AI4016">
        <v>112.384390444229</v>
      </c>
      <c r="AJ4016">
        <v>79.534275790914805</v>
      </c>
      <c r="AK4016">
        <v>0.599992415378234</v>
      </c>
      <c r="AL4016">
        <v>91.006028687010897</v>
      </c>
      <c r="AM4016">
        <v>79.959521633593596</v>
      </c>
      <c r="AN4016">
        <v>0.99999995712345502</v>
      </c>
    </row>
    <row r="4017" spans="1:40" x14ac:dyDescent="0.25">
      <c r="A4017" t="str">
        <f>"20190312161048229"</f>
        <v>20190312161048229</v>
      </c>
      <c r="B4017" t="str">
        <f>"1552378248220743"</f>
        <v>1552378248220743</v>
      </c>
      <c r="C4017" t="s">
        <v>40</v>
      </c>
      <c r="D4017">
        <v>5.8870259999999996</v>
      </c>
      <c r="E4017">
        <v>0.49100919999999998</v>
      </c>
      <c r="F4017" t="s">
        <v>42</v>
      </c>
      <c r="G4017">
        <v>-196.34180000000001</v>
      </c>
      <c r="H4017">
        <v>0.88365459999999996</v>
      </c>
      <c r="I4017">
        <v>152.47239999999999</v>
      </c>
      <c r="J4017">
        <v>-195.96979999999999</v>
      </c>
      <c r="K4017">
        <v>1.1054040000000001</v>
      </c>
      <c r="L4017">
        <v>152.96260000000001</v>
      </c>
      <c r="M4017">
        <v>-0.45089780000000002</v>
      </c>
      <c r="N4017">
        <v>0</v>
      </c>
      <c r="O4017">
        <v>-0.89244969999999901</v>
      </c>
      <c r="P4017">
        <v>-0.59991709999999998</v>
      </c>
      <c r="Q4017">
        <v>-3.0937619999999999E-2</v>
      </c>
      <c r="R4017">
        <v>-0.79946390000000001</v>
      </c>
      <c r="S4017">
        <v>-1.714539</v>
      </c>
      <c r="T4017">
        <v>-0.80659429999999999</v>
      </c>
      <c r="U4017">
        <v>-2.4345699999999999</v>
      </c>
      <c r="V4017">
        <v>0.17473150000000001</v>
      </c>
      <c r="W4017">
        <v>-1.8288450000000001E-2</v>
      </c>
      <c r="X4017">
        <v>0.9844463</v>
      </c>
      <c r="Y4017">
        <v>0.12610209999999999</v>
      </c>
      <c r="Z4017">
        <v>0.24181530000000001</v>
      </c>
      <c r="AA4017">
        <v>0.96209339999999999</v>
      </c>
      <c r="AB4017">
        <v>21</v>
      </c>
      <c r="AC4017">
        <v>-0.37200000000001399</v>
      </c>
      <c r="AD4017">
        <v>-0.22174940000000001</v>
      </c>
      <c r="AE4017">
        <v>-0.49020000000001501</v>
      </c>
      <c r="AF4017">
        <v>9.8219539168006201E-2</v>
      </c>
      <c r="AG4017">
        <v>-0.22174940000000001</v>
      </c>
      <c r="AH4017">
        <v>0.53571637450669896</v>
      </c>
      <c r="AI4017">
        <v>112.153410505482</v>
      </c>
      <c r="AJ4017">
        <v>79.610638215159796</v>
      </c>
      <c r="AK4017">
        <v>0.58805774222378704</v>
      </c>
      <c r="AL4017">
        <v>91.047909376619202</v>
      </c>
      <c r="AM4017">
        <v>79.935266137218306</v>
      </c>
      <c r="AN4017">
        <v>1.0000000410396701</v>
      </c>
    </row>
    <row r="4018" spans="1:40" x14ac:dyDescent="0.25">
      <c r="A4018" t="str">
        <f>"20190312161048251"</f>
        <v>20190312161048251</v>
      </c>
      <c r="B4018" t="str">
        <f>"1552378248240263"</f>
        <v>1552378248240263</v>
      </c>
      <c r="C4018" t="s">
        <v>40</v>
      </c>
      <c r="D4018">
        <v>5.9388949999999996</v>
      </c>
      <c r="E4018">
        <v>0.49124010000000001</v>
      </c>
      <c r="F4018" t="s">
        <v>42</v>
      </c>
      <c r="G4018">
        <v>-196.43870000000001</v>
      </c>
      <c r="H4018">
        <v>0.88886089999999995</v>
      </c>
      <c r="I4018">
        <v>152.30799999999999</v>
      </c>
      <c r="J4018">
        <v>-196.0746</v>
      </c>
      <c r="K4018">
        <v>1.105343</v>
      </c>
      <c r="L4018">
        <v>152.77770000000001</v>
      </c>
      <c r="M4018">
        <v>-0.4586016</v>
      </c>
      <c r="N4018">
        <v>0</v>
      </c>
      <c r="O4018">
        <v>-0.88851539999999996</v>
      </c>
      <c r="P4018">
        <v>-0.60690949999999999</v>
      </c>
      <c r="Q4018">
        <v>-3.1067790000000001E-2</v>
      </c>
      <c r="R4018">
        <v>-0.79416399999999998</v>
      </c>
      <c r="S4018">
        <v>-1.7334290000000001</v>
      </c>
      <c r="T4018">
        <v>-0.80025729999999995</v>
      </c>
      <c r="U4018">
        <v>-2.4207920000000001</v>
      </c>
      <c r="V4018">
        <v>0.17485129999999999</v>
      </c>
      <c r="W4018">
        <v>-1.843011E-2</v>
      </c>
      <c r="X4018">
        <v>0.98442229999999997</v>
      </c>
      <c r="Y4018">
        <v>0.125444899999999</v>
      </c>
      <c r="Z4018">
        <v>0.23914379999999999</v>
      </c>
      <c r="AA4018">
        <v>0.9628468</v>
      </c>
      <c r="AB4018">
        <v>21</v>
      </c>
      <c r="AC4018">
        <v>-0.36410000000000697</v>
      </c>
      <c r="AD4018">
        <v>-0.21648209999999901</v>
      </c>
      <c r="AE4018">
        <v>-0.46970000000001699</v>
      </c>
      <c r="AF4018">
        <v>9.5450133612912796E-2</v>
      </c>
      <c r="AG4018">
        <v>-0.21648209999999901</v>
      </c>
      <c r="AH4018">
        <v>0.51592056941473297</v>
      </c>
      <c r="AI4018">
        <v>112.421121986318</v>
      </c>
      <c r="AJ4018">
        <v>79.518263395355802</v>
      </c>
      <c r="AK4018">
        <v>0.56758194260595995</v>
      </c>
      <c r="AL4018">
        <v>91.056027355100596</v>
      </c>
      <c r="AM4018">
        <v>79.928266231416401</v>
      </c>
      <c r="AN4018">
        <v>0.99999995540179498</v>
      </c>
    </row>
    <row r="4019" spans="1:40" x14ac:dyDescent="0.25">
      <c r="A4019" t="str">
        <f>"20190312161048273"</f>
        <v>20190312161048273</v>
      </c>
      <c r="B4019" t="str">
        <f>"1552378248260756"</f>
        <v>1552378248260756</v>
      </c>
      <c r="C4019" t="s">
        <v>40</v>
      </c>
      <c r="D4019">
        <v>5.9303869999999996</v>
      </c>
      <c r="E4019">
        <v>0.49088389999999998</v>
      </c>
      <c r="F4019" t="s">
        <v>42</v>
      </c>
      <c r="G4019">
        <v>-196.53729999999999</v>
      </c>
      <c r="H4019">
        <v>0.89580729999999997</v>
      </c>
      <c r="I4019">
        <v>152.14420000000001</v>
      </c>
      <c r="J4019">
        <v>-196.1765</v>
      </c>
      <c r="K4019">
        <v>1.1052869999999999</v>
      </c>
      <c r="L4019">
        <v>152.60169999999999</v>
      </c>
      <c r="M4019">
        <v>-0.46606560000000002</v>
      </c>
      <c r="N4019">
        <v>0</v>
      </c>
      <c r="O4019">
        <v>-0.88462260000000004</v>
      </c>
      <c r="P4019">
        <v>-0.61385239999999996</v>
      </c>
      <c r="Q4019">
        <v>-3.0414859999999998E-2</v>
      </c>
      <c r="R4019">
        <v>-0.78883479999999995</v>
      </c>
      <c r="S4019">
        <v>-1.75595099999999</v>
      </c>
      <c r="T4019">
        <v>-0.79489529999999997</v>
      </c>
      <c r="U4019">
        <v>-2.4045559999999999</v>
      </c>
      <c r="V4019">
        <v>0.175192299999999</v>
      </c>
      <c r="W4019">
        <v>-1.7791919999999999E-2</v>
      </c>
      <c r="X4019">
        <v>0.98437350000000001</v>
      </c>
      <c r="Y4019">
        <v>0.1263871</v>
      </c>
      <c r="Z4019">
        <v>0.23683419999999999</v>
      </c>
      <c r="AA4019">
        <v>0.96329430000000005</v>
      </c>
      <c r="AB4019">
        <v>21</v>
      </c>
      <c r="AC4019">
        <v>-0.36079999999998302</v>
      </c>
      <c r="AD4019">
        <v>-0.20947969999999999</v>
      </c>
      <c r="AE4019">
        <v>-0.45749999999998098</v>
      </c>
      <c r="AF4019">
        <v>9.3830233371170399E-2</v>
      </c>
      <c r="AG4019">
        <v>-0.20947969999999999</v>
      </c>
      <c r="AH4019">
        <v>0.50735498681426705</v>
      </c>
      <c r="AI4019">
        <v>112.09720397957599</v>
      </c>
      <c r="AJ4019">
        <v>79.522105644604295</v>
      </c>
      <c r="AK4019">
        <v>0.55686168843967299</v>
      </c>
      <c r="AL4019">
        <v>91.019455673703803</v>
      </c>
      <c r="AM4019">
        <v>79.908537361634004</v>
      </c>
      <c r="AN4019">
        <v>1.0000000409494101</v>
      </c>
    </row>
    <row r="4020" spans="1:40" x14ac:dyDescent="0.25">
      <c r="A4020" t="str">
        <f>"20190312161048296"</f>
        <v>20190312161048296</v>
      </c>
      <c r="B4020" t="str">
        <f>"1552378248291012"</f>
        <v>1552378248291012</v>
      </c>
      <c r="C4020" t="s">
        <v>40</v>
      </c>
      <c r="D4020">
        <v>5.9745080000000002</v>
      </c>
      <c r="E4020">
        <v>0.49052970000000001</v>
      </c>
      <c r="F4020" t="s">
        <v>42</v>
      </c>
      <c r="G4020">
        <v>-196.63679999999999</v>
      </c>
      <c r="H4020">
        <v>0.90188310000000005</v>
      </c>
      <c r="I4020">
        <v>151.98179999999999</v>
      </c>
      <c r="J4020">
        <v>-196.28559999999999</v>
      </c>
      <c r="K4020">
        <v>1.105235</v>
      </c>
      <c r="L4020">
        <v>152.41730000000001</v>
      </c>
      <c r="M4020">
        <v>-0.4740317</v>
      </c>
      <c r="N4020">
        <v>0</v>
      </c>
      <c r="O4020">
        <v>-0.88037919999999903</v>
      </c>
      <c r="P4020">
        <v>-0.62134180000000006</v>
      </c>
      <c r="Q4020">
        <v>-3.0700419999999999E-2</v>
      </c>
      <c r="R4020">
        <v>-0.78293809999999997</v>
      </c>
      <c r="S4020">
        <v>-1.7753300000000001</v>
      </c>
      <c r="T4020">
        <v>-0.78418169999999898</v>
      </c>
      <c r="U4020">
        <v>-2.3913570000000002</v>
      </c>
      <c r="V4020">
        <v>0.17568610000000001</v>
      </c>
      <c r="W4020">
        <v>-1.809616E-2</v>
      </c>
      <c r="X4020">
        <v>0.98427989999999999</v>
      </c>
      <c r="Y4020">
        <v>0.12560539999999901</v>
      </c>
      <c r="Z4020">
        <v>0.2327873</v>
      </c>
      <c r="AA4020">
        <v>0.96438239999999997</v>
      </c>
      <c r="AB4020">
        <v>21</v>
      </c>
      <c r="AC4020">
        <v>-0.35120000000000501</v>
      </c>
      <c r="AD4020">
        <v>-0.203351899999999</v>
      </c>
      <c r="AE4020">
        <v>-0.43550000000001798</v>
      </c>
      <c r="AF4020">
        <v>9.0768224126746497E-2</v>
      </c>
      <c r="AG4020">
        <v>-0.203351899999999</v>
      </c>
      <c r="AH4020">
        <v>0.48577015722457301</v>
      </c>
      <c r="AI4020">
        <v>112.366948968982</v>
      </c>
      <c r="AJ4020">
        <v>79.416090436024405</v>
      </c>
      <c r="AK4020">
        <v>0.53438142875171102</v>
      </c>
      <c r="AL4020">
        <v>91.036890191447299</v>
      </c>
      <c r="AM4020">
        <v>79.879738010960693</v>
      </c>
      <c r="AN4020">
        <v>0.99999999914198201</v>
      </c>
    </row>
    <row r="4021" spans="1:40" x14ac:dyDescent="0.25">
      <c r="A4021" t="str">
        <f>"20190312161048320"</f>
        <v>20190312161048320</v>
      </c>
      <c r="B4021" t="str">
        <f>"1552378248310532"</f>
        <v>1552378248310532</v>
      </c>
      <c r="C4021" t="s">
        <v>40</v>
      </c>
      <c r="D4021">
        <v>6.065887</v>
      </c>
      <c r="E4021">
        <v>0.4909615</v>
      </c>
      <c r="F4021" t="s">
        <v>42</v>
      </c>
      <c r="G4021">
        <v>-196.73740000000001</v>
      </c>
      <c r="H4021">
        <v>0.90990150000000003</v>
      </c>
      <c r="I4021">
        <v>151.8194</v>
      </c>
      <c r="J4021">
        <v>-196.4032</v>
      </c>
      <c r="K4021">
        <v>1.1051759999999999</v>
      </c>
      <c r="L4021">
        <v>152.22299999999899</v>
      </c>
      <c r="M4021">
        <v>-0.48257739999999999</v>
      </c>
      <c r="N4021">
        <v>0</v>
      </c>
      <c r="O4021">
        <v>-0.87572399999999995</v>
      </c>
      <c r="P4021">
        <v>-0.62946369999999996</v>
      </c>
      <c r="Q4021">
        <v>-3.1746099999999999E-2</v>
      </c>
      <c r="R4021">
        <v>-0.7763814</v>
      </c>
      <c r="S4021">
        <v>-1.795547</v>
      </c>
      <c r="T4021">
        <v>-0.77642889999999998</v>
      </c>
      <c r="U4021">
        <v>-2.376328</v>
      </c>
      <c r="V4021">
        <v>0.17636360000000001</v>
      </c>
      <c r="W4021">
        <v>-1.9163949999999999E-2</v>
      </c>
      <c r="X4021">
        <v>0.98413850000000003</v>
      </c>
      <c r="Y4021">
        <v>0.1245641</v>
      </c>
      <c r="Z4021">
        <v>0.22953190000000001</v>
      </c>
      <c r="AA4021">
        <v>0.96529730000000002</v>
      </c>
      <c r="AB4021">
        <v>21</v>
      </c>
      <c r="AC4021">
        <v>-0.33420000000000899</v>
      </c>
      <c r="AD4021">
        <v>-0.19527449999999999</v>
      </c>
      <c r="AE4021">
        <v>-0.40359999999998297</v>
      </c>
      <c r="AF4021">
        <v>8.5970785091522603E-2</v>
      </c>
      <c r="AG4021">
        <v>-0.19527449999999999</v>
      </c>
      <c r="AH4021">
        <v>0.45200636798629301</v>
      </c>
      <c r="AI4021">
        <v>112.99679369665699</v>
      </c>
      <c r="AJ4021">
        <v>79.231074483097899</v>
      </c>
      <c r="AK4021">
        <v>0.499832834995524</v>
      </c>
      <c r="AL4021">
        <v>91.098080693765894</v>
      </c>
      <c r="AM4021">
        <v>79.840093223777203</v>
      </c>
      <c r="AN4021">
        <v>0.99999998178340599</v>
      </c>
    </row>
    <row r="4022" spans="1:40" x14ac:dyDescent="0.25">
      <c r="A4022" t="str">
        <f>"20190312161048343"</f>
        <v>20190312161048343</v>
      </c>
      <c r="B4022" t="str">
        <f>"1552378248340787"</f>
        <v>1552378248340787</v>
      </c>
      <c r="C4022" t="s">
        <v>40</v>
      </c>
      <c r="D4022">
        <v>5.7517129999999996</v>
      </c>
      <c r="E4022">
        <v>0.5300629</v>
      </c>
      <c r="F4022" t="s">
        <v>42</v>
      </c>
      <c r="G4022">
        <v>-196.84010000000001</v>
      </c>
      <c r="H4022">
        <v>0.91763709999999998</v>
      </c>
      <c r="I4022">
        <v>151.65860000000001</v>
      </c>
      <c r="J4022">
        <v>-196.51949999999999</v>
      </c>
      <c r="K4022">
        <v>1.105111</v>
      </c>
      <c r="L4022">
        <v>152.0352</v>
      </c>
      <c r="M4022">
        <v>-0.49099749999999998</v>
      </c>
      <c r="N4022">
        <v>0</v>
      </c>
      <c r="O4022">
        <v>-0.87103039999999998</v>
      </c>
      <c r="P4022">
        <v>-0.63749350000000005</v>
      </c>
      <c r="Q4022">
        <v>-3.2389059999999997E-2</v>
      </c>
      <c r="R4022">
        <v>-0.76977489999999904</v>
      </c>
      <c r="S4022">
        <v>-1.822327</v>
      </c>
      <c r="T4022">
        <v>-0.78214419999999996</v>
      </c>
      <c r="U4022">
        <v>-2.3546140000000002</v>
      </c>
      <c r="V4022">
        <v>0.17709910000000001</v>
      </c>
      <c r="W4022">
        <v>-1.982869E-2</v>
      </c>
      <c r="X4022">
        <v>0.98399329999999996</v>
      </c>
      <c r="Y4022">
        <v>0.1259739</v>
      </c>
      <c r="Z4022">
        <v>0.23025950000000001</v>
      </c>
      <c r="AA4022">
        <v>0.96494100000000005</v>
      </c>
      <c r="AB4022">
        <v>21</v>
      </c>
      <c r="AC4022">
        <v>-0.32060000000001299</v>
      </c>
      <c r="AD4022">
        <v>-0.1874739</v>
      </c>
      <c r="AE4022">
        <v>-0.37659999999999599</v>
      </c>
      <c r="AF4022">
        <v>8.2499659842790105E-2</v>
      </c>
      <c r="AG4022">
        <v>-0.1874739</v>
      </c>
      <c r="AH4022">
        <v>0.42450510178585699</v>
      </c>
      <c r="AI4022">
        <v>113.437617658886</v>
      </c>
      <c r="AJ4022">
        <v>79.002051408750404</v>
      </c>
      <c r="AK4022">
        <v>0.47133559010285597</v>
      </c>
      <c r="AL4022">
        <v>91.136174664582299</v>
      </c>
      <c r="AM4022">
        <v>79.797137032417496</v>
      </c>
      <c r="AN4022">
        <v>1.0000000413064001</v>
      </c>
    </row>
    <row r="4023" spans="1:40" x14ac:dyDescent="0.25">
      <c r="A4023" t="str">
        <f>"20190312161048363"</f>
        <v>20190312161048363</v>
      </c>
      <c r="B4023" t="str">
        <f>"1552378248360308"</f>
        <v>1552378248360308</v>
      </c>
      <c r="C4023" t="s">
        <v>40</v>
      </c>
      <c r="D4023">
        <v>6.0454439999999998</v>
      </c>
      <c r="E4023">
        <v>0.58796380000000004</v>
      </c>
      <c r="F4023" t="s">
        <v>87</v>
      </c>
      <c r="G4023">
        <v>-204.2877</v>
      </c>
      <c r="H4023" s="1">
        <v>-9.0291249999999997E-6</v>
      </c>
      <c r="I4023">
        <v>144.05840000000001</v>
      </c>
      <c r="J4023">
        <v>-196.6147</v>
      </c>
      <c r="K4023">
        <v>1.105048</v>
      </c>
      <c r="L4023">
        <v>151.88509999999999</v>
      </c>
      <c r="M4023">
        <v>-0.49784899999999999</v>
      </c>
      <c r="N4023">
        <v>0</v>
      </c>
      <c r="O4023">
        <v>-0.86713269999999998</v>
      </c>
      <c r="P4023">
        <v>-0.64355469999999904</v>
      </c>
      <c r="Q4023">
        <v>-3.3158609999999998E-2</v>
      </c>
      <c r="R4023">
        <v>-0.76468210000000003</v>
      </c>
      <c r="S4023">
        <v>-2.0941930000000002</v>
      </c>
      <c r="T4023">
        <v>-0.29792560000000001</v>
      </c>
      <c r="U4023">
        <v>-2.1504210000000001</v>
      </c>
      <c r="V4023">
        <v>0.1771191</v>
      </c>
      <c r="W4023">
        <v>-2.060642E-2</v>
      </c>
      <c r="X4023">
        <v>0.98397369999999995</v>
      </c>
      <c r="Y4023">
        <v>0.24498439999999999</v>
      </c>
      <c r="Z4023">
        <v>9.1843170000000002E-2</v>
      </c>
      <c r="AA4023">
        <v>0.965167</v>
      </c>
      <c r="AB4023">
        <v>21</v>
      </c>
      <c r="AC4023">
        <v>-7.673</v>
      </c>
      <c r="AD4023">
        <v>-1.1050570291249999</v>
      </c>
      <c r="AE4023">
        <v>-7.8266999999999802</v>
      </c>
      <c r="AF4023">
        <v>2.7295615943594398</v>
      </c>
      <c r="AG4023">
        <v>-1.1050570291249999</v>
      </c>
      <c r="AH4023">
        <v>10.5012425058805</v>
      </c>
      <c r="AI4023">
        <v>95.815340068296507</v>
      </c>
      <c r="AJ4023">
        <v>75.429675387028894</v>
      </c>
      <c r="AK4023">
        <v>10.9063170549151</v>
      </c>
      <c r="AL4023">
        <v>91.180744444061901</v>
      </c>
      <c r="AM4023">
        <v>79.795810034819297</v>
      </c>
      <c r="AN4023">
        <v>1.00000002121085</v>
      </c>
    </row>
    <row r="4024" spans="1:40" x14ac:dyDescent="0.25">
      <c r="A4024" t="str">
        <f>"20190312161048391"</f>
        <v>20190312161048391</v>
      </c>
      <c r="B4024" t="str">
        <f>"1552378248380804"</f>
        <v>1552378248380804</v>
      </c>
      <c r="C4024" t="s">
        <v>40</v>
      </c>
      <c r="D4024">
        <v>6.1530800000000001</v>
      </c>
      <c r="E4024">
        <v>0.59317940000000002</v>
      </c>
      <c r="F4024" t="s">
        <v>62</v>
      </c>
      <c r="G4024">
        <v>-240.0001</v>
      </c>
      <c r="H4024">
        <v>4.6842560000000004</v>
      </c>
      <c r="I4024">
        <v>119.3841</v>
      </c>
      <c r="J4024">
        <v>-196.75839999999999</v>
      </c>
      <c r="K4024">
        <v>1.1049629999999999</v>
      </c>
      <c r="L4024">
        <v>151.66380000000001</v>
      </c>
      <c r="M4024">
        <v>-0.50814329999999996</v>
      </c>
      <c r="N4024">
        <v>0</v>
      </c>
      <c r="O4024">
        <v>-0.86113980000000001</v>
      </c>
      <c r="P4024">
        <v>-0.65275159999999999</v>
      </c>
      <c r="Q4024">
        <v>-3.3903570000000001E-2</v>
      </c>
      <c r="R4024">
        <v>-0.75681319999999996</v>
      </c>
      <c r="S4024">
        <v>-2.4718629999999999</v>
      </c>
      <c r="T4024">
        <v>0.2039243</v>
      </c>
      <c r="U4024">
        <v>-1.8517300000000001</v>
      </c>
      <c r="V4024">
        <v>0.17729589999999901</v>
      </c>
      <c r="W4024">
        <v>-2.1364999999999999E-2</v>
      </c>
      <c r="X4024">
        <v>0.98392559999999996</v>
      </c>
      <c r="Y4024">
        <v>0.38276349999999998</v>
      </c>
      <c r="Z4024">
        <v>-6.3429139999999995E-2</v>
      </c>
      <c r="AA4024">
        <v>0.92166630000000005</v>
      </c>
      <c r="AB4024">
        <v>21</v>
      </c>
      <c r="AC4024">
        <v>-43.241700000000002</v>
      </c>
      <c r="AD4024">
        <v>3.5792929999999998</v>
      </c>
      <c r="AE4024">
        <v>-32.279699999999998</v>
      </c>
      <c r="AF4024">
        <v>20.745542220926101</v>
      </c>
      <c r="AG4024">
        <v>3.5792929999999998</v>
      </c>
      <c r="AH4024">
        <v>49.557961683460597</v>
      </c>
      <c r="AI4024">
        <v>86.188441098901293</v>
      </c>
      <c r="AJ4024">
        <v>67.285244358886999</v>
      </c>
      <c r="AK4024">
        <v>53.844037986015003</v>
      </c>
      <c r="AL4024">
        <v>91.224217546352094</v>
      </c>
      <c r="AM4024">
        <v>79.785349749759902</v>
      </c>
      <c r="AN4024">
        <v>0.99999994285858296</v>
      </c>
    </row>
    <row r="4025" spans="1:40" x14ac:dyDescent="0.25">
      <c r="A4025" t="str">
        <f>"20190312161048409"</f>
        <v>20190312161048409</v>
      </c>
      <c r="B4025" t="str">
        <f>"1552378248400325"</f>
        <v>1552378248400325</v>
      </c>
      <c r="C4025" t="s">
        <v>40</v>
      </c>
      <c r="D4025">
        <v>5.4927650000000003</v>
      </c>
      <c r="E4025">
        <v>0.59335300000000002</v>
      </c>
      <c r="F4025" t="s">
        <v>68</v>
      </c>
      <c r="G4025">
        <v>-245.4195</v>
      </c>
      <c r="H4025">
        <v>5.824363</v>
      </c>
      <c r="I4025">
        <v>117.0686</v>
      </c>
      <c r="J4025">
        <v>-196.8501</v>
      </c>
      <c r="K4025">
        <v>1.1049119999999999</v>
      </c>
      <c r="L4025">
        <v>151.5256</v>
      </c>
      <c r="M4025">
        <v>-0.51466469999999997</v>
      </c>
      <c r="N4025">
        <v>0</v>
      </c>
      <c r="O4025">
        <v>-0.85725830000000003</v>
      </c>
      <c r="P4025">
        <v>-0.65906849999999995</v>
      </c>
      <c r="Q4025">
        <v>-3.4729870000000003E-2</v>
      </c>
      <c r="R4025">
        <v>-0.75128090000000003</v>
      </c>
      <c r="S4025">
        <v>-2.5263059999999999</v>
      </c>
      <c r="T4025">
        <v>0.24501490000000001</v>
      </c>
      <c r="U4025">
        <v>-1.7960509999999901</v>
      </c>
      <c r="V4025">
        <v>0.17807609999999999</v>
      </c>
      <c r="W4025">
        <v>-2.2209130000000001E-2</v>
      </c>
      <c r="X4025">
        <v>0.98376609999999998</v>
      </c>
      <c r="Y4025">
        <v>0.39783940000000001</v>
      </c>
      <c r="Z4025">
        <v>-7.6022679999999995E-2</v>
      </c>
      <c r="AA4025">
        <v>0.91429990000000005</v>
      </c>
      <c r="AB4025">
        <v>20</v>
      </c>
      <c r="AC4025">
        <v>-48.569400000000002</v>
      </c>
      <c r="AD4025">
        <v>4.7194509999999896</v>
      </c>
      <c r="AE4025">
        <v>-34.456999999999901</v>
      </c>
      <c r="AF4025">
        <v>23.756243659794301</v>
      </c>
      <c r="AG4025">
        <v>4.7194509999999896</v>
      </c>
      <c r="AH4025">
        <v>54.201310933970397</v>
      </c>
      <c r="AI4025">
        <v>85.440374999043996</v>
      </c>
      <c r="AJ4025">
        <v>66.332330166334998</v>
      </c>
      <c r="AK4025">
        <v>59.366778904753303</v>
      </c>
      <c r="AL4025">
        <v>91.272593994741896</v>
      </c>
      <c r="AM4025">
        <v>79.739724222130505</v>
      </c>
      <c r="AN4025">
        <v>1.00000004117788</v>
      </c>
    </row>
    <row r="4026" spans="1:40" x14ac:dyDescent="0.25">
      <c r="A4026" t="str">
        <f>"20190312161048430"</f>
        <v>20190312161048430</v>
      </c>
      <c r="B4026" t="str">
        <f>"1552378248420820"</f>
        <v>1552378248420820</v>
      </c>
      <c r="C4026" t="s">
        <v>40</v>
      </c>
      <c r="D4026">
        <v>6.3512279999999999</v>
      </c>
      <c r="E4026">
        <v>0.5930453</v>
      </c>
      <c r="F4026" t="s">
        <v>68</v>
      </c>
      <c r="G4026">
        <v>-245.4195</v>
      </c>
      <c r="H4026">
        <v>5.561941</v>
      </c>
      <c r="I4026">
        <v>117.65089999999999</v>
      </c>
      <c r="J4026">
        <v>-196.9649</v>
      </c>
      <c r="K4026">
        <v>1.104865</v>
      </c>
      <c r="L4026">
        <v>151.3561</v>
      </c>
      <c r="M4026">
        <v>-0.52276499999999904</v>
      </c>
      <c r="N4026">
        <v>0</v>
      </c>
      <c r="O4026">
        <v>-0.8523423</v>
      </c>
      <c r="P4026">
        <v>-0.66659789999999997</v>
      </c>
      <c r="Q4026">
        <v>-3.5529930000000001E-2</v>
      </c>
      <c r="R4026">
        <v>-0.74457010000000001</v>
      </c>
      <c r="S4026">
        <v>-2.5427089999999999</v>
      </c>
      <c r="T4026">
        <v>0.23333570000000001</v>
      </c>
      <c r="U4026">
        <v>-1.773407</v>
      </c>
      <c r="V4026">
        <v>0.17866399999999999</v>
      </c>
      <c r="W4026">
        <v>-2.302121E-2</v>
      </c>
      <c r="X4026">
        <v>0.98364079999999998</v>
      </c>
      <c r="Y4026">
        <v>0.3976576</v>
      </c>
      <c r="Z4026">
        <v>-7.2160909999999995E-2</v>
      </c>
      <c r="AA4026">
        <v>0.9146919</v>
      </c>
      <c r="AB4026">
        <v>20</v>
      </c>
      <c r="AC4026">
        <v>-48.454599999999999</v>
      </c>
      <c r="AD4026">
        <v>4.4570759999999998</v>
      </c>
      <c r="AE4026">
        <v>-33.705199999999998</v>
      </c>
      <c r="AF4026">
        <v>23.548446506627698</v>
      </c>
      <c r="AG4026">
        <v>4.4570759999999998</v>
      </c>
      <c r="AH4026">
        <v>53.758400677946703</v>
      </c>
      <c r="AI4026">
        <v>85.657127619984806</v>
      </c>
      <c r="AJ4026">
        <v>66.344554010622005</v>
      </c>
      <c r="AK4026">
        <v>58.858818394493298</v>
      </c>
      <c r="AL4026">
        <v>91.319134691982597</v>
      </c>
      <c r="AM4026">
        <v>79.705290805337697</v>
      </c>
      <c r="AN4026">
        <v>1.0000000122152499</v>
      </c>
    </row>
    <row r="4027" spans="1:40" x14ac:dyDescent="0.25">
      <c r="A4027" t="str">
        <f>"20190312161048452"</f>
        <v>20190312161048452</v>
      </c>
      <c r="B4027" t="str">
        <f>"1552378248440343"</f>
        <v>1552378248440343</v>
      </c>
      <c r="C4027" t="s">
        <v>40</v>
      </c>
      <c r="D4027">
        <v>5.9411709999999998</v>
      </c>
      <c r="E4027">
        <v>0.59076589999999995</v>
      </c>
      <c r="F4027" t="s">
        <v>68</v>
      </c>
      <c r="G4027">
        <v>-245.22489999999999</v>
      </c>
      <c r="H4027">
        <v>6.8137979999999896</v>
      </c>
      <c r="I4027">
        <v>118.33540000000001</v>
      </c>
      <c r="J4027">
        <v>-197.07650000000001</v>
      </c>
      <c r="K4027">
        <v>1.1048290000000001</v>
      </c>
      <c r="L4027">
        <v>151.19470000000001</v>
      </c>
      <c r="M4027">
        <v>-0.53057080000000001</v>
      </c>
      <c r="N4027">
        <v>0</v>
      </c>
      <c r="O4027">
        <v>-0.84750530000000002</v>
      </c>
      <c r="P4027">
        <v>-0.67320340000000001</v>
      </c>
      <c r="Q4027">
        <v>-3.6629630000000003E-2</v>
      </c>
      <c r="R4027">
        <v>-0.73854989999999998</v>
      </c>
      <c r="S4027">
        <v>-2.5600589999999999</v>
      </c>
      <c r="T4027">
        <v>0.30284359999999999</v>
      </c>
      <c r="U4027">
        <v>-1.7516480000000001</v>
      </c>
      <c r="V4027">
        <v>0.17840400000000001</v>
      </c>
      <c r="W4027">
        <v>-2.4117139999999999E-2</v>
      </c>
      <c r="X4027">
        <v>0.98366169999999997</v>
      </c>
      <c r="Y4027">
        <v>0.3957734</v>
      </c>
      <c r="Z4027">
        <v>-9.3090880000000001E-2</v>
      </c>
      <c r="AA4027">
        <v>0.91361780000000004</v>
      </c>
      <c r="AB4027">
        <v>20</v>
      </c>
      <c r="AC4027">
        <v>-48.148399999999903</v>
      </c>
      <c r="AD4027">
        <v>5.7089689999999997</v>
      </c>
      <c r="AE4027">
        <v>-32.859299999999998</v>
      </c>
      <c r="AF4027">
        <v>23.152450829493599</v>
      </c>
      <c r="AG4027">
        <v>5.7089689999999997</v>
      </c>
      <c r="AH4027">
        <v>52.893358496277699</v>
      </c>
      <c r="AI4027">
        <v>84.353167529737604</v>
      </c>
      <c r="AJ4027">
        <v>66.360070448235106</v>
      </c>
      <c r="AK4027">
        <v>58.020131674021798</v>
      </c>
      <c r="AL4027">
        <v>91.381944347956804</v>
      </c>
      <c r="AM4027">
        <v>79.720166221597694</v>
      </c>
      <c r="AN4027">
        <v>0.99999998185233396</v>
      </c>
    </row>
    <row r="4028" spans="1:40" x14ac:dyDescent="0.25">
      <c r="A4028" t="str">
        <f>"20190312161048476"</f>
        <v>20190312161048476</v>
      </c>
      <c r="B4028" t="str">
        <f>"1552378248470596"</f>
        <v>1552378248470596</v>
      </c>
      <c r="C4028" t="s">
        <v>40</v>
      </c>
      <c r="D4028">
        <v>6.3313670000000002</v>
      </c>
      <c r="E4028">
        <v>0.60177519999999995</v>
      </c>
      <c r="F4028" t="s">
        <v>68</v>
      </c>
      <c r="G4028">
        <v>-245.22489999999999</v>
      </c>
      <c r="H4028">
        <v>6.1773319999999998</v>
      </c>
      <c r="I4028">
        <v>118.48650000000001</v>
      </c>
      <c r="J4028">
        <v>-197.2079</v>
      </c>
      <c r="K4028">
        <v>1.104795</v>
      </c>
      <c r="L4028">
        <v>151.00880000000001</v>
      </c>
      <c r="M4028">
        <v>-0.53966890000000001</v>
      </c>
      <c r="N4028">
        <v>0</v>
      </c>
      <c r="O4028">
        <v>-0.84174069999999901</v>
      </c>
      <c r="P4028">
        <v>-0.68095469999999902</v>
      </c>
      <c r="Q4028">
        <v>-3.7689E-2</v>
      </c>
      <c r="R4028">
        <v>-0.73135539999999999</v>
      </c>
      <c r="S4028">
        <v>-2.561798</v>
      </c>
      <c r="T4028">
        <v>0.26989010000000002</v>
      </c>
      <c r="U4028">
        <v>-1.7402799999999901</v>
      </c>
      <c r="V4028">
        <v>0.17819549999999901</v>
      </c>
      <c r="W4028">
        <v>-2.5172079999999999E-2</v>
      </c>
      <c r="X4028">
        <v>0.98367309999999997</v>
      </c>
      <c r="Y4028">
        <v>0.38979809999999998</v>
      </c>
      <c r="Z4028">
        <v>-8.2661999999999999E-2</v>
      </c>
      <c r="AA4028">
        <v>0.91718290000000002</v>
      </c>
      <c r="AB4028">
        <v>20</v>
      </c>
      <c r="AC4028">
        <v>-48.017000000000003</v>
      </c>
      <c r="AD4028">
        <v>5.0725369999999996</v>
      </c>
      <c r="AE4028">
        <v>-32.522300000000001</v>
      </c>
      <c r="AF4028">
        <v>22.695591300644399</v>
      </c>
      <c r="AG4028">
        <v>5.0725369999999996</v>
      </c>
      <c r="AH4028">
        <v>52.890128908772297</v>
      </c>
      <c r="AI4028">
        <v>84.963230459255101</v>
      </c>
      <c r="AJ4028">
        <v>66.775429079275099</v>
      </c>
      <c r="AK4028">
        <v>57.777038969549203</v>
      </c>
      <c r="AL4028">
        <v>91.4424062720595</v>
      </c>
      <c r="AM4028">
        <v>79.732040955579805</v>
      </c>
      <c r="AN4028">
        <v>1.0000000187476901</v>
      </c>
    </row>
    <row r="4029" spans="1:40" x14ac:dyDescent="0.25">
      <c r="A4029" t="str">
        <f>"20190312161048498"</f>
        <v>20190312161048498</v>
      </c>
      <c r="B4029" t="str">
        <f>"1552378248490116"</f>
        <v>1552378248490116</v>
      </c>
      <c r="C4029" t="s">
        <v>40</v>
      </c>
      <c r="D4029">
        <v>6.0042229999999996</v>
      </c>
      <c r="E4029">
        <v>0.60143990000000003</v>
      </c>
      <c r="F4029" t="s">
        <v>87</v>
      </c>
      <c r="G4029">
        <v>-204.19929999999999</v>
      </c>
      <c r="H4029" s="1">
        <v>-9.7526810000000003E-6</v>
      </c>
      <c r="I4029">
        <v>146.67330000000001</v>
      </c>
      <c r="J4029">
        <v>-197.32650000000001</v>
      </c>
      <c r="K4029">
        <v>1.1047750000000001</v>
      </c>
      <c r="L4029">
        <v>150.8449</v>
      </c>
      <c r="M4029">
        <v>-0.54778729999999998</v>
      </c>
      <c r="N4029">
        <v>0</v>
      </c>
      <c r="O4029">
        <v>-0.83648009999999995</v>
      </c>
      <c r="P4029">
        <v>-0.68838480000000002</v>
      </c>
      <c r="Q4029">
        <v>-3.8330950000000003E-2</v>
      </c>
      <c r="R4029">
        <v>-0.72433239999999999</v>
      </c>
      <c r="S4029">
        <v>-2.6305239999999999</v>
      </c>
      <c r="T4029">
        <v>-0.4156861</v>
      </c>
      <c r="U4029">
        <v>-1.631256</v>
      </c>
      <c r="V4029">
        <v>0.17872829999999901</v>
      </c>
      <c r="W4029">
        <v>-2.5821440000000001E-2</v>
      </c>
      <c r="X4029">
        <v>0.98355959999999998</v>
      </c>
      <c r="Y4029">
        <v>0.41420790000000002</v>
      </c>
      <c r="Z4029">
        <v>0.12742490000000001</v>
      </c>
      <c r="AA4029">
        <v>0.90121850000000003</v>
      </c>
      <c r="AB4029">
        <v>20</v>
      </c>
      <c r="AC4029">
        <v>-6.8727999999999803</v>
      </c>
      <c r="AD4029">
        <v>-1.104784752681</v>
      </c>
      <c r="AE4029">
        <v>-4.1715999999999802</v>
      </c>
      <c r="AF4029">
        <v>3.4000073552691901</v>
      </c>
      <c r="AG4029">
        <v>-1.104784752681</v>
      </c>
      <c r="AH4029">
        <v>7.1206684918697096</v>
      </c>
      <c r="AI4029">
        <v>97.970176193903995</v>
      </c>
      <c r="AJ4029">
        <v>64.476257532987304</v>
      </c>
      <c r="AK4029">
        <v>7.9677173102932697</v>
      </c>
      <c r="AL4029">
        <v>91.479623957775303</v>
      </c>
      <c r="AM4029">
        <v>79.700833069252994</v>
      </c>
      <c r="AN4029">
        <v>1.00000001936836</v>
      </c>
    </row>
    <row r="4030" spans="1:40" x14ac:dyDescent="0.25">
      <c r="A4030" t="str">
        <f>"20190312161048521"</f>
        <v>20190312161048521</v>
      </c>
      <c r="B4030" t="str">
        <f>"1552378248510615"</f>
        <v>1552378248510615</v>
      </c>
      <c r="C4030" t="s">
        <v>40</v>
      </c>
      <c r="D4030">
        <v>6.1504099999999999</v>
      </c>
      <c r="E4030">
        <v>0.58242850000000002</v>
      </c>
      <c r="F4030" t="s">
        <v>87</v>
      </c>
      <c r="G4030">
        <v>-203.98169999999999</v>
      </c>
      <c r="H4030" s="1">
        <v>-9.8690199999999996E-6</v>
      </c>
      <c r="I4030">
        <v>146.80369999999999</v>
      </c>
      <c r="J4030">
        <v>-197.45259999999999</v>
      </c>
      <c r="K4030">
        <v>1.1047549999999999</v>
      </c>
      <c r="L4030">
        <v>150.67429999999999</v>
      </c>
      <c r="M4030">
        <v>-0.55632669999999995</v>
      </c>
      <c r="N4030">
        <v>0</v>
      </c>
      <c r="O4030">
        <v>-0.83082489999999998</v>
      </c>
      <c r="P4030">
        <v>-0.69629790000000003</v>
      </c>
      <c r="Q4030">
        <v>-3.8268040000000003E-2</v>
      </c>
      <c r="R4030">
        <v>-0.71673219999999904</v>
      </c>
      <c r="S4030">
        <v>-2.6441349999999999</v>
      </c>
      <c r="T4030">
        <v>-0.43893500000000002</v>
      </c>
      <c r="U4030">
        <v>-1.6055759999999999</v>
      </c>
      <c r="V4030">
        <v>0.1794521</v>
      </c>
      <c r="W4030">
        <v>-2.5769790000000001E-2</v>
      </c>
      <c r="X4030">
        <v>0.98342909999999994</v>
      </c>
      <c r="Y4030">
        <v>0.41246630000000001</v>
      </c>
      <c r="Z4030">
        <v>0.13391800000000001</v>
      </c>
      <c r="AA4030">
        <v>0.90107579999999998</v>
      </c>
      <c r="AB4030">
        <v>20</v>
      </c>
      <c r="AC4030">
        <v>-6.5290999999999997</v>
      </c>
      <c r="AD4030">
        <v>-1.10476486902</v>
      </c>
      <c r="AE4030">
        <v>-3.8705999999999898</v>
      </c>
      <c r="AF4030">
        <v>3.20372574296429</v>
      </c>
      <c r="AG4030">
        <v>-1.10476486902</v>
      </c>
      <c r="AH4030">
        <v>6.7068068268463499</v>
      </c>
      <c r="AI4030">
        <v>98.454297514089006</v>
      </c>
      <c r="AJ4030">
        <v>64.466999872316094</v>
      </c>
      <c r="AK4030">
        <v>7.5143610416711901</v>
      </c>
      <c r="AL4030">
        <v>91.476663723828096</v>
      </c>
      <c r="AM4030">
        <v>79.658679755642197</v>
      </c>
      <c r="AN4030">
        <v>0.99999996649893097</v>
      </c>
    </row>
    <row r="4031" spans="1:40" x14ac:dyDescent="0.25">
      <c r="A4031" t="str">
        <f>"20190312161048547"</f>
        <v>20190312161048547</v>
      </c>
      <c r="B4031" t="str">
        <f>"1552378248540868"</f>
        <v>1552378248540868</v>
      </c>
      <c r="C4031" t="s">
        <v>40</v>
      </c>
      <c r="D4031">
        <v>5.9037810000000004</v>
      </c>
      <c r="E4031">
        <v>0.58149600000000001</v>
      </c>
      <c r="F4031" t="s">
        <v>41</v>
      </c>
      <c r="G4031">
        <v>-221.1362</v>
      </c>
      <c r="H4031" s="1">
        <v>-4.5995620000000002E-6</v>
      </c>
      <c r="I4031">
        <v>135.02330000000001</v>
      </c>
      <c r="J4031">
        <v>-197.5907</v>
      </c>
      <c r="K4031">
        <v>1.104727</v>
      </c>
      <c r="L4031">
        <v>150.49189999999999</v>
      </c>
      <c r="M4031">
        <v>-0.56557100000000005</v>
      </c>
      <c r="N4031">
        <v>0</v>
      </c>
      <c r="O4031">
        <v>-0.82455959999999995</v>
      </c>
      <c r="P4031">
        <v>-0.70484979999999997</v>
      </c>
      <c r="Q4031">
        <v>-3.7395829999999998E-2</v>
      </c>
      <c r="R4031">
        <v>-0.70837019999999995</v>
      </c>
      <c r="S4031">
        <v>-2.5603180000000001</v>
      </c>
      <c r="T4031">
        <v>-0.1194303</v>
      </c>
      <c r="U4031">
        <v>-1.691956</v>
      </c>
      <c r="V4031">
        <v>0.1802551</v>
      </c>
      <c r="W4031">
        <v>-2.4911989999999998E-2</v>
      </c>
      <c r="X4031">
        <v>0.98330439999999997</v>
      </c>
      <c r="Y4031">
        <v>0.37549690000000002</v>
      </c>
      <c r="Z4031">
        <v>3.636151E-2</v>
      </c>
      <c r="AA4031">
        <v>0.92611010000000005</v>
      </c>
      <c r="AB4031">
        <v>20</v>
      </c>
      <c r="AC4031">
        <v>-23.545500000000001</v>
      </c>
      <c r="AD4031">
        <v>-1.104731599562</v>
      </c>
      <c r="AE4031">
        <v>-15.468599999999901</v>
      </c>
      <c r="AF4031">
        <v>10.650930108674199</v>
      </c>
      <c r="AG4031">
        <v>-1.104731599562</v>
      </c>
      <c r="AH4031">
        <v>26.034411817979201</v>
      </c>
      <c r="AI4031">
        <v>92.249075812725806</v>
      </c>
      <c r="AJ4031">
        <v>67.7500546245045</v>
      </c>
      <c r="AK4031">
        <v>28.150547824066699</v>
      </c>
      <c r="AL4031">
        <v>91.427499528324802</v>
      </c>
      <c r="AM4031">
        <v>79.612121588802196</v>
      </c>
      <c r="AN4031">
        <v>1.0000000256905599</v>
      </c>
    </row>
    <row r="4032" spans="1:40" x14ac:dyDescent="0.25">
      <c r="A4032" t="str">
        <f>"20190312161048566"</f>
        <v>20190312161048566</v>
      </c>
      <c r="B4032" t="str">
        <f>"1552378248560387"</f>
        <v>1552378248560387</v>
      </c>
      <c r="C4032" t="s">
        <v>40</v>
      </c>
      <c r="D4032">
        <v>5.6333549999999999</v>
      </c>
      <c r="E4032">
        <v>0.58164669999999996</v>
      </c>
      <c r="F4032" t="s">
        <v>41</v>
      </c>
      <c r="G4032">
        <v>-218.1052</v>
      </c>
      <c r="H4032" s="1">
        <v>-1.349639E-6</v>
      </c>
      <c r="I4032">
        <v>137.2192</v>
      </c>
      <c r="J4032">
        <v>-197.69900000000001</v>
      </c>
      <c r="K4032">
        <v>1.1047100000000001</v>
      </c>
      <c r="L4032">
        <v>150.352</v>
      </c>
      <c r="M4032">
        <v>-0.57273339999999995</v>
      </c>
      <c r="N4032">
        <v>0</v>
      </c>
      <c r="O4032">
        <v>-0.81960049999999995</v>
      </c>
      <c r="P4032">
        <v>-0.71161989999999997</v>
      </c>
      <c r="Q4032">
        <v>-3.6873299999999998E-2</v>
      </c>
      <c r="R4032">
        <v>-0.70159640000000001</v>
      </c>
      <c r="S4032">
        <v>-2.574722</v>
      </c>
      <c r="T4032">
        <v>-0.13865160000000001</v>
      </c>
      <c r="U4032">
        <v>-1.6658170000000001</v>
      </c>
      <c r="V4032">
        <v>0.18112030000000001</v>
      </c>
      <c r="W4032">
        <v>-2.4405860000000001E-2</v>
      </c>
      <c r="X4032">
        <v>0.98315810000000003</v>
      </c>
      <c r="Y4032">
        <v>0.37618079999999998</v>
      </c>
      <c r="Z4032">
        <v>4.20851E-2</v>
      </c>
      <c r="AA4032">
        <v>0.92559000000000002</v>
      </c>
      <c r="AB4032">
        <v>20</v>
      </c>
      <c r="AC4032">
        <v>-20.406199999999899</v>
      </c>
      <c r="AD4032">
        <v>-1.104711349639</v>
      </c>
      <c r="AE4032">
        <v>-13.1328</v>
      </c>
      <c r="AF4032">
        <v>9.1853683488422497</v>
      </c>
      <c r="AG4032">
        <v>-1.104711349639</v>
      </c>
      <c r="AH4032">
        <v>22.407124639987401</v>
      </c>
      <c r="AI4032">
        <v>92.611890037041306</v>
      </c>
      <c r="AJ4032">
        <v>67.7097699843832</v>
      </c>
      <c r="AK4032">
        <v>24.241918519413101</v>
      </c>
      <c r="AL4032">
        <v>91.398491590116805</v>
      </c>
      <c r="AM4032">
        <v>79.5618353703222</v>
      </c>
      <c r="AN4032">
        <v>1.00000002933501</v>
      </c>
    </row>
    <row r="4033" spans="1:40" x14ac:dyDescent="0.25">
      <c r="A4033" t="str">
        <f>"20190312161048587"</f>
        <v>20190312161048587</v>
      </c>
      <c r="B4033" t="str">
        <f>"1552378248580884"</f>
        <v>1552378248580884</v>
      </c>
      <c r="C4033" t="s">
        <v>40</v>
      </c>
      <c r="D4033">
        <v>5.8120310000000002</v>
      </c>
      <c r="E4033">
        <v>0.63343780000000005</v>
      </c>
      <c r="F4033" t="s">
        <v>41</v>
      </c>
      <c r="G4033">
        <v>-219.27289999999999</v>
      </c>
      <c r="H4033" s="1">
        <v>-1.0407710000000001E-6</v>
      </c>
      <c r="I4033">
        <v>136.69479999999999</v>
      </c>
      <c r="J4033">
        <v>-197.82220000000001</v>
      </c>
      <c r="K4033">
        <v>1.104687</v>
      </c>
      <c r="L4033">
        <v>150.196</v>
      </c>
      <c r="M4033">
        <v>-0.58078599999999903</v>
      </c>
      <c r="N4033">
        <v>0</v>
      </c>
      <c r="O4033">
        <v>-0.81391409999999997</v>
      </c>
      <c r="P4033">
        <v>-0.71925109999999903</v>
      </c>
      <c r="Q4033">
        <v>-3.6243190000000002E-2</v>
      </c>
      <c r="R4033">
        <v>-0.69380430000000004</v>
      </c>
      <c r="S4033">
        <v>-2.5914609999999998</v>
      </c>
      <c r="T4033">
        <v>-0.13269829999999999</v>
      </c>
      <c r="U4033">
        <v>-1.6405029999999901</v>
      </c>
      <c r="V4033">
        <v>0.1821682</v>
      </c>
      <c r="W4033">
        <v>-2.3793660000000001E-2</v>
      </c>
      <c r="X4033">
        <v>0.98297950000000001</v>
      </c>
      <c r="Y4033">
        <v>0.37628460000000002</v>
      </c>
      <c r="Z4033">
        <v>4.0098549999999997E-2</v>
      </c>
      <c r="AA4033">
        <v>0.92563600000000001</v>
      </c>
      <c r="AB4033">
        <v>20</v>
      </c>
      <c r="AC4033">
        <v>-21.450699999999902</v>
      </c>
      <c r="AD4033">
        <v>-1.104688040771</v>
      </c>
      <c r="AE4033">
        <v>-13.501200000000001</v>
      </c>
      <c r="AF4033">
        <v>9.6005951394662503</v>
      </c>
      <c r="AG4033">
        <v>-1.104688040771</v>
      </c>
      <c r="AH4033">
        <v>23.405336367242899</v>
      </c>
      <c r="AI4033">
        <v>92.5003618465568</v>
      </c>
      <c r="AJ4033">
        <v>67.697135250794204</v>
      </c>
      <c r="AK4033">
        <v>25.321957530237398</v>
      </c>
      <c r="AL4033">
        <v>91.363404903237594</v>
      </c>
      <c r="AM4033">
        <v>79.500917512342596</v>
      </c>
      <c r="AN4033">
        <v>1.0000000443838399</v>
      </c>
    </row>
    <row r="4034" spans="1:40" x14ac:dyDescent="0.25">
      <c r="A4034" t="str">
        <f>"20190312161048610"</f>
        <v>20190312161048610</v>
      </c>
      <c r="B4034" t="str">
        <f>"1552378248600407"</f>
        <v>1552378248600407</v>
      </c>
      <c r="C4034" t="s">
        <v>40</v>
      </c>
      <c r="D4034">
        <v>5.7177290000000003</v>
      </c>
      <c r="E4034">
        <v>0.6419783</v>
      </c>
      <c r="F4034" t="s">
        <v>41</v>
      </c>
      <c r="G4034">
        <v>-213.87639999999999</v>
      </c>
      <c r="H4034" s="1">
        <v>-3.7526120000000002E-6</v>
      </c>
      <c r="I4034">
        <v>142.91419999999999</v>
      </c>
      <c r="J4034">
        <v>-197.953</v>
      </c>
      <c r="K4034">
        <v>1.1046739999999999</v>
      </c>
      <c r="L4034">
        <v>150.0341</v>
      </c>
      <c r="M4034">
        <v>-0.58921859999999904</v>
      </c>
      <c r="N4034">
        <v>0</v>
      </c>
      <c r="O4034">
        <v>-0.8078303</v>
      </c>
      <c r="P4034">
        <v>-0.72737169999999995</v>
      </c>
      <c r="Q4034">
        <v>-3.5411529999999997E-2</v>
      </c>
      <c r="R4034">
        <v>-0.68532950000000004</v>
      </c>
      <c r="S4034">
        <v>-2.8945310000000002</v>
      </c>
      <c r="T4034">
        <v>-0.19917270000000001</v>
      </c>
      <c r="U4034">
        <v>-1.312881</v>
      </c>
      <c r="V4034">
        <v>0.18350620000000001</v>
      </c>
      <c r="W4034">
        <v>-2.298275E-2</v>
      </c>
      <c r="X4034">
        <v>0.98274989999999995</v>
      </c>
      <c r="Y4034">
        <v>0.49039959999999999</v>
      </c>
      <c r="Z4034">
        <v>6.022131E-2</v>
      </c>
      <c r="AA4034">
        <v>0.86941449999999998</v>
      </c>
      <c r="AB4034">
        <v>20</v>
      </c>
      <c r="AC4034">
        <v>-15.9233999999999</v>
      </c>
      <c r="AD4034">
        <v>-1.104677752612</v>
      </c>
      <c r="AE4034">
        <v>-7.1199000000000003</v>
      </c>
      <c r="AF4034">
        <v>8.6345989662478999</v>
      </c>
      <c r="AG4034">
        <v>-1.104677752612</v>
      </c>
      <c r="AH4034">
        <v>15.075321687614601</v>
      </c>
      <c r="AI4034">
        <v>93.638302296306804</v>
      </c>
      <c r="AJ4034">
        <v>60.197479179883501</v>
      </c>
      <c r="AK4034">
        <v>17.408099730588301</v>
      </c>
      <c r="AL4034">
        <v>91.316930464572494</v>
      </c>
      <c r="AM4034">
        <v>79.423121553388995</v>
      </c>
      <c r="AN4034">
        <v>1.0000000490930001</v>
      </c>
    </row>
    <row r="4035" spans="1:40" x14ac:dyDescent="0.25">
      <c r="A4035" t="str">
        <f>"20190312161048635"</f>
        <v>20190312161048635</v>
      </c>
      <c r="B4035" t="str">
        <f>"1552378248630660"</f>
        <v>1552378248630660</v>
      </c>
      <c r="C4035" t="s">
        <v>40</v>
      </c>
      <c r="D4035">
        <v>5.6024479999999999</v>
      </c>
      <c r="E4035">
        <v>0.64221619999999902</v>
      </c>
      <c r="F4035" t="s">
        <v>41</v>
      </c>
      <c r="G4035">
        <v>-211.80199999999999</v>
      </c>
      <c r="H4035" s="1">
        <v>-4.8462479999999999E-6</v>
      </c>
      <c r="I4035">
        <v>144.2783</v>
      </c>
      <c r="J4035">
        <v>-198.09780000000001</v>
      </c>
      <c r="K4035">
        <v>1.1046640000000001</v>
      </c>
      <c r="L4035">
        <v>149.8588</v>
      </c>
      <c r="M4035">
        <v>-0.59843449999999998</v>
      </c>
      <c r="N4035">
        <v>0</v>
      </c>
      <c r="O4035">
        <v>-0.80102709999999999</v>
      </c>
      <c r="P4035">
        <v>-0.73586490000000004</v>
      </c>
      <c r="Q4035">
        <v>-3.3992370000000001E-2</v>
      </c>
      <c r="R4035">
        <v>-0.6762745</v>
      </c>
      <c r="S4035">
        <v>-2.9556119999999999</v>
      </c>
      <c r="T4035">
        <v>-0.23575679999999999</v>
      </c>
      <c r="U4035">
        <v>-1.228378</v>
      </c>
      <c r="V4035">
        <v>0.18448290000000001</v>
      </c>
      <c r="W4035">
        <v>-2.1576640000000001E-2</v>
      </c>
      <c r="X4035">
        <v>0.98259879999999999</v>
      </c>
      <c r="Y4035">
        <v>0.50730659999999905</v>
      </c>
      <c r="Z4035">
        <v>7.088759E-2</v>
      </c>
      <c r="AA4035">
        <v>0.85884519999999998</v>
      </c>
      <c r="AB4035">
        <v>20</v>
      </c>
      <c r="AC4035">
        <v>-13.7042</v>
      </c>
      <c r="AD4035">
        <v>-1.1046688462480001</v>
      </c>
      <c r="AE4035">
        <v>-5.5804999999999998</v>
      </c>
      <c r="AF4035">
        <v>7.5964186367208004</v>
      </c>
      <c r="AG4035">
        <v>-1.1046688462480001</v>
      </c>
      <c r="AH4035">
        <v>12.6024270862432</v>
      </c>
      <c r="AI4035">
        <v>94.293239247622495</v>
      </c>
      <c r="AJ4035">
        <v>58.919509094642997</v>
      </c>
      <c r="AK4035">
        <v>14.756254193672101</v>
      </c>
      <c r="AL4035">
        <v>91.236346417007397</v>
      </c>
      <c r="AM4035">
        <v>79.366509270636598</v>
      </c>
      <c r="AN4035">
        <v>0.99999994677376802</v>
      </c>
    </row>
    <row r="4036" spans="1:40" x14ac:dyDescent="0.25">
      <c r="A4036" t="str">
        <f>"20190312161048657"</f>
        <v>20190312161048657</v>
      </c>
      <c r="B4036" t="str">
        <f>"1552378248650180"</f>
        <v>1552378248650180</v>
      </c>
      <c r="C4036" t="s">
        <v>40</v>
      </c>
      <c r="D4036">
        <v>5.3229220000000002</v>
      </c>
      <c r="E4036">
        <v>0.64304600000000001</v>
      </c>
      <c r="F4036" t="s">
        <v>41</v>
      </c>
      <c r="G4036">
        <v>-217.0035</v>
      </c>
      <c r="H4036" s="1">
        <v>-2.1058069999999998E-6</v>
      </c>
      <c r="I4036">
        <v>142.28049999999999</v>
      </c>
      <c r="J4036">
        <v>-198.2294</v>
      </c>
      <c r="K4036">
        <v>1.104657</v>
      </c>
      <c r="L4036">
        <v>149.70320000000001</v>
      </c>
      <c r="M4036">
        <v>-0.60669469999999903</v>
      </c>
      <c r="N4036">
        <v>0</v>
      </c>
      <c r="O4036">
        <v>-0.79478909999999903</v>
      </c>
      <c r="P4036">
        <v>-0.74341769999999996</v>
      </c>
      <c r="Q4036">
        <v>-3.2484409999999998E-2</v>
      </c>
      <c r="R4036">
        <v>-0.66803809999999997</v>
      </c>
      <c r="S4036">
        <v>-2.9734340000000001</v>
      </c>
      <c r="T4036">
        <v>-0.17373859999999999</v>
      </c>
      <c r="U4036">
        <v>-1.1918949999999999</v>
      </c>
      <c r="V4036">
        <v>0.18532689999999999</v>
      </c>
      <c r="W4036">
        <v>-2.0079980000000001E-2</v>
      </c>
      <c r="X4036">
        <v>0.98247180000000001</v>
      </c>
      <c r="Y4036">
        <v>0.51054149999999998</v>
      </c>
      <c r="Z4036">
        <v>5.2091520000000002E-2</v>
      </c>
      <c r="AA4036">
        <v>0.85827369999999903</v>
      </c>
      <c r="AB4036">
        <v>20</v>
      </c>
      <c r="AC4036">
        <v>-18.774100000000001</v>
      </c>
      <c r="AD4036">
        <v>-1.1046591058069899</v>
      </c>
      <c r="AE4036">
        <v>-7.4227000000000096</v>
      </c>
      <c r="AF4036">
        <v>10.388242018123499</v>
      </c>
      <c r="AG4036">
        <v>-1.1046591058069899</v>
      </c>
      <c r="AH4036">
        <v>17.240014719393098</v>
      </c>
      <c r="AI4036">
        <v>93.141349574475598</v>
      </c>
      <c r="AJ4036">
        <v>58.928273620588698</v>
      </c>
      <c r="AK4036">
        <v>20.158222924951499</v>
      </c>
      <c r="AL4036">
        <v>91.150575375874894</v>
      </c>
      <c r="AM4036">
        <v>79.317629473666599</v>
      </c>
      <c r="AN4036">
        <v>1.00000005162782</v>
      </c>
    </row>
    <row r="4037" spans="1:40" x14ac:dyDescent="0.25">
      <c r="A4037" t="str">
        <f>"20190312161048678"</f>
        <v>20190312161048678</v>
      </c>
      <c r="B4037" t="str">
        <f>"1552378248670676"</f>
        <v>1552378248670676</v>
      </c>
      <c r="C4037" t="s">
        <v>40</v>
      </c>
      <c r="D4037">
        <v>5.1959049999999998</v>
      </c>
      <c r="E4037">
        <v>0.64325790000000005</v>
      </c>
      <c r="F4037" t="s">
        <v>41</v>
      </c>
      <c r="G4037">
        <v>-216.8948</v>
      </c>
      <c r="H4037" s="1">
        <v>-2.2167809999999998E-6</v>
      </c>
      <c r="I4037">
        <v>142.5044</v>
      </c>
      <c r="J4037">
        <v>-198.3511</v>
      </c>
      <c r="K4037">
        <v>1.104643</v>
      </c>
      <c r="L4037">
        <v>149.56209999999999</v>
      </c>
      <c r="M4037">
        <v>-0.61424460000000003</v>
      </c>
      <c r="N4037">
        <v>0</v>
      </c>
      <c r="O4037">
        <v>-0.78896840000000001</v>
      </c>
      <c r="P4037">
        <v>-0.74996750000000001</v>
      </c>
      <c r="Q4037">
        <v>-3.1914489999999997E-2</v>
      </c>
      <c r="R4037">
        <v>-0.66070459999999998</v>
      </c>
      <c r="S4037">
        <v>-2.9910890000000001</v>
      </c>
      <c r="T4037">
        <v>-0.177018799999999</v>
      </c>
      <c r="U4037">
        <v>-1.1535799999999901</v>
      </c>
      <c r="V4037">
        <v>0.18563569999999999</v>
      </c>
      <c r="W4037">
        <v>-1.951396E-2</v>
      </c>
      <c r="X4037">
        <v>0.98242490000000005</v>
      </c>
      <c r="Y4037">
        <v>0.51357319999999995</v>
      </c>
      <c r="Z4037">
        <v>5.2891390000000003E-2</v>
      </c>
      <c r="AA4037">
        <v>0.85641409999999996</v>
      </c>
      <c r="AB4037">
        <v>20</v>
      </c>
      <c r="AC4037">
        <v>-18.543700000000001</v>
      </c>
      <c r="AD4037">
        <v>-1.1046452167809999</v>
      </c>
      <c r="AE4037">
        <v>-7.0576999999999801</v>
      </c>
      <c r="AF4037">
        <v>10.2646199282634</v>
      </c>
      <c r="AG4037">
        <v>-1.1046452167809999</v>
      </c>
      <c r="AH4037">
        <v>16.9082327455396</v>
      </c>
      <c r="AI4037">
        <v>93.196443018598501</v>
      </c>
      <c r="AJ4037">
        <v>58.738974119424803</v>
      </c>
      <c r="AK4037">
        <v>19.8108807957647</v>
      </c>
      <c r="AL4037">
        <v>91.1181384693909</v>
      </c>
      <c r="AM4037">
        <v>79.2997416464422</v>
      </c>
      <c r="AN4037">
        <v>1.0000000459446801</v>
      </c>
    </row>
    <row r="4038" spans="1:40" x14ac:dyDescent="0.25">
      <c r="A4038" t="str">
        <f>"20190312161048698"</f>
        <v>20190312161048698</v>
      </c>
      <c r="B4038" t="str">
        <f>"1552378248691172"</f>
        <v>1552378248691172</v>
      </c>
      <c r="C4038" t="s">
        <v>40</v>
      </c>
      <c r="D4038">
        <v>5.3093979999999998</v>
      </c>
      <c r="E4038">
        <v>0.64135830000000005</v>
      </c>
      <c r="F4038" t="s">
        <v>41</v>
      </c>
      <c r="G4038">
        <v>-216.26859999999999</v>
      </c>
      <c r="H4038" s="1">
        <v>-2.6085609999999999E-6</v>
      </c>
      <c r="I4038">
        <v>142.86429999999999</v>
      </c>
      <c r="J4038">
        <v>-198.47800000000001</v>
      </c>
      <c r="K4038">
        <v>1.1046339999999999</v>
      </c>
      <c r="L4038">
        <v>149.41800000000001</v>
      </c>
      <c r="M4038">
        <v>-0.62201850000000003</v>
      </c>
      <c r="N4038">
        <v>0</v>
      </c>
      <c r="O4038">
        <v>-0.7828543</v>
      </c>
      <c r="P4038">
        <v>-0.75651840000000004</v>
      </c>
      <c r="Q4038">
        <v>-3.1961049999999998E-2</v>
      </c>
      <c r="R4038">
        <v>-0.65319119999999997</v>
      </c>
      <c r="S4038">
        <v>-3.00325</v>
      </c>
      <c r="T4038">
        <v>-0.1851554</v>
      </c>
      <c r="U4038">
        <v>-1.1226499999999999</v>
      </c>
      <c r="V4038">
        <v>0.18571470000000001</v>
      </c>
      <c r="W4038">
        <v>-1.9562019999999999E-2</v>
      </c>
      <c r="X4038">
        <v>0.98240890000000003</v>
      </c>
      <c r="Y4038">
        <v>0.51382689999999998</v>
      </c>
      <c r="Z4038">
        <v>5.508801E-2</v>
      </c>
      <c r="AA4038">
        <v>0.85612330000000003</v>
      </c>
      <c r="AB4038">
        <v>20</v>
      </c>
      <c r="AC4038">
        <v>-17.790600000000001</v>
      </c>
      <c r="AD4038">
        <v>-1.104636608561</v>
      </c>
      <c r="AE4038">
        <v>-6.5537000000000196</v>
      </c>
      <c r="AF4038">
        <v>9.8187376223798299</v>
      </c>
      <c r="AG4038">
        <v>-1.104636608561</v>
      </c>
      <c r="AH4038">
        <v>16.143752664209298</v>
      </c>
      <c r="AI4038">
        <v>93.345774553042702</v>
      </c>
      <c r="AJ4038">
        <v>58.6917551456024</v>
      </c>
      <c r="AK4038">
        <v>18.927455735446198</v>
      </c>
      <c r="AL4038">
        <v>91.120892754964402</v>
      </c>
      <c r="AM4038">
        <v>79.295122889702199</v>
      </c>
      <c r="AN4038">
        <v>0.99999993461088799</v>
      </c>
    </row>
    <row r="4039" spans="1:40" x14ac:dyDescent="0.25">
      <c r="A4039" t="str">
        <f>"20190312161048723"</f>
        <v>20190312161048723</v>
      </c>
      <c r="B4039" t="str">
        <f>"1552378248710695"</f>
        <v>1552378248710695</v>
      </c>
      <c r="C4039" t="s">
        <v>40</v>
      </c>
      <c r="D4039">
        <v>5.2655960000000004</v>
      </c>
      <c r="E4039">
        <v>0.62278769999999894</v>
      </c>
      <c r="F4039" t="s">
        <v>41</v>
      </c>
      <c r="G4039">
        <v>-217.3074</v>
      </c>
      <c r="H4039" s="1">
        <v>-2.019858E-6</v>
      </c>
      <c r="I4039">
        <v>142.4974</v>
      </c>
      <c r="J4039">
        <v>-198.619</v>
      </c>
      <c r="K4039">
        <v>1.1046229999999999</v>
      </c>
      <c r="L4039">
        <v>149.26130000000001</v>
      </c>
      <c r="M4039">
        <v>-0.63054169999999998</v>
      </c>
      <c r="N4039">
        <v>0</v>
      </c>
      <c r="O4039">
        <v>-0.77600550000000001</v>
      </c>
      <c r="P4039">
        <v>-0.7635168</v>
      </c>
      <c r="Q4039">
        <v>-3.2231919999999997E-2</v>
      </c>
      <c r="R4039">
        <v>-0.64498339999999998</v>
      </c>
      <c r="S4039">
        <v>-3.0045929999999998</v>
      </c>
      <c r="T4039">
        <v>-0.17626549999999999</v>
      </c>
      <c r="U4039">
        <v>-1.1043240000000001</v>
      </c>
      <c r="V4039">
        <v>0.18556810000000001</v>
      </c>
      <c r="W4039">
        <v>-1.9831399999999999E-2</v>
      </c>
      <c r="X4039">
        <v>0.98243130000000001</v>
      </c>
      <c r="Y4039">
        <v>0.50933130000000004</v>
      </c>
      <c r="Z4039">
        <v>5.2187770000000001E-2</v>
      </c>
      <c r="AA4039">
        <v>0.85898660000000004</v>
      </c>
      <c r="AB4039">
        <v>20</v>
      </c>
      <c r="AC4039">
        <v>-18.688399999999898</v>
      </c>
      <c r="AD4039">
        <v>-1.1046250198580001</v>
      </c>
      <c r="AE4039">
        <v>-6.7638999999999996</v>
      </c>
      <c r="AF4039">
        <v>10.207041052062699</v>
      </c>
      <c r="AG4039">
        <v>-1.1046250198580001</v>
      </c>
      <c r="AH4039">
        <v>16.982161794728501</v>
      </c>
      <c r="AI4039">
        <v>93.190990078405093</v>
      </c>
      <c r="AJ4039">
        <v>58.992244606588898</v>
      </c>
      <c r="AK4039">
        <v>19.8443367915213</v>
      </c>
      <c r="AL4039">
        <v>91.136329977603097</v>
      </c>
      <c r="AM4039">
        <v>79.303616340024703</v>
      </c>
      <c r="AN4039">
        <v>1.00000003169162</v>
      </c>
    </row>
    <row r="4040" spans="1:40" x14ac:dyDescent="0.25">
      <c r="A4040" t="str">
        <f>"20190312161048744"</f>
        <v>20190312161048744</v>
      </c>
      <c r="B4040" t="str">
        <f>"1552378248740948"</f>
        <v>1552378248740948</v>
      </c>
      <c r="C4040" t="s">
        <v>40</v>
      </c>
      <c r="D4040">
        <v>5.0763239999999996</v>
      </c>
      <c r="E4040">
        <v>0.62233359999999904</v>
      </c>
      <c r="F4040" t="s">
        <v>66</v>
      </c>
      <c r="G4040">
        <v>-274.44709999999998</v>
      </c>
      <c r="H4040">
        <v>3.3412500000000001</v>
      </c>
      <c r="I4040">
        <v>118.3887</v>
      </c>
      <c r="J4040">
        <v>-198.75</v>
      </c>
      <c r="K4040">
        <v>1.1046149999999999</v>
      </c>
      <c r="L4040">
        <v>149.1189</v>
      </c>
      <c r="M4040">
        <v>-0.63834679999999999</v>
      </c>
      <c r="N4040">
        <v>0</v>
      </c>
      <c r="O4040">
        <v>-0.7695978</v>
      </c>
      <c r="P4040">
        <v>-0.76981820000000001</v>
      </c>
      <c r="Q4040">
        <v>-3.2157909999999998E-2</v>
      </c>
      <c r="R4040">
        <v>-0.63745269999999898</v>
      </c>
      <c r="S4040">
        <v>-2.926361</v>
      </c>
      <c r="T4040">
        <v>8.6315989999999995E-2</v>
      </c>
      <c r="U4040">
        <v>-1.1914370000000001</v>
      </c>
      <c r="V4040">
        <v>0.18529880000000001</v>
      </c>
      <c r="W4040">
        <v>-1.9753E-2</v>
      </c>
      <c r="X4040">
        <v>0.98248369999999996</v>
      </c>
      <c r="Y4040">
        <v>0.47175909999999899</v>
      </c>
      <c r="Z4040">
        <v>-2.539282E-2</v>
      </c>
      <c r="AA4040">
        <v>0.88136179999999997</v>
      </c>
      <c r="AB4040">
        <v>20</v>
      </c>
      <c r="AC4040">
        <v>-75.697099999999907</v>
      </c>
      <c r="AD4040">
        <v>2.2366349999999899</v>
      </c>
      <c r="AE4040">
        <v>-30.7302</v>
      </c>
      <c r="AF4040">
        <v>38.615348531399199</v>
      </c>
      <c r="AG4040">
        <v>2.2366349999999899</v>
      </c>
      <c r="AH4040">
        <v>71.925358276100496</v>
      </c>
      <c r="AI4040">
        <v>88.430618546835007</v>
      </c>
      <c r="AJ4040">
        <v>61.7694999354649</v>
      </c>
      <c r="AK4040">
        <v>81.666424199116804</v>
      </c>
      <c r="AL4040">
        <v>91.131837117786901</v>
      </c>
      <c r="AM4040">
        <v>79.319338301767104</v>
      </c>
      <c r="AN4040">
        <v>1.0000000235280599</v>
      </c>
    </row>
    <row r="4041" spans="1:40" x14ac:dyDescent="0.25">
      <c r="A4041" t="str">
        <f>"20190312161048779"</f>
        <v>20190312161048779</v>
      </c>
      <c r="B4041" t="str">
        <f>"1552378248770228"</f>
        <v>1552378248770228</v>
      </c>
      <c r="C4041" t="s">
        <v>40</v>
      </c>
      <c r="D4041">
        <v>4.9209399999999999</v>
      </c>
      <c r="E4041">
        <v>0.63353190000000004</v>
      </c>
      <c r="F4041" t="s">
        <v>66</v>
      </c>
      <c r="G4041">
        <v>-277.42630000000003</v>
      </c>
      <c r="H4041">
        <v>2.9538579999999999</v>
      </c>
      <c r="I4041">
        <v>117.8888</v>
      </c>
      <c r="J4041">
        <v>-198.96379999999999</v>
      </c>
      <c r="K4041">
        <v>1.104622</v>
      </c>
      <c r="L4041">
        <v>148.8931</v>
      </c>
      <c r="M4041">
        <v>-0.65084180000000003</v>
      </c>
      <c r="N4041">
        <v>0</v>
      </c>
      <c r="O4041">
        <v>-0.75905999999999996</v>
      </c>
      <c r="P4041">
        <v>-0.77940489999999996</v>
      </c>
      <c r="Q4041">
        <v>-3.1066219999999999E-2</v>
      </c>
      <c r="R4041">
        <v>-0.62575019999999903</v>
      </c>
      <c r="S4041">
        <v>-2.9351349999999998</v>
      </c>
      <c r="T4041">
        <v>6.8988560000000004E-2</v>
      </c>
      <c r="U4041">
        <v>-1.1650849999999999</v>
      </c>
      <c r="V4041">
        <v>0.18413019999999999</v>
      </c>
      <c r="W4041">
        <v>-1.8636839999999998E-2</v>
      </c>
      <c r="X4041">
        <v>0.98272510000000002</v>
      </c>
      <c r="Y4041">
        <v>0.46520640000000002</v>
      </c>
      <c r="Z4041">
        <v>-2.0090360000000002E-2</v>
      </c>
      <c r="AA4041">
        <v>0.88497420000000004</v>
      </c>
      <c r="AB4041">
        <v>20</v>
      </c>
      <c r="AC4041">
        <v>-78.462500000000006</v>
      </c>
      <c r="AD4041">
        <v>1.8492360000000001</v>
      </c>
      <c r="AE4041">
        <v>-31.004300000000001</v>
      </c>
      <c r="AF4041">
        <v>39.364523932974897</v>
      </c>
      <c r="AG4041">
        <v>1.8492360000000001</v>
      </c>
      <c r="AH4041">
        <v>74.573657269211907</v>
      </c>
      <c r="AI4041">
        <v>88.743720554259895</v>
      </c>
      <c r="AJ4041">
        <v>62.172175118210198</v>
      </c>
      <c r="AK4041">
        <v>84.345810665138103</v>
      </c>
      <c r="AL4041">
        <v>91.067874160980594</v>
      </c>
      <c r="AM4041">
        <v>79.387709466846999</v>
      </c>
      <c r="AN4041">
        <v>0.99999994226361599</v>
      </c>
    </row>
    <row r="4042" spans="1:40" x14ac:dyDescent="0.25">
      <c r="A4042" t="str">
        <f>"20190312161048800"</f>
        <v>20190312161048800</v>
      </c>
      <c r="B4042" t="str">
        <f>"1552378248790730"</f>
        <v>1552378248790730</v>
      </c>
      <c r="C4042" t="s">
        <v>40</v>
      </c>
      <c r="D4042">
        <v>5.0119809999999996</v>
      </c>
      <c r="E4042">
        <v>0.63234959999999996</v>
      </c>
      <c r="F4042" t="s">
        <v>41</v>
      </c>
      <c r="G4042">
        <v>-213.78440000000001</v>
      </c>
      <c r="H4042" s="1">
        <v>-3.9896139999999998E-6</v>
      </c>
      <c r="I4042">
        <v>143.7407</v>
      </c>
      <c r="J4042">
        <v>-199.101</v>
      </c>
      <c r="K4042">
        <v>1.104636</v>
      </c>
      <c r="L4042">
        <v>148.75200000000001</v>
      </c>
      <c r="M4042">
        <v>-0.65869619999999995</v>
      </c>
      <c r="N4042">
        <v>0</v>
      </c>
      <c r="O4042">
        <v>-0.75225439999999999</v>
      </c>
      <c r="P4042">
        <v>-0.78537460000000003</v>
      </c>
      <c r="Q4042">
        <v>-3.060452E-2</v>
      </c>
      <c r="R4042">
        <v>-0.61826419999999904</v>
      </c>
      <c r="S4042">
        <v>-3.0021969999999998</v>
      </c>
      <c r="T4042">
        <v>-0.22376360000000001</v>
      </c>
      <c r="U4042">
        <v>-1.0437160000000001</v>
      </c>
      <c r="V4042">
        <v>0.18333949999999999</v>
      </c>
      <c r="W4042">
        <v>-1.8155569999999999E-2</v>
      </c>
      <c r="X4042">
        <v>0.98288200000000003</v>
      </c>
      <c r="Y4042">
        <v>0.4917705</v>
      </c>
      <c r="Z4042">
        <v>6.5051609999999996E-2</v>
      </c>
      <c r="AA4042">
        <v>0.86829140000000005</v>
      </c>
      <c r="AB4042">
        <v>20</v>
      </c>
      <c r="AC4042">
        <v>-14.683400000000001</v>
      </c>
      <c r="AD4042">
        <v>-1.104639989614</v>
      </c>
      <c r="AE4042">
        <v>-5.0113000000000003</v>
      </c>
      <c r="AF4042">
        <v>7.7065630345490996</v>
      </c>
      <c r="AG4042">
        <v>-1.104639989614</v>
      </c>
      <c r="AH4042">
        <v>13.375433543899501</v>
      </c>
      <c r="AI4042">
        <v>94.0930569448266</v>
      </c>
      <c r="AJ4042">
        <v>60.0506172537862</v>
      </c>
      <c r="AK4042">
        <v>15.476225825420199</v>
      </c>
      <c r="AL4042">
        <v>91.040294680218295</v>
      </c>
      <c r="AM4042">
        <v>79.433901540413203</v>
      </c>
      <c r="AN4042">
        <v>1.00000001145313</v>
      </c>
    </row>
    <row r="4043" spans="1:40" x14ac:dyDescent="0.25">
      <c r="A4043" t="str">
        <f>"20190312161048823"</f>
        <v>20190312161048823</v>
      </c>
      <c r="B4043" t="str">
        <f>"1552378248810255"</f>
        <v>1552378248810255</v>
      </c>
      <c r="C4043" t="s">
        <v>40</v>
      </c>
      <c r="D4043">
        <v>5.0022229999999999</v>
      </c>
      <c r="E4043">
        <v>0.6312951</v>
      </c>
      <c r="F4043" t="s">
        <v>41</v>
      </c>
      <c r="G4043">
        <v>-213.3879</v>
      </c>
      <c r="H4043" s="1">
        <v>-4.1691020000000001E-6</v>
      </c>
      <c r="I4043">
        <v>143.89429999999999</v>
      </c>
      <c r="J4043">
        <v>-199.24019999999999</v>
      </c>
      <c r="K4043">
        <v>1.1046579999999999</v>
      </c>
      <c r="L4043">
        <v>148.61170000000001</v>
      </c>
      <c r="M4043">
        <v>-0.66654190000000002</v>
      </c>
      <c r="N4043">
        <v>0</v>
      </c>
      <c r="O4043">
        <v>-0.74531150000000002</v>
      </c>
      <c r="P4043">
        <v>-0.79144190000000003</v>
      </c>
      <c r="Q4043">
        <v>-2.9807469999999999E-2</v>
      </c>
      <c r="R4043">
        <v>-0.61051759999999999</v>
      </c>
      <c r="S4043">
        <v>-3.0061490000000002</v>
      </c>
      <c r="T4043">
        <v>-0.23242969999999999</v>
      </c>
      <c r="U4043">
        <v>-1.022125</v>
      </c>
      <c r="V4043">
        <v>0.18273349999999999</v>
      </c>
      <c r="W4043">
        <v>-1.7340589999999999E-2</v>
      </c>
      <c r="X4043">
        <v>0.98300960000000004</v>
      </c>
      <c r="Y4043">
        <v>0.48839929999999898</v>
      </c>
      <c r="Z4043">
        <v>6.7175550000000001E-2</v>
      </c>
      <c r="AA4043">
        <v>0.87003079999999999</v>
      </c>
      <c r="AB4043">
        <v>20</v>
      </c>
      <c r="AC4043">
        <v>-14.1477</v>
      </c>
      <c r="AD4043">
        <v>-1.104662169102</v>
      </c>
      <c r="AE4043">
        <v>-4.71740000000002</v>
      </c>
      <c r="AF4043">
        <v>7.36057533980473</v>
      </c>
      <c r="AG4043">
        <v>-1.104662169102</v>
      </c>
      <c r="AH4043">
        <v>12.8768238030774</v>
      </c>
      <c r="AI4043">
        <v>94.259404752900593</v>
      </c>
      <c r="AJ4043">
        <v>60.247101626948201</v>
      </c>
      <c r="AK4043">
        <v>14.8731617047717</v>
      </c>
      <c r="AL4043">
        <v>90.993592369830694</v>
      </c>
      <c r="AM4043">
        <v>79.469379990384596</v>
      </c>
      <c r="AN4043">
        <v>1.0000000508879701</v>
      </c>
    </row>
    <row r="4044" spans="1:40" x14ac:dyDescent="0.25">
      <c r="A4044" t="str">
        <f>"20190312161048856"</f>
        <v>20190312161048856</v>
      </c>
      <c r="B4044" t="str">
        <f>"1552378248850260"</f>
        <v>1552378248850260</v>
      </c>
      <c r="C4044" t="s">
        <v>40</v>
      </c>
      <c r="D4044">
        <v>4.9960969999999998</v>
      </c>
      <c r="E4044">
        <v>0.66534850000000001</v>
      </c>
      <c r="F4044" t="s">
        <v>41</v>
      </c>
      <c r="G4044">
        <v>-213.3383</v>
      </c>
      <c r="H4044" s="1">
        <v>-4.1951090000000003E-6</v>
      </c>
      <c r="I4044">
        <v>143.9333</v>
      </c>
      <c r="J4044">
        <v>-199.4485</v>
      </c>
      <c r="K4044">
        <v>1.1046879999999999</v>
      </c>
      <c r="L4044">
        <v>148.40780000000001</v>
      </c>
      <c r="M4044">
        <v>-0.67802439999999997</v>
      </c>
      <c r="N4044">
        <v>0</v>
      </c>
      <c r="O4044">
        <v>-0.73488089999999995</v>
      </c>
      <c r="P4044">
        <v>-0.80037969999999903</v>
      </c>
      <c r="Q4044">
        <v>-2.948071E-2</v>
      </c>
      <c r="R4044">
        <v>-0.59876799999999997</v>
      </c>
      <c r="S4044">
        <v>-3.0108950000000001</v>
      </c>
      <c r="T4044">
        <v>-0.23592050000000001</v>
      </c>
      <c r="U4044">
        <v>-0.99916079999999996</v>
      </c>
      <c r="V4044">
        <v>0.18200849999999999</v>
      </c>
      <c r="W4044">
        <v>-1.6991019999999999E-2</v>
      </c>
      <c r="X4044">
        <v>0.98315010000000003</v>
      </c>
      <c r="Y4044">
        <v>0.48118919999999998</v>
      </c>
      <c r="Z4044">
        <v>6.7468840000000002E-2</v>
      </c>
      <c r="AA4044">
        <v>0.87401649999999997</v>
      </c>
      <c r="AB4044">
        <v>20</v>
      </c>
      <c r="AC4044">
        <v>-13.889799999999999</v>
      </c>
      <c r="AD4044">
        <v>-1.1046921951090001</v>
      </c>
      <c r="AE4044">
        <v>-4.4744999999999999</v>
      </c>
      <c r="AF4044">
        <v>7.1334842799920803</v>
      </c>
      <c r="AG4044">
        <v>-1.1046921951090001</v>
      </c>
      <c r="AH4044">
        <v>12.6349209669233</v>
      </c>
      <c r="AI4044">
        <v>94.353836565195607</v>
      </c>
      <c r="AJ4044">
        <v>60.551587807954903</v>
      </c>
      <c r="AK4044">
        <v>14.5515693538267</v>
      </c>
      <c r="AL4044">
        <v>90.973560627900696</v>
      </c>
      <c r="AM4044">
        <v>79.511697148235498</v>
      </c>
      <c r="AN4044">
        <v>0.99999995398144903</v>
      </c>
    </row>
    <row r="4045" spans="1:40" x14ac:dyDescent="0.25">
      <c r="A4045" t="str">
        <f>"20190312161048880"</f>
        <v>20190312161048880</v>
      </c>
      <c r="B4045" t="str">
        <f>"1552378248870756"</f>
        <v>1552378248870756</v>
      </c>
      <c r="C4045" t="s">
        <v>40</v>
      </c>
      <c r="D4045">
        <v>4.8519480000000001</v>
      </c>
      <c r="E4045">
        <v>0.67217190000000004</v>
      </c>
      <c r="F4045" t="s">
        <v>41</v>
      </c>
      <c r="G4045">
        <v>-232.11080000000001</v>
      </c>
      <c r="H4045" s="1">
        <v>-3.6905359999999998E-6</v>
      </c>
      <c r="I4045">
        <v>140.83330000000001</v>
      </c>
      <c r="J4045">
        <v>-199.608</v>
      </c>
      <c r="K4045">
        <v>1.1047119999999999</v>
      </c>
      <c r="L4045">
        <v>148.25559999999999</v>
      </c>
      <c r="M4045">
        <v>-0.68662119999999904</v>
      </c>
      <c r="N4045">
        <v>0</v>
      </c>
      <c r="O4045">
        <v>-0.72685540000000004</v>
      </c>
      <c r="P4045">
        <v>-0.80747530000000001</v>
      </c>
      <c r="Q4045">
        <v>-2.9038029999999999E-2</v>
      </c>
      <c r="R4045">
        <v>-0.5891864</v>
      </c>
      <c r="S4045">
        <v>-3.1906889999999999</v>
      </c>
      <c r="T4045">
        <v>-0.107914</v>
      </c>
      <c r="U4045">
        <v>-0.73992919999999995</v>
      </c>
      <c r="V4045">
        <v>0.18218090000000001</v>
      </c>
      <c r="W4045">
        <v>-1.6543519999999999E-2</v>
      </c>
      <c r="X4045">
        <v>0.9831259</v>
      </c>
      <c r="Y4045">
        <v>0.5524213</v>
      </c>
      <c r="Z4045">
        <v>3.0757219999999998E-2</v>
      </c>
      <c r="AA4045">
        <v>0.8329974</v>
      </c>
      <c r="AB4045">
        <v>19</v>
      </c>
      <c r="AC4045">
        <v>-32.502800000000001</v>
      </c>
      <c r="AD4045">
        <v>-1.1047156905360001</v>
      </c>
      <c r="AE4045">
        <v>-7.4222999999999697</v>
      </c>
      <c r="AF4045">
        <v>18.510358533102501</v>
      </c>
      <c r="AG4045">
        <v>-1.1047156905360001</v>
      </c>
      <c r="AH4045">
        <v>27.6848766029625</v>
      </c>
      <c r="AI4045">
        <v>91.899902749314904</v>
      </c>
      <c r="AJ4045">
        <v>56.232955084730797</v>
      </c>
      <c r="AK4045">
        <v>33.3212569136006</v>
      </c>
      <c r="AL4045">
        <v>90.947917067454895</v>
      </c>
      <c r="AM4045">
        <v>79.5017306278517</v>
      </c>
      <c r="AN4045">
        <v>1.0000000518148</v>
      </c>
    </row>
    <row r="4046" spans="1:40" x14ac:dyDescent="0.25">
      <c r="A4046" t="str">
        <f>"20190312161048901"</f>
        <v>20190312161048901</v>
      </c>
      <c r="B4046" t="str">
        <f>"1552378248890277"</f>
        <v>1552378248890277</v>
      </c>
      <c r="C4046" t="s">
        <v>40</v>
      </c>
      <c r="D4046">
        <v>4.7760109999999996</v>
      </c>
      <c r="E4046">
        <v>0.67235089999999997</v>
      </c>
      <c r="F4046" t="s">
        <v>41</v>
      </c>
      <c r="G4046">
        <v>-247.2851</v>
      </c>
      <c r="H4046" s="1">
        <v>-1.337896E-6</v>
      </c>
      <c r="I4046">
        <v>138.53989999999999</v>
      </c>
      <c r="J4046">
        <v>-199.74600000000001</v>
      </c>
      <c r="K4046">
        <v>1.1047370000000001</v>
      </c>
      <c r="L4046">
        <v>148.1268</v>
      </c>
      <c r="M4046">
        <v>-0.69391329999999996</v>
      </c>
      <c r="N4046">
        <v>0</v>
      </c>
      <c r="O4046">
        <v>-0.71989700000000001</v>
      </c>
      <c r="P4046">
        <v>-0.81386459999999905</v>
      </c>
      <c r="Q4046">
        <v>-2.8456169999999999E-2</v>
      </c>
      <c r="R4046">
        <v>-0.58035769999999998</v>
      </c>
      <c r="S4046">
        <v>-3.2320099999999998</v>
      </c>
      <c r="T4046">
        <v>-7.4887990000000002E-2</v>
      </c>
      <c r="U4046">
        <v>-0.65861510000000001</v>
      </c>
      <c r="V4046">
        <v>0.18300050000000001</v>
      </c>
      <c r="W4046">
        <v>-1.5968739999999999E-2</v>
      </c>
      <c r="X4046">
        <v>0.9829831</v>
      </c>
      <c r="Y4046">
        <v>0.56662139999999905</v>
      </c>
      <c r="Z4046">
        <v>2.1238150000000001E-2</v>
      </c>
      <c r="AA4046">
        <v>0.82370449999999995</v>
      </c>
      <c r="AB4046">
        <v>19</v>
      </c>
      <c r="AC4046">
        <v>-47.539099999999998</v>
      </c>
      <c r="AD4046">
        <v>-1.1047383378960001</v>
      </c>
      <c r="AE4046">
        <v>-9.5869000000000106</v>
      </c>
      <c r="AF4046">
        <v>27.559684258023498</v>
      </c>
      <c r="AG4046">
        <v>-1.1047383378960001</v>
      </c>
      <c r="AH4046">
        <v>39.873543723567998</v>
      </c>
      <c r="AI4046">
        <v>91.305644953352797</v>
      </c>
      <c r="AJ4046">
        <v>55.348655852161599</v>
      </c>
      <c r="AK4046">
        <v>48.4835655895115</v>
      </c>
      <c r="AL4046">
        <v>90.914980314682197</v>
      </c>
      <c r="AM4046">
        <v>79.454060228396401</v>
      </c>
      <c r="AN4046">
        <v>0.99999997927152295</v>
      </c>
    </row>
    <row r="4047" spans="1:40" x14ac:dyDescent="0.25">
      <c r="A4047" t="str">
        <f>"20190312161048923"</f>
        <v>20190312161048923</v>
      </c>
      <c r="B4047" t="str">
        <f>"1552378248920533"</f>
        <v>1552378248920533</v>
      </c>
      <c r="C4047" t="s">
        <v>40</v>
      </c>
      <c r="D4047">
        <v>4.864236</v>
      </c>
      <c r="E4047">
        <v>0.67081800000000003</v>
      </c>
      <c r="F4047" t="s">
        <v>41</v>
      </c>
      <c r="G4047">
        <v>-271.51490000000001</v>
      </c>
      <c r="H4047" s="1">
        <v>-4.5587680000000003E-6</v>
      </c>
      <c r="I4047">
        <v>134.3372</v>
      </c>
      <c r="J4047">
        <v>-199.8886</v>
      </c>
      <c r="K4047">
        <v>1.1047629999999999</v>
      </c>
      <c r="L4047">
        <v>147.99639999999999</v>
      </c>
      <c r="M4047">
        <v>-0.70130559999999997</v>
      </c>
      <c r="N4047">
        <v>0</v>
      </c>
      <c r="O4047">
        <v>-0.71269769999999999</v>
      </c>
      <c r="P4047">
        <v>-0.81994999999999996</v>
      </c>
      <c r="Q4047">
        <v>-2.7343320000000001E-2</v>
      </c>
      <c r="R4047">
        <v>-0.57178219999999902</v>
      </c>
      <c r="S4047">
        <v>-3.240402</v>
      </c>
      <c r="T4047">
        <v>-4.9879670000000001E-2</v>
      </c>
      <c r="U4047">
        <v>-0.62260439999999995</v>
      </c>
      <c r="V4047">
        <v>0.1832183</v>
      </c>
      <c r="W4047">
        <v>-1.485246E-2</v>
      </c>
      <c r="X4047">
        <v>0.98295999999999994</v>
      </c>
      <c r="Y4047">
        <v>0.56750730000000005</v>
      </c>
      <c r="Z4047">
        <v>1.4073820000000001E-2</v>
      </c>
      <c r="AA4047">
        <v>0.82324809999999904</v>
      </c>
      <c r="AB4047">
        <v>19</v>
      </c>
      <c r="AC4047">
        <v>-71.626300000000001</v>
      </c>
      <c r="AD4047">
        <v>-1.1047675587679999</v>
      </c>
      <c r="AE4047">
        <v>-13.659199999999901</v>
      </c>
      <c r="AF4047">
        <v>41.4639280454195</v>
      </c>
      <c r="AG4047">
        <v>-1.1047675587679999</v>
      </c>
      <c r="AH4047">
        <v>59.960012382553799</v>
      </c>
      <c r="AI4047">
        <v>90.868221855112196</v>
      </c>
      <c r="AJ4047">
        <v>55.3351207445778</v>
      </c>
      <c r="AK4047">
        <v>72.908716387210106</v>
      </c>
      <c r="AL4047">
        <v>90.851014605120497</v>
      </c>
      <c r="AM4047">
        <v>79.441548378492598</v>
      </c>
      <c r="AN4047">
        <v>0.99999995131146902</v>
      </c>
    </row>
    <row r="4048" spans="1:40" x14ac:dyDescent="0.25">
      <c r="A4048" t="str">
        <f>"20190312161048945"</f>
        <v>20190312161048945</v>
      </c>
      <c r="B4048" t="str">
        <f>"1552378248941029"</f>
        <v>1552378248941029</v>
      </c>
      <c r="C4048" t="s">
        <v>40</v>
      </c>
      <c r="D4048">
        <v>5.2184780000000002</v>
      </c>
      <c r="E4048">
        <v>0.67172569999999998</v>
      </c>
      <c r="F4048" t="s">
        <v>43</v>
      </c>
      <c r="G4048">
        <v>-354.38380000000001</v>
      </c>
      <c r="H4048">
        <v>-0.05</v>
      </c>
      <c r="I4048">
        <v>119.4273</v>
      </c>
      <c r="J4048">
        <v>-200.03659999999999</v>
      </c>
      <c r="K4048">
        <v>1.1047929999999999</v>
      </c>
      <c r="L4048">
        <v>147.86420000000001</v>
      </c>
      <c r="M4048">
        <v>-0.70882509999999999</v>
      </c>
      <c r="N4048">
        <v>0</v>
      </c>
      <c r="O4048">
        <v>-0.70521969999999901</v>
      </c>
      <c r="P4048">
        <v>-0.82613419999999904</v>
      </c>
      <c r="Q4048">
        <v>-2.7343590000000001E-2</v>
      </c>
      <c r="R4048">
        <v>-0.56281009999999998</v>
      </c>
      <c r="S4048">
        <v>-3.2401580000000001</v>
      </c>
      <c r="T4048">
        <v>-2.4218320000000002E-2</v>
      </c>
      <c r="U4048">
        <v>-0.59916689999999995</v>
      </c>
      <c r="V4048">
        <v>0.18350900000000001</v>
      </c>
      <c r="W4048">
        <v>-1.4850749999999999E-2</v>
      </c>
      <c r="X4048">
        <v>0.9829059</v>
      </c>
      <c r="Y4048">
        <v>0.56460849999999996</v>
      </c>
      <c r="Z4048">
        <v>6.7953639999999999E-3</v>
      </c>
      <c r="AA4048">
        <v>0.82533099999999904</v>
      </c>
      <c r="AB4048">
        <v>19</v>
      </c>
      <c r="AC4048">
        <v>-154.34719999999999</v>
      </c>
      <c r="AD4048">
        <v>-1.154793</v>
      </c>
      <c r="AE4048">
        <v>-28.436900000000001</v>
      </c>
      <c r="AF4048">
        <v>88.697392376684704</v>
      </c>
      <c r="AG4048">
        <v>-1.154793</v>
      </c>
      <c r="AH4048">
        <v>129.46745204049299</v>
      </c>
      <c r="AI4048">
        <v>90.421594677566503</v>
      </c>
      <c r="AJ4048">
        <v>55.585185674698003</v>
      </c>
      <c r="AK4048">
        <v>156.940696121668</v>
      </c>
      <c r="AL4048">
        <v>90.850916531943497</v>
      </c>
      <c r="AM4048">
        <v>79.424604652111896</v>
      </c>
      <c r="AN4048">
        <v>1.0000000530556801</v>
      </c>
    </row>
    <row r="4049" spans="1:40" x14ac:dyDescent="0.25">
      <c r="A4049" t="str">
        <f>"20190312161048968"</f>
        <v>20190312161048968</v>
      </c>
      <c r="B4049" t="str">
        <f>"1552378248960548"</f>
        <v>1552378248960548</v>
      </c>
      <c r="C4049" t="s">
        <v>40</v>
      </c>
      <c r="D4049">
        <v>5.1167680000000004</v>
      </c>
      <c r="E4049">
        <v>0.67147619999999997</v>
      </c>
      <c r="F4049" t="s">
        <v>55</v>
      </c>
      <c r="G4049">
        <v>-368.23680000000002</v>
      </c>
      <c r="H4049">
        <v>2.2506950000000001E-2</v>
      </c>
      <c r="I4049">
        <v>118.99979999999999</v>
      </c>
      <c r="J4049">
        <v>-200.1857</v>
      </c>
      <c r="K4049">
        <v>1.104819</v>
      </c>
      <c r="L4049">
        <v>147.7337</v>
      </c>
      <c r="M4049">
        <v>-0.716252</v>
      </c>
      <c r="N4049">
        <v>0</v>
      </c>
      <c r="O4049">
        <v>-0.69767570000000001</v>
      </c>
      <c r="P4049">
        <v>-0.83194820000000003</v>
      </c>
      <c r="Q4049">
        <v>-2.8075679999999999E-2</v>
      </c>
      <c r="R4049">
        <v>-0.55414300000000005</v>
      </c>
      <c r="S4049">
        <v>-3.250626</v>
      </c>
      <c r="T4049">
        <v>-2.091587E-2</v>
      </c>
      <c r="U4049">
        <v>-0.55783079999999996</v>
      </c>
      <c r="V4049">
        <v>0.18335199999999999</v>
      </c>
      <c r="W4049">
        <v>-1.557356E-2</v>
      </c>
      <c r="X4049">
        <v>0.98292400000000002</v>
      </c>
      <c r="Y4049">
        <v>0.56652440000000004</v>
      </c>
      <c r="Z4049">
        <v>5.8358369999999904E-3</v>
      </c>
      <c r="AA4049">
        <v>0.82402430000000004</v>
      </c>
      <c r="AB4049">
        <v>19</v>
      </c>
      <c r="AC4049">
        <v>-168.05109999999999</v>
      </c>
      <c r="AD4049">
        <v>-1.0823120500000001</v>
      </c>
      <c r="AE4049">
        <v>-28.733899999999998</v>
      </c>
      <c r="AF4049">
        <v>96.671759636556601</v>
      </c>
      <c r="AG4049">
        <v>-1.0823120500000001</v>
      </c>
      <c r="AH4049">
        <v>140.424490214706</v>
      </c>
      <c r="AI4049">
        <v>90.363737530086198</v>
      </c>
      <c r="AJ4049">
        <v>55.455495820896502</v>
      </c>
      <c r="AK4049">
        <v>170.48647442733301</v>
      </c>
      <c r="AL4049">
        <v>90.892335296668605</v>
      </c>
      <c r="AM4049">
        <v>79.433638720201401</v>
      </c>
      <c r="AN4049">
        <v>1.0000000407255301</v>
      </c>
    </row>
    <row r="4050" spans="1:40" x14ac:dyDescent="0.25">
      <c r="A4050" t="str">
        <f>"20190312161048992"</f>
        <v>20190312161048992</v>
      </c>
      <c r="B4050" t="str">
        <f>"1552378248981044"</f>
        <v>1552378248981044</v>
      </c>
      <c r="C4050" t="s">
        <v>40</v>
      </c>
      <c r="D4050">
        <v>4.6309129999999996</v>
      </c>
      <c r="E4050">
        <v>0.67121509999999995</v>
      </c>
      <c r="F4050" t="s">
        <v>43</v>
      </c>
      <c r="G4050">
        <v>-399.41410000000002</v>
      </c>
      <c r="H4050">
        <v>-0.05</v>
      </c>
      <c r="I4050">
        <v>115.5531</v>
      </c>
      <c r="J4050">
        <v>-200.3475</v>
      </c>
      <c r="K4050">
        <v>1.1048500000000001</v>
      </c>
      <c r="L4050">
        <v>147.59520000000001</v>
      </c>
      <c r="M4050">
        <v>-0.72414469999999997</v>
      </c>
      <c r="N4050">
        <v>0</v>
      </c>
      <c r="O4050">
        <v>-0.68948009999999904</v>
      </c>
      <c r="P4050">
        <v>-0.83789429999999998</v>
      </c>
      <c r="Q4050">
        <v>-2.910457E-2</v>
      </c>
      <c r="R4050">
        <v>-0.54505630000000005</v>
      </c>
      <c r="S4050">
        <v>-3.2551269999999999</v>
      </c>
      <c r="T4050">
        <v>-1.886821E-2</v>
      </c>
      <c r="U4050">
        <v>-0.52578740000000002</v>
      </c>
      <c r="V4050">
        <v>0.1828272</v>
      </c>
      <c r="W4050">
        <v>-1.6587319999999999E-2</v>
      </c>
      <c r="X4050">
        <v>0.98300509999999997</v>
      </c>
      <c r="Y4050">
        <v>0.56523369999999995</v>
      </c>
      <c r="Z4050">
        <v>5.2294070000000002E-3</v>
      </c>
      <c r="AA4050">
        <v>0.82491429999999999</v>
      </c>
      <c r="AB4050">
        <v>19</v>
      </c>
      <c r="AC4050">
        <v>-199.06659999999999</v>
      </c>
      <c r="AD4050">
        <v>-1.1548499999999999</v>
      </c>
      <c r="AE4050">
        <v>-32.042099999999998</v>
      </c>
      <c r="AF4050">
        <v>114.058812419853</v>
      </c>
      <c r="AG4050">
        <v>-1.1548499999999999</v>
      </c>
      <c r="AH4050">
        <v>166.259217764151</v>
      </c>
      <c r="AI4050">
        <v>90.328174596174605</v>
      </c>
      <c r="AJ4050">
        <v>55.548708408886199</v>
      </c>
      <c r="AK4050">
        <v>201.62557838899599</v>
      </c>
      <c r="AL4050">
        <v>90.950427039465794</v>
      </c>
      <c r="AM4050">
        <v>79.464053943059398</v>
      </c>
      <c r="AN4050">
        <v>0.99999997543531505</v>
      </c>
    </row>
    <row r="4051" spans="1:40" x14ac:dyDescent="0.25">
      <c r="A4051" t="str">
        <f>"20190312161049013"</f>
        <v>20190312161049013</v>
      </c>
      <c r="B4051" t="str">
        <f>"1552378249000564"</f>
        <v>1552378249000564</v>
      </c>
      <c r="C4051" t="s">
        <v>40</v>
      </c>
      <c r="D4051">
        <v>4.7139150000000001</v>
      </c>
      <c r="E4051">
        <v>0.65030569999999999</v>
      </c>
      <c r="F4051" t="s">
        <v>41</v>
      </c>
      <c r="G4051">
        <v>-335.9948</v>
      </c>
      <c r="H4051">
        <v>7.9986470000000004E-2</v>
      </c>
      <c r="I4051">
        <v>127.1193</v>
      </c>
      <c r="J4051">
        <v>-200.48410000000001</v>
      </c>
      <c r="K4051">
        <v>1.1048720000000001</v>
      </c>
      <c r="L4051">
        <v>147.48070000000001</v>
      </c>
      <c r="M4051">
        <v>-0.73068120000000003</v>
      </c>
      <c r="N4051">
        <v>0</v>
      </c>
      <c r="O4051">
        <v>-0.68254939999999997</v>
      </c>
      <c r="P4051">
        <v>-0.84285560000000004</v>
      </c>
      <c r="Q4051">
        <v>-3.0265199999999999E-2</v>
      </c>
      <c r="R4051">
        <v>-0.53728849999999995</v>
      </c>
      <c r="S4051">
        <v>-3.2594910000000001</v>
      </c>
      <c r="T4051">
        <v>-2.462661E-2</v>
      </c>
      <c r="U4051">
        <v>-0.4920197</v>
      </c>
      <c r="V4051">
        <v>0.1825049</v>
      </c>
      <c r="W4051">
        <v>-1.773804E-2</v>
      </c>
      <c r="X4051">
        <v>0.9830449</v>
      </c>
      <c r="Y4051">
        <v>0.56587730000000003</v>
      </c>
      <c r="Z4051">
        <v>6.7928750000000003E-3</v>
      </c>
      <c r="AA4051">
        <v>0.82446149999999996</v>
      </c>
      <c r="AB4051">
        <v>19</v>
      </c>
      <c r="AC4051">
        <v>-135.51070000000001</v>
      </c>
      <c r="AD4051">
        <v>-1.0248855299999999</v>
      </c>
      <c r="AE4051">
        <v>-20.3614</v>
      </c>
      <c r="AF4051">
        <v>77.619690656106101</v>
      </c>
      <c r="AG4051">
        <v>-1.0248855299999999</v>
      </c>
      <c r="AH4051">
        <v>112.919526400257</v>
      </c>
      <c r="AI4051">
        <v>90.4285411876767</v>
      </c>
      <c r="AJ4051">
        <v>55.495778507808097</v>
      </c>
      <c r="AK4051">
        <v>137.02804899128299</v>
      </c>
      <c r="AL4051">
        <v>91.016368155996901</v>
      </c>
      <c r="AM4051">
        <v>79.482628930485404</v>
      </c>
      <c r="AN4051">
        <v>0.99999997600153001</v>
      </c>
    </row>
    <row r="4052" spans="1:40" x14ac:dyDescent="0.25">
      <c r="A4052" t="str">
        <f>"20190312161049045"</f>
        <v>20190312161049045</v>
      </c>
      <c r="B4052" t="str">
        <f>"1552378249040581"</f>
        <v>1552378249040581</v>
      </c>
      <c r="C4052" t="s">
        <v>40</v>
      </c>
      <c r="D4052">
        <v>5.1498540000000004</v>
      </c>
      <c r="E4052">
        <v>0.64780689999999996</v>
      </c>
      <c r="F4052" t="s">
        <v>55</v>
      </c>
      <c r="G4052">
        <v>-345.36520000000002</v>
      </c>
      <c r="H4052">
        <v>15.52298</v>
      </c>
      <c r="I4052">
        <v>119.7144</v>
      </c>
      <c r="J4052">
        <v>-200.70429999999999</v>
      </c>
      <c r="K4052">
        <v>1.1049209999999901</v>
      </c>
      <c r="L4052">
        <v>147.3005</v>
      </c>
      <c r="M4052">
        <v>-0.7409673</v>
      </c>
      <c r="N4052">
        <v>0</v>
      </c>
      <c r="O4052">
        <v>-0.67136879999999999</v>
      </c>
      <c r="P4052">
        <v>-0.85080710000000004</v>
      </c>
      <c r="Q4052">
        <v>-2.9899709999999999E-2</v>
      </c>
      <c r="R4052">
        <v>-0.52462690000000001</v>
      </c>
      <c r="S4052">
        <v>-3.1819609999999998</v>
      </c>
      <c r="T4052">
        <v>0.31665900000000002</v>
      </c>
      <c r="U4052">
        <v>-0.60981750000000001</v>
      </c>
      <c r="V4052">
        <v>0.18228150000000001</v>
      </c>
      <c r="W4052">
        <v>-1.736211E-2</v>
      </c>
      <c r="X4052">
        <v>0.98309310000000005</v>
      </c>
      <c r="Y4052">
        <v>0.51495150000000001</v>
      </c>
      <c r="Z4052">
        <v>-8.5477620000000004E-2</v>
      </c>
      <c r="AA4052">
        <v>0.85294699999999901</v>
      </c>
      <c r="AB4052">
        <v>19</v>
      </c>
      <c r="AC4052">
        <v>-144.6609</v>
      </c>
      <c r="AD4052">
        <v>14.418059</v>
      </c>
      <c r="AE4052">
        <v>-27.586099999999998</v>
      </c>
      <c r="AF4052">
        <v>75.961190982183595</v>
      </c>
      <c r="AG4052">
        <v>14.418059</v>
      </c>
      <c r="AH4052">
        <v>124.53034857934399</v>
      </c>
      <c r="AI4052">
        <v>84.355095793188696</v>
      </c>
      <c r="AJ4052">
        <v>58.617587450135197</v>
      </c>
      <c r="AK4052">
        <v>146.58032159212999</v>
      </c>
      <c r="AL4052">
        <v>90.994825595617598</v>
      </c>
      <c r="AM4052">
        <v>79.495719833038905</v>
      </c>
      <c r="AN4052">
        <v>1.0000000156867499</v>
      </c>
    </row>
    <row r="4053" spans="1:40" x14ac:dyDescent="0.25">
      <c r="A4053" t="str">
        <f>"20190312161049067"</f>
        <v>20190312161049067</v>
      </c>
      <c r="B4053" t="str">
        <f>"1552378249061077"</f>
        <v>1552378249061077</v>
      </c>
      <c r="C4053" t="s">
        <v>40</v>
      </c>
      <c r="D4053">
        <v>5.1785199999999998</v>
      </c>
      <c r="E4053">
        <v>0.64821680000000004</v>
      </c>
      <c r="F4053" t="s">
        <v>42</v>
      </c>
      <c r="G4053">
        <v>-201.50749999999999</v>
      </c>
      <c r="H4053">
        <v>1.1810849999999999</v>
      </c>
      <c r="I4053">
        <v>147.15430000000001</v>
      </c>
      <c r="J4053">
        <v>-200.86</v>
      </c>
      <c r="K4053">
        <v>1.104948</v>
      </c>
      <c r="L4053">
        <v>147.17670000000001</v>
      </c>
      <c r="M4053">
        <v>-0.74805549999999998</v>
      </c>
      <c r="N4053">
        <v>0</v>
      </c>
      <c r="O4053">
        <v>-0.66346240000000001</v>
      </c>
      <c r="P4053">
        <v>-0.8564678</v>
      </c>
      <c r="Q4053">
        <v>-3.0558249999999999E-2</v>
      </c>
      <c r="R4053">
        <v>-0.51529539999999996</v>
      </c>
      <c r="S4053">
        <v>-3.1796880000000001</v>
      </c>
      <c r="T4053">
        <v>0.30151800000000001</v>
      </c>
      <c r="U4053">
        <v>-0.57890319999999995</v>
      </c>
      <c r="V4053">
        <v>0.18256449999999999</v>
      </c>
      <c r="W4053">
        <v>-1.8022219999999999E-2</v>
      </c>
      <c r="X4053">
        <v>0.98302869999999998</v>
      </c>
      <c r="Y4053">
        <v>0.5142449</v>
      </c>
      <c r="Z4053">
        <v>-8.1027429999999998E-2</v>
      </c>
      <c r="AA4053">
        <v>0.85380719999999999</v>
      </c>
      <c r="AB4053">
        <v>19</v>
      </c>
      <c r="AC4053">
        <v>-0.64749999999997898</v>
      </c>
      <c r="AD4053">
        <v>7.6136999999999899E-2</v>
      </c>
      <c r="AE4053">
        <v>-2.24000000000046E-2</v>
      </c>
      <c r="AF4053">
        <v>0.40725884187204697</v>
      </c>
      <c r="AG4053">
        <v>7.6136999999999899E-2</v>
      </c>
      <c r="AH4053">
        <v>0.49248388364510498</v>
      </c>
      <c r="AI4053">
        <v>83.205880434239006</v>
      </c>
      <c r="AJ4053">
        <v>50.4110017948734</v>
      </c>
      <c r="AK4053">
        <v>0.64358137224606404</v>
      </c>
      <c r="AL4053">
        <v>91.032653038213596</v>
      </c>
      <c r="AM4053">
        <v>79.4791014734203</v>
      </c>
      <c r="AN4053">
        <v>1.0000000110488301</v>
      </c>
    </row>
    <row r="4054" spans="1:40" x14ac:dyDescent="0.25">
      <c r="A4054" t="str">
        <f>"20190312161049091"</f>
        <v>20190312161049091</v>
      </c>
      <c r="B4054" t="str">
        <f>"1552378249080600"</f>
        <v>1552378249080600</v>
      </c>
      <c r="C4054" t="s">
        <v>40</v>
      </c>
      <c r="D4054">
        <v>5.2686960000000003</v>
      </c>
      <c r="E4054">
        <v>0.649648</v>
      </c>
      <c r="F4054" t="s">
        <v>55</v>
      </c>
      <c r="G4054">
        <v>-368.18599999999998</v>
      </c>
      <c r="H4054">
        <v>2.672186</v>
      </c>
      <c r="I4054">
        <v>119.00060000000001</v>
      </c>
      <c r="J4054">
        <v>-201.01849999999999</v>
      </c>
      <c r="K4054">
        <v>1.1049800000000001</v>
      </c>
      <c r="L4054">
        <v>147.05330000000001</v>
      </c>
      <c r="M4054">
        <v>-0.75512669999999904</v>
      </c>
      <c r="N4054">
        <v>0</v>
      </c>
      <c r="O4054">
        <v>-0.65540299999999996</v>
      </c>
      <c r="P4054">
        <v>-0.86205359999999998</v>
      </c>
      <c r="Q4054">
        <v>-3.0302949999999999E-2</v>
      </c>
      <c r="R4054">
        <v>-0.50591049999999904</v>
      </c>
      <c r="S4054">
        <v>-3.1815190000000002</v>
      </c>
      <c r="T4054">
        <v>2.979946E-2</v>
      </c>
      <c r="U4054">
        <v>-0.53573609999999905</v>
      </c>
      <c r="V4054">
        <v>0.1827703</v>
      </c>
      <c r="W4054">
        <v>-1.7767229999999998E-2</v>
      </c>
      <c r="X4054">
        <v>0.98299510000000001</v>
      </c>
      <c r="Y4054">
        <v>0.52092859999999996</v>
      </c>
      <c r="Z4054">
        <v>-8.0144209999999903E-3</v>
      </c>
      <c r="AA4054">
        <v>0.85356270000000001</v>
      </c>
      <c r="AB4054">
        <v>19</v>
      </c>
      <c r="AC4054">
        <v>-167.16749999999999</v>
      </c>
      <c r="AD4054">
        <v>1.5672059999999901</v>
      </c>
      <c r="AE4054">
        <v>-28.052700000000002</v>
      </c>
      <c r="AF4054">
        <v>88.381373692857494</v>
      </c>
      <c r="AG4054">
        <v>1.5672059999999901</v>
      </c>
      <c r="AH4054">
        <v>144.622778905064</v>
      </c>
      <c r="AI4054">
        <v>89.470225454321806</v>
      </c>
      <c r="AJ4054">
        <v>58.570207495294298</v>
      </c>
      <c r="AK4054">
        <v>169.49770360894601</v>
      </c>
      <c r="AL4054">
        <v>91.018040846974401</v>
      </c>
      <c r="AM4054">
        <v>79.467154831128596</v>
      </c>
      <c r="AN4054">
        <v>1.00000001182398</v>
      </c>
    </row>
    <row r="4055" spans="1:40" x14ac:dyDescent="0.25">
      <c r="A4055" t="str">
        <f>"20190312161049112"</f>
        <v>20190312161049112</v>
      </c>
      <c r="B4055" t="str">
        <f>"1552378249101092"</f>
        <v>1552378249101092</v>
      </c>
      <c r="C4055" t="s">
        <v>40</v>
      </c>
      <c r="D4055">
        <v>5.6087879999999997</v>
      </c>
      <c r="E4055">
        <v>0.65337880000000004</v>
      </c>
      <c r="F4055" t="s">
        <v>41</v>
      </c>
      <c r="G4055">
        <v>-322.30079999999998</v>
      </c>
      <c r="H4055">
        <v>7.9986199999999993E-2</v>
      </c>
      <c r="I4055">
        <v>128.43819999999999</v>
      </c>
      <c r="J4055">
        <v>-201.1671</v>
      </c>
      <c r="K4055">
        <v>1.1050059999999999</v>
      </c>
      <c r="L4055">
        <v>146.9401</v>
      </c>
      <c r="M4055">
        <v>-0.76163019999999904</v>
      </c>
      <c r="N4055">
        <v>0</v>
      </c>
      <c r="O4055">
        <v>-0.64783400000000002</v>
      </c>
      <c r="P4055">
        <v>-0.8668903</v>
      </c>
      <c r="Q4055">
        <v>-2.9857229999999998E-2</v>
      </c>
      <c r="R4055">
        <v>-0.4976042</v>
      </c>
      <c r="S4055">
        <v>-3.1916199999999999</v>
      </c>
      <c r="T4055">
        <v>-2.697337E-2</v>
      </c>
      <c r="U4055">
        <v>-0.48986819999999998</v>
      </c>
      <c r="V4055">
        <v>0.1824218</v>
      </c>
      <c r="W4055">
        <v>-1.73134E-2</v>
      </c>
      <c r="X4055">
        <v>0.98306789999999999</v>
      </c>
      <c r="Y4055">
        <v>0.52481279999999997</v>
      </c>
      <c r="Z4055">
        <v>7.2160449999999999E-3</v>
      </c>
      <c r="AA4055">
        <v>0.85118709999999898</v>
      </c>
      <c r="AB4055">
        <v>19</v>
      </c>
      <c r="AC4055">
        <v>-121.133699999999</v>
      </c>
      <c r="AD4055">
        <v>-1.0250197999999999</v>
      </c>
      <c r="AE4055">
        <v>-18.501899999999999</v>
      </c>
      <c r="AF4055">
        <v>64.385841381004994</v>
      </c>
      <c r="AG4055">
        <v>-1.0250197999999999</v>
      </c>
      <c r="AH4055">
        <v>104.249968337201</v>
      </c>
      <c r="AI4055">
        <v>90.479294499529502</v>
      </c>
      <c r="AJ4055">
        <v>58.300099997509498</v>
      </c>
      <c r="AK4055">
        <v>122.534252901945</v>
      </c>
      <c r="AL4055">
        <v>90.992034332625806</v>
      </c>
      <c r="AM4055">
        <v>79.487551499697204</v>
      </c>
      <c r="AN4055">
        <v>0.99999998147260405</v>
      </c>
    </row>
    <row r="4056" spans="1:40" x14ac:dyDescent="0.25">
      <c r="A4056" t="str">
        <f>"20190312161049136"</f>
        <v>20190312161049136</v>
      </c>
      <c r="B4056" t="str">
        <f>"1552378249130372"</f>
        <v>1552378249130372</v>
      </c>
      <c r="C4056" t="s">
        <v>40</v>
      </c>
      <c r="D4056">
        <v>5.560943</v>
      </c>
      <c r="E4056">
        <v>0.62499189999999905</v>
      </c>
      <c r="F4056" t="s">
        <v>41</v>
      </c>
      <c r="G4056">
        <v>-255.92699999999999</v>
      </c>
      <c r="H4056" s="1">
        <v>-1.7390870000000001E-6</v>
      </c>
      <c r="I4056">
        <v>139.56290000000001</v>
      </c>
      <c r="J4056">
        <v>-201.3237</v>
      </c>
      <c r="K4056">
        <v>1.105032</v>
      </c>
      <c r="L4056">
        <v>146.82320000000001</v>
      </c>
      <c r="M4056">
        <v>-0.76834969999999903</v>
      </c>
      <c r="N4056">
        <v>0</v>
      </c>
      <c r="O4056">
        <v>-0.63985059999999905</v>
      </c>
      <c r="P4056">
        <v>-0.87160959999999998</v>
      </c>
      <c r="Q4056">
        <v>-2.9753120000000001E-2</v>
      </c>
      <c r="R4056">
        <v>-0.48929699999999998</v>
      </c>
      <c r="S4056">
        <v>-3.210175</v>
      </c>
      <c r="T4056">
        <v>-6.477869E-2</v>
      </c>
      <c r="U4056">
        <v>-0.43246459999999998</v>
      </c>
      <c r="V4056">
        <v>0.1815621</v>
      </c>
      <c r="W4056">
        <v>-1.719327E-2</v>
      </c>
      <c r="X4056">
        <v>0.98322920000000003</v>
      </c>
      <c r="Y4056">
        <v>0.53138759999999996</v>
      </c>
      <c r="Z4056">
        <v>1.721671E-2</v>
      </c>
      <c r="AA4056">
        <v>0.84695379999999998</v>
      </c>
      <c r="AB4056">
        <v>19</v>
      </c>
      <c r="AC4056">
        <v>-54.603299999999997</v>
      </c>
      <c r="AD4056">
        <v>-1.105033739087</v>
      </c>
      <c r="AE4056">
        <v>-7.2603</v>
      </c>
      <c r="AF4056">
        <v>29.3510690305677</v>
      </c>
      <c r="AG4056">
        <v>-1.105033739087</v>
      </c>
      <c r="AH4056">
        <v>46.586546857272097</v>
      </c>
      <c r="AI4056">
        <v>91.1497150113142</v>
      </c>
      <c r="AJ4056">
        <v>57.787712457147101</v>
      </c>
      <c r="AK4056">
        <v>55.072794562165498</v>
      </c>
      <c r="AL4056">
        <v>90.985150315833593</v>
      </c>
      <c r="AM4056">
        <v>79.537675487968897</v>
      </c>
      <c r="AN4056">
        <v>1.00000003221117</v>
      </c>
    </row>
    <row r="4057" spans="1:40" x14ac:dyDescent="0.25">
      <c r="A4057" t="str">
        <f>"20190312161049158"</f>
        <v>20190312161049158</v>
      </c>
      <c r="B4057" t="str">
        <f>"1552378249150868"</f>
        <v>1552378249150868</v>
      </c>
      <c r="C4057" t="s">
        <v>40</v>
      </c>
      <c r="D4057">
        <v>5.4538359999999999</v>
      </c>
      <c r="E4057">
        <v>0.62620430000000005</v>
      </c>
      <c r="F4057" t="s">
        <v>55</v>
      </c>
      <c r="G4057">
        <v>-339.2595</v>
      </c>
      <c r="H4057">
        <v>7.3310579999999996</v>
      </c>
      <c r="I4057">
        <v>120.02500000000001</v>
      </c>
      <c r="J4057">
        <v>-201.489</v>
      </c>
      <c r="K4057">
        <v>1.1050500000000001</v>
      </c>
      <c r="L4057">
        <v>146.70259999999999</v>
      </c>
      <c r="M4057">
        <v>-0.77529519999999996</v>
      </c>
      <c r="N4057">
        <v>0</v>
      </c>
      <c r="O4057">
        <v>-0.63141700000000001</v>
      </c>
      <c r="P4057">
        <v>-0.87632279999999996</v>
      </c>
      <c r="Q4057">
        <v>-3.0532259999999999E-2</v>
      </c>
      <c r="R4057">
        <v>-0.48075590000000001</v>
      </c>
      <c r="S4057">
        <v>-3.107758</v>
      </c>
      <c r="T4057">
        <v>0.1402755</v>
      </c>
      <c r="U4057">
        <v>-0.60377499999999995</v>
      </c>
      <c r="V4057">
        <v>0.1804018</v>
      </c>
      <c r="W4057">
        <v>-1.7952160000000002E-2</v>
      </c>
      <c r="X4057">
        <v>0.98342909999999994</v>
      </c>
      <c r="Y4057">
        <v>0.47104940000000001</v>
      </c>
      <c r="Z4057">
        <v>-3.6558899999999998E-2</v>
      </c>
      <c r="AA4057">
        <v>0.88134889999999999</v>
      </c>
      <c r="AB4057">
        <v>19</v>
      </c>
      <c r="AC4057">
        <v>-137.7705</v>
      </c>
      <c r="AD4057">
        <v>6.2260080000000002</v>
      </c>
      <c r="AE4057">
        <v>-26.677599999999899</v>
      </c>
      <c r="AF4057">
        <v>66.184964121352607</v>
      </c>
      <c r="AG4057">
        <v>6.2260080000000002</v>
      </c>
      <c r="AH4057">
        <v>123.428754728539</v>
      </c>
      <c r="AI4057">
        <v>87.454628786174993</v>
      </c>
      <c r="AJ4057">
        <v>61.7989016124763</v>
      </c>
      <c r="AK4057">
        <v>140.192261359886</v>
      </c>
      <c r="AL4057">
        <v>91.028638317342399</v>
      </c>
      <c r="AM4057">
        <v>79.6051412218536</v>
      </c>
      <c r="AN4057">
        <v>0.99999994210935605</v>
      </c>
    </row>
    <row r="4058" spans="1:40" x14ac:dyDescent="0.25">
      <c r="A4058" t="str">
        <f>"20190312161049181"</f>
        <v>20190312161049181</v>
      </c>
      <c r="B4058" t="str">
        <f>"1552378249170388"</f>
        <v>1552378249170388</v>
      </c>
      <c r="C4058" t="s">
        <v>40</v>
      </c>
      <c r="D4058">
        <v>5.3574320000000002</v>
      </c>
      <c r="E4058">
        <v>0.62800290000000003</v>
      </c>
      <c r="F4058" t="s">
        <v>55</v>
      </c>
      <c r="G4058">
        <v>-354.17509999999999</v>
      </c>
      <c r="H4058">
        <v>9.9004340000000006</v>
      </c>
      <c r="I4058">
        <v>119.003</v>
      </c>
      <c r="J4058">
        <v>-201.64169999999999</v>
      </c>
      <c r="K4058">
        <v>1.105075</v>
      </c>
      <c r="L4058">
        <v>146.59360000000001</v>
      </c>
      <c r="M4058">
        <v>-0.78158380000000005</v>
      </c>
      <c r="N4058">
        <v>0</v>
      </c>
      <c r="O4058">
        <v>-0.62361599999999995</v>
      </c>
      <c r="P4058">
        <v>-0.88022009999999995</v>
      </c>
      <c r="Q4058">
        <v>-3.1119600000000001E-2</v>
      </c>
      <c r="R4058">
        <v>-0.47354420000000003</v>
      </c>
      <c r="S4058">
        <v>-3.1192169999999999</v>
      </c>
      <c r="T4058">
        <v>0.1796806</v>
      </c>
      <c r="U4058">
        <v>-0.56587219999999905</v>
      </c>
      <c r="V4058">
        <v>0.1786027</v>
      </c>
      <c r="W4058">
        <v>-1.8509560000000001E-2</v>
      </c>
      <c r="X4058">
        <v>0.98374720000000004</v>
      </c>
      <c r="Y4058">
        <v>0.47255069999999999</v>
      </c>
      <c r="Z4058">
        <v>-4.6437190000000003E-2</v>
      </c>
      <c r="AA4058">
        <v>0.88007919999999995</v>
      </c>
      <c r="AB4058">
        <v>19</v>
      </c>
      <c r="AC4058">
        <v>-152.5334</v>
      </c>
      <c r="AD4058">
        <v>8.7953589999999995</v>
      </c>
      <c r="AE4058">
        <v>-27.590599999999998</v>
      </c>
      <c r="AF4058">
        <v>73.330267274353602</v>
      </c>
      <c r="AG4058">
        <v>8.7953589999999995</v>
      </c>
      <c r="AH4058">
        <v>136.001391641076</v>
      </c>
      <c r="AI4058">
        <v>86.742024227246901</v>
      </c>
      <c r="AJ4058">
        <v>61.667003181228203</v>
      </c>
      <c r="AK4058">
        <v>154.76131611864901</v>
      </c>
      <c r="AL4058">
        <v>91.060580190963904</v>
      </c>
      <c r="AM4058">
        <v>79.709836746611003</v>
      </c>
      <c r="AN4058">
        <v>1.0000000408832601</v>
      </c>
    </row>
    <row r="4059" spans="1:40" x14ac:dyDescent="0.25">
      <c r="A4059" t="str">
        <f>"20190312161049202"</f>
        <v>20190312161049202</v>
      </c>
      <c r="B4059" t="str">
        <f>"1552378249190884"</f>
        <v>1552378249190884</v>
      </c>
      <c r="C4059" t="s">
        <v>40</v>
      </c>
      <c r="D4059">
        <v>5.7402179999999996</v>
      </c>
      <c r="E4059">
        <v>0.62848700000000002</v>
      </c>
      <c r="F4059" t="s">
        <v>55</v>
      </c>
      <c r="G4059">
        <v>-365.17759999999998</v>
      </c>
      <c r="H4059">
        <v>11.79527</v>
      </c>
      <c r="I4059">
        <v>119.00369999999999</v>
      </c>
      <c r="J4059">
        <v>-201.79409999999999</v>
      </c>
      <c r="K4059">
        <v>1.105108</v>
      </c>
      <c r="L4059">
        <v>146.48699999999999</v>
      </c>
      <c r="M4059">
        <v>-0.78774040000000001</v>
      </c>
      <c r="N4059">
        <v>0</v>
      </c>
      <c r="O4059">
        <v>-0.61582150000000002</v>
      </c>
      <c r="P4059">
        <v>-0.88391239999999904</v>
      </c>
      <c r="Q4059">
        <v>-3.039058E-2</v>
      </c>
      <c r="R4059">
        <v>-0.46666459999999998</v>
      </c>
      <c r="S4059">
        <v>-3.1312869999999999</v>
      </c>
      <c r="T4059">
        <v>0.2046895</v>
      </c>
      <c r="U4059">
        <v>-0.52827449999999998</v>
      </c>
      <c r="V4059">
        <v>0.17652979999999999</v>
      </c>
      <c r="W4059">
        <v>-1.7745540000000001E-2</v>
      </c>
      <c r="X4059">
        <v>0.98413530000000005</v>
      </c>
      <c r="Y4059">
        <v>0.47419270000000002</v>
      </c>
      <c r="Z4059">
        <v>-5.244534E-2</v>
      </c>
      <c r="AA4059">
        <v>0.87885769999999996</v>
      </c>
      <c r="AB4059">
        <v>19</v>
      </c>
      <c r="AC4059">
        <v>-163.3835</v>
      </c>
      <c r="AD4059">
        <v>10.6901619999999</v>
      </c>
      <c r="AE4059">
        <v>-27.4833</v>
      </c>
      <c r="AF4059">
        <v>78.646978844187501</v>
      </c>
      <c r="AG4059">
        <v>10.6901619999999</v>
      </c>
      <c r="AH4059">
        <v>145.041417840344</v>
      </c>
      <c r="AI4059">
        <v>86.292873459929595</v>
      </c>
      <c r="AJ4059">
        <v>61.531765021602901</v>
      </c>
      <c r="AK4059">
        <v>165.33795612031</v>
      </c>
      <c r="AL4059">
        <v>91.016797936315996</v>
      </c>
      <c r="AM4059">
        <v>79.830686162680905</v>
      </c>
      <c r="AN4059">
        <v>0.99999998159200998</v>
      </c>
    </row>
    <row r="4060" spans="1:40" x14ac:dyDescent="0.25">
      <c r="A4060" t="str">
        <f>"20190312161049225"</f>
        <v>20190312161049225</v>
      </c>
      <c r="B4060" t="str">
        <f>"1552378249221185"</f>
        <v>1552378249221185</v>
      </c>
      <c r="C4060" t="s">
        <v>40</v>
      </c>
      <c r="D4060">
        <v>5.503088</v>
      </c>
      <c r="E4060">
        <v>0.63292130000000002</v>
      </c>
      <c r="F4060" t="s">
        <v>55</v>
      </c>
      <c r="G4060">
        <v>-369.12450000000001</v>
      </c>
      <c r="H4060">
        <v>12.82999</v>
      </c>
      <c r="I4060">
        <v>119.773</v>
      </c>
      <c r="J4060">
        <v>-201.9512</v>
      </c>
      <c r="K4060">
        <v>1.105143</v>
      </c>
      <c r="L4060">
        <v>146.37960000000001</v>
      </c>
      <c r="M4060">
        <v>-0.79395130000000003</v>
      </c>
      <c r="N4060">
        <v>0</v>
      </c>
      <c r="O4060">
        <v>-0.60779309999999998</v>
      </c>
      <c r="P4060">
        <v>-0.88767209999999996</v>
      </c>
      <c r="Q4060">
        <v>-2.998922E-2</v>
      </c>
      <c r="R4060">
        <v>-0.45949909999999999</v>
      </c>
      <c r="S4060">
        <v>-3.137146</v>
      </c>
      <c r="T4060">
        <v>0.21982099999999999</v>
      </c>
      <c r="U4060">
        <v>-0.50083919999999904</v>
      </c>
      <c r="V4060">
        <v>0.17451549999999999</v>
      </c>
      <c r="W4060">
        <v>-1.7309729999999999E-2</v>
      </c>
      <c r="X4060">
        <v>0.98450230000000005</v>
      </c>
      <c r="Y4060">
        <v>0.47272120000000001</v>
      </c>
      <c r="Z4060">
        <v>-5.5794099999999999E-2</v>
      </c>
      <c r="AA4060">
        <v>0.879444</v>
      </c>
      <c r="AB4060">
        <v>19</v>
      </c>
      <c r="AC4060">
        <v>-167.17330000000001</v>
      </c>
      <c r="AD4060">
        <v>11.724847</v>
      </c>
      <c r="AE4060">
        <v>-26.6066</v>
      </c>
      <c r="AF4060">
        <v>80.107329238622199</v>
      </c>
      <c r="AG4060">
        <v>11.724847</v>
      </c>
      <c r="AH4060">
        <v>148.20479451523801</v>
      </c>
      <c r="AI4060">
        <v>86.018838661850793</v>
      </c>
      <c r="AJ4060">
        <v>61.607988982182697</v>
      </c>
      <c r="AK4060">
        <v>168.876633529397</v>
      </c>
      <c r="AL4060">
        <v>90.991823974881598</v>
      </c>
      <c r="AM4060">
        <v>79.948014212786404</v>
      </c>
      <c r="AN4060">
        <v>1.0000000325991001</v>
      </c>
    </row>
    <row r="4061" spans="1:40" x14ac:dyDescent="0.25">
      <c r="A4061" t="str">
        <f>"20190312161049245"</f>
        <v>20190312161049245</v>
      </c>
      <c r="B4061" t="str">
        <f>"1552378249240704"</f>
        <v>1552378249240704</v>
      </c>
      <c r="C4061" t="s">
        <v>40</v>
      </c>
      <c r="D4061">
        <v>5.476299</v>
      </c>
      <c r="E4061">
        <v>0.63174249999999998</v>
      </c>
      <c r="F4061" t="s">
        <v>41</v>
      </c>
      <c r="G4061">
        <v>-229.5239</v>
      </c>
      <c r="H4061" s="1">
        <v>-9.7000769999999895E-7</v>
      </c>
      <c r="I4061">
        <v>142.5607</v>
      </c>
      <c r="J4061">
        <v>-202.09630000000001</v>
      </c>
      <c r="K4061">
        <v>1.105175</v>
      </c>
      <c r="L4061">
        <v>146.2824</v>
      </c>
      <c r="M4061">
        <v>-0.79957440000000002</v>
      </c>
      <c r="N4061">
        <v>0</v>
      </c>
      <c r="O4061">
        <v>-0.60037680000000004</v>
      </c>
      <c r="P4061">
        <v>-0.89111659999999904</v>
      </c>
      <c r="Q4061">
        <v>-3.0387790000000001E-2</v>
      </c>
      <c r="R4061">
        <v>-0.4527562</v>
      </c>
      <c r="S4061">
        <v>-3.1495820000000001</v>
      </c>
      <c r="T4061">
        <v>-0.12623869999999901</v>
      </c>
      <c r="U4061">
        <v>-0.4362183</v>
      </c>
      <c r="V4061">
        <v>0.17280400000000001</v>
      </c>
      <c r="W4061">
        <v>-1.7678389999999999E-2</v>
      </c>
      <c r="X4061">
        <v>0.98479760000000005</v>
      </c>
      <c r="Y4061">
        <v>0.48427609999999899</v>
      </c>
      <c r="Z4061">
        <v>3.2025850000000002E-2</v>
      </c>
      <c r="AA4061">
        <v>0.87432889999999996</v>
      </c>
      <c r="AB4061">
        <v>19</v>
      </c>
      <c r="AC4061">
        <v>-27.427599999999899</v>
      </c>
      <c r="AD4061">
        <v>-1.1051759700077</v>
      </c>
      <c r="AE4061">
        <v>-3.72169999999999</v>
      </c>
      <c r="AF4061">
        <v>13.471183353242701</v>
      </c>
      <c r="AG4061">
        <v>-1.1051759700077</v>
      </c>
      <c r="AH4061">
        <v>24.129121684907901</v>
      </c>
      <c r="AI4061">
        <v>92.290155185130004</v>
      </c>
      <c r="AJ4061">
        <v>60.825567524377298</v>
      </c>
      <c r="AK4061">
        <v>27.6569829906745</v>
      </c>
      <c r="AL4061">
        <v>91.012949871542304</v>
      </c>
      <c r="AM4061">
        <v>80.047539419429697</v>
      </c>
      <c r="AN4061">
        <v>1.00000003042737</v>
      </c>
    </row>
    <row r="4062" spans="1:40" x14ac:dyDescent="0.25">
      <c r="A4062" t="str">
        <f>"20190312161049269"</f>
        <v>20190312161049269</v>
      </c>
      <c r="B4062" t="str">
        <f>"1552378249260225"</f>
        <v>1552378249260225</v>
      </c>
      <c r="C4062" t="s">
        <v>40</v>
      </c>
      <c r="D4062">
        <v>5.4794669999999996</v>
      </c>
      <c r="E4062">
        <v>0.63066239999999996</v>
      </c>
      <c r="F4062" t="s">
        <v>41</v>
      </c>
      <c r="G4062">
        <v>-228.53639999999999</v>
      </c>
      <c r="H4062" s="1">
        <v>-1.443982E-6</v>
      </c>
      <c r="I4062">
        <v>142.75</v>
      </c>
      <c r="J4062">
        <v>-202.27090000000001</v>
      </c>
      <c r="K4062">
        <v>1.1052150000000001</v>
      </c>
      <c r="L4062">
        <v>146.16820000000001</v>
      </c>
      <c r="M4062">
        <v>-0.80618749999999995</v>
      </c>
      <c r="N4062">
        <v>0</v>
      </c>
      <c r="O4062">
        <v>-0.59146739999999998</v>
      </c>
      <c r="P4062">
        <v>-0.89600709999999995</v>
      </c>
      <c r="Q4062">
        <v>-3.0557250000000001E-2</v>
      </c>
      <c r="R4062">
        <v>-0.44298779999999999</v>
      </c>
      <c r="S4062">
        <v>-3.1483759999999998</v>
      </c>
      <c r="T4062">
        <v>-0.13159989999999999</v>
      </c>
      <c r="U4062">
        <v>-0.42062379999999999</v>
      </c>
      <c r="V4062">
        <v>0.17263770000000001</v>
      </c>
      <c r="W4062">
        <v>-1.7840290000000002E-2</v>
      </c>
      <c r="X4062">
        <v>0.98482380000000003</v>
      </c>
      <c r="Y4062">
        <v>0.47870839999999998</v>
      </c>
      <c r="Z4062">
        <v>3.3008120000000002E-2</v>
      </c>
      <c r="AA4062">
        <v>0.8773533</v>
      </c>
      <c r="AB4062">
        <v>19</v>
      </c>
      <c r="AC4062">
        <v>-26.2654999999999</v>
      </c>
      <c r="AD4062">
        <v>-1.105216443982</v>
      </c>
      <c r="AE4062">
        <v>-3.4182000000000099</v>
      </c>
      <c r="AF4062">
        <v>12.758719678282</v>
      </c>
      <c r="AG4062">
        <v>-1.105216443982</v>
      </c>
      <c r="AH4062">
        <v>23.1589942024404</v>
      </c>
      <c r="AI4062">
        <v>92.393536985857395</v>
      </c>
      <c r="AJ4062">
        <v>61.148815430624502</v>
      </c>
      <c r="AK4062">
        <v>26.464040577464601</v>
      </c>
      <c r="AL4062">
        <v>91.022227568378696</v>
      </c>
      <c r="AM4062">
        <v>80.057185301562498</v>
      </c>
      <c r="AN4062">
        <v>0.99999998422750602</v>
      </c>
    </row>
    <row r="4063" spans="1:40" x14ac:dyDescent="0.25">
      <c r="A4063" t="str">
        <f>"20190312161049292"</f>
        <v>20190312161049292</v>
      </c>
      <c r="B4063" t="str">
        <f>"1552378249280720"</f>
        <v>1552378249280720</v>
      </c>
      <c r="C4063" t="s">
        <v>40</v>
      </c>
      <c r="D4063">
        <v>5.5574139999999996</v>
      </c>
      <c r="E4063">
        <v>0.63047180000000003</v>
      </c>
      <c r="F4063" t="s">
        <v>41</v>
      </c>
      <c r="G4063">
        <v>-226.40539999999999</v>
      </c>
      <c r="H4063" s="1">
        <v>-2.4648320000000001E-6</v>
      </c>
      <c r="I4063">
        <v>143.1508</v>
      </c>
      <c r="J4063">
        <v>-202.43629999999999</v>
      </c>
      <c r="K4063">
        <v>1.105259</v>
      </c>
      <c r="L4063">
        <v>146.06229999999999</v>
      </c>
      <c r="M4063">
        <v>-0.81230970000000002</v>
      </c>
      <c r="N4063">
        <v>0</v>
      </c>
      <c r="O4063">
        <v>-0.58303110000000002</v>
      </c>
      <c r="P4063">
        <v>-0.90044299999999999</v>
      </c>
      <c r="Q4063">
        <v>-2.9430789999999998E-2</v>
      </c>
      <c r="R4063">
        <v>-0.43397799999999997</v>
      </c>
      <c r="S4063">
        <v>-3.1486510000000001</v>
      </c>
      <c r="T4063">
        <v>-0.1441895</v>
      </c>
      <c r="U4063">
        <v>-0.3936462</v>
      </c>
      <c r="V4063">
        <v>0.17228740000000001</v>
      </c>
      <c r="W4063">
        <v>-1.670191E-2</v>
      </c>
      <c r="X4063">
        <v>0.98490509999999998</v>
      </c>
      <c r="Y4063">
        <v>0.47679840000000001</v>
      </c>
      <c r="Z4063">
        <v>3.5843989999999999E-2</v>
      </c>
      <c r="AA4063">
        <v>0.87828150000000005</v>
      </c>
      <c r="AB4063">
        <v>19</v>
      </c>
      <c r="AC4063">
        <v>-23.969100000000001</v>
      </c>
      <c r="AD4063">
        <v>-1.1052614648320001</v>
      </c>
      <c r="AE4063">
        <v>-2.9114999999999802</v>
      </c>
      <c r="AF4063">
        <v>11.5867342009384</v>
      </c>
      <c r="AG4063">
        <v>-1.1052614648320001</v>
      </c>
      <c r="AH4063">
        <v>21.1259705013114</v>
      </c>
      <c r="AI4063">
        <v>92.626395531996707</v>
      </c>
      <c r="AJ4063">
        <v>61.257025976911002</v>
      </c>
      <c r="AK4063">
        <v>24.120129393747401</v>
      </c>
      <c r="AL4063">
        <v>90.956993469248104</v>
      </c>
      <c r="AM4063">
        <v>80.077761733387106</v>
      </c>
      <c r="AN4063">
        <v>0.99999997900120796</v>
      </c>
    </row>
    <row r="4064" spans="1:40" x14ac:dyDescent="0.25">
      <c r="A4064" t="str">
        <f>"20190312161049314"</f>
        <v>20190312161049314</v>
      </c>
      <c r="B4064" t="str">
        <f>"1552378249310976"</f>
        <v>1552378249310976</v>
      </c>
      <c r="C4064" t="s">
        <v>40</v>
      </c>
      <c r="D4064">
        <v>5.4605050000000004</v>
      </c>
      <c r="E4064">
        <v>0.63165139999999997</v>
      </c>
      <c r="F4064" t="s">
        <v>41</v>
      </c>
      <c r="G4064">
        <v>-225.1969</v>
      </c>
      <c r="H4064" s="1">
        <v>-3.060294E-6</v>
      </c>
      <c r="I4064">
        <v>143.44030000000001</v>
      </c>
      <c r="J4064">
        <v>-202.5949</v>
      </c>
      <c r="K4064">
        <v>1.1053109999999999</v>
      </c>
      <c r="L4064">
        <v>145.9631</v>
      </c>
      <c r="M4064">
        <v>-0.81803459999999995</v>
      </c>
      <c r="N4064">
        <v>0</v>
      </c>
      <c r="O4064">
        <v>-0.57497140000000002</v>
      </c>
      <c r="P4064">
        <v>-0.90445469999999895</v>
      </c>
      <c r="Q4064">
        <v>-2.9110469999999999E-2</v>
      </c>
      <c r="R4064">
        <v>-0.4255758</v>
      </c>
      <c r="S4064">
        <v>-3.1517179999999998</v>
      </c>
      <c r="T4064">
        <v>-0.15304860000000001</v>
      </c>
      <c r="U4064">
        <v>-0.36306759999999999</v>
      </c>
      <c r="V4064">
        <v>0.1717312</v>
      </c>
      <c r="W4064">
        <v>-1.636545E-2</v>
      </c>
      <c r="X4064">
        <v>0.98500790000000005</v>
      </c>
      <c r="Y4064">
        <v>0.47649589999999997</v>
      </c>
      <c r="Z4064">
        <v>3.772528E-2</v>
      </c>
      <c r="AA4064">
        <v>0.87836689999999995</v>
      </c>
      <c r="AB4064">
        <v>19</v>
      </c>
      <c r="AC4064">
        <v>-22.602</v>
      </c>
      <c r="AD4064">
        <v>-1.1053140602939999</v>
      </c>
      <c r="AE4064">
        <v>-2.5227999999999802</v>
      </c>
      <c r="AF4064">
        <v>10.907244280602299</v>
      </c>
      <c r="AG4064">
        <v>-1.1053140602939999</v>
      </c>
      <c r="AH4064">
        <v>19.895027972405099</v>
      </c>
      <c r="AI4064">
        <v>92.789036707309506</v>
      </c>
      <c r="AJ4064">
        <v>61.2666975402216</v>
      </c>
      <c r="AK4064">
        <v>22.715673773661202</v>
      </c>
      <c r="AL4064">
        <v>90.937713077481106</v>
      </c>
      <c r="AM4064">
        <v>80.110172240051199</v>
      </c>
      <c r="AN4064">
        <v>0.99999999803477602</v>
      </c>
    </row>
    <row r="4065" spans="1:40" x14ac:dyDescent="0.25">
      <c r="A4065" t="str">
        <f>"20190312161049337"</f>
        <v>20190312161049337</v>
      </c>
      <c r="B4065" t="str">
        <f>"1552378249330497"</f>
        <v>1552378249330497</v>
      </c>
      <c r="C4065" t="s">
        <v>40</v>
      </c>
      <c r="D4065">
        <v>5.5679249999999998</v>
      </c>
      <c r="E4065">
        <v>0.63341059999999905</v>
      </c>
      <c r="F4065" t="s">
        <v>41</v>
      </c>
      <c r="G4065">
        <v>-230.85509999999999</v>
      </c>
      <c r="H4065" s="1">
        <v>-4.5938099999999998E-6</v>
      </c>
      <c r="I4065">
        <v>143.04830000000001</v>
      </c>
      <c r="J4065">
        <v>-202.75819999999999</v>
      </c>
      <c r="K4065">
        <v>1.1053740000000001</v>
      </c>
      <c r="L4065">
        <v>145.8631</v>
      </c>
      <c r="M4065">
        <v>-0.82377670000000003</v>
      </c>
      <c r="N4065">
        <v>0</v>
      </c>
      <c r="O4065">
        <v>-0.5667141</v>
      </c>
      <c r="P4065">
        <v>-0.90895320000000002</v>
      </c>
      <c r="Q4065">
        <v>-2.961192E-2</v>
      </c>
      <c r="R4065">
        <v>-0.41584529999999997</v>
      </c>
      <c r="S4065">
        <v>-3.159592</v>
      </c>
      <c r="T4065">
        <v>-0.12357849999999999</v>
      </c>
      <c r="U4065">
        <v>-0.32588200000000001</v>
      </c>
      <c r="V4065">
        <v>0.17238039999999999</v>
      </c>
      <c r="W4065">
        <v>-1.68665E-2</v>
      </c>
      <c r="X4065">
        <v>0.98488609999999999</v>
      </c>
      <c r="Y4065">
        <v>0.47852329999999998</v>
      </c>
      <c r="Z4065">
        <v>3.0206190000000001E-2</v>
      </c>
      <c r="AA4065">
        <v>0.87755509999999903</v>
      </c>
      <c r="AB4065">
        <v>19</v>
      </c>
      <c r="AC4065">
        <v>-28.096900000000002</v>
      </c>
      <c r="AD4065">
        <v>-1.10537859381</v>
      </c>
      <c r="AE4065">
        <v>-2.8147999999999902</v>
      </c>
      <c r="AF4065">
        <v>13.5848703317487</v>
      </c>
      <c r="AG4065">
        <v>-1.10537859381</v>
      </c>
      <c r="AH4065">
        <v>24.705709232614002</v>
      </c>
      <c r="AI4065">
        <v>92.245170834766796</v>
      </c>
      <c r="AJ4065">
        <v>61.195028440498</v>
      </c>
      <c r="AK4065">
        <v>28.215999582728799</v>
      </c>
      <c r="AL4065">
        <v>90.966425036406605</v>
      </c>
      <c r="AM4065">
        <v>80.072324572146002</v>
      </c>
      <c r="AN4065">
        <v>1.0000000555498001</v>
      </c>
    </row>
    <row r="4066" spans="1:40" x14ac:dyDescent="0.25">
      <c r="A4066" t="str">
        <f>"20190312161049360"</f>
        <v>20190312161049360</v>
      </c>
      <c r="B4066" t="str">
        <f>"1552378249350993"</f>
        <v>1552378249350993</v>
      </c>
      <c r="C4066" t="s">
        <v>40</v>
      </c>
      <c r="D4066">
        <v>5.5590000000000002</v>
      </c>
      <c r="E4066">
        <v>0.63447790000000004</v>
      </c>
      <c r="F4066" t="s">
        <v>41</v>
      </c>
      <c r="G4066">
        <v>-233.45660000000001</v>
      </c>
      <c r="H4066" s="1">
        <v>-3.7278059999999999E-6</v>
      </c>
      <c r="I4066">
        <v>143.15710000000001</v>
      </c>
      <c r="J4066">
        <v>-202.92769999999999</v>
      </c>
      <c r="K4066">
        <v>1.105456</v>
      </c>
      <c r="L4066">
        <v>145.76150000000001</v>
      </c>
      <c r="M4066">
        <v>-0.82957049999999999</v>
      </c>
      <c r="N4066">
        <v>0</v>
      </c>
      <c r="O4066">
        <v>-0.55819919999999901</v>
      </c>
      <c r="P4066">
        <v>-0.91322619999999999</v>
      </c>
      <c r="Q4066">
        <v>-3.033162E-2</v>
      </c>
      <c r="R4066">
        <v>-0.40632239999999997</v>
      </c>
      <c r="S4066">
        <v>-3.1689910000000001</v>
      </c>
      <c r="T4066">
        <v>-0.114108</v>
      </c>
      <c r="U4066">
        <v>-0.2793274</v>
      </c>
      <c r="V4066">
        <v>0.17251069999999999</v>
      </c>
      <c r="W4066">
        <v>-1.7575090000000002E-2</v>
      </c>
      <c r="X4066">
        <v>0.98485080000000003</v>
      </c>
      <c r="Y4066">
        <v>0.48263089999999997</v>
      </c>
      <c r="Z4066">
        <v>2.7671709999999999E-2</v>
      </c>
      <c r="AA4066">
        <v>0.87538660000000001</v>
      </c>
      <c r="AB4066">
        <v>19</v>
      </c>
      <c r="AC4066">
        <v>-30.5289</v>
      </c>
      <c r="AD4066">
        <v>-1.1054597278059899</v>
      </c>
      <c r="AE4066">
        <v>-2.6043999999999898</v>
      </c>
      <c r="AF4066">
        <v>14.863011877701799</v>
      </c>
      <c r="AG4066">
        <v>-1.1054597278059899</v>
      </c>
      <c r="AH4066">
        <v>26.747863354577198</v>
      </c>
      <c r="AI4066">
        <v>92.068978263672406</v>
      </c>
      <c r="AJ4066">
        <v>60.940341852263899</v>
      </c>
      <c r="AK4066">
        <v>30.619917657003</v>
      </c>
      <c r="AL4066">
        <v>91.007030367097997</v>
      </c>
      <c r="AM4066">
        <v>80.064620835138797</v>
      </c>
      <c r="AN4066">
        <v>0.99999996183181805</v>
      </c>
    </row>
    <row r="4067" spans="1:40" x14ac:dyDescent="0.25">
      <c r="A4067" t="str">
        <f>"20190312161049382"</f>
        <v>20190312161049382</v>
      </c>
      <c r="B4067" t="str">
        <f>"1552378249370513"</f>
        <v>1552378249370513</v>
      </c>
      <c r="C4067" t="s">
        <v>40</v>
      </c>
      <c r="D4067">
        <v>5.4712550000000002</v>
      </c>
      <c r="E4067">
        <v>0.63485059999999904</v>
      </c>
      <c r="F4067" t="s">
        <v>41</v>
      </c>
      <c r="G4067">
        <v>-234.90010000000001</v>
      </c>
      <c r="H4067" s="1">
        <v>-3.1660299999999998E-6</v>
      </c>
      <c r="I4067">
        <v>143.35919999999999</v>
      </c>
      <c r="J4067">
        <v>-203.0857</v>
      </c>
      <c r="K4067">
        <v>1.1055330000000001</v>
      </c>
      <c r="L4067">
        <v>145.6688</v>
      </c>
      <c r="M4067">
        <v>-0.83481539999999999</v>
      </c>
      <c r="N4067">
        <v>0</v>
      </c>
      <c r="O4067">
        <v>-0.550324699999999</v>
      </c>
      <c r="P4067">
        <v>-0.91711909999999996</v>
      </c>
      <c r="Q4067">
        <v>-3.0134000000000001E-2</v>
      </c>
      <c r="R4067">
        <v>-0.39747260000000001</v>
      </c>
      <c r="S4067">
        <v>-3.175262</v>
      </c>
      <c r="T4067">
        <v>-0.1097858</v>
      </c>
      <c r="U4067">
        <v>-0.23857120000000001</v>
      </c>
      <c r="V4067">
        <v>0.1727244</v>
      </c>
      <c r="W4067">
        <v>-1.7366050000000001E-2</v>
      </c>
      <c r="X4067">
        <v>0.9848171</v>
      </c>
      <c r="Y4067">
        <v>0.48570590000000002</v>
      </c>
      <c r="Z4067">
        <v>2.6428799999999999E-2</v>
      </c>
      <c r="AA4067">
        <v>0.87372269999999896</v>
      </c>
      <c r="AB4067">
        <v>18</v>
      </c>
      <c r="AC4067">
        <v>-31.814399999999999</v>
      </c>
      <c r="AD4067">
        <v>-1.1055361660299901</v>
      </c>
      <c r="AE4067">
        <v>-2.3096000000000099</v>
      </c>
      <c r="AF4067">
        <v>15.5632265690792</v>
      </c>
      <c r="AG4067">
        <v>-1.1055361660299901</v>
      </c>
      <c r="AH4067">
        <v>27.799932646808699</v>
      </c>
      <c r="AI4067">
        <v>91.987364790133</v>
      </c>
      <c r="AJ4067">
        <v>60.758604413859402</v>
      </c>
      <c r="AK4067">
        <v>31.879028947287502</v>
      </c>
      <c r="AL4067">
        <v>90.995051381430798</v>
      </c>
      <c r="AM4067">
        <v>80.052225336193601</v>
      </c>
      <c r="AN4067">
        <v>1.00000000925018</v>
      </c>
    </row>
    <row r="4068" spans="1:40" x14ac:dyDescent="0.25">
      <c r="A4068" t="str">
        <f>"20190312161049403"</f>
        <v>20190312161049403</v>
      </c>
      <c r="B4068" t="str">
        <f>"1552378249400768"</f>
        <v>1552378249400768</v>
      </c>
      <c r="C4068" t="s">
        <v>40</v>
      </c>
      <c r="D4068">
        <v>5.5682309999999999</v>
      </c>
      <c r="E4068">
        <v>0.63493480000000002</v>
      </c>
      <c r="F4068" t="s">
        <v>41</v>
      </c>
      <c r="G4068">
        <v>-236.86240000000001</v>
      </c>
      <c r="H4068" s="1">
        <v>-2.3582250000000002E-6</v>
      </c>
      <c r="I4068">
        <v>143.48699999999999</v>
      </c>
      <c r="J4068">
        <v>-203.24199999999999</v>
      </c>
      <c r="K4068">
        <v>1.1056140000000001</v>
      </c>
      <c r="L4068">
        <v>145.5789</v>
      </c>
      <c r="M4068">
        <v>-0.8398525</v>
      </c>
      <c r="N4068">
        <v>0</v>
      </c>
      <c r="O4068">
        <v>-0.54260719999999996</v>
      </c>
      <c r="P4068">
        <v>-0.92055830000000005</v>
      </c>
      <c r="Q4068">
        <v>-3.0178679999999999E-2</v>
      </c>
      <c r="R4068">
        <v>-0.38943759999999999</v>
      </c>
      <c r="S4068">
        <v>-3.1787109999999998</v>
      </c>
      <c r="T4068">
        <v>-0.1040415</v>
      </c>
      <c r="U4068">
        <v>-0.20532230000000001</v>
      </c>
      <c r="V4068">
        <v>0.17226140000000001</v>
      </c>
      <c r="W4068">
        <v>-1.7389020000000002E-2</v>
      </c>
      <c r="X4068">
        <v>0.98489780000000005</v>
      </c>
      <c r="Y4068">
        <v>0.4868787</v>
      </c>
      <c r="Z4068">
        <v>2.4848200000000001E-2</v>
      </c>
      <c r="AA4068">
        <v>0.87311609999999995</v>
      </c>
      <c r="AB4068">
        <v>18</v>
      </c>
      <c r="AC4068">
        <v>-33.620399999999897</v>
      </c>
      <c r="AD4068">
        <v>-1.10561635822499</v>
      </c>
      <c r="AE4068">
        <v>-2.0918999999999999</v>
      </c>
      <c r="AF4068">
        <v>16.469897767726899</v>
      </c>
      <c r="AG4068">
        <v>-1.10561635822499</v>
      </c>
      <c r="AH4068">
        <v>29.342954505116499</v>
      </c>
      <c r="AI4068">
        <v>91.8819000020045</v>
      </c>
      <c r="AJ4068">
        <v>60.694951808713597</v>
      </c>
      <c r="AK4068">
        <v>33.667326877854201</v>
      </c>
      <c r="AL4068">
        <v>90.996367651333998</v>
      </c>
      <c r="AM4068">
        <v>80.079157281777199</v>
      </c>
      <c r="AN4068">
        <v>1.00000002219568</v>
      </c>
    </row>
    <row r="4069" spans="1:40" x14ac:dyDescent="0.25">
      <c r="A4069" t="str">
        <f>"20190312161049426"</f>
        <v>20190312161049426</v>
      </c>
      <c r="B4069" t="str">
        <f>"1552378249421265"</f>
        <v>1552378249421265</v>
      </c>
      <c r="C4069" t="s">
        <v>40</v>
      </c>
      <c r="D4069">
        <v>5.3672360000000001</v>
      </c>
      <c r="E4069">
        <v>0.63459540000000003</v>
      </c>
      <c r="F4069" t="s">
        <v>41</v>
      </c>
      <c r="G4069">
        <v>-237.77940000000001</v>
      </c>
      <c r="H4069" s="1">
        <v>-2.0101949999999999E-6</v>
      </c>
      <c r="I4069">
        <v>143.6574</v>
      </c>
      <c r="J4069">
        <v>-203.40110000000001</v>
      </c>
      <c r="K4069">
        <v>1.1057030000000001</v>
      </c>
      <c r="L4069">
        <v>145.48929999999999</v>
      </c>
      <c r="M4069">
        <v>-0.84482479999999904</v>
      </c>
      <c r="N4069">
        <v>0</v>
      </c>
      <c r="O4069">
        <v>-0.53483309999999995</v>
      </c>
      <c r="P4069">
        <v>-0.92391040000000002</v>
      </c>
      <c r="Q4069">
        <v>-3.08118E-2</v>
      </c>
      <c r="R4069">
        <v>-0.38136619999999999</v>
      </c>
      <c r="S4069">
        <v>-3.1807099999999999</v>
      </c>
      <c r="T4069">
        <v>-0.1018213</v>
      </c>
      <c r="U4069">
        <v>-0.17695620000000001</v>
      </c>
      <c r="V4069">
        <v>0.1717767</v>
      </c>
      <c r="W4069">
        <v>-1.8000889999999999E-2</v>
      </c>
      <c r="X4069">
        <v>0.9849715</v>
      </c>
      <c r="Y4069">
        <v>0.48663859999999998</v>
      </c>
      <c r="Z4069">
        <v>2.4104939999999998E-2</v>
      </c>
      <c r="AA4069">
        <v>0.87327080000000001</v>
      </c>
      <c r="AB4069">
        <v>18</v>
      </c>
      <c r="AC4069">
        <v>-34.378300000000003</v>
      </c>
      <c r="AD4069">
        <v>-1.1057050101949999</v>
      </c>
      <c r="AE4069">
        <v>-1.8318999999999901</v>
      </c>
      <c r="AF4069">
        <v>16.823555793709598</v>
      </c>
      <c r="AG4069">
        <v>-1.1057050101949999</v>
      </c>
      <c r="AH4069">
        <v>29.995832210230098</v>
      </c>
      <c r="AI4069">
        <v>91.841450253799593</v>
      </c>
      <c r="AJ4069">
        <v>60.713540848821197</v>
      </c>
      <c r="AK4069">
        <v>34.4093673742763</v>
      </c>
      <c r="AL4069">
        <v>91.031430669171399</v>
      </c>
      <c r="AM4069">
        <v>80.107245343056306</v>
      </c>
      <c r="AN4069">
        <v>1.00000006125796</v>
      </c>
    </row>
    <row r="4070" spans="1:40" x14ac:dyDescent="0.25">
      <c r="A4070" t="str">
        <f>"20190312161049448"</f>
        <v>20190312161049448</v>
      </c>
      <c r="B4070" t="str">
        <f>"1552378249440785"</f>
        <v>1552378249440785</v>
      </c>
      <c r="C4070" t="s">
        <v>40</v>
      </c>
      <c r="D4070">
        <v>5.5577779999999999</v>
      </c>
      <c r="E4070">
        <v>0.63371299999999997</v>
      </c>
      <c r="F4070" t="s">
        <v>41</v>
      </c>
      <c r="G4070">
        <v>-240.02109999999999</v>
      </c>
      <c r="H4070" s="1">
        <v>-5.0008420000000004E-6</v>
      </c>
      <c r="I4070">
        <v>143.74299999999999</v>
      </c>
      <c r="J4070">
        <v>-203.57089999999999</v>
      </c>
      <c r="K4070">
        <v>1.1057950000000001</v>
      </c>
      <c r="L4070">
        <v>145.39570000000001</v>
      </c>
      <c r="M4070">
        <v>-0.84996240000000001</v>
      </c>
      <c r="N4070">
        <v>0</v>
      </c>
      <c r="O4070">
        <v>-0.52663090000000001</v>
      </c>
      <c r="P4070">
        <v>-0.92741059999999997</v>
      </c>
      <c r="Q4070">
        <v>-3.2183669999999998E-2</v>
      </c>
      <c r="R4070">
        <v>-0.3726583</v>
      </c>
      <c r="S4070">
        <v>-3.181244</v>
      </c>
      <c r="T4070">
        <v>-9.6054669999999995E-2</v>
      </c>
      <c r="U4070">
        <v>-0.1517029</v>
      </c>
      <c r="V4070">
        <v>0.1714726</v>
      </c>
      <c r="W4070">
        <v>-1.9356100000000001E-2</v>
      </c>
      <c r="X4070">
        <v>0.9849987</v>
      </c>
      <c r="Y4070">
        <v>0.48516389999999998</v>
      </c>
      <c r="Z4070">
        <v>2.2515730000000001E-2</v>
      </c>
      <c r="AA4070">
        <v>0.8741333</v>
      </c>
      <c r="AB4070">
        <v>18</v>
      </c>
      <c r="AC4070">
        <v>-36.450200000000002</v>
      </c>
      <c r="AD4070">
        <v>-1.1058000008419999</v>
      </c>
      <c r="AE4070">
        <v>-1.65270000000001</v>
      </c>
      <c r="AF4070">
        <v>17.776732787811898</v>
      </c>
      <c r="AG4070">
        <v>-1.1058000008419999</v>
      </c>
      <c r="AH4070">
        <v>31.8259963958069</v>
      </c>
      <c r="AI4070">
        <v>91.737476302370993</v>
      </c>
      <c r="AJ4070">
        <v>60.814015415412598</v>
      </c>
      <c r="AK4070">
        <v>36.470934575865201</v>
      </c>
      <c r="AL4070">
        <v>91.109092127978698</v>
      </c>
      <c r="AM4070">
        <v>80.124680933591193</v>
      </c>
      <c r="AN4070">
        <v>0.99999997507982896</v>
      </c>
    </row>
    <row r="4071" spans="1:40" x14ac:dyDescent="0.25">
      <c r="A4071" t="str">
        <f>"20190312161049472"</f>
        <v>20190312161049472</v>
      </c>
      <c r="B4071" t="str">
        <f>"1552378249460308"</f>
        <v>1552378249460308</v>
      </c>
      <c r="C4071" t="s">
        <v>40</v>
      </c>
      <c r="D4071">
        <v>5.4498419999999896</v>
      </c>
      <c r="E4071">
        <v>0.63331610000000005</v>
      </c>
      <c r="F4071" t="s">
        <v>41</v>
      </c>
      <c r="G4071">
        <v>-238.03440000000001</v>
      </c>
      <c r="H4071" s="1">
        <v>-1.993323E-6</v>
      </c>
      <c r="I4071">
        <v>144.0051</v>
      </c>
      <c r="J4071">
        <v>-203.74610000000001</v>
      </c>
      <c r="K4071">
        <v>1.105861</v>
      </c>
      <c r="L4071">
        <v>145.30109999999999</v>
      </c>
      <c r="M4071">
        <v>-0.85510030000000004</v>
      </c>
      <c r="N4071">
        <v>0</v>
      </c>
      <c r="O4071">
        <v>-0.51824749999999997</v>
      </c>
      <c r="P4071">
        <v>-0.93086930000000001</v>
      </c>
      <c r="Q4071">
        <v>-3.3172710000000001E-2</v>
      </c>
      <c r="R4071">
        <v>-0.36384379999999999</v>
      </c>
      <c r="S4071">
        <v>-3.1797179999999998</v>
      </c>
      <c r="T4071">
        <v>-0.10202459999999999</v>
      </c>
      <c r="U4071">
        <v>-0.12829589999999999</v>
      </c>
      <c r="V4071">
        <v>0.1711056</v>
      </c>
      <c r="W4071">
        <v>-2.0332780000000002E-2</v>
      </c>
      <c r="X4071">
        <v>0.98504290000000005</v>
      </c>
      <c r="Y4071">
        <v>0.4829155</v>
      </c>
      <c r="Z4071">
        <v>2.3669949999999999E-2</v>
      </c>
      <c r="AA4071">
        <v>0.87534699999999999</v>
      </c>
      <c r="AB4071">
        <v>18</v>
      </c>
      <c r="AC4071">
        <v>-34.2882999999999</v>
      </c>
      <c r="AD4071">
        <v>-1.105862993323</v>
      </c>
      <c r="AE4071">
        <v>-1.29599999999999</v>
      </c>
      <c r="AF4071">
        <v>16.6461834786586</v>
      </c>
      <c r="AG4071">
        <v>-1.105862993323</v>
      </c>
      <c r="AH4071">
        <v>29.963805634143501</v>
      </c>
      <c r="AI4071">
        <v>91.847856575107102</v>
      </c>
      <c r="AJ4071">
        <v>60.945944150150403</v>
      </c>
      <c r="AK4071">
        <v>34.295014294295001</v>
      </c>
      <c r="AL4071">
        <v>91.165062729475906</v>
      </c>
      <c r="AM4071">
        <v>80.145835630024294</v>
      </c>
      <c r="AN4071">
        <v>1.00000003156714</v>
      </c>
    </row>
    <row r="4072" spans="1:40" x14ac:dyDescent="0.25">
      <c r="A4072" t="str">
        <f>"20190312161049493"</f>
        <v>20190312161049493</v>
      </c>
      <c r="B4072" t="str">
        <f>"1552378249490561"</f>
        <v>1552378249490561</v>
      </c>
      <c r="C4072" t="s">
        <v>40</v>
      </c>
      <c r="D4072">
        <v>5.5546049999999996</v>
      </c>
      <c r="E4072">
        <v>0.63168250000000004</v>
      </c>
      <c r="F4072" t="s">
        <v>41</v>
      </c>
      <c r="G4072">
        <v>-240.83750000000001</v>
      </c>
      <c r="H4072" s="1">
        <v>-4.7895359999999998E-6</v>
      </c>
      <c r="I4072">
        <v>144.11799999999999</v>
      </c>
      <c r="J4072">
        <v>-203.89779999999999</v>
      </c>
      <c r="K4072">
        <v>1.10592</v>
      </c>
      <c r="L4072">
        <v>145.2209</v>
      </c>
      <c r="M4072">
        <v>-0.8594195</v>
      </c>
      <c r="N4072">
        <v>0</v>
      </c>
      <c r="O4072">
        <v>-0.51105400000000001</v>
      </c>
      <c r="P4072">
        <v>-0.93354899999999996</v>
      </c>
      <c r="Q4072">
        <v>-3.3648629999999999E-2</v>
      </c>
      <c r="R4072">
        <v>-0.3568675</v>
      </c>
      <c r="S4072">
        <v>-3.1797490000000002</v>
      </c>
      <c r="T4072">
        <v>-9.4802979999999995E-2</v>
      </c>
      <c r="U4072">
        <v>-0.10142519999999999</v>
      </c>
      <c r="V4072">
        <v>0.1702003</v>
      </c>
      <c r="W4072">
        <v>-2.0793530000000001E-2</v>
      </c>
      <c r="X4072">
        <v>0.98519009999999996</v>
      </c>
      <c r="Y4072">
        <v>0.48302640000000002</v>
      </c>
      <c r="Z4072">
        <v>2.1822319999999999E-2</v>
      </c>
      <c r="AA4072">
        <v>0.87533379999999905</v>
      </c>
      <c r="AB4072">
        <v>18</v>
      </c>
      <c r="AC4072">
        <v>-36.939700000000002</v>
      </c>
      <c r="AD4072">
        <v>-1.105924789536</v>
      </c>
      <c r="AE4072">
        <v>-1.1029</v>
      </c>
      <c r="AF4072">
        <v>17.916273203936999</v>
      </c>
      <c r="AG4072">
        <v>-1.105924789536</v>
      </c>
      <c r="AH4072">
        <v>32.285013886464903</v>
      </c>
      <c r="AI4072">
        <v>91.715616845026304</v>
      </c>
      <c r="AJ4072">
        <v>60.972316135273097</v>
      </c>
      <c r="AK4072">
        <v>36.939653988734797</v>
      </c>
      <c r="AL4072">
        <v>91.1914673525052</v>
      </c>
      <c r="AM4072">
        <v>80.198395002215193</v>
      </c>
      <c r="AN4072">
        <v>1.0000000230739801</v>
      </c>
    </row>
    <row r="4073" spans="1:40" x14ac:dyDescent="0.25">
      <c r="A4073" t="str">
        <f>"20190312161049514"</f>
        <v>20190312161049514</v>
      </c>
      <c r="B4073" t="str">
        <f>"1552378249511057"</f>
        <v>1552378249511057</v>
      </c>
      <c r="C4073" t="s">
        <v>40</v>
      </c>
      <c r="D4073">
        <v>5.8393269999999999</v>
      </c>
      <c r="E4073">
        <v>0.63085899999999995</v>
      </c>
      <c r="F4073" t="s">
        <v>41</v>
      </c>
      <c r="G4073">
        <v>-243.09870000000001</v>
      </c>
      <c r="H4073" s="1">
        <v>-4.0188759999999999E-6</v>
      </c>
      <c r="I4073">
        <v>144.1113</v>
      </c>
      <c r="J4073">
        <v>-204.05690000000001</v>
      </c>
      <c r="K4073">
        <v>1.1059749999999999</v>
      </c>
      <c r="L4073">
        <v>145.13839999999999</v>
      </c>
      <c r="M4073">
        <v>-0.86382479999999995</v>
      </c>
      <c r="N4073">
        <v>0</v>
      </c>
      <c r="O4073">
        <v>-0.50357240000000003</v>
      </c>
      <c r="P4073">
        <v>-0.93613959999999996</v>
      </c>
      <c r="Q4073">
        <v>-3.4525559999999997E-2</v>
      </c>
      <c r="R4073">
        <v>-0.34992980000000001</v>
      </c>
      <c r="S4073">
        <v>-3.1759490000000001</v>
      </c>
      <c r="T4073">
        <v>-8.959889E-2</v>
      </c>
      <c r="U4073">
        <v>-8.9889529999999995E-2</v>
      </c>
      <c r="V4073">
        <v>0.16893449999999999</v>
      </c>
      <c r="W4073">
        <v>-2.1652480000000002E-2</v>
      </c>
      <c r="X4073">
        <v>0.98538939999999997</v>
      </c>
      <c r="Y4073">
        <v>0.47861019999999999</v>
      </c>
      <c r="Z4073">
        <v>2.0407439999999999E-2</v>
      </c>
      <c r="AA4073">
        <v>0.87779030000000002</v>
      </c>
      <c r="AB4073">
        <v>18</v>
      </c>
      <c r="AC4073">
        <v>-39.041800000000002</v>
      </c>
      <c r="AD4073">
        <v>-1.1059790188759999</v>
      </c>
      <c r="AE4073">
        <v>-1.0270999999999899</v>
      </c>
      <c r="AF4073">
        <v>18.760174192283301</v>
      </c>
      <c r="AG4073">
        <v>-1.1059790188759999</v>
      </c>
      <c r="AH4073">
        <v>34.218847238323001</v>
      </c>
      <c r="AI4073">
        <v>91.623384329134595</v>
      </c>
      <c r="AJ4073">
        <v>61.266641597752297</v>
      </c>
      <c r="AK4073">
        <v>39.039682780917801</v>
      </c>
      <c r="AL4073">
        <v>91.240692700339295</v>
      </c>
      <c r="AM4073">
        <v>80.271822543679306</v>
      </c>
      <c r="AN4073">
        <v>0.99999998240637999</v>
      </c>
    </row>
    <row r="4074" spans="1:40" x14ac:dyDescent="0.25">
      <c r="A4074" t="str">
        <f>"20190312161049539"</f>
        <v>20190312161049539</v>
      </c>
      <c r="B4074" t="str">
        <f>"1552378249530578"</f>
        <v>1552378249530578</v>
      </c>
      <c r="C4074" t="s">
        <v>40</v>
      </c>
      <c r="D4074">
        <v>5.585331</v>
      </c>
      <c r="E4074">
        <v>0.62977479999999997</v>
      </c>
      <c r="F4074" t="s">
        <v>41</v>
      </c>
      <c r="G4074">
        <v>-242.65780000000001</v>
      </c>
      <c r="H4074" s="1">
        <v>-4.1947830000000002E-6</v>
      </c>
      <c r="I4074">
        <v>144.25720000000001</v>
      </c>
      <c r="J4074">
        <v>-204.23560000000001</v>
      </c>
      <c r="K4074">
        <v>1.106033</v>
      </c>
      <c r="L4074">
        <v>145.04769999999999</v>
      </c>
      <c r="M4074">
        <v>-0.86862519999999999</v>
      </c>
      <c r="N4074">
        <v>0</v>
      </c>
      <c r="O4074">
        <v>-0.49524669999999998</v>
      </c>
      <c r="P4074">
        <v>-0.938809</v>
      </c>
      <c r="Q4074">
        <v>-3.4757730000000001E-2</v>
      </c>
      <c r="R4074">
        <v>-0.34267950000000003</v>
      </c>
      <c r="S4074">
        <v>-3.17421</v>
      </c>
      <c r="T4074">
        <v>-9.0946319999999997E-2</v>
      </c>
      <c r="U4074">
        <v>-7.2463990000000006E-2</v>
      </c>
      <c r="V4074">
        <v>0.16708100000000001</v>
      </c>
      <c r="W4074">
        <v>-2.185873E-2</v>
      </c>
      <c r="X4074">
        <v>0.98570080000000004</v>
      </c>
      <c r="Y4074">
        <v>0.47496300000000002</v>
      </c>
      <c r="Z4074">
        <v>2.047011E-2</v>
      </c>
      <c r="AA4074">
        <v>0.87976769999999904</v>
      </c>
      <c r="AB4074">
        <v>18</v>
      </c>
      <c r="AC4074">
        <v>-38.422199999999997</v>
      </c>
      <c r="AD4074">
        <v>-1.1060371947830001</v>
      </c>
      <c r="AE4074">
        <v>-0.79049999999998</v>
      </c>
      <c r="AF4074">
        <v>18.328664593170799</v>
      </c>
      <c r="AG4074">
        <v>-1.1060371947830001</v>
      </c>
      <c r="AH4074">
        <v>33.741766362525198</v>
      </c>
      <c r="AI4074">
        <v>91.649900499310505</v>
      </c>
      <c r="AJ4074">
        <v>61.489010888674699</v>
      </c>
      <c r="AK4074">
        <v>38.414451204051304</v>
      </c>
      <c r="AL4074">
        <v>91.252512773380403</v>
      </c>
      <c r="AM4074">
        <v>80.379533822479601</v>
      </c>
      <c r="AN4074">
        <v>0.99999996587942597</v>
      </c>
    </row>
    <row r="4075" spans="1:40" x14ac:dyDescent="0.25">
      <c r="A4075" t="str">
        <f>"20190312161049563"</f>
        <v>20190312161049563</v>
      </c>
      <c r="B4075" t="str">
        <f>"1552378249551074"</f>
        <v>1552378249551074</v>
      </c>
      <c r="C4075" t="s">
        <v>40</v>
      </c>
      <c r="D4075">
        <v>5.5797230000000004</v>
      </c>
      <c r="E4075">
        <v>0.62865249999999995</v>
      </c>
      <c r="F4075" t="s">
        <v>41</v>
      </c>
      <c r="G4075">
        <v>-242.00890000000001</v>
      </c>
      <c r="H4075" s="1">
        <v>-4.4373279999999998E-6</v>
      </c>
      <c r="I4075">
        <v>144.37960000000001</v>
      </c>
      <c r="J4075">
        <v>-204.41329999999999</v>
      </c>
      <c r="K4075">
        <v>1.1060989999999999</v>
      </c>
      <c r="L4075">
        <v>144.95939999999999</v>
      </c>
      <c r="M4075">
        <v>-0.87325189999999997</v>
      </c>
      <c r="N4075">
        <v>0</v>
      </c>
      <c r="O4075">
        <v>-0.48704320000000001</v>
      </c>
      <c r="P4075">
        <v>-0.9414901</v>
      </c>
      <c r="Q4075">
        <v>-3.4833759999999998E-2</v>
      </c>
      <c r="R4075">
        <v>-0.33523589999999998</v>
      </c>
      <c r="S4075">
        <v>-3.1716160000000002</v>
      </c>
      <c r="T4075">
        <v>-9.2867969999999994E-2</v>
      </c>
      <c r="U4075">
        <v>-5.6091309999999998E-2</v>
      </c>
      <c r="V4075">
        <v>0.16560250000000001</v>
      </c>
      <c r="W4075">
        <v>-2.1912729999999998E-2</v>
      </c>
      <c r="X4075">
        <v>0.98594910000000002</v>
      </c>
      <c r="Y4075">
        <v>0.47118199999999999</v>
      </c>
      <c r="Z4075">
        <v>2.0657479999999999E-2</v>
      </c>
      <c r="AA4075">
        <v>0.88179409999999903</v>
      </c>
      <c r="AB4075">
        <v>18</v>
      </c>
      <c r="AC4075">
        <v>-37.595599999999997</v>
      </c>
      <c r="AD4075">
        <v>-1.1061034373280001</v>
      </c>
      <c r="AE4075">
        <v>-0.579799999999977</v>
      </c>
      <c r="AF4075">
        <v>17.790932866056501</v>
      </c>
      <c r="AG4075">
        <v>-1.1061034373280001</v>
      </c>
      <c r="AH4075">
        <v>33.087826435195801</v>
      </c>
      <c r="AI4075">
        <v>91.6864751227684</v>
      </c>
      <c r="AJ4075">
        <v>61.733606288307897</v>
      </c>
      <c r="AK4075">
        <v>37.583839815328098</v>
      </c>
      <c r="AL4075">
        <v>91.255607454320497</v>
      </c>
      <c r="AM4075">
        <v>80.465452495906803</v>
      </c>
      <c r="AN4075">
        <v>0.99999999176655596</v>
      </c>
    </row>
    <row r="4076" spans="1:40" x14ac:dyDescent="0.25">
      <c r="A4076" t="str">
        <f>"20190312161049584"</f>
        <v>20190312161049584</v>
      </c>
      <c r="B4076" t="str">
        <f>"1552378249580465"</f>
        <v>1552378249580465</v>
      </c>
      <c r="C4076" t="s">
        <v>40</v>
      </c>
      <c r="D4076">
        <v>5.597289</v>
      </c>
      <c r="E4076">
        <v>0.62702599999999997</v>
      </c>
      <c r="F4076" t="s">
        <v>41</v>
      </c>
      <c r="G4076">
        <v>-242.20160000000001</v>
      </c>
      <c r="H4076" s="1">
        <v>-4.3913160000000002E-6</v>
      </c>
      <c r="I4076">
        <v>144.48990000000001</v>
      </c>
      <c r="J4076">
        <v>-204.57159999999999</v>
      </c>
      <c r="K4076">
        <v>1.1061620000000001</v>
      </c>
      <c r="L4076">
        <v>144.88239999999999</v>
      </c>
      <c r="M4076">
        <v>-0.87725429999999904</v>
      </c>
      <c r="N4076">
        <v>0</v>
      </c>
      <c r="O4076">
        <v>-0.47979719999999998</v>
      </c>
      <c r="P4076">
        <v>-0.94378070000000003</v>
      </c>
      <c r="Q4076">
        <v>-3.4611950000000002E-2</v>
      </c>
      <c r="R4076">
        <v>-0.32875529999999997</v>
      </c>
      <c r="S4076">
        <v>-3.169022</v>
      </c>
      <c r="T4076">
        <v>-9.2760560000000006E-2</v>
      </c>
      <c r="U4076">
        <v>-3.9367680000000002E-2</v>
      </c>
      <c r="V4076">
        <v>0.16422829999999999</v>
      </c>
      <c r="W4076">
        <v>-2.1669029999999999E-2</v>
      </c>
      <c r="X4076">
        <v>0.98618439999999996</v>
      </c>
      <c r="Y4076">
        <v>0.46852260000000001</v>
      </c>
      <c r="Z4076">
        <v>2.0428310000000002E-2</v>
      </c>
      <c r="AA4076">
        <v>0.88321530000000004</v>
      </c>
      <c r="AB4076">
        <v>18</v>
      </c>
      <c r="AC4076">
        <v>-37.630000000000003</v>
      </c>
      <c r="AD4076">
        <v>-1.106166391316</v>
      </c>
      <c r="AE4076">
        <v>-0.39249999999998397</v>
      </c>
      <c r="AF4076">
        <v>17.6971000200951</v>
      </c>
      <c r="AG4076">
        <v>-1.106166391316</v>
      </c>
      <c r="AH4076">
        <v>33.174381184492297</v>
      </c>
      <c r="AI4076">
        <v>91.685136474167294</v>
      </c>
      <c r="AJ4076">
        <v>61.922004750394102</v>
      </c>
      <c r="AK4076">
        <v>37.615828053899399</v>
      </c>
      <c r="AL4076">
        <v>91.241641051695098</v>
      </c>
      <c r="AM4076">
        <v>80.545352610745994</v>
      </c>
      <c r="AN4076">
        <v>1.0000000760926899</v>
      </c>
    </row>
    <row r="4077" spans="1:40" x14ac:dyDescent="0.25">
      <c r="A4077" t="str">
        <f>"20190312161049604"</f>
        <v>20190312161049604</v>
      </c>
      <c r="B4077" t="str">
        <f>"1552378249600961"</f>
        <v>1552378249600961</v>
      </c>
      <c r="C4077" t="s">
        <v>40</v>
      </c>
      <c r="D4077">
        <v>5.600625</v>
      </c>
      <c r="E4077">
        <v>0.62581229999999999</v>
      </c>
      <c r="F4077" t="s">
        <v>41</v>
      </c>
      <c r="G4077">
        <v>-244.31</v>
      </c>
      <c r="H4077" s="1">
        <v>-3.67672E-6</v>
      </c>
      <c r="I4077">
        <v>144.50630000000001</v>
      </c>
      <c r="J4077">
        <v>-204.72020000000001</v>
      </c>
      <c r="K4077">
        <v>1.1062320000000001</v>
      </c>
      <c r="L4077">
        <v>144.8116</v>
      </c>
      <c r="M4077">
        <v>-0.8809072</v>
      </c>
      <c r="N4077">
        <v>0</v>
      </c>
      <c r="O4077">
        <v>-0.47305770000000003</v>
      </c>
      <c r="P4077">
        <v>-0.9459265</v>
      </c>
      <c r="Q4077">
        <v>-3.4113640000000001E-2</v>
      </c>
      <c r="R4077">
        <v>-0.32258249999999999</v>
      </c>
      <c r="S4077">
        <v>-3.165009</v>
      </c>
      <c r="T4077">
        <v>-8.8101860000000004E-2</v>
      </c>
      <c r="U4077">
        <v>-2.9953E-2</v>
      </c>
      <c r="V4077">
        <v>0.16312760000000001</v>
      </c>
      <c r="W4077">
        <v>-2.1151509999999998E-2</v>
      </c>
      <c r="X4077">
        <v>0.98637830000000004</v>
      </c>
      <c r="Y4077">
        <v>0.46439999999999998</v>
      </c>
      <c r="Z4077">
        <v>1.9205030000000001E-2</v>
      </c>
      <c r="AA4077">
        <v>0.88541729999999996</v>
      </c>
      <c r="AB4077">
        <v>18</v>
      </c>
      <c r="AC4077">
        <v>-39.589799999999997</v>
      </c>
      <c r="AD4077">
        <v>-1.1062356767199999</v>
      </c>
      <c r="AE4077">
        <v>-0.30529999999998803</v>
      </c>
      <c r="AF4077">
        <v>18.446937484466702</v>
      </c>
      <c r="AG4077">
        <v>-1.1062356767199999</v>
      </c>
      <c r="AH4077">
        <v>34.995875730348601</v>
      </c>
      <c r="AI4077">
        <v>91.601768863426599</v>
      </c>
      <c r="AJ4077">
        <v>62.2055021170816</v>
      </c>
      <c r="AK4077">
        <v>39.575555309588196</v>
      </c>
      <c r="AL4077">
        <v>91.211982544040893</v>
      </c>
      <c r="AM4077">
        <v>80.609400674756102</v>
      </c>
      <c r="AN4077">
        <v>1.00000007548396</v>
      </c>
    </row>
    <row r="4078" spans="1:40" x14ac:dyDescent="0.25">
      <c r="A4078" t="str">
        <f>"20190312161049627"</f>
        <v>20190312161049627</v>
      </c>
      <c r="B4078" t="str">
        <f>"1552378249620480"</f>
        <v>1552378249620480</v>
      </c>
      <c r="C4078" t="s">
        <v>40</v>
      </c>
      <c r="D4078">
        <v>5.5805400000000001</v>
      </c>
      <c r="E4078">
        <v>0.59633139999999996</v>
      </c>
      <c r="F4078" t="s">
        <v>41</v>
      </c>
      <c r="G4078">
        <v>-244.77709999999999</v>
      </c>
      <c r="H4078" s="1">
        <v>-3.5306979999999999E-6</v>
      </c>
      <c r="I4078">
        <v>144.57910000000001</v>
      </c>
      <c r="J4078">
        <v>-204.88800000000001</v>
      </c>
      <c r="K4078">
        <v>1.106301</v>
      </c>
      <c r="L4078">
        <v>144.73320000000001</v>
      </c>
      <c r="M4078">
        <v>-0.88492249999999995</v>
      </c>
      <c r="N4078">
        <v>0</v>
      </c>
      <c r="O4078">
        <v>-0.46550399999999997</v>
      </c>
      <c r="P4078">
        <v>-0.94833699999999999</v>
      </c>
      <c r="Q4078">
        <v>-3.3931379999999997E-2</v>
      </c>
      <c r="R4078">
        <v>-0.31544539999999999</v>
      </c>
      <c r="S4078">
        <v>-3.1620940000000002</v>
      </c>
      <c r="T4078">
        <v>-8.7326409999999993E-2</v>
      </c>
      <c r="U4078">
        <v>-1.8341059999999999E-2</v>
      </c>
      <c r="V4078">
        <v>0.16212960000000001</v>
      </c>
      <c r="W4078">
        <v>-2.0952849999999999E-2</v>
      </c>
      <c r="X4078">
        <v>0.98654699999999995</v>
      </c>
      <c r="Y4078">
        <v>0.46007179999999998</v>
      </c>
      <c r="Z4078">
        <v>1.8809619999999999E-2</v>
      </c>
      <c r="AA4078">
        <v>0.88768239999999998</v>
      </c>
      <c r="AB4078">
        <v>18</v>
      </c>
      <c r="AC4078">
        <v>-39.8890999999999</v>
      </c>
      <c r="AD4078">
        <v>-1.1063045306979999</v>
      </c>
      <c r="AE4078">
        <v>-0.15409999999999899</v>
      </c>
      <c r="AF4078">
        <v>18.420011766834499</v>
      </c>
      <c r="AG4078">
        <v>-1.1063045306979999</v>
      </c>
      <c r="AH4078">
        <v>35.347166987881103</v>
      </c>
      <c r="AI4078">
        <v>91.589872458737602</v>
      </c>
      <c r="AJ4078">
        <v>62.475211321289002</v>
      </c>
      <c r="AK4078">
        <v>39.874088795533901</v>
      </c>
      <c r="AL4078">
        <v>91.200597725419698</v>
      </c>
      <c r="AM4078">
        <v>80.667405429268896</v>
      </c>
      <c r="AN4078">
        <v>1.0000000061641401</v>
      </c>
    </row>
    <row r="4079" spans="1:40" x14ac:dyDescent="0.25">
      <c r="A4079" t="str">
        <f>"20190312161049650"</f>
        <v>20190312161049650</v>
      </c>
      <c r="B4079" t="str">
        <f>"1552378249640976"</f>
        <v>1552378249640976</v>
      </c>
      <c r="C4079" t="s">
        <v>40</v>
      </c>
      <c r="D4079">
        <v>5.646941</v>
      </c>
      <c r="E4079">
        <v>0.59556809999999905</v>
      </c>
      <c r="F4079" t="s">
        <v>45</v>
      </c>
      <c r="G4079">
        <v>0</v>
      </c>
      <c r="H4079">
        <v>0</v>
      </c>
      <c r="I4079">
        <v>0</v>
      </c>
      <c r="J4079">
        <v>-205.06379999999999</v>
      </c>
      <c r="K4079">
        <v>1.1063590000000001</v>
      </c>
      <c r="L4079">
        <v>144.65280000000001</v>
      </c>
      <c r="M4079">
        <v>-0.88900769999999996</v>
      </c>
      <c r="N4079">
        <v>0</v>
      </c>
      <c r="O4079">
        <v>-0.45765450000000002</v>
      </c>
      <c r="P4079">
        <v>-0.95070670000000002</v>
      </c>
      <c r="Q4079">
        <v>-3.3366529999999998E-2</v>
      </c>
      <c r="R4079">
        <v>-0.30829079999999998</v>
      </c>
      <c r="S4079">
        <v>-3.0913240000000002</v>
      </c>
      <c r="T4079">
        <v>3.3529160000000002E-2</v>
      </c>
      <c r="U4079">
        <v>-0.22039790000000001</v>
      </c>
      <c r="V4079">
        <v>0.16084989999999999</v>
      </c>
      <c r="W4079">
        <v>-2.037075E-2</v>
      </c>
      <c r="X4079">
        <v>0.9867686</v>
      </c>
      <c r="Y4079">
        <v>0.39326889999999998</v>
      </c>
      <c r="Z4079">
        <v>-6.9224150000000003E-3</v>
      </c>
      <c r="AA4079">
        <v>0.91939749999999998</v>
      </c>
      <c r="AB4079">
        <v>18</v>
      </c>
      <c r="AC4079">
        <v>-3.0913240000000002</v>
      </c>
      <c r="AD4079">
        <v>3.3529160000000002E-2</v>
      </c>
      <c r="AE4079">
        <v>-0.22039790000000001</v>
      </c>
      <c r="AF4079">
        <v>1.2188129239652501</v>
      </c>
      <c r="AG4079">
        <v>3.3529160000000002E-2</v>
      </c>
      <c r="AH4079">
        <v>2.8490535883381201</v>
      </c>
      <c r="AI4079">
        <v>89.380082803462599</v>
      </c>
      <c r="AJ4079">
        <v>66.838968367868006</v>
      </c>
      <c r="AK4079">
        <v>3.0989894316401601</v>
      </c>
      <c r="AL4079">
        <v>91.167238779874197</v>
      </c>
      <c r="AM4079">
        <v>80.741830765922202</v>
      </c>
      <c r="AN4079">
        <v>0.99999996386576495</v>
      </c>
    </row>
    <row r="4080" spans="1:40" x14ac:dyDescent="0.25">
      <c r="A4080" t="str">
        <f>"20190312161049673"</f>
        <v>20190312161049673</v>
      </c>
      <c r="B4080" t="str">
        <f>"1552378249670257"</f>
        <v>1552378249670257</v>
      </c>
      <c r="C4080" t="s">
        <v>40</v>
      </c>
      <c r="D4080">
        <v>5.6137059999999996</v>
      </c>
      <c r="E4080">
        <v>0.60077700000000001</v>
      </c>
      <c r="F4080" t="s">
        <v>45</v>
      </c>
      <c r="G4080">
        <v>0</v>
      </c>
      <c r="H4080">
        <v>0</v>
      </c>
      <c r="I4080">
        <v>0</v>
      </c>
      <c r="J4080">
        <v>-205.23509999999999</v>
      </c>
      <c r="K4080">
        <v>1.106414</v>
      </c>
      <c r="L4080">
        <v>144.5762</v>
      </c>
      <c r="M4080">
        <v>-0.89287150000000004</v>
      </c>
      <c r="N4080">
        <v>0</v>
      </c>
      <c r="O4080">
        <v>-0.45007079999999999</v>
      </c>
      <c r="P4080">
        <v>-0.95280370000000003</v>
      </c>
      <c r="Q4080">
        <v>-3.388062E-2</v>
      </c>
      <c r="R4080">
        <v>-0.30169119999999999</v>
      </c>
      <c r="S4080">
        <v>-3.0910190000000002</v>
      </c>
      <c r="T4080">
        <v>3.5917159999999997E-2</v>
      </c>
      <c r="U4080">
        <v>-0.20291139999999999</v>
      </c>
      <c r="V4080">
        <v>0.1592827</v>
      </c>
      <c r="W4080">
        <v>-2.08664E-2</v>
      </c>
      <c r="X4080">
        <v>0.98701240000000001</v>
      </c>
      <c r="Y4080">
        <v>0.39060509999999998</v>
      </c>
      <c r="Z4080">
        <v>-7.3246199999999996E-3</v>
      </c>
      <c r="AA4080">
        <v>0.92052920000000005</v>
      </c>
      <c r="AB4080">
        <v>18</v>
      </c>
      <c r="AC4080">
        <v>-3.0910190000000002</v>
      </c>
      <c r="AD4080">
        <v>3.5917159999999997E-2</v>
      </c>
      <c r="AE4080">
        <v>-0.20291139999999999</v>
      </c>
      <c r="AF4080">
        <v>1.2099720788744099</v>
      </c>
      <c r="AG4080">
        <v>3.5917159999999997E-2</v>
      </c>
      <c r="AH4080">
        <v>2.8511330201171798</v>
      </c>
      <c r="AI4080">
        <v>89.335602307144299</v>
      </c>
      <c r="AJ4080">
        <v>67.004462880058497</v>
      </c>
      <c r="AK4080">
        <v>3.09746379679257</v>
      </c>
      <c r="AL4080">
        <v>91.195643511481194</v>
      </c>
      <c r="AM4080">
        <v>80.832722171210193</v>
      </c>
      <c r="AN4080">
        <v>0.99999993146100197</v>
      </c>
    </row>
    <row r="4081" spans="1:40" x14ac:dyDescent="0.25">
      <c r="A4081" t="str">
        <f>"20190312161049694"</f>
        <v>20190312161049694</v>
      </c>
      <c r="B4081" t="str">
        <f>"1552378249690753"</f>
        <v>1552378249690753</v>
      </c>
      <c r="C4081" t="s">
        <v>40</v>
      </c>
      <c r="D4081">
        <v>5.4948069999999998</v>
      </c>
      <c r="E4081">
        <v>0.59998660000000004</v>
      </c>
      <c r="F4081" t="s">
        <v>41</v>
      </c>
      <c r="G4081">
        <v>-242.89160000000001</v>
      </c>
      <c r="H4081" s="1">
        <v>-3.8721779999999998E-6</v>
      </c>
      <c r="I4081">
        <v>142.887</v>
      </c>
      <c r="J4081">
        <v>-205.3904</v>
      </c>
      <c r="K4081">
        <v>1.1064560000000001</v>
      </c>
      <c r="L4081">
        <v>144.50810000000001</v>
      </c>
      <c r="M4081">
        <v>-0.8962753</v>
      </c>
      <c r="N4081">
        <v>0</v>
      </c>
      <c r="O4081">
        <v>-0.44325409999999998</v>
      </c>
      <c r="P4081">
        <v>-0.95478450000000004</v>
      </c>
      <c r="Q4081">
        <v>-3.3794629999999999E-2</v>
      </c>
      <c r="R4081">
        <v>-0.29537190000000002</v>
      </c>
      <c r="S4081">
        <v>-3.101318</v>
      </c>
      <c r="T4081">
        <v>-9.1122510000000004E-2</v>
      </c>
      <c r="U4081">
        <v>-0.1391144</v>
      </c>
      <c r="V4081">
        <v>0.15830549999999999</v>
      </c>
      <c r="W4081">
        <v>-2.0768600000000002E-2</v>
      </c>
      <c r="X4081">
        <v>0.98717180000000004</v>
      </c>
      <c r="Y4081">
        <v>0.402337</v>
      </c>
      <c r="Z4081">
        <v>1.8534399999999999E-2</v>
      </c>
      <c r="AA4081">
        <v>0.91530400000000001</v>
      </c>
      <c r="AB4081">
        <v>18</v>
      </c>
      <c r="AC4081">
        <v>-37.501199999999997</v>
      </c>
      <c r="AD4081">
        <v>-1.1064598721779999</v>
      </c>
      <c r="AE4081">
        <v>-1.62110000000001</v>
      </c>
      <c r="AF4081">
        <v>15.1580794361559</v>
      </c>
      <c r="AG4081">
        <v>-1.1064598721779999</v>
      </c>
      <c r="AH4081">
        <v>34.303866766460501</v>
      </c>
      <c r="AI4081">
        <v>91.689892110095997</v>
      </c>
      <c r="AJ4081">
        <v>66.160481587262097</v>
      </c>
      <c r="AK4081">
        <v>37.519953368476202</v>
      </c>
      <c r="AL4081">
        <v>91.190038611047697</v>
      </c>
      <c r="AM4081">
        <v>80.889463758699804</v>
      </c>
      <c r="AN4081">
        <v>1.0000000643957201</v>
      </c>
    </row>
    <row r="4082" spans="1:40" x14ac:dyDescent="0.25">
      <c r="A4082" t="str">
        <f>"20190312161049716"</f>
        <v>20190312161049716</v>
      </c>
      <c r="B4082" t="str">
        <f>"1552378249710273"</f>
        <v>1552378249710273</v>
      </c>
      <c r="C4082" t="s">
        <v>40</v>
      </c>
      <c r="D4082">
        <v>5.5353149999999998</v>
      </c>
      <c r="E4082">
        <v>0.59991749999999999</v>
      </c>
      <c r="F4082" t="s">
        <v>41</v>
      </c>
      <c r="G4082">
        <v>-241.935</v>
      </c>
      <c r="H4082" s="1">
        <v>-4.225024E-6</v>
      </c>
      <c r="I4082">
        <v>143.04089999999999</v>
      </c>
      <c r="J4082">
        <v>-205.55289999999999</v>
      </c>
      <c r="K4082">
        <v>1.1065100000000001</v>
      </c>
      <c r="L4082">
        <v>144.4383</v>
      </c>
      <c r="M4082">
        <v>-0.89973309999999995</v>
      </c>
      <c r="N4082">
        <v>0</v>
      </c>
      <c r="O4082">
        <v>-0.4361931</v>
      </c>
      <c r="P4082">
        <v>-0.95686150000000003</v>
      </c>
      <c r="Q4082">
        <v>-3.3539520000000003E-2</v>
      </c>
      <c r="R4082">
        <v>-0.28860180000000002</v>
      </c>
      <c r="S4082">
        <v>-3.1002350000000001</v>
      </c>
      <c r="T4082">
        <v>-9.3865989999999996E-2</v>
      </c>
      <c r="U4082">
        <v>-0.1244659</v>
      </c>
      <c r="V4082">
        <v>0.15754460000000001</v>
      </c>
      <c r="W4082">
        <v>-2.0502369999999999E-2</v>
      </c>
      <c r="X4082">
        <v>0.98729900000000004</v>
      </c>
      <c r="Y4082">
        <v>0.39942230000000001</v>
      </c>
      <c r="Z4082">
        <v>1.8865860000000002E-2</v>
      </c>
      <c r="AA4082">
        <v>0.91657290000000002</v>
      </c>
      <c r="AB4082">
        <v>18</v>
      </c>
      <c r="AC4082">
        <v>-36.382100000000001</v>
      </c>
      <c r="AD4082">
        <v>-1.1065142250239901</v>
      </c>
      <c r="AE4082">
        <v>-1.3974</v>
      </c>
      <c r="AF4082">
        <v>14.6004264143257</v>
      </c>
      <c r="AG4082">
        <v>-1.1065142250239901</v>
      </c>
      <c r="AH4082">
        <v>33.316544188480499</v>
      </c>
      <c r="AI4082">
        <v>91.742363641164502</v>
      </c>
      <c r="AJ4082">
        <v>66.3353561762558</v>
      </c>
      <c r="AK4082">
        <v>36.392154949567001</v>
      </c>
      <c r="AL4082">
        <v>91.174781604910706</v>
      </c>
      <c r="AM4082">
        <v>80.933673417300497</v>
      </c>
      <c r="AN4082">
        <v>0.99999998178288796</v>
      </c>
    </row>
    <row r="4083" spans="1:40" x14ac:dyDescent="0.25">
      <c r="A4083" t="str">
        <f>"20190312161049739"</f>
        <v>20190312161049739</v>
      </c>
      <c r="B4083" t="str">
        <f>"1552378249730769"</f>
        <v>1552378249730769</v>
      </c>
      <c r="C4083" t="s">
        <v>40</v>
      </c>
      <c r="D4083">
        <v>5.5360610000000001</v>
      </c>
      <c r="E4083">
        <v>0.59874799999999995</v>
      </c>
      <c r="F4083" t="s">
        <v>41</v>
      </c>
      <c r="G4083">
        <v>-242.60130000000001</v>
      </c>
      <c r="H4083" s="1">
        <v>-4.0277649999999999E-6</v>
      </c>
      <c r="I4083">
        <v>143.2073</v>
      </c>
      <c r="J4083">
        <v>-205.7276</v>
      </c>
      <c r="K4083">
        <v>1.1065849999999999</v>
      </c>
      <c r="L4083">
        <v>144.3647</v>
      </c>
      <c r="M4083">
        <v>-0.90333869999999905</v>
      </c>
      <c r="N4083">
        <v>0</v>
      </c>
      <c r="O4083">
        <v>-0.42867709999999998</v>
      </c>
      <c r="P4083">
        <v>-0.95907089999999995</v>
      </c>
      <c r="Q4083">
        <v>-3.3605179999999998E-2</v>
      </c>
      <c r="R4083">
        <v>-0.28116570000000002</v>
      </c>
      <c r="S4083">
        <v>-3.1009060000000002</v>
      </c>
      <c r="T4083">
        <v>-9.2613699999999993E-2</v>
      </c>
      <c r="U4083">
        <v>-0.1030273</v>
      </c>
      <c r="V4083">
        <v>0.15697939999999999</v>
      </c>
      <c r="W4083">
        <v>-2.055645E-2</v>
      </c>
      <c r="X4083">
        <v>0.98738800000000004</v>
      </c>
      <c r="Y4083">
        <v>0.39812950000000003</v>
      </c>
      <c r="Z4083">
        <v>1.839325E-2</v>
      </c>
      <c r="AA4083">
        <v>0.91714479999999998</v>
      </c>
      <c r="AB4083">
        <v>18</v>
      </c>
      <c r="AC4083">
        <v>-36.873699999999999</v>
      </c>
      <c r="AD4083">
        <v>-1.1065890277649999</v>
      </c>
      <c r="AE4083">
        <v>-1.15739999999999</v>
      </c>
      <c r="AF4083">
        <v>14.7497039541728</v>
      </c>
      <c r="AG4083">
        <v>-1.1065890277649999</v>
      </c>
      <c r="AH4083">
        <v>33.778836310041598</v>
      </c>
      <c r="AI4083">
        <v>91.719644125466203</v>
      </c>
      <c r="AJ4083">
        <v>66.411262861295995</v>
      </c>
      <c r="AK4083">
        <v>36.875304588202297</v>
      </c>
      <c r="AL4083">
        <v>91.177880696880493</v>
      </c>
      <c r="AM4083">
        <v>80.966462878208006</v>
      </c>
      <c r="AN4083">
        <v>1.0000000811024701</v>
      </c>
    </row>
    <row r="4084" spans="1:40" x14ac:dyDescent="0.25">
      <c r="A4084" t="str">
        <f>"20190312161049762"</f>
        <v>20190312161049762</v>
      </c>
      <c r="B4084" t="str">
        <f>"1552378249750288"</f>
        <v>1552378249750288</v>
      </c>
      <c r="C4084" t="s">
        <v>40</v>
      </c>
      <c r="D4084">
        <v>5.5390220000000001</v>
      </c>
      <c r="E4084">
        <v>0.59782570000000002</v>
      </c>
      <c r="F4084" t="s">
        <v>41</v>
      </c>
      <c r="G4084">
        <v>-238.97049999999999</v>
      </c>
      <c r="H4084" s="1">
        <v>-1.437093E-6</v>
      </c>
      <c r="I4084">
        <v>143.4239</v>
      </c>
      <c r="J4084">
        <v>-205.90190000000001</v>
      </c>
      <c r="K4084">
        <v>1.106657</v>
      </c>
      <c r="L4084">
        <v>144.2929</v>
      </c>
      <c r="M4084">
        <v>-0.90682160000000001</v>
      </c>
      <c r="N4084">
        <v>0</v>
      </c>
      <c r="O4084">
        <v>-0.42126039999999998</v>
      </c>
      <c r="P4084">
        <v>-0.961256</v>
      </c>
      <c r="Q4084">
        <v>-3.3256309999999997E-2</v>
      </c>
      <c r="R4084">
        <v>-0.27364460000000002</v>
      </c>
      <c r="S4084">
        <v>-3.0987089999999999</v>
      </c>
      <c r="T4084">
        <v>-0.10314950000000001</v>
      </c>
      <c r="U4084">
        <v>-8.7692259999999994E-2</v>
      </c>
      <c r="V4084">
        <v>0.1566342</v>
      </c>
      <c r="W4084">
        <v>-2.0196209999999999E-2</v>
      </c>
      <c r="X4084">
        <v>0.98745019999999994</v>
      </c>
      <c r="Y4084">
        <v>0.39504270000000002</v>
      </c>
      <c r="Z4084">
        <v>2.0226649999999999E-2</v>
      </c>
      <c r="AA4084">
        <v>0.91844009999999998</v>
      </c>
      <c r="AB4084">
        <v>18</v>
      </c>
      <c r="AC4084">
        <v>-33.068599999999897</v>
      </c>
      <c r="AD4084">
        <v>-1.1066584370929999</v>
      </c>
      <c r="AE4084">
        <v>-0.868999999999999</v>
      </c>
      <c r="AF4084">
        <v>13.1291781065593</v>
      </c>
      <c r="AG4084">
        <v>-1.1066584370929999</v>
      </c>
      <c r="AH4084">
        <v>30.322712101691302</v>
      </c>
      <c r="AI4084">
        <v>91.918200483547096</v>
      </c>
      <c r="AJ4084">
        <v>66.588273496129503</v>
      </c>
      <c r="AK4084">
        <v>33.061561969335401</v>
      </c>
      <c r="AL4084">
        <v>91.157236241527201</v>
      </c>
      <c r="AM4084">
        <v>80.986559720572799</v>
      </c>
      <c r="AN4084">
        <v>1.00000002849402</v>
      </c>
    </row>
    <row r="4085" spans="1:40" x14ac:dyDescent="0.25">
      <c r="A4085" t="str">
        <f>"20190312161049807"</f>
        <v>20190312161049807</v>
      </c>
      <c r="B4085" t="str">
        <f>"1552378249800572"</f>
        <v>1552378249800572</v>
      </c>
      <c r="C4085" t="s">
        <v>40</v>
      </c>
      <c r="D4085">
        <v>5.6611799999999999</v>
      </c>
      <c r="E4085">
        <v>0.5947654</v>
      </c>
      <c r="F4085" t="s">
        <v>41</v>
      </c>
      <c r="G4085">
        <v>-238.58750000000001</v>
      </c>
      <c r="H4085" s="1">
        <v>-1.634978E-6</v>
      </c>
      <c r="I4085">
        <v>143.55009999999999</v>
      </c>
      <c r="J4085">
        <v>-206.23410000000001</v>
      </c>
      <c r="K4085">
        <v>1.106808</v>
      </c>
      <c r="L4085">
        <v>144.16030000000001</v>
      </c>
      <c r="M4085">
        <v>-0.91312850000000001</v>
      </c>
      <c r="N4085">
        <v>0</v>
      </c>
      <c r="O4085">
        <v>-0.4074102</v>
      </c>
      <c r="P4085">
        <v>-0.96486329999999998</v>
      </c>
      <c r="Q4085">
        <v>-3.4347629999999997E-2</v>
      </c>
      <c r="R4085">
        <v>-0.26049850000000002</v>
      </c>
      <c r="S4085">
        <v>-3.0972439999999999</v>
      </c>
      <c r="T4085">
        <v>-0.1048656</v>
      </c>
      <c r="U4085">
        <v>-7.0373539999999998E-2</v>
      </c>
      <c r="V4085">
        <v>0.15506619999999999</v>
      </c>
      <c r="W4085">
        <v>-2.1254760000000001E-2</v>
      </c>
      <c r="X4085">
        <v>0.98767539999999998</v>
      </c>
      <c r="Y4085">
        <v>0.38616119999999998</v>
      </c>
      <c r="Z4085">
        <v>1.9995579999999999E-2</v>
      </c>
      <c r="AA4085">
        <v>0.9222146</v>
      </c>
      <c r="AB4085">
        <v>18</v>
      </c>
      <c r="AC4085">
        <v>-32.353399999999901</v>
      </c>
      <c r="AD4085">
        <v>-1.1068096349779999</v>
      </c>
      <c r="AE4085">
        <v>-0.61020000000001995</v>
      </c>
      <c r="AF4085">
        <v>12.6105074014003</v>
      </c>
      <c r="AG4085">
        <v>-1.1068096349779999</v>
      </c>
      <c r="AH4085">
        <v>29.7597744674454</v>
      </c>
      <c r="AI4085">
        <v>91.961266104778502</v>
      </c>
      <c r="AJ4085">
        <v>67.035519419082107</v>
      </c>
      <c r="AK4085">
        <v>32.340286035254401</v>
      </c>
      <c r="AL4085">
        <v>91.217899762950694</v>
      </c>
      <c r="AM4085">
        <v>81.077332136441996</v>
      </c>
      <c r="AN4085">
        <v>0.99999999348512802</v>
      </c>
    </row>
    <row r="4086" spans="1:40" x14ac:dyDescent="0.25">
      <c r="A4086" t="str">
        <f>"20190312161049828"</f>
        <v>20190312161049828</v>
      </c>
      <c r="B4086" t="str">
        <f>"1552378249821067"</f>
        <v>1552378249821067</v>
      </c>
      <c r="C4086" t="s">
        <v>40</v>
      </c>
      <c r="D4086">
        <v>5.7511349999999997</v>
      </c>
      <c r="E4086">
        <v>0.59323669999999995</v>
      </c>
      <c r="F4086" t="s">
        <v>41</v>
      </c>
      <c r="G4086">
        <v>-235.32980000000001</v>
      </c>
      <c r="H4086" s="1">
        <v>-3.0660960000000001E-6</v>
      </c>
      <c r="I4086">
        <v>143.67619999999999</v>
      </c>
      <c r="J4086">
        <v>-206.39609999999999</v>
      </c>
      <c r="K4086">
        <v>1.10687</v>
      </c>
      <c r="L4086">
        <v>144.0975</v>
      </c>
      <c r="M4086">
        <v>-0.91606319999999997</v>
      </c>
      <c r="N4086">
        <v>0</v>
      </c>
      <c r="O4086">
        <v>-0.40076869999999998</v>
      </c>
      <c r="P4086">
        <v>-0.96668889999999996</v>
      </c>
      <c r="Q4086">
        <v>-3.5111589999999998E-2</v>
      </c>
      <c r="R4086">
        <v>-0.25353520000000002</v>
      </c>
      <c r="S4086">
        <v>-3.0911870000000001</v>
      </c>
      <c r="T4086">
        <v>-0.1175901</v>
      </c>
      <c r="U4086">
        <v>-5.1422120000000002E-2</v>
      </c>
      <c r="V4086">
        <v>0.15500029999999901</v>
      </c>
      <c r="W4086">
        <v>-2.2014720000000002E-2</v>
      </c>
      <c r="X4086">
        <v>0.98766909999999997</v>
      </c>
      <c r="Y4086">
        <v>0.384963</v>
      </c>
      <c r="Z4086">
        <v>2.2213219999999999E-2</v>
      </c>
      <c r="AA4086">
        <v>0.92266459999999995</v>
      </c>
      <c r="AB4086">
        <v>18</v>
      </c>
      <c r="AC4086">
        <v>-28.933700000000002</v>
      </c>
      <c r="AD4086">
        <v>-1.106873066096</v>
      </c>
      <c r="AE4086">
        <v>-0.42130000000000201</v>
      </c>
      <c r="AF4086">
        <v>11.194596421558799</v>
      </c>
      <c r="AG4086">
        <v>-1.106873066096</v>
      </c>
      <c r="AH4086">
        <v>26.637802683299601</v>
      </c>
      <c r="AI4086">
        <v>92.193780266879301</v>
      </c>
      <c r="AJ4086">
        <v>67.2053098742076</v>
      </c>
      <c r="AK4086">
        <v>28.915682402814401</v>
      </c>
      <c r="AL4086">
        <v>91.261452455588795</v>
      </c>
      <c r="AM4086">
        <v>81.081007140664994</v>
      </c>
      <c r="AN4086">
        <v>0.99999999599578904</v>
      </c>
    </row>
    <row r="4087" spans="1:40" x14ac:dyDescent="0.25">
      <c r="A4087" t="str">
        <f>"20190312161049851"</f>
        <v>20190312161049851</v>
      </c>
      <c r="B4087" t="str">
        <f>"1552378249840591"</f>
        <v>1552378249840591</v>
      </c>
      <c r="C4087" t="s">
        <v>40</v>
      </c>
      <c r="D4087">
        <v>5.710566</v>
      </c>
      <c r="E4087">
        <v>0.59255839999999904</v>
      </c>
      <c r="F4087" t="s">
        <v>41</v>
      </c>
      <c r="G4087">
        <v>-232.83799999999999</v>
      </c>
      <c r="H4087" s="1">
        <v>-4.0433699999999997E-6</v>
      </c>
      <c r="I4087">
        <v>143.74930000000001</v>
      </c>
      <c r="J4087">
        <v>-206.56319999999999</v>
      </c>
      <c r="K4087">
        <v>1.106914</v>
      </c>
      <c r="L4087">
        <v>144.0342</v>
      </c>
      <c r="M4087">
        <v>-0.91900190000000004</v>
      </c>
      <c r="N4087">
        <v>0</v>
      </c>
      <c r="O4087">
        <v>-0.393984</v>
      </c>
      <c r="P4087">
        <v>-0.96847620000000001</v>
      </c>
      <c r="Q4087">
        <v>-3.5032969999999997E-2</v>
      </c>
      <c r="R4087">
        <v>-0.2466305</v>
      </c>
      <c r="S4087">
        <v>-3.0880130000000001</v>
      </c>
      <c r="T4087">
        <v>-0.1292664</v>
      </c>
      <c r="U4087">
        <v>-4.066467E-2</v>
      </c>
      <c r="V4087">
        <v>0.15474939999999901</v>
      </c>
      <c r="W4087">
        <v>-2.1934309999999999E-2</v>
      </c>
      <c r="X4087">
        <v>0.98771019999999998</v>
      </c>
      <c r="Y4087">
        <v>0.38122620000000002</v>
      </c>
      <c r="Z4087">
        <v>2.4103340000000001E-2</v>
      </c>
      <c r="AA4087">
        <v>0.92416750000000003</v>
      </c>
      <c r="AB4087">
        <v>18</v>
      </c>
      <c r="AC4087">
        <v>-26.274799999999999</v>
      </c>
      <c r="AD4087">
        <v>-1.1069180433700001</v>
      </c>
      <c r="AE4087">
        <v>-0.28489999999999299</v>
      </c>
      <c r="AF4087">
        <v>10.0732214960144</v>
      </c>
      <c r="AG4087">
        <v>-1.1069180433700001</v>
      </c>
      <c r="AH4087">
        <v>24.218432325818</v>
      </c>
      <c r="AI4087">
        <v>92.416493071393404</v>
      </c>
      <c r="AJ4087">
        <v>67.416009872413596</v>
      </c>
      <c r="AK4087">
        <v>26.253143110544499</v>
      </c>
      <c r="AL4087">
        <v>91.256844228186907</v>
      </c>
      <c r="AM4087">
        <v>81.095577428664996</v>
      </c>
      <c r="AN4087">
        <v>0.99999996496978705</v>
      </c>
    </row>
    <row r="4088" spans="1:40" x14ac:dyDescent="0.25">
      <c r="A4088" t="str">
        <f>"20190312161049874"</f>
        <v>20190312161049874</v>
      </c>
      <c r="B4088" t="str">
        <f>"1552378249870374"</f>
        <v>1552378249870374</v>
      </c>
      <c r="C4088" t="s">
        <v>40</v>
      </c>
      <c r="D4088">
        <v>5.393052</v>
      </c>
      <c r="E4088">
        <v>0.57664380000000004</v>
      </c>
      <c r="F4088" t="s">
        <v>41</v>
      </c>
      <c r="G4088">
        <v>-232.76130000000001</v>
      </c>
      <c r="H4088" s="1">
        <v>-4.0840789999999996E-6</v>
      </c>
      <c r="I4088">
        <v>143.83160000000001</v>
      </c>
      <c r="J4088">
        <v>-206.7346</v>
      </c>
      <c r="K4088">
        <v>1.1069519999999999</v>
      </c>
      <c r="L4088">
        <v>143.97049999999999</v>
      </c>
      <c r="M4088">
        <v>-0.92192039999999997</v>
      </c>
      <c r="N4088">
        <v>0</v>
      </c>
      <c r="O4088">
        <v>-0.38710630000000001</v>
      </c>
      <c r="P4088">
        <v>-0.97019230000000001</v>
      </c>
      <c r="Q4088">
        <v>-3.5440609999999997E-2</v>
      </c>
      <c r="R4088">
        <v>-0.23973149999999999</v>
      </c>
      <c r="S4088">
        <v>-3.0868380000000002</v>
      </c>
      <c r="T4088">
        <v>-0.13042509999999999</v>
      </c>
      <c r="U4088">
        <v>-2.3864750000000001E-2</v>
      </c>
      <c r="V4088">
        <v>0.1543921</v>
      </c>
      <c r="W4088">
        <v>-2.2339500000000002E-2</v>
      </c>
      <c r="X4088">
        <v>0.98775710000000005</v>
      </c>
      <c r="Y4088">
        <v>0.37933840000000002</v>
      </c>
      <c r="Z4088">
        <v>2.4022490000000001E-2</v>
      </c>
      <c r="AA4088">
        <v>0.92494609999999999</v>
      </c>
      <c r="AB4088">
        <v>18</v>
      </c>
      <c r="AC4088">
        <v>-26.026700000000002</v>
      </c>
      <c r="AD4088">
        <v>-1.106956084079</v>
      </c>
      <c r="AE4088">
        <v>-0.13889999999997801</v>
      </c>
      <c r="AF4088">
        <v>9.9301343647907707</v>
      </c>
      <c r="AG4088">
        <v>-1.106956084079</v>
      </c>
      <c r="AH4088">
        <v>24.007431507791601</v>
      </c>
      <c r="AI4088">
        <v>92.439776291770698</v>
      </c>
      <c r="AJ4088">
        <v>67.528666325844696</v>
      </c>
      <c r="AK4088">
        <v>26.003647587909398</v>
      </c>
      <c r="AL4088">
        <v>91.2800655116922</v>
      </c>
      <c r="AM4088">
        <v>81.116223573705895</v>
      </c>
      <c r="AN4088">
        <v>1.00000003120153</v>
      </c>
    </row>
    <row r="4089" spans="1:40" x14ac:dyDescent="0.25">
      <c r="A4089" t="str">
        <f>"20190312161049896"</f>
        <v>20190312161049896</v>
      </c>
      <c r="B4089" t="str">
        <f>"1552378249890870"</f>
        <v>1552378249890870</v>
      </c>
      <c r="C4089" t="s">
        <v>40</v>
      </c>
      <c r="D4089">
        <v>5.4570639999999999</v>
      </c>
      <c r="E4089">
        <v>0.58470549999999999</v>
      </c>
      <c r="F4089" t="s">
        <v>41</v>
      </c>
      <c r="G4089">
        <v>-224.8605</v>
      </c>
      <c r="H4089" s="1">
        <v>-3.150273E-6</v>
      </c>
      <c r="I4089">
        <v>143.23599999999999</v>
      </c>
      <c r="J4089">
        <v>-206.9</v>
      </c>
      <c r="K4089">
        <v>1.107</v>
      </c>
      <c r="L4089">
        <v>143.91040000000001</v>
      </c>
      <c r="M4089">
        <v>-0.92464579999999996</v>
      </c>
      <c r="N4089">
        <v>0</v>
      </c>
      <c r="O4089">
        <v>-0.38055070000000002</v>
      </c>
      <c r="P4089">
        <v>-0.97177080000000005</v>
      </c>
      <c r="Q4089">
        <v>-3.5654749999999999E-2</v>
      </c>
      <c r="R4089">
        <v>-0.2332176</v>
      </c>
      <c r="S4089">
        <v>-3.0547789999999999</v>
      </c>
      <c r="T4089">
        <v>-0.18655679999999999</v>
      </c>
      <c r="U4089">
        <v>-0.12377929999999999</v>
      </c>
      <c r="V4089">
        <v>0.154003</v>
      </c>
      <c r="W4089">
        <v>-2.2548740000000001E-2</v>
      </c>
      <c r="X4089">
        <v>0.9878131</v>
      </c>
      <c r="Y4089">
        <v>0.34152880000000002</v>
      </c>
      <c r="Z4089">
        <v>3.3127810000000001E-2</v>
      </c>
      <c r="AA4089">
        <v>0.93928730000000005</v>
      </c>
      <c r="AB4089">
        <v>18</v>
      </c>
      <c r="AC4089">
        <v>-17.9604999999999</v>
      </c>
      <c r="AD4089">
        <v>-1.107003150273</v>
      </c>
      <c r="AE4089">
        <v>-0.67440000000001898</v>
      </c>
      <c r="AF4089">
        <v>6.1884795988143901</v>
      </c>
      <c r="AG4089">
        <v>-1.107003150273</v>
      </c>
      <c r="AH4089">
        <v>16.801787413617301</v>
      </c>
      <c r="AI4089">
        <v>93.537847389703899</v>
      </c>
      <c r="AJ4089">
        <v>69.780102762686894</v>
      </c>
      <c r="AK4089">
        <v>17.9394201693379</v>
      </c>
      <c r="AL4089">
        <v>91.292057082967204</v>
      </c>
      <c r="AM4089">
        <v>81.138751144893305</v>
      </c>
      <c r="AN4089">
        <v>1.0000000451080899</v>
      </c>
    </row>
    <row r="4090" spans="1:40" x14ac:dyDescent="0.25">
      <c r="A4090" t="str">
        <f>"20190312161049919"</f>
        <v>20190312161049919</v>
      </c>
      <c r="B4090" t="str">
        <f>"1552378249910390"</f>
        <v>1552378249910390</v>
      </c>
      <c r="C4090" t="s">
        <v>40</v>
      </c>
      <c r="D4090">
        <v>5.4752830000000001</v>
      </c>
      <c r="E4090">
        <v>0.58418429999999999</v>
      </c>
      <c r="F4090" t="s">
        <v>45</v>
      </c>
      <c r="G4090">
        <v>0</v>
      </c>
      <c r="H4090">
        <v>0</v>
      </c>
      <c r="I4090">
        <v>0</v>
      </c>
      <c r="J4090">
        <v>-207.07210000000001</v>
      </c>
      <c r="K4090">
        <v>1.107059</v>
      </c>
      <c r="L4090">
        <v>143.84899999999999</v>
      </c>
      <c r="M4090">
        <v>-0.9273922</v>
      </c>
      <c r="N4090">
        <v>0</v>
      </c>
      <c r="O4090">
        <v>-0.37380869999999999</v>
      </c>
      <c r="P4090">
        <v>-0.97331319999999999</v>
      </c>
      <c r="Q4090">
        <v>-3.5605230000000002E-2</v>
      </c>
      <c r="R4090">
        <v>-0.22670170000000001</v>
      </c>
      <c r="S4090">
        <v>-3.0774539999999999</v>
      </c>
      <c r="T4090">
        <v>3.8411260000000003E-2</v>
      </c>
      <c r="U4090">
        <v>-4.6310419999999998E-2</v>
      </c>
      <c r="V4090">
        <v>0.15343380000000001</v>
      </c>
      <c r="W4090">
        <v>-2.2489490000000001E-2</v>
      </c>
      <c r="X4090">
        <v>0.98790299999999998</v>
      </c>
      <c r="Y4090">
        <v>0.35979430000000001</v>
      </c>
      <c r="Z4090">
        <v>-6.8198809999999999E-3</v>
      </c>
      <c r="AA4090">
        <v>0.93300669999999997</v>
      </c>
      <c r="AB4090">
        <v>18</v>
      </c>
      <c r="AC4090">
        <v>-3.0774539999999999</v>
      </c>
      <c r="AD4090">
        <v>3.8411260000000003E-2</v>
      </c>
      <c r="AE4090">
        <v>-4.6310419999999998E-2</v>
      </c>
      <c r="AF4090">
        <v>1.10737540134427</v>
      </c>
      <c r="AG4090">
        <v>3.8411260000000003E-2</v>
      </c>
      <c r="AH4090">
        <v>2.8711735121872701</v>
      </c>
      <c r="AI4090">
        <v>89.284869118706396</v>
      </c>
      <c r="AJ4090">
        <v>68.909002236091396</v>
      </c>
      <c r="AK4090">
        <v>3.0775628411915399</v>
      </c>
      <c r="AL4090">
        <v>91.288661475876694</v>
      </c>
      <c r="AM4090">
        <v>81.171776453874301</v>
      </c>
      <c r="AN4090">
        <v>1.00000002277594</v>
      </c>
    </row>
    <row r="4091" spans="1:40" x14ac:dyDescent="0.25">
      <c r="A4091" t="str">
        <f>"20190312161049966"</f>
        <v>20190312161049966</v>
      </c>
      <c r="B4091" t="str">
        <f>"1552378249960674"</f>
        <v>1552378249960674</v>
      </c>
      <c r="C4091" t="s">
        <v>40</v>
      </c>
      <c r="D4091">
        <v>5.4978030000000002</v>
      </c>
      <c r="E4091">
        <v>0.57905509999999905</v>
      </c>
      <c r="F4091" t="s">
        <v>45</v>
      </c>
      <c r="G4091">
        <v>0</v>
      </c>
      <c r="H4091">
        <v>0</v>
      </c>
      <c r="I4091">
        <v>0</v>
      </c>
      <c r="J4091">
        <v>-207.41390000000001</v>
      </c>
      <c r="K4091">
        <v>1.107199</v>
      </c>
      <c r="L4091">
        <v>143.73099999999999</v>
      </c>
      <c r="M4091">
        <v>-0.93258490000000005</v>
      </c>
      <c r="N4091">
        <v>0</v>
      </c>
      <c r="O4091">
        <v>-0.36066029999999999</v>
      </c>
      <c r="P4091">
        <v>-0.97593379999999996</v>
      </c>
      <c r="Q4091">
        <v>-3.5332910000000002E-2</v>
      </c>
      <c r="R4091">
        <v>-0.21518609999999999</v>
      </c>
      <c r="S4091">
        <v>-3.0766450000000001</v>
      </c>
      <c r="T4091">
        <v>3.5926220000000002E-2</v>
      </c>
      <c r="U4091">
        <v>-2.970886E-2</v>
      </c>
      <c r="V4091">
        <v>0.1511527</v>
      </c>
      <c r="W4091">
        <v>-2.2180680000000001E-2</v>
      </c>
      <c r="X4091">
        <v>0.98826150000000001</v>
      </c>
      <c r="Y4091">
        <v>0.35162779999999999</v>
      </c>
      <c r="Z4091">
        <v>-6.1893529999999999E-3</v>
      </c>
      <c r="AA4091">
        <v>0.93611940000000005</v>
      </c>
      <c r="AB4091">
        <v>17</v>
      </c>
      <c r="AC4091">
        <v>-3.0766450000000001</v>
      </c>
      <c r="AD4091">
        <v>3.5926220000000002E-2</v>
      </c>
      <c r="AE4091">
        <v>-2.970886E-2</v>
      </c>
      <c r="AF4091">
        <v>1.0818835459185601</v>
      </c>
      <c r="AG4091">
        <v>3.5926220000000002E-2</v>
      </c>
      <c r="AH4091">
        <v>2.8798566295425201</v>
      </c>
      <c r="AI4091">
        <v>89.330923171499805</v>
      </c>
      <c r="AJ4091">
        <v>69.410170717849397</v>
      </c>
      <c r="AK4091">
        <v>3.0765787665738098</v>
      </c>
      <c r="AL4091">
        <v>91.270963635454905</v>
      </c>
      <c r="AM4091">
        <v>81.304110561802602</v>
      </c>
      <c r="AN4091">
        <v>0.99999995683239995</v>
      </c>
    </row>
    <row r="4092" spans="1:40" x14ac:dyDescent="0.25">
      <c r="A4092" t="str">
        <f>"20190312161049987"</f>
        <v>20190312161049987</v>
      </c>
      <c r="B4092" t="str">
        <f>"1552378249981170"</f>
        <v>1552378249981170</v>
      </c>
      <c r="C4092" t="s">
        <v>40</v>
      </c>
      <c r="D4092">
        <v>5.6680640000000002</v>
      </c>
      <c r="E4092">
        <v>0.57804909999999998</v>
      </c>
      <c r="F4092" t="s">
        <v>52</v>
      </c>
      <c r="G4092">
        <v>-838.75620000000004</v>
      </c>
      <c r="H4092">
        <v>-0.1</v>
      </c>
      <c r="I4092">
        <v>137.08070000000001</v>
      </c>
      <c r="J4092">
        <v>-207.58019999999999</v>
      </c>
      <c r="K4092">
        <v>1.1072660000000001</v>
      </c>
      <c r="L4092">
        <v>143.6754</v>
      </c>
      <c r="M4092">
        <v>-0.93499049999999995</v>
      </c>
      <c r="N4092">
        <v>0</v>
      </c>
      <c r="O4092">
        <v>-0.35437800000000003</v>
      </c>
      <c r="P4092">
        <v>-0.97717860000000001</v>
      </c>
      <c r="Q4092">
        <v>-3.4864249999999999E-2</v>
      </c>
      <c r="R4092">
        <v>-0.20953949999999999</v>
      </c>
      <c r="S4092">
        <v>-3.0666500000000001</v>
      </c>
      <c r="T4092">
        <v>-5.8637860000000002E-3</v>
      </c>
      <c r="U4092">
        <v>-3.2302860000000003E-2</v>
      </c>
      <c r="V4092">
        <v>0.15023120000000001</v>
      </c>
      <c r="W4092">
        <v>-2.1698390000000001E-2</v>
      </c>
      <c r="X4092">
        <v>0.98841270000000003</v>
      </c>
      <c r="Y4092">
        <v>0.34454479999999998</v>
      </c>
      <c r="Z4092">
        <v>9.9537610000000011E-4</v>
      </c>
      <c r="AA4092">
        <v>0.93876930000000003</v>
      </c>
      <c r="AB4092">
        <v>17</v>
      </c>
      <c r="AC4092">
        <v>-631.17599999999902</v>
      </c>
      <c r="AD4092">
        <v>-1.207266</v>
      </c>
      <c r="AE4092">
        <v>-6.59469999999998</v>
      </c>
      <c r="AF4092">
        <v>217.530843953866</v>
      </c>
      <c r="AG4092">
        <v>-1.207266</v>
      </c>
      <c r="AH4092">
        <v>592.54033618515302</v>
      </c>
      <c r="AI4092">
        <v>90.109585345371997</v>
      </c>
      <c r="AJ4092">
        <v>69.841022565623504</v>
      </c>
      <c r="AK4092">
        <v>631.20929616799003</v>
      </c>
      <c r="AL4092">
        <v>91.243323808621298</v>
      </c>
      <c r="AM4092">
        <v>81.357624081116398</v>
      </c>
      <c r="AN4092">
        <v>0.99999994955165905</v>
      </c>
    </row>
    <row r="4093" spans="1:40" x14ac:dyDescent="0.25">
      <c r="A4093" t="str">
        <f>"20190312161050008"</f>
        <v>20190312161050008</v>
      </c>
      <c r="B4093" t="str">
        <f>"1552378250000690"</f>
        <v>1552378250000690</v>
      </c>
      <c r="C4093" t="s">
        <v>40</v>
      </c>
      <c r="D4093">
        <v>5.5137029999999996</v>
      </c>
      <c r="E4093">
        <v>0.57636679999999996</v>
      </c>
      <c r="F4093" t="s">
        <v>45</v>
      </c>
      <c r="G4093">
        <v>0</v>
      </c>
      <c r="H4093">
        <v>0</v>
      </c>
      <c r="I4093">
        <v>0</v>
      </c>
      <c r="J4093">
        <v>-207.73910000000001</v>
      </c>
      <c r="K4093">
        <v>1.107308</v>
      </c>
      <c r="L4093">
        <v>143.6233</v>
      </c>
      <c r="M4093">
        <v>-0.93722539999999999</v>
      </c>
      <c r="N4093">
        <v>0</v>
      </c>
      <c r="O4093">
        <v>-0.34842489999999998</v>
      </c>
      <c r="P4093">
        <v>-0.97828479999999995</v>
      </c>
      <c r="Q4093">
        <v>-3.4682030000000003E-2</v>
      </c>
      <c r="R4093">
        <v>-0.204344</v>
      </c>
      <c r="S4093">
        <v>-3.0654140000000001</v>
      </c>
      <c r="T4093">
        <v>5.6000950000000002E-3</v>
      </c>
      <c r="U4093">
        <v>-2.267456E-2</v>
      </c>
      <c r="V4093">
        <v>0.14920369999999999</v>
      </c>
      <c r="W4093">
        <v>-2.1506529999999999E-2</v>
      </c>
      <c r="X4093">
        <v>0.98857260000000002</v>
      </c>
      <c r="Y4093">
        <v>0.34151749999999997</v>
      </c>
      <c r="Z4093">
        <v>-9.3802849999999999E-4</v>
      </c>
      <c r="AA4093">
        <v>0.93987489999999996</v>
      </c>
      <c r="AB4093">
        <v>17</v>
      </c>
      <c r="AC4093">
        <v>-3.0654140000000001</v>
      </c>
      <c r="AD4093">
        <v>5.6000950000000002E-3</v>
      </c>
      <c r="AE4093">
        <v>-2.267456E-2</v>
      </c>
      <c r="AF4093">
        <v>1.0469211191738299</v>
      </c>
      <c r="AG4093">
        <v>5.6000950000000002E-3</v>
      </c>
      <c r="AH4093">
        <v>2.88117520735566</v>
      </c>
      <c r="AI4093">
        <v>89.895331023888602</v>
      </c>
      <c r="AJ4093">
        <v>70.030576074743294</v>
      </c>
      <c r="AK4093">
        <v>3.0654927444567801</v>
      </c>
      <c r="AL4093">
        <v>91.232328374518104</v>
      </c>
      <c r="AM4093">
        <v>81.417217514010503</v>
      </c>
      <c r="AN4093">
        <v>1.0000000301985399</v>
      </c>
    </row>
    <row r="4094" spans="1:40" x14ac:dyDescent="0.25">
      <c r="A4094" t="str">
        <f>"20190312161050029"</f>
        <v>20190312161050029</v>
      </c>
      <c r="B4094" t="str">
        <f>"1552378250021186"</f>
        <v>1552378250021186</v>
      </c>
      <c r="C4094" t="s">
        <v>40</v>
      </c>
      <c r="D4094">
        <v>5.5683429999999996</v>
      </c>
      <c r="E4094">
        <v>0.57453330000000002</v>
      </c>
      <c r="F4094" t="s">
        <v>45</v>
      </c>
      <c r="G4094">
        <v>0</v>
      </c>
      <c r="H4094">
        <v>0</v>
      </c>
      <c r="I4094">
        <v>0</v>
      </c>
      <c r="J4094">
        <v>-207.9041</v>
      </c>
      <c r="K4094">
        <v>1.107343</v>
      </c>
      <c r="L4094">
        <v>143.5703</v>
      </c>
      <c r="M4094">
        <v>-0.93947499999999995</v>
      </c>
      <c r="N4094">
        <v>0</v>
      </c>
      <c r="O4094">
        <v>-0.3423138</v>
      </c>
      <c r="P4094">
        <v>-0.9792824</v>
      </c>
      <c r="Q4094">
        <v>-3.4513420000000003E-2</v>
      </c>
      <c r="R4094">
        <v>-0.19953699999999999</v>
      </c>
      <c r="S4094">
        <v>-3.0631870000000001</v>
      </c>
      <c r="T4094">
        <v>2.0114179999999999E-2</v>
      </c>
      <c r="U4094">
        <v>-1.9805909999999999E-2</v>
      </c>
      <c r="V4094">
        <v>0.14762600000000001</v>
      </c>
      <c r="W4094">
        <v>-2.132467E-2</v>
      </c>
      <c r="X4094">
        <v>0.98881330000000001</v>
      </c>
      <c r="Y4094">
        <v>0.33625290000000002</v>
      </c>
      <c r="Z4094">
        <v>-3.3162909999999999E-3</v>
      </c>
      <c r="AA4094">
        <v>0.94176590000000004</v>
      </c>
      <c r="AB4094">
        <v>17</v>
      </c>
      <c r="AC4094">
        <v>-3.0631870000000001</v>
      </c>
      <c r="AD4094">
        <v>2.0114179999999999E-2</v>
      </c>
      <c r="AE4094">
        <v>-1.9805909999999999E-2</v>
      </c>
      <c r="AF4094">
        <v>1.03002674016817</v>
      </c>
      <c r="AG4094">
        <v>2.0114179999999999E-2</v>
      </c>
      <c r="AH4094">
        <v>2.88474308690272</v>
      </c>
      <c r="AI4094">
        <v>89.623768755549705</v>
      </c>
      <c r="AJ4094">
        <v>70.350379804303898</v>
      </c>
      <c r="AK4094">
        <v>3.0631849998215199</v>
      </c>
      <c r="AL4094">
        <v>91.221906260108597</v>
      </c>
      <c r="AM4094">
        <v>81.508679749125406</v>
      </c>
      <c r="AN4094">
        <v>0.99999995984174805</v>
      </c>
    </row>
    <row r="4095" spans="1:40" x14ac:dyDescent="0.25">
      <c r="A4095" t="str">
        <f>"20190312161050052"</f>
        <v>20190312161050052</v>
      </c>
      <c r="B4095" t="str">
        <f>"1552378250040709"</f>
        <v>1552378250040709</v>
      </c>
      <c r="C4095" t="s">
        <v>40</v>
      </c>
      <c r="D4095">
        <v>5.6133280000000001</v>
      </c>
      <c r="E4095">
        <v>0.57233769999999995</v>
      </c>
      <c r="F4095" t="s">
        <v>45</v>
      </c>
      <c r="G4095">
        <v>0</v>
      </c>
      <c r="H4095">
        <v>0</v>
      </c>
      <c r="I4095">
        <v>0</v>
      </c>
      <c r="J4095">
        <v>-208.0744</v>
      </c>
      <c r="K4095">
        <v>1.1073900000000001</v>
      </c>
      <c r="L4095">
        <v>143.51679999999999</v>
      </c>
      <c r="M4095">
        <v>-0.94172029999999995</v>
      </c>
      <c r="N4095">
        <v>0</v>
      </c>
      <c r="O4095">
        <v>-0.33608830000000001</v>
      </c>
      <c r="P4095">
        <v>-0.9803115</v>
      </c>
      <c r="Q4095">
        <v>-3.44941E-2</v>
      </c>
      <c r="R4095">
        <v>-0.1944217</v>
      </c>
      <c r="S4095">
        <v>-3.0606689999999999</v>
      </c>
      <c r="T4095">
        <v>3.377032E-2</v>
      </c>
      <c r="U4095">
        <v>-1.9622799999999999E-2</v>
      </c>
      <c r="V4095">
        <v>0.1462465</v>
      </c>
      <c r="W4095">
        <v>-2.1293050000000001E-2</v>
      </c>
      <c r="X4095">
        <v>0.98901899999999998</v>
      </c>
      <c r="Y4095">
        <v>0.3300382</v>
      </c>
      <c r="Z4095">
        <v>-5.4726410000000003E-3</v>
      </c>
      <c r="AA4095">
        <v>0.94395169999999995</v>
      </c>
      <c r="AB4095">
        <v>17</v>
      </c>
      <c r="AC4095">
        <v>-3.0606689999999999</v>
      </c>
      <c r="AD4095">
        <v>3.377032E-2</v>
      </c>
      <c r="AE4095">
        <v>-1.9622799999999999E-2</v>
      </c>
      <c r="AF4095">
        <v>1.0101577170063401</v>
      </c>
      <c r="AG4095">
        <v>3.377032E-2</v>
      </c>
      <c r="AH4095">
        <v>2.8888372602167198</v>
      </c>
      <c r="AI4095">
        <v>89.367780688232003</v>
      </c>
      <c r="AJ4095">
        <v>70.726481736885503</v>
      </c>
      <c r="AK4095">
        <v>3.06054566438026</v>
      </c>
      <c r="AL4095">
        <v>91.2200940978137</v>
      </c>
      <c r="AM4095">
        <v>81.588611290261497</v>
      </c>
      <c r="AN4095">
        <v>1.00000000755077</v>
      </c>
    </row>
    <row r="4096" spans="1:40" x14ac:dyDescent="0.25">
      <c r="A4096" t="str">
        <f>"20190312161050074"</f>
        <v>20190312161050074</v>
      </c>
      <c r="B4096" t="str">
        <f>"1552378250070367"</f>
        <v>1552378250070367</v>
      </c>
      <c r="C4096" t="s">
        <v>40</v>
      </c>
      <c r="D4096">
        <v>5.7106820000000003</v>
      </c>
      <c r="E4096">
        <v>0.54980119999999999</v>
      </c>
      <c r="F4096" t="s">
        <v>45</v>
      </c>
      <c r="G4096">
        <v>0</v>
      </c>
      <c r="H4096">
        <v>0</v>
      </c>
      <c r="I4096">
        <v>0</v>
      </c>
      <c r="J4096">
        <v>-208.23410000000001</v>
      </c>
      <c r="K4096">
        <v>1.107448</v>
      </c>
      <c r="L4096">
        <v>143.46770000000001</v>
      </c>
      <c r="M4096">
        <v>-0.94375830000000005</v>
      </c>
      <c r="N4096">
        <v>0</v>
      </c>
      <c r="O4096">
        <v>-0.33032309999999998</v>
      </c>
      <c r="P4096">
        <v>-0.98130850000000003</v>
      </c>
      <c r="Q4096">
        <v>-3.3949229999999997E-2</v>
      </c>
      <c r="R4096">
        <v>-0.18942419999999999</v>
      </c>
      <c r="S4096">
        <v>-3.0574650000000001</v>
      </c>
      <c r="T4096">
        <v>3.7958739999999998E-2</v>
      </c>
      <c r="U4096">
        <v>-2.081299E-2</v>
      </c>
      <c r="V4096">
        <v>0.1452503</v>
      </c>
      <c r="W4096">
        <v>-2.0736950000000001E-2</v>
      </c>
      <c r="X4096">
        <v>0.98917759999999999</v>
      </c>
      <c r="Y4096">
        <v>0.32387510000000003</v>
      </c>
      <c r="Z4096">
        <v>-6.0512049999999996E-3</v>
      </c>
      <c r="AA4096">
        <v>0.94608049999999999</v>
      </c>
      <c r="AB4096">
        <v>17</v>
      </c>
      <c r="AC4096">
        <v>-3.0574650000000001</v>
      </c>
      <c r="AD4096">
        <v>3.7958739999999998E-2</v>
      </c>
      <c r="AE4096">
        <v>-2.081299E-2</v>
      </c>
      <c r="AF4096">
        <v>0.99025873231305095</v>
      </c>
      <c r="AG4096">
        <v>3.7958739999999998E-2</v>
      </c>
      <c r="AH4096">
        <v>2.89223650209756</v>
      </c>
      <c r="AI4096">
        <v>89.288610455250193</v>
      </c>
      <c r="AJ4096">
        <v>71.099559420056906</v>
      </c>
      <c r="AK4096">
        <v>3.0573003135004799</v>
      </c>
      <c r="AL4096">
        <v>91.1882248885656</v>
      </c>
      <c r="AM4096">
        <v>81.646417072570699</v>
      </c>
      <c r="AN4096">
        <v>0.99999999754357605</v>
      </c>
    </row>
    <row r="4097" spans="1:40" x14ac:dyDescent="0.25">
      <c r="A4097" t="str">
        <f>"20190312161050097"</f>
        <v>20190312161050097</v>
      </c>
      <c r="B4097" t="str">
        <f>"1552378250090863"</f>
        <v>1552378250090863</v>
      </c>
      <c r="C4097" t="s">
        <v>40</v>
      </c>
      <c r="D4097">
        <v>5.5892400000000002</v>
      </c>
      <c r="E4097">
        <v>0.5497687</v>
      </c>
      <c r="F4097" t="s">
        <v>45</v>
      </c>
      <c r="G4097">
        <v>0</v>
      </c>
      <c r="H4097">
        <v>0</v>
      </c>
      <c r="I4097">
        <v>0</v>
      </c>
      <c r="J4097">
        <v>-208.4034</v>
      </c>
      <c r="K4097">
        <v>1.107507</v>
      </c>
      <c r="L4097">
        <v>143.41659999999999</v>
      </c>
      <c r="M4097">
        <v>-0.94585339999999996</v>
      </c>
      <c r="N4097">
        <v>0</v>
      </c>
      <c r="O4097">
        <v>-0.32427600000000001</v>
      </c>
      <c r="P4097">
        <v>-0.98229239999999995</v>
      </c>
      <c r="Q4097">
        <v>-3.3151729999999997E-2</v>
      </c>
      <c r="R4097">
        <v>-0.18439920000000001</v>
      </c>
      <c r="S4097">
        <v>-3.024994</v>
      </c>
      <c r="T4097">
        <v>8.9790110000000006E-2</v>
      </c>
      <c r="U4097">
        <v>-0.18269350000000001</v>
      </c>
      <c r="V4097">
        <v>0.14399979999999901</v>
      </c>
      <c r="W4097">
        <v>-1.9923360000000001E-2</v>
      </c>
      <c r="X4097">
        <v>0.98937710000000001</v>
      </c>
      <c r="Y4097">
        <v>0.26643909999999998</v>
      </c>
      <c r="Z4097">
        <v>-1.3408430000000001E-2</v>
      </c>
      <c r="AA4097">
        <v>0.96375849999999996</v>
      </c>
      <c r="AB4097">
        <v>17</v>
      </c>
      <c r="AC4097">
        <v>-3.024994</v>
      </c>
      <c r="AD4097">
        <v>8.9790110000000006E-2</v>
      </c>
      <c r="AE4097">
        <v>-0.18269350000000001</v>
      </c>
      <c r="AF4097">
        <v>0.80750622715592901</v>
      </c>
      <c r="AG4097">
        <v>8.9790110000000006E-2</v>
      </c>
      <c r="AH4097">
        <v>2.9181836796609901</v>
      </c>
      <c r="AI4097">
        <v>88.301405017470998</v>
      </c>
      <c r="AJ4097">
        <v>74.532416434697893</v>
      </c>
      <c r="AK4097">
        <v>3.0291788588641002</v>
      </c>
      <c r="AL4097">
        <v>91.141600015432402</v>
      </c>
      <c r="AM4097">
        <v>81.718980347904093</v>
      </c>
      <c r="AN4097">
        <v>0.99999996433906901</v>
      </c>
    </row>
    <row r="4098" spans="1:40" x14ac:dyDescent="0.25">
      <c r="A4098" t="str">
        <f>"20190312161050120"</f>
        <v>20190312161050120</v>
      </c>
      <c r="B4098" t="str">
        <f>"1552378250110385"</f>
        <v>1552378250110385</v>
      </c>
      <c r="C4098" t="s">
        <v>40</v>
      </c>
      <c r="D4098">
        <v>5.5827730000000004</v>
      </c>
      <c r="E4098">
        <v>0.548896099999999</v>
      </c>
      <c r="F4098" t="s">
        <v>45</v>
      </c>
      <c r="G4098">
        <v>0</v>
      </c>
      <c r="H4098">
        <v>0</v>
      </c>
      <c r="I4098">
        <v>0</v>
      </c>
      <c r="J4098">
        <v>-208.57339999999999</v>
      </c>
      <c r="K4098">
        <v>1.1075699999999999</v>
      </c>
      <c r="L4098">
        <v>143.3663</v>
      </c>
      <c r="M4098">
        <v>-0.94788839999999996</v>
      </c>
      <c r="N4098">
        <v>0</v>
      </c>
      <c r="O4098">
        <v>-0.31827909999999998</v>
      </c>
      <c r="P4098">
        <v>-0.98317900000000003</v>
      </c>
      <c r="Q4098">
        <v>-3.241865E-2</v>
      </c>
      <c r="R4098">
        <v>-0.17974560000000001</v>
      </c>
      <c r="S4098">
        <v>-3.025604</v>
      </c>
      <c r="T4098">
        <v>8.7111830000000001E-2</v>
      </c>
      <c r="U4098">
        <v>-0.1674042</v>
      </c>
      <c r="V4098">
        <v>0.14243499999999901</v>
      </c>
      <c r="W4098">
        <v>-1.9170340000000001E-2</v>
      </c>
      <c r="X4098">
        <v>0.98961849999999996</v>
      </c>
      <c r="Y4098">
        <v>0.26521810000000001</v>
      </c>
      <c r="Z4098">
        <v>-1.282782E-2</v>
      </c>
      <c r="AA4098">
        <v>0.96410309999999999</v>
      </c>
      <c r="AB4098">
        <v>17</v>
      </c>
      <c r="AC4098">
        <v>-3.025604</v>
      </c>
      <c r="AD4098">
        <v>8.7111830000000001E-2</v>
      </c>
      <c r="AE4098">
        <v>-0.1674042</v>
      </c>
      <c r="AF4098">
        <v>0.80372465647038105</v>
      </c>
      <c r="AG4098">
        <v>8.7111830000000001E-2</v>
      </c>
      <c r="AH4098">
        <v>2.9191047015967402</v>
      </c>
      <c r="AI4098">
        <v>88.351978346688796</v>
      </c>
      <c r="AJ4098">
        <v>74.606034070863004</v>
      </c>
      <c r="AK4098">
        <v>3.02898234614013</v>
      </c>
      <c r="AL4098">
        <v>91.098446857380395</v>
      </c>
      <c r="AM4098">
        <v>81.809710782470603</v>
      </c>
      <c r="AN4098">
        <v>1.00000000335148</v>
      </c>
    </row>
    <row r="4099" spans="1:40" x14ac:dyDescent="0.25">
      <c r="A4099" t="str">
        <f>"20190312161050142"</f>
        <v>20190312161050142</v>
      </c>
      <c r="B4099" t="str">
        <f>"1552378250130879"</f>
        <v>1552378250130879</v>
      </c>
      <c r="C4099" t="s">
        <v>40</v>
      </c>
      <c r="D4099">
        <v>5.5792339999999996</v>
      </c>
      <c r="E4099">
        <v>0.55766249999999995</v>
      </c>
      <c r="F4099" t="s">
        <v>45</v>
      </c>
      <c r="G4099">
        <v>0</v>
      </c>
      <c r="H4099">
        <v>0</v>
      </c>
      <c r="I4099">
        <v>0</v>
      </c>
      <c r="J4099">
        <v>-208.73750000000001</v>
      </c>
      <c r="K4099">
        <v>1.1076349999999999</v>
      </c>
      <c r="L4099">
        <v>143.31890000000001</v>
      </c>
      <c r="M4099">
        <v>-0.94978819999999997</v>
      </c>
      <c r="N4099">
        <v>0</v>
      </c>
      <c r="O4099">
        <v>-0.31256460000000003</v>
      </c>
      <c r="P4099">
        <v>-0.98400279999999996</v>
      </c>
      <c r="Q4099">
        <v>-3.2105990000000001E-2</v>
      </c>
      <c r="R4099">
        <v>-0.1752367</v>
      </c>
      <c r="S4099">
        <v>-3.025299</v>
      </c>
      <c r="T4099">
        <v>9.7781300000000002E-2</v>
      </c>
      <c r="U4099">
        <v>-0.16004939999999901</v>
      </c>
      <c r="V4099">
        <v>0.141019799999999</v>
      </c>
      <c r="W4099">
        <v>-1.8839910000000001E-2</v>
      </c>
      <c r="X4099">
        <v>0.98982749999999997</v>
      </c>
      <c r="Y4099">
        <v>0.26168439999999998</v>
      </c>
      <c r="Z4099">
        <v>-1.416825E-2</v>
      </c>
      <c r="AA4099">
        <v>0.9650495</v>
      </c>
      <c r="AB4099">
        <v>17</v>
      </c>
      <c r="AC4099">
        <v>-3.025299</v>
      </c>
      <c r="AD4099">
        <v>9.7781300000000002E-2</v>
      </c>
      <c r="AE4099">
        <v>-0.16004939999999901</v>
      </c>
      <c r="AF4099">
        <v>0.79284405077716402</v>
      </c>
      <c r="AG4099">
        <v>9.7781300000000002E-2</v>
      </c>
      <c r="AH4099">
        <v>2.9206772562551402</v>
      </c>
      <c r="AI4099">
        <v>88.149434899669501</v>
      </c>
      <c r="AJ4099">
        <v>74.812540350642095</v>
      </c>
      <c r="AK4099">
        <v>3.02795615996805</v>
      </c>
      <c r="AL4099">
        <v>91.079511193295403</v>
      </c>
      <c r="AM4099">
        <v>81.891689258911896</v>
      </c>
      <c r="AN4099">
        <v>1.0000000029785401</v>
      </c>
    </row>
    <row r="4100" spans="1:40" x14ac:dyDescent="0.25">
      <c r="A4100" t="str">
        <f>"20190312161050166"</f>
        <v>20190312161050166</v>
      </c>
      <c r="B4100" t="str">
        <f>"1552378250161135"</f>
        <v>1552378250161135</v>
      </c>
      <c r="C4100" t="s">
        <v>40</v>
      </c>
      <c r="D4100">
        <v>5.6207099999999999</v>
      </c>
      <c r="E4100">
        <v>0.55552939999999995</v>
      </c>
      <c r="F4100" t="s">
        <v>41</v>
      </c>
      <c r="G4100">
        <v>-248.49690000000001</v>
      </c>
      <c r="H4100" s="1">
        <v>-1.35721E-6</v>
      </c>
      <c r="I4100">
        <v>142.36009999999999</v>
      </c>
      <c r="J4100">
        <v>-208.91229999999999</v>
      </c>
      <c r="K4100">
        <v>1.1076859999999999</v>
      </c>
      <c r="L4100">
        <v>143.26939999999999</v>
      </c>
      <c r="M4100">
        <v>-0.95174190000000003</v>
      </c>
      <c r="N4100">
        <v>0</v>
      </c>
      <c r="O4100">
        <v>-0.30656460000000002</v>
      </c>
      <c r="P4100">
        <v>-0.98493900000000001</v>
      </c>
      <c r="Q4100">
        <v>-3.2032560000000002E-2</v>
      </c>
      <c r="R4100">
        <v>-0.169909</v>
      </c>
      <c r="S4100">
        <v>-3.03302</v>
      </c>
      <c r="T4100">
        <v>-8.4495189999999998E-2</v>
      </c>
      <c r="U4100">
        <v>-7.313538E-2</v>
      </c>
      <c r="V4100">
        <v>0.1401338</v>
      </c>
      <c r="W4100">
        <v>-1.8755029999999999E-2</v>
      </c>
      <c r="X4100">
        <v>0.98995489999999997</v>
      </c>
      <c r="Y4100">
        <v>0.28333649999999999</v>
      </c>
      <c r="Z4100">
        <v>1.237048E-2</v>
      </c>
      <c r="AA4100">
        <v>0.95894069999999998</v>
      </c>
      <c r="AB4100">
        <v>17</v>
      </c>
      <c r="AC4100">
        <v>-39.584600000000002</v>
      </c>
      <c r="AD4100">
        <v>-1.1076873572099999</v>
      </c>
      <c r="AE4100">
        <v>-0.909300000000001</v>
      </c>
      <c r="AF4100">
        <v>11.262162287418599</v>
      </c>
      <c r="AG4100">
        <v>-1.1076873572099999</v>
      </c>
      <c r="AH4100">
        <v>37.9272991322213</v>
      </c>
      <c r="AI4100">
        <v>91.603708162216606</v>
      </c>
      <c r="AJ4100">
        <v>73.461697862433894</v>
      </c>
      <c r="AK4100">
        <v>39.579581732687302</v>
      </c>
      <c r="AL4100">
        <v>91.074647105120604</v>
      </c>
      <c r="AM4100">
        <v>81.942984426976906</v>
      </c>
      <c r="AN4100">
        <v>0.99999996854337403</v>
      </c>
    </row>
    <row r="4101" spans="1:40" x14ac:dyDescent="0.25">
      <c r="A4101" t="str">
        <f>"20190312161050188"</f>
        <v>20190312161050188</v>
      </c>
      <c r="B4101" t="str">
        <f>"1552378250180655"</f>
        <v>1552378250180655</v>
      </c>
      <c r="C4101" t="s">
        <v>40</v>
      </c>
      <c r="D4101">
        <v>5.6033730000000004</v>
      </c>
      <c r="E4101">
        <v>0.55069299999999999</v>
      </c>
      <c r="F4101" t="s">
        <v>45</v>
      </c>
      <c r="G4101">
        <v>0</v>
      </c>
      <c r="H4101">
        <v>0</v>
      </c>
      <c r="I4101">
        <v>0</v>
      </c>
      <c r="J4101">
        <v>-209.08320000000001</v>
      </c>
      <c r="K4101">
        <v>1.107734</v>
      </c>
      <c r="L4101">
        <v>143.22200000000001</v>
      </c>
      <c r="M4101">
        <v>-0.95358330000000002</v>
      </c>
      <c r="N4101">
        <v>0</v>
      </c>
      <c r="O4101">
        <v>-0.30078880000000002</v>
      </c>
      <c r="P4101">
        <v>-0.98578169999999998</v>
      </c>
      <c r="Q4101">
        <v>-3.2816310000000001E-2</v>
      </c>
      <c r="R4101">
        <v>-0.164795</v>
      </c>
      <c r="S4101">
        <v>-3.0333860000000001</v>
      </c>
      <c r="T4101">
        <v>1.822031E-2</v>
      </c>
      <c r="U4101">
        <v>-7.5759889999999996E-2</v>
      </c>
      <c r="V4101">
        <v>0.1392592</v>
      </c>
      <c r="W4101">
        <v>-1.9530349999999998E-2</v>
      </c>
      <c r="X4101">
        <v>0.99006340000000004</v>
      </c>
      <c r="Y4101">
        <v>0.2769046</v>
      </c>
      <c r="Z4101">
        <v>-2.614983E-3</v>
      </c>
      <c r="AA4101">
        <v>0.96089389999999997</v>
      </c>
      <c r="AB4101">
        <v>17</v>
      </c>
      <c r="AC4101">
        <v>-3.0333860000000001</v>
      </c>
      <c r="AD4101">
        <v>1.822031E-2</v>
      </c>
      <c r="AE4101">
        <v>-7.5759889999999996E-2</v>
      </c>
      <c r="AF4101">
        <v>0.84022099843734199</v>
      </c>
      <c r="AG4101">
        <v>1.822031E-2</v>
      </c>
      <c r="AH4101">
        <v>2.9155676867857601</v>
      </c>
      <c r="AI4101">
        <v>89.655946684196806</v>
      </c>
      <c r="AJ4101">
        <v>73.923846100896696</v>
      </c>
      <c r="AK4101">
        <v>3.03427721906565</v>
      </c>
      <c r="AL4101">
        <v>91.119077724222393</v>
      </c>
      <c r="AM4101">
        <v>81.993481619152206</v>
      </c>
      <c r="AN4101">
        <v>1.00000004768766</v>
      </c>
    </row>
    <row r="4102" spans="1:40" x14ac:dyDescent="0.25">
      <c r="A4102" t="str">
        <f>"20190312161050233"</f>
        <v>20190312161050233</v>
      </c>
      <c r="B4102" t="str">
        <f>"1552378250230430"</f>
        <v>1552378250230430</v>
      </c>
      <c r="C4102" t="s">
        <v>40</v>
      </c>
      <c r="D4102">
        <v>5.5840829999999997</v>
      </c>
      <c r="E4102">
        <v>0.54992790000000003</v>
      </c>
      <c r="F4102" t="s">
        <v>41</v>
      </c>
      <c r="G4102">
        <v>-255.113</v>
      </c>
      <c r="H4102" s="1">
        <v>-2.648972E-6</v>
      </c>
      <c r="I4102">
        <v>141.75909999999999</v>
      </c>
      <c r="J4102">
        <v>-209.41050000000001</v>
      </c>
      <c r="K4102">
        <v>1.1078049999999999</v>
      </c>
      <c r="L4102">
        <v>143.13419999999999</v>
      </c>
      <c r="M4102">
        <v>-0.9569491</v>
      </c>
      <c r="N4102">
        <v>0</v>
      </c>
      <c r="O4102">
        <v>-0.289904</v>
      </c>
      <c r="P4102">
        <v>-0.98745720000000003</v>
      </c>
      <c r="Q4102">
        <v>-3.3088939999999997E-2</v>
      </c>
      <c r="R4102">
        <v>-0.15438060000000001</v>
      </c>
      <c r="S4102">
        <v>-3.0247649999999999</v>
      </c>
      <c r="T4102">
        <v>-7.2792889999999999E-2</v>
      </c>
      <c r="U4102">
        <v>-9.6130370000000007E-2</v>
      </c>
      <c r="V4102">
        <v>0.13842769999999999</v>
      </c>
      <c r="W4102">
        <v>-1.9799819999999999E-2</v>
      </c>
      <c r="X4102">
        <v>0.99017460000000002</v>
      </c>
      <c r="Y4102">
        <v>0.25923000000000002</v>
      </c>
      <c r="Z4102">
        <v>1.000814E-2</v>
      </c>
      <c r="AA4102">
        <v>0.9657637</v>
      </c>
      <c r="AB4102">
        <v>17</v>
      </c>
      <c r="AC4102">
        <v>-45.702499999999901</v>
      </c>
      <c r="AD4102">
        <v>-1.1078076489719999</v>
      </c>
      <c r="AE4102">
        <v>-1.3751</v>
      </c>
      <c r="AF4102">
        <v>11.9276529733798</v>
      </c>
      <c r="AG4102">
        <v>-1.1078076489719999</v>
      </c>
      <c r="AH4102">
        <v>44.1122226236212</v>
      </c>
      <c r="AI4102">
        <v>91.388738097429794</v>
      </c>
      <c r="AJ4102">
        <v>74.869419396984597</v>
      </c>
      <c r="AK4102">
        <v>45.709783723360701</v>
      </c>
      <c r="AL4102">
        <v>91.1345202578525</v>
      </c>
      <c r="AM4102">
        <v>82.041555521879701</v>
      </c>
      <c r="AN4102">
        <v>0.99999999974224096</v>
      </c>
    </row>
    <row r="4103" spans="1:40" x14ac:dyDescent="0.25">
      <c r="A4103" t="str">
        <f>"20190312161050256"</f>
        <v>20190312161050256</v>
      </c>
      <c r="B4103" t="str">
        <f>"1552378250250928"</f>
        <v>1552378250250928</v>
      </c>
      <c r="C4103" t="s">
        <v>40</v>
      </c>
      <c r="D4103">
        <v>5.6021150000000004</v>
      </c>
      <c r="E4103">
        <v>0.54955269999999901</v>
      </c>
      <c r="F4103" t="s">
        <v>41</v>
      </c>
      <c r="G4103">
        <v>-246.6703</v>
      </c>
      <c r="H4103" s="1">
        <v>-2.1176580000000002E-6</v>
      </c>
      <c r="I4103">
        <v>142.2731</v>
      </c>
      <c r="J4103">
        <v>-209.58260000000001</v>
      </c>
      <c r="K4103">
        <v>1.107845</v>
      </c>
      <c r="L4103">
        <v>143.08949999999999</v>
      </c>
      <c r="M4103">
        <v>-0.95863960000000004</v>
      </c>
      <c r="N4103">
        <v>0</v>
      </c>
      <c r="O4103">
        <v>-0.28426509999999999</v>
      </c>
      <c r="P4103">
        <v>-0.98827209999999999</v>
      </c>
      <c r="Q4103">
        <v>-3.243977E-2</v>
      </c>
      <c r="R4103">
        <v>-0.14921799999999999</v>
      </c>
      <c r="S4103">
        <v>-3.0241549999999999</v>
      </c>
      <c r="T4103">
        <v>-8.9914079999999993E-2</v>
      </c>
      <c r="U4103">
        <v>-6.9885249999999996E-2</v>
      </c>
      <c r="V4103">
        <v>0.13778460000000001</v>
      </c>
      <c r="W4103">
        <v>-1.9147709999999998E-2</v>
      </c>
      <c r="X4103">
        <v>0.99027710000000002</v>
      </c>
      <c r="Y4103">
        <v>0.26183040000000002</v>
      </c>
      <c r="Z4103">
        <v>1.2244680000000001E-2</v>
      </c>
      <c r="AA4103">
        <v>0.96503620000000001</v>
      </c>
      <c r="AB4103">
        <v>17</v>
      </c>
      <c r="AC4103">
        <v>-37.087699999999899</v>
      </c>
      <c r="AD4103">
        <v>-1.107847117658</v>
      </c>
      <c r="AE4103">
        <v>-0.81639999999998702</v>
      </c>
      <c r="AF4103">
        <v>9.7524008451169895</v>
      </c>
      <c r="AG4103">
        <v>-1.107847117658</v>
      </c>
      <c r="AH4103">
        <v>35.757562939688803</v>
      </c>
      <c r="AI4103">
        <v>91.712084639269307</v>
      </c>
      <c r="AJ4103">
        <v>74.744376866067498</v>
      </c>
      <c r="AK4103">
        <v>37.080182778213803</v>
      </c>
      <c r="AL4103">
        <v>91.097150038419798</v>
      </c>
      <c r="AM4103">
        <v>82.078867519597395</v>
      </c>
      <c r="AN4103">
        <v>0.99999998278990598</v>
      </c>
    </row>
    <row r="4104" spans="1:40" x14ac:dyDescent="0.25">
      <c r="A4104" t="str">
        <f>"20190312161050276"</f>
        <v>20190312161050276</v>
      </c>
      <c r="B4104" t="str">
        <f>"1552378250270447"</f>
        <v>1552378250270447</v>
      </c>
      <c r="C4104" t="s">
        <v>40</v>
      </c>
      <c r="D4104">
        <v>5.5784649999999996</v>
      </c>
      <c r="E4104">
        <v>0.54869499999999904</v>
      </c>
      <c r="F4104" t="s">
        <v>41</v>
      </c>
      <c r="G4104">
        <v>-248.15989999999999</v>
      </c>
      <c r="H4104" s="1">
        <v>-1.5021350000000001E-6</v>
      </c>
      <c r="I4104">
        <v>142.36150000000001</v>
      </c>
      <c r="J4104">
        <v>-209.73500000000001</v>
      </c>
      <c r="K4104">
        <v>1.1078730000000001</v>
      </c>
      <c r="L4104">
        <v>143.05080000000001</v>
      </c>
      <c r="M4104">
        <v>-0.96009359999999999</v>
      </c>
      <c r="N4104">
        <v>0</v>
      </c>
      <c r="O4104">
        <v>-0.27931519999999999</v>
      </c>
      <c r="P4104">
        <v>-0.98905699999999996</v>
      </c>
      <c r="Q4104">
        <v>-3.2670369999999997E-2</v>
      </c>
      <c r="R4104">
        <v>-0.14387239999999901</v>
      </c>
      <c r="S4104">
        <v>-3.024124</v>
      </c>
      <c r="T4104">
        <v>-8.6845399999999906E-2</v>
      </c>
      <c r="U4104">
        <v>-5.706787E-2</v>
      </c>
      <c r="V4104">
        <v>0.13802719999999999</v>
      </c>
      <c r="W4104">
        <v>-1.938171E-2</v>
      </c>
      <c r="X4104">
        <v>0.99023879999999997</v>
      </c>
      <c r="Y4104">
        <v>0.26095740000000001</v>
      </c>
      <c r="Z4104">
        <v>1.1678890000000001E-2</v>
      </c>
      <c r="AA4104">
        <v>0.96527960000000002</v>
      </c>
      <c r="AB4104">
        <v>17</v>
      </c>
      <c r="AC4104">
        <v>-38.424899999999901</v>
      </c>
      <c r="AD4104">
        <v>-1.1078745021349901</v>
      </c>
      <c r="AE4104">
        <v>-0.68930000000000202</v>
      </c>
      <c r="AF4104">
        <v>10.0635268835891</v>
      </c>
      <c r="AG4104">
        <v>-1.1078745021349901</v>
      </c>
      <c r="AH4104">
        <v>37.057007244638697</v>
      </c>
      <c r="AI4104">
        <v>91.652611943102201</v>
      </c>
      <c r="AJ4104">
        <v>74.806679962373295</v>
      </c>
      <c r="AK4104">
        <v>38.415149943458601</v>
      </c>
      <c r="AL4104">
        <v>91.110559698549395</v>
      </c>
      <c r="AM4104">
        <v>82.064795129967607</v>
      </c>
      <c r="AN4104">
        <v>1.0000000198239001</v>
      </c>
    </row>
    <row r="4105" spans="1:40" x14ac:dyDescent="0.25">
      <c r="A4105" t="str">
        <f>"20190312161050298"</f>
        <v>20190312161050298</v>
      </c>
      <c r="B4105" t="str">
        <f>"1552378250290944"</f>
        <v>1552378250290944</v>
      </c>
      <c r="C4105" t="s">
        <v>40</v>
      </c>
      <c r="D4105">
        <v>5.7406290000000002</v>
      </c>
      <c r="E4105">
        <v>0.54868229999999996</v>
      </c>
      <c r="F4105" t="s">
        <v>41</v>
      </c>
      <c r="G4105">
        <v>-245.33709999999999</v>
      </c>
      <c r="H4105" s="1">
        <v>-2.7479349999999999E-6</v>
      </c>
      <c r="I4105">
        <v>142.4924</v>
      </c>
      <c r="J4105">
        <v>-209.898</v>
      </c>
      <c r="K4105">
        <v>1.107909</v>
      </c>
      <c r="L4105">
        <v>143.0102</v>
      </c>
      <c r="M4105">
        <v>-0.96160009999999996</v>
      </c>
      <c r="N4105">
        <v>0</v>
      </c>
      <c r="O4105">
        <v>-0.27408460000000001</v>
      </c>
      <c r="P4105">
        <v>-0.98978180000000004</v>
      </c>
      <c r="Q4105">
        <v>-3.268567E-2</v>
      </c>
      <c r="R4105">
        <v>-0.13879449999999999</v>
      </c>
      <c r="S4105">
        <v>-3.0231780000000001</v>
      </c>
      <c r="T4105">
        <v>-9.4076160000000006E-2</v>
      </c>
      <c r="U4105">
        <v>-4.7409060000000003E-2</v>
      </c>
      <c r="V4105">
        <v>0.13772010000000001</v>
      </c>
      <c r="W4105">
        <v>-1.9393230000000001E-2</v>
      </c>
      <c r="X4105">
        <v>0.99028130000000003</v>
      </c>
      <c r="Y4105">
        <v>0.25874429999999998</v>
      </c>
      <c r="Z4105">
        <v>1.2464100000000001E-2</v>
      </c>
      <c r="AA4105">
        <v>0.96586539999999999</v>
      </c>
      <c r="AB4105">
        <v>17</v>
      </c>
      <c r="AC4105">
        <v>-35.439100000000003</v>
      </c>
      <c r="AD4105">
        <v>-1.107911747935</v>
      </c>
      <c r="AE4105">
        <v>-0.51779999999999304</v>
      </c>
      <c r="AF4105">
        <v>9.2073332069846092</v>
      </c>
      <c r="AG4105">
        <v>-1.107911747935</v>
      </c>
      <c r="AH4105">
        <v>34.190226636993899</v>
      </c>
      <c r="AI4105">
        <v>91.792178439628699</v>
      </c>
      <c r="AJ4105">
        <v>74.927961527751506</v>
      </c>
      <c r="AK4105">
        <v>35.425612919392897</v>
      </c>
      <c r="AL4105">
        <v>91.111219905119995</v>
      </c>
      <c r="AM4105">
        <v>82.0825616944432</v>
      </c>
      <c r="AN4105">
        <v>0.99999998822176595</v>
      </c>
    </row>
    <row r="4106" spans="1:40" x14ac:dyDescent="0.25">
      <c r="A4106" t="str">
        <f>"20190312161050321"</f>
        <v>20190312161050321</v>
      </c>
      <c r="B4106" t="str">
        <f>"1552378250310464"</f>
        <v>1552378250310464</v>
      </c>
      <c r="C4106" t="s">
        <v>40</v>
      </c>
      <c r="D4106">
        <v>5.5651159999999997</v>
      </c>
      <c r="E4106">
        <v>0.54814339999999995</v>
      </c>
      <c r="F4106" t="s">
        <v>41</v>
      </c>
      <c r="G4106">
        <v>-243.49789999999999</v>
      </c>
      <c r="H4106" s="1">
        <v>-3.5804590000000002E-6</v>
      </c>
      <c r="I4106">
        <v>142.6559</v>
      </c>
      <c r="J4106">
        <v>-210.0667</v>
      </c>
      <c r="K4106">
        <v>1.1079600000000001</v>
      </c>
      <c r="L4106">
        <v>142.96899999999999</v>
      </c>
      <c r="M4106">
        <v>-0.96310759999999995</v>
      </c>
      <c r="N4106">
        <v>0</v>
      </c>
      <c r="O4106">
        <v>-0.26874019999999998</v>
      </c>
      <c r="P4106">
        <v>-0.99050800000000006</v>
      </c>
      <c r="Q4106">
        <v>-3.2727659999999999E-2</v>
      </c>
      <c r="R4106">
        <v>-0.13350279999999901</v>
      </c>
      <c r="S4106">
        <v>-3.023209</v>
      </c>
      <c r="T4106">
        <v>-9.9686380000000005E-2</v>
      </c>
      <c r="U4106">
        <v>-3.1875609999999999E-2</v>
      </c>
      <c r="V4106">
        <v>0.1375149</v>
      </c>
      <c r="W4106">
        <v>-1.9429229999999999E-2</v>
      </c>
      <c r="X4106">
        <v>0.99030910000000005</v>
      </c>
      <c r="Y4106">
        <v>0.25831379999999998</v>
      </c>
      <c r="Z4106">
        <v>1.303093E-2</v>
      </c>
      <c r="AA4106">
        <v>0.96597310000000003</v>
      </c>
      <c r="AB4106">
        <v>17</v>
      </c>
      <c r="AC4106">
        <v>-33.431199999999897</v>
      </c>
      <c r="AD4106">
        <v>-1.107963580459</v>
      </c>
      <c r="AE4106">
        <v>-0.313099999999991</v>
      </c>
      <c r="AF4106">
        <v>8.6741109432179595</v>
      </c>
      <c r="AG4106">
        <v>-1.107963580459</v>
      </c>
      <c r="AH4106">
        <v>32.2498346746289</v>
      </c>
      <c r="AI4106">
        <v>91.900179167614198</v>
      </c>
      <c r="AJ4106">
        <v>74.945654481742693</v>
      </c>
      <c r="AK4106">
        <v>33.414362488184203</v>
      </c>
      <c r="AL4106">
        <v>91.113282953161104</v>
      </c>
      <c r="AM4106">
        <v>82.094428360226203</v>
      </c>
      <c r="AN4106">
        <v>0.99999997812160601</v>
      </c>
    </row>
    <row r="4107" spans="1:40" x14ac:dyDescent="0.25">
      <c r="A4107" t="str">
        <f>"20190312161050345"</f>
        <v>20190312161050345</v>
      </c>
      <c r="B4107" t="str">
        <f>"1552378250340719"</f>
        <v>1552378250340719</v>
      </c>
      <c r="C4107" t="s">
        <v>40</v>
      </c>
      <c r="D4107">
        <v>5.5377099999999997</v>
      </c>
      <c r="E4107">
        <v>0.5482939</v>
      </c>
      <c r="F4107" t="s">
        <v>41</v>
      </c>
      <c r="G4107">
        <v>-241.30959999999999</v>
      </c>
      <c r="H4107" s="1">
        <v>-4.3889130000000002E-6</v>
      </c>
      <c r="I4107">
        <v>142.76509999999999</v>
      </c>
      <c r="J4107">
        <v>-210.24039999999999</v>
      </c>
      <c r="K4107">
        <v>1.1080209999999999</v>
      </c>
      <c r="L4107">
        <v>142.92769999999999</v>
      </c>
      <c r="M4107">
        <v>-0.96460290000000004</v>
      </c>
      <c r="N4107">
        <v>0</v>
      </c>
      <c r="O4107">
        <v>-0.26332250000000001</v>
      </c>
      <c r="P4107">
        <v>-0.99112420000000001</v>
      </c>
      <c r="Q4107">
        <v>-3.2620469999999999E-2</v>
      </c>
      <c r="R4107">
        <v>-0.12887589999999999</v>
      </c>
      <c r="S4107">
        <v>-3.0225680000000001</v>
      </c>
      <c r="T4107">
        <v>-0.1071893</v>
      </c>
      <c r="U4107">
        <v>-1.9729610000000002E-2</v>
      </c>
      <c r="V4107">
        <v>0.1365779</v>
      </c>
      <c r="W4107">
        <v>-1.930803E-2</v>
      </c>
      <c r="X4107">
        <v>0.99044109999999996</v>
      </c>
      <c r="Y4107">
        <v>0.25672279999999997</v>
      </c>
      <c r="Z4107">
        <v>1.380082E-2</v>
      </c>
      <c r="AA4107">
        <v>0.96638650000000004</v>
      </c>
      <c r="AB4107">
        <v>17</v>
      </c>
      <c r="AC4107">
        <v>-31.069199999999899</v>
      </c>
      <c r="AD4107">
        <v>-1.1080253889129901</v>
      </c>
      <c r="AE4107">
        <v>-0.162599999999997</v>
      </c>
      <c r="AF4107">
        <v>8.0149939317952406</v>
      </c>
      <c r="AG4107">
        <v>-1.1080253889129901</v>
      </c>
      <c r="AH4107">
        <v>29.977170239261799</v>
      </c>
      <c r="AI4107">
        <v>92.045049570332793</v>
      </c>
      <c r="AJ4107">
        <v>75.030970471890399</v>
      </c>
      <c r="AK4107">
        <v>31.0499369329935</v>
      </c>
      <c r="AL4107">
        <v>91.106337435298101</v>
      </c>
      <c r="AM4107">
        <v>82.148654624614394</v>
      </c>
      <c r="AN4107">
        <v>0.99999994768004896</v>
      </c>
    </row>
    <row r="4108" spans="1:40" x14ac:dyDescent="0.25">
      <c r="A4108" t="str">
        <f>"20190312161050367"</f>
        <v>20190312161050367</v>
      </c>
      <c r="B4108" t="str">
        <f>"1552378250361215"</f>
        <v>1552378250361215</v>
      </c>
      <c r="C4108" t="s">
        <v>40</v>
      </c>
      <c r="D4108">
        <v>5.5401660000000001</v>
      </c>
      <c r="E4108">
        <v>0.54761519999999997</v>
      </c>
      <c r="F4108" t="s">
        <v>41</v>
      </c>
      <c r="G4108">
        <v>-238.56290000000001</v>
      </c>
      <c r="H4108" s="1">
        <v>-1.4692329999999999E-6</v>
      </c>
      <c r="I4108">
        <v>142.88759999999999</v>
      </c>
      <c r="J4108">
        <v>-210.4016</v>
      </c>
      <c r="K4108">
        <v>1.108074</v>
      </c>
      <c r="L4108">
        <v>142.89009999999999</v>
      </c>
      <c r="M4108">
        <v>-0.9659392</v>
      </c>
      <c r="N4108">
        <v>0</v>
      </c>
      <c r="O4108">
        <v>-0.25837860000000001</v>
      </c>
      <c r="P4108">
        <v>-0.99170259999999999</v>
      </c>
      <c r="Q4108">
        <v>-3.245907E-2</v>
      </c>
      <c r="R4108">
        <v>-0.1243887</v>
      </c>
      <c r="S4108">
        <v>-3.0224299999999999</v>
      </c>
      <c r="T4108">
        <v>-0.1182421</v>
      </c>
      <c r="U4108">
        <v>-4.272461E-3</v>
      </c>
      <c r="V4108">
        <v>0.135993</v>
      </c>
      <c r="W4108">
        <v>-1.9135409999999999E-2</v>
      </c>
      <c r="X4108">
        <v>0.99052499999999999</v>
      </c>
      <c r="Y4108">
        <v>0.2566484</v>
      </c>
      <c r="Z4108">
        <v>1.503586E-2</v>
      </c>
      <c r="AA4108">
        <v>0.96638789999999997</v>
      </c>
      <c r="AB4108">
        <v>17</v>
      </c>
      <c r="AC4108">
        <v>-28.161300000000001</v>
      </c>
      <c r="AD4108">
        <v>-1.1080754692329999</v>
      </c>
      <c r="AE4108">
        <v>-2.4999999999977202E-3</v>
      </c>
      <c r="AF4108">
        <v>7.2633517674318</v>
      </c>
      <c r="AG4108">
        <v>-1.1080754692329999</v>
      </c>
      <c r="AH4108">
        <v>27.1634418597584</v>
      </c>
      <c r="AI4108">
        <v>92.256765661005204</v>
      </c>
      <c r="AJ4108">
        <v>75.029662959628396</v>
      </c>
      <c r="AK4108">
        <v>28.139592815309999</v>
      </c>
      <c r="AL4108">
        <v>91.096445132790606</v>
      </c>
      <c r="AM4108">
        <v>82.182515645284496</v>
      </c>
      <c r="AN4108">
        <v>1.00000001779493</v>
      </c>
    </row>
    <row r="4109" spans="1:40" x14ac:dyDescent="0.25">
      <c r="A4109" t="str">
        <f>"20190312161050389"</f>
        <v>20190312161050389</v>
      </c>
      <c r="B4109" t="str">
        <f>"1552378250380735"</f>
        <v>1552378250380735</v>
      </c>
      <c r="C4109" t="s">
        <v>40</v>
      </c>
      <c r="D4109">
        <v>5.4443159999999997</v>
      </c>
      <c r="E4109">
        <v>0.54714030000000002</v>
      </c>
      <c r="F4109" t="s">
        <v>41</v>
      </c>
      <c r="G4109">
        <v>-237.07849999999999</v>
      </c>
      <c r="H4109" s="1">
        <v>-2.1164900000000001E-6</v>
      </c>
      <c r="I4109">
        <v>142.92679999999999</v>
      </c>
      <c r="J4109">
        <v>-210.56389999999999</v>
      </c>
      <c r="K4109">
        <v>1.1081259999999999</v>
      </c>
      <c r="L4109">
        <v>142.85299999999901</v>
      </c>
      <c r="M4109">
        <v>-0.96723990000000004</v>
      </c>
      <c r="N4109">
        <v>0</v>
      </c>
      <c r="O4109">
        <v>-0.25346689999999999</v>
      </c>
      <c r="P4109">
        <v>-0.99217920000000004</v>
      </c>
      <c r="Q4109">
        <v>-3.2879079999999998E-2</v>
      </c>
      <c r="R4109">
        <v>-0.12041399999999999</v>
      </c>
      <c r="S4109">
        <v>-3.021515</v>
      </c>
      <c r="T4109">
        <v>-0.12550439999999999</v>
      </c>
      <c r="U4109">
        <v>4.1656489999999996E-3</v>
      </c>
      <c r="V4109">
        <v>0.13492570000000001</v>
      </c>
      <c r="W4109">
        <v>-1.9543060000000001E-2</v>
      </c>
      <c r="X4109">
        <v>0.99066299999999996</v>
      </c>
      <c r="Y4109">
        <v>0.25439149999999999</v>
      </c>
      <c r="Z4109">
        <v>1.5718840000000001E-2</v>
      </c>
      <c r="AA4109">
        <v>0.96697350000000004</v>
      </c>
      <c r="AB4109">
        <v>17</v>
      </c>
      <c r="AC4109">
        <v>-26.514600000000002</v>
      </c>
      <c r="AD4109">
        <v>-1.1081281164900001</v>
      </c>
      <c r="AE4109">
        <v>7.3800000000005597E-2</v>
      </c>
      <c r="AF4109">
        <v>6.7807964934270002</v>
      </c>
      <c r="AG4109">
        <v>-1.1081281164900001</v>
      </c>
      <c r="AH4109">
        <v>25.585167228514699</v>
      </c>
      <c r="AI4109">
        <v>92.397343132051006</v>
      </c>
      <c r="AJ4109">
        <v>75.156251354776302</v>
      </c>
      <c r="AK4109">
        <v>26.491657764641499</v>
      </c>
      <c r="AL4109">
        <v>91.119806115011698</v>
      </c>
      <c r="AM4109">
        <v>82.244186366319397</v>
      </c>
      <c r="AN4109">
        <v>1.0000000276418199</v>
      </c>
    </row>
    <row r="4110" spans="1:40" x14ac:dyDescent="0.25">
      <c r="A4110" t="str">
        <f>"20190312161050410"</f>
        <v>20190312161050410</v>
      </c>
      <c r="B4110" t="str">
        <f>"1552378250401232"</f>
        <v>1552378250401232</v>
      </c>
      <c r="C4110" t="s">
        <v>40</v>
      </c>
      <c r="D4110">
        <v>5.4928589999999904</v>
      </c>
      <c r="E4110">
        <v>0.54704889999999995</v>
      </c>
      <c r="F4110" t="s">
        <v>41</v>
      </c>
      <c r="G4110">
        <v>-237.15700000000001</v>
      </c>
      <c r="H4110" s="1">
        <v>-2.092389E-6</v>
      </c>
      <c r="I4110">
        <v>142.96279999999999</v>
      </c>
      <c r="J4110">
        <v>-210.73089999999999</v>
      </c>
      <c r="K4110">
        <v>1.1081719999999999</v>
      </c>
      <c r="L4110">
        <v>142.81559999999999</v>
      </c>
      <c r="M4110">
        <v>-0.96853020000000001</v>
      </c>
      <c r="N4110">
        <v>0</v>
      </c>
      <c r="O4110">
        <v>-0.24849170000000001</v>
      </c>
      <c r="P4110">
        <v>-0.99273180000000005</v>
      </c>
      <c r="Q4110">
        <v>-3.3419810000000001E-2</v>
      </c>
      <c r="R4110">
        <v>-0.1156156</v>
      </c>
      <c r="S4110">
        <v>-3.0209959999999998</v>
      </c>
      <c r="T4110">
        <v>-0.12588440000000001</v>
      </c>
      <c r="U4110">
        <v>1.248169E-2</v>
      </c>
      <c r="V4110">
        <v>0.13461770000000001</v>
      </c>
      <c r="W4110">
        <v>-2.007956E-2</v>
      </c>
      <c r="X4110">
        <v>0.99069419999999997</v>
      </c>
      <c r="Y4110">
        <v>0.25208550000000002</v>
      </c>
      <c r="Z4110">
        <v>1.551981E-2</v>
      </c>
      <c r="AA4110">
        <v>0.96758049999999995</v>
      </c>
      <c r="AB4110">
        <v>17</v>
      </c>
      <c r="AC4110">
        <v>-26.426100000000002</v>
      </c>
      <c r="AD4110">
        <v>-1.108174092389</v>
      </c>
      <c r="AE4110">
        <v>0.147199999999998</v>
      </c>
      <c r="AF4110">
        <v>6.6981304643151702</v>
      </c>
      <c r="AG4110">
        <v>-1.108174092389</v>
      </c>
      <c r="AH4110">
        <v>25.515599954257901</v>
      </c>
      <c r="AI4110">
        <v>92.405462400011103</v>
      </c>
      <c r="AJ4110">
        <v>75.291096383632194</v>
      </c>
      <c r="AK4110">
        <v>26.403386952467901</v>
      </c>
      <c r="AL4110">
        <v>91.150551301881805</v>
      </c>
      <c r="AM4110">
        <v>82.2619168515197</v>
      </c>
      <c r="AN4110">
        <v>1.0000000558983599</v>
      </c>
    </row>
    <row r="4111" spans="1:40" x14ac:dyDescent="0.25">
      <c r="A4111" t="str">
        <f>"20190312161050433"</f>
        <v>20190312161050433</v>
      </c>
      <c r="B4111" t="str">
        <f>"1552378250420752"</f>
        <v>1552378250420752</v>
      </c>
      <c r="C4111" t="s">
        <v>40</v>
      </c>
      <c r="D4111">
        <v>5.4373559999999896</v>
      </c>
      <c r="E4111">
        <v>0.54660679999999995</v>
      </c>
      <c r="F4111" t="s">
        <v>41</v>
      </c>
      <c r="G4111">
        <v>-237.4485</v>
      </c>
      <c r="H4111" s="1">
        <v>-1.9902110000000001E-6</v>
      </c>
      <c r="I4111">
        <v>143.0489</v>
      </c>
      <c r="J4111">
        <v>-210.88910000000001</v>
      </c>
      <c r="K4111">
        <v>1.108215</v>
      </c>
      <c r="L4111">
        <v>142.78100000000001</v>
      </c>
      <c r="M4111">
        <v>-0.96970769999999995</v>
      </c>
      <c r="N4111">
        <v>0</v>
      </c>
      <c r="O4111">
        <v>-0.2438563</v>
      </c>
      <c r="P4111">
        <v>-0.99320520000000001</v>
      </c>
      <c r="Q4111">
        <v>-3.3737349999999999E-2</v>
      </c>
      <c r="R4111">
        <v>-0.11137809999999999</v>
      </c>
      <c r="S4111">
        <v>-3.0208279999999998</v>
      </c>
      <c r="T4111">
        <v>-0.12529560000000001</v>
      </c>
      <c r="U4111">
        <v>2.6382450000000002E-2</v>
      </c>
      <c r="V4111">
        <v>0.134104799999999</v>
      </c>
      <c r="W4111">
        <v>-2.0392480000000001E-2</v>
      </c>
      <c r="X4111">
        <v>0.99075729999999995</v>
      </c>
      <c r="Y4111">
        <v>0.25191770000000002</v>
      </c>
      <c r="Z4111">
        <v>1.5258209999999999E-2</v>
      </c>
      <c r="AA4111">
        <v>0.96762840000000006</v>
      </c>
      <c r="AB4111">
        <v>17</v>
      </c>
      <c r="AC4111">
        <v>-26.559399999999901</v>
      </c>
      <c r="AD4111">
        <v>-1.108216990211</v>
      </c>
      <c r="AE4111">
        <v>0.26789999999999697</v>
      </c>
      <c r="AF4111">
        <v>6.7254309281266398</v>
      </c>
      <c r="AG4111">
        <v>-1.108216990211</v>
      </c>
      <c r="AH4111">
        <v>25.647459661920401</v>
      </c>
      <c r="AI4111">
        <v>92.393369634118997</v>
      </c>
      <c r="AJ4111">
        <v>75.306383747637796</v>
      </c>
      <c r="AK4111">
        <v>26.5377420512038</v>
      </c>
      <c r="AL4111">
        <v>91.168484046442103</v>
      </c>
      <c r="AM4111">
        <v>82.291529206049702</v>
      </c>
      <c r="AN4111">
        <v>0.99999998906344001</v>
      </c>
    </row>
    <row r="4112" spans="1:40" x14ac:dyDescent="0.25">
      <c r="A4112" t="str">
        <f>"20190312161050453"</f>
        <v>20190312161050453</v>
      </c>
      <c r="B4112" t="str">
        <f>"1552378250451008"</f>
        <v>1552378250451008</v>
      </c>
      <c r="C4112" t="s">
        <v>40</v>
      </c>
      <c r="D4112">
        <v>5.4743180000000002</v>
      </c>
      <c r="E4112">
        <v>0.54618739999999999</v>
      </c>
      <c r="F4112" t="s">
        <v>41</v>
      </c>
      <c r="G4112">
        <v>-237.80539999999999</v>
      </c>
      <c r="H4112" s="1">
        <v>-1.8505760000000001E-6</v>
      </c>
      <c r="I4112">
        <v>143.0994</v>
      </c>
      <c r="J4112">
        <v>-211.04310000000001</v>
      </c>
      <c r="K4112">
        <v>1.108258</v>
      </c>
      <c r="L4112">
        <v>142.74789999999999</v>
      </c>
      <c r="M4112">
        <v>-0.97081209999999996</v>
      </c>
      <c r="N4112">
        <v>0</v>
      </c>
      <c r="O4112">
        <v>-0.23942269999999999</v>
      </c>
      <c r="P4112">
        <v>-0.9936026</v>
      </c>
      <c r="Q4112">
        <v>-3.3676999999999999E-2</v>
      </c>
      <c r="R4112">
        <v>-0.1077946</v>
      </c>
      <c r="S4112">
        <v>-3.0202939999999998</v>
      </c>
      <c r="T4112">
        <v>-0.12435400000000001</v>
      </c>
      <c r="U4112">
        <v>3.5736080000000003E-2</v>
      </c>
      <c r="V4112">
        <v>0.13315439999999901</v>
      </c>
      <c r="W4112">
        <v>-2.0323870000000001E-2</v>
      </c>
      <c r="X4112">
        <v>0.99088690000000001</v>
      </c>
      <c r="Y4112">
        <v>0.25050450000000002</v>
      </c>
      <c r="Z4112">
        <v>1.4939529999999999E-2</v>
      </c>
      <c r="AA4112">
        <v>0.96800019999999998</v>
      </c>
      <c r="AB4112">
        <v>17</v>
      </c>
      <c r="AC4112">
        <v>-26.7622999999999</v>
      </c>
      <c r="AD4112">
        <v>-1.108259850576</v>
      </c>
      <c r="AE4112">
        <v>0.35150000000001502</v>
      </c>
      <c r="AF4112">
        <v>6.7378669942290097</v>
      </c>
      <c r="AG4112">
        <v>-1.108259850576</v>
      </c>
      <c r="AH4112">
        <v>25.855274616659798</v>
      </c>
      <c r="AI4112">
        <v>92.375190588630403</v>
      </c>
      <c r="AJ4112">
        <v>75.393624270760299</v>
      </c>
      <c r="AK4112">
        <v>26.741771015234001</v>
      </c>
      <c r="AL4112">
        <v>91.164552153880507</v>
      </c>
      <c r="AM4112">
        <v>82.346498404677604</v>
      </c>
      <c r="AN4112">
        <v>1.0000000012613699</v>
      </c>
    </row>
    <row r="4113" spans="1:40" x14ac:dyDescent="0.25">
      <c r="A4113" t="str">
        <f>"20190312161050477"</f>
        <v>20190312161050477</v>
      </c>
      <c r="B4113" t="str">
        <f>"1552378250470528"</f>
        <v>1552378250470528</v>
      </c>
      <c r="C4113" t="s">
        <v>40</v>
      </c>
      <c r="D4113">
        <v>5.7197190000000004</v>
      </c>
      <c r="E4113">
        <v>0.54602580000000001</v>
      </c>
      <c r="F4113" t="s">
        <v>41</v>
      </c>
      <c r="G4113">
        <v>-239.68430000000001</v>
      </c>
      <c r="H4113" s="1">
        <v>-1.0597819999999999E-6</v>
      </c>
      <c r="I4113">
        <v>143.1567</v>
      </c>
      <c r="J4113">
        <v>-211.2122</v>
      </c>
      <c r="K4113">
        <v>1.108311</v>
      </c>
      <c r="L4113">
        <v>142.7123</v>
      </c>
      <c r="M4113">
        <v>-0.97197940000000005</v>
      </c>
      <c r="N4113">
        <v>0</v>
      </c>
      <c r="O4113">
        <v>-0.2346396</v>
      </c>
      <c r="P4113">
        <v>-0.99407449999999997</v>
      </c>
      <c r="Q4113">
        <v>-3.413016E-2</v>
      </c>
      <c r="R4113">
        <v>-0.1032035</v>
      </c>
      <c r="S4113">
        <v>-3.0200499999999999</v>
      </c>
      <c r="T4113">
        <v>-0.11685959999999999</v>
      </c>
      <c r="U4113">
        <v>4.3106079999999998E-2</v>
      </c>
      <c r="V4113">
        <v>0.13284960000000001</v>
      </c>
      <c r="W4113">
        <v>-2.0771379999999999E-2</v>
      </c>
      <c r="X4113">
        <v>0.99091850000000004</v>
      </c>
      <c r="Y4113">
        <v>0.2481535</v>
      </c>
      <c r="Z4113">
        <v>1.381491E-2</v>
      </c>
      <c r="AA4113">
        <v>0.96862219999999999</v>
      </c>
      <c r="AB4113">
        <v>17</v>
      </c>
      <c r="AC4113">
        <v>-28.472100000000001</v>
      </c>
      <c r="AD4113">
        <v>-1.108312059782</v>
      </c>
      <c r="AE4113">
        <v>0.44440000000000102</v>
      </c>
      <c r="AF4113">
        <v>7.1025826643769401</v>
      </c>
      <c r="AG4113">
        <v>-1.108312059782</v>
      </c>
      <c r="AH4113">
        <v>27.531076063528499</v>
      </c>
      <c r="AI4113">
        <v>92.232286239907694</v>
      </c>
      <c r="AJ4113">
        <v>75.534020368167006</v>
      </c>
      <c r="AK4113">
        <v>28.454089079462001</v>
      </c>
      <c r="AL4113">
        <v>91.190198039984693</v>
      </c>
      <c r="AM4113">
        <v>82.364051504253098</v>
      </c>
      <c r="AN4113">
        <v>0.99999997004475605</v>
      </c>
    </row>
    <row r="4114" spans="1:40" x14ac:dyDescent="0.25">
      <c r="A4114" t="str">
        <f>"20190312161050499"</f>
        <v>20190312161050499</v>
      </c>
      <c r="B4114" t="str">
        <f>"1552378250491024"</f>
        <v>1552378250491024</v>
      </c>
      <c r="C4114" t="s">
        <v>40</v>
      </c>
      <c r="D4114">
        <v>5.4519630000000001</v>
      </c>
      <c r="E4114">
        <v>0.54536689999999999</v>
      </c>
      <c r="F4114" t="s">
        <v>41</v>
      </c>
      <c r="G4114">
        <v>-239.76419999999999</v>
      </c>
      <c r="H4114" s="1">
        <v>-1.047449E-6</v>
      </c>
      <c r="I4114">
        <v>143.23920000000001</v>
      </c>
      <c r="J4114">
        <v>-211.37880000000001</v>
      </c>
      <c r="K4114">
        <v>1.1083689999999999</v>
      </c>
      <c r="L4114">
        <v>142.678</v>
      </c>
      <c r="M4114">
        <v>-0.97308329999999998</v>
      </c>
      <c r="N4114">
        <v>0</v>
      </c>
      <c r="O4114">
        <v>-0.23001949999999999</v>
      </c>
      <c r="P4114">
        <v>-0.99449100000000001</v>
      </c>
      <c r="Q4114">
        <v>-3.4089880000000003E-2</v>
      </c>
      <c r="R4114">
        <v>-9.9123909999999996E-2</v>
      </c>
      <c r="S4114">
        <v>-3.0196529999999999</v>
      </c>
      <c r="T4114">
        <v>-0.117215</v>
      </c>
      <c r="U4114">
        <v>5.57251E-2</v>
      </c>
      <c r="V4114">
        <v>0.13221169999999999</v>
      </c>
      <c r="W4114">
        <v>-2.0720829999999999E-2</v>
      </c>
      <c r="X4114">
        <v>0.99100489999999997</v>
      </c>
      <c r="Y4114">
        <v>0.24760190000000001</v>
      </c>
      <c r="Z4114">
        <v>1.3672999999999999E-2</v>
      </c>
      <c r="AA4114">
        <v>0.9687654</v>
      </c>
      <c r="AB4114">
        <v>17</v>
      </c>
      <c r="AC4114">
        <v>-28.385399999999901</v>
      </c>
      <c r="AD4114">
        <v>-1.1083700474489999</v>
      </c>
      <c r="AE4114">
        <v>0.56120000000001302</v>
      </c>
      <c r="AF4114">
        <v>7.0652291934217999</v>
      </c>
      <c r="AG4114">
        <v>-1.1083700474489999</v>
      </c>
      <c r="AH4114">
        <v>27.4531792745106</v>
      </c>
      <c r="AI4114">
        <v>92.239070511897907</v>
      </c>
      <c r="AJ4114">
        <v>75.567794638907898</v>
      </c>
      <c r="AK4114">
        <v>28.369402531531801</v>
      </c>
      <c r="AL4114">
        <v>91.187301080232402</v>
      </c>
      <c r="AM4114">
        <v>82.400942096643206</v>
      </c>
      <c r="AN4114">
        <v>0.99999999911839399</v>
      </c>
    </row>
    <row r="4115" spans="1:40" x14ac:dyDescent="0.25">
      <c r="A4115" t="str">
        <f>"20190312161050522"</f>
        <v>20190312161050522</v>
      </c>
      <c r="B4115" t="str">
        <f>"1552378250510547"</f>
        <v>1552378250510547</v>
      </c>
      <c r="C4115" t="s">
        <v>40</v>
      </c>
      <c r="D4115">
        <v>5.4717729999999998</v>
      </c>
      <c r="E4115">
        <v>0.54470759999999996</v>
      </c>
      <c r="F4115" t="s">
        <v>41</v>
      </c>
      <c r="G4115">
        <v>-240.55789999999999</v>
      </c>
      <c r="H4115" s="1">
        <v>-4.7371059999999997E-6</v>
      </c>
      <c r="I4115">
        <v>143.2859</v>
      </c>
      <c r="J4115">
        <v>-211.54</v>
      </c>
      <c r="K4115">
        <v>1.108436</v>
      </c>
      <c r="L4115">
        <v>142.6455</v>
      </c>
      <c r="M4115">
        <v>-0.97410890000000006</v>
      </c>
      <c r="N4115">
        <v>0</v>
      </c>
      <c r="O4115">
        <v>-0.22563810000000001</v>
      </c>
      <c r="P4115">
        <v>-0.99488600000000005</v>
      </c>
      <c r="Q4115">
        <v>-3.3845279999999998E-2</v>
      </c>
      <c r="R4115">
        <v>-9.5165550000000002E-2</v>
      </c>
      <c r="S4115">
        <v>-3.0189360000000001</v>
      </c>
      <c r="T4115">
        <v>-0.1146752</v>
      </c>
      <c r="U4115">
        <v>6.2896729999999998E-2</v>
      </c>
      <c r="V4115">
        <v>0.1317017</v>
      </c>
      <c r="W4115">
        <v>-2.0465299999999999E-2</v>
      </c>
      <c r="X4115">
        <v>0.99107809999999996</v>
      </c>
      <c r="Y4115">
        <v>0.24556600000000001</v>
      </c>
      <c r="Z4115">
        <v>1.3178570000000001E-2</v>
      </c>
      <c r="AA4115">
        <v>0.96929030000000005</v>
      </c>
      <c r="AB4115">
        <v>16</v>
      </c>
      <c r="AC4115">
        <v>-29.017900000000001</v>
      </c>
      <c r="AD4115">
        <v>-1.1084407371060001</v>
      </c>
      <c r="AE4115">
        <v>0.64039999999999897</v>
      </c>
      <c r="AF4115">
        <v>7.16163324722329</v>
      </c>
      <c r="AG4115">
        <v>-1.1084407371060001</v>
      </c>
      <c r="AH4115">
        <v>28.083940700026201</v>
      </c>
      <c r="AI4115">
        <v>92.190204703174899</v>
      </c>
      <c r="AJ4115">
        <v>75.694010691162205</v>
      </c>
      <c r="AK4115">
        <v>29.0038852031585</v>
      </c>
      <c r="AL4115">
        <v>91.172657202821199</v>
      </c>
      <c r="AM4115">
        <v>82.430467125484199</v>
      </c>
      <c r="AN4115">
        <v>0.99999998329329398</v>
      </c>
    </row>
    <row r="4116" spans="1:40" x14ac:dyDescent="0.25">
      <c r="A4116" t="str">
        <f>"20190312161050543"</f>
        <v>20190312161050543</v>
      </c>
      <c r="B4116" t="str">
        <f>"1552378250531040"</f>
        <v>1552378250531040</v>
      </c>
      <c r="C4116" t="s">
        <v>40</v>
      </c>
      <c r="D4116">
        <v>5.4414259999999999</v>
      </c>
      <c r="E4116">
        <v>0.54387790000000003</v>
      </c>
      <c r="F4116" t="s">
        <v>41</v>
      </c>
      <c r="G4116">
        <v>-240.69909999999999</v>
      </c>
      <c r="H4116" s="1">
        <v>-4.6948920000000003E-6</v>
      </c>
      <c r="I4116">
        <v>143.31880000000001</v>
      </c>
      <c r="J4116">
        <v>-211.69280000000001</v>
      </c>
      <c r="K4116">
        <v>1.1084940000000001</v>
      </c>
      <c r="L4116">
        <v>142.61529999999999</v>
      </c>
      <c r="M4116">
        <v>-0.97504159999999995</v>
      </c>
      <c r="N4116">
        <v>0</v>
      </c>
      <c r="O4116">
        <v>-0.2215734</v>
      </c>
      <c r="P4116">
        <v>-0.99520730000000002</v>
      </c>
      <c r="Q4116">
        <v>-3.4059369999999999E-2</v>
      </c>
      <c r="R4116">
        <v>-9.1665830000000004E-2</v>
      </c>
      <c r="S4116">
        <v>-3.0182039999999999</v>
      </c>
      <c r="T4116">
        <v>-0.1147326</v>
      </c>
      <c r="U4116">
        <v>6.9702150000000004E-2</v>
      </c>
      <c r="V4116">
        <v>0.1310547</v>
      </c>
      <c r="W4116">
        <v>-2.066786E-2</v>
      </c>
      <c r="X4116">
        <v>0.99115969999999998</v>
      </c>
      <c r="Y4116">
        <v>0.24371590000000001</v>
      </c>
      <c r="Z4116">
        <v>1.3001820000000001E-2</v>
      </c>
      <c r="AA4116">
        <v>0.9697595</v>
      </c>
      <c r="AB4116">
        <v>16</v>
      </c>
      <c r="AC4116">
        <v>-29.0062999999999</v>
      </c>
      <c r="AD4116">
        <v>-1.1084986948919999</v>
      </c>
      <c r="AE4116">
        <v>0.703500000000019</v>
      </c>
      <c r="AF4116">
        <v>7.1033066015094297</v>
      </c>
      <c r="AG4116">
        <v>-1.1084986948919999</v>
      </c>
      <c r="AH4116">
        <v>28.088275464884099</v>
      </c>
      <c r="AI4116">
        <v>92.191086076910295</v>
      </c>
      <c r="AJ4116">
        <v>75.807898242063104</v>
      </c>
      <c r="AK4116">
        <v>28.993739886789999</v>
      </c>
      <c r="AL4116">
        <v>91.184265444582394</v>
      </c>
      <c r="AM4116">
        <v>82.4678383165746</v>
      </c>
      <c r="AN4116">
        <v>1.00000002286657</v>
      </c>
    </row>
    <row r="4117" spans="1:40" x14ac:dyDescent="0.25">
      <c r="A4117" t="str">
        <f>"20190312161050568"</f>
        <v>20190312161050568</v>
      </c>
      <c r="B4117" t="str">
        <f>"1552378250561295"</f>
        <v>1552378250561295</v>
      </c>
      <c r="C4117" t="s">
        <v>40</v>
      </c>
      <c r="D4117">
        <v>5.5523319999999998</v>
      </c>
      <c r="E4117">
        <v>0.5428653</v>
      </c>
      <c r="F4117" t="s">
        <v>41</v>
      </c>
      <c r="G4117">
        <v>-240.47659999999999</v>
      </c>
      <c r="H4117" s="1">
        <v>-4.7704939999999997E-6</v>
      </c>
      <c r="I4117">
        <v>143.31809999999999</v>
      </c>
      <c r="J4117">
        <v>-211.86930000000001</v>
      </c>
      <c r="K4117">
        <v>1.108565</v>
      </c>
      <c r="L4117">
        <v>142.58099999999999</v>
      </c>
      <c r="M4117">
        <v>-0.97606999999999999</v>
      </c>
      <c r="N4117">
        <v>0</v>
      </c>
      <c r="O4117">
        <v>-0.21699879999999999</v>
      </c>
      <c r="P4117">
        <v>-0.99555490000000002</v>
      </c>
      <c r="Q4117">
        <v>-3.403929E-2</v>
      </c>
      <c r="R4117">
        <v>-8.7816279999999997E-2</v>
      </c>
      <c r="S4117">
        <v>-3.017258</v>
      </c>
      <c r="T4117">
        <v>-0.11619839999999999</v>
      </c>
      <c r="U4117">
        <v>7.3684689999999997E-2</v>
      </c>
      <c r="V4117">
        <v>0.1302441</v>
      </c>
      <c r="W4117">
        <v>-2.0634860000000001E-2</v>
      </c>
      <c r="X4117">
        <v>0.99126720000000001</v>
      </c>
      <c r="Y4117">
        <v>0.2404502</v>
      </c>
      <c r="Z4117">
        <v>1.293615E-2</v>
      </c>
      <c r="AA4117">
        <v>0.97057530000000003</v>
      </c>
      <c r="AB4117">
        <v>16</v>
      </c>
      <c r="AC4117">
        <v>-28.607299999999899</v>
      </c>
      <c r="AD4117">
        <v>-1.1085697704940001</v>
      </c>
      <c r="AE4117">
        <v>0.737099999999969</v>
      </c>
      <c r="AF4117">
        <v>6.9175190118838499</v>
      </c>
      <c r="AG4117">
        <v>-1.1085697704940001</v>
      </c>
      <c r="AH4117">
        <v>27.723934210820701</v>
      </c>
      <c r="AI4117">
        <v>92.221765235591306</v>
      </c>
      <c r="AJ4117">
        <v>75.989949214817102</v>
      </c>
      <c r="AK4117">
        <v>28.595410896536201</v>
      </c>
      <c r="AL4117">
        <v>91.182374316599606</v>
      </c>
      <c r="AM4117">
        <v>82.514698891200993</v>
      </c>
      <c r="AN4117">
        <v>0.999999992413934</v>
      </c>
    </row>
    <row r="4118" spans="1:40" x14ac:dyDescent="0.25">
      <c r="A4118" t="str">
        <f>"20190312161050612"</f>
        <v>20190312161050612</v>
      </c>
      <c r="B4118" t="str">
        <f>"1552378250601312"</f>
        <v>1552378250601312</v>
      </c>
      <c r="C4118" t="s">
        <v>40</v>
      </c>
      <c r="D4118">
        <v>5.5140099999999999</v>
      </c>
      <c r="E4118">
        <v>0.54211369999999903</v>
      </c>
      <c r="F4118" t="s">
        <v>41</v>
      </c>
      <c r="G4118">
        <v>-241.0343</v>
      </c>
      <c r="H4118" s="1">
        <v>-4.5825550000000002E-6</v>
      </c>
      <c r="I4118">
        <v>143.32859999999999</v>
      </c>
      <c r="J4118">
        <v>-212.1875</v>
      </c>
      <c r="K4118">
        <v>1.1086670000000001</v>
      </c>
      <c r="L4118">
        <v>142.52109999999999</v>
      </c>
      <c r="M4118">
        <v>-0.9778057</v>
      </c>
      <c r="N4118">
        <v>0</v>
      </c>
      <c r="O4118">
        <v>-0.2090407</v>
      </c>
      <c r="P4118">
        <v>-0.9961063</v>
      </c>
      <c r="Q4118">
        <v>-3.4958379999999997E-2</v>
      </c>
      <c r="R4118">
        <v>-8.0935199999999999E-2</v>
      </c>
      <c r="S4118">
        <v>-3.0162810000000002</v>
      </c>
      <c r="T4118">
        <v>-0.1146499</v>
      </c>
      <c r="U4118">
        <v>7.7316280000000001E-2</v>
      </c>
      <c r="V4118">
        <v>0.12901389999999999</v>
      </c>
      <c r="W4118">
        <v>-2.1538560000000002E-2</v>
      </c>
      <c r="X4118">
        <v>0.99140890000000004</v>
      </c>
      <c r="Y4118">
        <v>0.23373279999999999</v>
      </c>
      <c r="Z4118">
        <v>1.2343069999999999E-2</v>
      </c>
      <c r="AA4118">
        <v>0.97222249999999999</v>
      </c>
      <c r="AB4118">
        <v>16</v>
      </c>
      <c r="AC4118">
        <v>-28.846800000000002</v>
      </c>
      <c r="AD4118">
        <v>-1.108671582555</v>
      </c>
      <c r="AE4118">
        <v>0.80750000000000399</v>
      </c>
      <c r="AF4118">
        <v>6.81035690055392</v>
      </c>
      <c r="AG4118">
        <v>-1.108671582555</v>
      </c>
      <c r="AH4118">
        <v>27.999215914345399</v>
      </c>
      <c r="AI4118">
        <v>92.203353502469895</v>
      </c>
      <c r="AJ4118">
        <v>76.329201351598996</v>
      </c>
      <c r="AK4118">
        <v>28.836889665999301</v>
      </c>
      <c r="AL4118">
        <v>91.234163957206704</v>
      </c>
      <c r="AM4118">
        <v>82.585657634041496</v>
      </c>
      <c r="AN4118">
        <v>1.0000000514796401</v>
      </c>
    </row>
    <row r="4119" spans="1:40" x14ac:dyDescent="0.25">
      <c r="A4119" t="str">
        <f>"20190312161050636"</f>
        <v>20190312161050636</v>
      </c>
      <c r="B4119" t="str">
        <f>"1552378250630591"</f>
        <v>1552378250630591</v>
      </c>
      <c r="C4119" t="s">
        <v>40</v>
      </c>
      <c r="D4119">
        <v>5.4283700000000001</v>
      </c>
      <c r="E4119">
        <v>0.54147140000000005</v>
      </c>
      <c r="F4119" t="s">
        <v>41</v>
      </c>
      <c r="G4119">
        <v>-240.81280000000001</v>
      </c>
      <c r="H4119" s="1">
        <v>-4.6698099999999996E-6</v>
      </c>
      <c r="I4119">
        <v>143.3956</v>
      </c>
      <c r="J4119">
        <v>-212.3648</v>
      </c>
      <c r="K4119">
        <v>1.1087119999999999</v>
      </c>
      <c r="L4119">
        <v>142.48859999999999</v>
      </c>
      <c r="M4119">
        <v>-0.9787167</v>
      </c>
      <c r="N4119">
        <v>0</v>
      </c>
      <c r="O4119">
        <v>-0.20473430000000001</v>
      </c>
      <c r="P4119">
        <v>-0.99647419999999998</v>
      </c>
      <c r="Q4119">
        <v>-3.4970399999999999E-2</v>
      </c>
      <c r="R4119">
        <v>-7.6266319999999999E-2</v>
      </c>
      <c r="S4119">
        <v>-3.0151059999999998</v>
      </c>
      <c r="T4119">
        <v>-0.11677650000000001</v>
      </c>
      <c r="U4119">
        <v>9.2117309999999994E-2</v>
      </c>
      <c r="V4119">
        <v>0.1292972</v>
      </c>
      <c r="W4119">
        <v>-2.155228E-2</v>
      </c>
      <c r="X4119">
        <v>0.99137160000000002</v>
      </c>
      <c r="Y4119">
        <v>0.23422200000000001</v>
      </c>
      <c r="Z4119">
        <v>1.242219E-2</v>
      </c>
      <c r="AA4119">
        <v>0.97210379999999996</v>
      </c>
      <c r="AB4119">
        <v>16</v>
      </c>
      <c r="AC4119">
        <v>-28.448</v>
      </c>
      <c r="AD4119">
        <v>-1.1087166698099999</v>
      </c>
      <c r="AE4119">
        <v>0.90700000000001002</v>
      </c>
      <c r="AF4119">
        <v>6.7024700347467503</v>
      </c>
      <c r="AG4119">
        <v>-1.1087166698099999</v>
      </c>
      <c r="AH4119">
        <v>27.617663325898299</v>
      </c>
      <c r="AI4119">
        <v>92.234133690128203</v>
      </c>
      <c r="AJ4119">
        <v>76.358743307722804</v>
      </c>
      <c r="AK4119">
        <v>28.440950842109</v>
      </c>
      <c r="AL4119">
        <v>91.234950353248294</v>
      </c>
      <c r="AM4119">
        <v>82.569281867941399</v>
      </c>
      <c r="AN4119">
        <v>0.99999995799379804</v>
      </c>
    </row>
    <row r="4120" spans="1:40" x14ac:dyDescent="0.25">
      <c r="A4120" t="str">
        <f>"20190312161050655"</f>
        <v>20190312161050655</v>
      </c>
      <c r="B4120" t="str">
        <f>"1552378250651088"</f>
        <v>1552378250651088</v>
      </c>
      <c r="C4120" t="s">
        <v>40</v>
      </c>
      <c r="D4120">
        <v>5.5524979999999999</v>
      </c>
      <c r="E4120">
        <v>0.51970419999999995</v>
      </c>
      <c r="F4120" t="s">
        <v>41</v>
      </c>
      <c r="G4120">
        <v>-240.35669999999999</v>
      </c>
      <c r="H4120" s="1">
        <v>-4.8308310000000002E-6</v>
      </c>
      <c r="I4120">
        <v>143.42840000000001</v>
      </c>
      <c r="J4120">
        <v>-212.51070000000001</v>
      </c>
      <c r="K4120">
        <v>1.1087359999999999</v>
      </c>
      <c r="L4120">
        <v>142.4624</v>
      </c>
      <c r="M4120">
        <v>-0.97943780000000003</v>
      </c>
      <c r="N4120">
        <v>0</v>
      </c>
      <c r="O4120">
        <v>-0.2012572</v>
      </c>
      <c r="P4120">
        <v>-0.99674359999999995</v>
      </c>
      <c r="Q4120">
        <v>-3.4476090000000001E-2</v>
      </c>
      <c r="R4120">
        <v>-7.2893979999999997E-2</v>
      </c>
      <c r="S4120">
        <v>-3.0141749999999998</v>
      </c>
      <c r="T4120">
        <v>-0.1193868</v>
      </c>
      <c r="U4120">
        <v>0.1011963</v>
      </c>
      <c r="V4120">
        <v>0.12913769999999999</v>
      </c>
      <c r="W4120">
        <v>-2.1057650000000001E-2</v>
      </c>
      <c r="X4120">
        <v>0.99140300000000003</v>
      </c>
      <c r="Y4120">
        <v>0.23369190000000001</v>
      </c>
      <c r="Z4120">
        <v>1.255741E-2</v>
      </c>
      <c r="AA4120">
        <v>0.97222960000000003</v>
      </c>
      <c r="AB4120">
        <v>16</v>
      </c>
      <c r="AC4120">
        <v>-27.845999999999901</v>
      </c>
      <c r="AD4120">
        <v>-1.1087408308310001</v>
      </c>
      <c r="AE4120">
        <v>0.96600000000000796</v>
      </c>
      <c r="AF4120">
        <v>6.5406337025267698</v>
      </c>
      <c r="AG4120">
        <v>-1.1087408308310001</v>
      </c>
      <c r="AH4120">
        <v>27.0388645794058</v>
      </c>
      <c r="AI4120">
        <v>92.282369932814603</v>
      </c>
      <c r="AJ4120">
        <v>76.401513559054806</v>
      </c>
      <c r="AK4120">
        <v>27.840786504767198</v>
      </c>
      <c r="AL4120">
        <v>91.206603728887004</v>
      </c>
      <c r="AM4120">
        <v>82.578578530922201</v>
      </c>
      <c r="AN4120">
        <v>0.99999993929690401</v>
      </c>
    </row>
    <row r="4121" spans="1:40" x14ac:dyDescent="0.25">
      <c r="A4121" t="str">
        <f>"20190312161050679"</f>
        <v>20190312161050679</v>
      </c>
      <c r="B4121" t="str">
        <f>"1552378250670607"</f>
        <v>1552378250670607</v>
      </c>
      <c r="C4121" t="s">
        <v>40</v>
      </c>
      <c r="D4121">
        <v>5.6152860000000002</v>
      </c>
      <c r="E4121">
        <v>0.51957609999999999</v>
      </c>
      <c r="F4121" t="s">
        <v>41</v>
      </c>
      <c r="G4121">
        <v>-264.2903</v>
      </c>
      <c r="H4121" s="1">
        <v>-2.9020119999999998E-6</v>
      </c>
      <c r="I4121">
        <v>141.3837</v>
      </c>
      <c r="J4121">
        <v>-212.6704</v>
      </c>
      <c r="K4121">
        <v>1.1087750000000001</v>
      </c>
      <c r="L4121">
        <v>142.43430000000001</v>
      </c>
      <c r="M4121">
        <v>-0.98019520000000004</v>
      </c>
      <c r="N4121">
        <v>0</v>
      </c>
      <c r="O4121">
        <v>-0.1975362</v>
      </c>
      <c r="P4121">
        <v>-0.9969616</v>
      </c>
      <c r="Q4121">
        <v>-3.5251230000000001E-2</v>
      </c>
      <c r="R4121">
        <v>-6.9462629999999997E-2</v>
      </c>
      <c r="S4121">
        <v>-3.0029910000000002</v>
      </c>
      <c r="T4121">
        <v>-6.430197E-2</v>
      </c>
      <c r="U4121">
        <v>-6.2561039999999998E-2</v>
      </c>
      <c r="V4121">
        <v>0.128779</v>
      </c>
      <c r="W4121">
        <v>-2.1829609999999999E-2</v>
      </c>
      <c r="X4121">
        <v>0.99143300000000001</v>
      </c>
      <c r="Y4121">
        <v>0.17700949999999999</v>
      </c>
      <c r="Z4121">
        <v>6.1007219999999899E-3</v>
      </c>
      <c r="AA4121">
        <v>0.98419020000000002</v>
      </c>
      <c r="AB4121">
        <v>16</v>
      </c>
      <c r="AC4121">
        <v>-51.619900000000001</v>
      </c>
      <c r="AD4121">
        <v>-1.1087779020119899</v>
      </c>
      <c r="AE4121">
        <v>-1.0506</v>
      </c>
      <c r="AF4121">
        <v>9.1636819191645795</v>
      </c>
      <c r="AG4121">
        <v>-1.1087779020119899</v>
      </c>
      <c r="AH4121">
        <v>50.786688148201797</v>
      </c>
      <c r="AI4121">
        <v>91.230817145981106</v>
      </c>
      <c r="AJ4121">
        <v>79.771902098077007</v>
      </c>
      <c r="AK4121">
        <v>51.618699594374803</v>
      </c>
      <c r="AL4121">
        <v>91.250843906725194</v>
      </c>
      <c r="AM4121">
        <v>82.599185293690198</v>
      </c>
      <c r="AN4121">
        <v>0.99999997810137498</v>
      </c>
    </row>
    <row r="4122" spans="1:40" x14ac:dyDescent="0.25">
      <c r="A4122" t="str">
        <f>"20190312161050700"</f>
        <v>20190312161050700</v>
      </c>
      <c r="B4122" t="str">
        <f>"1552378250691104"</f>
        <v>1552378250691104</v>
      </c>
      <c r="C4122" t="s">
        <v>40</v>
      </c>
      <c r="D4122">
        <v>5.5471649999999997</v>
      </c>
      <c r="E4122">
        <v>0.51890950000000002</v>
      </c>
      <c r="F4122" t="s">
        <v>41</v>
      </c>
      <c r="G4122">
        <v>-269.01069999999999</v>
      </c>
      <c r="H4122" s="1">
        <v>-8.9014080000000005E-7</v>
      </c>
      <c r="I4122">
        <v>141.43299999999999</v>
      </c>
      <c r="J4122">
        <v>-212.8305</v>
      </c>
      <c r="K4122">
        <v>1.108816</v>
      </c>
      <c r="L4122">
        <v>142.4066</v>
      </c>
      <c r="M4122">
        <v>-0.9809213</v>
      </c>
      <c r="N4122">
        <v>0</v>
      </c>
      <c r="O4122">
        <v>-0.19389899999999999</v>
      </c>
      <c r="P4122">
        <v>-0.99722189999999999</v>
      </c>
      <c r="Q4122">
        <v>-3.5158590000000003E-2</v>
      </c>
      <c r="R4122">
        <v>-6.5668169999999998E-2</v>
      </c>
      <c r="S4122">
        <v>-3.003342</v>
      </c>
      <c r="T4122">
        <v>-5.9105749999999999E-2</v>
      </c>
      <c r="U4122">
        <v>-5.3375239999999997E-2</v>
      </c>
      <c r="V4122">
        <v>0.1288781</v>
      </c>
      <c r="W4122">
        <v>-2.1732479999999998E-2</v>
      </c>
      <c r="X4122">
        <v>0.99142229999999998</v>
      </c>
      <c r="Y4122">
        <v>0.1763844</v>
      </c>
      <c r="Z4122">
        <v>5.5310289999999998E-3</v>
      </c>
      <c r="AA4122">
        <v>0.98430580000000001</v>
      </c>
      <c r="AB4122">
        <v>16</v>
      </c>
      <c r="AC4122">
        <v>-56.1801999999999</v>
      </c>
      <c r="AD4122">
        <v>-1.1088168901408</v>
      </c>
      <c r="AE4122">
        <v>-0.97360000000000402</v>
      </c>
      <c r="AF4122">
        <v>9.9353675323155297</v>
      </c>
      <c r="AG4122">
        <v>-1.1088168901408</v>
      </c>
      <c r="AH4122">
        <v>55.281043105405203</v>
      </c>
      <c r="AI4122">
        <v>91.130958479913005</v>
      </c>
      <c r="AJ4122">
        <v>79.811306876776598</v>
      </c>
      <c r="AK4122">
        <v>56.177706696871503</v>
      </c>
      <c r="AL4122">
        <v>91.245277393371495</v>
      </c>
      <c r="AM4122">
        <v>82.593474266171796</v>
      </c>
      <c r="AN4122">
        <v>1.00000002114192</v>
      </c>
    </row>
    <row r="4123" spans="1:40" x14ac:dyDescent="0.25">
      <c r="A4123" t="str">
        <f>"20190312161050723"</f>
        <v>20190312161050723</v>
      </c>
      <c r="B4123" t="str">
        <f>"1552378250710624"</f>
        <v>1552378250710624</v>
      </c>
      <c r="C4123" t="s">
        <v>40</v>
      </c>
      <c r="D4123">
        <v>5.5977589999999999</v>
      </c>
      <c r="E4123">
        <v>0.51800919999999995</v>
      </c>
      <c r="F4123" t="s">
        <v>41</v>
      </c>
      <c r="G4123">
        <v>-269.61509999999998</v>
      </c>
      <c r="H4123" s="1">
        <v>-6.5233019999999995E-7</v>
      </c>
      <c r="I4123">
        <v>141.5136</v>
      </c>
      <c r="J4123">
        <v>-212.99109999999999</v>
      </c>
      <c r="K4123">
        <v>1.108881</v>
      </c>
      <c r="L4123">
        <v>142.3794</v>
      </c>
      <c r="M4123">
        <v>-0.98161779999999998</v>
      </c>
      <c r="N4123">
        <v>0</v>
      </c>
      <c r="O4123">
        <v>-0.19034209999999999</v>
      </c>
      <c r="P4123">
        <v>-0.9974267</v>
      </c>
      <c r="Q4123">
        <v>-3.5345149999999999E-2</v>
      </c>
      <c r="R4123">
        <v>-6.2375430000000003E-2</v>
      </c>
      <c r="S4123">
        <v>-3.0031889999999999</v>
      </c>
      <c r="T4123">
        <v>-5.8642510000000002E-2</v>
      </c>
      <c r="U4123">
        <v>-4.7225950000000003E-2</v>
      </c>
      <c r="V4123">
        <v>0.1285589</v>
      </c>
      <c r="W4123">
        <v>-2.1909310000000001E-2</v>
      </c>
      <c r="X4123">
        <v>0.9914598</v>
      </c>
      <c r="Y4123">
        <v>0.17483219999999999</v>
      </c>
      <c r="Z4123">
        <v>5.4046869999999896E-3</v>
      </c>
      <c r="AA4123">
        <v>0.9845834</v>
      </c>
      <c r="AB4123">
        <v>16</v>
      </c>
      <c r="AC4123">
        <v>-56.624000000000002</v>
      </c>
      <c r="AD4123">
        <v>-1.1088816523301901</v>
      </c>
      <c r="AE4123">
        <v>-0.86580000000000701</v>
      </c>
      <c r="AF4123">
        <v>9.9252158910020594</v>
      </c>
      <c r="AG4123">
        <v>-1.1088816523301901</v>
      </c>
      <c r="AH4123">
        <v>55.732030752116003</v>
      </c>
      <c r="AI4123">
        <v>91.122192772566194</v>
      </c>
      <c r="AJ4123">
        <v>79.902163096163505</v>
      </c>
      <c r="AK4123">
        <v>56.619773761087004</v>
      </c>
      <c r="AL4123">
        <v>91.255411480737493</v>
      </c>
      <c r="AM4123">
        <v>82.611891879626896</v>
      </c>
      <c r="AN4123">
        <v>0.99999997182496203</v>
      </c>
    </row>
    <row r="4124" spans="1:40" x14ac:dyDescent="0.25">
      <c r="A4124" t="str">
        <f>"20190312161050745"</f>
        <v>20190312161050745</v>
      </c>
      <c r="B4124" t="str">
        <f>"1552378250740881"</f>
        <v>1552378250740881</v>
      </c>
      <c r="C4124" t="s">
        <v>40</v>
      </c>
      <c r="D4124">
        <v>5.6649570000000002</v>
      </c>
      <c r="E4124">
        <v>0.51768059999999905</v>
      </c>
      <c r="F4124" t="s">
        <v>41</v>
      </c>
      <c r="G4124">
        <v>-268.70190000000002</v>
      </c>
      <c r="H4124" s="1">
        <v>-1.054983E-6</v>
      </c>
      <c r="I4124">
        <v>141.5547</v>
      </c>
      <c r="J4124">
        <v>-213.14519999999999</v>
      </c>
      <c r="K4124">
        <v>1.1089420000000001</v>
      </c>
      <c r="L4124">
        <v>142.3536</v>
      </c>
      <c r="M4124">
        <v>-0.98225609999999997</v>
      </c>
      <c r="N4124">
        <v>0</v>
      </c>
      <c r="O4124">
        <v>-0.1870211</v>
      </c>
      <c r="P4124">
        <v>-0.99758950000000002</v>
      </c>
      <c r="Q4124">
        <v>-3.5448519999999997E-2</v>
      </c>
      <c r="R4124">
        <v>-5.9656050000000002E-2</v>
      </c>
      <c r="S4124">
        <v>-3.002853</v>
      </c>
      <c r="T4124">
        <v>-5.9769629999999997E-2</v>
      </c>
      <c r="U4124">
        <v>-4.4448849999999998E-2</v>
      </c>
      <c r="V4124">
        <v>0.12791130000000001</v>
      </c>
      <c r="W4124">
        <v>-2.2000530000000001E-2</v>
      </c>
      <c r="X4124">
        <v>0.99154160000000002</v>
      </c>
      <c r="Y4124">
        <v>0.1724088</v>
      </c>
      <c r="Z4124">
        <v>5.4200269999999896E-3</v>
      </c>
      <c r="AA4124">
        <v>0.98501059999999996</v>
      </c>
      <c r="AB4124">
        <v>16</v>
      </c>
      <c r="AC4124">
        <v>-55.556699999999999</v>
      </c>
      <c r="AD4124">
        <v>-1.1089430549829999</v>
      </c>
      <c r="AE4124">
        <v>-0.79890000000000305</v>
      </c>
      <c r="AF4124">
        <v>9.6026673859066793</v>
      </c>
      <c r="AG4124">
        <v>-1.1089430549829999</v>
      </c>
      <c r="AH4124">
        <v>54.703892864996199</v>
      </c>
      <c r="AI4124">
        <v>91.143841371422397</v>
      </c>
      <c r="AJ4124">
        <v>80.043791735606305</v>
      </c>
      <c r="AK4124">
        <v>55.551389453446902</v>
      </c>
      <c r="AL4124">
        <v>91.260639183269504</v>
      </c>
      <c r="AM4124">
        <v>82.649300307721802</v>
      </c>
      <c r="AN4124">
        <v>1.0000000342592601</v>
      </c>
    </row>
    <row r="4125" spans="1:40" x14ac:dyDescent="0.25">
      <c r="A4125" t="str">
        <f>"20190312161050770"</f>
        <v>20190312161050770</v>
      </c>
      <c r="B4125" t="str">
        <f>"1552378250760399"</f>
        <v>1552378250760399</v>
      </c>
      <c r="C4125" t="s">
        <v>40</v>
      </c>
      <c r="D4125">
        <v>5.6585749999999999</v>
      </c>
      <c r="E4125">
        <v>0.51822669999999904</v>
      </c>
      <c r="F4125" t="s">
        <v>41</v>
      </c>
      <c r="G4125">
        <v>-264.72879999999998</v>
      </c>
      <c r="H4125" s="1">
        <v>-2.7945609999999999E-6</v>
      </c>
      <c r="I4125">
        <v>141.6867</v>
      </c>
      <c r="J4125">
        <v>-213.32159999999999</v>
      </c>
      <c r="K4125">
        <v>1.1090100000000001</v>
      </c>
      <c r="L4125">
        <v>142.32470000000001</v>
      </c>
      <c r="M4125">
        <v>-0.98295080000000001</v>
      </c>
      <c r="N4125">
        <v>0</v>
      </c>
      <c r="O4125">
        <v>-0.1833362</v>
      </c>
      <c r="P4125">
        <v>-0.9977644</v>
      </c>
      <c r="Q4125">
        <v>-3.5396450000000003E-2</v>
      </c>
      <c r="R4125">
        <v>-5.6688160000000001E-2</v>
      </c>
      <c r="S4125">
        <v>-3.0026250000000001</v>
      </c>
      <c r="T4125">
        <v>-6.455052E-2</v>
      </c>
      <c r="U4125">
        <v>-3.8818360000000003E-2</v>
      </c>
      <c r="V4125">
        <v>0.127146699999999</v>
      </c>
      <c r="W4125">
        <v>-2.193585E-2</v>
      </c>
      <c r="X4125">
        <v>0.99164129999999995</v>
      </c>
      <c r="Y4125">
        <v>0.1705496</v>
      </c>
      <c r="Z4125">
        <v>5.7560700000000003E-3</v>
      </c>
      <c r="AA4125">
        <v>0.98533230000000005</v>
      </c>
      <c r="AB4125">
        <v>16</v>
      </c>
      <c r="AC4125">
        <v>-51.407199999999897</v>
      </c>
      <c r="AD4125">
        <v>-1.109012794561</v>
      </c>
      <c r="AE4125">
        <v>-0.63800000000000501</v>
      </c>
      <c r="AF4125">
        <v>8.7944461706638801</v>
      </c>
      <c r="AG4125">
        <v>-1.109012794561</v>
      </c>
      <c r="AH4125">
        <v>50.629110889883101</v>
      </c>
      <c r="AI4125">
        <v>91.236335744000399</v>
      </c>
      <c r="AJ4125">
        <v>80.1458552983717</v>
      </c>
      <c r="AK4125">
        <v>51.399212662523198</v>
      </c>
      <c r="AL4125">
        <v>91.256932483189104</v>
      </c>
      <c r="AM4125">
        <v>82.693490121758302</v>
      </c>
      <c r="AN4125">
        <v>0.99999996635090005</v>
      </c>
    </row>
    <row r="4126" spans="1:40" x14ac:dyDescent="0.25">
      <c r="A4126" t="str">
        <f>"20190312161050793"</f>
        <v>20190312161050793</v>
      </c>
      <c r="B4126" t="str">
        <f>"1552378250780895"</f>
        <v>1552378250780895</v>
      </c>
      <c r="C4126" t="s">
        <v>40</v>
      </c>
      <c r="D4126">
        <v>5.7684259999999998</v>
      </c>
      <c r="E4126">
        <v>0.51791540000000003</v>
      </c>
      <c r="F4126" t="s">
        <v>41</v>
      </c>
      <c r="G4126">
        <v>-260.9554</v>
      </c>
      <c r="H4126" s="1">
        <v>-4.3597589999999997E-6</v>
      </c>
      <c r="I4126">
        <v>141.9212</v>
      </c>
      <c r="J4126">
        <v>-213.48519999999999</v>
      </c>
      <c r="K4126">
        <v>1.1090610000000001</v>
      </c>
      <c r="L4126">
        <v>142.29839999999999</v>
      </c>
      <c r="M4126">
        <v>-0.98356619999999995</v>
      </c>
      <c r="N4126">
        <v>0</v>
      </c>
      <c r="O4126">
        <v>-0.1800059</v>
      </c>
      <c r="P4126">
        <v>-0.99792780000000003</v>
      </c>
      <c r="Q4126">
        <v>-3.5263490000000002E-2</v>
      </c>
      <c r="R4126">
        <v>-5.3822439999999999E-2</v>
      </c>
      <c r="S4126">
        <v>-3.0028079999999999</v>
      </c>
      <c r="T4126">
        <v>-6.9911600000000004E-2</v>
      </c>
      <c r="U4126">
        <v>-2.5436400000000001E-2</v>
      </c>
      <c r="V4126">
        <v>0.1266398</v>
      </c>
      <c r="W4126">
        <v>-2.1796550000000001E-2</v>
      </c>
      <c r="X4126">
        <v>0.99170930000000002</v>
      </c>
      <c r="Y4126">
        <v>0.17158999999999999</v>
      </c>
      <c r="Z4126">
        <v>6.1697999999999996E-3</v>
      </c>
      <c r="AA4126">
        <v>0.9851491</v>
      </c>
      <c r="AB4126">
        <v>16</v>
      </c>
      <c r="AC4126">
        <v>-47.470199999999998</v>
      </c>
      <c r="AD4126">
        <v>-1.1090653597589999</v>
      </c>
      <c r="AE4126">
        <v>-0.37719999999998699</v>
      </c>
      <c r="AF4126">
        <v>8.1702541975373002</v>
      </c>
      <c r="AG4126">
        <v>-1.1090653597589999</v>
      </c>
      <c r="AH4126">
        <v>46.737041786092199</v>
      </c>
      <c r="AI4126">
        <v>91.339068823455506</v>
      </c>
      <c r="AJ4126">
        <v>80.084136826660995</v>
      </c>
      <c r="AK4126">
        <v>47.458762673920603</v>
      </c>
      <c r="AL4126">
        <v>91.248949189933597</v>
      </c>
      <c r="AM4126">
        <v>82.722799982062199</v>
      </c>
      <c r="AN4126">
        <v>1.0000000321212099</v>
      </c>
    </row>
    <row r="4127" spans="1:40" x14ac:dyDescent="0.25">
      <c r="A4127" t="str">
        <f>"20190312161050837"</f>
        <v>20190312161050837</v>
      </c>
      <c r="B4127" t="str">
        <f>"1552378250830671"</f>
        <v>1552378250830671</v>
      </c>
      <c r="C4127" t="s">
        <v>40</v>
      </c>
      <c r="D4127">
        <v>5.8244540000000002</v>
      </c>
      <c r="E4127">
        <v>0.5167465</v>
      </c>
      <c r="F4127" t="s">
        <v>41</v>
      </c>
      <c r="G4127">
        <v>-257.65589999999997</v>
      </c>
      <c r="H4127" s="1">
        <v>-1.6265189999999999E-6</v>
      </c>
      <c r="I4127">
        <v>142.0163</v>
      </c>
      <c r="J4127">
        <v>-213.79859999999999</v>
      </c>
      <c r="K4127">
        <v>1.1091249999999999</v>
      </c>
      <c r="L4127">
        <v>142.2491</v>
      </c>
      <c r="M4127">
        <v>-0.98467079999999996</v>
      </c>
      <c r="N4127">
        <v>0</v>
      </c>
      <c r="O4127">
        <v>-0.17386389999999999</v>
      </c>
      <c r="P4127">
        <v>-0.99820260000000005</v>
      </c>
      <c r="Q4127">
        <v>-3.296429E-2</v>
      </c>
      <c r="R4127">
        <v>-5.0049969999999999E-2</v>
      </c>
      <c r="S4127">
        <v>-3.0025330000000001</v>
      </c>
      <c r="T4127">
        <v>-7.5389269999999994E-2</v>
      </c>
      <c r="U4127">
        <v>-1.9165040000000001E-2</v>
      </c>
      <c r="V4127">
        <v>0.1242229</v>
      </c>
      <c r="W4127">
        <v>-1.9486369999999999E-2</v>
      </c>
      <c r="X4127">
        <v>0.99206300000000003</v>
      </c>
      <c r="Y4127">
        <v>0.16748460000000001</v>
      </c>
      <c r="Z4127">
        <v>6.4501000000000003E-3</v>
      </c>
      <c r="AA4127">
        <v>0.9858536</v>
      </c>
      <c r="AB4127">
        <v>16</v>
      </c>
      <c r="AC4127">
        <v>-43.857299999999903</v>
      </c>
      <c r="AD4127">
        <v>-1.1091266265189901</v>
      </c>
      <c r="AE4127">
        <v>-0.23279999999999701</v>
      </c>
      <c r="AF4127">
        <v>7.3919627437825302</v>
      </c>
      <c r="AG4127">
        <v>-1.1091266265189901</v>
      </c>
      <c r="AH4127">
        <v>43.202058751538999</v>
      </c>
      <c r="AI4127">
        <v>91.449575157695605</v>
      </c>
      <c r="AJ4127">
        <v>80.290594153942905</v>
      </c>
      <c r="AK4127">
        <v>43.843918112442303</v>
      </c>
      <c r="AL4127">
        <v>91.116557405303496</v>
      </c>
      <c r="AM4127">
        <v>82.862756441363302</v>
      </c>
      <c r="AN4127">
        <v>1.0000000217345899</v>
      </c>
    </row>
    <row r="4128" spans="1:40" x14ac:dyDescent="0.25">
      <c r="A4128" t="str">
        <f>"20190312161050858"</f>
        <v>20190312161050858</v>
      </c>
      <c r="B4128" t="str">
        <f>"1552378250851168"</f>
        <v>1552378250851168</v>
      </c>
      <c r="C4128" t="s">
        <v>40</v>
      </c>
      <c r="D4128">
        <v>5.9182079999999999</v>
      </c>
      <c r="E4128">
        <v>0.5164531</v>
      </c>
      <c r="F4128" t="s">
        <v>41</v>
      </c>
      <c r="G4128">
        <v>-262.35419999999999</v>
      </c>
      <c r="H4128" s="1">
        <v>-3.8888160000000004E-6</v>
      </c>
      <c r="I4128">
        <v>141.97069999999999</v>
      </c>
      <c r="J4128">
        <v>-213.94759999999999</v>
      </c>
      <c r="K4128">
        <v>1.109154</v>
      </c>
      <c r="L4128">
        <v>142.22640000000001</v>
      </c>
      <c r="M4128">
        <v>-0.9851645</v>
      </c>
      <c r="N4128">
        <v>0</v>
      </c>
      <c r="O4128">
        <v>-0.17104520000000001</v>
      </c>
      <c r="P4128">
        <v>-0.99828720000000004</v>
      </c>
      <c r="Q4128">
        <v>-3.2332769999999997E-2</v>
      </c>
      <c r="R4128">
        <v>-4.8758360000000001E-2</v>
      </c>
      <c r="S4128">
        <v>-3.0022890000000002</v>
      </c>
      <c r="T4128">
        <v>-6.8579669999999995E-2</v>
      </c>
      <c r="U4128">
        <v>-1.721191E-2</v>
      </c>
      <c r="V4128">
        <v>0.1226743</v>
      </c>
      <c r="W4128">
        <v>-1.8848529999999999E-2</v>
      </c>
      <c r="X4128">
        <v>0.99226800000000004</v>
      </c>
      <c r="Y4128">
        <v>0.16532330000000001</v>
      </c>
      <c r="Z4128">
        <v>5.7798830000000004E-3</v>
      </c>
      <c r="AA4128">
        <v>0.9862225</v>
      </c>
      <c r="AB4128">
        <v>16</v>
      </c>
      <c r="AC4128">
        <v>-48.406599999999997</v>
      </c>
      <c r="AD4128">
        <v>-1.1091578888160001</v>
      </c>
      <c r="AE4128">
        <v>-0.25570000000001802</v>
      </c>
      <c r="AF4128">
        <v>8.0243777651698807</v>
      </c>
      <c r="AG4128">
        <v>-1.1091578888160001</v>
      </c>
      <c r="AH4128">
        <v>47.711792477053301</v>
      </c>
      <c r="AI4128">
        <v>91.313279754287393</v>
      </c>
      <c r="AJ4128">
        <v>80.4530908851833</v>
      </c>
      <c r="AK4128">
        <v>48.394586588934402</v>
      </c>
      <c r="AL4128">
        <v>91.080005155057506</v>
      </c>
      <c r="AM4128">
        <v>82.952272455663604</v>
      </c>
      <c r="AN4128">
        <v>1.0000000173938199</v>
      </c>
    </row>
    <row r="4129" spans="1:40" x14ac:dyDescent="0.25">
      <c r="A4129" t="str">
        <f>"20190312161050881"</f>
        <v>20190312161050881</v>
      </c>
      <c r="B4129" t="str">
        <f>"1552378250870735"</f>
        <v>1552378250870735</v>
      </c>
      <c r="C4129" t="s">
        <v>40</v>
      </c>
      <c r="D4129">
        <v>5.8357089999999996</v>
      </c>
      <c r="E4129">
        <v>0.48973949999999999</v>
      </c>
      <c r="F4129" t="s">
        <v>41</v>
      </c>
      <c r="G4129">
        <v>-262.99799999999999</v>
      </c>
      <c r="H4129" s="1">
        <v>-3.61248E-6</v>
      </c>
      <c r="I4129">
        <v>141.97030000000001</v>
      </c>
      <c r="J4129">
        <v>-214.11070000000001</v>
      </c>
      <c r="K4129">
        <v>1.109183</v>
      </c>
      <c r="L4129">
        <v>142.20179999999999</v>
      </c>
      <c r="M4129">
        <v>-0.98568529999999999</v>
      </c>
      <c r="N4129">
        <v>0</v>
      </c>
      <c r="O4129">
        <v>-0.16801759999999999</v>
      </c>
      <c r="P4129">
        <v>-0.99841290000000005</v>
      </c>
      <c r="Q4129">
        <v>-3.1630539999999999E-2</v>
      </c>
      <c r="R4129">
        <v>-4.6595449999999997E-2</v>
      </c>
      <c r="S4129">
        <v>-3.002167</v>
      </c>
      <c r="T4129">
        <v>-6.7886710000000003E-2</v>
      </c>
      <c r="U4129">
        <v>-1.5670779999999999E-2</v>
      </c>
      <c r="V4129">
        <v>0.12178269999999999</v>
      </c>
      <c r="W4129">
        <v>-1.8142209999999999E-2</v>
      </c>
      <c r="X4129">
        <v>0.99239100000000002</v>
      </c>
      <c r="Y4129">
        <v>0.1628019</v>
      </c>
      <c r="Z4129">
        <v>5.6255860000000001E-3</v>
      </c>
      <c r="AA4129">
        <v>0.98664269999999998</v>
      </c>
      <c r="AB4129">
        <v>16</v>
      </c>
      <c r="AC4129">
        <v>-48.887299999999897</v>
      </c>
      <c r="AD4129">
        <v>-1.1091866124800001</v>
      </c>
      <c r="AE4129">
        <v>-0.231499999999982</v>
      </c>
      <c r="AF4129">
        <v>7.9824086481783096</v>
      </c>
      <c r="AG4129">
        <v>-1.1091866124800001</v>
      </c>
      <c r="AH4129">
        <v>48.2062667550491</v>
      </c>
      <c r="AI4129">
        <v>91.300394882286</v>
      </c>
      <c r="AJ4129">
        <v>80.597787033290203</v>
      </c>
      <c r="AK4129">
        <v>48.875283091014097</v>
      </c>
      <c r="AL4129">
        <v>91.039529061837897</v>
      </c>
      <c r="AM4129">
        <v>83.003844569222196</v>
      </c>
      <c r="AN4129">
        <v>1.0000000313419799</v>
      </c>
    </row>
    <row r="4130" spans="1:40" x14ac:dyDescent="0.25">
      <c r="A4130" t="str">
        <f>"20190312161050902"</f>
        <v>20190312161050902</v>
      </c>
      <c r="B4130" t="str">
        <f>"1552378250891230"</f>
        <v>1552378250891230</v>
      </c>
      <c r="C4130" t="s">
        <v>40</v>
      </c>
      <c r="D4130">
        <v>5.7583960000000003</v>
      </c>
      <c r="E4130">
        <v>0.48949949999999998</v>
      </c>
      <c r="F4130" t="s">
        <v>42</v>
      </c>
      <c r="G4130">
        <v>-214.8698</v>
      </c>
      <c r="H4130">
        <v>1.051221</v>
      </c>
      <c r="I4130">
        <v>142.14609999999999</v>
      </c>
      <c r="J4130">
        <v>-214.26300000000001</v>
      </c>
      <c r="K4130">
        <v>1.1092200000000001</v>
      </c>
      <c r="L4130">
        <v>142.17930000000001</v>
      </c>
      <c r="M4130">
        <v>-0.98615450000000004</v>
      </c>
      <c r="N4130">
        <v>0</v>
      </c>
      <c r="O4130">
        <v>-0.16524229999999901</v>
      </c>
      <c r="P4130">
        <v>-0.99851509999999999</v>
      </c>
      <c r="Q4130">
        <v>-3.0952230000000001E-2</v>
      </c>
      <c r="R4130">
        <v>-4.4828800000000002E-2</v>
      </c>
      <c r="S4130">
        <v>-2.9873050000000001</v>
      </c>
      <c r="T4130">
        <v>-0.22805239999999999</v>
      </c>
      <c r="U4130">
        <v>-0.219635</v>
      </c>
      <c r="V4130">
        <v>0.1207522</v>
      </c>
      <c r="W4130">
        <v>-1.7458330000000001E-2</v>
      </c>
      <c r="X4130">
        <v>0.9925292</v>
      </c>
      <c r="Y4130">
        <v>9.1758510000000001E-2</v>
      </c>
      <c r="Z4130">
        <v>1.6010739999999999E-2</v>
      </c>
      <c r="AA4130">
        <v>0.9956526</v>
      </c>
      <c r="AB4130">
        <v>16</v>
      </c>
      <c r="AC4130">
        <v>-0.60679999999999201</v>
      </c>
      <c r="AD4130">
        <v>-5.7999000000000099E-2</v>
      </c>
      <c r="AE4130">
        <v>-3.3200000000022101E-2</v>
      </c>
      <c r="AF4130">
        <v>6.6925659876084495E-2</v>
      </c>
      <c r="AG4130">
        <v>-5.7999000000000099E-2</v>
      </c>
      <c r="AH4130">
        <v>0.59849184213614604</v>
      </c>
      <c r="AI4130">
        <v>95.501093630607798</v>
      </c>
      <c r="AJ4130">
        <v>83.6194726962798</v>
      </c>
      <c r="AK4130">
        <v>0.60500860576884996</v>
      </c>
      <c r="AL4130">
        <v>91.000339396866295</v>
      </c>
      <c r="AM4130">
        <v>83.063421808537797</v>
      </c>
      <c r="AN4130">
        <v>1.0000000499719299</v>
      </c>
    </row>
    <row r="4131" spans="1:40" x14ac:dyDescent="0.25">
      <c r="A4131" t="str">
        <f>"20190312161050928"</f>
        <v>20190312161050928</v>
      </c>
      <c r="B4131" t="str">
        <f>"1552378250920510"</f>
        <v>1552378250920510</v>
      </c>
      <c r="C4131" t="s">
        <v>40</v>
      </c>
      <c r="D4131">
        <v>5.8010789999999997</v>
      </c>
      <c r="E4131">
        <v>0.48836160000000001</v>
      </c>
      <c r="F4131" t="s">
        <v>41</v>
      </c>
      <c r="G4131">
        <v>-229.62139999999999</v>
      </c>
      <c r="H4131" s="1">
        <v>-5.3066590000000003E-7</v>
      </c>
      <c r="I4131">
        <v>141.0668</v>
      </c>
      <c r="J4131">
        <v>-214.4348</v>
      </c>
      <c r="K4131">
        <v>1.109248</v>
      </c>
      <c r="L4131">
        <v>142.15440000000001</v>
      </c>
      <c r="M4131">
        <v>-0.98666569999999998</v>
      </c>
      <c r="N4131">
        <v>0</v>
      </c>
      <c r="O4131">
        <v>-0.16216349999999999</v>
      </c>
      <c r="P4131">
        <v>-0.99862019999999996</v>
      </c>
      <c r="Q4131">
        <v>-3.069817E-2</v>
      </c>
      <c r="R4131">
        <v>-4.2609939999999999E-2</v>
      </c>
      <c r="S4131">
        <v>-2.9880680000000002</v>
      </c>
      <c r="T4131">
        <v>-0.21580460000000001</v>
      </c>
      <c r="U4131">
        <v>-0.2164307</v>
      </c>
      <c r="V4131">
        <v>0.1198631</v>
      </c>
      <c r="W4131">
        <v>-1.720153E-2</v>
      </c>
      <c r="X4131">
        <v>0.99264140000000001</v>
      </c>
      <c r="Y4131">
        <v>8.9821170000000006E-2</v>
      </c>
      <c r="Z4131">
        <v>1.486151E-2</v>
      </c>
      <c r="AA4131">
        <v>0.99584700000000004</v>
      </c>
      <c r="AB4131">
        <v>16</v>
      </c>
      <c r="AC4131">
        <v>-15.1866</v>
      </c>
      <c r="AD4131">
        <v>-1.1092485306658999</v>
      </c>
      <c r="AE4131">
        <v>-1.0875999999999999</v>
      </c>
      <c r="AF4131">
        <v>1.3824116934824699</v>
      </c>
      <c r="AG4131">
        <v>-1.1092485306658999</v>
      </c>
      <c r="AH4131">
        <v>15.081883886324899</v>
      </c>
      <c r="AI4131">
        <v>94.188942213031495</v>
      </c>
      <c r="AJ4131">
        <v>84.762879302945194</v>
      </c>
      <c r="AK4131">
        <v>15.1856746953715</v>
      </c>
      <c r="AL4131">
        <v>90.985623678554006</v>
      </c>
      <c r="AM4131">
        <v>83.114774604622397</v>
      </c>
      <c r="AN4131">
        <v>1.00000000218495</v>
      </c>
    </row>
    <row r="4132" spans="1:40" x14ac:dyDescent="0.25">
      <c r="A4132" t="str">
        <f>"20190312161050948"</f>
        <v>20190312161050948</v>
      </c>
      <c r="B4132" t="str">
        <f>"1552378250941007"</f>
        <v>1552378250941007</v>
      </c>
      <c r="C4132" t="s">
        <v>40</v>
      </c>
      <c r="D4132">
        <v>5.7309710000000003</v>
      </c>
      <c r="E4132">
        <v>0.48811579999999899</v>
      </c>
      <c r="F4132" t="s">
        <v>42</v>
      </c>
      <c r="G4132">
        <v>-215.286</v>
      </c>
      <c r="H4132">
        <v>1.044584</v>
      </c>
      <c r="I4132">
        <v>142.09209999999999</v>
      </c>
      <c r="J4132">
        <v>-214.5855</v>
      </c>
      <c r="K4132">
        <v>1.1092690000000001</v>
      </c>
      <c r="L4132">
        <v>142.13290000000001</v>
      </c>
      <c r="M4132">
        <v>-0.98709939999999996</v>
      </c>
      <c r="N4132">
        <v>0</v>
      </c>
      <c r="O4132">
        <v>-0.1595036</v>
      </c>
      <c r="P4132">
        <v>-0.99870380000000003</v>
      </c>
      <c r="Q4132">
        <v>-3.0672370000000001E-2</v>
      </c>
      <c r="R4132">
        <v>-4.0623680000000002E-2</v>
      </c>
      <c r="S4132">
        <v>-2.9878390000000001</v>
      </c>
      <c r="T4132">
        <v>-0.22692180000000001</v>
      </c>
      <c r="U4132">
        <v>-0.21871950000000001</v>
      </c>
      <c r="V4132">
        <v>0.1191632</v>
      </c>
      <c r="W4132">
        <v>-1.7177359999999999E-2</v>
      </c>
      <c r="X4132">
        <v>0.99272609999999994</v>
      </c>
      <c r="Y4132">
        <v>8.6321120000000001E-2</v>
      </c>
      <c r="Z4132">
        <v>1.529411E-2</v>
      </c>
      <c r="AA4132">
        <v>0.99614999999999998</v>
      </c>
      <c r="AB4132">
        <v>16</v>
      </c>
      <c r="AC4132">
        <v>-0.70049999999997603</v>
      </c>
      <c r="AD4132">
        <v>-6.4685000000000104E-2</v>
      </c>
      <c r="AE4132">
        <v>-4.0800000000018599E-2</v>
      </c>
      <c r="AF4132">
        <v>7.0863325276814396E-2</v>
      </c>
      <c r="AG4132">
        <v>-6.4685000000000104E-2</v>
      </c>
      <c r="AH4132">
        <v>0.69215638135283597</v>
      </c>
      <c r="AI4132">
        <v>95.311426659140693</v>
      </c>
      <c r="AJ4132">
        <v>84.154396024970893</v>
      </c>
      <c r="AK4132">
        <v>0.69877479658452202</v>
      </c>
      <c r="AL4132">
        <v>90.984238617611297</v>
      </c>
      <c r="AM4132">
        <v>83.155174460787293</v>
      </c>
      <c r="AN4132">
        <v>1.0000000197759999</v>
      </c>
    </row>
    <row r="4133" spans="1:40" x14ac:dyDescent="0.25">
      <c r="A4133" t="str">
        <f>"20190312161050972"</f>
        <v>20190312161050972</v>
      </c>
      <c r="B4133" t="str">
        <f>"1552378250960527"</f>
        <v>1552378250960527</v>
      </c>
      <c r="C4133" t="s">
        <v>40</v>
      </c>
      <c r="D4133">
        <v>5.7567259999999996</v>
      </c>
      <c r="E4133">
        <v>0.48795909999999898</v>
      </c>
      <c r="F4133" t="s">
        <v>42</v>
      </c>
      <c r="G4133">
        <v>-215.42660000000001</v>
      </c>
      <c r="H4133">
        <v>1.04546299999999</v>
      </c>
      <c r="I4133">
        <v>142.07239999999999</v>
      </c>
      <c r="J4133">
        <v>-214.74430000000001</v>
      </c>
      <c r="K4133">
        <v>1.109275</v>
      </c>
      <c r="L4133">
        <v>142.11060000000001</v>
      </c>
      <c r="M4133">
        <v>-0.9875427</v>
      </c>
      <c r="N4133">
        <v>0</v>
      </c>
      <c r="O4133">
        <v>-0.15673599999999999</v>
      </c>
      <c r="P4133">
        <v>-0.99880040000000003</v>
      </c>
      <c r="Q4133">
        <v>-3.010761E-2</v>
      </c>
      <c r="R4133">
        <v>-3.8614410000000002E-2</v>
      </c>
      <c r="S4133">
        <v>-2.9881899999999999</v>
      </c>
      <c r="T4133">
        <v>-0.22681190000000001</v>
      </c>
      <c r="U4133">
        <v>-0.2147522</v>
      </c>
      <c r="V4133">
        <v>0.1183823</v>
      </c>
      <c r="W4133">
        <v>-1.661843E-2</v>
      </c>
      <c r="X4133">
        <v>0.99282899999999996</v>
      </c>
      <c r="Y4133">
        <v>8.4865239999999995E-2</v>
      </c>
      <c r="Z4133">
        <v>1.5023969999999999E-2</v>
      </c>
      <c r="AA4133">
        <v>0.99627920000000003</v>
      </c>
      <c r="AB4133">
        <v>16</v>
      </c>
      <c r="AC4133">
        <v>-0.68229999999999702</v>
      </c>
      <c r="AD4133">
        <v>-6.3812000000000202E-2</v>
      </c>
      <c r="AE4133">
        <v>-3.8200000000017498E-2</v>
      </c>
      <c r="AF4133">
        <v>6.8625149036772304E-2</v>
      </c>
      <c r="AG4133">
        <v>-6.3812000000000202E-2</v>
      </c>
      <c r="AH4133">
        <v>0.67397660838874796</v>
      </c>
      <c r="AI4133">
        <v>95.380975097808602</v>
      </c>
      <c r="AJ4133">
        <v>84.186108132250993</v>
      </c>
      <c r="AK4133">
        <v>0.68046002900943303</v>
      </c>
      <c r="AL4133">
        <v>90.952209750488393</v>
      </c>
      <c r="AM4133">
        <v>83.200306734035493</v>
      </c>
      <c r="AN4133">
        <v>0.99999998220497699</v>
      </c>
    </row>
    <row r="4134" spans="1:40" x14ac:dyDescent="0.25">
      <c r="A4134" t="str">
        <f>"20190312161051019"</f>
        <v>20190312161051019</v>
      </c>
      <c r="B4134" t="str">
        <f>"1552378251011278"</f>
        <v>1552378251011278</v>
      </c>
      <c r="C4134" t="s">
        <v>40</v>
      </c>
      <c r="D4134">
        <v>5.8485339999999999</v>
      </c>
      <c r="E4134">
        <v>0.48758459999999998</v>
      </c>
      <c r="F4134" t="s">
        <v>42</v>
      </c>
      <c r="G4134">
        <v>-215.5684</v>
      </c>
      <c r="H4134">
        <v>1.0479579999999999</v>
      </c>
      <c r="I4134">
        <v>142.05279999999999</v>
      </c>
      <c r="J4134">
        <v>-215.071</v>
      </c>
      <c r="K4134">
        <v>1.1092799999999901</v>
      </c>
      <c r="L4134">
        <v>142.06620000000001</v>
      </c>
      <c r="M4134">
        <v>-0.98841520000000005</v>
      </c>
      <c r="N4134">
        <v>0</v>
      </c>
      <c r="O4134">
        <v>-0.1511392</v>
      </c>
      <c r="P4134">
        <v>-0.99894939999999999</v>
      </c>
      <c r="Q4134">
        <v>-3.0721789999999999E-2</v>
      </c>
      <c r="R4134">
        <v>-3.4006699999999897E-2</v>
      </c>
      <c r="S4134">
        <v>-2.9887700000000001</v>
      </c>
      <c r="T4134">
        <v>-0.22234129999999999</v>
      </c>
      <c r="U4134">
        <v>-0.2098846</v>
      </c>
      <c r="V4134">
        <v>0.1173342</v>
      </c>
      <c r="W4134">
        <v>-1.7265740000000002E-2</v>
      </c>
      <c r="X4134">
        <v>0.9929424</v>
      </c>
      <c r="Y4134">
        <v>8.0901399999999901E-2</v>
      </c>
      <c r="Z4134">
        <v>1.416954E-2</v>
      </c>
      <c r="AA4134">
        <v>0.99662139999999999</v>
      </c>
      <c r="AB4134">
        <v>16</v>
      </c>
      <c r="AC4134">
        <v>-0.49739999999999901</v>
      </c>
      <c r="AD4134">
        <v>-6.13219999999998E-2</v>
      </c>
      <c r="AE4134">
        <v>-1.34000000000185E-2</v>
      </c>
      <c r="AF4134">
        <v>6.1011181755778299E-2</v>
      </c>
      <c r="AG4134">
        <v>-6.13219999999998E-2</v>
      </c>
      <c r="AH4134">
        <v>0.48632408500642099</v>
      </c>
      <c r="AI4134">
        <v>97.131344056835204</v>
      </c>
      <c r="AJ4134">
        <v>82.849386908086501</v>
      </c>
      <c r="AK4134">
        <v>0.49395735407074298</v>
      </c>
      <c r="AL4134">
        <v>90.989303174321506</v>
      </c>
      <c r="AM4134">
        <v>83.260714336713505</v>
      </c>
      <c r="AN4134">
        <v>1.0000000149925701</v>
      </c>
    </row>
    <row r="4135" spans="1:40" x14ac:dyDescent="0.25">
      <c r="A4135" t="str">
        <f>"20190312161051059"</f>
        <v>20190312161051059</v>
      </c>
      <c r="B4135" t="str">
        <f>"1552378251051295"</f>
        <v>1552378251051295</v>
      </c>
      <c r="C4135" t="s">
        <v>40</v>
      </c>
      <c r="D4135">
        <v>5.9581869999999997</v>
      </c>
      <c r="E4135">
        <v>0.48686380000000001</v>
      </c>
      <c r="F4135" t="s">
        <v>42</v>
      </c>
      <c r="G4135">
        <v>-215.8501</v>
      </c>
      <c r="H4135">
        <v>1.051587</v>
      </c>
      <c r="I4135">
        <v>142.01429999999999</v>
      </c>
      <c r="J4135">
        <v>-215.35830000000001</v>
      </c>
      <c r="K4135">
        <v>1.1092959999999901</v>
      </c>
      <c r="L4135">
        <v>142.02850000000001</v>
      </c>
      <c r="M4135">
        <v>-0.98914230000000003</v>
      </c>
      <c r="N4135">
        <v>0</v>
      </c>
      <c r="O4135">
        <v>-0.14630969999999999</v>
      </c>
      <c r="P4135">
        <v>-0.9991466</v>
      </c>
      <c r="Q4135">
        <v>-2.9898839999999999E-2</v>
      </c>
      <c r="R4135">
        <v>-2.8496779999999999E-2</v>
      </c>
      <c r="S4135">
        <v>-2.989563</v>
      </c>
      <c r="T4135">
        <v>-0.2213051</v>
      </c>
      <c r="U4135">
        <v>-0.1991425</v>
      </c>
      <c r="V4135">
        <v>0.1179664</v>
      </c>
      <c r="W4135">
        <v>-1.6486210000000001E-2</v>
      </c>
      <c r="X4135">
        <v>0.99288069999999895</v>
      </c>
      <c r="Y4135">
        <v>7.9638310000000004E-2</v>
      </c>
      <c r="Z4135">
        <v>1.370303E-2</v>
      </c>
      <c r="AA4135">
        <v>0.99672959999999999</v>
      </c>
      <c r="AB4135">
        <v>16</v>
      </c>
      <c r="AC4135">
        <v>-0.49179999999998297</v>
      </c>
      <c r="AD4135">
        <v>-5.7708999999999698E-2</v>
      </c>
      <c r="AE4135">
        <v>-1.42000000000166E-2</v>
      </c>
      <c r="AF4135">
        <v>5.7128854600700503E-2</v>
      </c>
      <c r="AG4135">
        <v>-5.7708999999999698E-2</v>
      </c>
      <c r="AH4135">
        <v>0.48195382722256602</v>
      </c>
      <c r="AI4135">
        <v>96.781043201390602</v>
      </c>
      <c r="AJ4135">
        <v>83.239933978844704</v>
      </c>
      <c r="AK4135">
        <v>0.48874689388626003</v>
      </c>
      <c r="AL4135">
        <v>90.944633070677895</v>
      </c>
      <c r="AM4135">
        <v>83.224322421421604</v>
      </c>
      <c r="AN4135">
        <v>0.999999975540806</v>
      </c>
    </row>
    <row r="4136" spans="1:40" x14ac:dyDescent="0.25">
      <c r="A4136" t="str">
        <f>"20190312161051082"</f>
        <v>20190312161051082</v>
      </c>
      <c r="B4136" t="str">
        <f>"1552378251070817"</f>
        <v>1552378251070817</v>
      </c>
      <c r="C4136" t="s">
        <v>40</v>
      </c>
      <c r="D4136">
        <v>5.8408280000000001</v>
      </c>
      <c r="E4136">
        <v>0.48637710000000001</v>
      </c>
      <c r="F4136" t="s">
        <v>42</v>
      </c>
      <c r="G4136">
        <v>-216.12989999999999</v>
      </c>
      <c r="H4136">
        <v>1.053577</v>
      </c>
      <c r="I4136">
        <v>141.97989999999999</v>
      </c>
      <c r="J4136">
        <v>-215.51400000000001</v>
      </c>
      <c r="K4136">
        <v>1.1093059999999999</v>
      </c>
      <c r="L4136">
        <v>142.0087</v>
      </c>
      <c r="M4136">
        <v>-0.98952050000000003</v>
      </c>
      <c r="N4136">
        <v>0</v>
      </c>
      <c r="O4136">
        <v>-0.1437339</v>
      </c>
      <c r="P4136">
        <v>-0.99921870000000002</v>
      </c>
      <c r="Q4136">
        <v>-2.9666029999999999E-2</v>
      </c>
      <c r="R4136">
        <v>-2.6122650000000001E-2</v>
      </c>
      <c r="S4136">
        <v>-2.990723</v>
      </c>
      <c r="T4136">
        <v>-0.2158592</v>
      </c>
      <c r="U4136">
        <v>-0.1885223</v>
      </c>
      <c r="V4136">
        <v>0.11774279999999999</v>
      </c>
      <c r="W4136">
        <v>-1.6286829999999999E-2</v>
      </c>
      <c r="X4136">
        <v>0.99291059999999998</v>
      </c>
      <c r="Y4136">
        <v>8.0627249999999998E-2</v>
      </c>
      <c r="Z4136">
        <v>1.321577E-2</v>
      </c>
      <c r="AA4136">
        <v>0.99665669999999995</v>
      </c>
      <c r="AB4136">
        <v>16</v>
      </c>
      <c r="AC4136">
        <v>-0.61589999999998202</v>
      </c>
      <c r="AD4136">
        <v>-5.5728999999999897E-2</v>
      </c>
      <c r="AE4136">
        <v>-2.8800000000018099E-2</v>
      </c>
      <c r="AF4136">
        <v>5.95467494461972E-2</v>
      </c>
      <c r="AG4136">
        <v>-5.5728999999999897E-2</v>
      </c>
      <c r="AH4136">
        <v>0.60867091868858803</v>
      </c>
      <c r="AI4136">
        <v>95.206611542798996</v>
      </c>
      <c r="AJ4136">
        <v>84.4124898137228</v>
      </c>
      <c r="AK4136">
        <v>0.61411059595794104</v>
      </c>
      <c r="AL4136">
        <v>90.933207840224497</v>
      </c>
      <c r="AM4136">
        <v>83.237248114153104</v>
      </c>
      <c r="AN4136">
        <v>1.00000004368782</v>
      </c>
    </row>
    <row r="4137" spans="1:40" x14ac:dyDescent="0.25">
      <c r="A4137" t="str">
        <f>"20190312161051103"</f>
        <v>20190312161051103</v>
      </c>
      <c r="B4137" t="str">
        <f>"1552378251101071"</f>
        <v>1552378251101071</v>
      </c>
      <c r="C4137" t="s">
        <v>40</v>
      </c>
      <c r="D4137">
        <v>5.813904</v>
      </c>
      <c r="E4137">
        <v>0.48608289999999998</v>
      </c>
      <c r="F4137" t="s">
        <v>41</v>
      </c>
      <c r="G4137">
        <v>-231.08449999999999</v>
      </c>
      <c r="H4137" s="1">
        <v>-4.1601350000000001E-6</v>
      </c>
      <c r="I4137">
        <v>141.0436</v>
      </c>
      <c r="J4137">
        <v>-215.66589999999999</v>
      </c>
      <c r="K4137">
        <v>1.109316</v>
      </c>
      <c r="L4137">
        <v>141.9896</v>
      </c>
      <c r="M4137">
        <v>-0.98987780000000003</v>
      </c>
      <c r="N4137">
        <v>0</v>
      </c>
      <c r="O4137">
        <v>-0.14125789999999999</v>
      </c>
      <c r="P4137">
        <v>-0.99929760000000001</v>
      </c>
      <c r="Q4137">
        <v>-2.9257789999999999E-2</v>
      </c>
      <c r="R4137">
        <v>-2.3417429999999999E-2</v>
      </c>
      <c r="S4137">
        <v>-2.991196</v>
      </c>
      <c r="T4137">
        <v>-0.21310499999999999</v>
      </c>
      <c r="U4137">
        <v>-0.18537899999999999</v>
      </c>
      <c r="V4137">
        <v>0.1179499</v>
      </c>
      <c r="W4137">
        <v>-1.5924339999999999E-2</v>
      </c>
      <c r="X4137">
        <v>0.99289179999999999</v>
      </c>
      <c r="Y4137">
        <v>7.9211110000000001E-2</v>
      </c>
      <c r="Z4137">
        <v>1.2821519999999999E-2</v>
      </c>
      <c r="AA4137">
        <v>0.99677539999999998</v>
      </c>
      <c r="AB4137">
        <v>16</v>
      </c>
      <c r="AC4137">
        <v>-15.4185999999999</v>
      </c>
      <c r="AD4137">
        <v>-1.109320160135</v>
      </c>
      <c r="AE4137">
        <v>-0.94599999999999795</v>
      </c>
      <c r="AF4137">
        <v>1.2353209964131699</v>
      </c>
      <c r="AG4137">
        <v>-1.109320160135</v>
      </c>
      <c r="AH4137">
        <v>15.3186112213859</v>
      </c>
      <c r="AI4137">
        <v>94.128573478963204</v>
      </c>
      <c r="AJ4137">
        <v>85.389539742946496</v>
      </c>
      <c r="AK4137">
        <v>15.4083243389355</v>
      </c>
      <c r="AL4137">
        <v>90.9124360897694</v>
      </c>
      <c r="AM4137">
        <v>83.225336362412804</v>
      </c>
      <c r="AN4137">
        <v>0.999999945010841</v>
      </c>
    </row>
    <row r="4138" spans="1:40" x14ac:dyDescent="0.25">
      <c r="A4138" t="str">
        <f>"20190312161051147"</f>
        <v>20190312161051147</v>
      </c>
      <c r="B4138" t="str">
        <f>"1552378251141087"</f>
        <v>1552378251141087</v>
      </c>
      <c r="C4138" t="s">
        <v>40</v>
      </c>
      <c r="D4138">
        <v>5.8414320000000002</v>
      </c>
      <c r="E4138">
        <v>0.48521829999999999</v>
      </c>
      <c r="F4138" t="s">
        <v>41</v>
      </c>
      <c r="G4138">
        <v>-231.13489999999999</v>
      </c>
      <c r="H4138" s="1">
        <v>-4.1461199999999997E-6</v>
      </c>
      <c r="I4138">
        <v>141.06129999999999</v>
      </c>
      <c r="J4138">
        <v>-215.96639999999999</v>
      </c>
      <c r="K4138">
        <v>1.1093459999999999</v>
      </c>
      <c r="L4138">
        <v>141.953</v>
      </c>
      <c r="M4138">
        <v>-0.99054880000000001</v>
      </c>
      <c r="N4138">
        <v>0</v>
      </c>
      <c r="O4138">
        <v>-0.13648540000000001</v>
      </c>
      <c r="P4138">
        <v>-0.99937770000000004</v>
      </c>
      <c r="Q4138">
        <v>-2.9954870000000001E-2</v>
      </c>
      <c r="R4138">
        <v>-1.864358E-2</v>
      </c>
      <c r="S4138">
        <v>-2.9916230000000001</v>
      </c>
      <c r="T4138">
        <v>-0.21453610000000001</v>
      </c>
      <c r="U4138">
        <v>-0.1795197</v>
      </c>
      <c r="V4138">
        <v>0.1179045</v>
      </c>
      <c r="W4138">
        <v>-1.673266E-2</v>
      </c>
      <c r="X4138">
        <v>0.99288399999999999</v>
      </c>
      <c r="Y4138">
        <v>7.6371960000000003E-2</v>
      </c>
      <c r="Z4138">
        <v>1.246678E-2</v>
      </c>
      <c r="AA4138">
        <v>0.99700149999999998</v>
      </c>
      <c r="AB4138">
        <v>16</v>
      </c>
      <c r="AC4138">
        <v>-15.1684999999999</v>
      </c>
      <c r="AD4138">
        <v>-1.1093501461199999</v>
      </c>
      <c r="AE4138">
        <v>-0.89170000000001404</v>
      </c>
      <c r="AF4138">
        <v>1.18082195991178</v>
      </c>
      <c r="AG4138">
        <v>-1.1093501461199999</v>
      </c>
      <c r="AH4138">
        <v>15.0679263878045</v>
      </c>
      <c r="AI4138">
        <v>94.197881910850199</v>
      </c>
      <c r="AJ4138">
        <v>85.519083269429899</v>
      </c>
      <c r="AK4138">
        <v>15.1547815515764</v>
      </c>
      <c r="AL4138">
        <v>90.958755497230101</v>
      </c>
      <c r="AM4138">
        <v>83.227867063280002</v>
      </c>
      <c r="AN4138">
        <v>1.0000000452434601</v>
      </c>
    </row>
    <row r="4139" spans="1:40" x14ac:dyDescent="0.25">
      <c r="A4139" t="str">
        <f>"20190312161051171"</f>
        <v>20190312161051171</v>
      </c>
      <c r="B4139" t="str">
        <f>"1552378251160607"</f>
        <v>1552378251160607</v>
      </c>
      <c r="C4139" t="s">
        <v>40</v>
      </c>
      <c r="D4139">
        <v>5.8863760000000003</v>
      </c>
      <c r="E4139">
        <v>0.48474109999999998</v>
      </c>
      <c r="F4139" t="s">
        <v>42</v>
      </c>
      <c r="G4139">
        <v>-216.81720000000001</v>
      </c>
      <c r="H4139">
        <v>1.047909</v>
      </c>
      <c r="I4139">
        <v>141.9041</v>
      </c>
      <c r="J4139">
        <v>-216.12970000000001</v>
      </c>
      <c r="K4139">
        <v>1.109351</v>
      </c>
      <c r="L4139">
        <v>141.93360000000001</v>
      </c>
      <c r="M4139">
        <v>-0.99089579999999999</v>
      </c>
      <c r="N4139">
        <v>0</v>
      </c>
      <c r="O4139">
        <v>-0.13395070000000001</v>
      </c>
      <c r="P4139">
        <v>-0.99940309999999999</v>
      </c>
      <c r="Q4139">
        <v>-3.0151399999999998E-2</v>
      </c>
      <c r="R4139">
        <v>-1.6866780000000001E-2</v>
      </c>
      <c r="S4139">
        <v>-2.9922029999999999</v>
      </c>
      <c r="T4139">
        <v>-0.21600929999999999</v>
      </c>
      <c r="U4139">
        <v>-0.17216489999999901</v>
      </c>
      <c r="V4139">
        <v>0.11712880000000001</v>
      </c>
      <c r="W4139">
        <v>-1.699502E-2</v>
      </c>
      <c r="X4139">
        <v>0.9929713</v>
      </c>
      <c r="Y4139">
        <v>7.6273969999999996E-2</v>
      </c>
      <c r="Z4139">
        <v>1.2366530000000001E-2</v>
      </c>
      <c r="AA4139">
        <v>0.99701019999999896</v>
      </c>
      <c r="AB4139">
        <v>15</v>
      </c>
      <c r="AC4139">
        <v>-0.6875</v>
      </c>
      <c r="AD4139">
        <v>-6.1441999999999997E-2</v>
      </c>
      <c r="AE4139">
        <v>-2.9500000000012901E-2</v>
      </c>
      <c r="AF4139">
        <v>6.2368202717996098E-2</v>
      </c>
      <c r="AG4139">
        <v>-6.1441999999999997E-2</v>
      </c>
      <c r="AH4139">
        <v>0.67983513295589004</v>
      </c>
      <c r="AI4139">
        <v>95.142756426867606</v>
      </c>
      <c r="AJ4139">
        <v>84.7583466161866</v>
      </c>
      <c r="AK4139">
        <v>0.68544928337217303</v>
      </c>
      <c r="AL4139">
        <v>90.973789804608401</v>
      </c>
      <c r="AM4139">
        <v>83.272597607023002</v>
      </c>
      <c r="AN4139">
        <v>0.99999999455896504</v>
      </c>
    </row>
    <row r="4140" spans="1:40" x14ac:dyDescent="0.25">
      <c r="A4140" t="str">
        <f>"20190312161051216"</f>
        <v>20190312161051216</v>
      </c>
      <c r="B4140" t="str">
        <f>"1552378251210383"</f>
        <v>1552378251210383</v>
      </c>
      <c r="C4140" t="s">
        <v>40</v>
      </c>
      <c r="D4140">
        <v>5.810492</v>
      </c>
      <c r="E4140">
        <v>0.48414180000000001</v>
      </c>
      <c r="F4140" t="s">
        <v>42</v>
      </c>
      <c r="G4140">
        <v>-216.95599999999999</v>
      </c>
      <c r="H4140">
        <v>1.0492250000000001</v>
      </c>
      <c r="I4140">
        <v>141.88640000000001</v>
      </c>
      <c r="J4140">
        <v>-216.44300000000001</v>
      </c>
      <c r="K4140">
        <v>1.1093489999999999</v>
      </c>
      <c r="L4140">
        <v>141.89750000000001</v>
      </c>
      <c r="M4140">
        <v>-0.99153119999999995</v>
      </c>
      <c r="N4140">
        <v>0</v>
      </c>
      <c r="O4140">
        <v>-0.12917780000000001</v>
      </c>
      <c r="P4140">
        <v>-0.99944710000000003</v>
      </c>
      <c r="Q4140">
        <v>-3.0341190000000001E-2</v>
      </c>
      <c r="R4140">
        <v>-1.3591890000000001E-2</v>
      </c>
      <c r="S4140">
        <v>-2.99234</v>
      </c>
      <c r="T4140">
        <v>-0.21773580000000001</v>
      </c>
      <c r="U4140">
        <v>-0.17080689999999901</v>
      </c>
      <c r="V4140">
        <v>0.11560040000000001</v>
      </c>
      <c r="W4140">
        <v>-1.7314309999999999E-2</v>
      </c>
      <c r="X4140">
        <v>0.9931449</v>
      </c>
      <c r="Y4140">
        <v>7.1940770000000001E-2</v>
      </c>
      <c r="Z4140">
        <v>1.196379E-2</v>
      </c>
      <c r="AA4140">
        <v>0.99733720000000003</v>
      </c>
      <c r="AB4140">
        <v>15</v>
      </c>
      <c r="AC4140">
        <v>-0.51300000000000501</v>
      </c>
      <c r="AD4140">
        <v>-6.0123999999999803E-2</v>
      </c>
      <c r="AE4140">
        <v>-1.1099999999999E-2</v>
      </c>
      <c r="AF4140">
        <v>5.4518642163001001E-2</v>
      </c>
      <c r="AG4140">
        <v>-6.0123999999999803E-2</v>
      </c>
      <c r="AH4140">
        <v>0.50322594370137197</v>
      </c>
      <c r="AI4140">
        <v>96.773973387327104</v>
      </c>
      <c r="AJ4140">
        <v>83.816788689214405</v>
      </c>
      <c r="AK4140">
        <v>0.50972887708411596</v>
      </c>
      <c r="AL4140">
        <v>90.992086446234694</v>
      </c>
      <c r="AM4140">
        <v>83.360743970304895</v>
      </c>
      <c r="AN4140">
        <v>1.00000001510347</v>
      </c>
    </row>
    <row r="4141" spans="1:40" x14ac:dyDescent="0.25">
      <c r="A4141" t="str">
        <f>"20190312161051237"</f>
        <v>20190312161051237</v>
      </c>
      <c r="B4141" t="str">
        <f>"1552378251230879"</f>
        <v>1552378251230879</v>
      </c>
      <c r="C4141" t="s">
        <v>40</v>
      </c>
      <c r="D4141">
        <v>5.8017310000000002</v>
      </c>
      <c r="E4141">
        <v>0.48402859999999998</v>
      </c>
      <c r="F4141" t="s">
        <v>42</v>
      </c>
      <c r="G4141">
        <v>-217.2328</v>
      </c>
      <c r="H4141">
        <v>1.0510330000000001</v>
      </c>
      <c r="I4141">
        <v>141.85390000000001</v>
      </c>
      <c r="J4141">
        <v>-216.58959999999999</v>
      </c>
      <c r="K4141">
        <v>1.109348</v>
      </c>
      <c r="L4141">
        <v>141.8811</v>
      </c>
      <c r="M4141">
        <v>-0.99181459999999999</v>
      </c>
      <c r="N4141">
        <v>0</v>
      </c>
      <c r="O4141">
        <v>-0.1269914</v>
      </c>
      <c r="P4141">
        <v>-0.99946570000000001</v>
      </c>
      <c r="Q4141">
        <v>-3.0797160000000001E-2</v>
      </c>
      <c r="R4141">
        <v>-1.0959139999999999E-2</v>
      </c>
      <c r="S4141">
        <v>-2.9927060000000001</v>
      </c>
      <c r="T4141">
        <v>-0.22092029999999999</v>
      </c>
      <c r="U4141">
        <v>-0.16569519999999999</v>
      </c>
      <c r="V4141">
        <v>0.11602419999999999</v>
      </c>
      <c r="W4141">
        <v>-1.783622E-2</v>
      </c>
      <c r="X4141">
        <v>0.99308620000000003</v>
      </c>
      <c r="Y4141">
        <v>7.1438450000000001E-2</v>
      </c>
      <c r="Z4141">
        <v>1.195937E-2</v>
      </c>
      <c r="AA4141">
        <v>0.99737330000000002</v>
      </c>
      <c r="AB4141">
        <v>15</v>
      </c>
      <c r="AC4141">
        <v>-0.64320000000000699</v>
      </c>
      <c r="AD4141">
        <v>-5.8315000000000103E-2</v>
      </c>
      <c r="AE4141">
        <v>-2.71999999999934E-2</v>
      </c>
      <c r="AF4141">
        <v>5.4263109708961997E-2</v>
      </c>
      <c r="AG4141">
        <v>-5.8315000000000103E-2</v>
      </c>
      <c r="AH4141">
        <v>0.63622568274692604</v>
      </c>
      <c r="AI4141">
        <v>95.218128740868195</v>
      </c>
      <c r="AJ4141">
        <v>85.125092642307095</v>
      </c>
      <c r="AK4141">
        <v>0.64119282878637895</v>
      </c>
      <c r="AL4141">
        <v>91.021994348733699</v>
      </c>
      <c r="AM4141">
        <v>83.336232105516402</v>
      </c>
      <c r="AN4141">
        <v>0.99999997317998301</v>
      </c>
    </row>
    <row r="4142" spans="1:40" x14ac:dyDescent="0.25">
      <c r="A4142" t="str">
        <f>"20190312161051259"</f>
        <v>20190312161051259</v>
      </c>
      <c r="B4142" t="str">
        <f>"1552378251251377"</f>
        <v>1552378251251377</v>
      </c>
      <c r="C4142" t="s">
        <v>40</v>
      </c>
      <c r="D4142">
        <v>5.9323069999999998</v>
      </c>
      <c r="E4142">
        <v>0.50078339999999999</v>
      </c>
      <c r="F4142" t="s">
        <v>42</v>
      </c>
      <c r="G4142">
        <v>-217.3708</v>
      </c>
      <c r="H4142">
        <v>1.0513969999999999</v>
      </c>
      <c r="I4142">
        <v>141.8399</v>
      </c>
      <c r="J4142">
        <v>-216.73920000000001</v>
      </c>
      <c r="K4142">
        <v>1.1093519999999999</v>
      </c>
      <c r="L4142">
        <v>141.8647</v>
      </c>
      <c r="M4142">
        <v>-0.99209530000000001</v>
      </c>
      <c r="N4142">
        <v>0</v>
      </c>
      <c r="O4142">
        <v>-0.1247861</v>
      </c>
      <c r="P4142">
        <v>-0.99948110000000001</v>
      </c>
      <c r="Q4142">
        <v>-3.1134060000000002E-2</v>
      </c>
      <c r="R4142">
        <v>-8.2614919999999901E-3</v>
      </c>
      <c r="S4142">
        <v>-2.9930110000000001</v>
      </c>
      <c r="T4142">
        <v>-0.22185150000000001</v>
      </c>
      <c r="U4142">
        <v>-0.15882869999999999</v>
      </c>
      <c r="V4142">
        <v>0.11649470000000001</v>
      </c>
      <c r="W4142">
        <v>-1.8241130000000001E-2</v>
      </c>
      <c r="X4142">
        <v>0.99302380000000001</v>
      </c>
      <c r="Y4142">
        <v>7.1509180000000006E-2</v>
      </c>
      <c r="Z4142">
        <v>1.185022E-2</v>
      </c>
      <c r="AA4142">
        <v>0.99736950000000002</v>
      </c>
      <c r="AB4142">
        <v>15</v>
      </c>
      <c r="AC4142">
        <v>-0.63159999999999095</v>
      </c>
      <c r="AD4142">
        <v>-5.7955000000000201E-2</v>
      </c>
      <c r="AE4142">
        <v>-2.4799999999999E-2</v>
      </c>
      <c r="AF4142">
        <v>5.3763712269739E-2</v>
      </c>
      <c r="AG4142">
        <v>-5.7955000000000201E-2</v>
      </c>
      <c r="AH4142">
        <v>0.62450722090223598</v>
      </c>
      <c r="AI4142">
        <v>95.282501696710995</v>
      </c>
      <c r="AJ4142">
        <v>85.079548806840407</v>
      </c>
      <c r="AK4142">
        <v>0.62949073681910295</v>
      </c>
      <c r="AL4142">
        <v>91.045197719849995</v>
      </c>
      <c r="AM4142">
        <v>83.309037153218597</v>
      </c>
      <c r="AN4142">
        <v>1.0000000106591</v>
      </c>
    </row>
    <row r="4143" spans="1:40" x14ac:dyDescent="0.25">
      <c r="A4143" t="str">
        <f>"20190312161051281"</f>
        <v>20190312161051281</v>
      </c>
      <c r="B4143" t="str">
        <f>"1552378251270895"</f>
        <v>1552378251270895</v>
      </c>
      <c r="C4143" t="s">
        <v>40</v>
      </c>
      <c r="D4143">
        <v>5.8367290000000001</v>
      </c>
      <c r="E4143">
        <v>0.50227670000000002</v>
      </c>
      <c r="F4143" t="s">
        <v>41</v>
      </c>
      <c r="G4143">
        <v>-252.11179999999999</v>
      </c>
      <c r="H4143" s="1">
        <v>-3.9063250000000002E-6</v>
      </c>
      <c r="I4143">
        <v>141.64570000000001</v>
      </c>
      <c r="J4143">
        <v>-216.893</v>
      </c>
      <c r="K4143">
        <v>1.1093519999999999</v>
      </c>
      <c r="L4143">
        <v>141.84809999999999</v>
      </c>
      <c r="M4143">
        <v>-0.99237629999999999</v>
      </c>
      <c r="N4143">
        <v>0</v>
      </c>
      <c r="O4143">
        <v>-0.1225392</v>
      </c>
      <c r="P4143">
        <v>-0.99948049999999999</v>
      </c>
      <c r="Q4143">
        <v>-3.171682E-2</v>
      </c>
      <c r="R4143">
        <v>-5.7511209999999997E-3</v>
      </c>
      <c r="S4143">
        <v>-2.9984890000000002</v>
      </c>
      <c r="T4143">
        <v>-9.4038839999999999E-2</v>
      </c>
      <c r="U4143">
        <v>-1.8554689999999999E-2</v>
      </c>
      <c r="V4143">
        <v>0.11673699999999999</v>
      </c>
      <c r="W4143">
        <v>-1.8894319999999999E-2</v>
      </c>
      <c r="X4143">
        <v>0.99298310000000001</v>
      </c>
      <c r="Y4143">
        <v>0.11628910000000001</v>
      </c>
      <c r="Z4143">
        <v>5.6578699999999997E-3</v>
      </c>
      <c r="AA4143">
        <v>0.99319930000000001</v>
      </c>
      <c r="AB4143">
        <v>15</v>
      </c>
      <c r="AC4143">
        <v>-35.218799999999902</v>
      </c>
      <c r="AD4143">
        <v>-1.109355906325</v>
      </c>
      <c r="AE4143">
        <v>-0.20239999999998301</v>
      </c>
      <c r="AF4143">
        <v>4.1111046224557004</v>
      </c>
      <c r="AG4143">
        <v>-1.109355906325</v>
      </c>
      <c r="AH4143">
        <v>34.943468275595102</v>
      </c>
      <c r="AI4143">
        <v>91.805920496608607</v>
      </c>
      <c r="AJ4143">
        <v>83.289987951696403</v>
      </c>
      <c r="AK4143">
        <v>35.201957713615798</v>
      </c>
      <c r="AL4143">
        <v>91.082629236870901</v>
      </c>
      <c r="AM4143">
        <v>83.294974726414395</v>
      </c>
      <c r="AN4143">
        <v>0.99999997969143595</v>
      </c>
    </row>
    <row r="4144" spans="1:40" x14ac:dyDescent="0.25">
      <c r="A4144" t="str">
        <f>"20190312161051305"</f>
        <v>20190312161051305</v>
      </c>
      <c r="B4144" t="str">
        <f>"1552378251301151"</f>
        <v>1552378251301151</v>
      </c>
      <c r="C4144" t="s">
        <v>40</v>
      </c>
      <c r="D4144">
        <v>5.9233120000000001</v>
      </c>
      <c r="E4144">
        <v>0.50249650000000001</v>
      </c>
      <c r="F4144" t="s">
        <v>41</v>
      </c>
      <c r="G4144">
        <v>-256.14890000000003</v>
      </c>
      <c r="H4144" s="1">
        <v>-2.2310630000000002E-6</v>
      </c>
      <c r="I4144">
        <v>141.8586</v>
      </c>
      <c r="J4144">
        <v>-217.04679999999999</v>
      </c>
      <c r="K4144">
        <v>1.1093519999999999</v>
      </c>
      <c r="L4144">
        <v>141.83179999999999</v>
      </c>
      <c r="M4144">
        <v>-0.99265009999999998</v>
      </c>
      <c r="N4144">
        <v>0</v>
      </c>
      <c r="O4144">
        <v>-0.1203099</v>
      </c>
      <c r="P4144">
        <v>-0.99950700000000003</v>
      </c>
      <c r="Q4144">
        <v>-3.1171109999999998E-2</v>
      </c>
      <c r="R4144">
        <v>-3.7863990000000002E-3</v>
      </c>
      <c r="S4144">
        <v>-2.998856</v>
      </c>
      <c r="T4144">
        <v>-8.4746479999999999E-2</v>
      </c>
      <c r="U4144">
        <v>8.0871580000000005E-4</v>
      </c>
      <c r="V4144">
        <v>0.11646189999999999</v>
      </c>
      <c r="W4144">
        <v>-1.8421389999999999E-2</v>
      </c>
      <c r="X4144">
        <v>0.99302429999999997</v>
      </c>
      <c r="Y4144">
        <v>0.1204919</v>
      </c>
      <c r="Z4144">
        <v>5.0955260000000004E-3</v>
      </c>
      <c r="AA4144">
        <v>0.99270119999999895</v>
      </c>
      <c r="AB4144">
        <v>15</v>
      </c>
      <c r="AC4144">
        <v>-39.1021</v>
      </c>
      <c r="AD4144">
        <v>-1.109354231063</v>
      </c>
      <c r="AE4144">
        <v>2.6800000000008602E-2</v>
      </c>
      <c r="AF4144">
        <v>4.7275728322179598</v>
      </c>
      <c r="AG4144">
        <v>-1.109354231063</v>
      </c>
      <c r="AH4144">
        <v>38.783587155379401</v>
      </c>
      <c r="AI4144">
        <v>91.626392812663497</v>
      </c>
      <c r="AJ4144">
        <v>83.050147380670495</v>
      </c>
      <c r="AK4144">
        <v>39.086407411436703</v>
      </c>
      <c r="AL4144">
        <v>91.055527613387696</v>
      </c>
      <c r="AM4144">
        <v>83.310907310180994</v>
      </c>
      <c r="AN4144">
        <v>0.99999999107581605</v>
      </c>
    </row>
    <row r="4145" spans="1:40" x14ac:dyDescent="0.25">
      <c r="A4145" t="str">
        <f>"20190312161051325"</f>
        <v>20190312161051325</v>
      </c>
      <c r="B4145" t="str">
        <f>"1552378251320670"</f>
        <v>1552378251320670</v>
      </c>
      <c r="C4145" t="s">
        <v>40</v>
      </c>
      <c r="D4145">
        <v>5.736008</v>
      </c>
      <c r="E4145">
        <v>0.50229499999999905</v>
      </c>
      <c r="F4145" t="s">
        <v>41</v>
      </c>
      <c r="G4145">
        <v>-256.39420000000001</v>
      </c>
      <c r="H4145" s="1">
        <v>-2.1480329999999999E-6</v>
      </c>
      <c r="I4145">
        <v>141.94200000000001</v>
      </c>
      <c r="J4145">
        <v>-217.19069999999999</v>
      </c>
      <c r="K4145">
        <v>1.1093459999999999</v>
      </c>
      <c r="L4145">
        <v>141.8169</v>
      </c>
      <c r="M4145">
        <v>-0.99290009999999995</v>
      </c>
      <c r="N4145">
        <v>0</v>
      </c>
      <c r="O4145">
        <v>-0.1182375</v>
      </c>
      <c r="P4145">
        <v>-0.99949829999999995</v>
      </c>
      <c r="Q4145">
        <v>-3.1589020000000002E-2</v>
      </c>
      <c r="R4145">
        <v>-2.3955270000000002E-3</v>
      </c>
      <c r="S4145">
        <v>-2.9988709999999998</v>
      </c>
      <c r="T4145">
        <v>-8.4549669999999993E-2</v>
      </c>
      <c r="U4145">
        <v>8.4075929999999997E-3</v>
      </c>
      <c r="V4145">
        <v>0.1157687</v>
      </c>
      <c r="W4145">
        <v>-1.890944E-2</v>
      </c>
      <c r="X4145">
        <v>0.99309619999999998</v>
      </c>
      <c r="Y4145">
        <v>0.1209361</v>
      </c>
      <c r="Z4145">
        <v>5.0319350000000004E-3</v>
      </c>
      <c r="AA4145">
        <v>0.99264750000000002</v>
      </c>
      <c r="AB4145">
        <v>15</v>
      </c>
      <c r="AC4145">
        <v>-39.203499999999998</v>
      </c>
      <c r="AD4145">
        <v>-1.1093481480330001</v>
      </c>
      <c r="AE4145">
        <v>0.12510000000000299</v>
      </c>
      <c r="AF4145">
        <v>4.7561302070887201</v>
      </c>
      <c r="AG4145">
        <v>-1.1093481480330001</v>
      </c>
      <c r="AH4145">
        <v>38.882527363402097</v>
      </c>
      <c r="AI4145">
        <v>91.622164864590005</v>
      </c>
      <c r="AJ4145">
        <v>83.0261952731029</v>
      </c>
      <c r="AK4145">
        <v>39.188038506999</v>
      </c>
      <c r="AL4145">
        <v>91.083495670340696</v>
      </c>
      <c r="AM4145">
        <v>83.350841378661499</v>
      </c>
      <c r="AN4145">
        <v>1.0000000106376199</v>
      </c>
    </row>
    <row r="4146" spans="1:40" x14ac:dyDescent="0.25">
      <c r="A4146" t="str">
        <f>"20190312161051347"</f>
        <v>20190312161051347</v>
      </c>
      <c r="B4146" t="str">
        <f>"1552378251341168"</f>
        <v>1552378251341168</v>
      </c>
      <c r="C4146" t="s">
        <v>40</v>
      </c>
      <c r="D4146">
        <v>5.9328690000000002</v>
      </c>
      <c r="E4146">
        <v>0.50213909999999995</v>
      </c>
      <c r="F4146" t="s">
        <v>41</v>
      </c>
      <c r="G4146">
        <v>-256.26670000000001</v>
      </c>
      <c r="H4146" s="1">
        <v>-2.207666E-6</v>
      </c>
      <c r="I4146">
        <v>141.9605</v>
      </c>
      <c r="J4146">
        <v>-217.3493</v>
      </c>
      <c r="K4146">
        <v>1.1093360000000001</v>
      </c>
      <c r="L4146">
        <v>141.80080000000001</v>
      </c>
      <c r="M4146">
        <v>-0.99316879999999996</v>
      </c>
      <c r="N4146">
        <v>0</v>
      </c>
      <c r="O4146">
        <v>-0.1159665</v>
      </c>
      <c r="P4146">
        <v>-0.99947929999999996</v>
      </c>
      <c r="Q4146">
        <v>-3.2266469999999998E-2</v>
      </c>
      <c r="R4146">
        <v>1.462934E-4</v>
      </c>
      <c r="S4146">
        <v>-2.998856</v>
      </c>
      <c r="T4146">
        <v>-8.513606E-2</v>
      </c>
      <c r="U4146">
        <v>1.10321E-2</v>
      </c>
      <c r="V4146">
        <v>0.11601880000000001</v>
      </c>
      <c r="W4146">
        <v>-1.966704E-2</v>
      </c>
      <c r="X4146">
        <v>0.9930523</v>
      </c>
      <c r="Y4146">
        <v>0.1195346</v>
      </c>
      <c r="Z4146">
        <v>4.9828549999999996E-3</v>
      </c>
      <c r="AA4146">
        <v>0.99281750000000002</v>
      </c>
      <c r="AB4146">
        <v>15</v>
      </c>
      <c r="AC4146">
        <v>-38.917400000000001</v>
      </c>
      <c r="AD4146">
        <v>-1.1093382076659899</v>
      </c>
      <c r="AE4146">
        <v>0.15969999999998599</v>
      </c>
      <c r="AF4146">
        <v>4.6683219478974998</v>
      </c>
      <c r="AG4146">
        <v>-1.1093382076659899</v>
      </c>
      <c r="AH4146">
        <v>38.604896464133702</v>
      </c>
      <c r="AI4146">
        <v>91.634082894856206</v>
      </c>
      <c r="AJ4146">
        <v>83.104949728665403</v>
      </c>
      <c r="AK4146">
        <v>38.901952291301399</v>
      </c>
      <c r="AL4146">
        <v>91.126911028200098</v>
      </c>
      <c r="AM4146">
        <v>83.336314035566105</v>
      </c>
      <c r="AN4146">
        <v>1.0000000124755399</v>
      </c>
    </row>
    <row r="4147" spans="1:40" x14ac:dyDescent="0.25">
      <c r="A4147" t="str">
        <f>"20190312161051370"</f>
        <v>20190312161051370</v>
      </c>
      <c r="B4147" t="str">
        <f>"1552378251360687"</f>
        <v>1552378251360687</v>
      </c>
      <c r="C4147" t="s">
        <v>40</v>
      </c>
      <c r="D4147">
        <v>5.9817499999999999</v>
      </c>
      <c r="E4147">
        <v>0.5017064</v>
      </c>
      <c r="F4147" t="s">
        <v>41</v>
      </c>
      <c r="G4147">
        <v>-255.5583</v>
      </c>
      <c r="H4147" s="1">
        <v>-2.5279930000000002E-6</v>
      </c>
      <c r="I4147">
        <v>142.0223</v>
      </c>
      <c r="J4147">
        <v>-217.5042</v>
      </c>
      <c r="K4147">
        <v>1.1093280000000001</v>
      </c>
      <c r="L4147">
        <v>141.78540000000001</v>
      </c>
      <c r="M4147">
        <v>-0.993425</v>
      </c>
      <c r="N4147">
        <v>0</v>
      </c>
      <c r="O4147">
        <v>-0.11375979999999999</v>
      </c>
      <c r="P4147">
        <v>-0.99946210000000002</v>
      </c>
      <c r="Q4147">
        <v>-3.2679979999999997E-2</v>
      </c>
      <c r="R4147">
        <v>2.7266159999999998E-3</v>
      </c>
      <c r="S4147">
        <v>-2.9987490000000001</v>
      </c>
      <c r="T4147">
        <v>-8.7064150000000007E-2</v>
      </c>
      <c r="U4147">
        <v>1.7395020000000001E-2</v>
      </c>
      <c r="V4147">
        <v>0.1163733</v>
      </c>
      <c r="W4147">
        <v>-2.015774E-2</v>
      </c>
      <c r="X4147">
        <v>0.99300100000000002</v>
      </c>
      <c r="Y4147">
        <v>0.1194322</v>
      </c>
      <c r="Z4147">
        <v>5.0306739999999997E-3</v>
      </c>
      <c r="AA4147">
        <v>0.99282959999999998</v>
      </c>
      <c r="AB4147">
        <v>15</v>
      </c>
      <c r="AC4147">
        <v>-38.054099999999998</v>
      </c>
      <c r="AD4147">
        <v>-1.1093305279929999</v>
      </c>
      <c r="AE4147">
        <v>0.23689999999999101</v>
      </c>
      <c r="AF4147">
        <v>4.5608711856638102</v>
      </c>
      <c r="AG4147">
        <v>-1.1093305279929999</v>
      </c>
      <c r="AH4147">
        <v>37.747993425865502</v>
      </c>
      <c r="AI4147">
        <v>91.671165418492905</v>
      </c>
      <c r="AJ4147">
        <v>83.110678197958407</v>
      </c>
      <c r="AK4147">
        <v>38.038706180307202</v>
      </c>
      <c r="AL4147">
        <v>91.155031619265699</v>
      </c>
      <c r="AM4147">
        <v>83.315794651188298</v>
      </c>
      <c r="AN4147">
        <v>1.00000003271789</v>
      </c>
    </row>
    <row r="4148" spans="1:40" x14ac:dyDescent="0.25">
      <c r="A4148" t="str">
        <f>"20190312161051396"</f>
        <v>20190312161051396</v>
      </c>
      <c r="B4148" t="str">
        <f>"1552378251390943"</f>
        <v>1552378251390943</v>
      </c>
      <c r="C4148" t="s">
        <v>40</v>
      </c>
      <c r="D4148">
        <v>5.84917</v>
      </c>
      <c r="E4148">
        <v>0.50167039999999996</v>
      </c>
      <c r="F4148" t="s">
        <v>41</v>
      </c>
      <c r="G4148">
        <v>-256.79340000000002</v>
      </c>
      <c r="H4148" s="1">
        <v>-2.0105999999999999E-6</v>
      </c>
      <c r="I4148">
        <v>142.0692</v>
      </c>
      <c r="J4148">
        <v>-217.6814</v>
      </c>
      <c r="K4148">
        <v>1.1093109999999999</v>
      </c>
      <c r="L4148">
        <v>141.76820000000001</v>
      </c>
      <c r="M4148">
        <v>-0.99371109999999896</v>
      </c>
      <c r="N4148">
        <v>0</v>
      </c>
      <c r="O4148">
        <v>-0.11124249999999999</v>
      </c>
      <c r="P4148">
        <v>-0.99946460000000004</v>
      </c>
      <c r="Q4148">
        <v>-3.221823E-2</v>
      </c>
      <c r="R4148">
        <v>5.7210739999999996E-3</v>
      </c>
      <c r="S4148">
        <v>-2.9987789999999999</v>
      </c>
      <c r="T4148">
        <v>-8.4670540000000002E-2</v>
      </c>
      <c r="U4148">
        <v>2.1667479999999999E-2</v>
      </c>
      <c r="V4148">
        <v>0.1168347</v>
      </c>
      <c r="W4148">
        <v>-1.9783760000000001E-2</v>
      </c>
      <c r="X4148">
        <v>0.99295429999999996</v>
      </c>
      <c r="Y4148">
        <v>0.1183377</v>
      </c>
      <c r="Z4148">
        <v>4.8062240000000004E-3</v>
      </c>
      <c r="AA4148">
        <v>0.99296180000000001</v>
      </c>
      <c r="AB4148">
        <v>15</v>
      </c>
      <c r="AC4148">
        <v>-39.112000000000002</v>
      </c>
      <c r="AD4148">
        <v>-1.1093130106</v>
      </c>
      <c r="AE4148">
        <v>0.300999999999987</v>
      </c>
      <c r="AF4148">
        <v>4.6466658568741996</v>
      </c>
      <c r="AG4148">
        <v>-1.1093130106</v>
      </c>
      <c r="AH4148">
        <v>38.804503051586501</v>
      </c>
      <c r="AI4148">
        <v>91.625872403789003</v>
      </c>
      <c r="AJ4148">
        <v>83.171599998702405</v>
      </c>
      <c r="AK4148">
        <v>39.097462015091402</v>
      </c>
      <c r="AL4148">
        <v>91.133599914904394</v>
      </c>
      <c r="AM4148">
        <v>83.289221425034</v>
      </c>
      <c r="AN4148">
        <v>0.99999999308615795</v>
      </c>
    </row>
    <row r="4149" spans="1:40" x14ac:dyDescent="0.25">
      <c r="A4149" t="str">
        <f>"20190312161051418"</f>
        <v>20190312161051418</v>
      </c>
      <c r="B4149" t="str">
        <f>"1552378251411440"</f>
        <v>1552378251411440</v>
      </c>
      <c r="C4149" t="s">
        <v>40</v>
      </c>
      <c r="D4149">
        <v>5.9292049999999996</v>
      </c>
      <c r="E4149">
        <v>0.50093350000000003</v>
      </c>
      <c r="F4149" t="s">
        <v>41</v>
      </c>
      <c r="G4149">
        <v>-259.99950000000001</v>
      </c>
      <c r="H4149" s="1">
        <v>-4.7336919999999999E-6</v>
      </c>
      <c r="I4149">
        <v>142.1953</v>
      </c>
      <c r="J4149">
        <v>-217.82509999999999</v>
      </c>
      <c r="K4149">
        <v>1.109299</v>
      </c>
      <c r="L4149">
        <v>141.75450000000001</v>
      </c>
      <c r="M4149">
        <v>-0.9939384</v>
      </c>
      <c r="N4149">
        <v>0</v>
      </c>
      <c r="O4149">
        <v>-0.1092007</v>
      </c>
      <c r="P4149">
        <v>-0.99946109999999999</v>
      </c>
      <c r="Q4149">
        <v>-3.1914739999999997E-2</v>
      </c>
      <c r="R4149">
        <v>7.683161E-3</v>
      </c>
      <c r="S4149">
        <v>-2.9989170000000001</v>
      </c>
      <c r="T4149">
        <v>-7.8612920000000003E-2</v>
      </c>
      <c r="U4149">
        <v>3.0273439999999999E-2</v>
      </c>
      <c r="V4149">
        <v>0.1167453</v>
      </c>
      <c r="W4149">
        <v>-1.9550479999999999E-2</v>
      </c>
      <c r="X4149">
        <v>0.99296949999999995</v>
      </c>
      <c r="Y4149">
        <v>0.1191595</v>
      </c>
      <c r="Z4149">
        <v>4.4198329999999997E-3</v>
      </c>
      <c r="AA4149">
        <v>0.99286529999999995</v>
      </c>
      <c r="AB4149">
        <v>15</v>
      </c>
      <c r="AC4149">
        <v>-42.174399999999999</v>
      </c>
      <c r="AD4149">
        <v>-1.109303733692</v>
      </c>
      <c r="AE4149">
        <v>0.44079999999999497</v>
      </c>
      <c r="AF4149">
        <v>5.0405229489286603</v>
      </c>
      <c r="AG4149">
        <v>-1.109303733692</v>
      </c>
      <c r="AH4149">
        <v>41.845058134119697</v>
      </c>
      <c r="AI4149">
        <v>91.507650052257503</v>
      </c>
      <c r="AJ4149">
        <v>83.131425255641105</v>
      </c>
      <c r="AK4149">
        <v>42.1621431692</v>
      </c>
      <c r="AL4149">
        <v>91.120231297880494</v>
      </c>
      <c r="AM4149">
        <v>83.294411336044206</v>
      </c>
      <c r="AN4149">
        <v>1.0000000571352801</v>
      </c>
    </row>
    <row r="4150" spans="1:40" x14ac:dyDescent="0.25">
      <c r="A4150" t="str">
        <f>"20190312161051438"</f>
        <v>20190312161051438</v>
      </c>
      <c r="B4150" t="str">
        <f>"1552378251430959"</f>
        <v>1552378251430959</v>
      </c>
      <c r="C4150" t="s">
        <v>40</v>
      </c>
      <c r="D4150">
        <v>5.9824380000000001</v>
      </c>
      <c r="E4150">
        <v>0.50024869999999999</v>
      </c>
      <c r="F4150" t="s">
        <v>41</v>
      </c>
      <c r="G4150">
        <v>-261.02550000000002</v>
      </c>
      <c r="H4150" s="1">
        <v>-4.3837029999999999E-6</v>
      </c>
      <c r="I4150">
        <v>142.19059999999999</v>
      </c>
      <c r="J4150">
        <v>-217.9693</v>
      </c>
      <c r="K4150">
        <v>1.1092770000000001</v>
      </c>
      <c r="L4150">
        <v>141.74119999999999</v>
      </c>
      <c r="M4150">
        <v>-0.99416260000000001</v>
      </c>
      <c r="N4150">
        <v>0</v>
      </c>
      <c r="O4150">
        <v>-0.1071511</v>
      </c>
      <c r="P4150">
        <v>-0.99946699999999999</v>
      </c>
      <c r="Q4150">
        <v>-3.1199379999999999E-2</v>
      </c>
      <c r="R4150">
        <v>9.6211249999999995E-3</v>
      </c>
      <c r="S4150">
        <v>-2.9989170000000001</v>
      </c>
      <c r="T4150">
        <v>-7.7006580000000005E-2</v>
      </c>
      <c r="U4150">
        <v>3.0273439999999999E-2</v>
      </c>
      <c r="V4150">
        <v>0.1166268</v>
      </c>
      <c r="W4150">
        <v>-1.890584E-2</v>
      </c>
      <c r="X4150">
        <v>0.99299590000000004</v>
      </c>
      <c r="Y4150">
        <v>0.1171165</v>
      </c>
      <c r="Z4150">
        <v>4.2509150000000001E-3</v>
      </c>
      <c r="AA4150">
        <v>0.99310909999999997</v>
      </c>
      <c r="AB4150">
        <v>15</v>
      </c>
      <c r="AC4150">
        <v>-43.056199999999997</v>
      </c>
      <c r="AD4150">
        <v>-1.109281383703</v>
      </c>
      <c r="AE4150">
        <v>0.44939999999999702</v>
      </c>
      <c r="AF4150">
        <v>5.0573426297291801</v>
      </c>
      <c r="AG4150">
        <v>-1.109281383703</v>
      </c>
      <c r="AH4150">
        <v>42.731756830275103</v>
      </c>
      <c r="AI4150">
        <v>91.476715952032805</v>
      </c>
      <c r="AJ4150">
        <v>83.250388867140401</v>
      </c>
      <c r="AK4150">
        <v>43.044282564174203</v>
      </c>
      <c r="AL4150">
        <v>91.083289326725506</v>
      </c>
      <c r="AM4150">
        <v>83.301332300761899</v>
      </c>
      <c r="AN4150">
        <v>1.0000000493405701</v>
      </c>
    </row>
    <row r="4151" spans="1:40" x14ac:dyDescent="0.25">
      <c r="A4151" t="str">
        <f>"20190312161051460"</f>
        <v>20190312161051460</v>
      </c>
      <c r="B4151" t="str">
        <f>"1552378251450479"</f>
        <v>1552378251450479</v>
      </c>
      <c r="C4151" t="s">
        <v>40</v>
      </c>
      <c r="D4151">
        <v>5.8778709999999998</v>
      </c>
      <c r="E4151">
        <v>0.49952950000000002</v>
      </c>
      <c r="F4151" t="s">
        <v>41</v>
      </c>
      <c r="G4151">
        <v>-262.62430000000001</v>
      </c>
      <c r="H4151" s="1">
        <v>-3.8329799999999998E-6</v>
      </c>
      <c r="I4151">
        <v>142.19640000000001</v>
      </c>
      <c r="J4151">
        <v>-218.11789999999999</v>
      </c>
      <c r="K4151">
        <v>1.109262</v>
      </c>
      <c r="L4151">
        <v>141.7277</v>
      </c>
      <c r="M4151">
        <v>-0.99438910000000003</v>
      </c>
      <c r="N4151">
        <v>0</v>
      </c>
      <c r="O4151">
        <v>-0.10503609999999999</v>
      </c>
      <c r="P4151">
        <v>-0.9994364</v>
      </c>
      <c r="Q4151">
        <v>-3.1524999999999997E-2</v>
      </c>
      <c r="R4151">
        <v>1.1529930000000001E-2</v>
      </c>
      <c r="S4151">
        <v>-2.998993</v>
      </c>
      <c r="T4151">
        <v>-7.4498300000000003E-2</v>
      </c>
      <c r="U4151">
        <v>3.0578609999999999E-2</v>
      </c>
      <c r="V4151">
        <v>0.1164089</v>
      </c>
      <c r="W4151">
        <v>-1.930407E-2</v>
      </c>
      <c r="X4151">
        <v>0.9930137</v>
      </c>
      <c r="Y4151">
        <v>0.1151105</v>
      </c>
      <c r="Z4151">
        <v>4.0351570000000002E-3</v>
      </c>
      <c r="AA4151">
        <v>0.99334449999999996</v>
      </c>
      <c r="AB4151">
        <v>15</v>
      </c>
      <c r="AC4151">
        <v>-44.506399999999999</v>
      </c>
      <c r="AD4151">
        <v>-1.10926583298</v>
      </c>
      <c r="AE4151">
        <v>0.468700000000012</v>
      </c>
      <c r="AF4151">
        <v>5.1380629741139296</v>
      </c>
      <c r="AG4151">
        <v>-1.10926583298</v>
      </c>
      <c r="AH4151">
        <v>44.183492155715399</v>
      </c>
      <c r="AI4151">
        <v>91.428536638224003</v>
      </c>
      <c r="AJ4151">
        <v>83.366912685830002</v>
      </c>
      <c r="AK4151">
        <v>44.495068725515402</v>
      </c>
      <c r="AL4151">
        <v>91.106110506048196</v>
      </c>
      <c r="AM4151">
        <v>83.313853121028203</v>
      </c>
      <c r="AN4151">
        <v>0.99999994375273005</v>
      </c>
    </row>
    <row r="4152" spans="1:40" x14ac:dyDescent="0.25">
      <c r="A4152" t="str">
        <f>"20190312161051527"</f>
        <v>20190312161051527</v>
      </c>
      <c r="B4152" t="str">
        <f>"1552378251521575"</f>
        <v>1552378251521575</v>
      </c>
      <c r="C4152" t="s">
        <v>40</v>
      </c>
      <c r="D4152">
        <v>5.9595840000000004</v>
      </c>
      <c r="E4152">
        <v>0.49378820000000001</v>
      </c>
      <c r="F4152" t="s">
        <v>41</v>
      </c>
      <c r="G4152">
        <v>-262.60300000000001</v>
      </c>
      <c r="H4152" s="1">
        <v>-3.8380770000000001E-6</v>
      </c>
      <c r="I4152">
        <v>142.18119999999999</v>
      </c>
      <c r="J4152">
        <v>-218.57929999999999</v>
      </c>
      <c r="K4152">
        <v>1.1092310000000001</v>
      </c>
      <c r="L4152">
        <v>141.68790000000001</v>
      </c>
      <c r="M4152">
        <v>-0.99506559999999999</v>
      </c>
      <c r="N4152">
        <v>0</v>
      </c>
      <c r="O4152">
        <v>-9.8450300000000004E-2</v>
      </c>
      <c r="P4152">
        <v>-0.99939389999999995</v>
      </c>
      <c r="Q4152">
        <v>-3.0020430000000001E-2</v>
      </c>
      <c r="R4152">
        <v>1.7624770000000001E-2</v>
      </c>
      <c r="S4152">
        <v>-2.9989780000000001</v>
      </c>
      <c r="T4152">
        <v>-7.4781420000000001E-2</v>
      </c>
      <c r="U4152">
        <v>3.0578609999999999E-2</v>
      </c>
      <c r="V4152">
        <v>0.11589720000000001</v>
      </c>
      <c r="W4152">
        <v>-1.8033790000000001E-2</v>
      </c>
      <c r="X4152">
        <v>0.99309749999999997</v>
      </c>
      <c r="Y4152">
        <v>0.1085347</v>
      </c>
      <c r="Z4152">
        <v>3.8049260000000001E-3</v>
      </c>
      <c r="AA4152">
        <v>0.99408540000000001</v>
      </c>
      <c r="AB4152">
        <v>15</v>
      </c>
      <c r="AC4152">
        <v>-44.023699999999998</v>
      </c>
      <c r="AD4152">
        <v>-1.1092348380770001</v>
      </c>
      <c r="AE4152">
        <v>0.49329999999997598</v>
      </c>
      <c r="AF4152">
        <v>4.8223179675753496</v>
      </c>
      <c r="AG4152">
        <v>-1.1092348380770001</v>
      </c>
      <c r="AH4152">
        <v>43.733468799638402</v>
      </c>
      <c r="AI4152">
        <v>91.444162079711901</v>
      </c>
      <c r="AJ4152">
        <v>83.7076392087708</v>
      </c>
      <c r="AK4152">
        <v>44.0125146493057</v>
      </c>
      <c r="AL4152">
        <v>91.033316057632604</v>
      </c>
      <c r="AM4152">
        <v>83.343535829333007</v>
      </c>
      <c r="AN4152">
        <v>1.00000001152792</v>
      </c>
    </row>
    <row r="4153" spans="1:40" x14ac:dyDescent="0.25">
      <c r="A4153" t="str">
        <f>"20190312161051549"</f>
        <v>20190312161051549</v>
      </c>
      <c r="B4153" t="str">
        <f>"1552378251541096"</f>
        <v>1552378251541096</v>
      </c>
      <c r="C4153" t="s">
        <v>40</v>
      </c>
      <c r="D4153">
        <v>5.848948</v>
      </c>
      <c r="E4153">
        <v>0.49448619999999999</v>
      </c>
      <c r="F4153" t="s">
        <v>41</v>
      </c>
      <c r="G4153">
        <v>-257.34379999999999</v>
      </c>
      <c r="H4153" s="1">
        <v>-1.6844670000000001E-6</v>
      </c>
      <c r="I4153">
        <v>141.73079999999999</v>
      </c>
      <c r="J4153">
        <v>-218.7328</v>
      </c>
      <c r="K4153">
        <v>1.1092249999999999</v>
      </c>
      <c r="L4153">
        <v>141.6754</v>
      </c>
      <c r="M4153">
        <v>-0.99528099999999997</v>
      </c>
      <c r="N4153">
        <v>0</v>
      </c>
      <c r="O4153">
        <v>-9.625918E-2</v>
      </c>
      <c r="P4153">
        <v>-0.99936409999999998</v>
      </c>
      <c r="Q4153">
        <v>-2.9784669999999999E-2</v>
      </c>
      <c r="R4153">
        <v>1.9608649999999998E-2</v>
      </c>
      <c r="S4153">
        <v>-2.9991759999999998</v>
      </c>
      <c r="T4153">
        <v>-8.5820560000000004E-2</v>
      </c>
      <c r="U4153">
        <v>3.326416E-3</v>
      </c>
      <c r="V4153">
        <v>0.1156831</v>
      </c>
      <c r="W4153">
        <v>-1.7875329999999998E-2</v>
      </c>
      <c r="X4153">
        <v>0.99312529999999999</v>
      </c>
      <c r="Y4153">
        <v>9.7291160000000002E-2</v>
      </c>
      <c r="Z4153">
        <v>4.1425949999999998E-3</v>
      </c>
      <c r="AA4153">
        <v>0.9952474</v>
      </c>
      <c r="AB4153">
        <v>15</v>
      </c>
      <c r="AC4153">
        <v>-38.610999999999898</v>
      </c>
      <c r="AD4153">
        <v>-1.109226684467</v>
      </c>
      <c r="AE4153">
        <v>5.5399999999991602E-2</v>
      </c>
      <c r="AF4153">
        <v>3.7689739216017002</v>
      </c>
      <c r="AG4153">
        <v>-1.109226684467</v>
      </c>
      <c r="AH4153">
        <v>38.394654589699101</v>
      </c>
      <c r="AI4153">
        <v>91.646910863000898</v>
      </c>
      <c r="AJ4153">
        <v>84.393577650768506</v>
      </c>
      <c r="AK4153">
        <v>38.595142820328398</v>
      </c>
      <c r="AL4153">
        <v>91.0242355326736</v>
      </c>
      <c r="AM4153">
        <v>83.355906774465296</v>
      </c>
      <c r="AN4153">
        <v>0.99999998427415404</v>
      </c>
    </row>
    <row r="4154" spans="1:40" x14ac:dyDescent="0.25">
      <c r="A4154" t="str">
        <f>"20190312161051571"</f>
        <v>20190312161051571</v>
      </c>
      <c r="B4154" t="str">
        <f>"1552378251560619"</f>
        <v>1552378251560619</v>
      </c>
      <c r="C4154" t="s">
        <v>40</v>
      </c>
      <c r="D4154">
        <v>5.8422419999999997</v>
      </c>
      <c r="E4154">
        <v>0.49399399999999899</v>
      </c>
      <c r="F4154" t="s">
        <v>41</v>
      </c>
      <c r="G4154">
        <v>-255.79499999999999</v>
      </c>
      <c r="H4154" s="1">
        <v>-2.3829839999999999E-6</v>
      </c>
      <c r="I4154">
        <v>141.85900000000001</v>
      </c>
      <c r="J4154">
        <v>-218.886</v>
      </c>
      <c r="K4154">
        <v>1.109213</v>
      </c>
      <c r="L4154">
        <v>141.66319999999999</v>
      </c>
      <c r="M4154">
        <v>-0.9954906</v>
      </c>
      <c r="N4154">
        <v>0</v>
      </c>
      <c r="O4154">
        <v>-9.4076690000000004E-2</v>
      </c>
      <c r="P4154">
        <v>-0.99933510000000003</v>
      </c>
      <c r="Q4154">
        <v>-2.93321E-2</v>
      </c>
      <c r="R4154">
        <v>2.1661860000000002E-2</v>
      </c>
      <c r="S4154">
        <v>-2.9989469999999998</v>
      </c>
      <c r="T4154">
        <v>-8.9755059999999998E-2</v>
      </c>
      <c r="U4154">
        <v>1.486206E-2</v>
      </c>
      <c r="V4154">
        <v>0.1155481</v>
      </c>
      <c r="W4154">
        <v>-1.7498469999999999E-2</v>
      </c>
      <c r="X4154">
        <v>0.99314769999999997</v>
      </c>
      <c r="Y4154">
        <v>9.8929900000000001E-2</v>
      </c>
      <c r="Z4154">
        <v>4.292293E-3</v>
      </c>
      <c r="AA4154">
        <v>0.99508509999999994</v>
      </c>
      <c r="AB4154">
        <v>15</v>
      </c>
      <c r="AC4154">
        <v>-36.908999999999899</v>
      </c>
      <c r="AD4154">
        <v>-1.1092153829839999</v>
      </c>
      <c r="AE4154">
        <v>0.19580000000001899</v>
      </c>
      <c r="AF4154">
        <v>3.6641558446098501</v>
      </c>
      <c r="AG4154">
        <v>-1.1092153829839999</v>
      </c>
      <c r="AH4154">
        <v>36.693721433005102</v>
      </c>
      <c r="AI4154">
        <v>91.722904678941504</v>
      </c>
      <c r="AJ4154">
        <v>84.297471373906205</v>
      </c>
      <c r="AK4154">
        <v>36.892893481298202</v>
      </c>
      <c r="AL4154">
        <v>91.002639694004102</v>
      </c>
      <c r="AM4154">
        <v>83.363739451042093</v>
      </c>
      <c r="AN4154">
        <v>0.99999995694061905</v>
      </c>
    </row>
    <row r="4155" spans="1:40" x14ac:dyDescent="0.25">
      <c r="A4155" t="str">
        <f>"20190312161051596"</f>
        <v>20190312161051596</v>
      </c>
      <c r="B4155" t="str">
        <f>"1552378251590517"</f>
        <v>1552378251590517</v>
      </c>
      <c r="C4155" t="s">
        <v>40</v>
      </c>
      <c r="D4155">
        <v>5.8477589999999999</v>
      </c>
      <c r="E4155">
        <v>0.49391859999999999</v>
      </c>
      <c r="F4155" t="s">
        <v>41</v>
      </c>
      <c r="G4155">
        <v>-257.63279999999997</v>
      </c>
      <c r="H4155" s="1">
        <v>-1.601039E-6</v>
      </c>
      <c r="I4155">
        <v>141.88310000000001</v>
      </c>
      <c r="J4155">
        <v>-219.04810000000001</v>
      </c>
      <c r="K4155">
        <v>1.1092150000000001</v>
      </c>
      <c r="L4155">
        <v>141.6507</v>
      </c>
      <c r="M4155">
        <v>-0.99570630000000004</v>
      </c>
      <c r="N4155">
        <v>0</v>
      </c>
      <c r="O4155">
        <v>-9.1776060000000007E-2</v>
      </c>
      <c r="P4155">
        <v>-0.99928989999999995</v>
      </c>
      <c r="Q4155">
        <v>-2.872798E-2</v>
      </c>
      <c r="R4155">
        <v>2.4379020000000001E-2</v>
      </c>
      <c r="S4155">
        <v>-2.9991150000000002</v>
      </c>
      <c r="T4155">
        <v>-8.5856680000000005E-2</v>
      </c>
      <c r="U4155">
        <v>1.7028809999999998E-2</v>
      </c>
      <c r="V4155">
        <v>0.11595610000000001</v>
      </c>
      <c r="W4155">
        <v>-1.6977849999999999E-2</v>
      </c>
      <c r="X4155">
        <v>0.99310920000000003</v>
      </c>
      <c r="Y4155">
        <v>9.7357760000000002E-2</v>
      </c>
      <c r="Z4155">
        <v>4.0175799999999998E-3</v>
      </c>
      <c r="AA4155">
        <v>0.9952413</v>
      </c>
      <c r="AB4155">
        <v>15</v>
      </c>
      <c r="AC4155">
        <v>-38.584699999999899</v>
      </c>
      <c r="AD4155">
        <v>-1.1092166010390001</v>
      </c>
      <c r="AE4155">
        <v>0.23240000000001201</v>
      </c>
      <c r="AF4155">
        <v>3.7697142713527598</v>
      </c>
      <c r="AG4155">
        <v>-1.1092166010390001</v>
      </c>
      <c r="AH4155">
        <v>38.368798028550302</v>
      </c>
      <c r="AI4155">
        <v>91.647991434328901</v>
      </c>
      <c r="AJ4155">
        <v>84.388728612544</v>
      </c>
      <c r="AK4155">
        <v>38.569492728208701</v>
      </c>
      <c r="AL4155">
        <v>90.972805914285999</v>
      </c>
      <c r="AM4155">
        <v>83.340261090333996</v>
      </c>
      <c r="AN4155">
        <v>0.99999997382123595</v>
      </c>
    </row>
    <row r="4156" spans="1:40" x14ac:dyDescent="0.25">
      <c r="A4156" t="str">
        <f>"20190312161051640"</f>
        <v>20190312161051640</v>
      </c>
      <c r="B4156" t="str">
        <f>"1552378251630533"</f>
        <v>1552378251630533</v>
      </c>
      <c r="C4156" t="s">
        <v>40</v>
      </c>
      <c r="D4156">
        <v>5.7886230000000003</v>
      </c>
      <c r="E4156">
        <v>0.49307430000000002</v>
      </c>
      <c r="F4156" t="s">
        <v>41</v>
      </c>
      <c r="G4156">
        <v>-255.17750000000001</v>
      </c>
      <c r="H4156" s="1">
        <v>-2.671572E-6</v>
      </c>
      <c r="I4156">
        <v>141.94799999999901</v>
      </c>
      <c r="J4156">
        <v>-219.3536</v>
      </c>
      <c r="K4156">
        <v>1.1092229999999901</v>
      </c>
      <c r="L4156">
        <v>141.62799999999999</v>
      </c>
      <c r="M4156">
        <v>-0.99609380000000003</v>
      </c>
      <c r="N4156">
        <v>0</v>
      </c>
      <c r="O4156">
        <v>-8.7494199999999994E-2</v>
      </c>
      <c r="P4156">
        <v>-0.99919340000000001</v>
      </c>
      <c r="Q4156">
        <v>-2.7442689999999999E-2</v>
      </c>
      <c r="R4156">
        <v>2.9322239999999999E-2</v>
      </c>
      <c r="S4156">
        <v>-2.9988860000000002</v>
      </c>
      <c r="T4156">
        <v>-9.206963E-2</v>
      </c>
      <c r="U4156">
        <v>2.4688720000000001E-2</v>
      </c>
      <c r="V4156">
        <v>0.1166053</v>
      </c>
      <c r="W4156">
        <v>-1.5850220000000002E-2</v>
      </c>
      <c r="X4156">
        <v>0.99305180000000004</v>
      </c>
      <c r="Y4156">
        <v>9.5612020000000006E-2</v>
      </c>
      <c r="Z4156">
        <v>4.1506920000000001E-3</v>
      </c>
      <c r="AA4156">
        <v>0.99541000000000002</v>
      </c>
      <c r="AB4156">
        <v>15</v>
      </c>
      <c r="AC4156">
        <v>-35.823900000000002</v>
      </c>
      <c r="AD4156">
        <v>-1.1092256715719999</v>
      </c>
      <c r="AE4156">
        <v>0.31999999999999301</v>
      </c>
      <c r="AF4156">
        <v>3.4500711187517901</v>
      </c>
      <c r="AG4156">
        <v>-1.1092256715719999</v>
      </c>
      <c r="AH4156">
        <v>35.624345485887702</v>
      </c>
      <c r="AI4156">
        <v>91.775127304963902</v>
      </c>
      <c r="AJ4156">
        <v>84.468390605458694</v>
      </c>
      <c r="AK4156">
        <v>35.808202462743203</v>
      </c>
      <c r="AL4156">
        <v>90.908188784433193</v>
      </c>
      <c r="AM4156">
        <v>83.302929554338604</v>
      </c>
      <c r="AN4156">
        <v>0.99999995147268805</v>
      </c>
    </row>
    <row r="4157" spans="1:40" x14ac:dyDescent="0.25">
      <c r="A4157" t="str">
        <f>"20190312161051661"</f>
        <v>20190312161051661</v>
      </c>
      <c r="B4157" t="str">
        <f>"1552378251651029"</f>
        <v>1552378251651029</v>
      </c>
      <c r="C4157" t="s">
        <v>40</v>
      </c>
      <c r="D4157">
        <v>5.8804420000000004</v>
      </c>
      <c r="E4157">
        <v>0.49250290000000002</v>
      </c>
      <c r="F4157" t="s">
        <v>41</v>
      </c>
      <c r="G4157">
        <v>-253.78579999999999</v>
      </c>
      <c r="H4157" s="1">
        <v>-3.2839130000000002E-6</v>
      </c>
      <c r="I4157">
        <v>142.00550000000001</v>
      </c>
      <c r="J4157">
        <v>-219.5052</v>
      </c>
      <c r="K4157">
        <v>1.1092229999999901</v>
      </c>
      <c r="L4157">
        <v>141.6172</v>
      </c>
      <c r="M4157">
        <v>-0.9962761</v>
      </c>
      <c r="N4157">
        <v>0</v>
      </c>
      <c r="O4157">
        <v>-8.5400660000000003E-2</v>
      </c>
      <c r="P4157">
        <v>-0.99914329999999996</v>
      </c>
      <c r="Q4157">
        <v>-2.7003240000000001E-2</v>
      </c>
      <c r="R4157">
        <v>3.1357669999999997E-2</v>
      </c>
      <c r="S4157">
        <v>-2.9988100000000002</v>
      </c>
      <c r="T4157">
        <v>-9.6606139999999993E-2</v>
      </c>
      <c r="U4157">
        <v>3.2882689999999999E-2</v>
      </c>
      <c r="V4157">
        <v>0.1165436</v>
      </c>
      <c r="W4157">
        <v>-1.548308E-2</v>
      </c>
      <c r="X4157">
        <v>0.99306490000000003</v>
      </c>
      <c r="Y4157">
        <v>9.6231929999999993E-2</v>
      </c>
      <c r="Z4157">
        <v>4.2979689999999996E-3</v>
      </c>
      <c r="AA4157">
        <v>0.99534959999999995</v>
      </c>
      <c r="AB4157">
        <v>15</v>
      </c>
      <c r="AC4157">
        <v>-34.2805999999999</v>
      </c>
      <c r="AD4157">
        <v>-1.1092262839129901</v>
      </c>
      <c r="AE4157">
        <v>0.38830000000001502</v>
      </c>
      <c r="AF4157">
        <v>3.3112066407054601</v>
      </c>
      <c r="AG4157">
        <v>-1.1092262839129901</v>
      </c>
      <c r="AH4157">
        <v>34.0864975709842</v>
      </c>
      <c r="AI4157">
        <v>91.855107669719203</v>
      </c>
      <c r="AJ4157">
        <v>84.451622166199002</v>
      </c>
      <c r="AK4157">
        <v>34.264906085134498</v>
      </c>
      <c r="AL4157">
        <v>90.887150571516202</v>
      </c>
      <c r="AM4157">
        <v>83.306528545588705</v>
      </c>
      <c r="AN4157">
        <v>1.0000000160396201</v>
      </c>
    </row>
    <row r="4158" spans="1:40" x14ac:dyDescent="0.25">
      <c r="A4158" t="str">
        <f>"20190312161051684"</f>
        <v>20190312161051684</v>
      </c>
      <c r="B4158" t="str">
        <f>"1552378251681285"</f>
        <v>1552378251681285</v>
      </c>
      <c r="C4158" t="s">
        <v>40</v>
      </c>
      <c r="D4158">
        <v>5.8532320000000002</v>
      </c>
      <c r="E4158">
        <v>0.49220390000000003</v>
      </c>
      <c r="F4158" t="s">
        <v>41</v>
      </c>
      <c r="G4158">
        <v>-253.15360000000001</v>
      </c>
      <c r="H4158" s="1">
        <v>-3.5545890000000001E-6</v>
      </c>
      <c r="I4158">
        <v>142.0035</v>
      </c>
      <c r="J4158">
        <v>-219.6542</v>
      </c>
      <c r="K4158">
        <v>1.109229</v>
      </c>
      <c r="L4158">
        <v>141.60679999999999</v>
      </c>
      <c r="M4158">
        <v>-0.99644920000000003</v>
      </c>
      <c r="N4158">
        <v>0</v>
      </c>
      <c r="O4158">
        <v>-8.3371529999999999E-2</v>
      </c>
      <c r="P4158">
        <v>-0.99910109999999996</v>
      </c>
      <c r="Q4158">
        <v>-2.6716070000000001E-2</v>
      </c>
      <c r="R4158">
        <v>3.2918540000000003E-2</v>
      </c>
      <c r="S4158">
        <v>-2.99884</v>
      </c>
      <c r="T4158">
        <v>-9.8857399999999998E-2</v>
      </c>
      <c r="U4158">
        <v>3.4439089999999999E-2</v>
      </c>
      <c r="V4158">
        <v>0.11607439999999999</v>
      </c>
      <c r="W4158">
        <v>-1.526546E-2</v>
      </c>
      <c r="X4158">
        <v>0.99312319999999998</v>
      </c>
      <c r="Y4158">
        <v>9.4718499999999997E-2</v>
      </c>
      <c r="Z4158">
        <v>4.3063770000000001E-3</v>
      </c>
      <c r="AA4158">
        <v>0.99549480000000001</v>
      </c>
      <c r="AB4158">
        <v>15</v>
      </c>
      <c r="AC4158">
        <v>-33.499400000000001</v>
      </c>
      <c r="AD4158">
        <v>-1.1092325545890001</v>
      </c>
      <c r="AE4158">
        <v>0.39670000000000899</v>
      </c>
      <c r="AF4158">
        <v>3.18491645421576</v>
      </c>
      <c r="AG4158">
        <v>-1.1092325545890001</v>
      </c>
      <c r="AH4158">
        <v>33.3131614422376</v>
      </c>
      <c r="AI4158">
        <v>91.898430165090403</v>
      </c>
      <c r="AJ4158">
        <v>84.538815696392007</v>
      </c>
      <c r="AK4158">
        <v>33.483440906768799</v>
      </c>
      <c r="AL4158">
        <v>90.874680408264496</v>
      </c>
      <c r="AM4158">
        <v>83.333620988314195</v>
      </c>
      <c r="AN4158">
        <v>0.99999999549130503</v>
      </c>
    </row>
    <row r="4159" spans="1:40" x14ac:dyDescent="0.25">
      <c r="A4159" t="str">
        <f>"20190312161051708"</f>
        <v>20190312161051708</v>
      </c>
      <c r="B4159" t="str">
        <f>"1552378251700806"</f>
        <v>1552378251700806</v>
      </c>
      <c r="C4159" t="s">
        <v>40</v>
      </c>
      <c r="D4159">
        <v>5.8024209999999998</v>
      </c>
      <c r="E4159">
        <v>0.4917262</v>
      </c>
      <c r="F4159" t="s">
        <v>41</v>
      </c>
      <c r="G4159">
        <v>-253.60380000000001</v>
      </c>
      <c r="H4159" s="1">
        <v>-3.3666819999999998E-6</v>
      </c>
      <c r="I4159">
        <v>142.0231</v>
      </c>
      <c r="J4159">
        <v>-219.82429999999999</v>
      </c>
      <c r="K4159">
        <v>1.109229</v>
      </c>
      <c r="L4159">
        <v>141.59540000000001</v>
      </c>
      <c r="M4159">
        <v>-0.99663749999999995</v>
      </c>
      <c r="N4159">
        <v>0</v>
      </c>
      <c r="O4159">
        <v>-8.1101919999999994E-2</v>
      </c>
      <c r="P4159">
        <v>-0.99904590000000004</v>
      </c>
      <c r="Q4159">
        <v>-2.64128E-2</v>
      </c>
      <c r="R4159">
        <v>3.478448E-2</v>
      </c>
      <c r="S4159">
        <v>-2.998856</v>
      </c>
      <c r="T4159">
        <v>-9.7981570000000004E-2</v>
      </c>
      <c r="U4159">
        <v>3.6773680000000003E-2</v>
      </c>
      <c r="V4159">
        <v>0.1156693</v>
      </c>
      <c r="W4159">
        <v>-1.505074E-2</v>
      </c>
      <c r="X4159">
        <v>0.99317370000000005</v>
      </c>
      <c r="Y4159">
        <v>9.3229640000000003E-2</v>
      </c>
      <c r="Z4159">
        <v>4.1699420000000003E-3</v>
      </c>
      <c r="AA4159">
        <v>0.99563590000000002</v>
      </c>
      <c r="AB4159">
        <v>15</v>
      </c>
      <c r="AC4159">
        <v>-33.779499999999999</v>
      </c>
      <c r="AD4159">
        <v>-1.1092323666820001</v>
      </c>
      <c r="AE4159">
        <v>0.42769999999998698</v>
      </c>
      <c r="AF4159">
        <v>3.1626500060944398</v>
      </c>
      <c r="AG4159">
        <v>-1.1092323666820001</v>
      </c>
      <c r="AH4159">
        <v>33.597297115125301</v>
      </c>
      <c r="AI4159">
        <v>91.882646465792007</v>
      </c>
      <c r="AJ4159">
        <v>84.622362398165293</v>
      </c>
      <c r="AK4159">
        <v>33.764050778103503</v>
      </c>
      <c r="AL4159">
        <v>90.862376479673003</v>
      </c>
      <c r="AM4159">
        <v>83.357013125277902</v>
      </c>
      <c r="AN4159">
        <v>0.99999995505436201</v>
      </c>
    </row>
    <row r="4160" spans="1:40" x14ac:dyDescent="0.25">
      <c r="A4160" t="str">
        <f>"20190312161051728"</f>
        <v>20190312161051728</v>
      </c>
      <c r="B4160" t="str">
        <f>"1552378251721301"</f>
        <v>1552378251721301</v>
      </c>
      <c r="C4160" t="s">
        <v>40</v>
      </c>
      <c r="D4160">
        <v>5.7924350000000002</v>
      </c>
      <c r="E4160">
        <v>0.49144149999999998</v>
      </c>
      <c r="F4160" t="s">
        <v>41</v>
      </c>
      <c r="G4160">
        <v>-254.03380000000001</v>
      </c>
      <c r="H4160" s="1">
        <v>-3.1853440000000002E-6</v>
      </c>
      <c r="I4160">
        <v>142.035</v>
      </c>
      <c r="J4160">
        <v>-219.96109999999999</v>
      </c>
      <c r="K4160">
        <v>1.1092390000000001</v>
      </c>
      <c r="L4160">
        <v>141.5864</v>
      </c>
      <c r="M4160">
        <v>-0.99678270000000002</v>
      </c>
      <c r="N4160">
        <v>0</v>
      </c>
      <c r="O4160">
        <v>-7.9309160000000004E-2</v>
      </c>
      <c r="P4160">
        <v>-0.99896499999999999</v>
      </c>
      <c r="Q4160">
        <v>-2.7172580000000002E-2</v>
      </c>
      <c r="R4160">
        <v>3.6479350000000001E-2</v>
      </c>
      <c r="S4160">
        <v>-2.9989469999999998</v>
      </c>
      <c r="T4160">
        <v>-9.7239850000000003E-2</v>
      </c>
      <c r="U4160">
        <v>3.8543699999999903E-2</v>
      </c>
      <c r="V4160">
        <v>0.1155653</v>
      </c>
      <c r="W4160">
        <v>-1.588649E-2</v>
      </c>
      <c r="X4160">
        <v>0.99317279999999997</v>
      </c>
      <c r="Y4160">
        <v>9.2028799999999994E-2</v>
      </c>
      <c r="Z4160">
        <v>4.0608099999999998E-3</v>
      </c>
      <c r="AA4160">
        <v>0.99574799999999997</v>
      </c>
      <c r="AB4160">
        <v>15</v>
      </c>
      <c r="AC4160">
        <v>-34.072699999999998</v>
      </c>
      <c r="AD4160">
        <v>-1.10924218534399</v>
      </c>
      <c r="AE4160">
        <v>0.448599999999998</v>
      </c>
      <c r="AF4160">
        <v>3.1463114467755902</v>
      </c>
      <c r="AG4160">
        <v>-1.10924218534399</v>
      </c>
      <c r="AH4160">
        <v>33.8938625862382</v>
      </c>
      <c r="AI4160">
        <v>91.866427506966403</v>
      </c>
      <c r="AJ4160">
        <v>84.696525823767303</v>
      </c>
      <c r="AK4160">
        <v>34.0576513424026</v>
      </c>
      <c r="AL4160">
        <v>90.910267151928295</v>
      </c>
      <c r="AM4160">
        <v>83.362926661926593</v>
      </c>
      <c r="AN4160">
        <v>0.99999996489422405</v>
      </c>
    </row>
    <row r="4161" spans="1:40" x14ac:dyDescent="0.25">
      <c r="A4161" t="str">
        <f>"20190312161051750"</f>
        <v>20190312161051750</v>
      </c>
      <c r="B4161" t="str">
        <f>"1552378251740822"</f>
        <v>1552378251740822</v>
      </c>
      <c r="C4161" t="s">
        <v>40</v>
      </c>
      <c r="D4161">
        <v>5.9337070000000001</v>
      </c>
      <c r="E4161">
        <v>0.49090529999999999</v>
      </c>
      <c r="F4161" t="s">
        <v>41</v>
      </c>
      <c r="G4161">
        <v>-252.93979999999999</v>
      </c>
      <c r="H4161" s="1">
        <v>-3.656438E-6</v>
      </c>
      <c r="I4161">
        <v>142.04159999999999</v>
      </c>
      <c r="J4161">
        <v>-220.11709999999999</v>
      </c>
      <c r="K4161">
        <v>1.1092409999999999</v>
      </c>
      <c r="L4161">
        <v>141.57640000000001</v>
      </c>
      <c r="M4161">
        <v>-0.99694170000000004</v>
      </c>
      <c r="N4161">
        <v>0</v>
      </c>
      <c r="O4161">
        <v>-7.7298939999999997E-2</v>
      </c>
      <c r="P4161">
        <v>-0.99887749999999997</v>
      </c>
      <c r="Q4161">
        <v>-2.7525529999999999E-2</v>
      </c>
      <c r="R4161">
        <v>3.8555329999999999E-2</v>
      </c>
      <c r="S4161">
        <v>-2.998856</v>
      </c>
      <c r="T4161">
        <v>-0.100867</v>
      </c>
      <c r="U4161">
        <v>4.1397089999999998E-2</v>
      </c>
      <c r="V4161">
        <v>0.11562550000000001</v>
      </c>
      <c r="W4161">
        <v>-1.6324450000000001E-2</v>
      </c>
      <c r="X4161">
        <v>0.99315869999999995</v>
      </c>
      <c r="Y4161">
        <v>9.0963279999999994E-2</v>
      </c>
      <c r="Z4161">
        <v>4.126953E-3</v>
      </c>
      <c r="AA4161">
        <v>0.99584569999999994</v>
      </c>
      <c r="AB4161">
        <v>15</v>
      </c>
      <c r="AC4161">
        <v>-32.822699999999998</v>
      </c>
      <c r="AD4161">
        <v>-1.1092446564380001</v>
      </c>
      <c r="AE4161">
        <v>0.46519999999998102</v>
      </c>
      <c r="AF4161">
        <v>2.9977124441818401</v>
      </c>
      <c r="AG4161">
        <v>-1.1092446564380001</v>
      </c>
      <c r="AH4161">
        <v>32.651234702246398</v>
      </c>
      <c r="AI4161">
        <v>91.937590904644097</v>
      </c>
      <c r="AJ4161">
        <v>84.754375575973199</v>
      </c>
      <c r="AK4161">
        <v>32.807313684406097</v>
      </c>
      <c r="AL4161">
        <v>90.935363659469004</v>
      </c>
      <c r="AM4161">
        <v>83.359406729213703</v>
      </c>
      <c r="AN4161">
        <v>0.99999997365186999</v>
      </c>
    </row>
    <row r="4162" spans="1:40" x14ac:dyDescent="0.25">
      <c r="A4162" t="str">
        <f>"20190312161051820"</f>
        <v>20190312161051820</v>
      </c>
      <c r="B4162" t="str">
        <f>"1552378251810625"</f>
        <v>1552378251810625</v>
      </c>
      <c r="C4162" t="s">
        <v>40</v>
      </c>
      <c r="D4162">
        <v>5.97037</v>
      </c>
      <c r="E4162">
        <v>0.48960160000000003</v>
      </c>
      <c r="F4162" t="s">
        <v>41</v>
      </c>
      <c r="G4162">
        <v>-252.11420000000001</v>
      </c>
      <c r="H4162" s="1">
        <v>-3.9862720000000003E-6</v>
      </c>
      <c r="I4162">
        <v>142.03870000000001</v>
      </c>
      <c r="J4162">
        <v>-220.59780000000001</v>
      </c>
      <c r="K4162">
        <v>1.1092470000000001</v>
      </c>
      <c r="L4162">
        <v>141.54730000000001</v>
      </c>
      <c r="M4162">
        <v>-0.99738839999999995</v>
      </c>
      <c r="N4162">
        <v>0</v>
      </c>
      <c r="O4162">
        <v>-7.1345420000000007E-2</v>
      </c>
      <c r="P4162">
        <v>-0.99866770000000005</v>
      </c>
      <c r="Q4162">
        <v>-2.70637E-2</v>
      </c>
      <c r="R4162">
        <v>4.3940939999999998E-2</v>
      </c>
      <c r="S4162">
        <v>-2.99884</v>
      </c>
      <c r="T4162">
        <v>-0.1039612</v>
      </c>
      <c r="U4162">
        <v>4.3334959999999999E-2</v>
      </c>
      <c r="V4162">
        <v>0.1150543</v>
      </c>
      <c r="W4162">
        <v>-1.61169E-2</v>
      </c>
      <c r="X4162">
        <v>0.99322840000000001</v>
      </c>
      <c r="Y4162">
        <v>8.5660449999999999E-2</v>
      </c>
      <c r="Z4162">
        <v>3.9556449999999998E-3</v>
      </c>
      <c r="AA4162">
        <v>0.9963166</v>
      </c>
      <c r="AB4162">
        <v>15</v>
      </c>
      <c r="AC4162">
        <v>-31.516400000000001</v>
      </c>
      <c r="AD4162">
        <v>-1.1092509862719999</v>
      </c>
      <c r="AE4162">
        <v>0.49139999999999801</v>
      </c>
      <c r="AF4162">
        <v>2.7354525555288198</v>
      </c>
      <c r="AG4162">
        <v>-1.1092509862719999</v>
      </c>
      <c r="AH4162">
        <v>31.3621735651449</v>
      </c>
      <c r="AI4162">
        <v>92.0179990527174</v>
      </c>
      <c r="AJ4162">
        <v>85.015197339819906</v>
      </c>
      <c r="AK4162">
        <v>31.500778865995802</v>
      </c>
      <c r="AL4162">
        <v>90.9234703767588</v>
      </c>
      <c r="AM4162">
        <v>83.3923806135668</v>
      </c>
      <c r="AN4162">
        <v>0.99999995049032797</v>
      </c>
    </row>
    <row r="4163" spans="1:40" x14ac:dyDescent="0.25">
      <c r="A4163" t="str">
        <f>"20190312161051842"</f>
        <v>20190312161051842</v>
      </c>
      <c r="B4163" t="str">
        <f>"1552378251831121"</f>
        <v>1552378251831121</v>
      </c>
      <c r="C4163" t="s">
        <v>40</v>
      </c>
      <c r="D4163">
        <v>5.9423830000000004</v>
      </c>
      <c r="E4163">
        <v>0.489064</v>
      </c>
      <c r="F4163" t="s">
        <v>41</v>
      </c>
      <c r="G4163">
        <v>-251.1765</v>
      </c>
      <c r="H4163" s="1">
        <v>-4.3070579999999999E-6</v>
      </c>
      <c r="I4163">
        <v>142.04820000000001</v>
      </c>
      <c r="J4163">
        <v>-220.7578</v>
      </c>
      <c r="K4163">
        <v>1.1092550000000001</v>
      </c>
      <c r="L4163">
        <v>141.53809999999999</v>
      </c>
      <c r="M4163">
        <v>-0.99752300000000005</v>
      </c>
      <c r="N4163">
        <v>0</v>
      </c>
      <c r="O4163">
        <v>-6.9451559999999996E-2</v>
      </c>
      <c r="P4163">
        <v>-0.9985889</v>
      </c>
      <c r="Q4163">
        <v>-2.723327E-2</v>
      </c>
      <c r="R4163">
        <v>4.5590329999999998E-2</v>
      </c>
      <c r="S4163">
        <v>-2.9988709999999998</v>
      </c>
      <c r="T4163">
        <v>-0.1087853</v>
      </c>
      <c r="U4163">
        <v>4.9133299999999998E-2</v>
      </c>
      <c r="V4163">
        <v>0.1148088</v>
      </c>
      <c r="W4163">
        <v>-1.6363309999999999E-2</v>
      </c>
      <c r="X4163">
        <v>0.99325280000000005</v>
      </c>
      <c r="Y4163">
        <v>8.5686750000000006E-2</v>
      </c>
      <c r="Z4163">
        <v>4.0709250000000004E-3</v>
      </c>
      <c r="AA4163">
        <v>0.99631380000000003</v>
      </c>
      <c r="AB4163">
        <v>16</v>
      </c>
      <c r="AC4163">
        <v>-30.418700000000001</v>
      </c>
      <c r="AD4163">
        <v>-1.1092593070579999</v>
      </c>
      <c r="AE4163">
        <v>0.51010000000002198</v>
      </c>
      <c r="AF4163">
        <v>2.6181450302018399</v>
      </c>
      <c r="AG4163">
        <v>-1.1092593070579999</v>
      </c>
      <c r="AH4163">
        <v>30.269569117869199</v>
      </c>
      <c r="AI4163">
        <v>92.090923441976997</v>
      </c>
      <c r="AJ4163">
        <v>85.056545228363504</v>
      </c>
      <c r="AK4163">
        <v>30.4028280623847</v>
      </c>
      <c r="AL4163">
        <v>90.9375904728888</v>
      </c>
      <c r="AM4163">
        <v>83.406516054765206</v>
      </c>
      <c r="AN4163">
        <v>0.99999997158971698</v>
      </c>
    </row>
    <row r="4164" spans="1:40" x14ac:dyDescent="0.25">
      <c r="A4164" t="str">
        <f>"20190312161051863"</f>
        <v>20190312161051863</v>
      </c>
      <c r="B4164" t="str">
        <f>"1552378251860402"</f>
        <v>1552378251860402</v>
      </c>
      <c r="C4164" t="s">
        <v>40</v>
      </c>
      <c r="D4164">
        <v>5.9592269999999896</v>
      </c>
      <c r="E4164">
        <v>0.48205039999999999</v>
      </c>
      <c r="F4164" t="s">
        <v>41</v>
      </c>
      <c r="G4164">
        <v>-249.54390000000001</v>
      </c>
      <c r="H4164" s="1">
        <v>-8.168989E-7</v>
      </c>
      <c r="I4164">
        <v>142.01740000000001</v>
      </c>
      <c r="J4164">
        <v>-220.90549999999999</v>
      </c>
      <c r="K4164">
        <v>1.109262</v>
      </c>
      <c r="L4164">
        <v>141.5299</v>
      </c>
      <c r="M4164">
        <v>-0.99764129999999995</v>
      </c>
      <c r="N4164">
        <v>0</v>
      </c>
      <c r="O4164">
        <v>-6.7743349999999994E-2</v>
      </c>
      <c r="P4164">
        <v>-0.99853219999999998</v>
      </c>
      <c r="Q4164">
        <v>-2.6898519999999999E-2</v>
      </c>
      <c r="R4164">
        <v>4.7010240000000002E-2</v>
      </c>
      <c r="S4164">
        <v>-2.9988100000000002</v>
      </c>
      <c r="T4164">
        <v>-0.1155578</v>
      </c>
      <c r="U4164">
        <v>4.9942019999999997E-2</v>
      </c>
      <c r="V4164">
        <v>0.1145221</v>
      </c>
      <c r="W4164">
        <v>-1.609354E-2</v>
      </c>
      <c r="X4164">
        <v>0.99329029999999996</v>
      </c>
      <c r="Y4164">
        <v>8.4238770000000004E-2</v>
      </c>
      <c r="Z4164">
        <v>4.2306749999999997E-3</v>
      </c>
      <c r="AA4164">
        <v>0.99643660000000001</v>
      </c>
      <c r="AB4164">
        <v>16</v>
      </c>
      <c r="AC4164">
        <v>-28.638400000000001</v>
      </c>
      <c r="AD4164">
        <v>-1.1092628168989001</v>
      </c>
      <c r="AE4164">
        <v>0.48750000000001098</v>
      </c>
      <c r="AF4164">
        <v>2.42292612520035</v>
      </c>
      <c r="AG4164">
        <v>-1.1092628168989001</v>
      </c>
      <c r="AH4164">
        <v>28.4968355657684</v>
      </c>
      <c r="AI4164">
        <v>92.221154020156604</v>
      </c>
      <c r="AJ4164">
        <v>85.140149535533496</v>
      </c>
      <c r="AK4164">
        <v>28.6211577730108</v>
      </c>
      <c r="AL4164">
        <v>90.922131758678404</v>
      </c>
      <c r="AM4164">
        <v>83.423082962404095</v>
      </c>
      <c r="AN4164">
        <v>0.99999996674611502</v>
      </c>
    </row>
    <row r="4165" spans="1:40" x14ac:dyDescent="0.25">
      <c r="A4165" t="str">
        <f>"20190312161051907"</f>
        <v>20190312161051907</v>
      </c>
      <c r="B4165" t="str">
        <f>"1552378251900926"</f>
        <v>1552378251900926</v>
      </c>
      <c r="C4165" t="s">
        <v>40</v>
      </c>
      <c r="D4165">
        <v>5.9390580000000002</v>
      </c>
      <c r="E4165">
        <v>0.4810565</v>
      </c>
      <c r="F4165" t="s">
        <v>42</v>
      </c>
      <c r="G4165">
        <v>-221.6559</v>
      </c>
      <c r="H4165">
        <v>1.0545770000000001</v>
      </c>
      <c r="I4165">
        <v>141.52969999999999</v>
      </c>
      <c r="J4165">
        <v>-221.21080000000001</v>
      </c>
      <c r="K4165">
        <v>1.109286</v>
      </c>
      <c r="L4165">
        <v>141.51349999999999</v>
      </c>
      <c r="M4165">
        <v>-0.99786819999999998</v>
      </c>
      <c r="N4165">
        <v>0</v>
      </c>
      <c r="O4165">
        <v>-6.4340320000000006E-2</v>
      </c>
      <c r="P4165">
        <v>-0.99836840000000004</v>
      </c>
      <c r="Q4165">
        <v>-2.74871E-2</v>
      </c>
      <c r="R4165">
        <v>5.0051690000000003E-2</v>
      </c>
      <c r="S4165">
        <v>-2.9985499999999998</v>
      </c>
      <c r="T4165">
        <v>-0.2185261</v>
      </c>
      <c r="U4165">
        <v>-6.408691E-4</v>
      </c>
      <c r="V4165">
        <v>0.1141592</v>
      </c>
      <c r="W4165">
        <v>-1.681212E-2</v>
      </c>
      <c r="X4165">
        <v>0.99332019999999999</v>
      </c>
      <c r="Y4165">
        <v>6.3791249999999994E-2</v>
      </c>
      <c r="Z4165">
        <v>7.0019649999999998E-3</v>
      </c>
      <c r="AA4165">
        <v>0.99793869999999896</v>
      </c>
      <c r="AB4165">
        <v>16</v>
      </c>
      <c r="AC4165">
        <v>-0.445099999999996</v>
      </c>
      <c r="AD4165">
        <v>-5.4708999999999897E-2</v>
      </c>
      <c r="AE4165">
        <v>1.6199999999997699E-2</v>
      </c>
      <c r="AF4165">
        <v>4.4140037404750997E-2</v>
      </c>
      <c r="AG4165">
        <v>-5.4708999999999897E-2</v>
      </c>
      <c r="AH4165">
        <v>0.43654869146450198</v>
      </c>
      <c r="AI4165">
        <v>97.107296025405901</v>
      </c>
      <c r="AJ4165">
        <v>84.2263673295882</v>
      </c>
      <c r="AK4165">
        <v>0.44217211309902998</v>
      </c>
      <c r="AL4165">
        <v>90.963308908550403</v>
      </c>
      <c r="AM4165">
        <v>83.443937930549694</v>
      </c>
      <c r="AN4165">
        <v>0.99999999502578696</v>
      </c>
    </row>
    <row r="4166" spans="1:40" x14ac:dyDescent="0.25">
      <c r="A4166" t="str">
        <f>"20190312161051932"</f>
        <v>20190312161051932</v>
      </c>
      <c r="B4166" t="str">
        <f>"1552378251920446"</f>
        <v>1552378251920446</v>
      </c>
      <c r="C4166" t="s">
        <v>40</v>
      </c>
      <c r="D4166">
        <v>5.8517049999999999</v>
      </c>
      <c r="E4166">
        <v>0.4811299</v>
      </c>
      <c r="F4166" t="s">
        <v>42</v>
      </c>
      <c r="G4166">
        <v>-222.0633</v>
      </c>
      <c r="H4166">
        <v>1.0491629999999901</v>
      </c>
      <c r="I4166">
        <v>141.5137</v>
      </c>
      <c r="J4166">
        <v>-221.3828</v>
      </c>
      <c r="K4166">
        <v>1.1092869999999999</v>
      </c>
      <c r="L4166">
        <v>141.50460000000001</v>
      </c>
      <c r="M4166">
        <v>-0.99798690000000001</v>
      </c>
      <c r="N4166">
        <v>0</v>
      </c>
      <c r="O4166">
        <v>-6.2485800000000001E-2</v>
      </c>
      <c r="P4166">
        <v>-0.99826429999999999</v>
      </c>
      <c r="Q4166">
        <v>-2.764111E-2</v>
      </c>
      <c r="R4166">
        <v>5.2006330000000003E-2</v>
      </c>
      <c r="S4166">
        <v>-2.9990389999999998</v>
      </c>
      <c r="T4166">
        <v>-0.21148349999999999</v>
      </c>
      <c r="U4166">
        <v>5.0354000000000002E-4</v>
      </c>
      <c r="V4166">
        <v>0.1142582</v>
      </c>
      <c r="W4166">
        <v>-1.7040639999999999E-2</v>
      </c>
      <c r="X4166">
        <v>0.99330490000000005</v>
      </c>
      <c r="Y4166">
        <v>6.2347199999999998E-2</v>
      </c>
      <c r="Z4166">
        <v>6.5945070000000003E-3</v>
      </c>
      <c r="AA4166">
        <v>0.99803269999999999</v>
      </c>
      <c r="AB4166">
        <v>16</v>
      </c>
      <c r="AC4166">
        <v>-0.680499999999994</v>
      </c>
      <c r="AD4166">
        <v>-6.0124000000000198E-2</v>
      </c>
      <c r="AE4166">
        <v>9.0999999999894499E-3</v>
      </c>
      <c r="AF4166">
        <v>5.1206646423701603E-2</v>
      </c>
      <c r="AG4166">
        <v>-6.0124000000000198E-2</v>
      </c>
      <c r="AH4166">
        <v>0.67334606030862498</v>
      </c>
      <c r="AI4166">
        <v>95.087873687201807</v>
      </c>
      <c r="AJ4166">
        <v>85.651139117365503</v>
      </c>
      <c r="AK4166">
        <v>0.67796160138101402</v>
      </c>
      <c r="AL4166">
        <v>90.976404038666004</v>
      </c>
      <c r="AM4166">
        <v>83.438201819548198</v>
      </c>
      <c r="AN4166">
        <v>0.99999997202142898</v>
      </c>
    </row>
    <row r="4167" spans="1:40" x14ac:dyDescent="0.25">
      <c r="A4167" t="str">
        <f>"20190312161051963"</f>
        <v>20190312161051963</v>
      </c>
      <c r="B4167" t="str">
        <f>"1552378251950702"</f>
        <v>1552378251950702</v>
      </c>
      <c r="C4167" t="s">
        <v>40</v>
      </c>
      <c r="D4167">
        <v>5.9122890000000003</v>
      </c>
      <c r="E4167">
        <v>0.4804715</v>
      </c>
      <c r="F4167" t="s">
        <v>42</v>
      </c>
      <c r="G4167">
        <v>-222.20259999999999</v>
      </c>
      <c r="H4167">
        <v>1.047801</v>
      </c>
      <c r="I4167">
        <v>141.50659999999999</v>
      </c>
      <c r="J4167">
        <v>-221.60380000000001</v>
      </c>
      <c r="K4167">
        <v>1.1092869999999999</v>
      </c>
      <c r="L4167">
        <v>141.49359999999999</v>
      </c>
      <c r="M4167">
        <v>-0.99813099999999999</v>
      </c>
      <c r="N4167">
        <v>0</v>
      </c>
      <c r="O4167">
        <v>-6.0158400000000001E-2</v>
      </c>
      <c r="P4167">
        <v>-0.9981025</v>
      </c>
      <c r="Q4167">
        <v>-2.7646839999999999E-2</v>
      </c>
      <c r="R4167">
        <v>5.5021840000000002E-2</v>
      </c>
      <c r="S4167">
        <v>-2.9986109999999999</v>
      </c>
      <c r="T4167">
        <v>-0.22489500000000001</v>
      </c>
      <c r="U4167">
        <v>6.9580079999999999E-3</v>
      </c>
      <c r="V4167">
        <v>0.1149429</v>
      </c>
      <c r="W4167">
        <v>-1.7139970000000001E-2</v>
      </c>
      <c r="X4167">
        <v>0.9932242</v>
      </c>
      <c r="Y4167">
        <v>6.2134580000000002E-2</v>
      </c>
      <c r="Z4167">
        <v>6.8305909999999996E-3</v>
      </c>
      <c r="AA4167">
        <v>0.99804440000000005</v>
      </c>
      <c r="AB4167">
        <v>16</v>
      </c>
      <c r="AC4167">
        <v>-0.59879999999998201</v>
      </c>
      <c r="AD4167">
        <v>-6.1486000000000103E-2</v>
      </c>
      <c r="AE4167">
        <v>1.30000000000052E-2</v>
      </c>
      <c r="AF4167">
        <v>4.84903601137971E-2</v>
      </c>
      <c r="AG4167">
        <v>-6.1486000000000103E-2</v>
      </c>
      <c r="AH4167">
        <v>0.59070799530559104</v>
      </c>
      <c r="AI4167">
        <v>95.9226619951489</v>
      </c>
      <c r="AJ4167">
        <v>85.307194793674896</v>
      </c>
      <c r="AK4167">
        <v>0.59587564049717301</v>
      </c>
      <c r="AL4167">
        <v>90.982096051943302</v>
      </c>
      <c r="AM4167">
        <v>83.398694202889104</v>
      </c>
      <c r="AN4167">
        <v>0.99999998014882496</v>
      </c>
    </row>
    <row r="4168" spans="1:40" x14ac:dyDescent="0.25">
      <c r="A4168" t="str">
        <f>"20190312161052119"</f>
        <v>20190312161052119</v>
      </c>
      <c r="B4168" t="str">
        <f>"1552378252110766"</f>
        <v>1552378252110766</v>
      </c>
      <c r="C4168" t="s">
        <v>40</v>
      </c>
      <c r="D4168">
        <v>5.8546469999999999</v>
      </c>
      <c r="E4168">
        <v>0.47817100000000001</v>
      </c>
      <c r="F4168" t="s">
        <v>41</v>
      </c>
      <c r="G4168">
        <v>-239.45650000000001</v>
      </c>
      <c r="H4168" s="1">
        <v>-7.2482109999999896E-7</v>
      </c>
      <c r="I4168">
        <v>141.53059999999999</v>
      </c>
      <c r="J4168">
        <v>-222.7124</v>
      </c>
      <c r="K4168">
        <v>1.109372</v>
      </c>
      <c r="L4168">
        <v>141.44390000000001</v>
      </c>
      <c r="M4168">
        <v>-0.99869010000000003</v>
      </c>
      <c r="N4168">
        <v>0</v>
      </c>
      <c r="O4168">
        <v>-5.0133650000000002E-2</v>
      </c>
      <c r="P4168">
        <v>-0.99765159999999997</v>
      </c>
      <c r="Q4168">
        <v>-2.8597150000000002E-2</v>
      </c>
      <c r="R4168">
        <v>6.2240469999999999E-2</v>
      </c>
      <c r="S4168">
        <v>-3.0005039999999998</v>
      </c>
      <c r="T4168">
        <v>-0.19512570000000001</v>
      </c>
      <c r="U4168">
        <v>1.2908940000000001E-2</v>
      </c>
      <c r="V4168">
        <v>0.11215890000000001</v>
      </c>
      <c r="W4168">
        <v>-1.8545320000000001E-2</v>
      </c>
      <c r="X4168">
        <v>0.99351719999999999</v>
      </c>
      <c r="Y4168">
        <v>5.4212259999999998E-2</v>
      </c>
      <c r="Z4168">
        <v>5.0168879999999997E-3</v>
      </c>
      <c r="AA4168">
        <v>0.99851690000000004</v>
      </c>
      <c r="AB4168">
        <v>16</v>
      </c>
      <c r="AC4168">
        <v>-16.7441</v>
      </c>
      <c r="AD4168">
        <v>-1.1093727248211001</v>
      </c>
      <c r="AE4168">
        <v>8.6699999999979099E-2</v>
      </c>
      <c r="AF4168">
        <v>0.92203046658253196</v>
      </c>
      <c r="AG4168">
        <v>-1.1093727248211001</v>
      </c>
      <c r="AH4168">
        <v>16.6456288030042</v>
      </c>
      <c r="AI4168">
        <v>93.807104988941205</v>
      </c>
      <c r="AJ4168">
        <v>86.829526600292098</v>
      </c>
      <c r="AK4168">
        <v>16.708016227885501</v>
      </c>
      <c r="AL4168">
        <v>91.062629496735795</v>
      </c>
      <c r="AM4168">
        <v>83.559105820707003</v>
      </c>
      <c r="AN4168">
        <v>0.99999998721947603</v>
      </c>
    </row>
    <row r="4169" spans="1:40" x14ac:dyDescent="0.25">
      <c r="A4169" t="str">
        <f>"20190312161052141"</f>
        <v>20190312161052141</v>
      </c>
      <c r="B4169" t="str">
        <f>"1552378252131262"</f>
        <v>1552378252131262</v>
      </c>
      <c r="C4169" t="s">
        <v>40</v>
      </c>
      <c r="D4169">
        <v>5.8576410000000001</v>
      </c>
      <c r="E4169">
        <v>0.47771580000000002</v>
      </c>
      <c r="F4169" t="s">
        <v>41</v>
      </c>
      <c r="G4169">
        <v>-240.50049999999999</v>
      </c>
      <c r="H4169" s="1">
        <v>-4.4442900000000001E-6</v>
      </c>
      <c r="I4169">
        <v>141.52520000000001</v>
      </c>
      <c r="J4169">
        <v>-222.87559999999999</v>
      </c>
      <c r="K4169">
        <v>1.109378</v>
      </c>
      <c r="L4169">
        <v>141.43719999999999</v>
      </c>
      <c r="M4169">
        <v>-0.99875210000000003</v>
      </c>
      <c r="N4169">
        <v>0</v>
      </c>
      <c r="O4169">
        <v>-4.8901020000000003E-2</v>
      </c>
      <c r="P4169">
        <v>-0.99761250000000001</v>
      </c>
      <c r="Q4169">
        <v>-2.870851E-2</v>
      </c>
      <c r="R4169">
        <v>6.2811629999999993E-2</v>
      </c>
      <c r="S4169">
        <v>-3.000839</v>
      </c>
      <c r="T4169">
        <v>-0.1871507</v>
      </c>
      <c r="U4169">
        <v>1.371765E-2</v>
      </c>
      <c r="V4169">
        <v>0.1115023</v>
      </c>
      <c r="W4169">
        <v>-1.8746530000000001E-2</v>
      </c>
      <c r="X4169">
        <v>0.99358729999999995</v>
      </c>
      <c r="Y4169">
        <v>5.3270320000000003E-2</v>
      </c>
      <c r="Z4169">
        <v>4.705631E-3</v>
      </c>
      <c r="AA4169">
        <v>0.99856900000000004</v>
      </c>
      <c r="AB4169">
        <v>16</v>
      </c>
      <c r="AC4169">
        <v>-17.624899999999901</v>
      </c>
      <c r="AD4169">
        <v>-1.10938244429</v>
      </c>
      <c r="AE4169">
        <v>8.8000000000022199E-2</v>
      </c>
      <c r="AF4169">
        <v>0.94606648015334505</v>
      </c>
      <c r="AG4169">
        <v>-1.10938244429</v>
      </c>
      <c r="AH4169">
        <v>17.530056886058599</v>
      </c>
      <c r="AI4169">
        <v>93.615862985760003</v>
      </c>
      <c r="AJ4169">
        <v>86.910843891738097</v>
      </c>
      <c r="AK4169">
        <v>17.5905845730328</v>
      </c>
      <c r="AL4169">
        <v>91.074160015586699</v>
      </c>
      <c r="AM4169">
        <v>83.596945983861502</v>
      </c>
      <c r="AN4169">
        <v>0.99999995900680905</v>
      </c>
    </row>
    <row r="4170" spans="1:40" x14ac:dyDescent="0.25">
      <c r="A4170" t="str">
        <f>"20190312161052165"</f>
        <v>20190312161052165</v>
      </c>
      <c r="B4170" t="str">
        <f>"1552378252160543"</f>
        <v>1552378252160543</v>
      </c>
      <c r="C4170" t="s">
        <v>40</v>
      </c>
      <c r="D4170">
        <v>6.0247679999999999</v>
      </c>
      <c r="E4170">
        <v>0.47705439999999999</v>
      </c>
      <c r="F4170" t="s">
        <v>41</v>
      </c>
      <c r="G4170">
        <v>-241.2158</v>
      </c>
      <c r="H4170" s="1">
        <v>-4.1980869999999999E-6</v>
      </c>
      <c r="I4170">
        <v>141.5093</v>
      </c>
      <c r="J4170">
        <v>-223.03970000000001</v>
      </c>
      <c r="K4170">
        <v>1.1093869999999999</v>
      </c>
      <c r="L4170">
        <v>141.4306</v>
      </c>
      <c r="M4170">
        <v>-0.99881010000000003</v>
      </c>
      <c r="N4170">
        <v>0</v>
      </c>
      <c r="O4170">
        <v>-4.7725610000000002E-2</v>
      </c>
      <c r="P4170">
        <v>-0.99756929999999999</v>
      </c>
      <c r="Q4170">
        <v>-2.885915E-2</v>
      </c>
      <c r="R4170">
        <v>6.3426880000000005E-2</v>
      </c>
      <c r="S4170">
        <v>-3.0012050000000001</v>
      </c>
      <c r="T4170">
        <v>-0.1815407</v>
      </c>
      <c r="U4170">
        <v>1.1810299999999999E-2</v>
      </c>
      <c r="V4170">
        <v>0.11094660000000001</v>
      </c>
      <c r="W4170">
        <v>-1.8995229999999998E-2</v>
      </c>
      <c r="X4170">
        <v>0.99364479999999999</v>
      </c>
      <c r="Y4170">
        <v>5.147703E-2</v>
      </c>
      <c r="Z4170">
        <v>4.4391070000000003E-3</v>
      </c>
      <c r="AA4170">
        <v>0.99866429999999995</v>
      </c>
      <c r="AB4170">
        <v>16</v>
      </c>
      <c r="AC4170">
        <v>-18.176099999999899</v>
      </c>
      <c r="AD4170">
        <v>-1.1093911980869999</v>
      </c>
      <c r="AE4170">
        <v>7.8699999999997702E-2</v>
      </c>
      <c r="AF4170">
        <v>0.94260794328731501</v>
      </c>
      <c r="AG4170">
        <v>-1.1093911980869999</v>
      </c>
      <c r="AH4170">
        <v>18.084260675611301</v>
      </c>
      <c r="AI4170">
        <v>93.505702072140494</v>
      </c>
      <c r="AJ4170">
        <v>87.016265805113093</v>
      </c>
      <c r="AK4170">
        <v>18.142760064240498</v>
      </c>
      <c r="AL4170">
        <v>91.088411994100895</v>
      </c>
      <c r="AM4170">
        <v>83.628959822666999</v>
      </c>
      <c r="AN4170">
        <v>0.99999997769067595</v>
      </c>
    </row>
    <row r="4171" spans="1:40" x14ac:dyDescent="0.25">
      <c r="A4171" t="str">
        <f>"20190312161052187"</f>
        <v>20190312161052187</v>
      </c>
      <c r="B4171" t="str">
        <f>"1552378252181039"</f>
        <v>1552378252181039</v>
      </c>
      <c r="C4171" t="s">
        <v>40</v>
      </c>
      <c r="D4171">
        <v>5.8588699999999996</v>
      </c>
      <c r="E4171">
        <v>0.4767882</v>
      </c>
      <c r="F4171" t="s">
        <v>41</v>
      </c>
      <c r="G4171">
        <v>-242.19149999999999</v>
      </c>
      <c r="H4171" s="1">
        <v>-3.8290000000000001E-6</v>
      </c>
      <c r="I4171">
        <v>141.4836</v>
      </c>
      <c r="J4171">
        <v>-223.1979</v>
      </c>
      <c r="K4171">
        <v>1.1093980000000001</v>
      </c>
      <c r="L4171">
        <v>141.42429999999999</v>
      </c>
      <c r="M4171">
        <v>-0.99886209999999997</v>
      </c>
      <c r="N4171">
        <v>0</v>
      </c>
      <c r="O4171">
        <v>-4.6647210000000001E-2</v>
      </c>
      <c r="P4171">
        <v>-0.99755179999999999</v>
      </c>
      <c r="Q4171">
        <v>-2.8813100000000001E-2</v>
      </c>
      <c r="R4171">
        <v>6.3723489999999994E-2</v>
      </c>
      <c r="S4171">
        <v>-3.0017399999999999</v>
      </c>
      <c r="T4171">
        <v>-0.17388049999999999</v>
      </c>
      <c r="U4171">
        <v>8.3160400000000002E-3</v>
      </c>
      <c r="V4171">
        <v>0.1101704</v>
      </c>
      <c r="W4171">
        <v>-1.9048329999999999E-2</v>
      </c>
      <c r="X4171">
        <v>0.99373020000000001</v>
      </c>
      <c r="Y4171">
        <v>4.9255979999999998E-2</v>
      </c>
      <c r="Z4171">
        <v>4.1247030000000004E-3</v>
      </c>
      <c r="AA4171">
        <v>0.99877769999999999</v>
      </c>
      <c r="AB4171">
        <v>16</v>
      </c>
      <c r="AC4171">
        <v>-18.993599999999901</v>
      </c>
      <c r="AD4171">
        <v>-1.1094018289999901</v>
      </c>
      <c r="AE4171">
        <v>5.9300000000007402E-2</v>
      </c>
      <c r="AF4171">
        <v>0.94206359638054304</v>
      </c>
      <c r="AG4171">
        <v>-1.1094018289999901</v>
      </c>
      <c r="AH4171">
        <v>18.905657049443001</v>
      </c>
      <c r="AI4171">
        <v>93.354167204421103</v>
      </c>
      <c r="AJ4171">
        <v>87.147326854240404</v>
      </c>
      <c r="AK4171">
        <v>18.961596048565301</v>
      </c>
      <c r="AL4171">
        <v>91.091454890083895</v>
      </c>
      <c r="AM4171">
        <v>83.673709236029794</v>
      </c>
      <c r="AN4171">
        <v>1.00000003315199</v>
      </c>
    </row>
    <row r="4172" spans="1:40" x14ac:dyDescent="0.25">
      <c r="A4172" t="str">
        <f>"20190312161052209"</f>
        <v>20190312161052209</v>
      </c>
      <c r="B4172" t="str">
        <f>"1552378252200558"</f>
        <v>1552378252200558</v>
      </c>
      <c r="C4172" t="s">
        <v>40</v>
      </c>
      <c r="D4172">
        <v>5.8443009999999997</v>
      </c>
      <c r="E4172">
        <v>0.47664830000000002</v>
      </c>
      <c r="F4172" t="s">
        <v>41</v>
      </c>
      <c r="G4172">
        <v>-242.70650000000001</v>
      </c>
      <c r="H4172" s="1">
        <v>-3.6045529999999999E-6</v>
      </c>
      <c r="I4172">
        <v>141.47040000000001</v>
      </c>
      <c r="J4172">
        <v>-223.35839999999999</v>
      </c>
      <c r="K4172">
        <v>1.1093999999999999</v>
      </c>
      <c r="L4172">
        <v>141.41810000000001</v>
      </c>
      <c r="M4172">
        <v>-0.99891189999999996</v>
      </c>
      <c r="N4172">
        <v>0</v>
      </c>
      <c r="O4172">
        <v>-4.559411E-2</v>
      </c>
      <c r="P4172">
        <v>-0.99753890000000001</v>
      </c>
      <c r="Q4172">
        <v>-2.904135E-2</v>
      </c>
      <c r="R4172">
        <v>6.3819390000000004E-2</v>
      </c>
      <c r="S4172">
        <v>-3.0019680000000002</v>
      </c>
      <c r="T4172">
        <v>-0.1707147</v>
      </c>
      <c r="U4172">
        <v>7.0953369999999898E-3</v>
      </c>
      <c r="V4172">
        <v>0.1092186</v>
      </c>
      <c r="W4172">
        <v>-1.9378820000000001E-2</v>
      </c>
      <c r="X4172">
        <v>0.99382879999999996</v>
      </c>
      <c r="Y4172">
        <v>4.7806399999999999E-2</v>
      </c>
      <c r="Z4172">
        <v>3.9484350000000001E-3</v>
      </c>
      <c r="AA4172">
        <v>0.99884879999999998</v>
      </c>
      <c r="AB4172">
        <v>16</v>
      </c>
      <c r="AC4172">
        <v>-19.348099999999999</v>
      </c>
      <c r="AD4172">
        <v>-1.109403604553</v>
      </c>
      <c r="AE4172">
        <v>5.23000000000024E-2</v>
      </c>
      <c r="AF4172">
        <v>0.931385271149204</v>
      </c>
      <c r="AG4172">
        <v>-1.109403604553</v>
      </c>
      <c r="AH4172">
        <v>19.262262695058698</v>
      </c>
      <c r="AI4172">
        <v>93.292451650783306</v>
      </c>
      <c r="AJ4172">
        <v>87.231741900200802</v>
      </c>
      <c r="AK4172">
        <v>19.316651340606601</v>
      </c>
      <c r="AL4172">
        <v>91.110394146327096</v>
      </c>
      <c r="AM4172">
        <v>83.728544086621994</v>
      </c>
      <c r="AN4172">
        <v>0.99999996247999501</v>
      </c>
    </row>
    <row r="4173" spans="1:40" x14ac:dyDescent="0.25">
      <c r="A4173" t="str">
        <f>"20190312161052232"</f>
        <v>20190312161052232</v>
      </c>
      <c r="B4173" t="str">
        <f>"1552378252221054"</f>
        <v>1552378252221054</v>
      </c>
      <c r="C4173" t="s">
        <v>40</v>
      </c>
      <c r="D4173">
        <v>5.973382</v>
      </c>
      <c r="E4173">
        <v>0.47664830000000002</v>
      </c>
      <c r="F4173" t="s">
        <v>41</v>
      </c>
      <c r="G4173">
        <v>-242.8931</v>
      </c>
      <c r="H4173" s="1">
        <v>-3.5212799999999999E-6</v>
      </c>
      <c r="I4173">
        <v>141.45830000000001</v>
      </c>
      <c r="J4173">
        <v>-223.5308</v>
      </c>
      <c r="K4173">
        <v>1.109386</v>
      </c>
      <c r="L4173">
        <v>141.41149999999999</v>
      </c>
      <c r="M4173">
        <v>-0.99896180000000001</v>
      </c>
      <c r="N4173">
        <v>0</v>
      </c>
      <c r="O4173">
        <v>-4.4507890000000001E-2</v>
      </c>
      <c r="P4173">
        <v>-0.99754019999999999</v>
      </c>
      <c r="Q4173">
        <v>-2.8803749999999999E-2</v>
      </c>
      <c r="R4173">
        <v>6.3903779999999993E-2</v>
      </c>
      <c r="S4173">
        <v>-3.0020289999999998</v>
      </c>
      <c r="T4173">
        <v>-0.1704899</v>
      </c>
      <c r="U4173">
        <v>6.1950679999999998E-3</v>
      </c>
      <c r="V4173">
        <v>0.10822320000000001</v>
      </c>
      <c r="W4173">
        <v>-1.9250420000000001E-2</v>
      </c>
      <c r="X4173">
        <v>0.99394020000000005</v>
      </c>
      <c r="Y4173">
        <v>4.6424979999999998E-2</v>
      </c>
      <c r="Z4173">
        <v>3.8423670000000002E-3</v>
      </c>
      <c r="AA4173">
        <v>0.99891439999999998</v>
      </c>
      <c r="AB4173">
        <v>16</v>
      </c>
      <c r="AC4173">
        <v>-19.362300000000001</v>
      </c>
      <c r="AD4173">
        <v>-1.10938952128</v>
      </c>
      <c r="AE4173">
        <v>4.6800000000018799E-2</v>
      </c>
      <c r="AF4173">
        <v>0.905596460777221</v>
      </c>
      <c r="AG4173">
        <v>-1.10938952128</v>
      </c>
      <c r="AH4173">
        <v>19.277741688138001</v>
      </c>
      <c r="AI4173">
        <v>93.289987026146406</v>
      </c>
      <c r="AJ4173">
        <v>87.310435061128203</v>
      </c>
      <c r="AK4173">
        <v>19.330860680638899</v>
      </c>
      <c r="AL4173">
        <v>91.103035975528101</v>
      </c>
      <c r="AM4173">
        <v>83.785942889316502</v>
      </c>
      <c r="AN4173">
        <v>0.99999998043222804</v>
      </c>
    </row>
    <row r="4174" spans="1:40" x14ac:dyDescent="0.25">
      <c r="A4174" t="str">
        <f>"20190312161052257"</f>
        <v>20190312161052257</v>
      </c>
      <c r="B4174" t="str">
        <f>"1552378252251310"</f>
        <v>1552378252251310</v>
      </c>
      <c r="C4174" t="s">
        <v>40</v>
      </c>
      <c r="D4174">
        <v>5.8016199999999998</v>
      </c>
      <c r="E4174">
        <v>0.47636299999999998</v>
      </c>
      <c r="F4174" t="s">
        <v>41</v>
      </c>
      <c r="G4174">
        <v>-243.13</v>
      </c>
      <c r="H4174" s="1">
        <v>-3.4187660000000001E-6</v>
      </c>
      <c r="I4174">
        <v>141.45500000000001</v>
      </c>
      <c r="J4174">
        <v>-223.70339999999999</v>
      </c>
      <c r="K4174">
        <v>1.109372</v>
      </c>
      <c r="L4174">
        <v>141.4051</v>
      </c>
      <c r="M4174">
        <v>-0.99900880000000003</v>
      </c>
      <c r="N4174">
        <v>0</v>
      </c>
      <c r="O4174">
        <v>-4.3466699999999997E-2</v>
      </c>
      <c r="P4174">
        <v>-0.99748130000000002</v>
      </c>
      <c r="Q4174">
        <v>-2.9525240000000001E-2</v>
      </c>
      <c r="R4174">
        <v>6.4493709999999996E-2</v>
      </c>
      <c r="S4174">
        <v>-3.0020600000000002</v>
      </c>
      <c r="T4174">
        <v>-0.16992839999999901</v>
      </c>
      <c r="U4174">
        <v>6.6680910000000001E-3</v>
      </c>
      <c r="V4174">
        <v>0.1077737</v>
      </c>
      <c r="W4174">
        <v>-2.0080020000000001E-2</v>
      </c>
      <c r="X4174">
        <v>0.99397270000000004</v>
      </c>
      <c r="Y4174">
        <v>4.5545219999999997E-2</v>
      </c>
      <c r="Z4174">
        <v>3.745965E-3</v>
      </c>
      <c r="AA4174">
        <v>0.99895520000000004</v>
      </c>
      <c r="AB4174">
        <v>16</v>
      </c>
      <c r="AC4174">
        <v>-19.426600000000001</v>
      </c>
      <c r="AD4174">
        <v>-1.1093754187659901</v>
      </c>
      <c r="AE4174">
        <v>4.9900000000008E-2</v>
      </c>
      <c r="AF4174">
        <v>0.89139499578492198</v>
      </c>
      <c r="AG4174">
        <v>-1.1093754187659901</v>
      </c>
      <c r="AH4174">
        <v>19.342989766253801</v>
      </c>
      <c r="AI4174">
        <v>93.2790074552844</v>
      </c>
      <c r="AJ4174">
        <v>87.361469811300395</v>
      </c>
      <c r="AK4174">
        <v>19.395271381335998</v>
      </c>
      <c r="AL4174">
        <v>91.150577666611994</v>
      </c>
      <c r="AM4174">
        <v>83.811752784863501</v>
      </c>
      <c r="AN4174">
        <v>1.0000000529800801</v>
      </c>
    </row>
    <row r="4175" spans="1:40" x14ac:dyDescent="0.25">
      <c r="A4175" t="str">
        <f>"20190312161052279"</f>
        <v>20190312161052279</v>
      </c>
      <c r="B4175" t="str">
        <f>"1552378252270831"</f>
        <v>1552378252270831</v>
      </c>
      <c r="C4175" t="s">
        <v>40</v>
      </c>
      <c r="D4175">
        <v>5.8443930000000002</v>
      </c>
      <c r="E4175">
        <v>0.47620269999999998</v>
      </c>
      <c r="F4175" t="s">
        <v>41</v>
      </c>
      <c r="G4175">
        <v>-243.48060000000001</v>
      </c>
      <c r="H4175" s="1">
        <v>-3.2656710000000002E-6</v>
      </c>
      <c r="I4175">
        <v>141.44489999999999</v>
      </c>
      <c r="J4175">
        <v>-223.87200000000001</v>
      </c>
      <c r="K4175">
        <v>1.1093630000000001</v>
      </c>
      <c r="L4175">
        <v>141.3989</v>
      </c>
      <c r="M4175">
        <v>-0.99905169999999999</v>
      </c>
      <c r="N4175">
        <v>0</v>
      </c>
      <c r="O4175">
        <v>-4.2491340000000002E-2</v>
      </c>
      <c r="P4175">
        <v>-0.99744060000000001</v>
      </c>
      <c r="Q4175">
        <v>-2.8944729999999998E-2</v>
      </c>
      <c r="R4175">
        <v>6.5380480000000005E-2</v>
      </c>
      <c r="S4175">
        <v>-3.0021969999999998</v>
      </c>
      <c r="T4175">
        <v>-0.16840450000000001</v>
      </c>
      <c r="U4175">
        <v>6.0577390000000004E-3</v>
      </c>
      <c r="V4175">
        <v>0.1076884</v>
      </c>
      <c r="W4175">
        <v>-1.960162E-2</v>
      </c>
      <c r="X4175">
        <v>0.99399139999999997</v>
      </c>
      <c r="Y4175">
        <v>4.4372580000000002E-2</v>
      </c>
      <c r="Z4175">
        <v>3.6247509999999998E-3</v>
      </c>
      <c r="AA4175">
        <v>0.99900849999999997</v>
      </c>
      <c r="AB4175">
        <v>16</v>
      </c>
      <c r="AC4175">
        <v>-19.608599999999999</v>
      </c>
      <c r="AD4175">
        <v>-1.1093662656709999</v>
      </c>
      <c r="AE4175">
        <v>4.59999999999922E-2</v>
      </c>
      <c r="AF4175">
        <v>0.87638660317885697</v>
      </c>
      <c r="AG4175">
        <v>-1.1093662656709999</v>
      </c>
      <c r="AH4175">
        <v>19.526434306442599</v>
      </c>
      <c r="AI4175">
        <v>93.248418549897806</v>
      </c>
      <c r="AJ4175">
        <v>87.430171992795707</v>
      </c>
      <c r="AK4175">
        <v>19.577547949461302</v>
      </c>
      <c r="AL4175">
        <v>91.1231620755606</v>
      </c>
      <c r="AM4175">
        <v>83.816728088342899</v>
      </c>
      <c r="AN4175">
        <v>0.999999959137571</v>
      </c>
    </row>
    <row r="4176" spans="1:40" x14ac:dyDescent="0.25">
      <c r="A4176" t="str">
        <f>"20190312161052299"</f>
        <v>20190312161052299</v>
      </c>
      <c r="B4176" t="str">
        <f>"1552378252291326"</f>
        <v>1552378252291326</v>
      </c>
      <c r="C4176" t="s">
        <v>40</v>
      </c>
      <c r="D4176">
        <v>5.879524</v>
      </c>
      <c r="E4176">
        <v>0.47593419999999997</v>
      </c>
      <c r="F4176" t="s">
        <v>41</v>
      </c>
      <c r="G4176">
        <v>-244.07040000000001</v>
      </c>
      <c r="H4176" s="1">
        <v>-3.0136829999999998E-6</v>
      </c>
      <c r="I4176">
        <v>141.4487</v>
      </c>
      <c r="J4176">
        <v>-224.0145</v>
      </c>
      <c r="K4176">
        <v>1.109362</v>
      </c>
      <c r="L4176">
        <v>141.3938</v>
      </c>
      <c r="M4176">
        <v>-0.99908580000000002</v>
      </c>
      <c r="N4176">
        <v>0</v>
      </c>
      <c r="O4176">
        <v>-4.1699649999999998E-2</v>
      </c>
      <c r="P4176">
        <v>-0.9974613</v>
      </c>
      <c r="Q4176">
        <v>-2.808801E-2</v>
      </c>
      <c r="R4176">
        <v>6.543823E-2</v>
      </c>
      <c r="S4176">
        <v>-3.0024259999999998</v>
      </c>
      <c r="T4176">
        <v>-0.16490439999999901</v>
      </c>
      <c r="U4176">
        <v>7.4157709999999998E-3</v>
      </c>
      <c r="V4176">
        <v>0.1069605</v>
      </c>
      <c r="W4176">
        <v>-1.882617E-2</v>
      </c>
      <c r="X4176">
        <v>0.994085</v>
      </c>
      <c r="Y4176">
        <v>4.4039929999999998E-2</v>
      </c>
      <c r="Z4176">
        <v>3.4967090000000002E-3</v>
      </c>
      <c r="AA4176">
        <v>0.99902369999999996</v>
      </c>
      <c r="AB4176">
        <v>16</v>
      </c>
      <c r="AC4176">
        <v>-20.055900000000001</v>
      </c>
      <c r="AD4176">
        <v>-1.109365013683</v>
      </c>
      <c r="AE4176">
        <v>5.4900000000003502E-2</v>
      </c>
      <c r="AF4176">
        <v>0.88849493005729197</v>
      </c>
      <c r="AG4176">
        <v>-1.109365013683</v>
      </c>
      <c r="AH4176">
        <v>19.975049045853801</v>
      </c>
      <c r="AI4176">
        <v>93.175667347633095</v>
      </c>
      <c r="AJ4176">
        <v>87.453148862713803</v>
      </c>
      <c r="AK4176">
        <v>20.025551137449</v>
      </c>
      <c r="AL4176">
        <v>91.078723834179996</v>
      </c>
      <c r="AM4176">
        <v>83.858776150185193</v>
      </c>
      <c r="AN4176">
        <v>0.99999998023105896</v>
      </c>
    </row>
    <row r="4177" spans="1:40" x14ac:dyDescent="0.25">
      <c r="A4177" t="str">
        <f>"20190312161052320"</f>
        <v>20190312161052320</v>
      </c>
      <c r="B4177" t="str">
        <f>"1552378252310846"</f>
        <v>1552378252310846</v>
      </c>
      <c r="C4177" t="s">
        <v>40</v>
      </c>
      <c r="D4177">
        <v>5.874784</v>
      </c>
      <c r="E4177">
        <v>0.47580099999999997</v>
      </c>
      <c r="F4177" t="s">
        <v>41</v>
      </c>
      <c r="G4177">
        <v>-244.8937</v>
      </c>
      <c r="H4177" s="1">
        <v>-2.655938E-6</v>
      </c>
      <c r="I4177">
        <v>141.43170000000001</v>
      </c>
      <c r="J4177">
        <v>-224.17570000000001</v>
      </c>
      <c r="K4177">
        <v>1.109364</v>
      </c>
      <c r="L4177">
        <v>141.38810000000001</v>
      </c>
      <c r="M4177">
        <v>-0.99912259999999997</v>
      </c>
      <c r="N4177">
        <v>0</v>
      </c>
      <c r="O4177">
        <v>-4.083585E-2</v>
      </c>
      <c r="P4177">
        <v>-0.99743709999999997</v>
      </c>
      <c r="Q4177">
        <v>-2.7616249999999998E-2</v>
      </c>
      <c r="R4177">
        <v>6.6006640000000005E-2</v>
      </c>
      <c r="S4177">
        <v>-3.002777</v>
      </c>
      <c r="T4177">
        <v>-0.15954479999999999</v>
      </c>
      <c r="U4177">
        <v>5.4626459999999998E-3</v>
      </c>
      <c r="V4177">
        <v>0.106668899999999</v>
      </c>
      <c r="W4177">
        <v>-1.8445920000000001E-2</v>
      </c>
      <c r="X4177">
        <v>0.99412350000000005</v>
      </c>
      <c r="Y4177">
        <v>4.2537650000000003E-2</v>
      </c>
      <c r="Z4177">
        <v>3.2971049999999998E-3</v>
      </c>
      <c r="AA4177">
        <v>0.99908940000000002</v>
      </c>
      <c r="AB4177">
        <v>16</v>
      </c>
      <c r="AC4177">
        <v>-20.7179999999999</v>
      </c>
      <c r="AD4177">
        <v>-1.109366655938</v>
      </c>
      <c r="AE4177">
        <v>4.35999999999978E-2</v>
      </c>
      <c r="AF4177">
        <v>0.88709390278973699</v>
      </c>
      <c r="AG4177">
        <v>-1.109366655938</v>
      </c>
      <c r="AH4177">
        <v>20.6397588672809</v>
      </c>
      <c r="AI4177">
        <v>93.073798787218394</v>
      </c>
      <c r="AJ4177">
        <v>87.538950199969506</v>
      </c>
      <c r="AK4177">
        <v>20.688578396525301</v>
      </c>
      <c r="AL4177">
        <v>91.056933287440302</v>
      </c>
      <c r="AM4177">
        <v>83.875626570800605</v>
      </c>
      <c r="AN4177">
        <v>1.00000001972205</v>
      </c>
    </row>
    <row r="4178" spans="1:40" x14ac:dyDescent="0.25">
      <c r="A4178" t="str">
        <f>"20190312161052343"</f>
        <v>20190312161052343</v>
      </c>
      <c r="B4178" t="str">
        <f>"1552378252330370"</f>
        <v>1552378252330370</v>
      </c>
      <c r="C4178" t="s">
        <v>40</v>
      </c>
      <c r="D4178">
        <v>5.9558039999999997</v>
      </c>
      <c r="E4178">
        <v>0.4760276</v>
      </c>
      <c r="F4178" t="s">
        <v>41</v>
      </c>
      <c r="G4178">
        <v>-245.3013</v>
      </c>
      <c r="H4178" s="1">
        <v>-2.4807930000000001E-6</v>
      </c>
      <c r="I4178">
        <v>141.43049999999999</v>
      </c>
      <c r="J4178">
        <v>-224.3409</v>
      </c>
      <c r="K4178">
        <v>1.1093710000000001</v>
      </c>
      <c r="L4178">
        <v>141.38239999999999</v>
      </c>
      <c r="M4178">
        <v>-0.99915790000000004</v>
      </c>
      <c r="N4178">
        <v>0</v>
      </c>
      <c r="O4178">
        <v>-3.9985920000000001E-2</v>
      </c>
      <c r="P4178">
        <v>-0.99735119999999999</v>
      </c>
      <c r="Q4178">
        <v>-2.7509970000000002E-2</v>
      </c>
      <c r="R4178">
        <v>6.7335290000000006E-2</v>
      </c>
      <c r="S4178">
        <v>-3.0029599999999999</v>
      </c>
      <c r="T4178">
        <v>-0.15769469999999999</v>
      </c>
      <c r="U4178">
        <v>6.0424800000000002E-3</v>
      </c>
      <c r="V4178">
        <v>0.1071483</v>
      </c>
      <c r="W4178">
        <v>-1.843332E-2</v>
      </c>
      <c r="X4178">
        <v>0.99407210000000001</v>
      </c>
      <c r="Y4178">
        <v>4.1885310000000002E-2</v>
      </c>
      <c r="Z4178">
        <v>3.1970309999999999E-3</v>
      </c>
      <c r="AA4178">
        <v>0.99911729999999999</v>
      </c>
      <c r="AB4178">
        <v>16</v>
      </c>
      <c r="AC4178">
        <v>-20.9604</v>
      </c>
      <c r="AD4178">
        <v>-1.10937348079299</v>
      </c>
      <c r="AE4178">
        <v>4.8100000000005097E-2</v>
      </c>
      <c r="AF4178">
        <v>0.88374227194702404</v>
      </c>
      <c r="AG4178">
        <v>-1.10937348079299</v>
      </c>
      <c r="AH4178">
        <v>20.883212551259799</v>
      </c>
      <c r="AI4178">
        <v>93.038136433239202</v>
      </c>
      <c r="AJ4178">
        <v>87.576785254391197</v>
      </c>
      <c r="AK4178">
        <v>20.931322853183701</v>
      </c>
      <c r="AL4178">
        <v>91.056211319186602</v>
      </c>
      <c r="AM4178">
        <v>83.847996850441504</v>
      </c>
      <c r="AN4178">
        <v>0.99999994273875903</v>
      </c>
    </row>
    <row r="4179" spans="1:40" x14ac:dyDescent="0.25">
      <c r="A4179" t="str">
        <f>"20190312161052366"</f>
        <v>20190312161052366</v>
      </c>
      <c r="B4179" t="str">
        <f>"1552378252360623"</f>
        <v>1552378252360623</v>
      </c>
      <c r="C4179" t="s">
        <v>40</v>
      </c>
      <c r="D4179">
        <v>5.9554470000000004</v>
      </c>
      <c r="E4179">
        <v>0.49052069999999998</v>
      </c>
      <c r="F4179" t="s">
        <v>41</v>
      </c>
      <c r="G4179">
        <v>-245.4691</v>
      </c>
      <c r="H4179" s="1">
        <v>-2.418048E-6</v>
      </c>
      <c r="I4179">
        <v>141.46539999999999</v>
      </c>
      <c r="J4179">
        <v>-224.50880000000001</v>
      </c>
      <c r="K4179">
        <v>1.109381</v>
      </c>
      <c r="L4179">
        <v>141.3766</v>
      </c>
      <c r="M4179">
        <v>-0.9991913</v>
      </c>
      <c r="N4179">
        <v>0</v>
      </c>
      <c r="O4179">
        <v>-3.916066E-2</v>
      </c>
      <c r="P4179">
        <v>-0.99730319999999995</v>
      </c>
      <c r="Q4179">
        <v>-2.733675E-2</v>
      </c>
      <c r="R4179">
        <v>6.8111469999999993E-2</v>
      </c>
      <c r="S4179">
        <v>-3.0028380000000001</v>
      </c>
      <c r="T4179">
        <v>-0.15766949999999999</v>
      </c>
      <c r="U4179">
        <v>1.1810299999999999E-2</v>
      </c>
      <c r="V4179">
        <v>0.1071018</v>
      </c>
      <c r="W4179">
        <v>-1.835266E-2</v>
      </c>
      <c r="X4179">
        <v>0.99407860000000003</v>
      </c>
      <c r="Y4179">
        <v>4.2978849999999999E-2</v>
      </c>
      <c r="Z4179">
        <v>3.1820709999999999E-3</v>
      </c>
      <c r="AA4179">
        <v>0.99907089999999998</v>
      </c>
      <c r="AB4179">
        <v>16</v>
      </c>
      <c r="AC4179">
        <v>-20.960299999999901</v>
      </c>
      <c r="AD4179">
        <v>-1.109383418048</v>
      </c>
      <c r="AE4179">
        <v>8.8799999999991996E-2</v>
      </c>
      <c r="AF4179">
        <v>0.90704429497871597</v>
      </c>
      <c r="AG4179">
        <v>-1.109383418048</v>
      </c>
      <c r="AH4179">
        <v>20.882245413528601</v>
      </c>
      <c r="AI4179">
        <v>93.038158959868895</v>
      </c>
      <c r="AJ4179">
        <v>87.512855439666794</v>
      </c>
      <c r="AK4179">
        <v>20.931355293724501</v>
      </c>
      <c r="AL4179">
        <v>91.051589062998502</v>
      </c>
      <c r="AM4179">
        <v>83.8506861253138</v>
      </c>
      <c r="AN4179">
        <v>0.99999993933513598</v>
      </c>
    </row>
    <row r="4180" spans="1:40" x14ac:dyDescent="0.25">
      <c r="A4180" t="str">
        <f>"20190312161052387"</f>
        <v>20190312161052387</v>
      </c>
      <c r="B4180" t="str">
        <f>"1552378252381118"</f>
        <v>1552378252381118</v>
      </c>
      <c r="C4180" t="s">
        <v>40</v>
      </c>
      <c r="D4180">
        <v>5.8673289999999998</v>
      </c>
      <c r="E4180">
        <v>0.49071559999999997</v>
      </c>
      <c r="F4180" t="s">
        <v>41</v>
      </c>
      <c r="G4180">
        <v>-245.0692</v>
      </c>
      <c r="H4180" s="1">
        <v>-2.8025580000000002E-6</v>
      </c>
      <c r="I4180">
        <v>142.26570000000001</v>
      </c>
      <c r="J4180">
        <v>-224.67439999999999</v>
      </c>
      <c r="K4180">
        <v>1.109378</v>
      </c>
      <c r="L4180">
        <v>141.37100000000001</v>
      </c>
      <c r="M4180">
        <v>-0.99922230000000001</v>
      </c>
      <c r="N4180">
        <v>0</v>
      </c>
      <c r="O4180">
        <v>-3.8383430000000003E-2</v>
      </c>
      <c r="P4180">
        <v>-0.99725439999999999</v>
      </c>
      <c r="Q4180">
        <v>-2.7887229999999999E-2</v>
      </c>
      <c r="R4180">
        <v>6.8598610000000004E-2</v>
      </c>
      <c r="S4180">
        <v>-2.9948579999999998</v>
      </c>
      <c r="T4180">
        <v>-0.1615943</v>
      </c>
      <c r="U4180">
        <v>0.12951660000000001</v>
      </c>
      <c r="V4180">
        <v>0.10681359999999999</v>
      </c>
      <c r="W4180">
        <v>-1.8990730000000001E-2</v>
      </c>
      <c r="X4180">
        <v>0.99409769999999997</v>
      </c>
      <c r="Y4180">
        <v>8.1349370000000004E-2</v>
      </c>
      <c r="Z4180">
        <v>4.2608029999999996E-3</v>
      </c>
      <c r="AA4180">
        <v>0.99667660000000002</v>
      </c>
      <c r="AB4180">
        <v>17</v>
      </c>
      <c r="AC4180">
        <v>-20.3948</v>
      </c>
      <c r="AD4180">
        <v>-1.1093808025580001</v>
      </c>
      <c r="AE4180">
        <v>0.89470000000000005</v>
      </c>
      <c r="AF4180">
        <v>1.67195734876043</v>
      </c>
      <c r="AG4180">
        <v>-1.1093808025580001</v>
      </c>
      <c r="AH4180">
        <v>20.285520033981701</v>
      </c>
      <c r="AI4180">
        <v>93.119733478764005</v>
      </c>
      <c r="AJ4180">
        <v>85.288261931958502</v>
      </c>
      <c r="AK4180">
        <v>20.3845159420142</v>
      </c>
      <c r="AL4180">
        <v>91.088154075904299</v>
      </c>
      <c r="AM4180">
        <v>83.867223966082605</v>
      </c>
      <c r="AN4180">
        <v>1.0000000150580901</v>
      </c>
    </row>
    <row r="4181" spans="1:40" x14ac:dyDescent="0.25">
      <c r="A4181" t="str">
        <f>"20190312161052410"</f>
        <v>20190312161052410</v>
      </c>
      <c r="B4181" t="str">
        <f>"1552378252400639"</f>
        <v>1552378252400639</v>
      </c>
      <c r="C4181" t="s">
        <v>40</v>
      </c>
      <c r="D4181">
        <v>5.9313520000000004</v>
      </c>
      <c r="E4181">
        <v>0.490726</v>
      </c>
      <c r="F4181" t="s">
        <v>41</v>
      </c>
      <c r="G4181">
        <v>-246.71190000000001</v>
      </c>
      <c r="H4181" s="1">
        <v>-2.1192800000000001E-6</v>
      </c>
      <c r="I4181">
        <v>142.34620000000001</v>
      </c>
      <c r="J4181">
        <v>-224.8416</v>
      </c>
      <c r="K4181">
        <v>1.10937</v>
      </c>
      <c r="L4181">
        <v>141.3655</v>
      </c>
      <c r="M4181">
        <v>-0.99925180000000002</v>
      </c>
      <c r="N4181">
        <v>0</v>
      </c>
      <c r="O4181">
        <v>-3.7628229999999999E-2</v>
      </c>
      <c r="P4181">
        <v>-0.99719210000000003</v>
      </c>
      <c r="Q4181">
        <v>-2.7791940000000001E-2</v>
      </c>
      <c r="R4181">
        <v>6.9539160000000003E-2</v>
      </c>
      <c r="S4181">
        <v>-2.9949340000000002</v>
      </c>
      <c r="T4181">
        <v>-0.1507667</v>
      </c>
      <c r="U4181">
        <v>0.13253779999999901</v>
      </c>
      <c r="V4181">
        <v>0.10700030000000001</v>
      </c>
      <c r="W4181">
        <v>-1.8978720000000001E-2</v>
      </c>
      <c r="X4181">
        <v>0.99407789999999996</v>
      </c>
      <c r="Y4181">
        <v>8.1621600000000002E-2</v>
      </c>
      <c r="Z4181">
        <v>3.944375E-3</v>
      </c>
      <c r="AA4181">
        <v>0.99665559999999997</v>
      </c>
      <c r="AB4181">
        <v>17</v>
      </c>
      <c r="AC4181">
        <v>-21.8703</v>
      </c>
      <c r="AD4181">
        <v>-1.1093721192799999</v>
      </c>
      <c r="AE4181">
        <v>0.98070000000001301</v>
      </c>
      <c r="AF4181">
        <v>1.7983610472043401</v>
      </c>
      <c r="AG4181">
        <v>-1.1093721192799999</v>
      </c>
      <c r="AH4181">
        <v>21.7620248975776</v>
      </c>
      <c r="AI4181">
        <v>92.908368912530605</v>
      </c>
      <c r="AJ4181">
        <v>85.275949458514106</v>
      </c>
      <c r="AK4181">
        <v>21.8643668236225</v>
      </c>
      <c r="AL4181">
        <v>91.0874657767245</v>
      </c>
      <c r="AM4181">
        <v>83.856464929308501</v>
      </c>
      <c r="AN4181">
        <v>1.0000000636406601</v>
      </c>
    </row>
    <row r="4182" spans="1:40" x14ac:dyDescent="0.25">
      <c r="A4182" t="str">
        <f>"20190312161052457"</f>
        <v>20190312161052457</v>
      </c>
      <c r="B4182" t="str">
        <f>"1552378252450414"</f>
        <v>1552378252450414</v>
      </c>
      <c r="C4182" t="s">
        <v>40</v>
      </c>
      <c r="D4182">
        <v>5.8481909999999999</v>
      </c>
      <c r="E4182">
        <v>0.4892493</v>
      </c>
      <c r="F4182" t="s">
        <v>41</v>
      </c>
      <c r="G4182">
        <v>-247.36750000000001</v>
      </c>
      <c r="H4182" s="1">
        <v>-1.8480670000000001E-6</v>
      </c>
      <c r="I4182">
        <v>142.38390000000001</v>
      </c>
      <c r="J4182">
        <v>-225.18889999999999</v>
      </c>
      <c r="K4182">
        <v>1.1093500000000001</v>
      </c>
      <c r="L4182">
        <v>141.35429999999999</v>
      </c>
      <c r="M4182">
        <v>-0.99930819999999998</v>
      </c>
      <c r="N4182">
        <v>0</v>
      </c>
      <c r="O4182">
        <v>-3.6136759999999997E-2</v>
      </c>
      <c r="P4182">
        <v>-0.99719829999999998</v>
      </c>
      <c r="Q4182">
        <v>-2.6382530000000001E-2</v>
      </c>
      <c r="R4182">
        <v>6.999727E-2</v>
      </c>
      <c r="S4182">
        <v>-2.994888</v>
      </c>
      <c r="T4182">
        <v>-0.1474944</v>
      </c>
      <c r="U4182">
        <v>0.13540650000000001</v>
      </c>
      <c r="V4182">
        <v>0.1059758</v>
      </c>
      <c r="W4182">
        <v>-1.7713719999999999E-2</v>
      </c>
      <c r="X4182">
        <v>0.99421090000000001</v>
      </c>
      <c r="Y4182">
        <v>8.1096329999999994E-2</v>
      </c>
      <c r="Z4182">
        <v>3.7725660000000002E-3</v>
      </c>
      <c r="AA4182">
        <v>0.99669920000000001</v>
      </c>
      <c r="AB4182">
        <v>17</v>
      </c>
      <c r="AC4182">
        <v>-22.178599999999999</v>
      </c>
      <c r="AD4182">
        <v>-1.1093518480669999</v>
      </c>
      <c r="AE4182">
        <v>1.0296000000000101</v>
      </c>
      <c r="AF4182">
        <v>1.8258628678473601</v>
      </c>
      <c r="AG4182">
        <v>-1.1093518480669999</v>
      </c>
      <c r="AH4182">
        <v>22.0718024274836</v>
      </c>
      <c r="AI4182">
        <v>92.867546022999505</v>
      </c>
      <c r="AJ4182">
        <v>85.271044182894599</v>
      </c>
      <c r="AK4182">
        <v>22.1749610852616</v>
      </c>
      <c r="AL4182">
        <v>91.014974499713801</v>
      </c>
      <c r="AM4182">
        <v>83.915652162585403</v>
      </c>
      <c r="AN4182">
        <v>0.99999997987034395</v>
      </c>
    </row>
    <row r="4183" spans="1:40" x14ac:dyDescent="0.25">
      <c r="A4183" t="str">
        <f>"20190312161052477"</f>
        <v>20190312161052477</v>
      </c>
      <c r="B4183" t="str">
        <f>"1552378252470910"</f>
        <v>1552378252470910</v>
      </c>
      <c r="C4183" t="s">
        <v>40</v>
      </c>
      <c r="D4183">
        <v>5.8525799999999997</v>
      </c>
      <c r="E4183">
        <v>0.48872599999999999</v>
      </c>
      <c r="F4183" t="s">
        <v>41</v>
      </c>
      <c r="G4183">
        <v>-248.9315</v>
      </c>
      <c r="H4183" s="1">
        <v>-1.166876E-6</v>
      </c>
      <c r="I4183">
        <v>142.34540000000001</v>
      </c>
      <c r="J4183">
        <v>-225.34540000000001</v>
      </c>
      <c r="K4183">
        <v>1.1093459999999999</v>
      </c>
      <c r="L4183">
        <v>141.3494</v>
      </c>
      <c r="M4183">
        <v>-0.99933179999999999</v>
      </c>
      <c r="N4183">
        <v>0</v>
      </c>
      <c r="O4183">
        <v>-3.5491509999999997E-2</v>
      </c>
      <c r="P4183">
        <v>-0.9971373</v>
      </c>
      <c r="Q4183">
        <v>-2.638101E-2</v>
      </c>
      <c r="R4183">
        <v>7.0862510000000004E-2</v>
      </c>
      <c r="S4183">
        <v>-2.9959410000000002</v>
      </c>
      <c r="T4183">
        <v>-0.13998289999999999</v>
      </c>
      <c r="U4183">
        <v>0.12506099999999901</v>
      </c>
      <c r="V4183">
        <v>0.1061965</v>
      </c>
      <c r="W4183">
        <v>-1.7766489999999999E-2</v>
      </c>
      <c r="X4183">
        <v>0.99418640000000003</v>
      </c>
      <c r="Y4183">
        <v>7.7020309999999995E-2</v>
      </c>
      <c r="Z4183">
        <v>3.4543899999999999E-3</v>
      </c>
      <c r="AA4183">
        <v>0.99702349999999995</v>
      </c>
      <c r="AB4183">
        <v>17</v>
      </c>
      <c r="AC4183">
        <v>-23.586099999999899</v>
      </c>
      <c r="AD4183">
        <v>-1.109347166876</v>
      </c>
      <c r="AE4183">
        <v>0.99600000000000899</v>
      </c>
      <c r="AF4183">
        <v>1.82847296228556</v>
      </c>
      <c r="AG4183">
        <v>-1.109347166876</v>
      </c>
      <c r="AH4183">
        <v>23.484029517813799</v>
      </c>
      <c r="AI4183">
        <v>92.696399823285404</v>
      </c>
      <c r="AJ4183">
        <v>85.547916941815799</v>
      </c>
      <c r="AK4183">
        <v>23.581213007477299</v>
      </c>
      <c r="AL4183">
        <v>91.017998482599097</v>
      </c>
      <c r="AM4183">
        <v>83.902927419726595</v>
      </c>
      <c r="AN4183">
        <v>0.99999997136206398</v>
      </c>
    </row>
    <row r="4184" spans="1:40" x14ac:dyDescent="0.25">
      <c r="A4184" t="str">
        <f>"20190312161052500"</f>
        <v>20190312161052500</v>
      </c>
      <c r="B4184" t="str">
        <f>"1552378252490431"</f>
        <v>1552378252490431</v>
      </c>
      <c r="C4184" t="s">
        <v>40</v>
      </c>
      <c r="D4184">
        <v>5.8672360000000001</v>
      </c>
      <c r="E4184">
        <v>0.48847000000000002</v>
      </c>
      <c r="F4184" t="s">
        <v>41</v>
      </c>
      <c r="G4184">
        <v>-249.29159999999999</v>
      </c>
      <c r="H4184" s="1">
        <v>-1.009591E-6</v>
      </c>
      <c r="I4184">
        <v>142.3349</v>
      </c>
      <c r="J4184">
        <v>-225.51730000000001</v>
      </c>
      <c r="K4184">
        <v>1.1093420000000001</v>
      </c>
      <c r="L4184">
        <v>141.3442</v>
      </c>
      <c r="M4184">
        <v>-0.99935660000000004</v>
      </c>
      <c r="N4184">
        <v>0</v>
      </c>
      <c r="O4184">
        <v>-3.4796199999999999E-2</v>
      </c>
      <c r="P4184">
        <v>-0.99704470000000001</v>
      </c>
      <c r="Q4184">
        <v>-2.6336849999999998E-2</v>
      </c>
      <c r="R4184">
        <v>7.2167200000000001E-2</v>
      </c>
      <c r="S4184">
        <v>-2.9961850000000001</v>
      </c>
      <c r="T4184">
        <v>-0.1388035</v>
      </c>
      <c r="U4184">
        <v>0.12330629999999999</v>
      </c>
      <c r="V4184">
        <v>0.10680530000000001</v>
      </c>
      <c r="W4184">
        <v>-1.7774649999999999E-2</v>
      </c>
      <c r="X4184">
        <v>0.99412109999999998</v>
      </c>
      <c r="Y4184">
        <v>7.5744409999999998E-2</v>
      </c>
      <c r="Z4184">
        <v>3.3633690000000002E-3</v>
      </c>
      <c r="AA4184">
        <v>0.99712160000000005</v>
      </c>
      <c r="AB4184">
        <v>17</v>
      </c>
      <c r="AC4184">
        <v>-23.774299999999901</v>
      </c>
      <c r="AD4184">
        <v>-1.109343009591</v>
      </c>
      <c r="AE4184">
        <v>0.99070000000000402</v>
      </c>
      <c r="AF4184">
        <v>1.81344503847897</v>
      </c>
      <c r="AG4184">
        <v>-1.109343009591</v>
      </c>
      <c r="AH4184">
        <v>23.673972237718299</v>
      </c>
      <c r="AI4184">
        <v>92.675045682059704</v>
      </c>
      <c r="AJ4184">
        <v>85.619652004943404</v>
      </c>
      <c r="AK4184">
        <v>23.769227718476099</v>
      </c>
      <c r="AL4184">
        <v>91.018466024298604</v>
      </c>
      <c r="AM4184">
        <v>83.867840129859403</v>
      </c>
      <c r="AN4184">
        <v>1.0000000358779599</v>
      </c>
    </row>
    <row r="4185" spans="1:40" x14ac:dyDescent="0.25">
      <c r="A4185" t="str">
        <f>"20190312161052544"</f>
        <v>20190312161052544</v>
      </c>
      <c r="B4185" t="str">
        <f>"1552378252541182"</f>
        <v>1552378252541182</v>
      </c>
      <c r="C4185" t="s">
        <v>40</v>
      </c>
      <c r="D4185">
        <v>5.9007529999999999</v>
      </c>
      <c r="E4185">
        <v>0.48831609999999998</v>
      </c>
      <c r="F4185" t="s">
        <v>41</v>
      </c>
      <c r="G4185">
        <v>-249.3536</v>
      </c>
      <c r="H4185" s="1">
        <v>-9.8448479999999998E-7</v>
      </c>
      <c r="I4185">
        <v>142.34049999999999</v>
      </c>
      <c r="J4185">
        <v>-225.85480000000001</v>
      </c>
      <c r="K4185">
        <v>1.1093360000000001</v>
      </c>
      <c r="L4185">
        <v>141.33410000000001</v>
      </c>
      <c r="M4185">
        <v>-0.99940320000000005</v>
      </c>
      <c r="N4185">
        <v>0</v>
      </c>
      <c r="O4185">
        <v>-3.3452509999999998E-2</v>
      </c>
      <c r="P4185">
        <v>-0.99699939999999998</v>
      </c>
      <c r="Q4185">
        <v>-2.503213E-2</v>
      </c>
      <c r="R4185">
        <v>7.3251239999999995E-2</v>
      </c>
      <c r="S4185">
        <v>-2.9961549999999999</v>
      </c>
      <c r="T4185">
        <v>-0.13944129999999999</v>
      </c>
      <c r="U4185">
        <v>0.1252441</v>
      </c>
      <c r="V4185">
        <v>0.10655149999999999</v>
      </c>
      <c r="W4185">
        <v>-1.6549479999999998E-2</v>
      </c>
      <c r="X4185">
        <v>0.99416950000000004</v>
      </c>
      <c r="Y4185">
        <v>7.5049069999999996E-2</v>
      </c>
      <c r="Z4185">
        <v>3.3001630000000001E-3</v>
      </c>
      <c r="AA4185">
        <v>0.99717440000000002</v>
      </c>
      <c r="AB4185">
        <v>17</v>
      </c>
      <c r="AC4185">
        <v>-23.4987999999999</v>
      </c>
      <c r="AD4185">
        <v>-1.1093369844848</v>
      </c>
      <c r="AE4185">
        <v>1.00639999999998</v>
      </c>
      <c r="AF4185">
        <v>1.78798224779363</v>
      </c>
      <c r="AG4185">
        <v>-1.1093369844848</v>
      </c>
      <c r="AH4185">
        <v>23.3999250690668</v>
      </c>
      <c r="AI4185">
        <v>92.706352642123207</v>
      </c>
      <c r="AJ4185">
        <v>85.630534678101995</v>
      </c>
      <c r="AK4185">
        <v>23.494339792841899</v>
      </c>
      <c r="AL4185">
        <v>90.948258597731098</v>
      </c>
      <c r="AM4185">
        <v>83.882596843951404</v>
      </c>
      <c r="AN4185">
        <v>1.0000000510853799</v>
      </c>
    </row>
    <row r="4186" spans="1:40" x14ac:dyDescent="0.25">
      <c r="A4186" t="str">
        <f>"20190312161052589"</f>
        <v>20190312161052589</v>
      </c>
      <c r="B4186" t="str">
        <f>"1552378252581199"</f>
        <v>1552378252581199</v>
      </c>
      <c r="C4186" t="s">
        <v>40</v>
      </c>
      <c r="D4186">
        <v>5.971444</v>
      </c>
      <c r="E4186">
        <v>0.48824990000000001</v>
      </c>
      <c r="F4186" t="s">
        <v>41</v>
      </c>
      <c r="G4186">
        <v>-250.0016</v>
      </c>
      <c r="H4186" s="1">
        <v>-4.7621399999999999E-6</v>
      </c>
      <c r="I4186">
        <v>142.35980000000001</v>
      </c>
      <c r="J4186">
        <v>-226.19749999999999</v>
      </c>
      <c r="K4186">
        <v>1.1093200000000001</v>
      </c>
      <c r="L4186">
        <v>141.32429999999999</v>
      </c>
      <c r="M4186">
        <v>-0.99944829999999996</v>
      </c>
      <c r="N4186">
        <v>0</v>
      </c>
      <c r="O4186">
        <v>-3.2096079999999999E-2</v>
      </c>
      <c r="P4186">
        <v>-0.99699890000000002</v>
      </c>
      <c r="Q4186">
        <v>-2.4991070000000001E-2</v>
      </c>
      <c r="R4186">
        <v>7.3270070000000007E-2</v>
      </c>
      <c r="S4186">
        <v>-2.996216</v>
      </c>
      <c r="T4186">
        <v>-0.1376511</v>
      </c>
      <c r="U4186">
        <v>0.12728879999999901</v>
      </c>
      <c r="V4186">
        <v>0.1052206</v>
      </c>
      <c r="W4186">
        <v>-1.6565610000000001E-2</v>
      </c>
      <c r="X4186">
        <v>0.9943109</v>
      </c>
      <c r="Y4186">
        <v>7.4379239999999999E-2</v>
      </c>
      <c r="Z4186">
        <v>3.1801049999999999E-3</v>
      </c>
      <c r="AA4186">
        <v>0.99722500000000003</v>
      </c>
      <c r="AB4186">
        <v>17</v>
      </c>
      <c r="AC4186">
        <v>-23.804099999999998</v>
      </c>
      <c r="AD4186">
        <v>-1.10932476214</v>
      </c>
      <c r="AE4186">
        <v>1.0355000000000101</v>
      </c>
      <c r="AF4186">
        <v>1.7951213935339401</v>
      </c>
      <c r="AG4186">
        <v>-1.10932476214</v>
      </c>
      <c r="AH4186">
        <v>23.707208880993502</v>
      </c>
      <c r="AI4186">
        <v>92.671434734008997</v>
      </c>
      <c r="AJ4186">
        <v>85.669798945650697</v>
      </c>
      <c r="AK4186">
        <v>23.800941476598702</v>
      </c>
      <c r="AL4186">
        <v>90.949182972815905</v>
      </c>
      <c r="AM4186">
        <v>83.959291479038995</v>
      </c>
      <c r="AN4186">
        <v>0.99999997997891998</v>
      </c>
    </row>
    <row r="4187" spans="1:40" x14ac:dyDescent="0.25">
      <c r="A4187" t="str">
        <f>"20190312161052611"</f>
        <v>20190312161052611</v>
      </c>
      <c r="B4187" t="str">
        <f>"1552378252600719"</f>
        <v>1552378252600719</v>
      </c>
      <c r="C4187" t="s">
        <v>40</v>
      </c>
      <c r="D4187">
        <v>10.17812</v>
      </c>
      <c r="E4187">
        <v>0.48818099999999998</v>
      </c>
      <c r="F4187" t="s">
        <v>41</v>
      </c>
      <c r="G4187">
        <v>-250.46619999999999</v>
      </c>
      <c r="H4187" s="1">
        <v>-4.6026359999999999E-6</v>
      </c>
      <c r="I4187">
        <v>142.3519</v>
      </c>
      <c r="J4187">
        <v>-226.37389999999999</v>
      </c>
      <c r="K4187">
        <v>1.1093109999999999</v>
      </c>
      <c r="L4187">
        <v>141.31950000000001</v>
      </c>
      <c r="M4187">
        <v>-0.99947070000000005</v>
      </c>
      <c r="N4187">
        <v>0</v>
      </c>
      <c r="O4187">
        <v>-3.1396420000000001E-2</v>
      </c>
      <c r="P4187">
        <v>-0.99701609999999996</v>
      </c>
      <c r="Q4187">
        <v>-2.4653359999999999E-2</v>
      </c>
      <c r="R4187">
        <v>7.3153699999999905E-2</v>
      </c>
      <c r="S4187">
        <v>-2.996292</v>
      </c>
      <c r="T4187">
        <v>-0.1369611</v>
      </c>
      <c r="U4187">
        <v>0.12687680000000001</v>
      </c>
      <c r="V4187">
        <v>0.1044088</v>
      </c>
      <c r="W4187">
        <v>-1.62506E-2</v>
      </c>
      <c r="X4187">
        <v>0.99440170000000006</v>
      </c>
      <c r="Y4187">
        <v>7.3545869999999999E-2</v>
      </c>
      <c r="Z4187">
        <v>3.11313E-3</v>
      </c>
      <c r="AA4187">
        <v>0.99728700000000003</v>
      </c>
      <c r="AB4187">
        <v>17</v>
      </c>
      <c r="AC4187">
        <v>-24.092299999999899</v>
      </c>
      <c r="AD4187">
        <v>-1.109315602636</v>
      </c>
      <c r="AE4187">
        <v>1.03239999999999</v>
      </c>
      <c r="AF4187">
        <v>1.78455394883748</v>
      </c>
      <c r="AG4187">
        <v>-1.109315602636</v>
      </c>
      <c r="AH4187">
        <v>23.997224100453899</v>
      </c>
      <c r="AI4187">
        <v>92.6394402206124</v>
      </c>
      <c r="AJ4187">
        <v>85.747026792227899</v>
      </c>
      <c r="AK4187">
        <v>24.089042704722999</v>
      </c>
      <c r="AL4187">
        <v>90.931131770609994</v>
      </c>
      <c r="AM4187">
        <v>84.006099591773193</v>
      </c>
      <c r="AN4187">
        <v>1.0000000102403399</v>
      </c>
    </row>
    <row r="4188" spans="1:40" x14ac:dyDescent="0.25">
      <c r="A4188" t="str">
        <f>"20190312161052635"</f>
        <v>20190312161052635</v>
      </c>
      <c r="B4188" t="str">
        <f>"1552378252630974"</f>
        <v>1552378252630974</v>
      </c>
      <c r="C4188" t="s">
        <v>40</v>
      </c>
      <c r="D4188">
        <v>5.8727070000000001</v>
      </c>
      <c r="E4188">
        <v>0.4879812</v>
      </c>
      <c r="F4188" t="s">
        <v>41</v>
      </c>
      <c r="G4188">
        <v>-250.7655</v>
      </c>
      <c r="H4188" s="1">
        <v>-4.4995480000000003E-6</v>
      </c>
      <c r="I4188">
        <v>142.345</v>
      </c>
      <c r="J4188">
        <v>-226.55789999999999</v>
      </c>
      <c r="K4188">
        <v>1.109305</v>
      </c>
      <c r="L4188">
        <v>141.31450000000001</v>
      </c>
      <c r="M4188">
        <v>-0.99949359999999998</v>
      </c>
      <c r="N4188">
        <v>0</v>
      </c>
      <c r="O4188">
        <v>-3.0663139999999998E-2</v>
      </c>
      <c r="P4188">
        <v>-0.99700359999999999</v>
      </c>
      <c r="Q4188">
        <v>-2.4236959999999998E-2</v>
      </c>
      <c r="R4188">
        <v>7.3460929999999994E-2</v>
      </c>
      <c r="S4188">
        <v>-2.9963679999999999</v>
      </c>
      <c r="T4188">
        <v>-0.1362729</v>
      </c>
      <c r="U4188">
        <v>0.12599179999999999</v>
      </c>
      <c r="V4188">
        <v>0.103986</v>
      </c>
      <c r="W4188">
        <v>-1.5854399999999901E-2</v>
      </c>
      <c r="X4188">
        <v>0.99445240000000001</v>
      </c>
      <c r="Y4188">
        <v>7.2521989999999995E-2</v>
      </c>
      <c r="Z4188">
        <v>3.0408639999999999E-3</v>
      </c>
      <c r="AA4188">
        <v>0.99736219999999998</v>
      </c>
      <c r="AB4188">
        <v>17</v>
      </c>
      <c r="AC4188">
        <v>-24.207599999999999</v>
      </c>
      <c r="AD4188">
        <v>-1.109309499548</v>
      </c>
      <c r="AE4188">
        <v>1.03049999999998</v>
      </c>
      <c r="AF4188">
        <v>1.7686160392492301</v>
      </c>
      <c r="AG4188">
        <v>-1.109309499548</v>
      </c>
      <c r="AH4188">
        <v>24.114070723494098</v>
      </c>
      <c r="AI4188">
        <v>92.626850905188903</v>
      </c>
      <c r="AJ4188">
        <v>85.805224366082498</v>
      </c>
      <c r="AK4188">
        <v>24.204276008956601</v>
      </c>
      <c r="AL4188">
        <v>90.908428254975505</v>
      </c>
      <c r="AM4188">
        <v>84.030498215401593</v>
      </c>
      <c r="AN4188">
        <v>1.00000001303056</v>
      </c>
    </row>
    <row r="4189" spans="1:40" x14ac:dyDescent="0.25">
      <c r="A4189" t="str">
        <f>"20190312161052659"</f>
        <v>20190312161052659</v>
      </c>
      <c r="B4189" t="str">
        <f>"1552378252650495"</f>
        <v>1552378252650495</v>
      </c>
      <c r="C4189" t="s">
        <v>40</v>
      </c>
      <c r="D4189">
        <v>5.847537</v>
      </c>
      <c r="E4189">
        <v>0.4878149</v>
      </c>
      <c r="F4189" t="s">
        <v>41</v>
      </c>
      <c r="G4189">
        <v>-251.24209999999999</v>
      </c>
      <c r="H4189" s="1">
        <v>-4.3377589999999997E-6</v>
      </c>
      <c r="I4189">
        <v>142.34719999999999</v>
      </c>
      <c r="J4189">
        <v>-226.74010000000001</v>
      </c>
      <c r="K4189">
        <v>1.109291</v>
      </c>
      <c r="L4189">
        <v>141.3098</v>
      </c>
      <c r="M4189">
        <v>-0.99951579999999995</v>
      </c>
      <c r="N4189">
        <v>0</v>
      </c>
      <c r="O4189">
        <v>-2.993407E-2</v>
      </c>
      <c r="P4189">
        <v>-0.99698330000000002</v>
      </c>
      <c r="Q4189">
        <v>-2.3885529999999999E-2</v>
      </c>
      <c r="R4189">
        <v>7.3851260000000002E-2</v>
      </c>
      <c r="S4189">
        <v>-2.9965060000000001</v>
      </c>
      <c r="T4189">
        <v>-0.13466359999999999</v>
      </c>
      <c r="U4189">
        <v>0.12536620000000001</v>
      </c>
      <c r="V4189">
        <v>0.1036503</v>
      </c>
      <c r="W4189">
        <v>-1.5519160000000001E-2</v>
      </c>
      <c r="X4189">
        <v>0.99449270000000001</v>
      </c>
      <c r="Y4189">
        <v>7.1588840000000001E-2</v>
      </c>
      <c r="Z4189">
        <v>2.9511810000000002E-3</v>
      </c>
      <c r="AA4189">
        <v>0.99742980000000003</v>
      </c>
      <c r="AB4189">
        <v>17</v>
      </c>
      <c r="AC4189">
        <v>-24.501999999999899</v>
      </c>
      <c r="AD4189">
        <v>-1.109295337759</v>
      </c>
      <c r="AE4189">
        <v>1.0373999999999901</v>
      </c>
      <c r="AF4189">
        <v>1.76679119332413</v>
      </c>
      <c r="AG4189">
        <v>-1.109295337759</v>
      </c>
      <c r="AH4189">
        <v>24.410020728399601</v>
      </c>
      <c r="AI4189">
        <v>92.595194434954394</v>
      </c>
      <c r="AJ4189">
        <v>85.860165036171907</v>
      </c>
      <c r="AK4189">
        <v>24.4990040456358</v>
      </c>
      <c r="AL4189">
        <v>90.889218083944399</v>
      </c>
      <c r="AM4189">
        <v>84.0498705788292</v>
      </c>
      <c r="AN4189">
        <v>0.99999997968524201</v>
      </c>
    </row>
    <row r="4190" spans="1:40" x14ac:dyDescent="0.25">
      <c r="A4190" t="str">
        <f>"20190312161052679"</f>
        <v>20190312161052679</v>
      </c>
      <c r="B4190" t="str">
        <f>"1552378252671020"</f>
        <v>1552378252671020</v>
      </c>
      <c r="C4190" t="s">
        <v>40</v>
      </c>
      <c r="D4190">
        <v>5.889405</v>
      </c>
      <c r="E4190">
        <v>0.48648599999999997</v>
      </c>
      <c r="F4190" t="s">
        <v>41</v>
      </c>
      <c r="G4190">
        <v>-251.46279999999999</v>
      </c>
      <c r="H4190" s="1">
        <v>-4.2618420000000003E-6</v>
      </c>
      <c r="I4190">
        <v>142.34270000000001</v>
      </c>
      <c r="J4190">
        <v>-226.90479999999999</v>
      </c>
      <c r="K4190">
        <v>1.1092839999999999</v>
      </c>
      <c r="L4190">
        <v>141.3056</v>
      </c>
      <c r="M4190">
        <v>-0.99953559999999997</v>
      </c>
      <c r="N4190">
        <v>0</v>
      </c>
      <c r="O4190">
        <v>-2.92713E-2</v>
      </c>
      <c r="P4190">
        <v>-0.99694669999999996</v>
      </c>
      <c r="Q4190">
        <v>-2.3562090000000001E-2</v>
      </c>
      <c r="R4190">
        <v>7.4447310000000003E-2</v>
      </c>
      <c r="S4190">
        <v>-2.9965820000000001</v>
      </c>
      <c r="T4190">
        <v>-0.13445499999999999</v>
      </c>
      <c r="U4190">
        <v>0.12519839999999999</v>
      </c>
      <c r="V4190">
        <v>0.10358580000000001</v>
      </c>
      <c r="W4190">
        <v>-1.520766E-2</v>
      </c>
      <c r="X4190">
        <v>0.99450430000000001</v>
      </c>
      <c r="Y4190">
        <v>7.0872340000000006E-2</v>
      </c>
      <c r="Z4190">
        <v>2.9007730000000002E-3</v>
      </c>
      <c r="AA4190">
        <v>0.99748119999999996</v>
      </c>
      <c r="AB4190">
        <v>17</v>
      </c>
      <c r="AC4190">
        <v>-24.558</v>
      </c>
      <c r="AD4190">
        <v>-1.1092882618419999</v>
      </c>
      <c r="AE4190">
        <v>1.0370999999999999</v>
      </c>
      <c r="AF4190">
        <v>1.7519577307768801</v>
      </c>
      <c r="AG4190">
        <v>-1.1092882618419999</v>
      </c>
      <c r="AH4190">
        <v>24.467285135350799</v>
      </c>
      <c r="AI4190">
        <v>92.589255941282602</v>
      </c>
      <c r="AJ4190">
        <v>85.904377817392799</v>
      </c>
      <c r="AK4190">
        <v>24.5549978259589</v>
      </c>
      <c r="AL4190">
        <v>90.871368283003093</v>
      </c>
      <c r="AM4190">
        <v>84.053615577101894</v>
      </c>
      <c r="AN4190">
        <v>1.0000000468014001</v>
      </c>
    </row>
    <row r="4191" spans="1:40" x14ac:dyDescent="0.25">
      <c r="A4191" t="str">
        <f>"20190312161052701"</f>
        <v>20190312161052701</v>
      </c>
      <c r="B4191" t="str">
        <f>"1552378252690519"</f>
        <v>1552378252690519</v>
      </c>
      <c r="C4191" t="s">
        <v>40</v>
      </c>
      <c r="D4191">
        <v>5.9459169999999997</v>
      </c>
      <c r="E4191">
        <v>0.48689209999999999</v>
      </c>
      <c r="F4191" t="s">
        <v>42</v>
      </c>
      <c r="G4191">
        <v>-227.6807</v>
      </c>
      <c r="H4191">
        <v>1.0561039999999999</v>
      </c>
      <c r="I4191">
        <v>141.33619999999999</v>
      </c>
      <c r="J4191">
        <v>-227.0745</v>
      </c>
      <c r="K4191">
        <v>1.1092770000000001</v>
      </c>
      <c r="L4191">
        <v>141.3015</v>
      </c>
      <c r="M4191">
        <v>-0.99955539999999998</v>
      </c>
      <c r="N4191">
        <v>0</v>
      </c>
      <c r="O4191">
        <v>-2.8586629999999998E-2</v>
      </c>
      <c r="P4191">
        <v>-0.99691890000000005</v>
      </c>
      <c r="Q4191">
        <v>-2.384915E-2</v>
      </c>
      <c r="R4191">
        <v>7.4728459999999997E-2</v>
      </c>
      <c r="S4191">
        <v>-2.9955750000000001</v>
      </c>
      <c r="T4191">
        <v>-0.205317</v>
      </c>
      <c r="U4191">
        <v>0.1173096</v>
      </c>
      <c r="V4191">
        <v>0.1031847</v>
      </c>
      <c r="W4191">
        <v>-1.5500959999999999E-2</v>
      </c>
      <c r="X4191">
        <v>0.99454140000000002</v>
      </c>
      <c r="Y4191">
        <v>6.7455719999999997E-2</v>
      </c>
      <c r="Z4191">
        <v>4.2645529999999999E-3</v>
      </c>
      <c r="AA4191">
        <v>0.99771310000000002</v>
      </c>
      <c r="AB4191">
        <v>17</v>
      </c>
      <c r="AC4191">
        <v>-0.60620000000000096</v>
      </c>
      <c r="AD4191">
        <v>-5.3172999999999901E-2</v>
      </c>
      <c r="AE4191">
        <v>3.4699999999986603E-2</v>
      </c>
      <c r="AF4191">
        <v>5.1619791059537699E-2</v>
      </c>
      <c r="AG4191">
        <v>-5.3172999999999901E-2</v>
      </c>
      <c r="AH4191">
        <v>0.60035621127660199</v>
      </c>
      <c r="AI4191">
        <v>95.042917470260406</v>
      </c>
      <c r="AJ4191">
        <v>85.085684343435403</v>
      </c>
      <c r="AK4191">
        <v>0.604912845934376</v>
      </c>
      <c r="AL4191">
        <v>90.888175175722296</v>
      </c>
      <c r="AM4191">
        <v>84.076696247211999</v>
      </c>
      <c r="AN4191">
        <v>0.99999997919448502</v>
      </c>
    </row>
    <row r="4192" spans="1:40" x14ac:dyDescent="0.25">
      <c r="A4192" t="str">
        <f>"20190312161052722"</f>
        <v>20190312161052722</v>
      </c>
      <c r="B4192" t="str">
        <f>"1552378252711015"</f>
        <v>1552378252711015</v>
      </c>
      <c r="C4192" t="s">
        <v>40</v>
      </c>
      <c r="D4192">
        <v>6.028257</v>
      </c>
      <c r="E4192">
        <v>0.50968179999999996</v>
      </c>
      <c r="F4192" t="s">
        <v>42</v>
      </c>
      <c r="G4192">
        <v>-227.83779999999999</v>
      </c>
      <c r="H4192">
        <v>1.0560069999999999</v>
      </c>
      <c r="I4192">
        <v>141.33250000000001</v>
      </c>
      <c r="J4192">
        <v>-227.24629999999999</v>
      </c>
      <c r="K4192">
        <v>1.109275</v>
      </c>
      <c r="L4192">
        <v>141.29740000000001</v>
      </c>
      <c r="M4192">
        <v>-0.99957499999999999</v>
      </c>
      <c r="N4192">
        <v>0</v>
      </c>
      <c r="O4192">
        <v>-2.789258E-2</v>
      </c>
      <c r="P4192">
        <v>-0.99687769999999998</v>
      </c>
      <c r="Q4192">
        <v>-2.424279E-2</v>
      </c>
      <c r="R4192">
        <v>7.5149190000000005E-2</v>
      </c>
      <c r="S4192">
        <v>-2.9951780000000001</v>
      </c>
      <c r="T4192">
        <v>-0.2090544</v>
      </c>
      <c r="U4192">
        <v>0.121337899999999</v>
      </c>
      <c r="V4192">
        <v>0.1029129</v>
      </c>
      <c r="W4192">
        <v>-1.5893810000000001E-2</v>
      </c>
      <c r="X4192">
        <v>0.99456339999999999</v>
      </c>
      <c r="Y4192">
        <v>6.8099640000000003E-2</v>
      </c>
      <c r="Z4192">
        <v>4.3165299999999998E-3</v>
      </c>
      <c r="AA4192">
        <v>0.99766920000000003</v>
      </c>
      <c r="AB4192">
        <v>18</v>
      </c>
      <c r="AC4192">
        <v>-0.59149999999999603</v>
      </c>
      <c r="AD4192">
        <v>-5.3268000000000003E-2</v>
      </c>
      <c r="AE4192">
        <v>3.5099999999999902E-2</v>
      </c>
      <c r="AF4192">
        <v>5.1171846363801503E-2</v>
      </c>
      <c r="AG4192">
        <v>-5.3268000000000003E-2</v>
      </c>
      <c r="AH4192">
        <v>0.58555853904344601</v>
      </c>
      <c r="AI4192">
        <v>95.178237324236093</v>
      </c>
      <c r="AJ4192">
        <v>85.005621216162197</v>
      </c>
      <c r="AK4192">
        <v>0.59019898367497603</v>
      </c>
      <c r="AL4192">
        <v>90.910686562186996</v>
      </c>
      <c r="AM4192">
        <v>84.092318148606395</v>
      </c>
      <c r="AN4192">
        <v>1.0000000174011401</v>
      </c>
    </row>
    <row r="4193" spans="1:40" x14ac:dyDescent="0.25">
      <c r="A4193" t="str">
        <f>"20190312161052746"</f>
        <v>20190312161052746</v>
      </c>
      <c r="B4193" t="str">
        <f>"1552378252741272"</f>
        <v>1552378252741272</v>
      </c>
      <c r="C4193" t="s">
        <v>40</v>
      </c>
      <c r="D4193">
        <v>5.9106930000000002</v>
      </c>
      <c r="E4193">
        <v>0.51122489999999998</v>
      </c>
      <c r="F4193" t="s">
        <v>42</v>
      </c>
      <c r="G4193">
        <v>-227.95429999999999</v>
      </c>
      <c r="H4193">
        <v>0.97658990000000001</v>
      </c>
      <c r="I4193">
        <v>141.3708</v>
      </c>
      <c r="J4193">
        <v>-227.4248</v>
      </c>
      <c r="K4193">
        <v>1.109275</v>
      </c>
      <c r="L4193">
        <v>141.29320000000001</v>
      </c>
      <c r="M4193">
        <v>-0.99959469999999995</v>
      </c>
      <c r="N4193">
        <v>0</v>
      </c>
      <c r="O4193">
        <v>-2.7170900000000001E-2</v>
      </c>
      <c r="P4193">
        <v>-0.99682760000000004</v>
      </c>
      <c r="Q4193">
        <v>-2.419663E-2</v>
      </c>
      <c r="R4193">
        <v>7.5825669999999998E-2</v>
      </c>
      <c r="S4193">
        <v>-2.9726870000000001</v>
      </c>
      <c r="T4193">
        <v>-0.55709049999999904</v>
      </c>
      <c r="U4193">
        <v>0.30728149999999999</v>
      </c>
      <c r="V4193">
        <v>0.1028699</v>
      </c>
      <c r="W4193">
        <v>-1.5840859999999998E-2</v>
      </c>
      <c r="X4193">
        <v>0.99456869999999997</v>
      </c>
      <c r="Y4193">
        <v>0.12715019999999999</v>
      </c>
      <c r="Z4193">
        <v>1.681713E-2</v>
      </c>
      <c r="AA4193">
        <v>0.99174090000000004</v>
      </c>
      <c r="AB4193">
        <v>18</v>
      </c>
      <c r="AC4193">
        <v>-0.52949999999998398</v>
      </c>
      <c r="AD4193">
        <v>-0.1326851</v>
      </c>
      <c r="AE4193">
        <v>7.7599999999989594E-2</v>
      </c>
      <c r="AF4193">
        <v>8.6633264539878005E-2</v>
      </c>
      <c r="AG4193">
        <v>-0.1326851</v>
      </c>
      <c r="AH4193">
        <v>0.49666456701490203</v>
      </c>
      <c r="AI4193">
        <v>104.74467327057501</v>
      </c>
      <c r="AJ4193">
        <v>80.105438524230905</v>
      </c>
      <c r="AK4193">
        <v>0.52133132498915402</v>
      </c>
      <c r="AL4193">
        <v>90.907652362650396</v>
      </c>
      <c r="AM4193">
        <v>84.094800349038806</v>
      </c>
      <c r="AN4193">
        <v>1.00000002409561</v>
      </c>
    </row>
    <row r="4194" spans="1:40" x14ac:dyDescent="0.25">
      <c r="A4194" t="str">
        <f>"20190312161052767"</f>
        <v>20190312161052767</v>
      </c>
      <c r="B4194" t="str">
        <f>"1552378252760791"</f>
        <v>1552378252760791</v>
      </c>
      <c r="C4194" t="s">
        <v>40</v>
      </c>
      <c r="D4194">
        <v>5.8809940000000003</v>
      </c>
      <c r="E4194">
        <v>0.51377859999999997</v>
      </c>
      <c r="F4194" t="s">
        <v>42</v>
      </c>
      <c r="G4194">
        <v>-228.2533</v>
      </c>
      <c r="H4194">
        <v>0.9374287</v>
      </c>
      <c r="I4194">
        <v>141.38329999999999</v>
      </c>
      <c r="J4194">
        <v>-227.5977</v>
      </c>
      <c r="K4194">
        <v>1.1092759999999999</v>
      </c>
      <c r="L4194">
        <v>141.2894</v>
      </c>
      <c r="M4194">
        <v>-0.99961359999999999</v>
      </c>
      <c r="N4194">
        <v>0</v>
      </c>
      <c r="O4194">
        <v>-2.6472610000000001E-2</v>
      </c>
      <c r="P4194">
        <v>-0.99674759999999996</v>
      </c>
      <c r="Q4194">
        <v>-2.4122660000000001E-2</v>
      </c>
      <c r="R4194">
        <v>7.6893619999999996E-2</v>
      </c>
      <c r="S4194">
        <v>-2.9701390000000001</v>
      </c>
      <c r="T4194">
        <v>-0.61604519999999996</v>
      </c>
      <c r="U4194">
        <v>0.32162479999999999</v>
      </c>
      <c r="V4194">
        <v>0.1032405</v>
      </c>
      <c r="W4194">
        <v>-1.5754520000000001E-2</v>
      </c>
      <c r="X4194">
        <v>0.99453159999999896</v>
      </c>
      <c r="Y4194">
        <v>0.130631</v>
      </c>
      <c r="Z4194">
        <v>1.8786009999999999E-2</v>
      </c>
      <c r="AA4194">
        <v>0.9912531</v>
      </c>
      <c r="AB4194">
        <v>18</v>
      </c>
      <c r="AC4194">
        <v>-0.65559999999999197</v>
      </c>
      <c r="AD4194">
        <v>-0.17184729999999901</v>
      </c>
      <c r="AE4194">
        <v>9.3899999999990699E-2</v>
      </c>
      <c r="AF4194">
        <v>0.104207209390263</v>
      </c>
      <c r="AG4194">
        <v>-0.17184729999999901</v>
      </c>
      <c r="AH4194">
        <v>0.611700467919576</v>
      </c>
      <c r="AI4194">
        <v>105.47974285229</v>
      </c>
      <c r="AJ4194">
        <v>80.332098301114101</v>
      </c>
      <c r="AK4194">
        <v>0.64386962924121804</v>
      </c>
      <c r="AL4194">
        <v>90.902704890522301</v>
      </c>
      <c r="AM4194">
        <v>84.073457865194896</v>
      </c>
      <c r="AN4194">
        <v>0.99999995456961899</v>
      </c>
    </row>
    <row r="4195" spans="1:40" x14ac:dyDescent="0.25">
      <c r="A4195" t="str">
        <f>"20190312161052800"</f>
        <v>20190312161052800</v>
      </c>
      <c r="B4195" t="str">
        <f>"1552378252791047"</f>
        <v>1552378252791047</v>
      </c>
      <c r="C4195" t="s">
        <v>40</v>
      </c>
      <c r="D4195">
        <v>5.9411849999999999</v>
      </c>
      <c r="E4195">
        <v>0.51593710000000004</v>
      </c>
      <c r="F4195" t="s">
        <v>42</v>
      </c>
      <c r="G4195">
        <v>-228.40819999999999</v>
      </c>
      <c r="H4195">
        <v>0.92808199999999996</v>
      </c>
      <c r="I4195">
        <v>141.38380000000001</v>
      </c>
      <c r="J4195">
        <v>-227.86699999999999</v>
      </c>
      <c r="K4195">
        <v>1.109273</v>
      </c>
      <c r="L4195">
        <v>141.28360000000001</v>
      </c>
      <c r="M4195">
        <v>-0.99964140000000001</v>
      </c>
      <c r="N4195">
        <v>0</v>
      </c>
      <c r="O4195">
        <v>-2.5386470000000001E-2</v>
      </c>
      <c r="P4195">
        <v>-0.99664489999999994</v>
      </c>
      <c r="Q4195">
        <v>-2.3923429999999999E-2</v>
      </c>
      <c r="R4195">
        <v>7.8274969999999999E-2</v>
      </c>
      <c r="S4195">
        <v>-2.967117</v>
      </c>
      <c r="T4195">
        <v>-0.66333830000000005</v>
      </c>
      <c r="U4195">
        <v>0.34512330000000002</v>
      </c>
      <c r="V4195">
        <v>0.1035384</v>
      </c>
      <c r="W4195">
        <v>-1.55257999999999E-2</v>
      </c>
      <c r="X4195">
        <v>0.99450430000000001</v>
      </c>
      <c r="Y4195">
        <v>0.13676440000000001</v>
      </c>
      <c r="Z4195">
        <v>2.064233E-2</v>
      </c>
      <c r="AA4195">
        <v>0.9903885</v>
      </c>
      <c r="AB4195">
        <v>18</v>
      </c>
      <c r="AC4195">
        <v>-0.54119999999997404</v>
      </c>
      <c r="AD4195">
        <v>-0.18119099999999999</v>
      </c>
      <c r="AE4195">
        <v>0.1002</v>
      </c>
      <c r="AF4195">
        <v>0.102769900329244</v>
      </c>
      <c r="AG4195">
        <v>-0.18119099999999999</v>
      </c>
      <c r="AH4195">
        <v>0.48583090037583199</v>
      </c>
      <c r="AI4195">
        <v>110.04584105975199</v>
      </c>
      <c r="AJ4195">
        <v>78.056050935988196</v>
      </c>
      <c r="AK4195">
        <v>0.52860523517524305</v>
      </c>
      <c r="AL4195">
        <v>90.889598531916107</v>
      </c>
      <c r="AM4195">
        <v>84.056317109519995</v>
      </c>
      <c r="AN4195">
        <v>1.0000000267293401</v>
      </c>
    </row>
    <row r="4196" spans="1:40" x14ac:dyDescent="0.25">
      <c r="A4196" t="str">
        <f>"20190312161052825"</f>
        <v>20190312161052825</v>
      </c>
      <c r="B4196" t="str">
        <f>"1552378252810567"</f>
        <v>1552378252810567</v>
      </c>
      <c r="C4196" t="s">
        <v>40</v>
      </c>
      <c r="D4196">
        <v>5.925262</v>
      </c>
      <c r="E4196">
        <v>0.51748689999999997</v>
      </c>
      <c r="F4196" t="s">
        <v>42</v>
      </c>
      <c r="G4196">
        <v>-228.57249999999999</v>
      </c>
      <c r="H4196">
        <v>0.93986360000000002</v>
      </c>
      <c r="I4196">
        <v>141.37139999999999</v>
      </c>
      <c r="J4196">
        <v>-228.05260000000001</v>
      </c>
      <c r="K4196">
        <v>1.1092709999999999</v>
      </c>
      <c r="L4196">
        <v>141.27969999999999</v>
      </c>
      <c r="M4196">
        <v>-0.99965979999999999</v>
      </c>
      <c r="N4196">
        <v>0</v>
      </c>
      <c r="O4196">
        <v>-2.464007E-2</v>
      </c>
      <c r="P4196">
        <v>-0.99656849999999997</v>
      </c>
      <c r="Q4196">
        <v>-2.431519E-2</v>
      </c>
      <c r="R4196">
        <v>7.9122440000000002E-2</v>
      </c>
      <c r="S4196">
        <v>-2.9640960000000001</v>
      </c>
      <c r="T4196">
        <v>-0.71167480000000005</v>
      </c>
      <c r="U4196">
        <v>0.36827090000000001</v>
      </c>
      <c r="V4196">
        <v>0.103641</v>
      </c>
      <c r="W4196">
        <v>-1.589459E-2</v>
      </c>
      <c r="X4196">
        <v>0.99448780000000003</v>
      </c>
      <c r="Y4196">
        <v>0.14301459999999999</v>
      </c>
      <c r="Z4196">
        <v>2.2679749999999999E-2</v>
      </c>
      <c r="AA4196">
        <v>0.98946069999999997</v>
      </c>
      <c r="AB4196">
        <v>18</v>
      </c>
      <c r="AC4196">
        <v>-0.51989999999997805</v>
      </c>
      <c r="AD4196">
        <v>-0.16940739999999899</v>
      </c>
      <c r="AE4196">
        <v>9.1700000000003001E-2</v>
      </c>
      <c r="AF4196">
        <v>9.4728583452062601E-2</v>
      </c>
      <c r="AG4196">
        <v>-0.16940739999999899</v>
      </c>
      <c r="AH4196">
        <v>0.46917097779913303</v>
      </c>
      <c r="AI4196">
        <v>109.49070101407101</v>
      </c>
      <c r="AJ4196">
        <v>78.585083216486595</v>
      </c>
      <c r="AK4196">
        <v>0.50773396390884595</v>
      </c>
      <c r="AL4196">
        <v>90.910731238311797</v>
      </c>
      <c r="AM4196">
        <v>84.050371518851406</v>
      </c>
      <c r="AN4196">
        <v>1.00000003961055</v>
      </c>
    </row>
    <row r="4197" spans="1:40" x14ac:dyDescent="0.25">
      <c r="A4197" t="str">
        <f>"20190312161052869"</f>
        <v>20190312161052869</v>
      </c>
      <c r="B4197" t="str">
        <f>"1552378252861319"</f>
        <v>1552378252861319</v>
      </c>
      <c r="C4197" t="s">
        <v>40</v>
      </c>
      <c r="D4197">
        <v>6.0277229999999999</v>
      </c>
      <c r="E4197">
        <v>0.5172485</v>
      </c>
      <c r="F4197" t="s">
        <v>42</v>
      </c>
      <c r="G4197">
        <v>-228.8785</v>
      </c>
      <c r="H4197">
        <v>0.90475799999999995</v>
      </c>
      <c r="I4197">
        <v>141.38650000000001</v>
      </c>
      <c r="J4197">
        <v>-228.41139999999999</v>
      </c>
      <c r="K4197">
        <v>1.109272</v>
      </c>
      <c r="L4197">
        <v>141.27269999999999</v>
      </c>
      <c r="M4197">
        <v>-0.99969350000000001</v>
      </c>
      <c r="N4197">
        <v>0</v>
      </c>
      <c r="O4197">
        <v>-2.3218599999999999E-2</v>
      </c>
      <c r="P4197">
        <v>-0.99641480000000004</v>
      </c>
      <c r="Q4197">
        <v>-2.4250910000000001E-2</v>
      </c>
      <c r="R4197">
        <v>8.1054219999999996E-2</v>
      </c>
      <c r="S4197">
        <v>-2.962097</v>
      </c>
      <c r="T4197">
        <v>-0.73345609999999895</v>
      </c>
      <c r="U4197">
        <v>0.38240049999999998</v>
      </c>
      <c r="V4197">
        <v>0.10415489999999999</v>
      </c>
      <c r="W4197">
        <v>-1.578765E-2</v>
      </c>
      <c r="X4197">
        <v>0.99443579999999998</v>
      </c>
      <c r="Y4197">
        <v>0.14599760000000001</v>
      </c>
      <c r="Z4197">
        <v>2.3379469999999999E-2</v>
      </c>
      <c r="AA4197">
        <v>0.98900869999999996</v>
      </c>
      <c r="AB4197">
        <v>18</v>
      </c>
      <c r="AC4197">
        <v>-0.467100000000016</v>
      </c>
      <c r="AD4197">
        <v>-0.204514</v>
      </c>
      <c r="AE4197">
        <v>0.11380000000002601</v>
      </c>
      <c r="AF4197">
        <v>0.105520124910816</v>
      </c>
      <c r="AG4197">
        <v>-0.204514</v>
      </c>
      <c r="AH4197">
        <v>0.39318130430307402</v>
      </c>
      <c r="AI4197">
        <v>116.673791397797</v>
      </c>
      <c r="AJ4197">
        <v>74.977227179111495</v>
      </c>
      <c r="AK4197">
        <v>0.45557876488117899</v>
      </c>
      <c r="AL4197">
        <v>90.904603270637594</v>
      </c>
      <c r="AM4197">
        <v>84.020773307813002</v>
      </c>
      <c r="AN4197">
        <v>1.0000000267040801</v>
      </c>
    </row>
    <row r="4198" spans="1:40" x14ac:dyDescent="0.25">
      <c r="A4198" t="str">
        <f>"20190312161052890"</f>
        <v>20190312161052890</v>
      </c>
      <c r="B4198" t="str">
        <f>"1552378252880839"</f>
        <v>1552378252880839</v>
      </c>
      <c r="C4198" t="s">
        <v>40</v>
      </c>
      <c r="D4198">
        <v>5.8896259999999998</v>
      </c>
      <c r="E4198">
        <v>0.51756480000000005</v>
      </c>
      <c r="F4198" t="s">
        <v>42</v>
      </c>
      <c r="G4198">
        <v>-229.20269999999999</v>
      </c>
      <c r="H4198">
        <v>0.91074169999999999</v>
      </c>
      <c r="I4198">
        <v>141.3758</v>
      </c>
      <c r="J4198">
        <v>-228.5883</v>
      </c>
      <c r="K4198">
        <v>1.109272</v>
      </c>
      <c r="L4198">
        <v>141.26939999999999</v>
      </c>
      <c r="M4198">
        <v>-0.99970890000000001</v>
      </c>
      <c r="N4198">
        <v>0</v>
      </c>
      <c r="O4198">
        <v>-2.253461E-2</v>
      </c>
      <c r="P4198">
        <v>-0.99635269999999998</v>
      </c>
      <c r="Q4198">
        <v>-2.4187770000000001E-2</v>
      </c>
      <c r="R4198">
        <v>8.1830319999999998E-2</v>
      </c>
      <c r="S4198">
        <v>-2.9613800000000001</v>
      </c>
      <c r="T4198">
        <v>-0.74290179999999995</v>
      </c>
      <c r="U4198">
        <v>0.38516240000000002</v>
      </c>
      <c r="V4198">
        <v>0.10424940000000001</v>
      </c>
      <c r="W4198">
        <v>-1.570386E-2</v>
      </c>
      <c r="X4198">
        <v>0.99442719999999996</v>
      </c>
      <c r="Y4198">
        <v>0.1461451</v>
      </c>
      <c r="Z4198">
        <v>2.3525609999999999E-2</v>
      </c>
      <c r="AA4198">
        <v>0.98898339999999996</v>
      </c>
      <c r="AB4198">
        <v>18</v>
      </c>
      <c r="AC4198">
        <v>-0.61439999999998895</v>
      </c>
      <c r="AD4198">
        <v>-0.19853029999999999</v>
      </c>
      <c r="AE4198">
        <v>0.106400000000007</v>
      </c>
      <c r="AF4198">
        <v>0.109153634837518</v>
      </c>
      <c r="AG4198">
        <v>-0.19853029999999999</v>
      </c>
      <c r="AH4198">
        <v>0.55553091407520105</v>
      </c>
      <c r="AI4198">
        <v>109.324009038605</v>
      </c>
      <c r="AJ4198">
        <v>78.883832272314294</v>
      </c>
      <c r="AK4198">
        <v>0.59995282523675197</v>
      </c>
      <c r="AL4198">
        <v>90.899801884065496</v>
      </c>
      <c r="AM4198">
        <v>84.015336314219994</v>
      </c>
      <c r="AN4198">
        <v>1.0000000023595399</v>
      </c>
    </row>
    <row r="4199" spans="1:40" x14ac:dyDescent="0.25">
      <c r="A4199" t="str">
        <f>"20190312161052937"</f>
        <v>20190312161052937</v>
      </c>
      <c r="B4199" t="str">
        <f>"1552378252930615"</f>
        <v>1552378252930615</v>
      </c>
      <c r="C4199" t="s">
        <v>40</v>
      </c>
      <c r="D4199">
        <v>5.8637560000000004</v>
      </c>
      <c r="E4199">
        <v>0.51614300000000002</v>
      </c>
      <c r="F4199" t="s">
        <v>42</v>
      </c>
      <c r="G4199">
        <v>-229.36410000000001</v>
      </c>
      <c r="H4199">
        <v>0.90999249999999998</v>
      </c>
      <c r="I4199">
        <v>141.37180000000001</v>
      </c>
      <c r="J4199">
        <v>-228.95650000000001</v>
      </c>
      <c r="K4199">
        <v>1.1093</v>
      </c>
      <c r="L4199">
        <v>141.2628</v>
      </c>
      <c r="M4199">
        <v>-0.99973780000000001</v>
      </c>
      <c r="N4199">
        <v>0</v>
      </c>
      <c r="O4199">
        <v>-2.1197569999999999E-2</v>
      </c>
      <c r="P4199">
        <v>-0.99613989999999997</v>
      </c>
      <c r="Q4199">
        <v>-2.543318E-2</v>
      </c>
      <c r="R4199">
        <v>8.4015439999999997E-2</v>
      </c>
      <c r="S4199">
        <v>-2.9604339999999998</v>
      </c>
      <c r="T4199">
        <v>-0.76056029999999997</v>
      </c>
      <c r="U4199">
        <v>0.39048769999999999</v>
      </c>
      <c r="V4199">
        <v>0.1051001</v>
      </c>
      <c r="W4199">
        <v>-1.6905900000000001E-2</v>
      </c>
      <c r="X4199">
        <v>0.99431789999999998</v>
      </c>
      <c r="Y4199">
        <v>0.1464017</v>
      </c>
      <c r="Z4199">
        <v>2.376787E-2</v>
      </c>
      <c r="AA4199">
        <v>0.98893960000000003</v>
      </c>
      <c r="AB4199">
        <v>18</v>
      </c>
      <c r="AC4199">
        <v>-0.40760000000000202</v>
      </c>
      <c r="AD4199">
        <v>-0.1993075</v>
      </c>
      <c r="AE4199">
        <v>0.10900000000000799</v>
      </c>
      <c r="AF4199">
        <v>9.6158868447971904E-2</v>
      </c>
      <c r="AG4199">
        <v>-0.1993075</v>
      </c>
      <c r="AH4199">
        <v>0.33127613456959998</v>
      </c>
      <c r="AI4199">
        <v>120.01875806361301</v>
      </c>
      <c r="AJ4199">
        <v>73.8136767458968</v>
      </c>
      <c r="AK4199">
        <v>0.39838911239241998</v>
      </c>
      <c r="AL4199">
        <v>90.968682901216198</v>
      </c>
      <c r="AM4199">
        <v>83.966200478712196</v>
      </c>
      <c r="AN4199">
        <v>0.99999996336761399</v>
      </c>
    </row>
    <row r="4200" spans="1:40" x14ac:dyDescent="0.25">
      <c r="A4200" t="str">
        <f>"20190312161053091"</f>
        <v>20190312161053091</v>
      </c>
      <c r="B4200" t="str">
        <f>"1552378253080919"</f>
        <v>1552378253080919</v>
      </c>
      <c r="C4200" t="s">
        <v>40</v>
      </c>
      <c r="D4200">
        <v>5.7364930000000003</v>
      </c>
      <c r="E4200">
        <v>0.46744619999999998</v>
      </c>
      <c r="F4200" t="s">
        <v>41</v>
      </c>
      <c r="G4200">
        <v>-274.78820000000002</v>
      </c>
      <c r="H4200" s="1">
        <v>-2.5685820000000002E-6</v>
      </c>
      <c r="I4200">
        <v>140.9332</v>
      </c>
      <c r="J4200">
        <v>-230.23240000000001</v>
      </c>
      <c r="K4200">
        <v>1.1095600000000001</v>
      </c>
      <c r="L4200">
        <v>141.24119999999999</v>
      </c>
      <c r="M4200">
        <v>-0.9997935</v>
      </c>
      <c r="N4200">
        <v>0</v>
      </c>
      <c r="O4200">
        <v>-1.8341010000000001E-2</v>
      </c>
      <c r="P4200">
        <v>-0.99657240000000002</v>
      </c>
      <c r="Q4200">
        <v>-2.494122E-2</v>
      </c>
      <c r="R4200">
        <v>7.8874479999999997E-2</v>
      </c>
      <c r="S4200">
        <v>-3.0102540000000002</v>
      </c>
      <c r="T4200">
        <v>-7.4645639999999999E-2</v>
      </c>
      <c r="U4200">
        <v>-2.0935059999999998E-2</v>
      </c>
      <c r="V4200">
        <v>9.7137660000000001E-2</v>
      </c>
      <c r="W4200">
        <v>-1.624625E-2</v>
      </c>
      <c r="X4200">
        <v>0.99513830000000003</v>
      </c>
      <c r="Y4200">
        <v>1.1378889999999999E-2</v>
      </c>
      <c r="Z4200">
        <v>5.9577839999999996E-4</v>
      </c>
      <c r="AA4200">
        <v>0.99993509999999997</v>
      </c>
      <c r="AB4200">
        <v>18</v>
      </c>
      <c r="AC4200">
        <v>-44.555799999999998</v>
      </c>
      <c r="AD4200">
        <v>-1.1095625685820001</v>
      </c>
      <c r="AE4200">
        <v>-0.307999999999992</v>
      </c>
      <c r="AF4200">
        <v>0.50896585332894095</v>
      </c>
      <c r="AG4200">
        <v>-1.1095625685820001</v>
      </c>
      <c r="AH4200">
        <v>44.526342334136402</v>
      </c>
      <c r="AI4200">
        <v>91.427378594263203</v>
      </c>
      <c r="AJ4200">
        <v>89.345099467045102</v>
      </c>
      <c r="AK4200">
        <v>44.543072828332797</v>
      </c>
      <c r="AL4200">
        <v>90.930882556328697</v>
      </c>
      <c r="AM4200">
        <v>84.4248937299201</v>
      </c>
      <c r="AN4200">
        <v>0.999999950878112</v>
      </c>
    </row>
    <row r="4201" spans="1:40" x14ac:dyDescent="0.25">
      <c r="A4201" t="str">
        <f>"20190312161053115"</f>
        <v>20190312161053115</v>
      </c>
      <c r="B4201" t="str">
        <f>"1552378253111176"</f>
        <v>1552378253111176</v>
      </c>
      <c r="C4201" t="s">
        <v>40</v>
      </c>
      <c r="D4201">
        <v>5.5910419999999998</v>
      </c>
      <c r="E4201">
        <v>0.46659210000000001</v>
      </c>
      <c r="F4201" t="s">
        <v>41</v>
      </c>
      <c r="G4201">
        <v>-279.00259999999997</v>
      </c>
      <c r="H4201" s="1">
        <v>-7.4680830000000003E-7</v>
      </c>
      <c r="I4201">
        <v>140.88120000000001</v>
      </c>
      <c r="J4201">
        <v>-230.42310000000001</v>
      </c>
      <c r="K4201">
        <v>1.109578</v>
      </c>
      <c r="L4201">
        <v>141.2379</v>
      </c>
      <c r="M4201">
        <v>-0.99979669999999998</v>
      </c>
      <c r="N4201">
        <v>0</v>
      </c>
      <c r="O4201">
        <v>-1.816158E-2</v>
      </c>
      <c r="P4201">
        <v>-0.99654880000000001</v>
      </c>
      <c r="Q4201">
        <v>-2.5098470000000001E-2</v>
      </c>
      <c r="R4201">
        <v>7.9123020000000002E-2</v>
      </c>
      <c r="S4201">
        <v>-3.0103610000000001</v>
      </c>
      <c r="T4201">
        <v>-6.8488240000000006E-2</v>
      </c>
      <c r="U4201">
        <v>-2.2216799999999998E-2</v>
      </c>
      <c r="V4201">
        <v>9.7207730000000006E-2</v>
      </c>
      <c r="W4201">
        <v>-1.6390599999999901E-2</v>
      </c>
      <c r="X4201">
        <v>0.99512920000000005</v>
      </c>
      <c r="Y4201">
        <v>1.07756E-2</v>
      </c>
      <c r="Z4201">
        <v>5.3568349999999997E-4</v>
      </c>
      <c r="AA4201">
        <v>0.99994179999999999</v>
      </c>
      <c r="AB4201">
        <v>19</v>
      </c>
      <c r="AC4201">
        <v>-48.579499999999904</v>
      </c>
      <c r="AD4201">
        <v>-1.1095787468083</v>
      </c>
      <c r="AE4201">
        <v>-0.35669999999998903</v>
      </c>
      <c r="AF4201">
        <v>0.525399077598806</v>
      </c>
      <c r="AG4201">
        <v>-1.1095787468083</v>
      </c>
      <c r="AH4201">
        <v>48.552637481030999</v>
      </c>
      <c r="AI4201">
        <v>91.309082235572404</v>
      </c>
      <c r="AJ4201">
        <v>89.380013603068093</v>
      </c>
      <c r="AK4201">
        <v>48.568156394396198</v>
      </c>
      <c r="AL4201">
        <v>90.939154201803106</v>
      </c>
      <c r="AM4201">
        <v>84.420846808590795</v>
      </c>
      <c r="AN4201">
        <v>1.0000000596163701</v>
      </c>
    </row>
    <row r="4202" spans="1:40" x14ac:dyDescent="0.25">
      <c r="A4202" t="str">
        <f>"20190312161053135"</f>
        <v>20190312161053135</v>
      </c>
      <c r="B4202" t="str">
        <f>"1552378253130695"</f>
        <v>1552378253130695</v>
      </c>
      <c r="C4202" t="s">
        <v>40</v>
      </c>
      <c r="D4202">
        <v>5.5701080000000003</v>
      </c>
      <c r="E4202">
        <v>0.46634039999999999</v>
      </c>
      <c r="F4202" t="s">
        <v>41</v>
      </c>
      <c r="G4202">
        <v>-279.35399999999998</v>
      </c>
      <c r="H4202" s="1">
        <v>-5.6867790000000004E-7</v>
      </c>
      <c r="I4202">
        <v>140.7784</v>
      </c>
      <c r="J4202">
        <v>-230.59719999999999</v>
      </c>
      <c r="K4202">
        <v>1.1095809999999999</v>
      </c>
      <c r="L4202">
        <v>141.23490000000001</v>
      </c>
      <c r="M4202">
        <v>-0.99979899999999999</v>
      </c>
      <c r="N4202">
        <v>0</v>
      </c>
      <c r="O4202">
        <v>-1.8033170000000001E-2</v>
      </c>
      <c r="P4202">
        <v>-0.99657799999999996</v>
      </c>
      <c r="Q4202">
        <v>-2.4927789999999998E-2</v>
      </c>
      <c r="R4202">
        <v>7.8809489999999996E-2</v>
      </c>
      <c r="S4202">
        <v>-3.0109249999999999</v>
      </c>
      <c r="T4202">
        <v>-6.8277119999999997E-2</v>
      </c>
      <c r="U4202">
        <v>-2.8274540000000001E-2</v>
      </c>
      <c r="V4202">
        <v>9.6767539999999999E-2</v>
      </c>
      <c r="W4202">
        <v>-1.6214159999999998E-2</v>
      </c>
      <c r="X4202">
        <v>0.99517489999999997</v>
      </c>
      <c r="Y4202">
        <v>8.637512E-3</v>
      </c>
      <c r="Z4202">
        <v>5.067769E-4</v>
      </c>
      <c r="AA4202">
        <v>0.99996260000000003</v>
      </c>
      <c r="AB4202">
        <v>19</v>
      </c>
      <c r="AC4202">
        <v>-48.756799999999998</v>
      </c>
      <c r="AD4202">
        <v>-1.10958156867789</v>
      </c>
      <c r="AE4202">
        <v>-0.45650000000000501</v>
      </c>
      <c r="AF4202">
        <v>0.42262878832952699</v>
      </c>
      <c r="AG4202">
        <v>-1.10958156867789</v>
      </c>
      <c r="AH4202">
        <v>48.731867317752297</v>
      </c>
      <c r="AI4202">
        <v>91.304299877201004</v>
      </c>
      <c r="AJ4202">
        <v>89.503112847034402</v>
      </c>
      <c r="AK4202">
        <v>48.746329899032297</v>
      </c>
      <c r="AL4202">
        <v>90.929043675915494</v>
      </c>
      <c r="AM4202">
        <v>84.446206261598803</v>
      </c>
      <c r="AN4202">
        <v>0.99999996868608299</v>
      </c>
    </row>
    <row r="4203" spans="1:40" x14ac:dyDescent="0.25">
      <c r="A4203" t="str">
        <f>"20190312161053157"</f>
        <v>20190312161053157</v>
      </c>
      <c r="B4203" t="str">
        <f>"1552378253151192"</f>
        <v>1552378253151192</v>
      </c>
      <c r="C4203" t="s">
        <v>40</v>
      </c>
      <c r="D4203">
        <v>5.5540339999999997</v>
      </c>
      <c r="E4203">
        <v>0.46522089999999999</v>
      </c>
      <c r="F4203" t="s">
        <v>87</v>
      </c>
      <c r="G4203">
        <v>-280.93770000000001</v>
      </c>
      <c r="H4203" s="1">
        <v>-4.3878339999999901E-6</v>
      </c>
      <c r="I4203">
        <v>140.71170000000001</v>
      </c>
      <c r="J4203">
        <v>-230.7851</v>
      </c>
      <c r="K4203">
        <v>1.1095740000000001</v>
      </c>
      <c r="L4203">
        <v>141.23169999999999</v>
      </c>
      <c r="M4203">
        <v>-0.9998011</v>
      </c>
      <c r="N4203">
        <v>0</v>
      </c>
      <c r="O4203">
        <v>-1.7921639999999999E-2</v>
      </c>
      <c r="P4203">
        <v>-0.99653499999999995</v>
      </c>
      <c r="Q4203">
        <v>-2.555224E-2</v>
      </c>
      <c r="R4203">
        <v>7.9153139999999997E-2</v>
      </c>
      <c r="S4203">
        <v>-3.0111080000000001</v>
      </c>
      <c r="T4203">
        <v>-6.6369650000000002E-2</v>
      </c>
      <c r="U4203">
        <v>-3.1295780000000002E-2</v>
      </c>
      <c r="V4203">
        <v>9.6999470000000004E-2</v>
      </c>
      <c r="W4203">
        <v>-1.6838929999999998E-2</v>
      </c>
      <c r="X4203">
        <v>0.99514199999999997</v>
      </c>
      <c r="Y4203">
        <v>7.5239719999999899E-3</v>
      </c>
      <c r="Z4203">
        <v>4.7786109999999998E-4</v>
      </c>
      <c r="AA4203">
        <v>0.99997159999999996</v>
      </c>
      <c r="AB4203">
        <v>19</v>
      </c>
      <c r="AC4203">
        <v>-50.1526</v>
      </c>
      <c r="AD4203">
        <v>-1.109578387834</v>
      </c>
      <c r="AE4203">
        <v>-0.51999999999998103</v>
      </c>
      <c r="AF4203">
        <v>0.378749411231179</v>
      </c>
      <c r="AG4203">
        <v>-1.109578387834</v>
      </c>
      <c r="AH4203">
        <v>50.1293298752243</v>
      </c>
      <c r="AI4203">
        <v>91.267959616215293</v>
      </c>
      <c r="AJ4203">
        <v>89.567113107285095</v>
      </c>
      <c r="AK4203">
        <v>50.143038689875098</v>
      </c>
      <c r="AL4203">
        <v>90.964845198455293</v>
      </c>
      <c r="AM4203">
        <v>84.432795696181799</v>
      </c>
      <c r="AN4203">
        <v>1.0000000234539099</v>
      </c>
    </row>
    <row r="4204" spans="1:40" x14ac:dyDescent="0.25">
      <c r="A4204" t="str">
        <f>"20190312161053181"</f>
        <v>20190312161053181</v>
      </c>
      <c r="B4204" t="str">
        <f>"1552378253170711"</f>
        <v>1552378253170711</v>
      </c>
      <c r="C4204" t="s">
        <v>40</v>
      </c>
      <c r="D4204">
        <v>5.5633049999999997</v>
      </c>
      <c r="E4204">
        <v>0.46505380000000002</v>
      </c>
      <c r="F4204" t="s">
        <v>41</v>
      </c>
      <c r="G4204">
        <v>-271.94659999999999</v>
      </c>
      <c r="H4204" s="1">
        <v>-3.724859E-6</v>
      </c>
      <c r="I4204">
        <v>140.69730000000001</v>
      </c>
      <c r="J4204">
        <v>-230.9821</v>
      </c>
      <c r="K4204">
        <v>1.1095649999999999</v>
      </c>
      <c r="L4204">
        <v>141.22839999999999</v>
      </c>
      <c r="M4204">
        <v>-0.99980279999999999</v>
      </c>
      <c r="N4204">
        <v>0</v>
      </c>
      <c r="O4204">
        <v>-1.7820809999999999E-2</v>
      </c>
      <c r="P4204">
        <v>-0.9963959</v>
      </c>
      <c r="Q4204">
        <v>-2.583827E-2</v>
      </c>
      <c r="R4204">
        <v>8.0794459999999999E-2</v>
      </c>
      <c r="S4204">
        <v>-3.0114749999999999</v>
      </c>
      <c r="T4204">
        <v>-8.1179379999999995E-2</v>
      </c>
      <c r="U4204">
        <v>-3.9093019999999999E-2</v>
      </c>
      <c r="V4204">
        <v>9.8537749999999993E-2</v>
      </c>
      <c r="W4204">
        <v>-1.712907E-2</v>
      </c>
      <c r="X4204">
        <v>0.99498589999999998</v>
      </c>
      <c r="Y4204">
        <v>4.8335619999999996E-3</v>
      </c>
      <c r="Z4204">
        <v>5.4540169999999996E-4</v>
      </c>
      <c r="AA4204">
        <v>0.99998819999999999</v>
      </c>
      <c r="AB4204">
        <v>19</v>
      </c>
      <c r="AC4204">
        <v>-40.964500000000001</v>
      </c>
      <c r="AD4204">
        <v>-1.1095687248589901</v>
      </c>
      <c r="AE4204">
        <v>-0.53109999999998003</v>
      </c>
      <c r="AF4204">
        <v>0.198887054802766</v>
      </c>
      <c r="AG4204">
        <v>-1.1095687248589901</v>
      </c>
      <c r="AH4204">
        <v>40.937430213632297</v>
      </c>
      <c r="AI4204">
        <v>91.552547245649393</v>
      </c>
      <c r="AJ4204">
        <v>89.721641072101903</v>
      </c>
      <c r="AK4204">
        <v>40.952947284802001</v>
      </c>
      <c r="AL4204">
        <v>90.981471399861803</v>
      </c>
      <c r="AM4204">
        <v>84.344193771674199</v>
      </c>
      <c r="AN4204">
        <v>1.00000001720646</v>
      </c>
    </row>
    <row r="4205" spans="1:40" x14ac:dyDescent="0.25">
      <c r="A4205" t="str">
        <f>"20190312161053203"</f>
        <v>20190312161053203</v>
      </c>
      <c r="B4205" t="str">
        <f>"1552378253191207"</f>
        <v>1552378253191207</v>
      </c>
      <c r="C4205" t="s">
        <v>40</v>
      </c>
      <c r="D4205">
        <v>5.5295059999999996</v>
      </c>
      <c r="E4205">
        <v>0.4653678</v>
      </c>
      <c r="F4205" t="s">
        <v>41</v>
      </c>
      <c r="G4205">
        <v>-272.7946</v>
      </c>
      <c r="H4205" s="1">
        <v>-3.3716480000000001E-6</v>
      </c>
      <c r="I4205">
        <v>140.73699999999999</v>
      </c>
      <c r="J4205">
        <v>-231.16810000000001</v>
      </c>
      <c r="K4205">
        <v>1.109559</v>
      </c>
      <c r="L4205">
        <v>141.2252</v>
      </c>
      <c r="M4205">
        <v>-0.99980440000000004</v>
      </c>
      <c r="N4205">
        <v>0</v>
      </c>
      <c r="O4205">
        <v>-1.7731759999999999E-2</v>
      </c>
      <c r="P4205">
        <v>-0.99641000000000002</v>
      </c>
      <c r="Q4205">
        <v>-2.5721770000000001E-2</v>
      </c>
      <c r="R4205">
        <v>8.0656580000000005E-2</v>
      </c>
      <c r="S4205">
        <v>-3.0116420000000002</v>
      </c>
      <c r="T4205">
        <v>-7.9919340000000005E-2</v>
      </c>
      <c r="U4205">
        <v>-3.5385130000000001E-2</v>
      </c>
      <c r="V4205">
        <v>9.8311540000000003E-2</v>
      </c>
      <c r="W4205">
        <v>-1.70148E-2</v>
      </c>
      <c r="X4205">
        <v>0.99501019999999896</v>
      </c>
      <c r="Y4205">
        <v>5.9760799999999999E-3</v>
      </c>
      <c r="Z4205">
        <v>5.4970859999999998E-4</v>
      </c>
      <c r="AA4205">
        <v>0.99998200000000004</v>
      </c>
      <c r="AB4205">
        <v>19</v>
      </c>
      <c r="AC4205">
        <v>-41.626499999999901</v>
      </c>
      <c r="AD4205">
        <v>-1.1095623716480001</v>
      </c>
      <c r="AE4205">
        <v>-0.48820000000000602</v>
      </c>
      <c r="AF4205">
        <v>0.249838707857687</v>
      </c>
      <c r="AG4205">
        <v>-1.1095623716480001</v>
      </c>
      <c r="AH4205">
        <v>41.599059918477103</v>
      </c>
      <c r="AI4205">
        <v>91.5278476419318</v>
      </c>
      <c r="AJ4205">
        <v>89.655892911087705</v>
      </c>
      <c r="AK4205">
        <v>41.614604817750802</v>
      </c>
      <c r="AL4205">
        <v>90.974923293017298</v>
      </c>
      <c r="AM4205">
        <v>84.357230655491094</v>
      </c>
      <c r="AN4205">
        <v>0.99999998021012504</v>
      </c>
    </row>
    <row r="4206" spans="1:40" x14ac:dyDescent="0.25">
      <c r="A4206" t="str">
        <f>"20190312161053227"</f>
        <v>20190312161053227</v>
      </c>
      <c r="B4206" t="str">
        <f>"1552378253220488"</f>
        <v>1552378253220488</v>
      </c>
      <c r="C4206" t="s">
        <v>40</v>
      </c>
      <c r="D4206">
        <v>5.4315179999999996</v>
      </c>
      <c r="E4206">
        <v>0.46562809999999999</v>
      </c>
      <c r="F4206" t="s">
        <v>41</v>
      </c>
      <c r="G4206">
        <v>-273.77140000000003</v>
      </c>
      <c r="H4206" s="1">
        <v>-2.9568939999999998E-6</v>
      </c>
      <c r="I4206">
        <v>140.75319999999999</v>
      </c>
      <c r="J4206">
        <v>-231.36359999999999</v>
      </c>
      <c r="K4206">
        <v>1.109561</v>
      </c>
      <c r="L4206">
        <v>141.2218</v>
      </c>
      <c r="M4206">
        <v>-0.99980619999999998</v>
      </c>
      <c r="N4206">
        <v>0</v>
      </c>
      <c r="O4206">
        <v>-1.7643659999999999E-2</v>
      </c>
      <c r="P4206">
        <v>-0.99631309999999995</v>
      </c>
      <c r="Q4206">
        <v>-2.5189630000000001E-2</v>
      </c>
      <c r="R4206">
        <v>8.2012150000000006E-2</v>
      </c>
      <c r="S4206">
        <v>-3.0115050000000001</v>
      </c>
      <c r="T4206">
        <v>-7.8431730000000005E-2</v>
      </c>
      <c r="U4206">
        <v>-3.3355709999999997E-2</v>
      </c>
      <c r="V4206">
        <v>9.9577579999999999E-2</v>
      </c>
      <c r="W4206">
        <v>-1.6485730000000001E-2</v>
      </c>
      <c r="X4206">
        <v>0.99489329999999998</v>
      </c>
      <c r="Y4206">
        <v>6.561351E-3</v>
      </c>
      <c r="Z4206">
        <v>5.4483329999999999E-4</v>
      </c>
      <c r="AA4206">
        <v>0.99997829999999999</v>
      </c>
      <c r="AB4206">
        <v>19</v>
      </c>
      <c r="AC4206">
        <v>-42.407800000000002</v>
      </c>
      <c r="AD4206">
        <v>-1.1095639568939999</v>
      </c>
      <c r="AE4206">
        <v>-0.46860000000000901</v>
      </c>
      <c r="AF4206">
        <v>0.27953894750693797</v>
      </c>
      <c r="AG4206">
        <v>-1.1095639568939999</v>
      </c>
      <c r="AH4206">
        <v>42.380457833479497</v>
      </c>
      <c r="AI4206">
        <v>91.499687208472906</v>
      </c>
      <c r="AJ4206">
        <v>89.622085969468301</v>
      </c>
      <c r="AK4206">
        <v>42.395901693122902</v>
      </c>
      <c r="AL4206">
        <v>90.944605470006707</v>
      </c>
      <c r="AM4206">
        <v>84.2843749202152</v>
      </c>
      <c r="AN4206">
        <v>1.0000000760585801</v>
      </c>
    </row>
    <row r="4207" spans="1:40" x14ac:dyDescent="0.25">
      <c r="A4207" t="str">
        <f>"20190312161053270"</f>
        <v>20190312161053270</v>
      </c>
      <c r="B4207" t="str">
        <f>"1552378253260504"</f>
        <v>1552378253260504</v>
      </c>
      <c r="C4207" t="s">
        <v>40</v>
      </c>
      <c r="D4207">
        <v>5.5886620000000002</v>
      </c>
      <c r="E4207">
        <v>0.46540320000000002</v>
      </c>
      <c r="F4207" t="s">
        <v>41</v>
      </c>
      <c r="G4207">
        <v>-274.94290000000001</v>
      </c>
      <c r="H4207" s="1">
        <v>-2.474492E-6</v>
      </c>
      <c r="I4207">
        <v>140.8289</v>
      </c>
      <c r="J4207">
        <v>-231.72989999999999</v>
      </c>
      <c r="K4207">
        <v>1.109567</v>
      </c>
      <c r="L4207">
        <v>141.21559999999999</v>
      </c>
      <c r="M4207">
        <v>-0.99980860000000005</v>
      </c>
      <c r="N4207">
        <v>0</v>
      </c>
      <c r="O4207">
        <v>-1.7496790000000002E-2</v>
      </c>
      <c r="P4207">
        <v>-0.99609099999999995</v>
      </c>
      <c r="Q4207">
        <v>-2.524788E-2</v>
      </c>
      <c r="R4207">
        <v>8.4649970000000005E-2</v>
      </c>
      <c r="S4207">
        <v>-3.0113829999999999</v>
      </c>
      <c r="T4207">
        <v>-7.6672199999999996E-2</v>
      </c>
      <c r="U4207">
        <v>-2.7145389999999998E-2</v>
      </c>
      <c r="V4207">
        <v>0.1020654</v>
      </c>
      <c r="W4207">
        <v>-1.6548139999999999E-2</v>
      </c>
      <c r="X4207">
        <v>0.99464010000000003</v>
      </c>
      <c r="Y4207">
        <v>8.4758230000000004E-3</v>
      </c>
      <c r="Z4207">
        <v>5.5327309999999999E-4</v>
      </c>
      <c r="AA4207">
        <v>0.99996390000000002</v>
      </c>
      <c r="AB4207">
        <v>19</v>
      </c>
      <c r="AC4207">
        <v>-43.213000000000001</v>
      </c>
      <c r="AD4207">
        <v>-1.1095694744919999</v>
      </c>
      <c r="AE4207">
        <v>-0.38669999999999</v>
      </c>
      <c r="AF4207">
        <v>0.36923354208696701</v>
      </c>
      <c r="AG4207">
        <v>-1.1095694744919999</v>
      </c>
      <c r="AH4207">
        <v>43.184681501369496</v>
      </c>
      <c r="AI4207">
        <v>91.471756641396198</v>
      </c>
      <c r="AJ4207">
        <v>89.510127031541003</v>
      </c>
      <c r="AK4207">
        <v>43.20051150394</v>
      </c>
      <c r="AL4207">
        <v>90.948181804629996</v>
      </c>
      <c r="AM4207">
        <v>84.141077426986797</v>
      </c>
      <c r="AN4207">
        <v>1.0000000576713099</v>
      </c>
    </row>
    <row r="4208" spans="1:40" x14ac:dyDescent="0.25">
      <c r="A4208" t="str">
        <f>"20190312161053292"</f>
        <v>20190312161053292</v>
      </c>
      <c r="B4208" t="str">
        <f>"1552378253281010"</f>
        <v>1552378253281010</v>
      </c>
      <c r="C4208" t="s">
        <v>40</v>
      </c>
      <c r="D4208">
        <v>5.5792260000000002</v>
      </c>
      <c r="E4208">
        <v>0.46535779999999899</v>
      </c>
      <c r="F4208" t="s">
        <v>41</v>
      </c>
      <c r="G4208">
        <v>-275.96730000000002</v>
      </c>
      <c r="H4208" s="1">
        <v>-2.0556389999999999E-6</v>
      </c>
      <c r="I4208">
        <v>140.90639999999999</v>
      </c>
      <c r="J4208">
        <v>-231.92840000000001</v>
      </c>
      <c r="K4208">
        <v>1.1095699999999999</v>
      </c>
      <c r="L4208">
        <v>141.2122</v>
      </c>
      <c r="M4208">
        <v>-0.99980990000000003</v>
      </c>
      <c r="N4208">
        <v>0</v>
      </c>
      <c r="O4208">
        <v>-1.742813E-2</v>
      </c>
      <c r="P4208">
        <v>-0.99606459999999997</v>
      </c>
      <c r="Q4208">
        <v>-2.4850509999999999E-2</v>
      </c>
      <c r="R4208">
        <v>8.507497E-2</v>
      </c>
      <c r="S4208">
        <v>-3.0116580000000002</v>
      </c>
      <c r="T4208">
        <v>-7.553899E-2</v>
      </c>
      <c r="U4208">
        <v>-2.1041870000000001E-2</v>
      </c>
      <c r="V4208">
        <v>0.10242130000000001</v>
      </c>
      <c r="W4208">
        <v>-1.6150640000000001E-2</v>
      </c>
      <c r="X4208">
        <v>0.99460999999999999</v>
      </c>
      <c r="Y4208">
        <v>1.043403E-2</v>
      </c>
      <c r="Z4208">
        <v>5.6788719999999995E-4</v>
      </c>
      <c r="AA4208">
        <v>0.99994539999999998</v>
      </c>
      <c r="AB4208">
        <v>19</v>
      </c>
      <c r="AC4208">
        <v>-44.038899999999998</v>
      </c>
      <c r="AD4208">
        <v>-1.1095720556389901</v>
      </c>
      <c r="AE4208">
        <v>-0.30580000000000401</v>
      </c>
      <c r="AF4208">
        <v>0.46149850726119002</v>
      </c>
      <c r="AG4208">
        <v>-1.1095720556389901</v>
      </c>
      <c r="AH4208">
        <v>44.009604499443299</v>
      </c>
      <c r="AI4208">
        <v>91.444158353108705</v>
      </c>
      <c r="AJ4208">
        <v>89.3992005183066</v>
      </c>
      <c r="AK4208">
        <v>44.026008440650997</v>
      </c>
      <c r="AL4208">
        <v>90.925403733969802</v>
      </c>
      <c r="AM4208">
        <v>84.120613663635794</v>
      </c>
      <c r="AN4208">
        <v>1.0000000089830401</v>
      </c>
    </row>
    <row r="4209" spans="1:40" x14ac:dyDescent="0.25">
      <c r="A4209" t="str">
        <f>"20190312161053315"</f>
        <v>20190312161053315</v>
      </c>
      <c r="B4209" t="str">
        <f>"1552378253311256"</f>
        <v>1552378253311256</v>
      </c>
      <c r="C4209" t="s">
        <v>40</v>
      </c>
      <c r="D4209">
        <v>5.6089609999999999</v>
      </c>
      <c r="E4209">
        <v>0.4652598</v>
      </c>
      <c r="F4209" t="s">
        <v>41</v>
      </c>
      <c r="G4209">
        <v>-274.8091</v>
      </c>
      <c r="H4209" s="1">
        <v>-2.5578750000000001E-6</v>
      </c>
      <c r="I4209">
        <v>140.92660000000001</v>
      </c>
      <c r="J4209">
        <v>-232.1155</v>
      </c>
      <c r="K4209">
        <v>1.109572</v>
      </c>
      <c r="L4209">
        <v>141.209</v>
      </c>
      <c r="M4209">
        <v>-0.99981089999999995</v>
      </c>
      <c r="N4209">
        <v>0</v>
      </c>
      <c r="O4209">
        <v>-1.737236E-2</v>
      </c>
      <c r="P4209">
        <v>-0.99603260000000005</v>
      </c>
      <c r="Q4209">
        <v>-2.446216E-2</v>
      </c>
      <c r="R4209">
        <v>8.5562699999999894E-2</v>
      </c>
      <c r="S4209">
        <v>-3.0116269999999998</v>
      </c>
      <c r="T4209">
        <v>-7.7928300000000006E-2</v>
      </c>
      <c r="U4209">
        <v>-2.005005E-2</v>
      </c>
      <c r="V4209">
        <v>0.1028531</v>
      </c>
      <c r="W4209">
        <v>-1.576112E-2</v>
      </c>
      <c r="X4209">
        <v>0.99457169999999895</v>
      </c>
      <c r="Y4209">
        <v>1.070685E-2</v>
      </c>
      <c r="Z4209">
        <v>5.8793699999999996E-4</v>
      </c>
      <c r="AA4209">
        <v>0.99994249999999996</v>
      </c>
      <c r="AB4209">
        <v>19</v>
      </c>
      <c r="AC4209">
        <v>-42.693600000000004</v>
      </c>
      <c r="AD4209">
        <v>-1.109574557875</v>
      </c>
      <c r="AE4209">
        <v>-0.28239999999999499</v>
      </c>
      <c r="AF4209">
        <v>0.45904948336461199</v>
      </c>
      <c r="AG4209">
        <v>-1.109574557875</v>
      </c>
      <c r="AH4209">
        <v>42.663247476701002</v>
      </c>
      <c r="AI4209">
        <v>91.489711581746903</v>
      </c>
      <c r="AJ4209">
        <v>89.383530682814495</v>
      </c>
      <c r="AK4209">
        <v>42.680142541771097</v>
      </c>
      <c r="AL4209">
        <v>90.903083030763298</v>
      </c>
      <c r="AM4209">
        <v>84.095775615621307</v>
      </c>
      <c r="AN4209">
        <v>1.00000001976207</v>
      </c>
    </row>
    <row r="4210" spans="1:40" x14ac:dyDescent="0.25">
      <c r="A4210" t="str">
        <f>"20190312161053337"</f>
        <v>20190312161053337</v>
      </c>
      <c r="B4210" t="str">
        <f>"1552378253330776"</f>
        <v>1552378253330776</v>
      </c>
      <c r="C4210" t="s">
        <v>40</v>
      </c>
      <c r="D4210">
        <v>5.6062320000000003</v>
      </c>
      <c r="E4210">
        <v>0.4652405</v>
      </c>
      <c r="F4210" t="s">
        <v>41</v>
      </c>
      <c r="G4210">
        <v>-273.74329999999998</v>
      </c>
      <c r="H4210" s="1">
        <v>-3.0190900000000002E-6</v>
      </c>
      <c r="I4210">
        <v>140.9417</v>
      </c>
      <c r="J4210">
        <v>-232.3091</v>
      </c>
      <c r="K4210">
        <v>1.109575</v>
      </c>
      <c r="L4210">
        <v>141.20570000000001</v>
      </c>
      <c r="M4210">
        <v>-0.99981149999999996</v>
      </c>
      <c r="N4210">
        <v>0</v>
      </c>
      <c r="O4210">
        <v>-1.7328909999999999E-2</v>
      </c>
      <c r="P4210">
        <v>-0.99601410000000001</v>
      </c>
      <c r="Q4210">
        <v>-2.434213E-2</v>
      </c>
      <c r="R4210">
        <v>8.5811899999999997E-2</v>
      </c>
      <c r="S4210">
        <v>-3.011673</v>
      </c>
      <c r="T4210">
        <v>-8.0275059999999995E-2</v>
      </c>
      <c r="U4210">
        <v>-1.9332889999999998E-2</v>
      </c>
      <c r="V4210">
        <v>0.10305880000000001</v>
      </c>
      <c r="W4210">
        <v>-1.563813E-2</v>
      </c>
      <c r="X4210">
        <v>0.99455229999999994</v>
      </c>
      <c r="Y4210">
        <v>1.0900969999999999E-2</v>
      </c>
      <c r="Z4210">
        <v>6.0705649999999998E-4</v>
      </c>
      <c r="AA4210">
        <v>0.99994039999999995</v>
      </c>
      <c r="AB4210">
        <v>19</v>
      </c>
      <c r="AC4210">
        <v>-41.434199999999898</v>
      </c>
      <c r="AD4210">
        <v>-1.10957801909</v>
      </c>
      <c r="AE4210">
        <v>-0.26400000000001</v>
      </c>
      <c r="AF4210">
        <v>0.453751309466491</v>
      </c>
      <c r="AG4210">
        <v>-1.10957801909</v>
      </c>
      <c r="AH4210">
        <v>41.402862880511599</v>
      </c>
      <c r="AI4210">
        <v>91.535041416464395</v>
      </c>
      <c r="AJ4210">
        <v>89.372096700988195</v>
      </c>
      <c r="AK4210">
        <v>41.420213764944997</v>
      </c>
      <c r="AL4210">
        <v>90.896035396813303</v>
      </c>
      <c r="AM4210">
        <v>84.0839366068966</v>
      </c>
      <c r="AN4210">
        <v>0.999999972401313</v>
      </c>
    </row>
    <row r="4211" spans="1:40" x14ac:dyDescent="0.25">
      <c r="A4211" t="str">
        <f>"20190312161053359"</f>
        <v>20190312161053359</v>
      </c>
      <c r="B4211" t="str">
        <f>"1552378253351272"</f>
        <v>1552378253351272</v>
      </c>
      <c r="C4211" t="s">
        <v>40</v>
      </c>
      <c r="D4211">
        <v>5.6067470000000004</v>
      </c>
      <c r="E4211">
        <v>0.46514549999999999</v>
      </c>
      <c r="F4211" t="s">
        <v>41</v>
      </c>
      <c r="G4211">
        <v>-272.44990000000001</v>
      </c>
      <c r="H4211" s="1">
        <v>-3.5776899999999998E-6</v>
      </c>
      <c r="I4211">
        <v>140.9556</v>
      </c>
      <c r="J4211">
        <v>-232.4913</v>
      </c>
      <c r="K4211">
        <v>1.1095839999999999</v>
      </c>
      <c r="L4211">
        <v>141.20249999999999</v>
      </c>
      <c r="M4211">
        <v>-0.99981200000000003</v>
      </c>
      <c r="N4211">
        <v>0</v>
      </c>
      <c r="O4211">
        <v>-1.730348E-2</v>
      </c>
      <c r="P4211">
        <v>-0.99601470000000003</v>
      </c>
      <c r="Q4211">
        <v>-2.48851E-2</v>
      </c>
      <c r="R4211">
        <v>8.5650000000000004E-2</v>
      </c>
      <c r="S4211">
        <v>-3.0115810000000001</v>
      </c>
      <c r="T4211">
        <v>-8.3246829999999994E-2</v>
      </c>
      <c r="U4211">
        <v>-1.875305E-2</v>
      </c>
      <c r="V4211">
        <v>0.10287209999999999</v>
      </c>
      <c r="W4211">
        <v>-1.6176840000000001E-2</v>
      </c>
      <c r="X4211">
        <v>0.99456299999999997</v>
      </c>
      <c r="Y4211">
        <v>1.106705E-2</v>
      </c>
      <c r="Z4211">
        <v>6.3113310000000001E-4</v>
      </c>
      <c r="AA4211">
        <v>0.99993849999999995</v>
      </c>
      <c r="AB4211">
        <v>19</v>
      </c>
      <c r="AC4211">
        <v>-39.958599999999997</v>
      </c>
      <c r="AD4211">
        <v>-1.1095875776899999</v>
      </c>
      <c r="AE4211">
        <v>-0.24689999999998199</v>
      </c>
      <c r="AF4211">
        <v>0.44424373402553202</v>
      </c>
      <c r="AG4211">
        <v>-1.1095875776899999</v>
      </c>
      <c r="AH4211">
        <v>39.926104203920403</v>
      </c>
      <c r="AI4211">
        <v>91.591800527124505</v>
      </c>
      <c r="AJ4211">
        <v>89.362516297840202</v>
      </c>
      <c r="AK4211">
        <v>39.943989960820097</v>
      </c>
      <c r="AL4211">
        <v>90.926905124887696</v>
      </c>
      <c r="AM4211">
        <v>84.094641346323101</v>
      </c>
      <c r="AN4211">
        <v>0.999999960039897</v>
      </c>
    </row>
    <row r="4212" spans="1:40" x14ac:dyDescent="0.25">
      <c r="A4212" t="str">
        <f>"20190312161053380"</f>
        <v>20190312161053380</v>
      </c>
      <c r="B4212" t="str">
        <f>"1552378253370792"</f>
        <v>1552378253370792</v>
      </c>
      <c r="C4212" t="s">
        <v>40</v>
      </c>
      <c r="D4212">
        <v>5.6062830000000003</v>
      </c>
      <c r="E4212">
        <v>0.46505350000000001</v>
      </c>
      <c r="F4212" t="s">
        <v>41</v>
      </c>
      <c r="G4212">
        <v>-270.58749999999998</v>
      </c>
      <c r="H4212" s="1">
        <v>-4.3126409999999997E-6</v>
      </c>
      <c r="I4212">
        <v>140.9496</v>
      </c>
      <c r="J4212">
        <v>-232.68559999999999</v>
      </c>
      <c r="K4212">
        <v>1.1095889999999999</v>
      </c>
      <c r="L4212">
        <v>141.19919999999999</v>
      </c>
      <c r="M4212">
        <v>-0.99981209999999998</v>
      </c>
      <c r="N4212">
        <v>0</v>
      </c>
      <c r="O4212">
        <v>-1.728963E-2</v>
      </c>
      <c r="P4212">
        <v>-0.99591790000000002</v>
      </c>
      <c r="Q4212">
        <v>-2.5407659999999999E-2</v>
      </c>
      <c r="R4212">
        <v>8.6615529999999996E-2</v>
      </c>
      <c r="S4212">
        <v>-3.011536</v>
      </c>
      <c r="T4212">
        <v>-8.7713959999999994E-2</v>
      </c>
      <c r="U4212">
        <v>-1.9989010000000001E-2</v>
      </c>
      <c r="V4212">
        <v>0.10382230000000001</v>
      </c>
      <c r="W4212">
        <v>-1.6695330000000001E-2</v>
      </c>
      <c r="X4212">
        <v>0.9944558</v>
      </c>
      <c r="Y4212">
        <v>1.064173E-2</v>
      </c>
      <c r="Z4212">
        <v>6.5839939999999997E-4</v>
      </c>
      <c r="AA4212">
        <v>0.99994309999999997</v>
      </c>
      <c r="AB4212">
        <v>19</v>
      </c>
      <c r="AC4212">
        <v>-37.901899999999898</v>
      </c>
      <c r="AD4212">
        <v>-1.109593312641</v>
      </c>
      <c r="AE4212">
        <v>-0.249599999999986</v>
      </c>
      <c r="AF4212">
        <v>0.40542486192646199</v>
      </c>
      <c r="AG4212">
        <v>-1.109593312641</v>
      </c>
      <c r="AH4212">
        <v>37.868096356319903</v>
      </c>
      <c r="AI4212">
        <v>91.678277874296299</v>
      </c>
      <c r="AJ4212">
        <v>89.386601169349007</v>
      </c>
      <c r="AK4212">
        <v>37.886518555940903</v>
      </c>
      <c r="AL4212">
        <v>90.956616322337794</v>
      </c>
      <c r="AM4212">
        <v>84.039848236317994</v>
      </c>
      <c r="AN4212">
        <v>1.00000007108736</v>
      </c>
    </row>
    <row r="4213" spans="1:40" x14ac:dyDescent="0.25">
      <c r="A4213" t="str">
        <f>"20190312161053404"</f>
        <v>20190312161053404</v>
      </c>
      <c r="B4213" t="str">
        <f>"1552378253391287"</f>
        <v>1552378253391287</v>
      </c>
      <c r="C4213" t="s">
        <v>40</v>
      </c>
      <c r="D4213">
        <v>5.6132900000000001</v>
      </c>
      <c r="E4213">
        <v>0.46499170000000001</v>
      </c>
      <c r="F4213" t="s">
        <v>41</v>
      </c>
      <c r="G4213">
        <v>-269.17880000000002</v>
      </c>
      <c r="H4213" s="1">
        <v>-6.9854699999999999E-7</v>
      </c>
      <c r="I4213">
        <v>140.98390000000001</v>
      </c>
      <c r="J4213">
        <v>-232.88810000000001</v>
      </c>
      <c r="K4213">
        <v>1.1095969999999999</v>
      </c>
      <c r="L4213">
        <v>141.19569999999999</v>
      </c>
      <c r="M4213">
        <v>-0.99981220000000004</v>
      </c>
      <c r="N4213">
        <v>0</v>
      </c>
      <c r="O4213">
        <v>-1.728673E-2</v>
      </c>
      <c r="P4213">
        <v>-0.99590299999999998</v>
      </c>
      <c r="Q4213">
        <v>-2.426393E-2</v>
      </c>
      <c r="R4213">
        <v>8.7113609999999994E-2</v>
      </c>
      <c r="S4213">
        <v>-3.0114899999999998</v>
      </c>
      <c r="T4213">
        <v>-9.1565729999999998E-2</v>
      </c>
      <c r="U4213">
        <v>-1.7761229999999999E-2</v>
      </c>
      <c r="V4213">
        <v>0.1043173</v>
      </c>
      <c r="W4213">
        <v>-1.5546569999999999E-2</v>
      </c>
      <c r="X4213">
        <v>0.99442260000000005</v>
      </c>
      <c r="Y4213">
        <v>1.137701E-2</v>
      </c>
      <c r="Z4213">
        <v>6.9839899999999896E-4</v>
      </c>
      <c r="AA4213">
        <v>0.99993500000000002</v>
      </c>
      <c r="AB4213">
        <v>19</v>
      </c>
      <c r="AC4213">
        <v>-36.290700000000001</v>
      </c>
      <c r="AD4213">
        <v>-1.109597698547</v>
      </c>
      <c r="AE4213">
        <v>-0.211799999999982</v>
      </c>
      <c r="AF4213">
        <v>0.41521510489005298</v>
      </c>
      <c r="AG4213">
        <v>-1.109597698547</v>
      </c>
      <c r="AH4213">
        <v>36.255046498311501</v>
      </c>
      <c r="AI4213">
        <v>91.752894212349403</v>
      </c>
      <c r="AJ4213">
        <v>89.343842158298997</v>
      </c>
      <c r="AK4213">
        <v>36.274398785240798</v>
      </c>
      <c r="AL4213">
        <v>90.890788687112504</v>
      </c>
      <c r="AM4213">
        <v>84.011439183794295</v>
      </c>
      <c r="AN4213">
        <v>1.0000000511544</v>
      </c>
    </row>
    <row r="4214" spans="1:40" x14ac:dyDescent="0.25">
      <c r="A4214" t="str">
        <f>"20190312161053427"</f>
        <v>20190312161053427</v>
      </c>
      <c r="B4214" t="str">
        <f>"1552378253420568"</f>
        <v>1552378253420568</v>
      </c>
      <c r="C4214" t="s">
        <v>40</v>
      </c>
      <c r="D4214">
        <v>5.6804829999999997</v>
      </c>
      <c r="E4214">
        <v>0.46484009999999998</v>
      </c>
      <c r="F4214" t="s">
        <v>41</v>
      </c>
      <c r="G4214">
        <v>-270.46449999999999</v>
      </c>
      <c r="H4214" s="1">
        <v>-4.3609479999999997E-6</v>
      </c>
      <c r="I4214">
        <v>140.98599999999999</v>
      </c>
      <c r="J4214">
        <v>-233.08369999999999</v>
      </c>
      <c r="K4214">
        <v>1.1095930000000001</v>
      </c>
      <c r="L4214">
        <v>141.19229999999999</v>
      </c>
      <c r="M4214">
        <v>-0.99981189999999998</v>
      </c>
      <c r="N4214">
        <v>0</v>
      </c>
      <c r="O4214">
        <v>-1.7291770000000001E-2</v>
      </c>
      <c r="P4214">
        <v>-0.99595619999999996</v>
      </c>
      <c r="Q4214">
        <v>-2.3602169999999999E-2</v>
      </c>
      <c r="R4214">
        <v>8.6684529999999996E-2</v>
      </c>
      <c r="S4214">
        <v>-3.0116580000000002</v>
      </c>
      <c r="T4214">
        <v>-8.8932040000000004E-2</v>
      </c>
      <c r="U4214">
        <v>-1.6799930000000001E-2</v>
      </c>
      <c r="V4214">
        <v>0.10389429999999999</v>
      </c>
      <c r="W4214">
        <v>-1.4879649999999999E-2</v>
      </c>
      <c r="X4214">
        <v>0.99447700000000006</v>
      </c>
      <c r="Y4214">
        <v>1.170216E-2</v>
      </c>
      <c r="Z4214">
        <v>6.8323169999999999E-4</v>
      </c>
      <c r="AA4214">
        <v>0.99993129999999997</v>
      </c>
      <c r="AB4214">
        <v>19</v>
      </c>
      <c r="AC4214">
        <v>-37.380800000000001</v>
      </c>
      <c r="AD4214">
        <v>-1.1095973609479901</v>
      </c>
      <c r="AE4214">
        <v>-0.20629999999999801</v>
      </c>
      <c r="AF4214">
        <v>0.43974852350962002</v>
      </c>
      <c r="AG4214">
        <v>-1.1095973609479901</v>
      </c>
      <c r="AH4214">
        <v>37.345872965456003</v>
      </c>
      <c r="AI4214">
        <v>91.701718026533001</v>
      </c>
      <c r="AJ4214">
        <v>89.325372040662501</v>
      </c>
      <c r="AK4214">
        <v>37.364940955651598</v>
      </c>
      <c r="AL4214">
        <v>90.852572636627698</v>
      </c>
      <c r="AM4214">
        <v>84.035870927090599</v>
      </c>
      <c r="AN4214">
        <v>0.99999996654280499</v>
      </c>
    </row>
    <row r="4215" spans="1:40" x14ac:dyDescent="0.25">
      <c r="A4215" t="str">
        <f>"20190312161053494"</f>
        <v>20190312161053494</v>
      </c>
      <c r="B4215" t="str">
        <f>"1552378253481079"</f>
        <v>1552378253481079</v>
      </c>
      <c r="C4215" t="s">
        <v>40</v>
      </c>
      <c r="D4215">
        <v>5.6023239999999896</v>
      </c>
      <c r="E4215">
        <v>0.46453149999999999</v>
      </c>
      <c r="F4215" t="s">
        <v>41</v>
      </c>
      <c r="G4215">
        <v>-269.98809999999997</v>
      </c>
      <c r="H4215" s="1">
        <v>-4.5178490000000001E-6</v>
      </c>
      <c r="I4215">
        <v>140.95670000000001</v>
      </c>
      <c r="J4215">
        <v>-233.66929999999999</v>
      </c>
      <c r="K4215">
        <v>1.1095889999999999</v>
      </c>
      <c r="L4215">
        <v>141.18219999999999</v>
      </c>
      <c r="M4215">
        <v>-0.99981140000000002</v>
      </c>
      <c r="N4215">
        <v>0</v>
      </c>
      <c r="O4215">
        <v>-1.7327269999999999E-2</v>
      </c>
      <c r="P4215">
        <v>-0.99576750000000003</v>
      </c>
      <c r="Q4215">
        <v>-2.4812939999999999E-2</v>
      </c>
      <c r="R4215">
        <v>8.8497409999999999E-2</v>
      </c>
      <c r="S4215">
        <v>-3.0116879999999999</v>
      </c>
      <c r="T4215">
        <v>-9.0551850000000003E-2</v>
      </c>
      <c r="U4215">
        <v>-1.9226070000000001E-2</v>
      </c>
      <c r="V4215">
        <v>0.1057386</v>
      </c>
      <c r="W4215">
        <v>-1.6079840000000001E-2</v>
      </c>
      <c r="X4215">
        <v>0.99426389999999998</v>
      </c>
      <c r="Y4215">
        <v>1.093208E-2</v>
      </c>
      <c r="Z4215">
        <v>6.8515350000000004E-4</v>
      </c>
      <c r="AA4215">
        <v>0.99994000000000005</v>
      </c>
      <c r="AB4215">
        <v>19</v>
      </c>
      <c r="AC4215">
        <v>-36.318799999999896</v>
      </c>
      <c r="AD4215">
        <v>-1.109593517849</v>
      </c>
      <c r="AE4215">
        <v>-0.22549999999998199</v>
      </c>
      <c r="AF4215">
        <v>0.40348712012535498</v>
      </c>
      <c r="AG4215">
        <v>-1.109593517849</v>
      </c>
      <c r="AH4215">
        <v>36.283389166980598</v>
      </c>
      <c r="AI4215">
        <v>91.751525763720295</v>
      </c>
      <c r="AJ4215">
        <v>89.362872192691299</v>
      </c>
      <c r="AK4215">
        <v>36.302593971691898</v>
      </c>
      <c r="AL4215">
        <v>90.921346713118098</v>
      </c>
      <c r="AM4215">
        <v>83.9294898194876</v>
      </c>
      <c r="AN4215">
        <v>0.99999995781379603</v>
      </c>
    </row>
    <row r="4216" spans="1:40" x14ac:dyDescent="0.25">
      <c r="A4216" t="str">
        <f>"20190312161053516"</f>
        <v>20190312161053516</v>
      </c>
      <c r="B4216" t="str">
        <f>"1552378253511335"</f>
        <v>1552378253511335</v>
      </c>
      <c r="C4216" t="s">
        <v>40</v>
      </c>
      <c r="D4216">
        <v>5.603504</v>
      </c>
      <c r="E4216">
        <v>0.46440809999999999</v>
      </c>
      <c r="F4216" t="s">
        <v>41</v>
      </c>
      <c r="G4216">
        <v>-268.69</v>
      </c>
      <c r="H4216" s="1">
        <v>-9.1050620000000005E-7</v>
      </c>
      <c r="I4216">
        <v>140.9924</v>
      </c>
      <c r="J4216">
        <v>-233.86199999999999</v>
      </c>
      <c r="K4216">
        <v>1.109586</v>
      </c>
      <c r="L4216">
        <v>141.1788</v>
      </c>
      <c r="M4216">
        <v>-0.99981120000000001</v>
      </c>
      <c r="N4216">
        <v>0</v>
      </c>
      <c r="O4216">
        <v>-1.7336310000000001E-2</v>
      </c>
      <c r="P4216">
        <v>-0.99583010000000005</v>
      </c>
      <c r="Q4216">
        <v>-2.397709E-2</v>
      </c>
      <c r="R4216">
        <v>8.8022069999999994E-2</v>
      </c>
      <c r="S4216">
        <v>-3.0118260000000001</v>
      </c>
      <c r="T4216">
        <v>-9.5426319999999995E-2</v>
      </c>
      <c r="U4216">
        <v>-1.631165E-2</v>
      </c>
      <c r="V4216">
        <v>0.1052734</v>
      </c>
      <c r="W4216">
        <v>-1.523882E-2</v>
      </c>
      <c r="X4216">
        <v>0.9943265</v>
      </c>
      <c r="Y4216">
        <v>1.190708E-2</v>
      </c>
      <c r="Z4216">
        <v>7.3771660000000001E-4</v>
      </c>
      <c r="AA4216">
        <v>0.99992879999999995</v>
      </c>
      <c r="AB4216">
        <v>20</v>
      </c>
      <c r="AC4216">
        <v>-34.828000000000003</v>
      </c>
      <c r="AD4216">
        <v>-1.1095869105062</v>
      </c>
      <c r="AE4216">
        <v>-0.18639999999999099</v>
      </c>
      <c r="AF4216">
        <v>0.41701701255625101</v>
      </c>
      <c r="AG4216">
        <v>-1.1095869105062</v>
      </c>
      <c r="AH4216">
        <v>34.790685582805601</v>
      </c>
      <c r="AI4216">
        <v>91.826596446072998</v>
      </c>
      <c r="AJ4216">
        <v>89.313259563259706</v>
      </c>
      <c r="AK4216">
        <v>34.8108731522547</v>
      </c>
      <c r="AL4216">
        <v>90.8731539112907</v>
      </c>
      <c r="AM4216">
        <v>83.956376781745703</v>
      </c>
      <c r="AN4216">
        <v>0.99999994949240001</v>
      </c>
    </row>
    <row r="4217" spans="1:40" x14ac:dyDescent="0.25">
      <c r="A4217" t="str">
        <f>"20190312161053537"</f>
        <v>20190312161053537</v>
      </c>
      <c r="B4217" t="str">
        <f>"1552378253530856"</f>
        <v>1552378253530856</v>
      </c>
      <c r="C4217" t="s">
        <v>40</v>
      </c>
      <c r="D4217">
        <v>5.5751030000000004</v>
      </c>
      <c r="E4217">
        <v>0.4642442</v>
      </c>
      <c r="F4217" t="s">
        <v>41</v>
      </c>
      <c r="G4217">
        <v>-269.23849999999999</v>
      </c>
      <c r="H4217" s="1">
        <v>-6.6624529999999997E-7</v>
      </c>
      <c r="I4217">
        <v>140.9589</v>
      </c>
      <c r="J4217">
        <v>-234.0496</v>
      </c>
      <c r="K4217">
        <v>1.1095809999999999</v>
      </c>
      <c r="L4217">
        <v>141.1756</v>
      </c>
      <c r="M4217">
        <v>-0.99981109999999895</v>
      </c>
      <c r="N4217">
        <v>0</v>
      </c>
      <c r="O4217">
        <v>-1.7341200000000001E-2</v>
      </c>
      <c r="P4217">
        <v>-0.99580449999999998</v>
      </c>
      <c r="Q4217">
        <v>-2.425801E-2</v>
      </c>
      <c r="R4217">
        <v>8.8233309999999995E-2</v>
      </c>
      <c r="S4217">
        <v>-3.0119479999999998</v>
      </c>
      <c r="T4217">
        <v>-9.4470139999999994E-2</v>
      </c>
      <c r="U4217">
        <v>-1.8722530000000001E-2</v>
      </c>
      <c r="V4217">
        <v>0.1054889</v>
      </c>
      <c r="W4217">
        <v>-1.5515050000000001E-2</v>
      </c>
      <c r="X4217">
        <v>0.99429940000000006</v>
      </c>
      <c r="Y4217">
        <v>1.1112510000000001E-2</v>
      </c>
      <c r="Z4217">
        <v>7.1799159999999995E-4</v>
      </c>
      <c r="AA4217">
        <v>0.99993799999999999</v>
      </c>
      <c r="AB4217">
        <v>20</v>
      </c>
      <c r="AC4217">
        <v>-35.188899999999897</v>
      </c>
      <c r="AD4217">
        <v>-1.1095816662453</v>
      </c>
      <c r="AE4217">
        <v>-0.216700000000003</v>
      </c>
      <c r="AF4217">
        <v>0.39318293175074698</v>
      </c>
      <c r="AG4217">
        <v>-1.1095816662453</v>
      </c>
      <c r="AH4217">
        <v>35.152416328144497</v>
      </c>
      <c r="AI4217">
        <v>91.807820895159495</v>
      </c>
      <c r="AJ4217">
        <v>89.359168286660804</v>
      </c>
      <c r="AK4217">
        <v>35.172121602187801</v>
      </c>
      <c r="AL4217">
        <v>90.888982586702696</v>
      </c>
      <c r="AM4217">
        <v>83.943933189936303</v>
      </c>
      <c r="AN4217">
        <v>0.99999996082003495</v>
      </c>
    </row>
    <row r="4218" spans="1:40" x14ac:dyDescent="0.25">
      <c r="A4218" t="str">
        <f>"20190312161053559"</f>
        <v>20190312161053559</v>
      </c>
      <c r="B4218" t="str">
        <f>"1552378253551352"</f>
        <v>1552378253551352</v>
      </c>
      <c r="C4218" t="s">
        <v>40</v>
      </c>
      <c r="D4218">
        <v>5.5860180000000001</v>
      </c>
      <c r="E4218">
        <v>0.44735920000000001</v>
      </c>
      <c r="F4218" t="s">
        <v>41</v>
      </c>
      <c r="G4218">
        <v>-269.15120000000002</v>
      </c>
      <c r="H4218" s="1">
        <v>-7.013766E-7</v>
      </c>
      <c r="I4218">
        <v>140.9502</v>
      </c>
      <c r="J4218">
        <v>-234.2432</v>
      </c>
      <c r="K4218">
        <v>1.1095809999999999</v>
      </c>
      <c r="L4218">
        <v>141.1722</v>
      </c>
      <c r="M4218">
        <v>-0.99981100000000001</v>
      </c>
      <c r="N4218">
        <v>0</v>
      </c>
      <c r="O4218">
        <v>-1.734347E-2</v>
      </c>
      <c r="P4218">
        <v>-0.9957454</v>
      </c>
      <c r="Q4218">
        <v>-2.4724759999999998E-2</v>
      </c>
      <c r="R4218">
        <v>8.8769780000000006E-2</v>
      </c>
      <c r="S4218">
        <v>-3.0120239999999998</v>
      </c>
      <c r="T4218">
        <v>-9.5211859999999995E-2</v>
      </c>
      <c r="U4218">
        <v>-1.9332889999999998E-2</v>
      </c>
      <c r="V4218">
        <v>0.10602640000000001</v>
      </c>
      <c r="W4218">
        <v>-1.5979420000000001E-2</v>
      </c>
      <c r="X4218">
        <v>0.99423490000000003</v>
      </c>
      <c r="Y4218">
        <v>1.091219E-2</v>
      </c>
      <c r="Z4218">
        <v>7.2051329999999999E-4</v>
      </c>
      <c r="AA4218">
        <v>0.99994019999999995</v>
      </c>
      <c r="AB4218">
        <v>20</v>
      </c>
      <c r="AC4218">
        <v>-34.908000000000001</v>
      </c>
      <c r="AD4218">
        <v>-1.1095817013765901</v>
      </c>
      <c r="AE4218">
        <v>-0.222000000000008</v>
      </c>
      <c r="AF4218">
        <v>0.38309556331175798</v>
      </c>
      <c r="AG4218">
        <v>-1.1095817013765901</v>
      </c>
      <c r="AH4218">
        <v>34.871368903858901</v>
      </c>
      <c r="AI4218">
        <v>91.822385403737002</v>
      </c>
      <c r="AJ4218">
        <v>89.3705760160002</v>
      </c>
      <c r="AK4218">
        <v>34.8911206898213</v>
      </c>
      <c r="AL4218">
        <v>90.915592303834401</v>
      </c>
      <c r="AM4218">
        <v>83.912914727840302</v>
      </c>
      <c r="AN4218">
        <v>0.99999998786925304</v>
      </c>
    </row>
    <row r="4219" spans="1:40" x14ac:dyDescent="0.25">
      <c r="A4219" t="str">
        <f>"20190312161053582"</f>
        <v>20190312161053582</v>
      </c>
      <c r="B4219" t="str">
        <f>"1552378253570875"</f>
        <v>1552378253570875</v>
      </c>
      <c r="C4219" t="s">
        <v>40</v>
      </c>
      <c r="D4219">
        <v>5.577534</v>
      </c>
      <c r="E4219">
        <v>0.44515660000000001</v>
      </c>
      <c r="F4219" t="s">
        <v>41</v>
      </c>
      <c r="G4219">
        <v>-266.43290000000002</v>
      </c>
      <c r="H4219" s="1">
        <v>-1.5233080000000001E-6</v>
      </c>
      <c r="I4219">
        <v>139.5557</v>
      </c>
      <c r="J4219">
        <v>-234.44829999999999</v>
      </c>
      <c r="K4219">
        <v>1.109583</v>
      </c>
      <c r="L4219">
        <v>141.1686</v>
      </c>
      <c r="M4219">
        <v>-0.99981089999999995</v>
      </c>
      <c r="N4219">
        <v>0</v>
      </c>
      <c r="O4219">
        <v>-1.7343089999999999E-2</v>
      </c>
      <c r="P4219">
        <v>-0.99570159999999996</v>
      </c>
      <c r="Q4219">
        <v>-2.4721099999999999E-2</v>
      </c>
      <c r="R4219">
        <v>8.925835E-2</v>
      </c>
      <c r="S4219">
        <v>-3.0237579999999999</v>
      </c>
      <c r="T4219">
        <v>-0.10422919999999999</v>
      </c>
      <c r="U4219">
        <v>-0.15184020000000001</v>
      </c>
      <c r="V4219">
        <v>0.1065136</v>
      </c>
      <c r="W4219">
        <v>-1.5977999999999999E-2</v>
      </c>
      <c r="X4219">
        <v>0.99418289999999998</v>
      </c>
      <c r="Y4219">
        <v>-3.28139E-2</v>
      </c>
      <c r="Z4219" s="1">
        <v>3.2174810000000003E-5</v>
      </c>
      <c r="AA4219">
        <v>0.9994615</v>
      </c>
      <c r="AB4219">
        <v>20</v>
      </c>
      <c r="AC4219">
        <v>-31.9846</v>
      </c>
      <c r="AD4219">
        <v>-1.1095845233079999</v>
      </c>
      <c r="AE4219">
        <v>-1.61289999999999</v>
      </c>
      <c r="AF4219">
        <v>-1.0566556982272199</v>
      </c>
      <c r="AG4219">
        <v>-1.1095845233079999</v>
      </c>
      <c r="AH4219">
        <v>31.9693858778991</v>
      </c>
      <c r="AI4219">
        <v>91.986723969562604</v>
      </c>
      <c r="AJ4219">
        <v>91.893057326791293</v>
      </c>
      <c r="AK4219">
        <v>32.006082742019103</v>
      </c>
      <c r="AL4219">
        <v>90.915510884736605</v>
      </c>
      <c r="AM4219">
        <v>83.884838092160393</v>
      </c>
      <c r="AN4219">
        <v>1.00000004106068</v>
      </c>
    </row>
    <row r="4220" spans="1:40" x14ac:dyDescent="0.25">
      <c r="A4220" t="str">
        <f>"20190312161053605"</f>
        <v>20190312161053605</v>
      </c>
      <c r="B4220" t="str">
        <f>"1552378253601128"</f>
        <v>1552378253601128</v>
      </c>
      <c r="C4220" t="s">
        <v>40</v>
      </c>
      <c r="D4220">
        <v>5.5692909999999998</v>
      </c>
      <c r="E4220">
        <v>0.44473030000000002</v>
      </c>
      <c r="F4220" t="s">
        <v>41</v>
      </c>
      <c r="G4220">
        <v>-265.11829999999998</v>
      </c>
      <c r="H4220" s="1">
        <v>-2.103085E-6</v>
      </c>
      <c r="I4220">
        <v>139.4665</v>
      </c>
      <c r="J4220">
        <v>-234.64769999999999</v>
      </c>
      <c r="K4220">
        <v>1.109583</v>
      </c>
      <c r="L4220">
        <v>141.1652</v>
      </c>
      <c r="M4220">
        <v>-0.99981109999999895</v>
      </c>
      <c r="N4220">
        <v>0</v>
      </c>
      <c r="O4220">
        <v>-1.7341869999999999E-2</v>
      </c>
      <c r="P4220">
        <v>-0.99571609999999999</v>
      </c>
      <c r="Q4220">
        <v>-2.4098600000000001E-2</v>
      </c>
      <c r="R4220">
        <v>8.9270429999999998E-2</v>
      </c>
      <c r="S4220">
        <v>-3.025299</v>
      </c>
      <c r="T4220">
        <v>-0.10945009999999999</v>
      </c>
      <c r="U4220">
        <v>-0.1678925</v>
      </c>
      <c r="V4220">
        <v>0.1065248</v>
      </c>
      <c r="W4220">
        <v>-1.5360739999999999E-2</v>
      </c>
      <c r="X4220">
        <v>0.99419139999999995</v>
      </c>
      <c r="Y4220">
        <v>-3.807315E-2</v>
      </c>
      <c r="Z4220" s="1">
        <v>-6.1319040000000003E-5</v>
      </c>
      <c r="AA4220">
        <v>0.99927500000000002</v>
      </c>
      <c r="AB4220">
        <v>20</v>
      </c>
      <c r="AC4220">
        <v>-30.470599999999902</v>
      </c>
      <c r="AD4220">
        <v>-1.1095851030849999</v>
      </c>
      <c r="AE4220">
        <v>-1.6987000000000001</v>
      </c>
      <c r="AF4220">
        <v>-1.1684623551772899</v>
      </c>
      <c r="AG4220">
        <v>-1.1095851030849999</v>
      </c>
      <c r="AH4220">
        <v>30.455217247842999</v>
      </c>
      <c r="AI4220">
        <v>92.085020729182304</v>
      </c>
      <c r="AJ4220">
        <v>92.197165132954296</v>
      </c>
      <c r="AK4220">
        <v>30.497815347820701</v>
      </c>
      <c r="AL4220">
        <v>90.880140175284197</v>
      </c>
      <c r="AM4220">
        <v>83.884251841998903</v>
      </c>
      <c r="AN4220">
        <v>1.0000000125911701</v>
      </c>
    </row>
    <row r="4221" spans="1:40" x14ac:dyDescent="0.25">
      <c r="A4221" t="str">
        <f>"20190312161053627"</f>
        <v>20190312161053627</v>
      </c>
      <c r="B4221" t="str">
        <f>"1552378253620648"</f>
        <v>1552378253620648</v>
      </c>
      <c r="C4221" t="s">
        <v>40</v>
      </c>
      <c r="D4221">
        <v>5.5960479999999997</v>
      </c>
      <c r="E4221">
        <v>0.44476589999999999</v>
      </c>
      <c r="F4221" t="s">
        <v>41</v>
      </c>
      <c r="G4221">
        <v>-267.86810000000003</v>
      </c>
      <c r="H4221" s="1">
        <v>-9.5563370000000007E-7</v>
      </c>
      <c r="I4221">
        <v>139.285</v>
      </c>
      <c r="J4221">
        <v>-234.84200000000001</v>
      </c>
      <c r="K4221">
        <v>1.109578</v>
      </c>
      <c r="L4221">
        <v>141.1618</v>
      </c>
      <c r="M4221">
        <v>-0.99981109999999895</v>
      </c>
      <c r="N4221">
        <v>0</v>
      </c>
      <c r="O4221">
        <v>-1.7340290000000001E-2</v>
      </c>
      <c r="P4221">
        <v>-0.99567839999999996</v>
      </c>
      <c r="Q4221">
        <v>-2.4649109999999998E-2</v>
      </c>
      <c r="R4221">
        <v>8.9536199999999996E-2</v>
      </c>
      <c r="S4221">
        <v>-3.025833</v>
      </c>
      <c r="T4221">
        <v>-0.1010649</v>
      </c>
      <c r="U4221">
        <v>-0.1712494</v>
      </c>
      <c r="V4221">
        <v>0.1067881</v>
      </c>
      <c r="W4221">
        <v>-1.5917230000000001E-2</v>
      </c>
      <c r="X4221">
        <v>0.99415439999999999</v>
      </c>
      <c r="Y4221">
        <v>-3.9171480000000002E-2</v>
      </c>
      <c r="Z4221" s="1">
        <v>-7.4989100000000003E-5</v>
      </c>
      <c r="AA4221">
        <v>0.99923249999999997</v>
      </c>
      <c r="AB4221">
        <v>20</v>
      </c>
      <c r="AC4221">
        <v>-33.0261</v>
      </c>
      <c r="AD4221">
        <v>-1.1095789556336999</v>
      </c>
      <c r="AE4221">
        <v>-1.8768</v>
      </c>
      <c r="AF4221">
        <v>-1.3023482626406699</v>
      </c>
      <c r="AG4221">
        <v>-1.1095789556336999</v>
      </c>
      <c r="AH4221">
        <v>33.016531722194998</v>
      </c>
      <c r="AI4221">
        <v>91.9233070492661</v>
      </c>
      <c r="AJ4221">
        <v>92.258880333883297</v>
      </c>
      <c r="AK4221">
        <v>33.060832467115802</v>
      </c>
      <c r="AL4221">
        <v>90.912028602395196</v>
      </c>
      <c r="AM4221">
        <v>83.869023939710601</v>
      </c>
      <c r="AN4221">
        <v>1.00000001377592</v>
      </c>
    </row>
    <row r="4222" spans="1:40" x14ac:dyDescent="0.25">
      <c r="A4222" t="str">
        <f>"20190312161053649"</f>
        <v>20190312161053649</v>
      </c>
      <c r="B4222" t="str">
        <f>"1552378253641143"</f>
        <v>1552378253641143</v>
      </c>
      <c r="C4222" t="s">
        <v>40</v>
      </c>
      <c r="D4222">
        <v>5.6357089999999896</v>
      </c>
      <c r="E4222">
        <v>0.4450114</v>
      </c>
      <c r="F4222" t="s">
        <v>41</v>
      </c>
      <c r="G4222">
        <v>-266.03890000000001</v>
      </c>
      <c r="H4222" s="1">
        <v>-1.7187989999999999E-6</v>
      </c>
      <c r="I4222">
        <v>139.4066</v>
      </c>
      <c r="J4222">
        <v>-235.0497</v>
      </c>
      <c r="K4222">
        <v>1.109578</v>
      </c>
      <c r="L4222">
        <v>141.15819999999999</v>
      </c>
      <c r="M4222">
        <v>-0.99981120000000001</v>
      </c>
      <c r="N4222">
        <v>0</v>
      </c>
      <c r="O4222">
        <v>-1.7339070000000002E-2</v>
      </c>
      <c r="P4222">
        <v>-0.99570760000000003</v>
      </c>
      <c r="Q4222">
        <v>-2.4537949999999999E-2</v>
      </c>
      <c r="R4222">
        <v>8.9244160000000003E-2</v>
      </c>
      <c r="S4222">
        <v>-3.0256500000000002</v>
      </c>
      <c r="T4222">
        <v>-0.1076136</v>
      </c>
      <c r="U4222">
        <v>-0.17022709999999999</v>
      </c>
      <c r="V4222">
        <v>0.10649550000000001</v>
      </c>
      <c r="W4222">
        <v>-1.5810669999999999E-2</v>
      </c>
      <c r="X4222">
        <v>0.9941875</v>
      </c>
      <c r="Y4222">
        <v>-3.8838129999999998E-2</v>
      </c>
      <c r="Z4222" s="1">
        <v>-7.397216E-5</v>
      </c>
      <c r="AA4222">
        <v>0.99924550000000001</v>
      </c>
      <c r="AB4222">
        <v>20</v>
      </c>
      <c r="AC4222">
        <v>-30.9892</v>
      </c>
      <c r="AD4222">
        <v>-1.109579718799</v>
      </c>
      <c r="AE4222">
        <v>-1.7515999999999901</v>
      </c>
      <c r="AF4222">
        <v>-1.2124426506449599</v>
      </c>
      <c r="AG4222">
        <v>-1.109579718799</v>
      </c>
      <c r="AH4222">
        <v>30.975328565866999</v>
      </c>
      <c r="AI4222">
        <v>92.049969549488196</v>
      </c>
      <c r="AJ4222">
        <v>92.241538833142101</v>
      </c>
      <c r="AK4222">
        <v>31.018900111011199</v>
      </c>
      <c r="AL4222">
        <v>90.905922383840206</v>
      </c>
      <c r="AM4222">
        <v>83.885897453473603</v>
      </c>
      <c r="AN4222">
        <v>1.00000002698117</v>
      </c>
    </row>
    <row r="4223" spans="1:40" x14ac:dyDescent="0.25">
      <c r="A4223" t="str">
        <f>"20190312161053673"</f>
        <v>20190312161053673</v>
      </c>
      <c r="B4223" t="str">
        <f>"1552378253660664"</f>
        <v>1552378253660664</v>
      </c>
      <c r="C4223" t="s">
        <v>40</v>
      </c>
      <c r="D4223">
        <v>5.5988749999999996</v>
      </c>
      <c r="E4223">
        <v>0.44517279999999998</v>
      </c>
      <c r="F4223" t="s">
        <v>41</v>
      </c>
      <c r="G4223">
        <v>-266.03870000000001</v>
      </c>
      <c r="H4223" s="1">
        <v>-1.7156200000000001E-6</v>
      </c>
      <c r="I4223">
        <v>139.4248</v>
      </c>
      <c r="J4223">
        <v>-235.25120000000001</v>
      </c>
      <c r="K4223">
        <v>1.109575</v>
      </c>
      <c r="L4223">
        <v>141.15469999999999</v>
      </c>
      <c r="M4223">
        <v>-0.99981120000000001</v>
      </c>
      <c r="N4223">
        <v>0</v>
      </c>
      <c r="O4223">
        <v>-1.7338099999999999E-2</v>
      </c>
      <c r="P4223">
        <v>-0.99580119999999905</v>
      </c>
      <c r="Q4223">
        <v>-2.4061320000000001E-2</v>
      </c>
      <c r="R4223">
        <v>8.8324059999999996E-2</v>
      </c>
      <c r="S4223">
        <v>-3.025452</v>
      </c>
      <c r="T4223">
        <v>-0.1083281</v>
      </c>
      <c r="U4223">
        <v>-0.16922000000000001</v>
      </c>
      <c r="V4223">
        <v>0.1055763</v>
      </c>
      <c r="W4223">
        <v>-1.533671E-2</v>
      </c>
      <c r="X4223">
        <v>0.99429290000000004</v>
      </c>
      <c r="Y4223">
        <v>-3.851123E-2</v>
      </c>
      <c r="Z4223" s="1">
        <v>-6.8656929999999999E-5</v>
      </c>
      <c r="AA4223">
        <v>0.99925819999999999</v>
      </c>
      <c r="AB4223">
        <v>20</v>
      </c>
      <c r="AC4223">
        <v>-30.787499999999898</v>
      </c>
      <c r="AD4223">
        <v>-1.10957671562</v>
      </c>
      <c r="AE4223">
        <v>-1.72989999999998</v>
      </c>
      <c r="AF4223">
        <v>-1.1942763258671001</v>
      </c>
      <c r="AG4223">
        <v>-1.10957671562</v>
      </c>
      <c r="AH4223">
        <v>30.773021745591699</v>
      </c>
      <c r="AI4223">
        <v>92.063455906788903</v>
      </c>
      <c r="AJ4223">
        <v>92.222487955861496</v>
      </c>
      <c r="AK4223">
        <v>30.8161698428768</v>
      </c>
      <c r="AL4223">
        <v>90.8787632325987</v>
      </c>
      <c r="AM4223">
        <v>83.938913604134797</v>
      </c>
      <c r="AN4223">
        <v>0.99999997039286104</v>
      </c>
    </row>
    <row r="4224" spans="1:40" x14ac:dyDescent="0.25">
      <c r="A4224" t="str">
        <f>"20190312161053695"</f>
        <v>20190312161053695</v>
      </c>
      <c r="B4224" t="str">
        <f>"1552378253690920"</f>
        <v>1552378253690920</v>
      </c>
      <c r="C4224" t="s">
        <v>40</v>
      </c>
      <c r="D4224">
        <v>5.5586510000000002</v>
      </c>
      <c r="E4224">
        <v>0.44548969999999999</v>
      </c>
      <c r="F4224" t="s">
        <v>41</v>
      </c>
      <c r="G4224">
        <v>-266.7715</v>
      </c>
      <c r="H4224" s="1">
        <v>-1.409912E-6</v>
      </c>
      <c r="I4224">
        <v>139.37610000000001</v>
      </c>
      <c r="J4224">
        <v>-235.45439999999999</v>
      </c>
      <c r="K4224">
        <v>1.109564</v>
      </c>
      <c r="L4224">
        <v>141.15119999999999</v>
      </c>
      <c r="M4224">
        <v>-0.99981120000000001</v>
      </c>
      <c r="N4224">
        <v>0</v>
      </c>
      <c r="O4224">
        <v>-1.733736E-2</v>
      </c>
      <c r="P4224">
        <v>-0.99586479999999999</v>
      </c>
      <c r="Q4224">
        <v>-2.3852399999999999E-2</v>
      </c>
      <c r="R4224">
        <v>8.7660769999999999E-2</v>
      </c>
      <c r="S4224">
        <v>-3.025223</v>
      </c>
      <c r="T4224">
        <v>-0.1064938</v>
      </c>
      <c r="U4224">
        <v>-0.17070009999999999</v>
      </c>
      <c r="V4224">
        <v>0.1049134</v>
      </c>
      <c r="W4224">
        <v>-1.512981E-2</v>
      </c>
      <c r="X4224">
        <v>0.99436630000000004</v>
      </c>
      <c r="Y4224">
        <v>-3.9003669999999997E-2</v>
      </c>
      <c r="Z4224" s="1">
        <v>-7.6183579999999999E-5</v>
      </c>
      <c r="AA4224">
        <v>0.99923910000000005</v>
      </c>
      <c r="AB4224">
        <v>20</v>
      </c>
      <c r="AC4224">
        <v>-31.3171</v>
      </c>
      <c r="AD4224">
        <v>-1.109565409912</v>
      </c>
      <c r="AE4224">
        <v>-1.7750999999999799</v>
      </c>
      <c r="AF4224">
        <v>-1.2303169855776701</v>
      </c>
      <c r="AG4224">
        <v>-1.109565409912</v>
      </c>
      <c r="AH4224">
        <v>31.303999672135799</v>
      </c>
      <c r="AI4224">
        <v>92.028425474752297</v>
      </c>
      <c r="AJ4224">
        <v>92.250693508079806</v>
      </c>
      <c r="AK4224">
        <v>31.347810302427099</v>
      </c>
      <c r="AL4224">
        <v>90.866907303230604</v>
      </c>
      <c r="AM4224">
        <v>83.977131086556994</v>
      </c>
      <c r="AN4224">
        <v>1.0000000356129399</v>
      </c>
    </row>
    <row r="4225" spans="1:40" x14ac:dyDescent="0.25">
      <c r="A4225" t="str">
        <f>"20190312161053716"</f>
        <v>20190312161053716</v>
      </c>
      <c r="B4225" t="str">
        <f>"1552378253711415"</f>
        <v>1552378253711415</v>
      </c>
      <c r="C4225" t="s">
        <v>40</v>
      </c>
      <c r="D4225">
        <v>5.618004</v>
      </c>
      <c r="E4225">
        <v>0.44573499999999999</v>
      </c>
      <c r="F4225" t="s">
        <v>41</v>
      </c>
      <c r="G4225">
        <v>-268.04109999999997</v>
      </c>
      <c r="H4225" s="1">
        <v>-8.7553969999999898E-7</v>
      </c>
      <c r="I4225">
        <v>139.31809999999999</v>
      </c>
      <c r="J4225">
        <v>-235.64230000000001</v>
      </c>
      <c r="K4225">
        <v>1.1095569999999999</v>
      </c>
      <c r="L4225">
        <v>141.14789999999999</v>
      </c>
      <c r="M4225">
        <v>-0.99981120000000001</v>
      </c>
      <c r="N4225">
        <v>0</v>
      </c>
      <c r="O4225">
        <v>-1.733724E-2</v>
      </c>
      <c r="P4225">
        <v>-0.99594660000000002</v>
      </c>
      <c r="Q4225">
        <v>-2.378622E-2</v>
      </c>
      <c r="R4225">
        <v>8.6745199999999995E-2</v>
      </c>
      <c r="S4225">
        <v>-3.0249790000000001</v>
      </c>
      <c r="T4225">
        <v>-0.1029994</v>
      </c>
      <c r="U4225">
        <v>-0.17015079999999999</v>
      </c>
      <c r="V4225">
        <v>0.1039992</v>
      </c>
      <c r="W4225">
        <v>-1.506417E-2</v>
      </c>
      <c r="X4225">
        <v>0.99446330000000005</v>
      </c>
      <c r="Y4225">
        <v>-3.8828420000000002E-2</v>
      </c>
      <c r="Z4225" s="1">
        <v>-7.0715209999999896E-5</v>
      </c>
      <c r="AA4225">
        <v>0.99924590000000002</v>
      </c>
      <c r="AB4225">
        <v>20</v>
      </c>
      <c r="AC4225">
        <v>-32.398799999999902</v>
      </c>
      <c r="AD4225">
        <v>-1.1095578755397</v>
      </c>
      <c r="AE4225">
        <v>-1.8298000000000001</v>
      </c>
      <c r="AF4225">
        <v>-1.26631708739222</v>
      </c>
      <c r="AG4225">
        <v>-1.1095578755397</v>
      </c>
      <c r="AH4225">
        <v>32.387789742590797</v>
      </c>
      <c r="AI4225">
        <v>91.960604633477999</v>
      </c>
      <c r="AJ4225">
        <v>92.239044024337602</v>
      </c>
      <c r="AK4225">
        <v>32.431521735115403</v>
      </c>
      <c r="AL4225">
        <v>90.863146002764196</v>
      </c>
      <c r="AM4225">
        <v>84.029810884180904</v>
      </c>
      <c r="AN4225">
        <v>1.00000000893265</v>
      </c>
    </row>
    <row r="4226" spans="1:40" x14ac:dyDescent="0.25">
      <c r="A4226" t="str">
        <f>"20190312161053737"</f>
        <v>20190312161053737</v>
      </c>
      <c r="B4226" t="str">
        <f>"1552378253730936"</f>
        <v>1552378253730936</v>
      </c>
      <c r="C4226" t="s">
        <v>40</v>
      </c>
      <c r="D4226">
        <v>5.6243660000000002</v>
      </c>
      <c r="E4226">
        <v>0.44588899999999998</v>
      </c>
      <c r="F4226" t="s">
        <v>41</v>
      </c>
      <c r="G4226">
        <v>-268.69279999999998</v>
      </c>
      <c r="H4226" s="1">
        <v>-6.0263090000000003E-7</v>
      </c>
      <c r="I4226">
        <v>139.28039999999999</v>
      </c>
      <c r="J4226">
        <v>-235.84209999999999</v>
      </c>
      <c r="K4226">
        <v>1.1095569999999999</v>
      </c>
      <c r="L4226">
        <v>141.14439999999999</v>
      </c>
      <c r="M4226">
        <v>-0.99981120000000001</v>
      </c>
      <c r="N4226">
        <v>0</v>
      </c>
      <c r="O4226">
        <v>-1.733699E-2</v>
      </c>
      <c r="P4226">
        <v>-0.99596150000000006</v>
      </c>
      <c r="Q4226">
        <v>-2.425387E-2</v>
      </c>
      <c r="R4226">
        <v>8.6442870000000005E-2</v>
      </c>
      <c r="S4226">
        <v>-3.0246729999999999</v>
      </c>
      <c r="T4226">
        <v>-0.10154290000000001</v>
      </c>
      <c r="U4226">
        <v>-0.17089840000000001</v>
      </c>
      <c r="V4226">
        <v>0.103697</v>
      </c>
      <c r="W4226">
        <v>-1.5531939999999999E-2</v>
      </c>
      <c r="X4226">
        <v>0.99448760000000003</v>
      </c>
      <c r="Y4226">
        <v>-3.9080740000000003E-2</v>
      </c>
      <c r="Z4226" s="1">
        <v>-7.3961390000000006E-5</v>
      </c>
      <c r="AA4226">
        <v>0.99923600000000001</v>
      </c>
      <c r="AB4226">
        <v>20</v>
      </c>
      <c r="AC4226">
        <v>-32.850699999999897</v>
      </c>
      <c r="AD4226">
        <v>-1.10955760263089</v>
      </c>
      <c r="AE4226">
        <v>-1.8640000000000001</v>
      </c>
      <c r="AF4226">
        <v>-1.2926956636473299</v>
      </c>
      <c r="AG4226">
        <v>-1.10955760263089</v>
      </c>
      <c r="AH4226">
        <v>32.840735097908698</v>
      </c>
      <c r="AI4226">
        <v>91.933563836771299</v>
      </c>
      <c r="AJ4226">
        <v>92.254145289696496</v>
      </c>
      <c r="AK4226">
        <v>32.884891088817398</v>
      </c>
      <c r="AL4226">
        <v>90.889950440700801</v>
      </c>
      <c r="AM4226">
        <v>84.047178665320999</v>
      </c>
      <c r="AN4226">
        <v>0.99999994776145995</v>
      </c>
    </row>
    <row r="4227" spans="1:40" x14ac:dyDescent="0.25">
      <c r="A4227" t="str">
        <f>"20190312161053761"</f>
        <v>20190312161053761</v>
      </c>
      <c r="B4227" t="str">
        <f>"1552378253751432"</f>
        <v>1552378253751432</v>
      </c>
      <c r="C4227" t="s">
        <v>40</v>
      </c>
      <c r="D4227">
        <v>5.5827999999999998</v>
      </c>
      <c r="E4227">
        <v>0.44586480000000001</v>
      </c>
      <c r="F4227" t="s">
        <v>41</v>
      </c>
      <c r="G4227">
        <v>-268.459</v>
      </c>
      <c r="H4227" s="1">
        <v>-6.9881509999999896E-7</v>
      </c>
      <c r="I4227">
        <v>139.3038</v>
      </c>
      <c r="J4227">
        <v>-236.05119999999999</v>
      </c>
      <c r="K4227">
        <v>1.109559</v>
      </c>
      <c r="L4227">
        <v>141.14080000000001</v>
      </c>
      <c r="M4227">
        <v>-0.99981120000000001</v>
      </c>
      <c r="N4227">
        <v>0</v>
      </c>
      <c r="O4227">
        <v>-1.733724E-2</v>
      </c>
      <c r="P4227">
        <v>-0.99604199999999998</v>
      </c>
      <c r="Q4227">
        <v>-2.3642320000000001E-2</v>
      </c>
      <c r="R4227">
        <v>8.5681439999999998E-2</v>
      </c>
      <c r="S4227">
        <v>-3.0244900000000001</v>
      </c>
      <c r="T4227">
        <v>-0.1028869</v>
      </c>
      <c r="U4227">
        <v>-0.1706696</v>
      </c>
      <c r="V4227">
        <v>0.1029371</v>
      </c>
      <c r="W4227">
        <v>-1.491874E-2</v>
      </c>
      <c r="X4227">
        <v>0.99457600000000002</v>
      </c>
      <c r="Y4227">
        <v>-3.900824E-2</v>
      </c>
      <c r="Z4227" s="1">
        <v>-7.3704519999999993E-5</v>
      </c>
      <c r="AA4227">
        <v>0.99923890000000004</v>
      </c>
      <c r="AB4227">
        <v>20</v>
      </c>
      <c r="AC4227">
        <v>-32.407800000000002</v>
      </c>
      <c r="AD4227">
        <v>-1.1095596988151</v>
      </c>
      <c r="AE4227">
        <v>-1.83700000000001</v>
      </c>
      <c r="AF4227">
        <v>-1.27335259512948</v>
      </c>
      <c r="AG4227">
        <v>-1.1095596988151</v>
      </c>
      <c r="AH4227">
        <v>32.396924334727203</v>
      </c>
      <c r="AI4227">
        <v>91.960039670986902</v>
      </c>
      <c r="AJ4227">
        <v>92.250836952356394</v>
      </c>
      <c r="AK4227">
        <v>32.4409194676537</v>
      </c>
      <c r="AL4227">
        <v>90.854812533735497</v>
      </c>
      <c r="AM4227">
        <v>84.091013114466506</v>
      </c>
      <c r="AN4227">
        <v>1.0000000175677899</v>
      </c>
    </row>
    <row r="4228" spans="1:40" x14ac:dyDescent="0.25">
      <c r="A4228" t="str">
        <f>"20190312161053783"</f>
        <v>20190312161053783</v>
      </c>
      <c r="B4228" t="str">
        <f>"1552378253780712"</f>
        <v>1552378253780712</v>
      </c>
      <c r="C4228" t="s">
        <v>40</v>
      </c>
      <c r="D4228">
        <v>5.5846839999999904</v>
      </c>
      <c r="E4228">
        <v>0.4459226</v>
      </c>
      <c r="F4228" t="s">
        <v>41</v>
      </c>
      <c r="G4228">
        <v>-268.69929999999999</v>
      </c>
      <c r="H4228" s="1">
        <v>-6.0132279999999998E-7</v>
      </c>
      <c r="I4228">
        <v>139.2722</v>
      </c>
      <c r="J4228">
        <v>-236.25309999999999</v>
      </c>
      <c r="K4228">
        <v>1.1095619999999999</v>
      </c>
      <c r="L4228">
        <v>141.13730000000001</v>
      </c>
      <c r="M4228">
        <v>-0.99981120000000001</v>
      </c>
      <c r="N4228">
        <v>0</v>
      </c>
      <c r="O4228">
        <v>-1.7337470000000001E-2</v>
      </c>
      <c r="P4228">
        <v>-0.99609080000000005</v>
      </c>
      <c r="Q4228">
        <v>-2.358203E-2</v>
      </c>
      <c r="R4228">
        <v>8.5131040000000005E-2</v>
      </c>
      <c r="S4228">
        <v>-3.0243679999999999</v>
      </c>
      <c r="T4228">
        <v>-0.1027845</v>
      </c>
      <c r="U4228">
        <v>-0.17309569999999999</v>
      </c>
      <c r="V4228">
        <v>0.1023881</v>
      </c>
      <c r="W4228">
        <v>-1.485949E-2</v>
      </c>
      <c r="X4228">
        <v>0.99463360000000001</v>
      </c>
      <c r="Y4228">
        <v>-3.9808839999999998E-2</v>
      </c>
      <c r="Z4228" s="1">
        <v>-8.7214869999999894E-5</v>
      </c>
      <c r="AA4228">
        <v>0.99920730000000002</v>
      </c>
      <c r="AB4228">
        <v>20</v>
      </c>
      <c r="AC4228">
        <v>-32.446199999999997</v>
      </c>
      <c r="AD4228">
        <v>-1.1095626013227999</v>
      </c>
      <c r="AE4228">
        <v>-1.86510000000001</v>
      </c>
      <c r="AF4228">
        <v>-1.3007468441335399</v>
      </c>
      <c r="AG4228">
        <v>-1.1095626013227999</v>
      </c>
      <c r="AH4228">
        <v>32.435853465489402</v>
      </c>
      <c r="AI4228">
        <v>91.957632370604202</v>
      </c>
      <c r="AJ4228">
        <v>92.296452345200393</v>
      </c>
      <c r="AK4228">
        <v>32.480881477470398</v>
      </c>
      <c r="AL4228">
        <v>90.851417343946594</v>
      </c>
      <c r="AM4228">
        <v>84.1226446115801</v>
      </c>
      <c r="AN4228">
        <v>1.00000006285681</v>
      </c>
    </row>
    <row r="4229" spans="1:40" x14ac:dyDescent="0.25">
      <c r="A4229" t="str">
        <f>"20190312161053806"</f>
        <v>20190312161053806</v>
      </c>
      <c r="B4229" t="str">
        <f>"1552378253801208"</f>
        <v>1552378253801208</v>
      </c>
      <c r="C4229" t="s">
        <v>40</v>
      </c>
      <c r="D4229">
        <v>5.5930650000000002</v>
      </c>
      <c r="E4229">
        <v>0.44581510000000002</v>
      </c>
      <c r="F4229" t="s">
        <v>41</v>
      </c>
      <c r="G4229">
        <v>-268.37310000000002</v>
      </c>
      <c r="H4229" s="1">
        <v>-7.3875369999999904E-7</v>
      </c>
      <c r="I4229">
        <v>139.28630000000001</v>
      </c>
      <c r="J4229">
        <v>-236.45400000000001</v>
      </c>
      <c r="K4229">
        <v>1.1095600000000001</v>
      </c>
      <c r="L4229">
        <v>141.13380000000001</v>
      </c>
      <c r="M4229">
        <v>-0.99981129999999996</v>
      </c>
      <c r="N4229">
        <v>0</v>
      </c>
      <c r="O4229">
        <v>-1.7337680000000001E-2</v>
      </c>
      <c r="P4229">
        <v>-0.99603830000000004</v>
      </c>
      <c r="Q4229">
        <v>-2.3813609999999999E-2</v>
      </c>
      <c r="R4229">
        <v>8.567785E-2</v>
      </c>
      <c r="S4229">
        <v>-3.0242</v>
      </c>
      <c r="T4229">
        <v>-0.1044689</v>
      </c>
      <c r="U4229">
        <v>-0.1742706</v>
      </c>
      <c r="V4229">
        <v>0.1029341</v>
      </c>
      <c r="W4229">
        <v>-1.509775E-2</v>
      </c>
      <c r="X4229">
        <v>0.99457359999999995</v>
      </c>
      <c r="Y4229">
        <v>-4.0198060000000001E-2</v>
      </c>
      <c r="Z4229" s="1">
        <v>-9.5355500000000005E-5</v>
      </c>
      <c r="AA4229">
        <v>0.99919170000000002</v>
      </c>
      <c r="AB4229">
        <v>20</v>
      </c>
      <c r="AC4229">
        <v>-31.9191</v>
      </c>
      <c r="AD4229">
        <v>-1.1095607387536901</v>
      </c>
      <c r="AE4229">
        <v>-1.8474999999999899</v>
      </c>
      <c r="AF4229">
        <v>-1.2922416024118299</v>
      </c>
      <c r="AG4229">
        <v>-1.1095607387536901</v>
      </c>
      <c r="AH4229">
        <v>31.907906599693401</v>
      </c>
      <c r="AI4229">
        <v>91.989962344726194</v>
      </c>
      <c r="AJ4229">
        <v>92.319160297027395</v>
      </c>
      <c r="AK4229">
        <v>31.953333424961301</v>
      </c>
      <c r="AL4229">
        <v>90.865070214306797</v>
      </c>
      <c r="AM4229">
        <v>84.0911699499447</v>
      </c>
      <c r="AN4229">
        <v>1.0000000084074101</v>
      </c>
    </row>
    <row r="4230" spans="1:40" x14ac:dyDescent="0.25">
      <c r="A4230" t="str">
        <f>"20190312161053828"</f>
        <v>20190312161053828</v>
      </c>
      <c r="B4230" t="str">
        <f>"1552378253820728"</f>
        <v>1552378253820728</v>
      </c>
      <c r="C4230" t="s">
        <v>40</v>
      </c>
      <c r="D4230">
        <v>5.5285390000000003</v>
      </c>
      <c r="E4230">
        <v>0.44581890000000002</v>
      </c>
      <c r="F4230" t="s">
        <v>41</v>
      </c>
      <c r="G4230">
        <v>-268.29349999999999</v>
      </c>
      <c r="H4230" s="1">
        <v>-7.6925609999999903E-7</v>
      </c>
      <c r="I4230">
        <v>139.30680000000001</v>
      </c>
      <c r="J4230">
        <v>-236.66290000000001</v>
      </c>
      <c r="K4230">
        <v>1.109564</v>
      </c>
      <c r="L4230">
        <v>141.1302</v>
      </c>
      <c r="M4230">
        <v>-0.99981140000000002</v>
      </c>
      <c r="N4230">
        <v>0</v>
      </c>
      <c r="O4230">
        <v>-1.7338360000000001E-2</v>
      </c>
      <c r="P4230">
        <v>-0.99595230000000001</v>
      </c>
      <c r="Q4230">
        <v>-2.3989710000000001E-2</v>
      </c>
      <c r="R4230">
        <v>8.6624720000000002E-2</v>
      </c>
      <c r="S4230">
        <v>-3.0243679999999999</v>
      </c>
      <c r="T4230">
        <v>-0.1053948</v>
      </c>
      <c r="U4230">
        <v>-0.1735382</v>
      </c>
      <c r="V4230">
        <v>0.10388</v>
      </c>
      <c r="W4230">
        <v>-1.5283430000000001E-2</v>
      </c>
      <c r="X4230">
        <v>0.99447240000000003</v>
      </c>
      <c r="Y4230">
        <v>-3.9952920000000003E-2</v>
      </c>
      <c r="Z4230" s="1">
        <v>-9.1905120000000003E-5</v>
      </c>
      <c r="AA4230">
        <v>0.99920149999999996</v>
      </c>
      <c r="AB4230">
        <v>20</v>
      </c>
      <c r="AC4230">
        <v>-31.630599999999902</v>
      </c>
      <c r="AD4230">
        <v>-1.1095647692560999</v>
      </c>
      <c r="AE4230">
        <v>-1.8233999999999899</v>
      </c>
      <c r="AF4230">
        <v>-1.27312074545303</v>
      </c>
      <c r="AG4230">
        <v>-1.1095647692560999</v>
      </c>
      <c r="AH4230">
        <v>31.618682165890501</v>
      </c>
      <c r="AI4230">
        <v>92.008176460350199</v>
      </c>
      <c r="AJ4230">
        <v>92.305759073033698</v>
      </c>
      <c r="AK4230">
        <v>31.6637494987135</v>
      </c>
      <c r="AL4230">
        <v>90.875710133112904</v>
      </c>
      <c r="AM4230">
        <v>84.036658528341206</v>
      </c>
      <c r="AN4230">
        <v>0.99999999599716205</v>
      </c>
    </row>
    <row r="4231" spans="1:40" x14ac:dyDescent="0.25">
      <c r="A4231" t="str">
        <f>"20190312161053851"</f>
        <v>20190312161053851</v>
      </c>
      <c r="B4231" t="str">
        <f>"1552378253841223"</f>
        <v>1552378253841223</v>
      </c>
      <c r="C4231" t="s">
        <v>40</v>
      </c>
      <c r="D4231">
        <v>5.5962300000000003</v>
      </c>
      <c r="E4231">
        <v>0.4457527</v>
      </c>
      <c r="F4231" t="s">
        <v>41</v>
      </c>
      <c r="G4231">
        <v>-267.96210000000002</v>
      </c>
      <c r="H4231" s="1">
        <v>-9.0127480000000002E-7</v>
      </c>
      <c r="I4231">
        <v>139.36420000000001</v>
      </c>
      <c r="J4231">
        <v>-236.8733</v>
      </c>
      <c r="K4231">
        <v>1.109564</v>
      </c>
      <c r="L4231">
        <v>141.12649999999999</v>
      </c>
      <c r="M4231">
        <v>-0.99981149999999996</v>
      </c>
      <c r="N4231">
        <v>0</v>
      </c>
      <c r="O4231">
        <v>-1.7338559999999999E-2</v>
      </c>
      <c r="P4231">
        <v>-0.99591859999999999</v>
      </c>
      <c r="Q4231">
        <v>-2.3263499999999999E-2</v>
      </c>
      <c r="R4231">
        <v>8.7208229999999998E-2</v>
      </c>
      <c r="S4231">
        <v>-3.0244450000000001</v>
      </c>
      <c r="T4231">
        <v>-0.1072178</v>
      </c>
      <c r="U4231">
        <v>-0.17063900000000001</v>
      </c>
      <c r="V4231">
        <v>0.1044631</v>
      </c>
      <c r="W4231">
        <v>-1.4567159999999999E-2</v>
      </c>
      <c r="X4231">
        <v>0.99442209999999998</v>
      </c>
      <c r="Y4231">
        <v>-3.8996660000000002E-2</v>
      </c>
      <c r="Z4231" s="1">
        <v>-7.6554539999999996E-5</v>
      </c>
      <c r="AA4231">
        <v>0.99923930000000005</v>
      </c>
      <c r="AB4231">
        <v>20</v>
      </c>
      <c r="AC4231">
        <v>-31.088799999999999</v>
      </c>
      <c r="AD4231">
        <v>-1.1095649012747999</v>
      </c>
      <c r="AE4231">
        <v>-1.76229999999998</v>
      </c>
      <c r="AF4231">
        <v>-1.2214286046377201</v>
      </c>
      <c r="AG4231">
        <v>-1.1095649012747999</v>
      </c>
      <c r="AH4231">
        <v>31.075226660057499</v>
      </c>
      <c r="AI4231">
        <v>92.043344746249502</v>
      </c>
      <c r="AJ4231">
        <v>92.250882955772795</v>
      </c>
      <c r="AK4231">
        <v>31.119009207883199</v>
      </c>
      <c r="AL4231">
        <v>90.834666286234693</v>
      </c>
      <c r="AM4231">
        <v>84.003127176954195</v>
      </c>
      <c r="AN4231">
        <v>1.0000000271902401</v>
      </c>
    </row>
    <row r="4232" spans="1:40" x14ac:dyDescent="0.25">
      <c r="A4232" t="str">
        <f>"20190312161053897"</f>
        <v>20190312161053897</v>
      </c>
      <c r="B4232" t="str">
        <f>"1552378253891000"</f>
        <v>1552378253891000</v>
      </c>
      <c r="C4232" t="s">
        <v>40</v>
      </c>
      <c r="D4232">
        <v>5.5755619999999997</v>
      </c>
      <c r="E4232">
        <v>0.44561420000000002</v>
      </c>
      <c r="F4232" t="s">
        <v>41</v>
      </c>
      <c r="G4232">
        <v>-269.24799999999999</v>
      </c>
      <c r="H4232" s="1">
        <v>-3.5874390000000001E-7</v>
      </c>
      <c r="I4232">
        <v>139.31280000000001</v>
      </c>
      <c r="J4232">
        <v>-237.28989999999999</v>
      </c>
      <c r="K4232">
        <v>1.1095569999999999</v>
      </c>
      <c r="L4232">
        <v>141.11930000000001</v>
      </c>
      <c r="M4232">
        <v>-0.99981160000000002</v>
      </c>
      <c r="N4232">
        <v>0</v>
      </c>
      <c r="O4232">
        <v>-1.733939E-2</v>
      </c>
      <c r="P4232">
        <v>-0.99590219999999896</v>
      </c>
      <c r="Q4232">
        <v>-2.2396409999999999E-2</v>
      </c>
      <c r="R4232">
        <v>8.7620500000000004E-2</v>
      </c>
      <c r="S4232">
        <v>-3.024734</v>
      </c>
      <c r="T4232">
        <v>-0.1036657</v>
      </c>
      <c r="U4232">
        <v>-0.16944890000000001</v>
      </c>
      <c r="V4232">
        <v>0.1048757</v>
      </c>
      <c r="W4232">
        <v>-1.372865E-2</v>
      </c>
      <c r="X4232">
        <v>0.99439049999999995</v>
      </c>
      <c r="Y4232">
        <v>-3.8599609999999999E-2</v>
      </c>
      <c r="Z4232" s="1">
        <v>-6.7188169999999898E-5</v>
      </c>
      <c r="AA4232">
        <v>0.9992548</v>
      </c>
      <c r="AB4232">
        <v>20</v>
      </c>
      <c r="AC4232">
        <v>-31.958100000000002</v>
      </c>
      <c r="AD4232">
        <v>-1.1095573587438901</v>
      </c>
      <c r="AE4232">
        <v>-1.8065</v>
      </c>
      <c r="AF4232">
        <v>-1.2505706856978001</v>
      </c>
      <c r="AG4232">
        <v>-1.1095573587438901</v>
      </c>
      <c r="AH4232">
        <v>31.946233995713701</v>
      </c>
      <c r="AI4232">
        <v>91.987677597236001</v>
      </c>
      <c r="AJ4232">
        <v>92.241762062439904</v>
      </c>
      <c r="AK4232">
        <v>31.9899501575286</v>
      </c>
      <c r="AL4232">
        <v>90.7866184716151</v>
      </c>
      <c r="AM4232">
        <v>83.979424915658896</v>
      </c>
      <c r="AN4232">
        <v>0.99999992738577803</v>
      </c>
    </row>
    <row r="4233" spans="1:40" x14ac:dyDescent="0.25">
      <c r="A4233" t="str">
        <f>"20190312161053919"</f>
        <v>20190312161053919</v>
      </c>
      <c r="B4233" t="str">
        <f>"1552378253910521"</f>
        <v>1552378253910521</v>
      </c>
      <c r="C4233" t="s">
        <v>40</v>
      </c>
      <c r="D4233">
        <v>5.601801</v>
      </c>
      <c r="E4233">
        <v>0.44558629999999999</v>
      </c>
      <c r="F4233" t="s">
        <v>41</v>
      </c>
      <c r="G4233">
        <v>-270.43970000000002</v>
      </c>
      <c r="H4233" s="1">
        <v>-4.1462019999999998E-6</v>
      </c>
      <c r="I4233">
        <v>139.26349999999999</v>
      </c>
      <c r="J4233">
        <v>-237.4915</v>
      </c>
      <c r="K4233">
        <v>1.109553</v>
      </c>
      <c r="L4233">
        <v>141.11580000000001</v>
      </c>
      <c r="M4233">
        <v>-0.99981180000000003</v>
      </c>
      <c r="N4233">
        <v>0</v>
      </c>
      <c r="O4233">
        <v>-1.7339799999999999E-2</v>
      </c>
      <c r="P4233">
        <v>-0.99596399999999996</v>
      </c>
      <c r="Q4233">
        <v>-2.1802209999999999E-2</v>
      </c>
      <c r="R4233">
        <v>8.7068190000000004E-2</v>
      </c>
      <c r="S4233">
        <v>-3.0249480000000002</v>
      </c>
      <c r="T4233">
        <v>-0.10124850000000001</v>
      </c>
      <c r="U4233">
        <v>-0.16934199999999999</v>
      </c>
      <c r="V4233">
        <v>0.10432520000000001</v>
      </c>
      <c r="W4233">
        <v>-1.3149310000000001E-2</v>
      </c>
      <c r="X4233">
        <v>0.99445629999999996</v>
      </c>
      <c r="Y4233">
        <v>-3.8560690000000002E-2</v>
      </c>
      <c r="Z4233" s="1">
        <v>-6.4953349999999997E-5</v>
      </c>
      <c r="AA4233">
        <v>0.99925629999999999</v>
      </c>
      <c r="AB4233">
        <v>21</v>
      </c>
      <c r="AC4233">
        <v>-32.9482</v>
      </c>
      <c r="AD4233">
        <v>-1.109557146202</v>
      </c>
      <c r="AE4233">
        <v>-1.85230000000001</v>
      </c>
      <c r="AF4233">
        <v>-1.27923850864022</v>
      </c>
      <c r="AG4233">
        <v>-1.109557146202</v>
      </c>
      <c r="AH4233">
        <v>32.938129610636899</v>
      </c>
      <c r="AI4233">
        <v>91.927889504722401</v>
      </c>
      <c r="AJ4233">
        <v>92.224113814903305</v>
      </c>
      <c r="AK4233">
        <v>32.981630500473898</v>
      </c>
      <c r="AL4233">
        <v>90.753421685128799</v>
      </c>
      <c r="AM4233">
        <v>84.011190443030898</v>
      </c>
      <c r="AN4233">
        <v>0.99999999215910296</v>
      </c>
    </row>
    <row r="4234" spans="1:40" x14ac:dyDescent="0.25">
      <c r="A4234" t="str">
        <f>"20190312161053963"</f>
        <v>20190312161053963</v>
      </c>
      <c r="B4234" t="str">
        <f>"1552378253950536"</f>
        <v>1552378253950536</v>
      </c>
      <c r="C4234" t="s">
        <v>40</v>
      </c>
      <c r="D4234">
        <v>5.7356129999999999</v>
      </c>
      <c r="E4234">
        <v>0.40608179999999999</v>
      </c>
      <c r="F4234" t="s">
        <v>41</v>
      </c>
      <c r="G4234">
        <v>-271.38959999999997</v>
      </c>
      <c r="H4234" s="1">
        <v>-3.7504210000000001E-6</v>
      </c>
      <c r="I4234">
        <v>139.19739999999999</v>
      </c>
      <c r="J4234">
        <v>-237.9006</v>
      </c>
      <c r="K4234">
        <v>1.1095389999999901</v>
      </c>
      <c r="L4234">
        <v>141.1087</v>
      </c>
      <c r="M4234">
        <v>-0.99981220000000004</v>
      </c>
      <c r="N4234">
        <v>0</v>
      </c>
      <c r="O4234">
        <v>-1.734047E-2</v>
      </c>
      <c r="P4234">
        <v>-0.99606539999999999</v>
      </c>
      <c r="Q4234">
        <v>-2.202339E-2</v>
      </c>
      <c r="R4234">
        <v>8.5842740000000001E-2</v>
      </c>
      <c r="S4234">
        <v>-3.0249630000000001</v>
      </c>
      <c r="T4234">
        <v>-9.9013690000000001E-2</v>
      </c>
      <c r="U4234">
        <v>-0.17118839999999999</v>
      </c>
      <c r="V4234">
        <v>0.10310229999999999</v>
      </c>
      <c r="W4234">
        <v>-1.340859E-2</v>
      </c>
      <c r="X4234">
        <v>0.99458040000000003</v>
      </c>
      <c r="Y4234">
        <v>-3.9167920000000002E-2</v>
      </c>
      <c r="Z4234" s="1">
        <v>-7.3425589999999996E-5</v>
      </c>
      <c r="AA4234">
        <v>0.99923260000000003</v>
      </c>
      <c r="AB4234">
        <v>21</v>
      </c>
      <c r="AC4234">
        <v>-33.488999999999898</v>
      </c>
      <c r="AD4234">
        <v>-1.10954275042099</v>
      </c>
      <c r="AE4234">
        <v>-1.91130000000001</v>
      </c>
      <c r="AF4234">
        <v>-1.32882194745894</v>
      </c>
      <c r="AG4234">
        <v>-1.10954275042099</v>
      </c>
      <c r="AH4234">
        <v>33.480476187316</v>
      </c>
      <c r="AI4234">
        <v>91.896594949431901</v>
      </c>
      <c r="AJ4234">
        <v>92.272845489602503</v>
      </c>
      <c r="AK4234">
        <v>33.525201544696102</v>
      </c>
      <c r="AL4234">
        <v>90.768278620992305</v>
      </c>
      <c r="AM4234">
        <v>84.0816232531579</v>
      </c>
      <c r="AN4234">
        <v>1.0000000233076101</v>
      </c>
    </row>
    <row r="4235" spans="1:40" x14ac:dyDescent="0.25">
      <c r="A4235" t="str">
        <f>"20190312161053985"</f>
        <v>20190312161053985</v>
      </c>
      <c r="B4235" t="str">
        <f>"1552378253980793"</f>
        <v>1552378253980793</v>
      </c>
      <c r="C4235" t="s">
        <v>40</v>
      </c>
      <c r="D4235">
        <v>5.6140549999999996</v>
      </c>
      <c r="E4235">
        <v>0.38635389999999997</v>
      </c>
      <c r="F4235" t="s">
        <v>41</v>
      </c>
      <c r="G4235">
        <v>-279.77690000000001</v>
      </c>
      <c r="H4235" s="1">
        <v>-1.4489330000000001E-6</v>
      </c>
      <c r="I4235">
        <v>134.4034</v>
      </c>
      <c r="J4235">
        <v>-238.10980000000001</v>
      </c>
      <c r="K4235">
        <v>1.1095280000000001</v>
      </c>
      <c r="L4235">
        <v>141.10509999999999</v>
      </c>
      <c r="M4235">
        <v>-0.99981240000000005</v>
      </c>
      <c r="N4235">
        <v>0</v>
      </c>
      <c r="O4235">
        <v>-1.733519E-2</v>
      </c>
      <c r="P4235">
        <v>-0.99610080000000001</v>
      </c>
      <c r="Q4235">
        <v>-2.2242999999999999E-2</v>
      </c>
      <c r="R4235">
        <v>8.5373850000000001E-2</v>
      </c>
      <c r="S4235">
        <v>-3.052155</v>
      </c>
      <c r="T4235">
        <v>-8.0868960000000004E-2</v>
      </c>
      <c r="U4235">
        <v>-0.48870849999999999</v>
      </c>
      <c r="V4235">
        <v>0.1026287</v>
      </c>
      <c r="W4235">
        <v>-1.365806E-2</v>
      </c>
      <c r="X4235">
        <v>0.99462600000000001</v>
      </c>
      <c r="Y4235">
        <v>-0.1409214</v>
      </c>
      <c r="Z4235">
        <v>-1.3986059999999999E-3</v>
      </c>
      <c r="AA4235">
        <v>0.99001980000000001</v>
      </c>
      <c r="AB4235">
        <v>21</v>
      </c>
      <c r="AC4235">
        <v>-41.667099999999998</v>
      </c>
      <c r="AD4235">
        <v>-1.1095294489329901</v>
      </c>
      <c r="AE4235">
        <v>-6.7016999999999802</v>
      </c>
      <c r="AF4235">
        <v>-5.9742294866016303</v>
      </c>
      <c r="AG4235">
        <v>-1.1095294489329901</v>
      </c>
      <c r="AH4235">
        <v>41.748161953367301</v>
      </c>
      <c r="AI4235">
        <v>91.507030698724407</v>
      </c>
      <c r="AJ4235">
        <v>98.143829079710201</v>
      </c>
      <c r="AK4235">
        <v>42.188049256172199</v>
      </c>
      <c r="AL4235">
        <v>90.782573497786203</v>
      </c>
      <c r="AM4235">
        <v>84.108885839056001</v>
      </c>
      <c r="AN4235">
        <v>1.0000000362713199</v>
      </c>
    </row>
    <row r="4236" spans="1:40" x14ac:dyDescent="0.25">
      <c r="A4236" t="str">
        <f>"20190312161054008"</f>
        <v>20190312161054008</v>
      </c>
      <c r="B4236" t="str">
        <f>"1552378254001288"</f>
        <v>1552378254001288</v>
      </c>
      <c r="C4236" t="s">
        <v>40</v>
      </c>
      <c r="D4236">
        <v>5.8054779999999999</v>
      </c>
      <c r="E4236">
        <v>0.38522620000000002</v>
      </c>
      <c r="F4236" t="s">
        <v>87</v>
      </c>
      <c r="G4236">
        <v>-287.57150000000001</v>
      </c>
      <c r="H4236" s="1">
        <v>-4.2029089999999996E-6</v>
      </c>
      <c r="I4236">
        <v>130.667</v>
      </c>
      <c r="J4236">
        <v>-238.32839999999999</v>
      </c>
      <c r="K4236">
        <v>1.109515</v>
      </c>
      <c r="L4236">
        <v>141.10130000000001</v>
      </c>
      <c r="M4236">
        <v>-0.99981319999999996</v>
      </c>
      <c r="N4236">
        <v>0</v>
      </c>
      <c r="O4236">
        <v>-1.731456E-2</v>
      </c>
      <c r="P4236">
        <v>-0.99616119999999997</v>
      </c>
      <c r="Q4236">
        <v>-2.2003780000000001E-2</v>
      </c>
      <c r="R4236">
        <v>8.4730990000000006E-2</v>
      </c>
      <c r="S4236">
        <v>-3.0656590000000001</v>
      </c>
      <c r="T4236">
        <v>-6.8769339999999998E-2</v>
      </c>
      <c r="U4236">
        <v>-0.64695740000000002</v>
      </c>
      <c r="V4236">
        <v>0.1019663</v>
      </c>
      <c r="W4236">
        <v>-1.3457459999999999E-2</v>
      </c>
      <c r="X4236">
        <v>0.99469680000000005</v>
      </c>
      <c r="Y4236">
        <v>-0.18947149999999999</v>
      </c>
      <c r="Z4236">
        <v>-1.7177710000000001E-3</v>
      </c>
      <c r="AA4236">
        <v>0.98188470000000005</v>
      </c>
      <c r="AB4236">
        <v>21</v>
      </c>
      <c r="AC4236">
        <v>-49.243099999999998</v>
      </c>
      <c r="AD4236">
        <v>-1.109519202909</v>
      </c>
      <c r="AE4236">
        <v>-10.4343</v>
      </c>
      <c r="AF4236">
        <v>-9.5754293884406003</v>
      </c>
      <c r="AG4236">
        <v>-1.109519202909</v>
      </c>
      <c r="AH4236">
        <v>49.392392061368199</v>
      </c>
      <c r="AI4236">
        <v>91.263326175845506</v>
      </c>
      <c r="AJ4236">
        <v>100.971517318312</v>
      </c>
      <c r="AK4236">
        <v>50.324231483238201</v>
      </c>
      <c r="AL4236">
        <v>90.771078954238405</v>
      </c>
      <c r="AM4236">
        <v>84.1470579422474</v>
      </c>
      <c r="AN4236">
        <v>0.99999997674778995</v>
      </c>
    </row>
    <row r="4237" spans="1:40" x14ac:dyDescent="0.25">
      <c r="A4237" t="str">
        <f>"20190312161054029"</f>
        <v>20190312161054029</v>
      </c>
      <c r="B4237" t="str">
        <f>"1552378254020809"</f>
        <v>1552378254020809</v>
      </c>
      <c r="C4237" t="s">
        <v>40</v>
      </c>
      <c r="D4237">
        <v>5.6480180000000004</v>
      </c>
      <c r="E4237">
        <v>0.38472220000000001</v>
      </c>
      <c r="F4237" t="s">
        <v>41</v>
      </c>
      <c r="G4237">
        <v>-271.10559999999998</v>
      </c>
      <c r="H4237" s="1">
        <v>-4.7825029999999901E-6</v>
      </c>
      <c r="I4237">
        <v>134.0659</v>
      </c>
      <c r="J4237">
        <v>-238.52279999999999</v>
      </c>
      <c r="K4237">
        <v>1.1094900000000001</v>
      </c>
      <c r="L4237">
        <v>141.09799999999899</v>
      </c>
      <c r="M4237">
        <v>-0.99981399999999998</v>
      </c>
      <c r="N4237">
        <v>0</v>
      </c>
      <c r="O4237">
        <v>-1.7282120000000002E-2</v>
      </c>
      <c r="P4237">
        <v>-0.99615569999999998</v>
      </c>
      <c r="Q4237">
        <v>-2.2298020000000002E-2</v>
      </c>
      <c r="R4237">
        <v>8.4715699999999894E-2</v>
      </c>
      <c r="S4237">
        <v>-3.0652620000000002</v>
      </c>
      <c r="T4237">
        <v>-0.10376059999999999</v>
      </c>
      <c r="U4237">
        <v>-0.65792850000000003</v>
      </c>
      <c r="V4237">
        <v>0.1019182</v>
      </c>
      <c r="W4237">
        <v>-1.378942E-2</v>
      </c>
      <c r="X4237">
        <v>0.99469719999999995</v>
      </c>
      <c r="Y4237">
        <v>-0.19283520000000001</v>
      </c>
      <c r="Z4237">
        <v>-2.6481439999999998E-3</v>
      </c>
      <c r="AA4237">
        <v>0.98122759999999998</v>
      </c>
      <c r="AB4237">
        <v>21</v>
      </c>
      <c r="AC4237">
        <v>-32.582799999999899</v>
      </c>
      <c r="AD4237">
        <v>-1.1094947825029999</v>
      </c>
      <c r="AE4237">
        <v>-7.0320999999999803</v>
      </c>
      <c r="AF4237">
        <v>-6.4607712984368098</v>
      </c>
      <c r="AG4237">
        <v>-1.1094947825029999</v>
      </c>
      <c r="AH4237">
        <v>32.663279818663199</v>
      </c>
      <c r="AI4237">
        <v>91.908506497055001</v>
      </c>
      <c r="AJ4237">
        <v>101.188635783463</v>
      </c>
      <c r="AK4237">
        <v>33.314597295410898</v>
      </c>
      <c r="AL4237">
        <v>90.790100613662005</v>
      </c>
      <c r="AM4237">
        <v>84.149802100373904</v>
      </c>
      <c r="AN4237">
        <v>0.99999999364150804</v>
      </c>
    </row>
    <row r="4238" spans="1:40" x14ac:dyDescent="0.25">
      <c r="A4238" t="str">
        <f>"20190312161054053"</f>
        <v>20190312161054053</v>
      </c>
      <c r="B4238" t="str">
        <f>"1552378254041307"</f>
        <v>1552378254041307</v>
      </c>
      <c r="C4238" t="s">
        <v>40</v>
      </c>
      <c r="D4238">
        <v>5.6869129999999997</v>
      </c>
      <c r="E4238">
        <v>0.38395760000000001</v>
      </c>
      <c r="F4238" t="s">
        <v>41</v>
      </c>
      <c r="G4238">
        <v>-266.00290000000001</v>
      </c>
      <c r="H4238" s="1">
        <v>-2.530899E-6</v>
      </c>
      <c r="I4238">
        <v>135.16390000000001</v>
      </c>
      <c r="J4238">
        <v>-238.7509</v>
      </c>
      <c r="K4238">
        <v>1.109461</v>
      </c>
      <c r="L4238">
        <v>141.0941</v>
      </c>
      <c r="M4238">
        <v>-0.99981549999999997</v>
      </c>
      <c r="N4238">
        <v>0</v>
      </c>
      <c r="O4238">
        <v>-1.7217509999999998E-2</v>
      </c>
      <c r="P4238">
        <v>-0.99603969999999997</v>
      </c>
      <c r="Q4238">
        <v>-2.364455E-2</v>
      </c>
      <c r="R4238">
        <v>8.5708430000000002E-2</v>
      </c>
      <c r="S4238">
        <v>-3.0650940000000002</v>
      </c>
      <c r="T4238">
        <v>-0.12375120000000001</v>
      </c>
      <c r="U4238">
        <v>-0.66186519999999904</v>
      </c>
      <c r="V4238">
        <v>0.1028437</v>
      </c>
      <c r="W4238">
        <v>-1.5181709999999999E-2</v>
      </c>
      <c r="X4238">
        <v>0.99458159999999896</v>
      </c>
      <c r="Y4238">
        <v>-0.19407240000000001</v>
      </c>
      <c r="Z4238">
        <v>-3.184975E-3</v>
      </c>
      <c r="AA4238">
        <v>0.98098209999999997</v>
      </c>
      <c r="AB4238">
        <v>21</v>
      </c>
      <c r="AC4238">
        <v>-27.251999999999999</v>
      </c>
      <c r="AD4238">
        <v>-1.109463530899</v>
      </c>
      <c r="AE4238">
        <v>-5.9301999999999797</v>
      </c>
      <c r="AF4238">
        <v>-5.4514654909419802</v>
      </c>
      <c r="AG4238">
        <v>-1.109463530899</v>
      </c>
      <c r="AH4238">
        <v>27.306854683893299</v>
      </c>
      <c r="AI4238">
        <v>92.281644250431199</v>
      </c>
      <c r="AJ4238">
        <v>101.28994665636</v>
      </c>
      <c r="AK4238">
        <v>27.867789615478902</v>
      </c>
      <c r="AL4238">
        <v>90.869881383185103</v>
      </c>
      <c r="AM4238">
        <v>84.096369755846595</v>
      </c>
      <c r="AN4238">
        <v>0.99999993500338402</v>
      </c>
    </row>
    <row r="4239" spans="1:40" x14ac:dyDescent="0.25">
      <c r="A4239" t="str">
        <f>"20190312161054076"</f>
        <v>20190312161054076</v>
      </c>
      <c r="B4239" t="str">
        <f>"1552378254070586"</f>
        <v>1552378254070586</v>
      </c>
      <c r="C4239" t="s">
        <v>40</v>
      </c>
      <c r="D4239">
        <v>5.6416519999999997</v>
      </c>
      <c r="E4239">
        <v>0.38320290000000001</v>
      </c>
      <c r="F4239" t="s">
        <v>41</v>
      </c>
      <c r="G4239">
        <v>-264.9239</v>
      </c>
      <c r="H4239" s="1">
        <v>-2.9047229999999999E-6</v>
      </c>
      <c r="I4239">
        <v>135.41739999999999</v>
      </c>
      <c r="J4239">
        <v>-238.9666</v>
      </c>
      <c r="K4239">
        <v>1.1094329999999999</v>
      </c>
      <c r="L4239">
        <v>141.09049999999999</v>
      </c>
      <c r="M4239">
        <v>-0.99981750000000003</v>
      </c>
      <c r="N4239">
        <v>0</v>
      </c>
      <c r="O4239">
        <v>-1.7120920000000001E-2</v>
      </c>
      <c r="P4239">
        <v>-0.99583049999999995</v>
      </c>
      <c r="Q4239">
        <v>-2.4624719999999999E-2</v>
      </c>
      <c r="R4239">
        <v>8.783966E-2</v>
      </c>
      <c r="S4239">
        <v>-3.066071</v>
      </c>
      <c r="T4239">
        <v>-0.12997010000000001</v>
      </c>
      <c r="U4239">
        <v>-0.66499330000000001</v>
      </c>
      <c r="V4239">
        <v>0.104874</v>
      </c>
      <c r="W4239">
        <v>-1.6206399999999999E-2</v>
      </c>
      <c r="X4239">
        <v>0.9943535</v>
      </c>
      <c r="Y4239">
        <v>-0.19504369999999999</v>
      </c>
      <c r="Z4239">
        <v>-3.3678810000000001E-3</v>
      </c>
      <c r="AA4239">
        <v>0.98078880000000002</v>
      </c>
      <c r="AB4239">
        <v>21</v>
      </c>
      <c r="AC4239">
        <v>-25.9573</v>
      </c>
      <c r="AD4239">
        <v>-1.10943590472299</v>
      </c>
      <c r="AE4239">
        <v>-5.6730999999999998</v>
      </c>
      <c r="AF4239">
        <v>-5.2187407381949003</v>
      </c>
      <c r="AG4239">
        <v>-1.10943590472299</v>
      </c>
      <c r="AH4239">
        <v>26.005287134669601</v>
      </c>
      <c r="AI4239">
        <v>92.395171193282906</v>
      </c>
      <c r="AJ4239">
        <v>101.347389593956</v>
      </c>
      <c r="AK4239">
        <v>26.546959559915599</v>
      </c>
      <c r="AL4239">
        <v>90.928598933099593</v>
      </c>
      <c r="AM4239">
        <v>83.979299413196301</v>
      </c>
      <c r="AN4239">
        <v>1.0000000431195999</v>
      </c>
    </row>
    <row r="4240" spans="1:40" x14ac:dyDescent="0.25">
      <c r="A4240" t="str">
        <f>"20190312161054098"</f>
        <v>20190312161054098</v>
      </c>
      <c r="B4240" t="str">
        <f>"1552378254091083"</f>
        <v>1552378254091083</v>
      </c>
      <c r="C4240" t="s">
        <v>40</v>
      </c>
      <c r="D4240">
        <v>5.3859879999999896</v>
      </c>
      <c r="E4240">
        <v>0.38247730000000002</v>
      </c>
      <c r="F4240" t="s">
        <v>41</v>
      </c>
      <c r="G4240">
        <v>-264.2978</v>
      </c>
      <c r="H4240" s="1">
        <v>-3.1402789999999999E-6</v>
      </c>
      <c r="I4240">
        <v>135.6037</v>
      </c>
      <c r="J4240">
        <v>-239.17959999999999</v>
      </c>
      <c r="K4240">
        <v>1.1094010000000001</v>
      </c>
      <c r="L4240">
        <v>141.08699999999999</v>
      </c>
      <c r="M4240">
        <v>-0.99982009999999999</v>
      </c>
      <c r="N4240">
        <v>0</v>
      </c>
      <c r="O4240">
        <v>-1.6986029999999999E-2</v>
      </c>
      <c r="P4240">
        <v>-0.99566010000000005</v>
      </c>
      <c r="Q4240">
        <v>-2.5166299999999999E-2</v>
      </c>
      <c r="R4240">
        <v>8.9598570000000002E-2</v>
      </c>
      <c r="S4240">
        <v>-3.0678559999999999</v>
      </c>
      <c r="T4240">
        <v>-0.1343637</v>
      </c>
      <c r="U4240">
        <v>-0.66450500000000001</v>
      </c>
      <c r="V4240">
        <v>0.1064942</v>
      </c>
      <c r="W4240">
        <v>-1.6793140000000002E-2</v>
      </c>
      <c r="X4240">
        <v>0.99417149999999999</v>
      </c>
      <c r="Y4240">
        <v>-0.1948985</v>
      </c>
      <c r="Z4240">
        <v>-3.482396E-3</v>
      </c>
      <c r="AA4240">
        <v>0.9808173</v>
      </c>
      <c r="AB4240">
        <v>21</v>
      </c>
      <c r="AC4240">
        <v>-25.118200000000002</v>
      </c>
      <c r="AD4240">
        <v>-1.109404140279</v>
      </c>
      <c r="AE4240">
        <v>-5.4833000000000096</v>
      </c>
      <c r="AF4240">
        <v>-5.0464385847790201</v>
      </c>
      <c r="AG4240">
        <v>-1.109404140279</v>
      </c>
      <c r="AH4240">
        <v>25.160868641891899</v>
      </c>
      <c r="AI4240">
        <v>92.475439756277893</v>
      </c>
      <c r="AJ4240">
        <v>101.34116331478999</v>
      </c>
      <c r="AK4240">
        <v>25.685922812913599</v>
      </c>
      <c r="AL4240">
        <v>90.962221278436701</v>
      </c>
      <c r="AM4240">
        <v>83.885873870890507</v>
      </c>
      <c r="AN4240">
        <v>0.99999999779847404</v>
      </c>
    </row>
    <row r="4241" spans="1:40" x14ac:dyDescent="0.25">
      <c r="A4241" t="str">
        <f>"20190312161054118"</f>
        <v>20190312161054118</v>
      </c>
      <c r="B4241" t="str">
        <f>"1552378254110601"</f>
        <v>1552378254110601</v>
      </c>
      <c r="C4241" t="s">
        <v>40</v>
      </c>
      <c r="D4241">
        <v>5.7000769999999896</v>
      </c>
      <c r="E4241">
        <v>0.38179020000000002</v>
      </c>
      <c r="F4241" t="s">
        <v>41</v>
      </c>
      <c r="G4241">
        <v>-264.58449999999999</v>
      </c>
      <c r="H4241" s="1">
        <v>-3.02054E-6</v>
      </c>
      <c r="I4241">
        <v>135.58529999999999</v>
      </c>
      <c r="J4241">
        <v>-239.3663</v>
      </c>
      <c r="K4241">
        <v>1.10937</v>
      </c>
      <c r="L4241">
        <v>141.084</v>
      </c>
      <c r="M4241">
        <v>-0.99982289999999996</v>
      </c>
      <c r="N4241">
        <v>0</v>
      </c>
      <c r="O4241">
        <v>-1.6835590000000001E-2</v>
      </c>
      <c r="P4241">
        <v>-0.99560579999999999</v>
      </c>
      <c r="Q4241">
        <v>-2.41023E-2</v>
      </c>
      <c r="R4241">
        <v>9.0490929999999997E-2</v>
      </c>
      <c r="S4241">
        <v>-3.069534</v>
      </c>
      <c r="T4241">
        <v>-0.13404360000000001</v>
      </c>
      <c r="U4241">
        <v>-0.66473389999999999</v>
      </c>
      <c r="V4241">
        <v>0.10723539999999999</v>
      </c>
      <c r="W4241">
        <v>-1.576733E-2</v>
      </c>
      <c r="X4241">
        <v>0.99410860000000001</v>
      </c>
      <c r="Y4241">
        <v>-0.1950056</v>
      </c>
      <c r="Z4241">
        <v>-3.4810230000000002E-3</v>
      </c>
      <c r="AA4241">
        <v>0.98079590000000005</v>
      </c>
      <c r="AB4241">
        <v>21</v>
      </c>
      <c r="AC4241">
        <v>-25.2182</v>
      </c>
      <c r="AD4241">
        <v>-1.1093730205400001</v>
      </c>
      <c r="AE4241">
        <v>-5.4987000000000101</v>
      </c>
      <c r="AF4241">
        <v>-5.0639872497234801</v>
      </c>
      <c r="AG4241">
        <v>-1.1093730205400001</v>
      </c>
      <c r="AH4241">
        <v>25.260537069579598</v>
      </c>
      <c r="AI4241">
        <v>92.465661498281406</v>
      </c>
      <c r="AJ4241">
        <v>101.335839517002</v>
      </c>
      <c r="AK4241">
        <v>25.787000764099499</v>
      </c>
      <c r="AL4241">
        <v>90.903438922976207</v>
      </c>
      <c r="AM4241">
        <v>83.843258655442398</v>
      </c>
      <c r="AN4241">
        <v>0.99999997415122399</v>
      </c>
    </row>
    <row r="4242" spans="1:40" x14ac:dyDescent="0.25">
      <c r="A4242" t="str">
        <f>"20190312161054163"</f>
        <v>20190312161054163</v>
      </c>
      <c r="B4242" t="str">
        <f>"1552378254161352"</f>
        <v>1552378254161352</v>
      </c>
      <c r="C4242" t="s">
        <v>40</v>
      </c>
      <c r="D4242">
        <v>5.711576</v>
      </c>
      <c r="E4242">
        <v>0.38048480000000001</v>
      </c>
      <c r="F4242" t="s">
        <v>41</v>
      </c>
      <c r="G4242">
        <v>-265.63369999999998</v>
      </c>
      <c r="H4242" s="1">
        <v>-2.6079539999999998E-6</v>
      </c>
      <c r="I4242">
        <v>135.37389999999999</v>
      </c>
      <c r="J4242">
        <v>-239.79849999999999</v>
      </c>
      <c r="K4242">
        <v>1.109326</v>
      </c>
      <c r="L4242">
        <v>141.0772</v>
      </c>
      <c r="M4242">
        <v>-0.99983069999999996</v>
      </c>
      <c r="N4242">
        <v>0</v>
      </c>
      <c r="O4242">
        <v>-1.640111E-2</v>
      </c>
      <c r="P4242">
        <v>-0.9956332</v>
      </c>
      <c r="Q4242">
        <v>-2.339072E-2</v>
      </c>
      <c r="R4242">
        <v>9.0374839999999998E-2</v>
      </c>
      <c r="S4242">
        <v>-3.0707550000000001</v>
      </c>
      <c r="T4242">
        <v>-0.1296901</v>
      </c>
      <c r="U4242">
        <v>-0.66752619999999996</v>
      </c>
      <c r="V4242">
        <v>0.1066865</v>
      </c>
      <c r="W4242">
        <v>-1.513864E-2</v>
      </c>
      <c r="X4242">
        <v>0.99417750000000005</v>
      </c>
      <c r="Y4242">
        <v>-0.19621189999999999</v>
      </c>
      <c r="Z4242">
        <v>-3.4097200000000002E-3</v>
      </c>
      <c r="AA4242">
        <v>0.98055559999999997</v>
      </c>
      <c r="AB4242">
        <v>21</v>
      </c>
      <c r="AC4242">
        <v>-25.835199999999901</v>
      </c>
      <c r="AD4242">
        <v>-1.1093286079539999</v>
      </c>
      <c r="AE4242">
        <v>-5.7033000000000103</v>
      </c>
      <c r="AF4242">
        <v>-5.2695280119945798</v>
      </c>
      <c r="AG4242">
        <v>-1.1093286079539999</v>
      </c>
      <c r="AH4242">
        <v>25.879770473983999</v>
      </c>
      <c r="AI4242">
        <v>92.405171542344604</v>
      </c>
      <c r="AJ4242">
        <v>101.50899066948</v>
      </c>
      <c r="AK4242">
        <v>26.434088885674001</v>
      </c>
      <c r="AL4242">
        <v>90.867413275094805</v>
      </c>
      <c r="AM4242">
        <v>83.874953930108404</v>
      </c>
      <c r="AN4242">
        <v>1.0000000446047701</v>
      </c>
    </row>
    <row r="4243" spans="1:40" x14ac:dyDescent="0.25">
      <c r="A4243" t="str">
        <f>"20190312161054185"</f>
        <v>20190312161054185</v>
      </c>
      <c r="B4243" t="str">
        <f>"1552378254180873"</f>
        <v>1552378254180873</v>
      </c>
      <c r="C4243" t="s">
        <v>40</v>
      </c>
      <c r="D4243">
        <v>5.7064389999999996</v>
      </c>
      <c r="E4243">
        <v>0.38028149999999999</v>
      </c>
      <c r="F4243" t="s">
        <v>41</v>
      </c>
      <c r="G4243">
        <v>-266.86290000000002</v>
      </c>
      <c r="H4243" s="1">
        <v>-2.2547089999999998E-6</v>
      </c>
      <c r="I4243">
        <v>135.10210000000001</v>
      </c>
      <c r="J4243">
        <v>-240.00470000000001</v>
      </c>
      <c r="K4243">
        <v>1.1093139999999999</v>
      </c>
      <c r="L4243">
        <v>141.07409999999999</v>
      </c>
      <c r="M4243">
        <v>-0.99983500000000003</v>
      </c>
      <c r="N4243">
        <v>0</v>
      </c>
      <c r="O4243">
        <v>-1.6163810000000001E-2</v>
      </c>
      <c r="P4243">
        <v>-0.99562729999999999</v>
      </c>
      <c r="Q4243">
        <v>-2.330196E-2</v>
      </c>
      <c r="R4243">
        <v>9.0462239999999999E-2</v>
      </c>
      <c r="S4243">
        <v>-3.0717620000000001</v>
      </c>
      <c r="T4243">
        <v>-0.12590689999999999</v>
      </c>
      <c r="U4243">
        <v>-0.67816160000000003</v>
      </c>
      <c r="V4243">
        <v>0.1065376</v>
      </c>
      <c r="W4243">
        <v>-1.508581E-2</v>
      </c>
      <c r="X4243">
        <v>0.99419420000000003</v>
      </c>
      <c r="Y4243">
        <v>-0.19962240000000001</v>
      </c>
      <c r="Z4243">
        <v>-3.3867070000000001E-3</v>
      </c>
      <c r="AA4243">
        <v>0.97986700000000004</v>
      </c>
      <c r="AB4243">
        <v>21</v>
      </c>
      <c r="AC4243">
        <v>-26.8582</v>
      </c>
      <c r="AD4243">
        <v>-1.1093162547090001</v>
      </c>
      <c r="AE4243">
        <v>-5.97199999999998</v>
      </c>
      <c r="AF4243">
        <v>-5.52808783579421</v>
      </c>
      <c r="AG4243">
        <v>-1.1093162547090001</v>
      </c>
      <c r="AH4243">
        <v>26.907485187866801</v>
      </c>
      <c r="AI4243">
        <v>92.312552481722705</v>
      </c>
      <c r="AJ4243">
        <v>101.609754934347</v>
      </c>
      <c r="AK4243">
        <v>27.4918732866367</v>
      </c>
      <c r="AL4243">
        <v>90.864386054013494</v>
      </c>
      <c r="AM4243">
        <v>83.883539640473003</v>
      </c>
      <c r="AN4243">
        <v>0.99999997459537704</v>
      </c>
    </row>
    <row r="4244" spans="1:40" x14ac:dyDescent="0.25">
      <c r="A4244" t="str">
        <f>"20190312161054207"</f>
        <v>20190312161054207</v>
      </c>
      <c r="B4244" t="str">
        <f>"1552378254201368"</f>
        <v>1552378254201368</v>
      </c>
      <c r="C4244" t="s">
        <v>40</v>
      </c>
      <c r="D4244">
        <v>5.6821659999999996</v>
      </c>
      <c r="E4244">
        <v>0.380137</v>
      </c>
      <c r="F4244" t="s">
        <v>41</v>
      </c>
      <c r="G4244">
        <v>-267.03809999999999</v>
      </c>
      <c r="H4244" s="1">
        <v>-2.1972349999999998E-6</v>
      </c>
      <c r="I4244">
        <v>135.09399999999999</v>
      </c>
      <c r="J4244">
        <v>-240.21780000000001</v>
      </c>
      <c r="K4244">
        <v>1.1093120000000001</v>
      </c>
      <c r="L4244">
        <v>141.071</v>
      </c>
      <c r="M4244">
        <v>-0.99983940000000004</v>
      </c>
      <c r="N4244">
        <v>0</v>
      </c>
      <c r="O4244">
        <v>-1.590927E-2</v>
      </c>
      <c r="P4244">
        <v>-0.99563840000000003</v>
      </c>
      <c r="Q4244">
        <v>-2.3015629999999999E-2</v>
      </c>
      <c r="R4244">
        <v>9.0413569999999999E-2</v>
      </c>
      <c r="S4244">
        <v>-3.0719910000000001</v>
      </c>
      <c r="T4244">
        <v>-0.12605930000000001</v>
      </c>
      <c r="U4244">
        <v>-0.67955019999999999</v>
      </c>
      <c r="V4244">
        <v>0.1062361</v>
      </c>
      <c r="W4244">
        <v>-1.48354E-2</v>
      </c>
      <c r="X4244">
        <v>0.99423030000000001</v>
      </c>
      <c r="Y4244">
        <v>-0.2002776</v>
      </c>
      <c r="Z4244">
        <v>-3.4139779999999998E-3</v>
      </c>
      <c r="AA4244">
        <v>0.97973319999999997</v>
      </c>
      <c r="AB4244">
        <v>21</v>
      </c>
      <c r="AC4244">
        <v>-26.8202999999999</v>
      </c>
      <c r="AD4244">
        <v>-1.109314197235</v>
      </c>
      <c r="AE4244">
        <v>-5.9770000000000003</v>
      </c>
      <c r="AF4244">
        <v>-5.5405077145166697</v>
      </c>
      <c r="AG4244">
        <v>-1.109314197235</v>
      </c>
      <c r="AH4244">
        <v>26.8682087806867</v>
      </c>
      <c r="AI4244">
        <v>92.315576711730202</v>
      </c>
      <c r="AJ4244">
        <v>101.65167166960001</v>
      </c>
      <c r="AK4244">
        <v>27.455936458357701</v>
      </c>
      <c r="AL4244">
        <v>90.850036952796998</v>
      </c>
      <c r="AM4244">
        <v>83.900938279042506</v>
      </c>
      <c r="AN4244">
        <v>1.0000000437372201</v>
      </c>
    </row>
    <row r="4245" spans="1:40" x14ac:dyDescent="0.25">
      <c r="A4245" t="str">
        <f>"20190312161054229"</f>
        <v>20190312161054229</v>
      </c>
      <c r="B4245" t="str">
        <f>"1552378254220889"</f>
        <v>1552378254220889</v>
      </c>
      <c r="C4245" t="s">
        <v>40</v>
      </c>
      <c r="D4245">
        <v>5.6849610000000004</v>
      </c>
      <c r="E4245">
        <v>0.3799901</v>
      </c>
      <c r="F4245" t="s">
        <v>41</v>
      </c>
      <c r="G4245">
        <v>-267.108</v>
      </c>
      <c r="H4245" s="1">
        <v>-2.168912E-6</v>
      </c>
      <c r="I4245">
        <v>135.11099999999999</v>
      </c>
      <c r="J4245">
        <v>-240.43950000000001</v>
      </c>
      <c r="K4245">
        <v>1.109305</v>
      </c>
      <c r="L4245">
        <v>141.0677</v>
      </c>
      <c r="M4245">
        <v>-0.99984379999999995</v>
      </c>
      <c r="N4245">
        <v>0</v>
      </c>
      <c r="O4245">
        <v>-1.5641530000000001E-2</v>
      </c>
      <c r="P4245">
        <v>-0.99564830000000004</v>
      </c>
      <c r="Q4245">
        <v>-2.2285840000000001E-2</v>
      </c>
      <c r="R4245">
        <v>9.0487380000000006E-2</v>
      </c>
      <c r="S4245">
        <v>-3.0720369999999999</v>
      </c>
      <c r="T4245">
        <v>-0.12673219999999999</v>
      </c>
      <c r="U4245">
        <v>-0.68087769999999903</v>
      </c>
      <c r="V4245">
        <v>0.1060444</v>
      </c>
      <c r="W4245">
        <v>-1.4142460000000001E-2</v>
      </c>
      <c r="X4245">
        <v>0.99426079999999994</v>
      </c>
      <c r="Y4245">
        <v>-0.20093820000000001</v>
      </c>
      <c r="Z4245">
        <v>-3.4563329999999998E-3</v>
      </c>
      <c r="AA4245">
        <v>0.97959779999999996</v>
      </c>
      <c r="AB4245">
        <v>22</v>
      </c>
      <c r="AC4245">
        <v>-26.668499999999899</v>
      </c>
      <c r="AD4245">
        <v>-1.109307168912</v>
      </c>
      <c r="AE4245">
        <v>-5.9567000000000103</v>
      </c>
      <c r="AF4245">
        <v>-5.5297078908671997</v>
      </c>
      <c r="AG4245">
        <v>-1.109307168912</v>
      </c>
      <c r="AH4245">
        <v>26.714386454246998</v>
      </c>
      <c r="AI4245">
        <v>92.328519563547204</v>
      </c>
      <c r="AJ4245">
        <v>101.69470306093601</v>
      </c>
      <c r="AK4245">
        <v>27.303235621079299</v>
      </c>
      <c r="AL4245">
        <v>90.810330298962299</v>
      </c>
      <c r="AM4245">
        <v>83.912046490801401</v>
      </c>
      <c r="AN4245">
        <v>0.99999998118142497</v>
      </c>
    </row>
    <row r="4246" spans="1:40" x14ac:dyDescent="0.25">
      <c r="A4246" t="str">
        <f>"20190312161054254"</f>
        <v>20190312161054254</v>
      </c>
      <c r="B4246" t="str">
        <f>"1552378254251144"</f>
        <v>1552378254251144</v>
      </c>
      <c r="C4246" t="s">
        <v>40</v>
      </c>
      <c r="D4246">
        <v>5.6885500000000002</v>
      </c>
      <c r="E4246">
        <v>0.37980229999999998</v>
      </c>
      <c r="F4246" t="s">
        <v>41</v>
      </c>
      <c r="G4246">
        <v>-267.38400000000001</v>
      </c>
      <c r="H4246" s="1">
        <v>-2.0812589999999998E-6</v>
      </c>
      <c r="I4246">
        <v>135.08750000000001</v>
      </c>
      <c r="J4246">
        <v>-240.67259999999999</v>
      </c>
      <c r="K4246">
        <v>1.1093010000000001</v>
      </c>
      <c r="L4246">
        <v>141.06440000000001</v>
      </c>
      <c r="M4246">
        <v>-0.99984839999999997</v>
      </c>
      <c r="N4246">
        <v>0</v>
      </c>
      <c r="O4246">
        <v>-1.5363669999999999E-2</v>
      </c>
      <c r="P4246">
        <v>-0.99564249999999999</v>
      </c>
      <c r="Q4246">
        <v>-2.2013939999999999E-2</v>
      </c>
      <c r="R4246">
        <v>9.0617840000000005E-2</v>
      </c>
      <c r="S4246">
        <v>-3.0722659999999999</v>
      </c>
      <c r="T4246">
        <v>-0.12648570000000001</v>
      </c>
      <c r="U4246">
        <v>-0.68186950000000002</v>
      </c>
      <c r="V4246">
        <v>0.1058987</v>
      </c>
      <c r="W4246">
        <v>-1.390837E-2</v>
      </c>
      <c r="X4246">
        <v>0.99427960000000004</v>
      </c>
      <c r="Y4246">
        <v>-0.20149619999999999</v>
      </c>
      <c r="Z4246">
        <v>-3.4718790000000002E-3</v>
      </c>
      <c r="AA4246">
        <v>0.97948310000000005</v>
      </c>
      <c r="AB4246">
        <v>22</v>
      </c>
      <c r="AC4246">
        <v>-26.711400000000001</v>
      </c>
      <c r="AD4246">
        <v>-1.1093030812589999</v>
      </c>
      <c r="AE4246">
        <v>-5.9768999999999997</v>
      </c>
      <c r="AF4246">
        <v>-5.5566690978024997</v>
      </c>
      <c r="AG4246">
        <v>-1.1093030812589999</v>
      </c>
      <c r="AH4246">
        <v>26.7561319240688</v>
      </c>
      <c r="AI4246">
        <v>92.324565912164005</v>
      </c>
      <c r="AJ4246">
        <v>101.73231703013001</v>
      </c>
      <c r="AK4246">
        <v>27.3495469857681</v>
      </c>
      <c r="AL4246">
        <v>90.796916634963196</v>
      </c>
      <c r="AM4246">
        <v>83.920462458165503</v>
      </c>
      <c r="AN4246">
        <v>0.99999995019695198</v>
      </c>
    </row>
    <row r="4247" spans="1:40" x14ac:dyDescent="0.25">
      <c r="A4247" t="str">
        <f>"20190312161054297"</f>
        <v>20190312161054297</v>
      </c>
      <c r="B4247" t="str">
        <f>"1552378254291161"</f>
        <v>1552378254291161</v>
      </c>
      <c r="C4247" t="s">
        <v>40</v>
      </c>
      <c r="D4247">
        <v>5.654318</v>
      </c>
      <c r="E4247">
        <v>0.37904199999999999</v>
      </c>
      <c r="F4247" t="s">
        <v>41</v>
      </c>
      <c r="G4247">
        <v>-267.39859999999999</v>
      </c>
      <c r="H4247" s="1">
        <v>-2.0665399999999999E-6</v>
      </c>
      <c r="I4247">
        <v>135.1241</v>
      </c>
      <c r="J4247">
        <v>-241.08449999999999</v>
      </c>
      <c r="K4247">
        <v>1.1092850000000001</v>
      </c>
      <c r="L4247">
        <v>141.05869999999999</v>
      </c>
      <c r="M4247">
        <v>-0.99985619999999997</v>
      </c>
      <c r="N4247">
        <v>0</v>
      </c>
      <c r="O4247">
        <v>-1.4889370000000001E-2</v>
      </c>
      <c r="P4247">
        <v>-0.99537279999999995</v>
      </c>
      <c r="Q4247">
        <v>-2.3525440000000002E-2</v>
      </c>
      <c r="R4247">
        <v>9.316663E-2</v>
      </c>
      <c r="S4247">
        <v>-3.0724490000000002</v>
      </c>
      <c r="T4247">
        <v>-0.127527</v>
      </c>
      <c r="U4247">
        <v>-0.68289180000000005</v>
      </c>
      <c r="V4247">
        <v>0.1079711</v>
      </c>
      <c r="W4247">
        <v>-1.549101E-2</v>
      </c>
      <c r="X4247">
        <v>0.99403330000000001</v>
      </c>
      <c r="Y4247">
        <v>-0.20225570000000001</v>
      </c>
      <c r="Z4247">
        <v>-3.535098E-3</v>
      </c>
      <c r="AA4247">
        <v>0.97932640000000004</v>
      </c>
      <c r="AB4247">
        <v>22</v>
      </c>
      <c r="AC4247">
        <v>-26.3141</v>
      </c>
      <c r="AD4247">
        <v>-1.1092870665400001</v>
      </c>
      <c r="AE4247">
        <v>-5.9345999999999801</v>
      </c>
      <c r="AF4247">
        <v>-5.5327724409595698</v>
      </c>
      <c r="AG4247">
        <v>-1.1092870665400001</v>
      </c>
      <c r="AH4247">
        <v>26.354979760310901</v>
      </c>
      <c r="AI4247">
        <v>92.358811660977807</v>
      </c>
      <c r="AJ4247">
        <v>101.856086726641</v>
      </c>
      <c r="AK4247">
        <v>26.952310603097299</v>
      </c>
      <c r="AL4247">
        <v>90.8876050262527</v>
      </c>
      <c r="AM4247">
        <v>83.800881475557702</v>
      </c>
      <c r="AN4247">
        <v>0.99999996566745897</v>
      </c>
    </row>
    <row r="4248" spans="1:40" x14ac:dyDescent="0.25">
      <c r="A4248" t="str">
        <f>"20190312161054319"</f>
        <v>20190312161054319</v>
      </c>
      <c r="B4248" t="str">
        <f>"1552378254310680"</f>
        <v>1552378254310680</v>
      </c>
      <c r="C4248" t="s">
        <v>40</v>
      </c>
      <c r="D4248">
        <v>5.6367000000000003</v>
      </c>
      <c r="E4248">
        <v>0.37873580000000001</v>
      </c>
      <c r="F4248" t="s">
        <v>41</v>
      </c>
      <c r="G4248">
        <v>-267.53129999999999</v>
      </c>
      <c r="H4248" s="1">
        <v>-2.0013709999999998E-6</v>
      </c>
      <c r="I4248">
        <v>135.19929999999999</v>
      </c>
      <c r="J4248">
        <v>-241.315</v>
      </c>
      <c r="K4248">
        <v>1.1092740000000001</v>
      </c>
      <c r="L4248">
        <v>141.05549999999999</v>
      </c>
      <c r="M4248">
        <v>-0.99986030000000004</v>
      </c>
      <c r="N4248">
        <v>0</v>
      </c>
      <c r="O4248">
        <v>-1.463008E-2</v>
      </c>
      <c r="P4248">
        <v>-0.9952666</v>
      </c>
      <c r="Q4248">
        <v>-2.325385E-2</v>
      </c>
      <c r="R4248">
        <v>9.4359929999999995E-2</v>
      </c>
      <c r="S4248">
        <v>-3.0746310000000001</v>
      </c>
      <c r="T4248">
        <v>-0.12896299999999999</v>
      </c>
      <c r="U4248">
        <v>-0.68118290000000004</v>
      </c>
      <c r="V4248">
        <v>0.1089049</v>
      </c>
      <c r="W4248">
        <v>-1.5256459999999999E-2</v>
      </c>
      <c r="X4248">
        <v>0.99393509999999996</v>
      </c>
      <c r="Y4248">
        <v>-0.2018404</v>
      </c>
      <c r="Z4248">
        <v>-3.5747399999999999E-3</v>
      </c>
      <c r="AA4248">
        <v>0.9794119</v>
      </c>
      <c r="AB4248">
        <v>22</v>
      </c>
      <c r="AC4248">
        <v>-26.216299999999901</v>
      </c>
      <c r="AD4248">
        <v>-1.1092760013709999</v>
      </c>
      <c r="AE4248">
        <v>-5.8562000000000003</v>
      </c>
      <c r="AF4248">
        <v>-5.4626988111312098</v>
      </c>
      <c r="AG4248">
        <v>-1.1092760013709999</v>
      </c>
      <c r="AH4248">
        <v>26.254403058583101</v>
      </c>
      <c r="AI4248">
        <v>92.368697434640197</v>
      </c>
      <c r="AJ4248">
        <v>101.753713200685</v>
      </c>
      <c r="AK4248">
        <v>26.839620927108601</v>
      </c>
      <c r="AL4248">
        <v>90.874164673579301</v>
      </c>
      <c r="AM4248">
        <v>83.747077691706593</v>
      </c>
      <c r="AN4248">
        <v>1.0000000099138699</v>
      </c>
    </row>
    <row r="4249" spans="1:40" x14ac:dyDescent="0.25">
      <c r="A4249" t="str">
        <f>"20190312161054341"</f>
        <v>20190312161054341</v>
      </c>
      <c r="B4249" t="str">
        <f>"1552378254331177"</f>
        <v>1552378254331177</v>
      </c>
      <c r="C4249" t="s">
        <v>40</v>
      </c>
      <c r="D4249">
        <v>5.6345489999999998</v>
      </c>
      <c r="E4249">
        <v>0.37854599999999999</v>
      </c>
      <c r="F4249" t="s">
        <v>41</v>
      </c>
      <c r="G4249">
        <v>-267.67840000000001</v>
      </c>
      <c r="H4249" s="1">
        <v>-1.9435070000000001E-6</v>
      </c>
      <c r="I4249">
        <v>135.2287</v>
      </c>
      <c r="J4249">
        <v>-241.53389999999999</v>
      </c>
      <c r="K4249">
        <v>1.1092649999999999</v>
      </c>
      <c r="L4249">
        <v>141.05260000000001</v>
      </c>
      <c r="M4249">
        <v>-0.99986419999999998</v>
      </c>
      <c r="N4249">
        <v>0</v>
      </c>
      <c r="O4249">
        <v>-1.4383780000000001E-2</v>
      </c>
      <c r="P4249">
        <v>-0.99525079999999999</v>
      </c>
      <c r="Q4249">
        <v>-2.2840450000000002E-2</v>
      </c>
      <c r="R4249">
        <v>9.462806E-2</v>
      </c>
      <c r="S4249">
        <v>-3.0756990000000002</v>
      </c>
      <c r="T4249">
        <v>-0.12941459999999999</v>
      </c>
      <c r="U4249">
        <v>-0.67977909999999997</v>
      </c>
      <c r="V4249">
        <v>0.1089281</v>
      </c>
      <c r="W4249">
        <v>-1.487349E-2</v>
      </c>
      <c r="X4249">
        <v>0.99393830000000005</v>
      </c>
      <c r="Y4249">
        <v>-0.2015827</v>
      </c>
      <c r="Z4249">
        <v>-3.591075E-3</v>
      </c>
      <c r="AA4249">
        <v>0.97946489999999997</v>
      </c>
      <c r="AB4249">
        <v>22</v>
      </c>
      <c r="AC4249">
        <v>-26.144500000000001</v>
      </c>
      <c r="AD4249">
        <v>-1.1092669435069999</v>
      </c>
      <c r="AE4249">
        <v>-5.8239000000000001</v>
      </c>
      <c r="AF4249">
        <v>-5.4379022482829997</v>
      </c>
      <c r="AG4249">
        <v>-1.1092669435069999</v>
      </c>
      <c r="AH4249">
        <v>26.180666165076101</v>
      </c>
      <c r="AI4249">
        <v>92.375512523746295</v>
      </c>
      <c r="AJ4249">
        <v>101.733879865915</v>
      </c>
      <c r="AK4249">
        <v>26.762446354191901</v>
      </c>
      <c r="AL4249">
        <v>90.852219671406701</v>
      </c>
      <c r="AM4249">
        <v>83.745776163306004</v>
      </c>
      <c r="AN4249">
        <v>0.99999994794063796</v>
      </c>
    </row>
    <row r="4250" spans="1:40" x14ac:dyDescent="0.25">
      <c r="A4250" t="str">
        <f>"20190312161054364"</f>
        <v>20190312161054364</v>
      </c>
      <c r="B4250" t="str">
        <f>"1552378254360457"</f>
        <v>1552378254360457</v>
      </c>
      <c r="C4250" t="s">
        <v>40</v>
      </c>
      <c r="D4250">
        <v>5.65266</v>
      </c>
      <c r="E4250">
        <v>0.37841039999999998</v>
      </c>
      <c r="F4250" t="s">
        <v>41</v>
      </c>
      <c r="G4250">
        <v>-268.17009999999999</v>
      </c>
      <c r="H4250" s="1">
        <v>-1.7943769999999999E-6</v>
      </c>
      <c r="I4250">
        <v>135.16030000000001</v>
      </c>
      <c r="J4250">
        <v>-241.75810000000001</v>
      </c>
      <c r="K4250">
        <v>1.1092679999999999</v>
      </c>
      <c r="L4250">
        <v>141.0497</v>
      </c>
      <c r="M4250">
        <v>-0.99986799999999998</v>
      </c>
      <c r="N4250">
        <v>0</v>
      </c>
      <c r="O4250">
        <v>-1.4125560000000001E-2</v>
      </c>
      <c r="P4250">
        <v>-0.99518640000000003</v>
      </c>
      <c r="Q4250">
        <v>-2.3206600000000001E-2</v>
      </c>
      <c r="R4250">
        <v>9.5214149999999997E-2</v>
      </c>
      <c r="S4250">
        <v>-3.0760800000000001</v>
      </c>
      <c r="T4250">
        <v>-0.12810389999999999</v>
      </c>
      <c r="U4250">
        <v>-0.68046569999999995</v>
      </c>
      <c r="V4250">
        <v>0.1092564</v>
      </c>
      <c r="W4250">
        <v>-1.5267299999999999E-2</v>
      </c>
      <c r="X4250">
        <v>0.99389640000000001</v>
      </c>
      <c r="Y4250">
        <v>-0.20202110000000001</v>
      </c>
      <c r="Z4250">
        <v>-3.573849E-3</v>
      </c>
      <c r="AA4250">
        <v>0.97937459999999998</v>
      </c>
      <c r="AB4250">
        <v>22</v>
      </c>
      <c r="AC4250">
        <v>-26.4119999999999</v>
      </c>
      <c r="AD4250">
        <v>-1.109269794377</v>
      </c>
      <c r="AE4250">
        <v>-5.8893999999999904</v>
      </c>
      <c r="AF4250">
        <v>-5.50646331162657</v>
      </c>
      <c r="AG4250">
        <v>-1.109269794377</v>
      </c>
      <c r="AH4250">
        <v>26.4481165344272</v>
      </c>
      <c r="AI4250">
        <v>92.351293550889494</v>
      </c>
      <c r="AJ4250">
        <v>101.76089534071799</v>
      </c>
      <c r="AK4250">
        <v>27.0380192672771</v>
      </c>
      <c r="AL4250">
        <v>90.874785794770901</v>
      </c>
      <c r="AM4250">
        <v>83.726814170105698</v>
      </c>
      <c r="AN4250">
        <v>1.0000000526616</v>
      </c>
    </row>
    <row r="4251" spans="1:40" x14ac:dyDescent="0.25">
      <c r="A4251" t="str">
        <f>"20190312161054385"</f>
        <v>20190312161054385</v>
      </c>
      <c r="B4251" t="str">
        <f>"1552378254380952"</f>
        <v>1552378254380952</v>
      </c>
      <c r="C4251" t="s">
        <v>40</v>
      </c>
      <c r="D4251">
        <v>5.6575309999999996</v>
      </c>
      <c r="E4251">
        <v>0.37832110000000002</v>
      </c>
      <c r="F4251" t="s">
        <v>41</v>
      </c>
      <c r="G4251">
        <v>-268.04770000000002</v>
      </c>
      <c r="H4251" s="1">
        <v>-1.8146130000000001E-6</v>
      </c>
      <c r="I4251">
        <v>135.24080000000001</v>
      </c>
      <c r="J4251">
        <v>-241.96469999999999</v>
      </c>
      <c r="K4251">
        <v>1.109262</v>
      </c>
      <c r="L4251">
        <v>141.047</v>
      </c>
      <c r="M4251">
        <v>-0.99987159999999997</v>
      </c>
      <c r="N4251">
        <v>0</v>
      </c>
      <c r="O4251">
        <v>-1.387913E-2</v>
      </c>
      <c r="P4251">
        <v>-0.99516839999999995</v>
      </c>
      <c r="Q4251">
        <v>-2.272942E-2</v>
      </c>
      <c r="R4251">
        <v>9.5515729999999993E-2</v>
      </c>
      <c r="S4251">
        <v>-3.0765380000000002</v>
      </c>
      <c r="T4251">
        <v>-0.1298126</v>
      </c>
      <c r="U4251">
        <v>-0.67977909999999997</v>
      </c>
      <c r="V4251">
        <v>0.1093126</v>
      </c>
      <c r="W4251">
        <v>-1.4815119999999999E-2</v>
      </c>
      <c r="X4251">
        <v>0.99389700000000003</v>
      </c>
      <c r="Y4251">
        <v>-0.202019</v>
      </c>
      <c r="Z4251">
        <v>-3.6312570000000001E-3</v>
      </c>
      <c r="AA4251">
        <v>0.97937490000000005</v>
      </c>
      <c r="AB4251">
        <v>22</v>
      </c>
      <c r="AC4251">
        <v>-26.082999999999998</v>
      </c>
      <c r="AD4251">
        <v>-1.1092638146130001</v>
      </c>
      <c r="AE4251">
        <v>-5.8061999999999898</v>
      </c>
      <c r="AF4251">
        <v>-5.4342551286944598</v>
      </c>
      <c r="AG4251">
        <v>-1.1092638146130001</v>
      </c>
      <c r="AH4251">
        <v>26.116070394734901</v>
      </c>
      <c r="AI4251">
        <v>92.381197356690194</v>
      </c>
      <c r="AJ4251">
        <v>101.75442586821799</v>
      </c>
      <c r="AK4251">
        <v>26.698515462042099</v>
      </c>
      <c r="AL4251">
        <v>90.848874912808697</v>
      </c>
      <c r="AM4251">
        <v>83.723616833597205</v>
      </c>
      <c r="AN4251">
        <v>0.999999989454187</v>
      </c>
    </row>
    <row r="4252" spans="1:40" x14ac:dyDescent="0.25">
      <c r="A4252" t="str">
        <f>"20190312161054408"</f>
        <v>20190312161054408</v>
      </c>
      <c r="B4252" t="str">
        <f>"1552378254400473"</f>
        <v>1552378254400473</v>
      </c>
      <c r="C4252" t="s">
        <v>40</v>
      </c>
      <c r="D4252">
        <v>5.6020580000000004</v>
      </c>
      <c r="E4252">
        <v>0.37822020000000001</v>
      </c>
      <c r="F4252" t="s">
        <v>41</v>
      </c>
      <c r="G4252">
        <v>-268.2697</v>
      </c>
      <c r="H4252" s="1">
        <v>-1.740104E-6</v>
      </c>
      <c r="I4252">
        <v>135.23689999999999</v>
      </c>
      <c r="J4252">
        <v>-242.1918</v>
      </c>
      <c r="K4252">
        <v>1.1092500000000001</v>
      </c>
      <c r="L4252">
        <v>141.04419999999999</v>
      </c>
      <c r="M4252">
        <v>-0.99987570000000003</v>
      </c>
      <c r="N4252">
        <v>0</v>
      </c>
      <c r="O4252">
        <v>-1.3598229999999999E-2</v>
      </c>
      <c r="P4252">
        <v>-0.99512319999999999</v>
      </c>
      <c r="Q4252">
        <v>-2.2642309999999999E-2</v>
      </c>
      <c r="R4252">
        <v>9.6007120000000001E-2</v>
      </c>
      <c r="S4252">
        <v>-3.076797</v>
      </c>
      <c r="T4252">
        <v>-0.1297468</v>
      </c>
      <c r="U4252">
        <v>-0.67958069999999904</v>
      </c>
      <c r="V4252">
        <v>0.1095241</v>
      </c>
      <c r="W4252">
        <v>-1.475667E-2</v>
      </c>
      <c r="X4252">
        <v>0.99387460000000005</v>
      </c>
      <c r="Y4252">
        <v>-0.20221629999999999</v>
      </c>
      <c r="Z4252">
        <v>-3.6449450000000001E-3</v>
      </c>
      <c r="AA4252">
        <v>0.97933409999999999</v>
      </c>
      <c r="AB4252">
        <v>22</v>
      </c>
      <c r="AC4252">
        <v>-26.0779</v>
      </c>
      <c r="AD4252">
        <v>-1.1092517401040001</v>
      </c>
      <c r="AE4252">
        <v>-5.8072999999999899</v>
      </c>
      <c r="AF4252">
        <v>-5.4427560534557999</v>
      </c>
      <c r="AG4252">
        <v>-1.1092517401040001</v>
      </c>
      <c r="AH4252">
        <v>26.109451890350101</v>
      </c>
      <c r="AI4252">
        <v>92.381594719058995</v>
      </c>
      <c r="AJ4252">
        <v>101.775201664254</v>
      </c>
      <c r="AK4252">
        <v>26.6937728861033</v>
      </c>
      <c r="AL4252">
        <v>90.845525595890194</v>
      </c>
      <c r="AM4252">
        <v>83.711429773612196</v>
      </c>
      <c r="AN4252">
        <v>1.0000000041577199</v>
      </c>
    </row>
    <row r="4253" spans="1:40" x14ac:dyDescent="0.25">
      <c r="A4253" t="str">
        <f>"20190312161054430"</f>
        <v>20190312161054430</v>
      </c>
      <c r="B4253" t="str">
        <f>"1552378254420969"</f>
        <v>1552378254420969</v>
      </c>
      <c r="C4253" t="s">
        <v>40</v>
      </c>
      <c r="D4253">
        <v>6.1150960000000003</v>
      </c>
      <c r="E4253">
        <v>0.3783552</v>
      </c>
      <c r="F4253" t="s">
        <v>41</v>
      </c>
      <c r="G4253">
        <v>-268.2679</v>
      </c>
      <c r="H4253" s="1">
        <v>-1.7262310000000001E-6</v>
      </c>
      <c r="I4253">
        <v>135.29140000000001</v>
      </c>
      <c r="J4253">
        <v>-242.41890000000001</v>
      </c>
      <c r="K4253">
        <v>1.1092329999999999</v>
      </c>
      <c r="L4253">
        <v>141.04140000000001</v>
      </c>
      <c r="M4253">
        <v>-0.99987979999999999</v>
      </c>
      <c r="N4253">
        <v>0</v>
      </c>
      <c r="O4253">
        <v>-1.330576E-2</v>
      </c>
      <c r="P4253">
        <v>-0.99507950000000001</v>
      </c>
      <c r="Q4253">
        <v>-2.2566559999999999E-2</v>
      </c>
      <c r="R4253">
        <v>9.6475179999999994E-2</v>
      </c>
      <c r="S4253">
        <v>-3.0772249999999999</v>
      </c>
      <c r="T4253">
        <v>-0.1309025</v>
      </c>
      <c r="U4253">
        <v>-0.6788788</v>
      </c>
      <c r="V4253">
        <v>0.1097004</v>
      </c>
      <c r="W4253">
        <v>-1.470839E-2</v>
      </c>
      <c r="X4253">
        <v>0.99385590000000001</v>
      </c>
      <c r="Y4253">
        <v>-0.20225799999999999</v>
      </c>
      <c r="Z4253">
        <v>-3.6901299999999998E-3</v>
      </c>
      <c r="AA4253">
        <v>0.97932529999999995</v>
      </c>
      <c r="AB4253">
        <v>22</v>
      </c>
      <c r="AC4253">
        <v>-25.848999999999901</v>
      </c>
      <c r="AD4253">
        <v>-1.1092347262309901</v>
      </c>
      <c r="AE4253">
        <v>-5.75</v>
      </c>
      <c r="AF4253">
        <v>-5.3960713788698502</v>
      </c>
      <c r="AG4253">
        <v>-1.1092347262309901</v>
      </c>
      <c r="AH4253">
        <v>25.877816230915201</v>
      </c>
      <c r="AI4253">
        <v>92.402821305236102</v>
      </c>
      <c r="AJ4253">
        <v>101.778600696428</v>
      </c>
      <c r="AK4253">
        <v>26.457690014148099</v>
      </c>
      <c r="AL4253">
        <v>90.842759031754596</v>
      </c>
      <c r="AM4253">
        <v>83.701270849673506</v>
      </c>
      <c r="AN4253">
        <v>1.0000000322306799</v>
      </c>
    </row>
    <row r="4254" spans="1:40" x14ac:dyDescent="0.25">
      <c r="A4254" t="str">
        <f>"20190312161054456"</f>
        <v>20190312161054456</v>
      </c>
      <c r="B4254" t="str">
        <f>"1552378254451225"</f>
        <v>1552378254451225</v>
      </c>
      <c r="C4254" t="s">
        <v>40</v>
      </c>
      <c r="D4254">
        <v>5.6980519999999997</v>
      </c>
      <c r="E4254">
        <v>0.44112240000000003</v>
      </c>
      <c r="F4254" t="s">
        <v>41</v>
      </c>
      <c r="G4254">
        <v>-268.53480000000002</v>
      </c>
      <c r="H4254" s="1">
        <v>-1.632185E-6</v>
      </c>
      <c r="I4254">
        <v>135.30340000000001</v>
      </c>
      <c r="J4254">
        <v>-242.66159999999999</v>
      </c>
      <c r="K4254">
        <v>1.1092219999999999</v>
      </c>
      <c r="L4254">
        <v>141.0386</v>
      </c>
      <c r="M4254">
        <v>-0.9998842</v>
      </c>
      <c r="N4254">
        <v>0</v>
      </c>
      <c r="O4254">
        <v>-1.2978119999999999E-2</v>
      </c>
      <c r="P4254">
        <v>-0.99508169999999996</v>
      </c>
      <c r="Q4254">
        <v>-2.200187E-2</v>
      </c>
      <c r="R4254">
        <v>9.6583160000000001E-2</v>
      </c>
      <c r="S4254">
        <v>-3.0774379999999999</v>
      </c>
      <c r="T4254">
        <v>-0.1307101</v>
      </c>
      <c r="U4254">
        <v>-0.67614750000000001</v>
      </c>
      <c r="V4254">
        <v>0.10948280000000001</v>
      </c>
      <c r="W4254">
        <v>-1.416914E-2</v>
      </c>
      <c r="X4254">
        <v>0.99388770000000004</v>
      </c>
      <c r="Y4254">
        <v>-0.2017362</v>
      </c>
      <c r="Z4254">
        <v>-3.6875969999999999E-3</v>
      </c>
      <c r="AA4254">
        <v>0.97943290000000005</v>
      </c>
      <c r="AB4254">
        <v>22</v>
      </c>
      <c r="AC4254">
        <v>-25.873200000000001</v>
      </c>
      <c r="AD4254">
        <v>-1.109223632185</v>
      </c>
      <c r="AE4254">
        <v>-5.7351999999999901</v>
      </c>
      <c r="AF4254">
        <v>-5.3894790939468296</v>
      </c>
      <c r="AG4254">
        <v>-1.109223632185</v>
      </c>
      <c r="AH4254">
        <v>25.900081266658901</v>
      </c>
      <c r="AI4254">
        <v>92.400941823820006</v>
      </c>
      <c r="AJ4254">
        <v>101.754780341735</v>
      </c>
      <c r="AK4254">
        <v>26.478124397128699</v>
      </c>
      <c r="AL4254">
        <v>90.811859084950001</v>
      </c>
      <c r="AM4254">
        <v>83.713864310132195</v>
      </c>
      <c r="AN4254">
        <v>1.0000000041177299</v>
      </c>
    </row>
    <row r="4255" spans="1:40" x14ac:dyDescent="0.25">
      <c r="A4255" t="str">
        <f>"20190312161054478"</f>
        <v>20190312161054478</v>
      </c>
      <c r="B4255" t="str">
        <f>"1552378254470745"</f>
        <v>1552378254470745</v>
      </c>
      <c r="C4255" t="s">
        <v>40</v>
      </c>
      <c r="D4255">
        <v>5.6068600000000002</v>
      </c>
      <c r="E4255">
        <v>0.45508369999999998</v>
      </c>
      <c r="F4255" t="s">
        <v>41</v>
      </c>
      <c r="G4255">
        <v>-275.90649999999999</v>
      </c>
      <c r="H4255" s="1">
        <v>-1.831848E-6</v>
      </c>
      <c r="I4255">
        <v>139.08949999999999</v>
      </c>
      <c r="J4255">
        <v>-242.88730000000001</v>
      </c>
      <c r="K4255">
        <v>1.1092120000000001</v>
      </c>
      <c r="L4255">
        <v>141.036</v>
      </c>
      <c r="M4255">
        <v>-0.99988860000000002</v>
      </c>
      <c r="N4255">
        <v>0</v>
      </c>
      <c r="O4255">
        <v>-1.265814E-2</v>
      </c>
      <c r="P4255">
        <v>-0.99509610000000004</v>
      </c>
      <c r="Q4255">
        <v>-2.2025650000000001E-2</v>
      </c>
      <c r="R4255">
        <v>9.6430680000000005E-2</v>
      </c>
      <c r="S4255">
        <v>-3.0297999999999998</v>
      </c>
      <c r="T4255">
        <v>-0.10109020000000001</v>
      </c>
      <c r="U4255">
        <v>-0.1776276</v>
      </c>
      <c r="V4255">
        <v>0.1090121</v>
      </c>
      <c r="W4255">
        <v>-1.42127E-2</v>
      </c>
      <c r="X4255">
        <v>0.99393880000000001</v>
      </c>
      <c r="Y4255">
        <v>-4.586639E-2</v>
      </c>
      <c r="Z4255">
        <v>-3.4247550000000002E-4</v>
      </c>
      <c r="AA4255">
        <v>0.99894749999999999</v>
      </c>
      <c r="AB4255">
        <v>22</v>
      </c>
      <c r="AC4255">
        <v>-33.019199999999898</v>
      </c>
      <c r="AD4255">
        <v>-1.109213831848</v>
      </c>
      <c r="AE4255">
        <v>-1.9465000000000101</v>
      </c>
      <c r="AF4255">
        <v>-1.5266524663444501</v>
      </c>
      <c r="AG4255">
        <v>-1.109213831848</v>
      </c>
      <c r="AH4255">
        <v>33.004078493054202</v>
      </c>
      <c r="AI4255">
        <v>91.922839724718997</v>
      </c>
      <c r="AJ4255">
        <v>92.648413200032806</v>
      </c>
      <c r="AK4255">
        <v>33.057982700906599</v>
      </c>
      <c r="AL4255">
        <v>90.814355153185204</v>
      </c>
      <c r="AM4255">
        <v>83.740994600272501</v>
      </c>
      <c r="AN4255">
        <v>0.99999998846656901</v>
      </c>
    </row>
    <row r="4256" spans="1:40" x14ac:dyDescent="0.25">
      <c r="A4256" t="str">
        <f>"20190312161054499"</f>
        <v>20190312161054499</v>
      </c>
      <c r="B4256" t="str">
        <f>"1552378254491240"</f>
        <v>1552378254491240</v>
      </c>
      <c r="C4256" t="s">
        <v>40</v>
      </c>
      <c r="D4256">
        <v>5.6786960000000004</v>
      </c>
      <c r="E4256">
        <v>0.46072639999999998</v>
      </c>
      <c r="F4256" t="s">
        <v>41</v>
      </c>
      <c r="G4256">
        <v>-276.7133</v>
      </c>
      <c r="H4256" s="1">
        <v>-1.5693660000000001E-6</v>
      </c>
      <c r="I4256">
        <v>140.2817</v>
      </c>
      <c r="J4256">
        <v>-243.10900000000001</v>
      </c>
      <c r="K4256">
        <v>1.109192</v>
      </c>
      <c r="L4256">
        <v>141.03360000000001</v>
      </c>
      <c r="M4256">
        <v>-0.99989280000000003</v>
      </c>
      <c r="N4256">
        <v>0</v>
      </c>
      <c r="O4256">
        <v>-1.232958E-2</v>
      </c>
      <c r="P4256">
        <v>-0.99511119999999997</v>
      </c>
      <c r="Q4256">
        <v>-2.1555169999999998E-2</v>
      </c>
      <c r="R4256">
        <v>9.6381049999999996E-2</v>
      </c>
      <c r="S4256">
        <v>-3.019104</v>
      </c>
      <c r="T4256">
        <v>-9.9001770000000003E-2</v>
      </c>
      <c r="U4256">
        <v>-6.7321779999999998E-2</v>
      </c>
      <c r="V4256">
        <v>0.1086361</v>
      </c>
      <c r="W4256">
        <v>-1.37584E-2</v>
      </c>
      <c r="X4256">
        <v>0.99398640000000005</v>
      </c>
      <c r="Y4256">
        <v>-9.9657259999999994E-3</v>
      </c>
      <c r="Z4256">
        <v>2.4080830000000001E-4</v>
      </c>
      <c r="AA4256">
        <v>0.99995029999999996</v>
      </c>
      <c r="AB4256">
        <v>22</v>
      </c>
      <c r="AC4256">
        <v>-33.604299999999903</v>
      </c>
      <c r="AD4256">
        <v>-1.109193569366</v>
      </c>
      <c r="AE4256">
        <v>-0.75190000000000601</v>
      </c>
      <c r="AF4256">
        <v>-0.337135892466985</v>
      </c>
      <c r="AG4256">
        <v>-1.109193569366</v>
      </c>
      <c r="AH4256">
        <v>33.574455530209299</v>
      </c>
      <c r="AI4256">
        <v>91.892087395441607</v>
      </c>
      <c r="AJ4256">
        <v>90.575312816403098</v>
      </c>
      <c r="AK4256">
        <v>33.594464352543497</v>
      </c>
      <c r="AL4256">
        <v>90.788323101609194</v>
      </c>
      <c r="AM4256">
        <v>83.762708790517394</v>
      </c>
      <c r="AN4256">
        <v>1.0000000295893601</v>
      </c>
    </row>
    <row r="4257" spans="1:40" x14ac:dyDescent="0.25">
      <c r="A4257" t="str">
        <f>"20190312161054520"</f>
        <v>20190312161054520</v>
      </c>
      <c r="B4257" t="str">
        <f>"1552378254510761"</f>
        <v>1552378254510761</v>
      </c>
      <c r="C4257" t="s">
        <v>40</v>
      </c>
      <c r="D4257">
        <v>5.6386989999999999</v>
      </c>
      <c r="E4257">
        <v>0.46369959999999999</v>
      </c>
      <c r="F4257" t="s">
        <v>41</v>
      </c>
      <c r="G4257">
        <v>-277.44049999999999</v>
      </c>
      <c r="H4257" s="1">
        <v>-1.3887900000000001E-6</v>
      </c>
      <c r="I4257">
        <v>140.77549999999999</v>
      </c>
      <c r="J4257">
        <v>-243.31890000000001</v>
      </c>
      <c r="K4257">
        <v>1.109183</v>
      </c>
      <c r="L4257">
        <v>141.03129999999999</v>
      </c>
      <c r="M4257">
        <v>-0.99989680000000003</v>
      </c>
      <c r="N4257">
        <v>0</v>
      </c>
      <c r="O4257">
        <v>-1.2007489999999999E-2</v>
      </c>
      <c r="P4257">
        <v>-0.99508010000000002</v>
      </c>
      <c r="Q4257">
        <v>-2.139775E-2</v>
      </c>
      <c r="R4257">
        <v>9.6737249999999997E-2</v>
      </c>
      <c r="S4257">
        <v>-3.0148160000000002</v>
      </c>
      <c r="T4257">
        <v>-9.7403760000000006E-2</v>
      </c>
      <c r="U4257">
        <v>-2.26593E-2</v>
      </c>
      <c r="V4257">
        <v>0.10867159999999999</v>
      </c>
      <c r="W4257">
        <v>-1.36139E-2</v>
      </c>
      <c r="X4257">
        <v>0.99398450000000005</v>
      </c>
      <c r="Y4257">
        <v>4.4836939999999999E-3</v>
      </c>
      <c r="Z4257">
        <v>4.6024690000000002E-4</v>
      </c>
      <c r="AA4257">
        <v>0.99998989999999999</v>
      </c>
      <c r="AB4257">
        <v>23</v>
      </c>
      <c r="AC4257">
        <v>-34.121599999999901</v>
      </c>
      <c r="AD4257">
        <v>-1.1091843887899999</v>
      </c>
      <c r="AE4257">
        <v>-0.25579999999999298</v>
      </c>
      <c r="AF4257">
        <v>0.153783465133328</v>
      </c>
      <c r="AG4257">
        <v>-1.1091843887899999</v>
      </c>
      <c r="AH4257">
        <v>34.086194936344</v>
      </c>
      <c r="AI4257">
        <v>91.863761006213394</v>
      </c>
      <c r="AJ4257">
        <v>89.741505798877398</v>
      </c>
      <c r="AK4257">
        <v>34.1045836303703</v>
      </c>
      <c r="AL4257">
        <v>90.780043093231399</v>
      </c>
      <c r="AM4257">
        <v>83.760674814772599</v>
      </c>
      <c r="AN4257">
        <v>1.0000000205800099</v>
      </c>
    </row>
    <row r="4258" spans="1:40" x14ac:dyDescent="0.25">
      <c r="A4258" t="str">
        <f>"20190312161054586"</f>
        <v>20190312161054586</v>
      </c>
      <c r="B4258" t="str">
        <f>"1552378254581032"</f>
        <v>1552378254581032</v>
      </c>
      <c r="C4258" t="s">
        <v>40</v>
      </c>
      <c r="D4258">
        <v>5.5823130000000001</v>
      </c>
      <c r="E4258">
        <v>0.4672635</v>
      </c>
      <c r="F4258" t="s">
        <v>41</v>
      </c>
      <c r="G4258">
        <v>-277.10809999999998</v>
      </c>
      <c r="H4258" s="1">
        <v>-1.605371E-6</v>
      </c>
      <c r="I4258">
        <v>141.05350000000001</v>
      </c>
      <c r="J4258">
        <v>-243.9957</v>
      </c>
      <c r="K4258">
        <v>1.1091719999999901</v>
      </c>
      <c r="L4258">
        <v>141.0247</v>
      </c>
      <c r="M4258">
        <v>-0.99990939999999995</v>
      </c>
      <c r="N4258">
        <v>0</v>
      </c>
      <c r="O4258">
        <v>-1.09303E-2</v>
      </c>
      <c r="P4258">
        <v>-0.99496779999999996</v>
      </c>
      <c r="Q4258">
        <v>-2.0388090000000001E-2</v>
      </c>
      <c r="R4258">
        <v>9.8100980000000004E-2</v>
      </c>
      <c r="S4258">
        <v>-3.0125120000000001</v>
      </c>
      <c r="T4258">
        <v>-9.8890660000000005E-2</v>
      </c>
      <c r="U4258">
        <v>1.9836430000000002E-3</v>
      </c>
      <c r="V4258">
        <v>0.1089633</v>
      </c>
      <c r="W4258">
        <v>-1.2646940000000001E-2</v>
      </c>
      <c r="X4258">
        <v>0.99396530000000005</v>
      </c>
      <c r="Y4258">
        <v>1.1576950000000001E-2</v>
      </c>
      <c r="Z4258">
        <v>5.4867960000000004E-4</v>
      </c>
      <c r="AA4258">
        <v>0.99993279999999995</v>
      </c>
      <c r="AB4258">
        <v>23</v>
      </c>
      <c r="AC4258">
        <v>-33.112399999999901</v>
      </c>
      <c r="AD4258">
        <v>-1.10917360537099</v>
      </c>
      <c r="AE4258">
        <v>2.8800000000018099E-2</v>
      </c>
      <c r="AF4258">
        <v>0.39029997353994</v>
      </c>
      <c r="AG4258">
        <v>-1.10917360537099</v>
      </c>
      <c r="AH4258">
        <v>33.072997022942999</v>
      </c>
      <c r="AI4258">
        <v>91.920682797574997</v>
      </c>
      <c r="AJ4258">
        <v>89.323874302238806</v>
      </c>
      <c r="AK4258">
        <v>33.0938926727545</v>
      </c>
      <c r="AL4258">
        <v>90.724635616861505</v>
      </c>
      <c r="AM4258">
        <v>83.7439397373021</v>
      </c>
      <c r="AN4258">
        <v>0.99999998172117099</v>
      </c>
    </row>
    <row r="4259" spans="1:40" x14ac:dyDescent="0.25">
      <c r="A4259" t="str">
        <f>"20190312161054611"</f>
        <v>20190312161054611</v>
      </c>
      <c r="B4259" t="str">
        <f>"1552378254601366"</f>
        <v>1552378254601366</v>
      </c>
      <c r="C4259" t="s">
        <v>40</v>
      </c>
      <c r="D4259">
        <v>5.5591039999999996</v>
      </c>
      <c r="E4259">
        <v>0.46806710000000001</v>
      </c>
      <c r="F4259" t="s">
        <v>41</v>
      </c>
      <c r="G4259">
        <v>-277.5532</v>
      </c>
      <c r="H4259" s="1">
        <v>-1.5087649999999999E-6</v>
      </c>
      <c r="I4259">
        <v>141.40809999999999</v>
      </c>
      <c r="J4259">
        <v>-244.244</v>
      </c>
      <c r="K4259">
        <v>1.1091690000000001</v>
      </c>
      <c r="L4259">
        <v>141.0224</v>
      </c>
      <c r="M4259">
        <v>-0.99991390000000002</v>
      </c>
      <c r="N4259">
        <v>0</v>
      </c>
      <c r="O4259">
        <v>-1.05296E-2</v>
      </c>
      <c r="P4259">
        <v>-0.99491050000000003</v>
      </c>
      <c r="Q4259">
        <v>-1.973246E-2</v>
      </c>
      <c r="R4259">
        <v>9.8811930000000006E-2</v>
      </c>
      <c r="S4259">
        <v>-3.0097499999999999</v>
      </c>
      <c r="T4259">
        <v>-9.9480990000000005E-2</v>
      </c>
      <c r="U4259">
        <v>3.4393310000000003E-2</v>
      </c>
      <c r="V4259">
        <v>0.1092756</v>
      </c>
      <c r="W4259">
        <v>-1.200499E-2</v>
      </c>
      <c r="X4259">
        <v>0.99393900000000002</v>
      </c>
      <c r="Y4259">
        <v>2.1937419999999999E-2</v>
      </c>
      <c r="Z4259">
        <v>7.1037539999999999E-4</v>
      </c>
      <c r="AA4259">
        <v>0.99975910000000001</v>
      </c>
      <c r="AB4259">
        <v>23</v>
      </c>
      <c r="AC4259">
        <v>-33.309199999999898</v>
      </c>
      <c r="AD4259">
        <v>-1.1091705087649999</v>
      </c>
      <c r="AE4259">
        <v>0.385699999999985</v>
      </c>
      <c r="AF4259">
        <v>0.73560636346624897</v>
      </c>
      <c r="AG4259">
        <v>-1.1091705087649999</v>
      </c>
      <c r="AH4259">
        <v>33.266409783135202</v>
      </c>
      <c r="AI4259">
        <v>91.909185307577403</v>
      </c>
      <c r="AJ4259">
        <v>88.733248559551299</v>
      </c>
      <c r="AK4259">
        <v>33.2930232300847</v>
      </c>
      <c r="AL4259">
        <v>90.687851778729396</v>
      </c>
      <c r="AM4259">
        <v>83.725987322724905</v>
      </c>
      <c r="AN4259">
        <v>1.00000000613063</v>
      </c>
    </row>
    <row r="4260" spans="1:40" x14ac:dyDescent="0.25">
      <c r="A4260" t="str">
        <f>"20190312161054631"</f>
        <v>20190312161054631</v>
      </c>
      <c r="B4260" t="str">
        <f>"1552378254620889"</f>
        <v>1552378254620889</v>
      </c>
      <c r="C4260" t="s">
        <v>40</v>
      </c>
      <c r="D4260">
        <v>5.605785</v>
      </c>
      <c r="E4260">
        <v>0.4684046</v>
      </c>
      <c r="F4260" t="s">
        <v>41</v>
      </c>
      <c r="G4260">
        <v>-277.22820000000002</v>
      </c>
      <c r="H4260" s="1">
        <v>-1.6706280000000001E-6</v>
      </c>
      <c r="I4260">
        <v>141.4924</v>
      </c>
      <c r="J4260">
        <v>-244.4615</v>
      </c>
      <c r="K4260">
        <v>1.1091660000000001</v>
      </c>
      <c r="L4260">
        <v>141.0205</v>
      </c>
      <c r="M4260">
        <v>-0.99991759999999996</v>
      </c>
      <c r="N4260">
        <v>0</v>
      </c>
      <c r="O4260">
        <v>-1.017874E-2</v>
      </c>
      <c r="P4260">
        <v>-0.99487000000000003</v>
      </c>
      <c r="Q4260">
        <v>-1.9357510000000001E-2</v>
      </c>
      <c r="R4260">
        <v>9.9292400000000003E-2</v>
      </c>
      <c r="S4260">
        <v>-3.009064</v>
      </c>
      <c r="T4260">
        <v>-0.1011869</v>
      </c>
      <c r="U4260">
        <v>4.2877199999999997E-2</v>
      </c>
      <c r="V4260">
        <v>0.109407199999999</v>
      </c>
      <c r="W4260">
        <v>-1.1639419999999999E-2</v>
      </c>
      <c r="X4260">
        <v>0.99392879999999995</v>
      </c>
      <c r="Y4260">
        <v>2.4405630000000001E-2</v>
      </c>
      <c r="Z4260">
        <v>7.5239399999999998E-4</v>
      </c>
      <c r="AA4260">
        <v>0.99970190000000003</v>
      </c>
      <c r="AB4260">
        <v>23</v>
      </c>
      <c r="AC4260">
        <v>-32.7667</v>
      </c>
      <c r="AD4260">
        <v>-1.109167670628</v>
      </c>
      <c r="AE4260">
        <v>0.47190000000000498</v>
      </c>
      <c r="AF4260">
        <v>0.80448784201503598</v>
      </c>
      <c r="AG4260">
        <v>-1.109167670628</v>
      </c>
      <c r="AH4260">
        <v>32.722711282999398</v>
      </c>
      <c r="AI4260">
        <v>91.940766124212601</v>
      </c>
      <c r="AJ4260">
        <v>88.591666983582897</v>
      </c>
      <c r="AK4260">
        <v>32.751386036625199</v>
      </c>
      <c r="AL4260">
        <v>90.666904743856804</v>
      </c>
      <c r="AM4260">
        <v>83.718427979079195</v>
      </c>
      <c r="AN4260">
        <v>0.99999993548960597</v>
      </c>
    </row>
    <row r="4261" spans="1:40" x14ac:dyDescent="0.25">
      <c r="A4261" t="str">
        <f>"20190312161054656"</f>
        <v>20190312161054656</v>
      </c>
      <c r="B4261" t="str">
        <f>"1552378254651142"</f>
        <v>1552378254651142</v>
      </c>
      <c r="C4261" t="s">
        <v>40</v>
      </c>
      <c r="D4261">
        <v>5.6970700000000001</v>
      </c>
      <c r="E4261">
        <v>0.46895779999999898</v>
      </c>
      <c r="F4261" t="s">
        <v>41</v>
      </c>
      <c r="G4261">
        <v>-276.90379999999999</v>
      </c>
      <c r="H4261" s="1">
        <v>-1.818952E-6</v>
      </c>
      <c r="I4261">
        <v>141.52690000000001</v>
      </c>
      <c r="J4261">
        <v>-244.7062</v>
      </c>
      <c r="K4261">
        <v>1.109162</v>
      </c>
      <c r="L4261">
        <v>141.01849999999999</v>
      </c>
      <c r="M4261">
        <v>-0.99992170000000002</v>
      </c>
      <c r="N4261">
        <v>0</v>
      </c>
      <c r="O4261">
        <v>-9.7861530000000006E-3</v>
      </c>
      <c r="P4261">
        <v>-0.99481759999999997</v>
      </c>
      <c r="Q4261">
        <v>-1.927657E-2</v>
      </c>
      <c r="R4261">
        <v>9.9833530000000004E-2</v>
      </c>
      <c r="S4261">
        <v>-3.0087739999999998</v>
      </c>
      <c r="T4261">
        <v>-0.102866899999999</v>
      </c>
      <c r="U4261">
        <v>4.6966550000000003E-2</v>
      </c>
      <c r="V4261">
        <v>0.10955769999999999</v>
      </c>
      <c r="W4261">
        <v>-1.1568230000000001E-2</v>
      </c>
      <c r="X4261">
        <v>0.99391309999999999</v>
      </c>
      <c r="Y4261">
        <v>2.5371930000000001E-2</v>
      </c>
      <c r="Z4261">
        <v>7.6804009999999895E-4</v>
      </c>
      <c r="AA4261">
        <v>0.99967779999999995</v>
      </c>
      <c r="AB4261">
        <v>23</v>
      </c>
      <c r="AC4261">
        <v>-32.197599999999902</v>
      </c>
      <c r="AD4261">
        <v>-1.1091638189519999</v>
      </c>
      <c r="AE4261">
        <v>0.50840000000002294</v>
      </c>
      <c r="AF4261">
        <v>0.82250005122939995</v>
      </c>
      <c r="AG4261">
        <v>-1.1091638189519999</v>
      </c>
      <c r="AH4261">
        <v>32.152935994257298</v>
      </c>
      <c r="AI4261">
        <v>91.975074901643794</v>
      </c>
      <c r="AJ4261">
        <v>88.534643734434496</v>
      </c>
      <c r="AK4261">
        <v>32.182573603774301</v>
      </c>
      <c r="AL4261">
        <v>90.662825551607796</v>
      </c>
      <c r="AM4261">
        <v>83.709757731550496</v>
      </c>
      <c r="AN4261">
        <v>0.99999998196311601</v>
      </c>
    </row>
    <row r="4262" spans="1:40" x14ac:dyDescent="0.25">
      <c r="A4262" t="str">
        <f>"20190312161054699"</f>
        <v>20190312161054699</v>
      </c>
      <c r="B4262" t="str">
        <f>"1552378254691160"</f>
        <v>1552378254691160</v>
      </c>
      <c r="C4262" t="s">
        <v>40</v>
      </c>
      <c r="D4262">
        <v>5.5595270000000001</v>
      </c>
      <c r="E4262">
        <v>0.46935929999999998</v>
      </c>
      <c r="F4262" t="s">
        <v>41</v>
      </c>
      <c r="G4262">
        <v>-277.43900000000002</v>
      </c>
      <c r="H4262" s="1">
        <v>-1.607749E-6</v>
      </c>
      <c r="I4262">
        <v>141.5959</v>
      </c>
      <c r="J4262">
        <v>-245.16630000000001</v>
      </c>
      <c r="K4262">
        <v>1.1091420000000001</v>
      </c>
      <c r="L4262">
        <v>141.01490000000001</v>
      </c>
      <c r="M4262">
        <v>-0.9999287</v>
      </c>
      <c r="N4262">
        <v>0</v>
      </c>
      <c r="O4262">
        <v>-9.0535319999999996E-3</v>
      </c>
      <c r="P4262">
        <v>-0.99455389999999999</v>
      </c>
      <c r="Q4262">
        <v>-1.9961280000000001E-2</v>
      </c>
      <c r="R4262">
        <v>0.102295</v>
      </c>
      <c r="S4262">
        <v>-3.0083160000000002</v>
      </c>
      <c r="T4262">
        <v>-0.10193820000000001</v>
      </c>
      <c r="U4262">
        <v>5.3070069999999997E-2</v>
      </c>
      <c r="V4262">
        <v>0.111288</v>
      </c>
      <c r="W4262">
        <v>-1.2279440000000001E-2</v>
      </c>
      <c r="X4262">
        <v>0.99371229999999999</v>
      </c>
      <c r="Y4262">
        <v>2.666955E-2</v>
      </c>
      <c r="Z4262">
        <v>7.5837429999999905E-4</v>
      </c>
      <c r="AA4262">
        <v>0.99964399999999998</v>
      </c>
      <c r="AB4262">
        <v>23</v>
      </c>
      <c r="AC4262">
        <v>-32.2727</v>
      </c>
      <c r="AD4262">
        <v>-1.109143607749</v>
      </c>
      <c r="AE4262">
        <v>0.58099999999998797</v>
      </c>
      <c r="AF4262">
        <v>0.87213717582522998</v>
      </c>
      <c r="AG4262">
        <v>-1.109143607749</v>
      </c>
      <c r="AH4262">
        <v>32.228063156790299</v>
      </c>
      <c r="AI4262">
        <v>91.970361868255097</v>
      </c>
      <c r="AJ4262">
        <v>88.449873128253302</v>
      </c>
      <c r="AK4262">
        <v>32.258934849652597</v>
      </c>
      <c r="AL4262">
        <v>90.703577790537693</v>
      </c>
      <c r="AM4262">
        <v>83.609947573484405</v>
      </c>
      <c r="AN4262">
        <v>0.999999969381001</v>
      </c>
    </row>
    <row r="4263" spans="1:40" x14ac:dyDescent="0.25">
      <c r="A4263" t="str">
        <f>"20190312161054722"</f>
        <v>20190312161054722</v>
      </c>
      <c r="B4263" t="str">
        <f>"1552378254711654"</f>
        <v>1552378254711654</v>
      </c>
      <c r="C4263" t="s">
        <v>40</v>
      </c>
      <c r="D4263">
        <v>5.6349030000000004</v>
      </c>
      <c r="E4263">
        <v>0.46968399999999999</v>
      </c>
      <c r="F4263" t="s">
        <v>41</v>
      </c>
      <c r="G4263">
        <v>-276.72620000000001</v>
      </c>
      <c r="H4263" s="1">
        <v>-1.9368299999999998E-6</v>
      </c>
      <c r="I4263">
        <v>141.68340000000001</v>
      </c>
      <c r="J4263">
        <v>-245.39689999999999</v>
      </c>
      <c r="K4263">
        <v>1.1091340000000001</v>
      </c>
      <c r="L4263">
        <v>141.01320000000001</v>
      </c>
      <c r="M4263">
        <v>-0.99993209999999999</v>
      </c>
      <c r="N4263">
        <v>0</v>
      </c>
      <c r="O4263">
        <v>-8.6890649999999993E-3</v>
      </c>
      <c r="P4263">
        <v>-0.99451049999999996</v>
      </c>
      <c r="Q4263">
        <v>-2.007664E-2</v>
      </c>
      <c r="R4263">
        <v>0.1026948</v>
      </c>
      <c r="S4263">
        <v>-3.0077669999999999</v>
      </c>
      <c r="T4263">
        <v>-0.1057056</v>
      </c>
      <c r="U4263">
        <v>6.3720700000000005E-2</v>
      </c>
      <c r="V4263">
        <v>0.1113252</v>
      </c>
      <c r="W4263">
        <v>-1.2406779999999999E-2</v>
      </c>
      <c r="X4263">
        <v>0.9937066</v>
      </c>
      <c r="Y4263">
        <v>2.9843430000000001E-2</v>
      </c>
      <c r="Z4263">
        <v>8.2944679999999904E-4</v>
      </c>
      <c r="AA4263">
        <v>0.99955419999999995</v>
      </c>
      <c r="AB4263">
        <v>23</v>
      </c>
      <c r="AC4263">
        <v>-31.3293</v>
      </c>
      <c r="AD4263">
        <v>-1.10913593683</v>
      </c>
      <c r="AE4263">
        <v>0.67019999999999402</v>
      </c>
      <c r="AF4263">
        <v>0.941226094634243</v>
      </c>
      <c r="AG4263">
        <v>-1.10913593683</v>
      </c>
      <c r="AH4263">
        <v>31.283103276254401</v>
      </c>
      <c r="AI4263">
        <v>92.029641738810298</v>
      </c>
      <c r="AJ4263">
        <v>88.276640961806606</v>
      </c>
      <c r="AK4263">
        <v>31.316906610972701</v>
      </c>
      <c r="AL4263">
        <v>90.710874356887999</v>
      </c>
      <c r="AM4263">
        <v>83.607792898705597</v>
      </c>
      <c r="AN4263">
        <v>1.00000001761428</v>
      </c>
    </row>
    <row r="4264" spans="1:40" x14ac:dyDescent="0.25">
      <c r="A4264" t="str">
        <f>"20190312161054745"</f>
        <v>20190312161054745</v>
      </c>
      <c r="B4264" t="str">
        <f>"1552378254740934"</f>
        <v>1552378254740934</v>
      </c>
      <c r="C4264" t="s">
        <v>40</v>
      </c>
      <c r="D4264">
        <v>5.5747390000000001</v>
      </c>
      <c r="E4264">
        <v>0.5165575</v>
      </c>
      <c r="F4264" t="s">
        <v>41</v>
      </c>
      <c r="G4264">
        <v>-276.45249999999999</v>
      </c>
      <c r="H4264" s="1">
        <v>-2.0610670000000002E-6</v>
      </c>
      <c r="I4264">
        <v>141.70910000000001</v>
      </c>
      <c r="J4264">
        <v>-245.6379</v>
      </c>
      <c r="K4264">
        <v>1.1091279999999999</v>
      </c>
      <c r="L4264">
        <v>141.01150000000001</v>
      </c>
      <c r="M4264">
        <v>-0.99993540000000003</v>
      </c>
      <c r="N4264">
        <v>0</v>
      </c>
      <c r="O4264">
        <v>-8.3089730000000007E-3</v>
      </c>
      <c r="P4264">
        <v>-0.9944847</v>
      </c>
      <c r="Q4264">
        <v>-2.0461920000000001E-2</v>
      </c>
      <c r="R4264">
        <v>0.10286919999999999</v>
      </c>
      <c r="S4264">
        <v>-3.007431</v>
      </c>
      <c r="T4264">
        <v>-0.1074094</v>
      </c>
      <c r="U4264">
        <v>6.7398070000000004E-2</v>
      </c>
      <c r="V4264">
        <v>0.1111216</v>
      </c>
      <c r="W4264">
        <v>-1.2805520000000001E-2</v>
      </c>
      <c r="X4264">
        <v>0.9937243</v>
      </c>
      <c r="Y4264">
        <v>3.0686410000000001E-2</v>
      </c>
      <c r="Z4264">
        <v>8.4436739999999998E-4</v>
      </c>
      <c r="AA4264">
        <v>0.99952870000000005</v>
      </c>
      <c r="AB4264">
        <v>23</v>
      </c>
      <c r="AC4264">
        <v>-30.814599999999899</v>
      </c>
      <c r="AD4264">
        <v>-1.1091300610670001</v>
      </c>
      <c r="AE4264">
        <v>0.697599999999994</v>
      </c>
      <c r="AF4264">
        <v>0.95238807047186802</v>
      </c>
      <c r="AG4264">
        <v>-1.1091300610670001</v>
      </c>
      <c r="AH4264">
        <v>30.7678989764511</v>
      </c>
      <c r="AI4264">
        <v>92.063533269403905</v>
      </c>
      <c r="AJ4264">
        <v>88.227035295737906</v>
      </c>
      <c r="AK4264">
        <v>30.802610602905698</v>
      </c>
      <c r="AL4264">
        <v>90.733722313097502</v>
      </c>
      <c r="AM4264">
        <v>83.619499663934107</v>
      </c>
      <c r="AN4264">
        <v>0.99999998786975997</v>
      </c>
    </row>
    <row r="4265" spans="1:40" x14ac:dyDescent="0.25">
      <c r="A4265" t="str">
        <f>"20190312161054767"</f>
        <v>20190312161054767</v>
      </c>
      <c r="B4265" t="str">
        <f>"1552378254761430"</f>
        <v>1552378254761430</v>
      </c>
      <c r="C4265" t="s">
        <v>40</v>
      </c>
      <c r="D4265">
        <v>5.5347369999999998</v>
      </c>
      <c r="E4265">
        <v>0.5295571</v>
      </c>
      <c r="F4265" t="s">
        <v>87</v>
      </c>
      <c r="G4265">
        <v>-281.01350000000002</v>
      </c>
      <c r="H4265" s="1">
        <v>-6.2143449999999997E-6</v>
      </c>
      <c r="I4265">
        <v>146.2525</v>
      </c>
      <c r="J4265">
        <v>-245.87090000000001</v>
      </c>
      <c r="K4265">
        <v>1.109124</v>
      </c>
      <c r="L4265">
        <v>141.01</v>
      </c>
      <c r="M4265">
        <v>-0.99993849999999995</v>
      </c>
      <c r="N4265">
        <v>0</v>
      </c>
      <c r="O4265">
        <v>-7.9413920000000002E-3</v>
      </c>
      <c r="P4265">
        <v>-0.99444779999999999</v>
      </c>
      <c r="Q4265">
        <v>-2.0681600000000001E-2</v>
      </c>
      <c r="R4265">
        <v>0.1031797</v>
      </c>
      <c r="S4265">
        <v>-2.9692229999999999</v>
      </c>
      <c r="T4265">
        <v>-9.3094469999999999E-2</v>
      </c>
      <c r="U4265">
        <v>0.4398956</v>
      </c>
      <c r="V4265">
        <v>0.11106630000000001</v>
      </c>
      <c r="W4265">
        <v>-1.3040690000000001E-2</v>
      </c>
      <c r="X4265">
        <v>0.99372740000000004</v>
      </c>
      <c r="Y4265">
        <v>0.1543254</v>
      </c>
      <c r="Z4265">
        <v>2.6531979999999998E-3</v>
      </c>
      <c r="AA4265">
        <v>0.98801649999999996</v>
      </c>
      <c r="AB4265">
        <v>23</v>
      </c>
      <c r="AC4265">
        <v>-35.142600000000002</v>
      </c>
      <c r="AD4265">
        <v>-1.1091302143449999</v>
      </c>
      <c r="AE4265">
        <v>5.2424999999999997</v>
      </c>
      <c r="AF4265">
        <v>5.5160493490508404</v>
      </c>
      <c r="AG4265">
        <v>-1.1091302143449999</v>
      </c>
      <c r="AH4265">
        <v>35.065689673810603</v>
      </c>
      <c r="AI4265">
        <v>91.7896724644161</v>
      </c>
      <c r="AJ4265">
        <v>81.060278473700706</v>
      </c>
      <c r="AK4265">
        <v>35.514216344353201</v>
      </c>
      <c r="AL4265">
        <v>90.747197704843899</v>
      </c>
      <c r="AM4265">
        <v>83.622668502748894</v>
      </c>
      <c r="AN4265">
        <v>0.99999996405106195</v>
      </c>
    </row>
    <row r="4266" spans="1:40" x14ac:dyDescent="0.25">
      <c r="A4266" t="str">
        <f>"20190312161054788"</f>
        <v>20190312161054788</v>
      </c>
      <c r="B4266" t="str">
        <f>"1552378254780950"</f>
        <v>1552378254780950</v>
      </c>
      <c r="C4266" t="s">
        <v>40</v>
      </c>
      <c r="D4266">
        <v>5.539777</v>
      </c>
      <c r="E4266">
        <v>0.53415809999999997</v>
      </c>
      <c r="F4266" t="s">
        <v>87</v>
      </c>
      <c r="G4266">
        <v>-289.07799999999997</v>
      </c>
      <c r="H4266" s="1">
        <v>-1.1025100000000001E-5</v>
      </c>
      <c r="I4266">
        <v>148.95339999999999</v>
      </c>
      <c r="J4266">
        <v>-246.09229999999999</v>
      </c>
      <c r="K4266">
        <v>1.109124</v>
      </c>
      <c r="L4266">
        <v>141.0086</v>
      </c>
      <c r="M4266">
        <v>-0.99994119999999997</v>
      </c>
      <c r="N4266">
        <v>0</v>
      </c>
      <c r="O4266">
        <v>-7.592293E-3</v>
      </c>
      <c r="P4266">
        <v>-0.99439069999999996</v>
      </c>
      <c r="Q4266">
        <v>-2.0787770000000001E-2</v>
      </c>
      <c r="R4266">
        <v>0.1037057</v>
      </c>
      <c r="S4266">
        <v>-2.9587249999999998</v>
      </c>
      <c r="T4266">
        <v>-7.5951099999999994E-2</v>
      </c>
      <c r="U4266">
        <v>0.54394529999999996</v>
      </c>
      <c r="V4266">
        <v>0.1112445</v>
      </c>
      <c r="W4266">
        <v>-1.3162099999999999E-2</v>
      </c>
      <c r="X4266">
        <v>0.99370590000000003</v>
      </c>
      <c r="Y4266">
        <v>0.18821399999999999</v>
      </c>
      <c r="Z4266">
        <v>2.5885700000000001E-3</v>
      </c>
      <c r="AA4266">
        <v>0.98212460000000001</v>
      </c>
      <c r="AB4266">
        <v>23</v>
      </c>
      <c r="AC4266">
        <v>-42.985699999999902</v>
      </c>
      <c r="AD4266">
        <v>-1.1091350251000001</v>
      </c>
      <c r="AE4266">
        <v>7.9447999999999803</v>
      </c>
      <c r="AF4266">
        <v>8.2656196282757097</v>
      </c>
      <c r="AG4266">
        <v>-1.1091350251000001</v>
      </c>
      <c r="AH4266">
        <v>42.896524294142402</v>
      </c>
      <c r="AI4266">
        <v>91.454371607370703</v>
      </c>
      <c r="AJ4266">
        <v>79.093494792117497</v>
      </c>
      <c r="AK4266">
        <v>43.699684722674903</v>
      </c>
      <c r="AL4266">
        <v>90.754154557416996</v>
      </c>
      <c r="AM4266">
        <v>83.612383854901395</v>
      </c>
      <c r="AN4266">
        <v>0.999999997675735</v>
      </c>
    </row>
    <row r="4267" spans="1:40" x14ac:dyDescent="0.25">
      <c r="A4267" t="str">
        <f>"20190312161054811"</f>
        <v>20190312161054811</v>
      </c>
      <c r="B4267" t="str">
        <f>"1552378254800471"</f>
        <v>1552378254800471</v>
      </c>
      <c r="C4267" t="s">
        <v>40</v>
      </c>
      <c r="D4267">
        <v>5.487908</v>
      </c>
      <c r="E4267">
        <v>0.53662279999999996</v>
      </c>
      <c r="F4267" t="s">
        <v>87</v>
      </c>
      <c r="G4267">
        <v>-286.74160000000001</v>
      </c>
      <c r="H4267" s="1">
        <v>-9.8206730000000002E-6</v>
      </c>
      <c r="I4267">
        <v>149.01679999999999</v>
      </c>
      <c r="J4267">
        <v>-246.3312</v>
      </c>
      <c r="K4267">
        <v>1.1091139999999999</v>
      </c>
      <c r="L4267">
        <v>141.00720000000001</v>
      </c>
      <c r="M4267">
        <v>-0.9999441</v>
      </c>
      <c r="N4267">
        <v>0</v>
      </c>
      <c r="O4267">
        <v>-7.215656E-3</v>
      </c>
      <c r="P4267">
        <v>-0.99442600000000003</v>
      </c>
      <c r="Q4267">
        <v>-2.0544529999999998E-2</v>
      </c>
      <c r="R4267">
        <v>0.1034167</v>
      </c>
      <c r="S4267">
        <v>-2.9545140000000001</v>
      </c>
      <c r="T4267">
        <v>-8.0615279999999997E-2</v>
      </c>
      <c r="U4267">
        <v>0.58206179999999996</v>
      </c>
      <c r="V4267">
        <v>0.1105819</v>
      </c>
      <c r="W4267">
        <v>-1.2932229999999999E-2</v>
      </c>
      <c r="X4267">
        <v>0.99378290000000002</v>
      </c>
      <c r="Y4267">
        <v>0.20029269999999999</v>
      </c>
      <c r="Z4267">
        <v>2.901051E-3</v>
      </c>
      <c r="AA4267">
        <v>0.97973180000000004</v>
      </c>
      <c r="AB4267">
        <v>24</v>
      </c>
      <c r="AC4267">
        <v>-40.410400000000003</v>
      </c>
      <c r="AD4267">
        <v>-1.1091238206730001</v>
      </c>
      <c r="AE4267">
        <v>8.0095999999999705</v>
      </c>
      <c r="AF4267">
        <v>8.2949752429828205</v>
      </c>
      <c r="AG4267">
        <v>-1.1091238206730001</v>
      </c>
      <c r="AH4267">
        <v>40.322324674224397</v>
      </c>
      <c r="AI4267">
        <v>91.5433046034277</v>
      </c>
      <c r="AJ4267">
        <v>78.3754720069998</v>
      </c>
      <c r="AK4267">
        <v>41.181629849543903</v>
      </c>
      <c r="AL4267">
        <v>90.740982834564903</v>
      </c>
      <c r="AM4267">
        <v>83.650606382754006</v>
      </c>
      <c r="AN4267">
        <v>1.0000000257563899</v>
      </c>
    </row>
    <row r="4268" spans="1:40" x14ac:dyDescent="0.25">
      <c r="A4268" t="str">
        <f>"20190312161054833"</f>
        <v>20190312161054833</v>
      </c>
      <c r="B4268" t="str">
        <f>"1552378254820966"</f>
        <v>1552378254820966</v>
      </c>
      <c r="C4268" t="s">
        <v>40</v>
      </c>
      <c r="D4268">
        <v>5.4900640000000003</v>
      </c>
      <c r="E4268">
        <v>0.53777830000000004</v>
      </c>
      <c r="F4268" t="s">
        <v>87</v>
      </c>
      <c r="G4268">
        <v>-293.1123</v>
      </c>
      <c r="H4268" s="1">
        <v>-1.155528E-5</v>
      </c>
      <c r="I4268">
        <v>150.52260000000001</v>
      </c>
      <c r="J4268">
        <v>-246.56989999999999</v>
      </c>
      <c r="K4268">
        <v>1.109105</v>
      </c>
      <c r="L4268">
        <v>141.006</v>
      </c>
      <c r="M4268">
        <v>-0.99994700000000003</v>
      </c>
      <c r="N4268">
        <v>0</v>
      </c>
      <c r="O4268">
        <v>-6.8396189999999999E-3</v>
      </c>
      <c r="P4268">
        <v>-0.99443190000000004</v>
      </c>
      <c r="Q4268">
        <v>-2.0356559999999999E-2</v>
      </c>
      <c r="R4268">
        <v>0.10339909999999999</v>
      </c>
      <c r="S4268">
        <v>-2.9529269999999999</v>
      </c>
      <c r="T4268">
        <v>-7.0010420000000004E-2</v>
      </c>
      <c r="U4268">
        <v>0.60063169999999899</v>
      </c>
      <c r="V4268">
        <v>0.1101906</v>
      </c>
      <c r="W4268">
        <v>-1.275687E-2</v>
      </c>
      <c r="X4268">
        <v>0.99382859999999995</v>
      </c>
      <c r="Y4268">
        <v>0.20596130000000001</v>
      </c>
      <c r="Z4268">
        <v>2.5770020000000001E-3</v>
      </c>
      <c r="AA4268">
        <v>0.9785568</v>
      </c>
      <c r="AB4268">
        <v>24</v>
      </c>
      <c r="AC4268">
        <v>-46.542400000000001</v>
      </c>
      <c r="AD4268">
        <v>-1.10911655528</v>
      </c>
      <c r="AE4268">
        <v>9.5166000000000093</v>
      </c>
      <c r="AF4268">
        <v>9.8293612035779194</v>
      </c>
      <c r="AG4268">
        <v>-1.10911655528</v>
      </c>
      <c r="AH4268">
        <v>46.450899482523397</v>
      </c>
      <c r="AI4268">
        <v>91.338180681024198</v>
      </c>
      <c r="AJ4268">
        <v>78.052033736971296</v>
      </c>
      <c r="AK4268">
        <v>47.4924472304712</v>
      </c>
      <c r="AL4268">
        <v>90.730934639655501</v>
      </c>
      <c r="AM4268">
        <v>83.673180108972602</v>
      </c>
      <c r="AN4268">
        <v>0.99999999611925805</v>
      </c>
    </row>
    <row r="4269" spans="1:40" x14ac:dyDescent="0.25">
      <c r="A4269" t="str">
        <f>"20190312161054857"</f>
        <v>20190312161054857</v>
      </c>
      <c r="B4269" t="str">
        <f>"1552378254851222"</f>
        <v>1552378254851222</v>
      </c>
      <c r="C4269" t="s">
        <v>40</v>
      </c>
      <c r="D4269">
        <v>5.4731189999999996</v>
      </c>
      <c r="E4269">
        <v>0.53676429999999997</v>
      </c>
      <c r="F4269" t="s">
        <v>87</v>
      </c>
      <c r="G4269">
        <v>-294.69409999999999</v>
      </c>
      <c r="H4269" s="1">
        <v>-1.149305E-5</v>
      </c>
      <c r="I4269">
        <v>150.9478</v>
      </c>
      <c r="J4269">
        <v>-246.81549999999999</v>
      </c>
      <c r="K4269">
        <v>1.1091059999999999</v>
      </c>
      <c r="L4269">
        <v>141.00470000000001</v>
      </c>
      <c r="M4269">
        <v>-0.99994959999999999</v>
      </c>
      <c r="N4269">
        <v>0</v>
      </c>
      <c r="O4269">
        <v>-6.452368E-3</v>
      </c>
      <c r="P4269">
        <v>-0.99434789999999995</v>
      </c>
      <c r="Q4269">
        <v>-2.10371E-2</v>
      </c>
      <c r="R4269">
        <v>0.10406749999999999</v>
      </c>
      <c r="S4269">
        <v>-2.952026</v>
      </c>
      <c r="T4269">
        <v>-6.8035239999999997E-2</v>
      </c>
      <c r="U4269">
        <v>0.60984799999999995</v>
      </c>
      <c r="V4269">
        <v>0.11047319999999999</v>
      </c>
      <c r="W4269">
        <v>-1.345317E-2</v>
      </c>
      <c r="X4269">
        <v>0.99378809999999995</v>
      </c>
      <c r="Y4269">
        <v>0.20857429999999999</v>
      </c>
      <c r="Z4269">
        <v>2.5252479999999999E-3</v>
      </c>
      <c r="AA4269">
        <v>0.97800330000000002</v>
      </c>
      <c r="AB4269">
        <v>24</v>
      </c>
      <c r="AC4269">
        <v>-47.878599999999999</v>
      </c>
      <c r="AD4269">
        <v>-1.1091174930499901</v>
      </c>
      <c r="AE4269">
        <v>9.9430999999999798</v>
      </c>
      <c r="AF4269">
        <v>10.2465612516168</v>
      </c>
      <c r="AG4269">
        <v>-1.1091174930499901</v>
      </c>
      <c r="AH4269">
        <v>47.7888603343931</v>
      </c>
      <c r="AI4269">
        <v>91.299986199880607</v>
      </c>
      <c r="AJ4269">
        <v>77.898260787745699</v>
      </c>
      <c r="AK4269">
        <v>48.887598950619903</v>
      </c>
      <c r="AL4269">
        <v>90.770833075304907</v>
      </c>
      <c r="AM4269">
        <v>83.656829743237694</v>
      </c>
      <c r="AN4269">
        <v>1.00000005170144</v>
      </c>
    </row>
    <row r="4270" spans="1:40" x14ac:dyDescent="0.25">
      <c r="A4270" t="str">
        <f>"20190312161054879"</f>
        <v>20190312161054879</v>
      </c>
      <c r="B4270" t="str">
        <f>"1552378254870742"</f>
        <v>1552378254870742</v>
      </c>
      <c r="C4270" t="s">
        <v>40</v>
      </c>
      <c r="D4270">
        <v>5.4593999999999996</v>
      </c>
      <c r="E4270">
        <v>0.53645589999999999</v>
      </c>
      <c r="F4270" t="s">
        <v>43</v>
      </c>
      <c r="G4270">
        <v>-326.55130000000003</v>
      </c>
      <c r="H4270">
        <v>-0.05</v>
      </c>
      <c r="I4270">
        <v>157.31</v>
      </c>
      <c r="J4270">
        <v>-247.06030000000001</v>
      </c>
      <c r="K4270">
        <v>1.109102</v>
      </c>
      <c r="L4270">
        <v>141.00360000000001</v>
      </c>
      <c r="M4270">
        <v>-0.99995210000000001</v>
      </c>
      <c r="N4270">
        <v>0</v>
      </c>
      <c r="O4270">
        <v>-6.0666629999999999E-3</v>
      </c>
      <c r="P4270">
        <v>-0.99425969999999997</v>
      </c>
      <c r="Q4270">
        <v>-2.1577329999999999E-2</v>
      </c>
      <c r="R4270">
        <v>0.10479670000000001</v>
      </c>
      <c r="S4270">
        <v>-2.9529420000000002</v>
      </c>
      <c r="T4270">
        <v>-4.2926430000000002E-2</v>
      </c>
      <c r="U4270">
        <v>0.60385129999999998</v>
      </c>
      <c r="V4270">
        <v>0.11081820000000001</v>
      </c>
      <c r="W4270">
        <v>-1.401022E-2</v>
      </c>
      <c r="X4270">
        <v>0.99374189999999996</v>
      </c>
      <c r="Y4270">
        <v>0.206264</v>
      </c>
      <c r="Z4270">
        <v>1.5710819999999999E-3</v>
      </c>
      <c r="AA4270">
        <v>0.97849509999999995</v>
      </c>
      <c r="AB4270">
        <v>24</v>
      </c>
      <c r="AC4270">
        <v>-79.491</v>
      </c>
      <c r="AD4270">
        <v>-1.1591020000000001</v>
      </c>
      <c r="AE4270">
        <v>16.306399999999901</v>
      </c>
      <c r="AF4270">
        <v>16.784934513948599</v>
      </c>
      <c r="AG4270">
        <v>-1.1591020000000001</v>
      </c>
      <c r="AH4270">
        <v>79.374413525912203</v>
      </c>
      <c r="AI4270">
        <v>90.818530301094</v>
      </c>
      <c r="AJ4270">
        <v>78.059834935118005</v>
      </c>
      <c r="AK4270">
        <v>81.138000139678397</v>
      </c>
      <c r="AL4270">
        <v>90.802752769761199</v>
      </c>
      <c r="AM4270">
        <v>83.636889298822595</v>
      </c>
      <c r="AN4270">
        <v>0.99999996176564798</v>
      </c>
    </row>
    <row r="4271" spans="1:40" x14ac:dyDescent="0.25">
      <c r="A4271" t="str">
        <f>"20190312161054924"</f>
        <v>20190312161054924</v>
      </c>
      <c r="B4271" t="str">
        <f>"1552378254911267"</f>
        <v>1552378254911267</v>
      </c>
      <c r="C4271" t="s">
        <v>40</v>
      </c>
      <c r="D4271">
        <v>5.5822989999999999</v>
      </c>
      <c r="E4271">
        <v>0.53589299999999995</v>
      </c>
      <c r="F4271" t="s">
        <v>43</v>
      </c>
      <c r="G4271">
        <v>-352.30849999999998</v>
      </c>
      <c r="H4271">
        <v>-0.05</v>
      </c>
      <c r="I4271">
        <v>162.51730000000001</v>
      </c>
      <c r="J4271">
        <v>-247.541</v>
      </c>
      <c r="K4271">
        <v>1.109086</v>
      </c>
      <c r="L4271">
        <v>141.0016</v>
      </c>
      <c r="M4271">
        <v>-0.99995659999999997</v>
      </c>
      <c r="N4271">
        <v>0</v>
      </c>
      <c r="O4271">
        <v>-5.3094580000000004E-3</v>
      </c>
      <c r="P4271">
        <v>-0.99412109999999998</v>
      </c>
      <c r="Q4271">
        <v>-2.1398629999999998E-2</v>
      </c>
      <c r="R4271">
        <v>0.1061376</v>
      </c>
      <c r="S4271">
        <v>-2.9530029999999998</v>
      </c>
      <c r="T4271">
        <v>-3.252149E-2</v>
      </c>
      <c r="U4271">
        <v>0.6036224</v>
      </c>
      <c r="V4271">
        <v>0.1114058</v>
      </c>
      <c r="W4271">
        <v>-1.3859389999999999E-2</v>
      </c>
      <c r="X4271">
        <v>0.99367830000000001</v>
      </c>
      <c r="Y4271">
        <v>0.20545550000000001</v>
      </c>
      <c r="Z4271">
        <v>1.1776149999999999E-3</v>
      </c>
      <c r="AA4271">
        <v>0.97866580000000003</v>
      </c>
      <c r="AB4271">
        <v>24</v>
      </c>
      <c r="AC4271">
        <v>-104.767499999999</v>
      </c>
      <c r="AD4271">
        <v>-1.1590860000000001</v>
      </c>
      <c r="AE4271">
        <v>21.515699999999999</v>
      </c>
      <c r="AF4271">
        <v>22.0690797346886</v>
      </c>
      <c r="AG4271">
        <v>-1.1590860000000001</v>
      </c>
      <c r="AH4271">
        <v>104.639493667435</v>
      </c>
      <c r="AI4271">
        <v>90.620976734980005</v>
      </c>
      <c r="AJ4271">
        <v>78.090521590369207</v>
      </c>
      <c r="AK4271">
        <v>106.947704022427</v>
      </c>
      <c r="AL4271">
        <v>90.794110017635504</v>
      </c>
      <c r="AM4271">
        <v>83.603022586060703</v>
      </c>
      <c r="AN4271">
        <v>0.99999994942784898</v>
      </c>
    </row>
    <row r="4272" spans="1:40" x14ac:dyDescent="0.25">
      <c r="A4272" t="str">
        <f>"20190312161054946"</f>
        <v>20190312161054946</v>
      </c>
      <c r="B4272" t="str">
        <f>"1552378254941524"</f>
        <v>1552378254941524</v>
      </c>
      <c r="C4272" t="s">
        <v>40</v>
      </c>
      <c r="D4272">
        <v>5.5977169999999896</v>
      </c>
      <c r="E4272">
        <v>0.53560769999999902</v>
      </c>
      <c r="F4272" t="s">
        <v>65</v>
      </c>
      <c r="G4272">
        <v>-345.46809999999999</v>
      </c>
      <c r="H4272">
        <v>0.62369390000000002</v>
      </c>
      <c r="I4272">
        <v>161.00049999999999</v>
      </c>
      <c r="J4272">
        <v>-247.77279999999999</v>
      </c>
      <c r="K4272">
        <v>1.109086</v>
      </c>
      <c r="L4272">
        <v>141.00069999999999</v>
      </c>
      <c r="M4272">
        <v>-0.99995860000000003</v>
      </c>
      <c r="N4272">
        <v>0</v>
      </c>
      <c r="O4272">
        <v>-4.94452E-3</v>
      </c>
      <c r="P4272">
        <v>-0.99406150000000004</v>
      </c>
      <c r="Q4272">
        <v>-2.0891420000000001E-2</v>
      </c>
      <c r="R4272">
        <v>0.1067953</v>
      </c>
      <c r="S4272">
        <v>-2.9530180000000001</v>
      </c>
      <c r="T4272">
        <v>-1.463675E-2</v>
      </c>
      <c r="U4272">
        <v>0.60307310000000003</v>
      </c>
      <c r="V4272">
        <v>0.11170090000000001</v>
      </c>
      <c r="W4272">
        <v>-1.3361680000000001E-2</v>
      </c>
      <c r="X4272">
        <v>0.99365199999999998</v>
      </c>
      <c r="Y4272">
        <v>0.20493239999999999</v>
      </c>
      <c r="Z4272">
        <v>5.2694790000000003E-4</v>
      </c>
      <c r="AA4272">
        <v>0.97877599999999998</v>
      </c>
      <c r="AB4272">
        <v>24</v>
      </c>
      <c r="AC4272">
        <v>-97.695300000000003</v>
      </c>
      <c r="AD4272">
        <v>-0.48539209999999899</v>
      </c>
      <c r="AE4272">
        <v>19.9998</v>
      </c>
      <c r="AF4272">
        <v>20.482140692099499</v>
      </c>
      <c r="AG4272">
        <v>-0.48539209999999899</v>
      </c>
      <c r="AH4272">
        <v>97.592901179149194</v>
      </c>
      <c r="AI4272">
        <v>90.278890484625805</v>
      </c>
      <c r="AJ4272">
        <v>78.147175802583405</v>
      </c>
      <c r="AK4272">
        <v>99.720248963712905</v>
      </c>
      <c r="AL4272">
        <v>90.765590682688099</v>
      </c>
      <c r="AM4272">
        <v>83.586050466828794</v>
      </c>
      <c r="AN4272">
        <v>0.99999996132861502</v>
      </c>
    </row>
    <row r="4273" spans="1:40" x14ac:dyDescent="0.25">
      <c r="A4273" t="str">
        <f>"20190312161054967"</f>
        <v>20190312161054967</v>
      </c>
      <c r="B4273" t="str">
        <f>"1552378254961043"</f>
        <v>1552378254961043</v>
      </c>
      <c r="C4273" t="s">
        <v>40</v>
      </c>
      <c r="D4273">
        <v>5.6009190000000002</v>
      </c>
      <c r="E4273">
        <v>0.53526660000000004</v>
      </c>
      <c r="F4273" t="s">
        <v>65</v>
      </c>
      <c r="G4273">
        <v>-346.8066</v>
      </c>
      <c r="H4273">
        <v>0.92890070000000002</v>
      </c>
      <c r="I4273">
        <v>161.2157</v>
      </c>
      <c r="J4273">
        <v>-248.01820000000001</v>
      </c>
      <c r="K4273">
        <v>1.1090880000000001</v>
      </c>
      <c r="L4273">
        <v>141</v>
      </c>
      <c r="M4273">
        <v>-0.99996050000000003</v>
      </c>
      <c r="N4273">
        <v>0</v>
      </c>
      <c r="O4273">
        <v>-4.5586070000000001E-3</v>
      </c>
      <c r="P4273">
        <v>-0.99403710000000001</v>
      </c>
      <c r="Q4273">
        <v>-2.0834849999999999E-2</v>
      </c>
      <c r="R4273">
        <v>0.10703509999999999</v>
      </c>
      <c r="S4273">
        <v>-2.953049</v>
      </c>
      <c r="T4273">
        <v>-5.372524E-3</v>
      </c>
      <c r="U4273">
        <v>0.60278319999999996</v>
      </c>
      <c r="V4273">
        <v>0.11155710000000001</v>
      </c>
      <c r="W4273">
        <v>-1.331194E-2</v>
      </c>
      <c r="X4273">
        <v>0.99366889999999997</v>
      </c>
      <c r="Y4273">
        <v>0.20446249999999999</v>
      </c>
      <c r="Z4273">
        <v>1.9230270000000001E-4</v>
      </c>
      <c r="AA4273">
        <v>0.97887440000000003</v>
      </c>
      <c r="AB4273">
        <v>24</v>
      </c>
      <c r="AC4273">
        <v>-98.788399999999996</v>
      </c>
      <c r="AD4273">
        <v>-0.180187299999999</v>
      </c>
      <c r="AE4273">
        <v>20.215699999999998</v>
      </c>
      <c r="AF4273">
        <v>20.665774548501801</v>
      </c>
      <c r="AG4273">
        <v>-0.180187299999999</v>
      </c>
      <c r="AH4273">
        <v>98.694900216502305</v>
      </c>
      <c r="AI4273">
        <v>90.102384392213494</v>
      </c>
      <c r="AJ4273">
        <v>78.173671725927704</v>
      </c>
      <c r="AK4273">
        <v>100.835460200754</v>
      </c>
      <c r="AL4273">
        <v>90.762740478098493</v>
      </c>
      <c r="AM4273">
        <v>83.594346933470902</v>
      </c>
      <c r="AN4273">
        <v>1.00000003856709</v>
      </c>
    </row>
    <row r="4274" spans="1:40" x14ac:dyDescent="0.25">
      <c r="A4274" t="str">
        <f>"20190312161054990"</f>
        <v>20190312161054990</v>
      </c>
      <c r="B4274" t="str">
        <f>"1552378254980563"</f>
        <v>1552378254980563</v>
      </c>
      <c r="C4274" t="s">
        <v>40</v>
      </c>
      <c r="D4274">
        <v>5.6263439999999996</v>
      </c>
      <c r="E4274">
        <v>0.5349718</v>
      </c>
      <c r="F4274" t="s">
        <v>65</v>
      </c>
      <c r="G4274">
        <v>-347.73919999999998</v>
      </c>
      <c r="H4274">
        <v>1.0273319999999999</v>
      </c>
      <c r="I4274">
        <v>161.2851</v>
      </c>
      <c r="J4274">
        <v>-248.2637</v>
      </c>
      <c r="K4274">
        <v>1.109086</v>
      </c>
      <c r="L4274">
        <v>140.99930000000001</v>
      </c>
      <c r="M4274">
        <v>-0.99996220000000002</v>
      </c>
      <c r="N4274">
        <v>0</v>
      </c>
      <c r="O4274">
        <v>-4.1723439999999997E-3</v>
      </c>
      <c r="P4274">
        <v>-0.9940194</v>
      </c>
      <c r="Q4274">
        <v>-2.1162520000000001E-2</v>
      </c>
      <c r="R4274">
        <v>0.1071344</v>
      </c>
      <c r="S4274">
        <v>-2.9532780000000001</v>
      </c>
      <c r="T4274">
        <v>-2.4207830000000001E-3</v>
      </c>
      <c r="U4274">
        <v>0.6007538</v>
      </c>
      <c r="V4274">
        <v>0.1112723</v>
      </c>
      <c r="W4274">
        <v>-1.364462E-2</v>
      </c>
      <c r="X4274">
        <v>0.99369629999999998</v>
      </c>
      <c r="Y4274">
        <v>0.20342389999999999</v>
      </c>
      <c r="Z4274" s="1">
        <v>8.5913359999999905E-5</v>
      </c>
      <c r="AA4274">
        <v>0.97909080000000004</v>
      </c>
      <c r="AB4274">
        <v>24</v>
      </c>
      <c r="AC4274">
        <v>-99.475499999999897</v>
      </c>
      <c r="AD4274">
        <v>-8.1754000000000104E-2</v>
      </c>
      <c r="AE4274">
        <v>20.285799999999899</v>
      </c>
      <c r="AF4274">
        <v>20.700668074851102</v>
      </c>
      <c r="AG4274">
        <v>-8.1754000000000104E-2</v>
      </c>
      <c r="AH4274">
        <v>99.389927838412305</v>
      </c>
      <c r="AI4274">
        <v>90.046138984960393</v>
      </c>
      <c r="AJ4274">
        <v>78.2347867814929</v>
      </c>
      <c r="AK4274">
        <v>101.52281565336099</v>
      </c>
      <c r="AL4274">
        <v>90.781803384654495</v>
      </c>
      <c r="AM4274">
        <v>83.610739573284206</v>
      </c>
      <c r="AN4274">
        <v>1.0000000185179601</v>
      </c>
    </row>
    <row r="4275" spans="1:40" x14ac:dyDescent="0.25">
      <c r="A4275" t="str">
        <f>"20190312161055012"</f>
        <v>20190312161055012</v>
      </c>
      <c r="B4275" t="str">
        <f>"1552378255000591"</f>
        <v>1552378255000591</v>
      </c>
      <c r="C4275" t="s">
        <v>40</v>
      </c>
      <c r="D4275">
        <v>5.5965049999999996</v>
      </c>
      <c r="E4275">
        <v>0.53463919999999998</v>
      </c>
      <c r="F4275" t="s">
        <v>93</v>
      </c>
      <c r="G4275">
        <v>-440.9135</v>
      </c>
      <c r="H4275">
        <v>1.0428280000000001</v>
      </c>
      <c r="I4275">
        <v>180.0607</v>
      </c>
      <c r="J4275">
        <v>-248.49789999999999</v>
      </c>
      <c r="K4275">
        <v>1.1090819999999999</v>
      </c>
      <c r="L4275">
        <v>140.99870000000001</v>
      </c>
      <c r="M4275">
        <v>-0.99996359999999995</v>
      </c>
      <c r="N4275">
        <v>0</v>
      </c>
      <c r="O4275">
        <v>-3.8040769999999999E-3</v>
      </c>
      <c r="P4275">
        <v>-0.99402729999999995</v>
      </c>
      <c r="Q4275">
        <v>-2.0991360000000001E-2</v>
      </c>
      <c r="R4275">
        <v>0.1070947</v>
      </c>
      <c r="S4275">
        <v>-2.9534910000000001</v>
      </c>
      <c r="T4275">
        <v>-1.015544E-3</v>
      </c>
      <c r="U4275">
        <v>0.5988464</v>
      </c>
      <c r="V4275">
        <v>0.1108668</v>
      </c>
      <c r="W4275">
        <v>-1.347952E-2</v>
      </c>
      <c r="X4275">
        <v>0.99374379999999995</v>
      </c>
      <c r="Y4275">
        <v>0.20244210000000001</v>
      </c>
      <c r="Z4275" s="1">
        <v>3.5748840000000002E-5</v>
      </c>
      <c r="AA4275">
        <v>0.9792942</v>
      </c>
      <c r="AB4275">
        <v>24</v>
      </c>
      <c r="AC4275">
        <v>-192.41560000000001</v>
      </c>
      <c r="AD4275">
        <v>-6.6253999999999799E-2</v>
      </c>
      <c r="AE4275">
        <v>39.061999999999898</v>
      </c>
      <c r="AF4275">
        <v>39.793697924305</v>
      </c>
      <c r="AG4275">
        <v>-6.6253999999999799E-2</v>
      </c>
      <c r="AH4275">
        <v>192.265586607914</v>
      </c>
      <c r="AI4275">
        <v>90.019334137995401</v>
      </c>
      <c r="AJ4275">
        <v>78.306455482545303</v>
      </c>
      <c r="AK4275">
        <v>196.34051690307999</v>
      </c>
      <c r="AL4275">
        <v>90.772343040333894</v>
      </c>
      <c r="AM4275">
        <v>83.634133692922902</v>
      </c>
      <c r="AN4275">
        <v>0.99999994242005297</v>
      </c>
    </row>
    <row r="4276" spans="1:40" x14ac:dyDescent="0.25">
      <c r="A4276" t="str">
        <f>"20190312161055056"</f>
        <v>20190312161055056</v>
      </c>
      <c r="B4276" t="str">
        <f>"1552378255051343"</f>
        <v>1552378255051343</v>
      </c>
      <c r="C4276" t="s">
        <v>40</v>
      </c>
      <c r="D4276">
        <v>5.4994129999999997</v>
      </c>
      <c r="E4276">
        <v>0.47619869999999997</v>
      </c>
      <c r="F4276" t="s">
        <v>93</v>
      </c>
      <c r="G4276">
        <v>-441.02640000000002</v>
      </c>
      <c r="H4276">
        <v>1.1841090000000001</v>
      </c>
      <c r="I4276">
        <v>179.8563</v>
      </c>
      <c r="J4276">
        <v>-248.97</v>
      </c>
      <c r="K4276">
        <v>1.1090679999999999</v>
      </c>
      <c r="L4276">
        <v>140.99780000000001</v>
      </c>
      <c r="M4276">
        <v>-0.99996629999999997</v>
      </c>
      <c r="N4276">
        <v>0</v>
      </c>
      <c r="O4276">
        <v>-3.0618109999999998E-3</v>
      </c>
      <c r="P4276">
        <v>-0.9939405</v>
      </c>
      <c r="Q4276">
        <v>-2.0678720000000001E-2</v>
      </c>
      <c r="R4276">
        <v>0.107957399999999</v>
      </c>
      <c r="S4276">
        <v>-2.9538120000000001</v>
      </c>
      <c r="T4276">
        <v>1.1513230000000001E-3</v>
      </c>
      <c r="U4276">
        <v>0.59616089999999999</v>
      </c>
      <c r="V4276">
        <v>0.110991699999999</v>
      </c>
      <c r="W4276">
        <v>-1.3183449999999999E-2</v>
      </c>
      <c r="X4276">
        <v>0.99373389999999995</v>
      </c>
      <c r="Y4276">
        <v>0.20083889999999999</v>
      </c>
      <c r="Z4276" s="1">
        <v>-3.9931990000000003E-5</v>
      </c>
      <c r="AA4276">
        <v>0.9796243</v>
      </c>
      <c r="AB4276">
        <v>24</v>
      </c>
      <c r="AC4276">
        <v>-192.0564</v>
      </c>
      <c r="AD4276">
        <v>7.5041000000000094E-2</v>
      </c>
      <c r="AE4276">
        <v>38.8584999999999</v>
      </c>
      <c r="AF4276">
        <v>39.446369519784803</v>
      </c>
      <c r="AG4276">
        <v>7.5041000000000094E-2</v>
      </c>
      <c r="AH4276">
        <v>191.93649072705699</v>
      </c>
      <c r="AI4276">
        <v>89.978057792855594</v>
      </c>
      <c r="AJ4276">
        <v>78.386404222542197</v>
      </c>
      <c r="AK4276">
        <v>195.948049676593</v>
      </c>
      <c r="AL4276">
        <v>90.755377917322903</v>
      </c>
      <c r="AM4276">
        <v>83.626958058356095</v>
      </c>
      <c r="AN4276">
        <v>1.000000012416</v>
      </c>
    </row>
    <row r="4277" spans="1:40" x14ac:dyDescent="0.25">
      <c r="A4277" t="str">
        <f>"20190312161055079"</f>
        <v>20190312161055079</v>
      </c>
      <c r="B4277" t="str">
        <f>"1552378255070863"</f>
        <v>1552378255070863</v>
      </c>
      <c r="C4277" t="s">
        <v>40</v>
      </c>
      <c r="D4277">
        <v>5.6914449999999999</v>
      </c>
      <c r="E4277">
        <v>0.46265719999999999</v>
      </c>
      <c r="F4277" t="s">
        <v>87</v>
      </c>
      <c r="G4277">
        <v>-282.87029999999999</v>
      </c>
      <c r="H4277" s="1">
        <v>-5.8310919999999997E-6</v>
      </c>
      <c r="I4277">
        <v>142.52340000000001</v>
      </c>
      <c r="J4277">
        <v>-249.23849999999999</v>
      </c>
      <c r="K4277">
        <v>1.109067</v>
      </c>
      <c r="L4277">
        <v>140.9975</v>
      </c>
      <c r="M4277">
        <v>-0.99996770000000001</v>
      </c>
      <c r="N4277">
        <v>0</v>
      </c>
      <c r="O4277">
        <v>-2.6403759999999998E-3</v>
      </c>
      <c r="P4277">
        <v>-0.99383319999999997</v>
      </c>
      <c r="Q4277">
        <v>-2.0599059999999999E-2</v>
      </c>
      <c r="R4277">
        <v>0.10895589999999999</v>
      </c>
      <c r="S4277">
        <v>-3.0015559999999999</v>
      </c>
      <c r="T4277">
        <v>-9.8198060000000004E-2</v>
      </c>
      <c r="U4277">
        <v>0.13507079999999999</v>
      </c>
      <c r="V4277">
        <v>0.11157110000000001</v>
      </c>
      <c r="W4277">
        <v>-1.3111889999999999E-2</v>
      </c>
      <c r="X4277">
        <v>0.99366989999999999</v>
      </c>
      <c r="Y4277">
        <v>4.7565580000000003E-2</v>
      </c>
      <c r="Z4277">
        <v>8.6378840000000002E-4</v>
      </c>
      <c r="AA4277">
        <v>0.99886779999999997</v>
      </c>
      <c r="AB4277">
        <v>24</v>
      </c>
      <c r="AC4277">
        <v>-33.631799999999998</v>
      </c>
      <c r="AD4277">
        <v>-1.1090728310919999</v>
      </c>
      <c r="AE4277">
        <v>1.5259</v>
      </c>
      <c r="AF4277">
        <v>1.6129473978333999</v>
      </c>
      <c r="AG4277">
        <v>-1.1090728310919999</v>
      </c>
      <c r="AH4277">
        <v>33.5911990936508</v>
      </c>
      <c r="AI4277">
        <v>91.888859850310894</v>
      </c>
      <c r="AJ4277">
        <v>87.250942088988594</v>
      </c>
      <c r="AK4277">
        <v>33.648184176893302</v>
      </c>
      <c r="AL4277">
        <v>90.751277523047307</v>
      </c>
      <c r="AM4277">
        <v>83.593556124687595</v>
      </c>
      <c r="AN4277">
        <v>0.99999995109029405</v>
      </c>
    </row>
    <row r="4278" spans="1:40" x14ac:dyDescent="0.25">
      <c r="A4278" t="str">
        <f>"20190312161055102"</f>
        <v>20190312161055102</v>
      </c>
      <c r="B4278" t="str">
        <f>"1552378255091359"</f>
        <v>1552378255091359</v>
      </c>
      <c r="C4278" t="s">
        <v>40</v>
      </c>
      <c r="D4278">
        <v>5.6481649999999997</v>
      </c>
      <c r="E4278">
        <v>0.45763189999999998</v>
      </c>
      <c r="F4278" t="s">
        <v>87</v>
      </c>
      <c r="G4278">
        <v>-283.3109</v>
      </c>
      <c r="H4278" s="1">
        <v>-5.645077E-6</v>
      </c>
      <c r="I4278">
        <v>141.34460000000001</v>
      </c>
      <c r="J4278">
        <v>-249.482</v>
      </c>
      <c r="K4278">
        <v>1.1090610000000001</v>
      </c>
      <c r="L4278">
        <v>140.99719999999999</v>
      </c>
      <c r="M4278">
        <v>-0.99996859999999999</v>
      </c>
      <c r="N4278">
        <v>0</v>
      </c>
      <c r="O4278">
        <v>-2.2588880000000001E-3</v>
      </c>
      <c r="P4278">
        <v>-0.99373979999999995</v>
      </c>
      <c r="Q4278">
        <v>-2.02793E-2</v>
      </c>
      <c r="R4278">
        <v>0.1098635</v>
      </c>
      <c r="S4278">
        <v>-3.0132289999999999</v>
      </c>
      <c r="T4278">
        <v>-9.8081950000000001E-2</v>
      </c>
      <c r="U4278">
        <v>3.0700680000000001E-2</v>
      </c>
      <c r="V4278">
        <v>0.1120997</v>
      </c>
      <c r="W4278">
        <v>-1.279716E-2</v>
      </c>
      <c r="X4278">
        <v>0.99361460000000001</v>
      </c>
      <c r="Y4278">
        <v>1.243913E-2</v>
      </c>
      <c r="Z4278">
        <v>2.7589949999999998E-4</v>
      </c>
      <c r="AA4278">
        <v>0.99992259999999999</v>
      </c>
      <c r="AB4278">
        <v>25</v>
      </c>
      <c r="AC4278">
        <v>-33.828899999999997</v>
      </c>
      <c r="AD4278">
        <v>-1.1090666450769999</v>
      </c>
      <c r="AE4278">
        <v>0.34740000000002103</v>
      </c>
      <c r="AF4278">
        <v>0.42336202048407801</v>
      </c>
      <c r="AG4278">
        <v>-1.1090666450769999</v>
      </c>
      <c r="AH4278">
        <v>33.791712431351698</v>
      </c>
      <c r="AI4278">
        <v>91.879663685519901</v>
      </c>
      <c r="AJ4278">
        <v>89.282203055325297</v>
      </c>
      <c r="AK4278">
        <v>33.812558218312603</v>
      </c>
      <c r="AL4278">
        <v>90.7332432416584</v>
      </c>
      <c r="AM4278">
        <v>83.563102671234205</v>
      </c>
      <c r="AN4278">
        <v>1.0000000416886501</v>
      </c>
    </row>
    <row r="4279" spans="1:40" x14ac:dyDescent="0.25">
      <c r="A4279" t="str">
        <f>"20190312161055124"</f>
        <v>20190312161055124</v>
      </c>
      <c r="B4279" t="str">
        <f>"1552378255120639"</f>
        <v>1552378255120639</v>
      </c>
      <c r="C4279" t="s">
        <v>40</v>
      </c>
      <c r="D4279">
        <v>5.5539209999999999</v>
      </c>
      <c r="E4279">
        <v>0.45453539999999998</v>
      </c>
      <c r="F4279" t="s">
        <v>87</v>
      </c>
      <c r="G4279">
        <v>-281.20979999999997</v>
      </c>
      <c r="H4279" s="1">
        <v>-4.5788909999999999E-6</v>
      </c>
      <c r="I4279">
        <v>140.92920000000001</v>
      </c>
      <c r="J4279">
        <v>-249.73330000000001</v>
      </c>
      <c r="K4279">
        <v>1.109051</v>
      </c>
      <c r="L4279">
        <v>140.99709999999999</v>
      </c>
      <c r="M4279">
        <v>-0.99996940000000001</v>
      </c>
      <c r="N4279">
        <v>0</v>
      </c>
      <c r="O4279">
        <v>-1.8664409999999999E-3</v>
      </c>
      <c r="P4279">
        <v>-0.99371609999999999</v>
      </c>
      <c r="Q4279">
        <v>-1.996183E-2</v>
      </c>
      <c r="R4279">
        <v>0.1101371</v>
      </c>
      <c r="S4279">
        <v>-3.0174560000000001</v>
      </c>
      <c r="T4279">
        <v>-0.1054771</v>
      </c>
      <c r="U4279">
        <v>-6.4697269999999998E-3</v>
      </c>
      <c r="V4279">
        <v>0.1119835</v>
      </c>
      <c r="W4279">
        <v>-1.248173E-2</v>
      </c>
      <c r="X4279">
        <v>0.99363170000000001</v>
      </c>
      <c r="Y4279">
        <v>-2.785706E-4</v>
      </c>
      <c r="Z4279" s="1">
        <v>6.0357119999999898E-5</v>
      </c>
      <c r="AA4279">
        <v>0.99999990000000005</v>
      </c>
      <c r="AB4279">
        <v>25</v>
      </c>
      <c r="AC4279">
        <v>-31.476499999999898</v>
      </c>
      <c r="AD4279">
        <v>-1.1090555788909999</v>
      </c>
      <c r="AE4279">
        <v>-6.7899999999980296E-2</v>
      </c>
      <c r="AF4279">
        <v>-9.1378119493056697E-3</v>
      </c>
      <c r="AG4279">
        <v>-1.1090555788909999</v>
      </c>
      <c r="AH4279">
        <v>31.4375435431581</v>
      </c>
      <c r="AI4279">
        <v>92.020446021169903</v>
      </c>
      <c r="AJ4279">
        <v>90.016653910736196</v>
      </c>
      <c r="AK4279">
        <v>31.457101452686899</v>
      </c>
      <c r="AL4279">
        <v>90.715169001643304</v>
      </c>
      <c r="AM4279">
        <v>83.569828833116205</v>
      </c>
      <c r="AN4279">
        <v>1.0000000265504601</v>
      </c>
    </row>
    <row r="4280" spans="1:40" x14ac:dyDescent="0.25">
      <c r="A4280" t="str">
        <f>"20190312161055145"</f>
        <v>20190312161055145</v>
      </c>
      <c r="B4280" t="str">
        <f>"1552378255141135"</f>
        <v>1552378255141135</v>
      </c>
      <c r="C4280" t="s">
        <v>40</v>
      </c>
      <c r="D4280">
        <v>5.5736410000000003</v>
      </c>
      <c r="E4280">
        <v>0.45302510000000001</v>
      </c>
      <c r="F4280" t="s">
        <v>87</v>
      </c>
      <c r="G4280">
        <v>-281.96769999999998</v>
      </c>
      <c r="H4280" s="1">
        <v>-4.8329260000000002E-6</v>
      </c>
      <c r="I4280">
        <v>140.6756</v>
      </c>
      <c r="J4280">
        <v>-249.96459999999999</v>
      </c>
      <c r="K4280">
        <v>1.1090469999999999</v>
      </c>
      <c r="L4280">
        <v>140.99709999999999</v>
      </c>
      <c r="M4280">
        <v>-0.99997000000000003</v>
      </c>
      <c r="N4280">
        <v>0</v>
      </c>
      <c r="O4280">
        <v>-1.5057110000000001E-3</v>
      </c>
      <c r="P4280">
        <v>-0.99373880000000003</v>
      </c>
      <c r="Q4280">
        <v>-1.9664379999999999E-2</v>
      </c>
      <c r="R4280">
        <v>0.10998429999999999</v>
      </c>
      <c r="S4280">
        <v>-3.0202330000000002</v>
      </c>
      <c r="T4280">
        <v>-0.10391400000000001</v>
      </c>
      <c r="U4280">
        <v>-3.0120850000000001E-2</v>
      </c>
      <c r="V4280">
        <v>0.1114725</v>
      </c>
      <c r="W4280">
        <v>-1.218355E-2</v>
      </c>
      <c r="X4280">
        <v>0.99369280000000004</v>
      </c>
      <c r="Y4280">
        <v>-8.4627179999999993E-3</v>
      </c>
      <c r="Z4280" s="1">
        <v>-9.3747100000000002E-5</v>
      </c>
      <c r="AA4280">
        <v>0.99996419999999997</v>
      </c>
      <c r="AB4280">
        <v>25</v>
      </c>
      <c r="AC4280">
        <v>-32.003099999999897</v>
      </c>
      <c r="AD4280">
        <v>-1.109051832926</v>
      </c>
      <c r="AE4280">
        <v>-0.32149999999998602</v>
      </c>
      <c r="AF4280">
        <v>-0.27298302293929499</v>
      </c>
      <c r="AG4280">
        <v>-1.109051832926</v>
      </c>
      <c r="AH4280">
        <v>31.965163601936101</v>
      </c>
      <c r="AI4280">
        <v>91.987044282985906</v>
      </c>
      <c r="AJ4280">
        <v>90.489295004633902</v>
      </c>
      <c r="AK4280">
        <v>31.985562364877602</v>
      </c>
      <c r="AL4280">
        <v>90.698083287333901</v>
      </c>
      <c r="AM4280">
        <v>83.599317040232094</v>
      </c>
      <c r="AN4280">
        <v>0.99999996895934495</v>
      </c>
    </row>
    <row r="4281" spans="1:40" x14ac:dyDescent="0.25">
      <c r="A4281" t="str">
        <f>"20190312161055168"</f>
        <v>20190312161055168</v>
      </c>
      <c r="B4281" t="str">
        <f>"1552378255160656"</f>
        <v>1552378255160656</v>
      </c>
      <c r="C4281" t="s">
        <v>40</v>
      </c>
      <c r="D4281">
        <v>5.6194739999999896</v>
      </c>
      <c r="E4281">
        <v>0.45211570000000001</v>
      </c>
      <c r="F4281" t="s">
        <v>87</v>
      </c>
      <c r="G4281">
        <v>-282.88929999999999</v>
      </c>
      <c r="H4281" s="1">
        <v>-5.1955709999999997E-6</v>
      </c>
      <c r="I4281">
        <v>140.5333</v>
      </c>
      <c r="J4281">
        <v>-250.21780000000001</v>
      </c>
      <c r="K4281">
        <v>1.1090469999999999</v>
      </c>
      <c r="L4281">
        <v>140.99709999999999</v>
      </c>
      <c r="M4281">
        <v>-0.99997060000000004</v>
      </c>
      <c r="N4281">
        <v>0</v>
      </c>
      <c r="O4281">
        <v>-1.1116069999999999E-3</v>
      </c>
      <c r="P4281">
        <v>-0.99372570000000005</v>
      </c>
      <c r="Q4281">
        <v>-2.076211E-2</v>
      </c>
      <c r="R4281">
        <v>0.10990270000000001</v>
      </c>
      <c r="S4281">
        <v>-3.0215909999999999</v>
      </c>
      <c r="T4281">
        <v>-0.10178089999999999</v>
      </c>
      <c r="U4281">
        <v>-4.2556759999999999E-2</v>
      </c>
      <c r="V4281">
        <v>0.1109986</v>
      </c>
      <c r="W4281">
        <v>-1.327878E-2</v>
      </c>
      <c r="X4281">
        <v>0.9937319</v>
      </c>
      <c r="Y4281">
        <v>-1.296457E-2</v>
      </c>
      <c r="Z4281">
        <v>-1.8084749999999999E-4</v>
      </c>
      <c r="AA4281">
        <v>0.99991600000000003</v>
      </c>
      <c r="AB4281">
        <v>25</v>
      </c>
      <c r="AC4281">
        <v>-32.671499999999902</v>
      </c>
      <c r="AD4281">
        <v>-1.109052195571</v>
      </c>
      <c r="AE4281">
        <v>-0.463799999999992</v>
      </c>
      <c r="AF4281">
        <v>-0.426988879545176</v>
      </c>
      <c r="AG4281">
        <v>-1.109052195571</v>
      </c>
      <c r="AH4281">
        <v>32.6343983281863</v>
      </c>
      <c r="AI4281">
        <v>91.946232666691202</v>
      </c>
      <c r="AJ4281">
        <v>90.749615928197201</v>
      </c>
      <c r="AK4281">
        <v>32.656029619635099</v>
      </c>
      <c r="AL4281">
        <v>90.760840371852296</v>
      </c>
      <c r="AM4281">
        <v>83.626552405021599</v>
      </c>
      <c r="AN4281">
        <v>1.0000000521389201</v>
      </c>
    </row>
    <row r="4282" spans="1:40" x14ac:dyDescent="0.25">
      <c r="A4282" t="str">
        <f>"20190312161055527"</f>
        <v>20190312161055527</v>
      </c>
      <c r="B4282" t="str">
        <f>"1552378255520800"</f>
        <v>1552378255520800</v>
      </c>
      <c r="C4282" t="s">
        <v>40</v>
      </c>
      <c r="D4282">
        <v>5.6371029999999998</v>
      </c>
      <c r="E4282">
        <v>0.45217760000000001</v>
      </c>
      <c r="F4282" t="s">
        <v>87</v>
      </c>
      <c r="G4282">
        <v>-282.36770000000001</v>
      </c>
      <c r="H4282" s="1">
        <v>-4.9422199999999996E-6</v>
      </c>
      <c r="I4282">
        <v>140.46520000000001</v>
      </c>
      <c r="J4282">
        <v>-254.33320000000001</v>
      </c>
      <c r="K4282">
        <v>1.109137</v>
      </c>
      <c r="L4282">
        <v>141.00790000000001</v>
      </c>
      <c r="M4282">
        <v>-0.99996359999999995</v>
      </c>
      <c r="N4282">
        <v>0</v>
      </c>
      <c r="O4282">
        <v>3.6210550000000002E-3</v>
      </c>
      <c r="P4282">
        <v>-0.99368880000000004</v>
      </c>
      <c r="Q4282">
        <v>-1.8821810000000001E-2</v>
      </c>
      <c r="R4282">
        <v>0.11058220000000001</v>
      </c>
      <c r="S4282">
        <v>-3.022278</v>
      </c>
      <c r="T4282">
        <v>-0.1042573</v>
      </c>
      <c r="U4282">
        <v>-5.000305E-2</v>
      </c>
      <c r="V4282">
        <v>0.10697810000000001</v>
      </c>
      <c r="W4282">
        <v>-1.119098E-2</v>
      </c>
      <c r="X4282">
        <v>0.99419840000000004</v>
      </c>
      <c r="Y4282">
        <v>-2.0148989999999999E-2</v>
      </c>
      <c r="Z4282">
        <v>-4.7227709999999998E-4</v>
      </c>
      <c r="AA4282">
        <v>0.99979689999999999</v>
      </c>
      <c r="AB4282">
        <v>26</v>
      </c>
      <c r="AC4282">
        <v>-28.034500000000001</v>
      </c>
      <c r="AD4282">
        <v>-1.10914194222</v>
      </c>
      <c r="AE4282">
        <v>-0.54269999999999596</v>
      </c>
      <c r="AF4282">
        <v>-0.643207523063833</v>
      </c>
      <c r="AG4282">
        <v>-1.10914194222</v>
      </c>
      <c r="AH4282">
        <v>27.988557813795001</v>
      </c>
      <c r="AI4282">
        <v>92.268754597265698</v>
      </c>
      <c r="AJ4282">
        <v>91.316487651101696</v>
      </c>
      <c r="AK4282">
        <v>28.017909990965801</v>
      </c>
      <c r="AL4282">
        <v>90.641209303696996</v>
      </c>
      <c r="AM4282">
        <v>83.858468594301996</v>
      </c>
      <c r="AN4282">
        <v>1.00000000523776</v>
      </c>
    </row>
    <row r="4283" spans="1:40" x14ac:dyDescent="0.25">
      <c r="A4283" t="str">
        <f>"20190312161055548"</f>
        <v>20190312161055548</v>
      </c>
      <c r="B4283" t="str">
        <f>"1552378255541295"</f>
        <v>1552378255541295</v>
      </c>
      <c r="C4283" t="s">
        <v>40</v>
      </c>
      <c r="D4283">
        <v>5.650417</v>
      </c>
      <c r="E4283">
        <v>0.4584934</v>
      </c>
      <c r="F4283" t="s">
        <v>87</v>
      </c>
      <c r="G4283">
        <v>-290.98790000000002</v>
      </c>
      <c r="H4283" s="1">
        <v>-9.0543239999999997E-6</v>
      </c>
      <c r="I4283">
        <v>140.43539999999999</v>
      </c>
      <c r="J4283">
        <v>-254.5823</v>
      </c>
      <c r="K4283">
        <v>1.109137</v>
      </c>
      <c r="L4283">
        <v>141.00909999999999</v>
      </c>
      <c r="M4283">
        <v>-0.99996269999999998</v>
      </c>
      <c r="N4283">
        <v>0</v>
      </c>
      <c r="O4283">
        <v>3.8540829999999999E-3</v>
      </c>
      <c r="P4283">
        <v>-0.99376920000000002</v>
      </c>
      <c r="Q4283">
        <v>-1.8649220000000001E-2</v>
      </c>
      <c r="R4283">
        <v>0.1098874</v>
      </c>
      <c r="S4283">
        <v>-3.022583</v>
      </c>
      <c r="T4283">
        <v>-9.1461299999999995E-2</v>
      </c>
      <c r="U4283">
        <v>-4.721069E-2</v>
      </c>
      <c r="V4283">
        <v>0.10605150000000001</v>
      </c>
      <c r="W4283">
        <v>-1.1008540000000001E-2</v>
      </c>
      <c r="X4283">
        <v>0.99429970000000001</v>
      </c>
      <c r="Y4283">
        <v>-1.9460359999999999E-2</v>
      </c>
      <c r="Z4283">
        <v>-4.1093560000000001E-4</v>
      </c>
      <c r="AA4283">
        <v>0.99981050000000005</v>
      </c>
      <c r="AB4283">
        <v>26</v>
      </c>
      <c r="AC4283">
        <v>-36.4056</v>
      </c>
      <c r="AD4283">
        <v>-1.1091460543239999</v>
      </c>
      <c r="AE4283">
        <v>-0.57370000000000199</v>
      </c>
      <c r="AF4283">
        <v>-0.713348169854365</v>
      </c>
      <c r="AG4283">
        <v>-1.1091460543239999</v>
      </c>
      <c r="AH4283">
        <v>36.369368815542202</v>
      </c>
      <c r="AI4283">
        <v>91.746455612725299</v>
      </c>
      <c r="AJ4283">
        <v>91.123654348450899</v>
      </c>
      <c r="AK4283">
        <v>36.393269413755398</v>
      </c>
      <c r="AL4283">
        <v>90.630755620396698</v>
      </c>
      <c r="AM4283">
        <v>83.911878350843594</v>
      </c>
      <c r="AN4283">
        <v>1.00000000101263</v>
      </c>
    </row>
    <row r="4284" spans="1:40" x14ac:dyDescent="0.25">
      <c r="A4284" t="str">
        <f>"20190312161055569"</f>
        <v>20190312161055569</v>
      </c>
      <c r="B4284" t="str">
        <f>"1552378255560816"</f>
        <v>1552378255560816</v>
      </c>
      <c r="C4284" t="s">
        <v>40</v>
      </c>
      <c r="D4284">
        <v>5.6053860000000002</v>
      </c>
      <c r="E4284">
        <v>0.45075769999999998</v>
      </c>
      <c r="F4284" t="s">
        <v>45</v>
      </c>
      <c r="G4284">
        <v>0</v>
      </c>
      <c r="H4284">
        <v>0</v>
      </c>
      <c r="I4284">
        <v>0</v>
      </c>
      <c r="J4284">
        <v>-254.83850000000001</v>
      </c>
      <c r="K4284">
        <v>1.1091329999999999</v>
      </c>
      <c r="L4284">
        <v>141.0103</v>
      </c>
      <c r="M4284">
        <v>-0.99996160000000001</v>
      </c>
      <c r="N4284">
        <v>0</v>
      </c>
      <c r="O4284">
        <v>4.0941429999999997E-3</v>
      </c>
      <c r="P4284">
        <v>-0.99384950000000005</v>
      </c>
      <c r="Q4284">
        <v>-1.8064750000000001E-2</v>
      </c>
      <c r="R4284">
        <v>0.1092558</v>
      </c>
      <c r="S4284">
        <v>-3.0216370000000001</v>
      </c>
      <c r="T4284">
        <v>0.15271470000000001</v>
      </c>
      <c r="U4284">
        <v>5.9509280000000003E-4</v>
      </c>
      <c r="V4284">
        <v>0.105181</v>
      </c>
      <c r="W4284">
        <v>-1.041393E-2</v>
      </c>
      <c r="X4284">
        <v>0.99439849999999996</v>
      </c>
      <c r="Y4284">
        <v>-3.8871359999999998E-3</v>
      </c>
      <c r="Z4284">
        <v>3.0495940000000002E-4</v>
      </c>
      <c r="AA4284">
        <v>0.9999924</v>
      </c>
      <c r="AB4284">
        <v>26</v>
      </c>
      <c r="AC4284">
        <v>-3.0216370000000001</v>
      </c>
      <c r="AD4284">
        <v>0.15271470000000001</v>
      </c>
      <c r="AE4284">
        <v>5.9509280000000003E-4</v>
      </c>
      <c r="AF4284">
        <v>-1.1746293616785201E-2</v>
      </c>
      <c r="AG4284">
        <v>0.15271470000000001</v>
      </c>
      <c r="AH4284">
        <v>3.0139155739956802</v>
      </c>
      <c r="AI4284">
        <v>87.099333235069196</v>
      </c>
      <c r="AJ4284">
        <v>90.223300761127703</v>
      </c>
      <c r="AK4284">
        <v>3.017804970866</v>
      </c>
      <c r="AL4284">
        <v>90.596685061486397</v>
      </c>
      <c r="AM4284">
        <v>83.962076130958295</v>
      </c>
      <c r="AN4284">
        <v>0.99999993475064497</v>
      </c>
    </row>
    <row r="4285" spans="1:40" x14ac:dyDescent="0.25">
      <c r="A4285" t="str">
        <f>"20190312161055659"</f>
        <v>20190312161055659</v>
      </c>
      <c r="B4285" t="str">
        <f>"1552378255650607"</f>
        <v>1552378255650607</v>
      </c>
      <c r="C4285" t="s">
        <v>40</v>
      </c>
      <c r="D4285">
        <v>4.8843719999999999</v>
      </c>
      <c r="E4285">
        <v>0.45075769999999998</v>
      </c>
      <c r="F4285" t="s">
        <v>45</v>
      </c>
      <c r="G4285">
        <v>0</v>
      </c>
      <c r="H4285">
        <v>0</v>
      </c>
      <c r="I4285">
        <v>0</v>
      </c>
      <c r="J4285">
        <v>-255.89599999999999</v>
      </c>
      <c r="K4285">
        <v>1.1091200000000001</v>
      </c>
      <c r="L4285">
        <v>141.01609999999999</v>
      </c>
      <c r="M4285">
        <v>-0.99995699999999998</v>
      </c>
      <c r="N4285">
        <v>0</v>
      </c>
      <c r="O4285">
        <v>5.0856310000000002E-3</v>
      </c>
      <c r="P4285">
        <v>-0.99357799999999996</v>
      </c>
      <c r="Q4285">
        <v>-1.781785E-2</v>
      </c>
      <c r="R4285">
        <v>0.1117389</v>
      </c>
      <c r="S4285">
        <v>-3.0277400000000001</v>
      </c>
      <c r="T4285">
        <v>0.12625339999999999</v>
      </c>
      <c r="U4285">
        <v>-6.2606809999999999E-2</v>
      </c>
      <c r="V4285">
        <v>0.1066796</v>
      </c>
      <c r="W4285">
        <v>-1.015303E-2</v>
      </c>
      <c r="X4285">
        <v>0.99424159999999995</v>
      </c>
      <c r="Y4285">
        <v>-2.5730980000000001E-2</v>
      </c>
      <c r="Z4285">
        <v>7.4814490000000005E-4</v>
      </c>
      <c r="AA4285">
        <v>0.99966860000000002</v>
      </c>
      <c r="AB4285">
        <v>27</v>
      </c>
      <c r="AC4285">
        <v>-3.0277400000000001</v>
      </c>
      <c r="AD4285">
        <v>0.12625339999999999</v>
      </c>
      <c r="AE4285">
        <v>-6.2606809999999999E-2</v>
      </c>
      <c r="AF4285">
        <v>-7.7869091011810804E-2</v>
      </c>
      <c r="AG4285">
        <v>0.12625339999999999</v>
      </c>
      <c r="AH4285">
        <v>3.02212981257563</v>
      </c>
      <c r="AI4285">
        <v>87.608578170662199</v>
      </c>
      <c r="AJ4285">
        <v>91.475973432897803</v>
      </c>
      <c r="AK4285">
        <v>3.0257680215781502</v>
      </c>
      <c r="AL4285">
        <v>90.581735768917895</v>
      </c>
      <c r="AM4285">
        <v>83.875738922685102</v>
      </c>
      <c r="AN4285">
        <v>0.99999999012245</v>
      </c>
    </row>
    <row r="4286" spans="1:40" x14ac:dyDescent="0.25">
      <c r="A4286" t="str">
        <f>"20190312161055681"</f>
        <v>20190312161055681</v>
      </c>
      <c r="B4286" t="str">
        <f>"1552378255671103"</f>
        <v>1552378255671103</v>
      </c>
      <c r="C4286" t="s">
        <v>40</v>
      </c>
      <c r="D4286">
        <v>6.0104540000000002</v>
      </c>
      <c r="E4286">
        <v>0.4811337</v>
      </c>
      <c r="F4286" t="s">
        <v>45</v>
      </c>
      <c r="G4286">
        <v>0</v>
      </c>
      <c r="H4286">
        <v>0</v>
      </c>
      <c r="I4286">
        <v>0</v>
      </c>
      <c r="J4286">
        <v>-256.16059999999999</v>
      </c>
      <c r="K4286">
        <v>1.109119</v>
      </c>
      <c r="L4286">
        <v>141.01779999999999</v>
      </c>
      <c r="M4286">
        <v>-0.9999557</v>
      </c>
      <c r="N4286">
        <v>0</v>
      </c>
      <c r="O4286">
        <v>5.333516E-3</v>
      </c>
      <c r="P4286">
        <v>-0.99350079999999996</v>
      </c>
      <c r="Q4286">
        <v>-1.8454330000000001E-2</v>
      </c>
      <c r="R4286">
        <v>0.11231960000000001</v>
      </c>
      <c r="S4286">
        <v>-3.0278779999999998</v>
      </c>
      <c r="T4286">
        <v>0.12640770000000001</v>
      </c>
      <c r="U4286">
        <v>-5.5313109999999999E-2</v>
      </c>
      <c r="V4286">
        <v>0.107014</v>
      </c>
      <c r="W4286">
        <v>-1.078574E-2</v>
      </c>
      <c r="X4286">
        <v>0.99419900000000005</v>
      </c>
      <c r="Y4286">
        <v>-2.3572260000000001E-2</v>
      </c>
      <c r="Z4286">
        <v>7.1434839999999999E-4</v>
      </c>
      <c r="AA4286">
        <v>0.99972190000000005</v>
      </c>
      <c r="AB4286">
        <v>27</v>
      </c>
      <c r="AC4286">
        <v>-3.0278779999999998</v>
      </c>
      <c r="AD4286">
        <v>0.12640770000000001</v>
      </c>
      <c r="AE4286">
        <v>-5.5313109999999999E-2</v>
      </c>
      <c r="AF4286">
        <v>-7.1337752227886603E-2</v>
      </c>
      <c r="AG4286">
        <v>0.12640770000000001</v>
      </c>
      <c r="AH4286">
        <v>3.0222741705392799</v>
      </c>
      <c r="AI4286">
        <v>87.605645564317996</v>
      </c>
      <c r="AJ4286">
        <v>91.352158360897207</v>
      </c>
      <c r="AK4286">
        <v>3.02575761478362</v>
      </c>
      <c r="AL4286">
        <v>90.617989369514405</v>
      </c>
      <c r="AM4286">
        <v>83.856427040272493</v>
      </c>
      <c r="AN4286">
        <v>0.99999998999217299</v>
      </c>
    </row>
    <row r="4287" spans="1:40" x14ac:dyDescent="0.25">
      <c r="A4287" t="str">
        <f>"20190312161055706"</f>
        <v>20190312161055706</v>
      </c>
      <c r="B4287" t="str">
        <f>"1552378255701359"</f>
        <v>1552378255701359</v>
      </c>
      <c r="C4287" t="s">
        <v>40</v>
      </c>
      <c r="D4287">
        <v>8.1841720000000002</v>
      </c>
      <c r="E4287">
        <v>0.46797450000000002</v>
      </c>
      <c r="F4287" t="s">
        <v>42</v>
      </c>
      <c r="G4287">
        <v>-256.84910000000002</v>
      </c>
      <c r="H4287">
        <v>0.88728280000000004</v>
      </c>
      <c r="I4287">
        <v>141.0615</v>
      </c>
      <c r="J4287">
        <v>-256.45080000000002</v>
      </c>
      <c r="K4287">
        <v>1.109121</v>
      </c>
      <c r="L4287">
        <v>141.0196</v>
      </c>
      <c r="M4287">
        <v>-0.99995409999999996</v>
      </c>
      <c r="N4287">
        <v>0</v>
      </c>
      <c r="O4287">
        <v>5.6046380000000003E-3</v>
      </c>
      <c r="P4287">
        <v>-0.99353069999999999</v>
      </c>
      <c r="Q4287">
        <v>-1.78637E-2</v>
      </c>
      <c r="R4287">
        <v>0.1121497</v>
      </c>
      <c r="S4287">
        <v>-2.980499</v>
      </c>
      <c r="T4287">
        <v>-0.96032329999999999</v>
      </c>
      <c r="U4287">
        <v>0.1886139</v>
      </c>
      <c r="V4287">
        <v>0.1065744</v>
      </c>
      <c r="W4287">
        <v>-1.01884E-2</v>
      </c>
      <c r="X4287">
        <v>0.99425249999999998</v>
      </c>
      <c r="Y4287">
        <v>5.5067600000000001E-2</v>
      </c>
      <c r="Z4287">
        <v>6.8848240000000003E-3</v>
      </c>
      <c r="AA4287">
        <v>0.99845890000000004</v>
      </c>
      <c r="AB4287">
        <v>27</v>
      </c>
      <c r="AC4287">
        <v>-0.39830000000000598</v>
      </c>
      <c r="AD4287">
        <v>-0.22183819999999899</v>
      </c>
      <c r="AE4287">
        <v>4.1899999999998203E-2</v>
      </c>
      <c r="AF4287">
        <v>3.0353981063605599E-2</v>
      </c>
      <c r="AG4287">
        <v>-0.22183819999999899</v>
      </c>
      <c r="AH4287">
        <v>0.30496244352277802</v>
      </c>
      <c r="AI4287">
        <v>125.898944519539</v>
      </c>
      <c r="AJ4287">
        <v>84.315871611077</v>
      </c>
      <c r="AK4287">
        <v>0.37833271482259201</v>
      </c>
      <c r="AL4287">
        <v>90.583762437235507</v>
      </c>
      <c r="AM4287">
        <v>83.881798980940005</v>
      </c>
      <c r="AN4287">
        <v>0.99999996999308405</v>
      </c>
    </row>
    <row r="4288" spans="1:40" x14ac:dyDescent="0.25">
      <c r="A4288" t="str">
        <f>"20190312161055727"</f>
        <v>20190312161055727</v>
      </c>
      <c r="B4288" t="str">
        <f>"1552378255720879"</f>
        <v>1552378255720879</v>
      </c>
      <c r="C4288" t="s">
        <v>40</v>
      </c>
      <c r="D4288">
        <v>5.7448829999999997</v>
      </c>
      <c r="E4288">
        <v>0.47173850000000001</v>
      </c>
      <c r="F4288" t="s">
        <v>42</v>
      </c>
      <c r="G4288">
        <v>-257.39929999999998</v>
      </c>
      <c r="H4288">
        <v>1.0352410000000001</v>
      </c>
      <c r="I4288">
        <v>141.0461</v>
      </c>
      <c r="J4288">
        <v>-256.71499999999997</v>
      </c>
      <c r="K4288">
        <v>1.1091120000000001</v>
      </c>
      <c r="L4288">
        <v>141.0213</v>
      </c>
      <c r="M4288">
        <v>-0.99995270000000003</v>
      </c>
      <c r="N4288">
        <v>0</v>
      </c>
      <c r="O4288">
        <v>5.8494050000000002E-3</v>
      </c>
      <c r="P4288">
        <v>-0.99351350000000005</v>
      </c>
      <c r="Q4288">
        <v>-1.7841829999999999E-2</v>
      </c>
      <c r="R4288">
        <v>0.1123073</v>
      </c>
      <c r="S4288">
        <v>-3.0059809999999998</v>
      </c>
      <c r="T4288">
        <v>-0.234267</v>
      </c>
      <c r="U4288">
        <v>8.2763669999999998E-2</v>
      </c>
      <c r="V4288">
        <v>0.106489</v>
      </c>
      <c r="W4288">
        <v>-1.0159319999999999E-2</v>
      </c>
      <c r="X4288">
        <v>0.99426199999999998</v>
      </c>
      <c r="Y4288">
        <v>2.1626929999999999E-2</v>
      </c>
      <c r="Z4288">
        <v>3.86206E-4</v>
      </c>
      <c r="AA4288">
        <v>0.99976609999999999</v>
      </c>
      <c r="AB4288">
        <v>27</v>
      </c>
      <c r="AC4288">
        <v>-0.68430000000000701</v>
      </c>
      <c r="AD4288">
        <v>-7.3871000000000006E-2</v>
      </c>
      <c r="AE4288">
        <v>2.4799999999999E-2</v>
      </c>
      <c r="AF4288">
        <v>2.0557455764851001E-2</v>
      </c>
      <c r="AG4288">
        <v>-7.3871000000000006E-2</v>
      </c>
      <c r="AH4288">
        <v>0.67655944569476201</v>
      </c>
      <c r="AI4288">
        <v>96.228376381764406</v>
      </c>
      <c r="AJ4288">
        <v>88.259586545199298</v>
      </c>
      <c r="AK4288">
        <v>0.68089075275504196</v>
      </c>
      <c r="AL4288">
        <v>90.582096159537997</v>
      </c>
      <c r="AM4288">
        <v>83.886722436813997</v>
      </c>
      <c r="AN4288">
        <v>1.00000002177393</v>
      </c>
    </row>
    <row r="4289" spans="1:40" x14ac:dyDescent="0.25">
      <c r="A4289" t="str">
        <f>"20190312161055748"</f>
        <v>20190312161055748</v>
      </c>
      <c r="B4289" t="str">
        <f>"1552378255741376"</f>
        <v>1552378255741376</v>
      </c>
      <c r="C4289" t="s">
        <v>40</v>
      </c>
      <c r="D4289">
        <v>5.7764660000000001</v>
      </c>
      <c r="E4289">
        <v>0.46872239999999998</v>
      </c>
      <c r="F4289" t="s">
        <v>41</v>
      </c>
      <c r="G4289">
        <v>-276.80180000000001</v>
      </c>
      <c r="H4289" s="1">
        <v>-1.9293840000000001E-6</v>
      </c>
      <c r="I4289">
        <v>141.7773</v>
      </c>
      <c r="J4289">
        <v>-256.96910000000003</v>
      </c>
      <c r="K4289">
        <v>1.1091150000000001</v>
      </c>
      <c r="L4289">
        <v>141.0231</v>
      </c>
      <c r="M4289">
        <v>-0.99995109999999998</v>
      </c>
      <c r="N4289">
        <v>0</v>
      </c>
      <c r="O4289">
        <v>6.082479E-3</v>
      </c>
      <c r="P4289">
        <v>-0.99353990000000003</v>
      </c>
      <c r="Q4289">
        <v>-1.7404559999999999E-2</v>
      </c>
      <c r="R4289">
        <v>0.1121394</v>
      </c>
      <c r="S4289">
        <v>-3.0038149999999999</v>
      </c>
      <c r="T4289">
        <v>-0.1658589</v>
      </c>
      <c r="U4289">
        <v>0.1130676</v>
      </c>
      <c r="V4289">
        <v>0.10608919999999999</v>
      </c>
      <c r="W4289">
        <v>-9.713335E-3</v>
      </c>
      <c r="X4289">
        <v>0.9943092</v>
      </c>
      <c r="Y4289">
        <v>3.1496999999999997E-2</v>
      </c>
      <c r="Z4289">
        <v>5.3312640000000001E-4</v>
      </c>
      <c r="AA4289">
        <v>0.99950369999999999</v>
      </c>
      <c r="AB4289">
        <v>27</v>
      </c>
      <c r="AC4289">
        <v>-19.8326999999999</v>
      </c>
      <c r="AD4289">
        <v>-1.109116929384</v>
      </c>
      <c r="AE4289">
        <v>0.75419999999999698</v>
      </c>
      <c r="AF4289">
        <v>0.63157801980153105</v>
      </c>
      <c r="AG4289">
        <v>-1.109116929384</v>
      </c>
      <c r="AH4289">
        <v>19.775164033792802</v>
      </c>
      <c r="AI4289">
        <v>93.2085158307396</v>
      </c>
      <c r="AJ4289">
        <v>88.170712589423999</v>
      </c>
      <c r="AK4289">
        <v>19.816310043031599</v>
      </c>
      <c r="AL4289">
        <v>90.556541837654606</v>
      </c>
      <c r="AM4289">
        <v>83.909788112570595</v>
      </c>
      <c r="AN4289">
        <v>1.00000002621905</v>
      </c>
    </row>
    <row r="4290" spans="1:40" x14ac:dyDescent="0.25">
      <c r="A4290" t="str">
        <f>"20190312161055771"</f>
        <v>20190312161055771</v>
      </c>
      <c r="B4290" t="str">
        <f>"1552378255761871"</f>
        <v>1552378255761871</v>
      </c>
      <c r="C4290" t="s">
        <v>40</v>
      </c>
      <c r="D4290">
        <v>7.7895099999999999</v>
      </c>
      <c r="E4290">
        <v>0.46965770000000001</v>
      </c>
      <c r="F4290" t="s">
        <v>87</v>
      </c>
      <c r="G4290">
        <v>-280.07749999999999</v>
      </c>
      <c r="H4290" s="1">
        <v>-4.327512E-6</v>
      </c>
      <c r="I4290">
        <v>141.70419999999999</v>
      </c>
      <c r="J4290">
        <v>-257.24889999999999</v>
      </c>
      <c r="K4290">
        <v>1.1091230000000001</v>
      </c>
      <c r="L4290">
        <v>141.02510000000001</v>
      </c>
      <c r="M4290">
        <v>-0.99994970000000005</v>
      </c>
      <c r="N4290">
        <v>0</v>
      </c>
      <c r="O4290">
        <v>6.3324549999999999E-3</v>
      </c>
      <c r="P4290">
        <v>-0.99349849999999995</v>
      </c>
      <c r="Q4290">
        <v>-1.71725E-2</v>
      </c>
      <c r="R4290">
        <v>0.1125437</v>
      </c>
      <c r="S4290">
        <v>-3.0069889999999999</v>
      </c>
      <c r="T4290">
        <v>-0.14432490000000001</v>
      </c>
      <c r="U4290">
        <v>8.8623049999999995E-2</v>
      </c>
      <c r="V4290">
        <v>0.1062456</v>
      </c>
      <c r="W4290">
        <v>-9.4708469999999993E-3</v>
      </c>
      <c r="X4290">
        <v>0.99429480000000003</v>
      </c>
      <c r="Y4290">
        <v>2.310978E-2</v>
      </c>
      <c r="Z4290">
        <v>2.5045960000000001E-4</v>
      </c>
      <c r="AA4290">
        <v>0.99973290000000004</v>
      </c>
      <c r="AB4290">
        <v>27</v>
      </c>
      <c r="AC4290">
        <v>-22.828599999999899</v>
      </c>
      <c r="AD4290">
        <v>-1.1091273275119999</v>
      </c>
      <c r="AE4290">
        <v>0.67909999999997595</v>
      </c>
      <c r="AF4290">
        <v>0.53326327214578495</v>
      </c>
      <c r="AG4290">
        <v>-1.1091273275119999</v>
      </c>
      <c r="AH4290">
        <v>22.778721092538898</v>
      </c>
      <c r="AI4290">
        <v>92.786846504566398</v>
      </c>
      <c r="AJ4290">
        <v>88.658917027954104</v>
      </c>
      <c r="AK4290">
        <v>22.8119413412741</v>
      </c>
      <c r="AL4290">
        <v>90.542647681143706</v>
      </c>
      <c r="AM4290">
        <v>83.900789690401297</v>
      </c>
      <c r="AN4290">
        <v>0.99999998688464797</v>
      </c>
    </row>
    <row r="4291" spans="1:40" x14ac:dyDescent="0.25">
      <c r="A4291" t="str">
        <f>"20190312161055794"</f>
        <v>20190312161055794</v>
      </c>
      <c r="B4291" t="str">
        <f>"1552378255791151"</f>
        <v>1552378255791151</v>
      </c>
      <c r="C4291" t="s">
        <v>40</v>
      </c>
      <c r="D4291">
        <v>5.4414870000000004</v>
      </c>
      <c r="E4291">
        <v>0.47141110000000003</v>
      </c>
      <c r="F4291" t="s">
        <v>87</v>
      </c>
      <c r="G4291">
        <v>-281.46539999999999</v>
      </c>
      <c r="H4291" s="1">
        <v>-4.9765840000000003E-6</v>
      </c>
      <c r="I4291">
        <v>141.80789999999999</v>
      </c>
      <c r="J4291">
        <v>-257.52109999999999</v>
      </c>
      <c r="K4291">
        <v>1.1091279999999999</v>
      </c>
      <c r="L4291">
        <v>141.02709999999999</v>
      </c>
      <c r="M4291">
        <v>-0.99994810000000001</v>
      </c>
      <c r="N4291">
        <v>0</v>
      </c>
      <c r="O4291">
        <v>6.5638010000000002E-3</v>
      </c>
      <c r="P4291">
        <v>-0.99341880000000005</v>
      </c>
      <c r="Q4291">
        <v>-1.7236629999999999E-2</v>
      </c>
      <c r="R4291">
        <v>0.1132364</v>
      </c>
      <c r="S4291">
        <v>-3.0062259999999998</v>
      </c>
      <c r="T4291">
        <v>-0.13768639999999999</v>
      </c>
      <c r="U4291">
        <v>9.7183229999999995E-2</v>
      </c>
      <c r="V4291">
        <v>0.1067091</v>
      </c>
      <c r="W4291">
        <v>-9.5233160000000004E-3</v>
      </c>
      <c r="X4291">
        <v>0.99424469999999998</v>
      </c>
      <c r="Y4291">
        <v>2.5729109999999999E-2</v>
      </c>
      <c r="Z4291">
        <v>2.8835139999999998E-4</v>
      </c>
      <c r="AA4291">
        <v>0.99966889999999997</v>
      </c>
      <c r="AB4291">
        <v>27</v>
      </c>
      <c r="AC4291">
        <v>-23.944299999999998</v>
      </c>
      <c r="AD4291">
        <v>-1.1091329765839999</v>
      </c>
      <c r="AE4291">
        <v>0.78079999999999905</v>
      </c>
      <c r="AF4291">
        <v>0.62227900028814398</v>
      </c>
      <c r="AG4291">
        <v>-1.1091329765839999</v>
      </c>
      <c r="AH4291">
        <v>23.897687246976499</v>
      </c>
      <c r="AI4291">
        <v>92.6563901582022</v>
      </c>
      <c r="AJ4291">
        <v>88.508395185937999</v>
      </c>
      <c r="AK4291">
        <v>23.931503564720899</v>
      </c>
      <c r="AL4291">
        <v>90.545654048482902</v>
      </c>
      <c r="AM4291">
        <v>83.874077217308994</v>
      </c>
      <c r="AN4291">
        <v>1.00000002452426</v>
      </c>
    </row>
    <row r="4292" spans="1:40" x14ac:dyDescent="0.25">
      <c r="A4292" t="str">
        <f>"20190312161055814"</f>
        <v>20190312161055814</v>
      </c>
      <c r="B4292" t="str">
        <f>"1552378255810672"</f>
        <v>1552378255810672</v>
      </c>
      <c r="C4292" t="s">
        <v>40</v>
      </c>
      <c r="D4292">
        <v>5.8265719999999996</v>
      </c>
      <c r="E4292">
        <v>0.47173900000000002</v>
      </c>
      <c r="F4292" t="s">
        <v>87</v>
      </c>
      <c r="G4292">
        <v>-282.3082</v>
      </c>
      <c r="H4292" s="1">
        <v>-5.3997439999999997E-6</v>
      </c>
      <c r="I4292">
        <v>141.9607</v>
      </c>
      <c r="J4292">
        <v>-257.77260000000001</v>
      </c>
      <c r="K4292">
        <v>1.109138</v>
      </c>
      <c r="L4292">
        <v>141.02889999999999</v>
      </c>
      <c r="M4292">
        <v>-0.99994669999999997</v>
      </c>
      <c r="N4292">
        <v>0</v>
      </c>
      <c r="O4292">
        <v>6.7622749999999999E-3</v>
      </c>
      <c r="P4292">
        <v>-0.99328780000000005</v>
      </c>
      <c r="Q4292">
        <v>-1.715653E-2</v>
      </c>
      <c r="R4292">
        <v>0.1143907</v>
      </c>
      <c r="S4292">
        <v>-3.0046390000000001</v>
      </c>
      <c r="T4292">
        <v>-0.13444690000000001</v>
      </c>
      <c r="U4292">
        <v>0.11317439999999999</v>
      </c>
      <c r="V4292">
        <v>0.1076671</v>
      </c>
      <c r="W4292">
        <v>-9.4311849999999999E-3</v>
      </c>
      <c r="X4292">
        <v>0.99414230000000003</v>
      </c>
      <c r="Y4292">
        <v>3.0857260000000001E-2</v>
      </c>
      <c r="Z4292">
        <v>3.8745959999999998E-4</v>
      </c>
      <c r="AA4292">
        <v>0.99952370000000001</v>
      </c>
      <c r="AB4292">
        <v>27</v>
      </c>
      <c r="AC4292">
        <v>-24.535599999999899</v>
      </c>
      <c r="AD4292">
        <v>-1.1091433997439999</v>
      </c>
      <c r="AE4292">
        <v>0.93180000000000895</v>
      </c>
      <c r="AF4292">
        <v>0.76429755012411904</v>
      </c>
      <c r="AG4292">
        <v>-1.1091433997439999</v>
      </c>
      <c r="AH4292">
        <v>24.491363380920401</v>
      </c>
      <c r="AI4292">
        <v>92.591729371512201</v>
      </c>
      <c r="AJ4292">
        <v>88.2125610562953</v>
      </c>
      <c r="AK4292">
        <v>24.528376018045101</v>
      </c>
      <c r="AL4292">
        <v>90.5403750899427</v>
      </c>
      <c r="AM4292">
        <v>83.818872729689005</v>
      </c>
      <c r="AN4292">
        <v>1.0000000321611</v>
      </c>
    </row>
    <row r="4293" spans="1:40" x14ac:dyDescent="0.25">
      <c r="A4293" t="str">
        <f>"20190312161055837"</f>
        <v>20190312161055837</v>
      </c>
      <c r="B4293" t="str">
        <f>"1552378255831168"</f>
        <v>1552378255831168</v>
      </c>
      <c r="C4293" t="s">
        <v>40</v>
      </c>
      <c r="D4293">
        <v>6.1166710000000002</v>
      </c>
      <c r="E4293">
        <v>0.47252919999999998</v>
      </c>
      <c r="F4293" t="s">
        <v>87</v>
      </c>
      <c r="G4293">
        <v>-283.11829999999998</v>
      </c>
      <c r="H4293" s="1">
        <v>-5.7828580000000003E-6</v>
      </c>
      <c r="I4293">
        <v>142.03450000000001</v>
      </c>
      <c r="J4293">
        <v>-258.0557</v>
      </c>
      <c r="K4293">
        <v>1.1091530000000001</v>
      </c>
      <c r="L4293">
        <v>141.03110000000001</v>
      </c>
      <c r="M4293">
        <v>-0.99994499999999997</v>
      </c>
      <c r="N4293">
        <v>0</v>
      </c>
      <c r="O4293">
        <v>6.9630069999999898E-3</v>
      </c>
      <c r="P4293">
        <v>-0.99320819999999999</v>
      </c>
      <c r="Q4293">
        <v>-1.6902230000000001E-2</v>
      </c>
      <c r="R4293">
        <v>0.1151158</v>
      </c>
      <c r="S4293">
        <v>-3.0042420000000001</v>
      </c>
      <c r="T4293">
        <v>-0.13146749999999999</v>
      </c>
      <c r="U4293">
        <v>0.1191864</v>
      </c>
      <c r="V4293">
        <v>0.1081935</v>
      </c>
      <c r="W4293">
        <v>-9.1603499999999994E-3</v>
      </c>
      <c r="X4293">
        <v>0.99408759999999996</v>
      </c>
      <c r="Y4293">
        <v>3.2658260000000001E-2</v>
      </c>
      <c r="Z4293">
        <v>4.0951349999999997E-4</v>
      </c>
      <c r="AA4293">
        <v>0.99946650000000004</v>
      </c>
      <c r="AB4293">
        <v>27</v>
      </c>
      <c r="AC4293">
        <v>-25.0625999999999</v>
      </c>
      <c r="AD4293">
        <v>-1.1091587828579901</v>
      </c>
      <c r="AE4293">
        <v>1.0033999999999901</v>
      </c>
      <c r="AF4293">
        <v>0.82724164384577703</v>
      </c>
      <c r="AG4293">
        <v>-1.1091587828579901</v>
      </c>
      <c r="AH4293">
        <v>25.020054621492001</v>
      </c>
      <c r="AI4293">
        <v>92.536920801543005</v>
      </c>
      <c r="AJ4293">
        <v>88.106311289687298</v>
      </c>
      <c r="AK4293">
        <v>25.058285959046501</v>
      </c>
      <c r="AL4293">
        <v>90.524856760072197</v>
      </c>
      <c r="AM4293">
        <v>83.788548842482498</v>
      </c>
      <c r="AN4293">
        <v>0.99999995096406402</v>
      </c>
    </row>
    <row r="4294" spans="1:40" x14ac:dyDescent="0.25">
      <c r="A4294" t="str">
        <f>"20190312161055861"</f>
        <v>20190312161055861</v>
      </c>
      <c r="B4294" t="str">
        <f>"1552378255851663"</f>
        <v>1552378255851663</v>
      </c>
      <c r="C4294" t="s">
        <v>40</v>
      </c>
      <c r="D4294">
        <v>5.895092</v>
      </c>
      <c r="E4294">
        <v>0.47325630000000002</v>
      </c>
      <c r="F4294" t="s">
        <v>87</v>
      </c>
      <c r="G4294">
        <v>-283.78120000000001</v>
      </c>
      <c r="H4294" s="1">
        <v>-6.1059899999999998E-6</v>
      </c>
      <c r="I4294">
        <v>142.12459999999999</v>
      </c>
      <c r="J4294">
        <v>-258.33929999999998</v>
      </c>
      <c r="K4294">
        <v>1.109181</v>
      </c>
      <c r="L4294">
        <v>141.03319999999999</v>
      </c>
      <c r="M4294">
        <v>-0.99994380000000005</v>
      </c>
      <c r="N4294">
        <v>0</v>
      </c>
      <c r="O4294">
        <v>7.1344249999999998E-3</v>
      </c>
      <c r="P4294">
        <v>-0.99314709999999995</v>
      </c>
      <c r="Q4294">
        <v>-1.6812210000000001E-2</v>
      </c>
      <c r="R4294">
        <v>0.1156567</v>
      </c>
      <c r="S4294">
        <v>-3.003479</v>
      </c>
      <c r="T4294">
        <v>-0.12949569999999999</v>
      </c>
      <c r="U4294">
        <v>0.12767029999999999</v>
      </c>
      <c r="V4294">
        <v>0.10856499999999999</v>
      </c>
      <c r="W4294">
        <v>-9.0514259999999996E-3</v>
      </c>
      <c r="X4294">
        <v>0.99404809999999999</v>
      </c>
      <c r="Y4294">
        <v>3.5313700000000003E-2</v>
      </c>
      <c r="Z4294">
        <v>4.532661E-4</v>
      </c>
      <c r="AA4294">
        <v>0.99937619999999905</v>
      </c>
      <c r="AB4294">
        <v>27</v>
      </c>
      <c r="AC4294">
        <v>-25.4419</v>
      </c>
      <c r="AD4294">
        <v>-1.10918710598999</v>
      </c>
      <c r="AE4294">
        <v>1.0913999999999899</v>
      </c>
      <c r="AF4294">
        <v>0.90813041197448097</v>
      </c>
      <c r="AG4294">
        <v>-1.10918710598999</v>
      </c>
      <c r="AH4294">
        <v>25.400848830653899</v>
      </c>
      <c r="AI4294">
        <v>92.498770503835999</v>
      </c>
      <c r="AJ4294">
        <v>87.952435054058597</v>
      </c>
      <c r="AK4294">
        <v>25.4412680147625</v>
      </c>
      <c r="AL4294">
        <v>90.518615612740206</v>
      </c>
      <c r="AM4294">
        <v>83.767142668879202</v>
      </c>
      <c r="AN4294">
        <v>0.99999995632562</v>
      </c>
    </row>
    <row r="4295" spans="1:40" x14ac:dyDescent="0.25">
      <c r="A4295" t="str">
        <f>"20190312161055885"</f>
        <v>20190312161055885</v>
      </c>
      <c r="B4295" t="str">
        <f>"1552378255880945"</f>
        <v>1552378255880945</v>
      </c>
      <c r="C4295" t="s">
        <v>40</v>
      </c>
      <c r="D4295">
        <v>5.851216</v>
      </c>
      <c r="E4295">
        <v>0.4739352</v>
      </c>
      <c r="F4295" t="s">
        <v>87</v>
      </c>
      <c r="G4295">
        <v>-284.00720000000001</v>
      </c>
      <c r="H4295" s="1">
        <v>-6.2267780000000001E-6</v>
      </c>
      <c r="I4295">
        <v>142.18809999999999</v>
      </c>
      <c r="J4295">
        <v>-258.63080000000002</v>
      </c>
      <c r="K4295">
        <v>1.109205</v>
      </c>
      <c r="L4295">
        <v>141.03550000000001</v>
      </c>
      <c r="M4295">
        <v>-0.99994269999999996</v>
      </c>
      <c r="N4295">
        <v>0</v>
      </c>
      <c r="O4295">
        <v>7.2761329999999997E-3</v>
      </c>
      <c r="P4295">
        <v>-0.99320569999999997</v>
      </c>
      <c r="Q4295">
        <v>-1.6270360000000001E-2</v>
      </c>
      <c r="R4295">
        <v>0.1152311</v>
      </c>
      <c r="S4295">
        <v>-3.002777</v>
      </c>
      <c r="T4295">
        <v>-0.12975909999999999</v>
      </c>
      <c r="U4295">
        <v>0.13510129999999901</v>
      </c>
      <c r="V4295">
        <v>0.10799889999999999</v>
      </c>
      <c r="W4295">
        <v>-8.4906510000000001E-3</v>
      </c>
      <c r="X4295">
        <v>0.99411479999999997</v>
      </c>
      <c r="Y4295">
        <v>3.7648170000000002E-2</v>
      </c>
      <c r="Z4295">
        <v>4.9854269999999995E-4</v>
      </c>
      <c r="AA4295">
        <v>0.99929089999999998</v>
      </c>
      <c r="AB4295">
        <v>27</v>
      </c>
      <c r="AC4295">
        <v>-25.376399999999901</v>
      </c>
      <c r="AD4295">
        <v>-1.1092112267780001</v>
      </c>
      <c r="AE4295">
        <v>1.1525999999999701</v>
      </c>
      <c r="AF4295">
        <v>0.96607974692330301</v>
      </c>
      <c r="AG4295">
        <v>-1.1092112267780001</v>
      </c>
      <c r="AH4295">
        <v>25.3358081434382</v>
      </c>
      <c r="AI4295">
        <v>92.505011874547606</v>
      </c>
      <c r="AJ4295">
        <v>87.816312457083797</v>
      </c>
      <c r="AK4295">
        <v>25.378471859119799</v>
      </c>
      <c r="AL4295">
        <v>90.486484291258705</v>
      </c>
      <c r="AM4295">
        <v>83.799802170883794</v>
      </c>
      <c r="AN4295">
        <v>1.0000000445673201</v>
      </c>
    </row>
    <row r="4296" spans="1:40" x14ac:dyDescent="0.25">
      <c r="A4296" t="str">
        <f>"20190312161055907"</f>
        <v>20190312161055907</v>
      </c>
      <c r="B4296" t="str">
        <f>"1552378255901441"</f>
        <v>1552378255901441</v>
      </c>
      <c r="C4296" t="s">
        <v>40</v>
      </c>
      <c r="D4296">
        <v>5.8275870000000003</v>
      </c>
      <c r="E4296">
        <v>0.4741147</v>
      </c>
      <c r="F4296" t="s">
        <v>87</v>
      </c>
      <c r="G4296">
        <v>-284.2441</v>
      </c>
      <c r="H4296" s="1">
        <v>-6.3430460000000001E-6</v>
      </c>
      <c r="I4296">
        <v>142.2227</v>
      </c>
      <c r="J4296">
        <v>-258.90629999999999</v>
      </c>
      <c r="K4296">
        <v>1.1092249999999999</v>
      </c>
      <c r="L4296">
        <v>141.0376</v>
      </c>
      <c r="M4296">
        <v>-0.999942</v>
      </c>
      <c r="N4296">
        <v>0</v>
      </c>
      <c r="O4296">
        <v>7.3749519999999997E-3</v>
      </c>
      <c r="P4296">
        <v>-0.99316400000000005</v>
      </c>
      <c r="Q4296">
        <v>-1.663237E-2</v>
      </c>
      <c r="R4296">
        <v>0.1155375</v>
      </c>
      <c r="S4296">
        <v>-3.0022280000000001</v>
      </c>
      <c r="T4296">
        <v>-0.1300143</v>
      </c>
      <c r="U4296">
        <v>0.13916020000000001</v>
      </c>
      <c r="V4296">
        <v>0.1082077</v>
      </c>
      <c r="W4296">
        <v>-8.839497E-3</v>
      </c>
      <c r="X4296">
        <v>0.994089</v>
      </c>
      <c r="Y4296">
        <v>3.8904580000000001E-2</v>
      </c>
      <c r="Z4296">
        <v>5.2250129999999997E-4</v>
      </c>
      <c r="AA4296">
        <v>0.99924279999999999</v>
      </c>
      <c r="AB4296">
        <v>27</v>
      </c>
      <c r="AC4296">
        <v>-25.337800000000001</v>
      </c>
      <c r="AD4296">
        <v>-1.1092313430459999</v>
      </c>
      <c r="AE4296">
        <v>1.1851</v>
      </c>
      <c r="AF4296">
        <v>0.99629173887979305</v>
      </c>
      <c r="AG4296">
        <v>-1.1092313430459999</v>
      </c>
      <c r="AH4296">
        <v>25.2974746959542</v>
      </c>
      <c r="AI4296">
        <v>92.508726928844197</v>
      </c>
      <c r="AJ4296">
        <v>87.744682922733006</v>
      </c>
      <c r="AK4296">
        <v>25.341373628787299</v>
      </c>
      <c r="AL4296">
        <v>90.506472471259698</v>
      </c>
      <c r="AM4296">
        <v>83.787748666506005</v>
      </c>
      <c r="AN4296">
        <v>0.99999999148375096</v>
      </c>
    </row>
    <row r="4297" spans="1:40" x14ac:dyDescent="0.25">
      <c r="A4297" t="str">
        <f>"20190312161055975"</f>
        <v>20190312161055975</v>
      </c>
      <c r="B4297" t="str">
        <f>"1552378255970736"</f>
        <v>1552378255970736</v>
      </c>
      <c r="C4297" t="s">
        <v>40</v>
      </c>
      <c r="D4297">
        <v>5.7388779999999997</v>
      </c>
      <c r="E4297">
        <v>0.47463379999999999</v>
      </c>
      <c r="F4297" t="s">
        <v>87</v>
      </c>
      <c r="G4297">
        <v>-284.3621</v>
      </c>
      <c r="H4297" s="1">
        <v>-6.4000709999999998E-6</v>
      </c>
      <c r="I4297">
        <v>142.2373</v>
      </c>
      <c r="J4297">
        <v>-259.74099999999999</v>
      </c>
      <c r="K4297">
        <v>1.109264</v>
      </c>
      <c r="L4297">
        <v>141.04399999999899</v>
      </c>
      <c r="M4297">
        <v>-0.99994050000000001</v>
      </c>
      <c r="N4297">
        <v>0</v>
      </c>
      <c r="O4297">
        <v>7.5377200000000004E-3</v>
      </c>
      <c r="P4297">
        <v>-0.99298520000000001</v>
      </c>
      <c r="Q4297">
        <v>-1.751198E-2</v>
      </c>
      <c r="R4297">
        <v>0.1169361</v>
      </c>
      <c r="S4297">
        <v>-3.0019840000000002</v>
      </c>
      <c r="T4297">
        <v>-0.13081110000000001</v>
      </c>
      <c r="U4297">
        <v>0.14147950000000001</v>
      </c>
      <c r="V4297">
        <v>0.1094469</v>
      </c>
      <c r="W4297">
        <v>-9.6911840000000003E-3</v>
      </c>
      <c r="X4297">
        <v>0.99394539999999998</v>
      </c>
      <c r="Y4297">
        <v>3.9515219999999997E-2</v>
      </c>
      <c r="Z4297">
        <v>5.3193939999999996E-4</v>
      </c>
      <c r="AA4297">
        <v>0.99921879999999996</v>
      </c>
      <c r="AB4297">
        <v>28</v>
      </c>
      <c r="AC4297">
        <v>-24.621099999999998</v>
      </c>
      <c r="AD4297">
        <v>-1.1092704000710001</v>
      </c>
      <c r="AE4297">
        <v>1.19330000000002</v>
      </c>
      <c r="AF4297">
        <v>1.00563687994107</v>
      </c>
      <c r="AG4297">
        <v>-1.1092704000710001</v>
      </c>
      <c r="AH4297">
        <v>24.579619977470099</v>
      </c>
      <c r="AI4297">
        <v>92.581829880030497</v>
      </c>
      <c r="AJ4297">
        <v>87.657139055973502</v>
      </c>
      <c r="AK4297">
        <v>24.625180295616399</v>
      </c>
      <c r="AL4297">
        <v>90.555272633376703</v>
      </c>
      <c r="AM4297">
        <v>83.716270957173094</v>
      </c>
      <c r="AN4297">
        <v>1.0000000005740399</v>
      </c>
    </row>
    <row r="4298" spans="1:40" x14ac:dyDescent="0.25">
      <c r="A4298" t="str">
        <f>"20190312161055998"</f>
        <v>20190312161055998</v>
      </c>
      <c r="B4298" t="str">
        <f>"1552378255991231"</f>
        <v>1552378255991231</v>
      </c>
      <c r="C4298" t="s">
        <v>40</v>
      </c>
      <c r="D4298">
        <v>5.7508330000000001</v>
      </c>
      <c r="E4298">
        <v>0.47386640000000002</v>
      </c>
      <c r="F4298" t="s">
        <v>87</v>
      </c>
      <c r="G4298">
        <v>-283.10640000000001</v>
      </c>
      <c r="H4298" s="1">
        <v>-5.8348119999999898E-6</v>
      </c>
      <c r="I4298">
        <v>142.21119999999999</v>
      </c>
      <c r="J4298">
        <v>-260.02659999999997</v>
      </c>
      <c r="K4298">
        <v>1.1092630000000001</v>
      </c>
      <c r="L4298">
        <v>141.0462</v>
      </c>
      <c r="M4298">
        <v>-0.9999403</v>
      </c>
      <c r="N4298">
        <v>0</v>
      </c>
      <c r="O4298">
        <v>7.5640539999999997E-3</v>
      </c>
      <c r="P4298">
        <v>-0.99303030000000003</v>
      </c>
      <c r="Q4298">
        <v>-1.8150010000000001E-2</v>
      </c>
      <c r="R4298">
        <v>0.1164543</v>
      </c>
      <c r="S4298">
        <v>-3.0010680000000001</v>
      </c>
      <c r="T4298">
        <v>-0.14247499999999999</v>
      </c>
      <c r="U4298">
        <v>0.14991760000000001</v>
      </c>
      <c r="V4298">
        <v>0.1089383</v>
      </c>
      <c r="W4298">
        <v>-1.032477E-2</v>
      </c>
      <c r="X4298">
        <v>0.99399490000000001</v>
      </c>
      <c r="Y4298">
        <v>4.2297229999999998E-2</v>
      </c>
      <c r="Z4298">
        <v>6.4416799999999998E-4</v>
      </c>
      <c r="AA4298">
        <v>0.99910489999999996</v>
      </c>
      <c r="AB4298">
        <v>28</v>
      </c>
      <c r="AC4298">
        <v>-23.079799999999999</v>
      </c>
      <c r="AD4298">
        <v>-1.1092688348119999</v>
      </c>
      <c r="AE4298">
        <v>1.16499999999999</v>
      </c>
      <c r="AF4298">
        <v>0.98810767328159699</v>
      </c>
      <c r="AG4298">
        <v>-1.1092688348119999</v>
      </c>
      <c r="AH4298">
        <v>23.034877056408</v>
      </c>
      <c r="AI4298">
        <v>92.754479762602799</v>
      </c>
      <c r="AJ4298">
        <v>87.543737154688699</v>
      </c>
      <c r="AK4298">
        <v>23.0827293690697</v>
      </c>
      <c r="AL4298">
        <v>90.591576251657003</v>
      </c>
      <c r="AM4298">
        <v>83.745548499002794</v>
      </c>
      <c r="AN4298">
        <v>1.0000000076542199</v>
      </c>
    </row>
    <row r="4299" spans="1:40" x14ac:dyDescent="0.25">
      <c r="A4299" t="str">
        <f>"20190312161056016"</f>
        <v>20190312161056016</v>
      </c>
      <c r="B4299" t="str">
        <f>"1552378256010753"</f>
        <v>1552378256010753</v>
      </c>
      <c r="C4299" t="s">
        <v>40</v>
      </c>
      <c r="D4299">
        <v>5.7468599999999999</v>
      </c>
      <c r="E4299">
        <v>0.44471460000000002</v>
      </c>
      <c r="F4299" t="s">
        <v>87</v>
      </c>
      <c r="G4299">
        <v>-283.14870000000002</v>
      </c>
      <c r="H4299" s="1">
        <v>-5.831585E-6</v>
      </c>
      <c r="I4299">
        <v>142.14330000000001</v>
      </c>
      <c r="J4299">
        <v>-260.26119999999997</v>
      </c>
      <c r="K4299">
        <v>1.1092610000000001</v>
      </c>
      <c r="L4299">
        <v>141.048</v>
      </c>
      <c r="M4299">
        <v>-0.9999403</v>
      </c>
      <c r="N4299">
        <v>0</v>
      </c>
      <c r="O4299">
        <v>7.5814899999999998E-3</v>
      </c>
      <c r="P4299">
        <v>-0.99303859999999999</v>
      </c>
      <c r="Q4299">
        <v>-1.949503E-2</v>
      </c>
      <c r="R4299">
        <v>0.1161663</v>
      </c>
      <c r="S4299">
        <v>-3.0017399999999999</v>
      </c>
      <c r="T4299">
        <v>-0.14400639999999901</v>
      </c>
      <c r="U4299">
        <v>0.14242550000000001</v>
      </c>
      <c r="V4299">
        <v>0.1086331</v>
      </c>
      <c r="W4299">
        <v>-1.166857E-2</v>
      </c>
      <c r="X4299">
        <v>0.99401340000000005</v>
      </c>
      <c r="Y4299">
        <v>3.978284E-2</v>
      </c>
      <c r="Z4299">
        <v>5.8989730000000003E-4</v>
      </c>
      <c r="AA4299">
        <v>0.99920819999999999</v>
      </c>
      <c r="AB4299">
        <v>28</v>
      </c>
      <c r="AC4299">
        <v>-22.887499999999999</v>
      </c>
      <c r="AD4299">
        <v>-1.1092668315850001</v>
      </c>
      <c r="AE4299">
        <v>1.0952999999999999</v>
      </c>
      <c r="AF4299">
        <v>0.91958665937150597</v>
      </c>
      <c r="AG4299">
        <v>-1.1092668315850001</v>
      </c>
      <c r="AH4299">
        <v>22.841615028955498</v>
      </c>
      <c r="AI4299">
        <v>92.778047507935</v>
      </c>
      <c r="AJ4299">
        <v>87.694558983325294</v>
      </c>
      <c r="AK4299">
        <v>22.887015743839399</v>
      </c>
      <c r="AL4299">
        <v>90.668575004514096</v>
      </c>
      <c r="AM4299">
        <v>83.763047757882802</v>
      </c>
      <c r="AN4299">
        <v>0.999999972660507</v>
      </c>
    </row>
    <row r="4300" spans="1:40" x14ac:dyDescent="0.25">
      <c r="A4300" t="str">
        <f>"20190312161056039"</f>
        <v>20190312161056039</v>
      </c>
      <c r="B4300" t="str">
        <f>"1552378256031248"</f>
        <v>1552378256031248</v>
      </c>
      <c r="C4300" t="s">
        <v>40</v>
      </c>
      <c r="D4300">
        <v>5.6751760000000004</v>
      </c>
      <c r="E4300">
        <v>0.44522260000000002</v>
      </c>
      <c r="F4300" t="s">
        <v>87</v>
      </c>
      <c r="G4300">
        <v>-289.2201</v>
      </c>
      <c r="H4300" s="1">
        <v>-8.6557510000000003E-6</v>
      </c>
      <c r="I4300">
        <v>140.19159999999999</v>
      </c>
      <c r="J4300">
        <v>-260.54050000000001</v>
      </c>
      <c r="K4300">
        <v>1.109259</v>
      </c>
      <c r="L4300">
        <v>141.05019999999999</v>
      </c>
      <c r="M4300">
        <v>-0.99994000000000005</v>
      </c>
      <c r="N4300">
        <v>0</v>
      </c>
      <c r="O4300">
        <v>7.6009019999999997E-3</v>
      </c>
      <c r="P4300">
        <v>-0.99302009999999996</v>
      </c>
      <c r="Q4300">
        <v>-2.039388E-2</v>
      </c>
      <c r="R4300">
        <v>0.1161686</v>
      </c>
      <c r="S4300">
        <v>-3.0292659999999998</v>
      </c>
      <c r="T4300">
        <v>-0.11603570000000001</v>
      </c>
      <c r="U4300">
        <v>-8.9584349999999993E-2</v>
      </c>
      <c r="V4300">
        <v>0.108616</v>
      </c>
      <c r="W4300">
        <v>-1.2566809999999999E-2</v>
      </c>
      <c r="X4300">
        <v>0.99400440000000001</v>
      </c>
      <c r="Y4300">
        <v>-3.7124219999999999E-2</v>
      </c>
      <c r="Z4300">
        <v>-1.0016000000000001E-3</v>
      </c>
      <c r="AA4300">
        <v>0.99931009999999998</v>
      </c>
      <c r="AB4300">
        <v>28</v>
      </c>
      <c r="AC4300">
        <v>-28.679599999999901</v>
      </c>
      <c r="AD4300">
        <v>-1.1092676557509999</v>
      </c>
      <c r="AE4300">
        <v>-0.85859999999999503</v>
      </c>
      <c r="AF4300">
        <v>-1.07496611664082</v>
      </c>
      <c r="AG4300">
        <v>-1.1092676557509999</v>
      </c>
      <c r="AH4300">
        <v>28.629454324002602</v>
      </c>
      <c r="AI4300">
        <v>92.217293127820398</v>
      </c>
      <c r="AJ4300">
        <v>92.150306509434799</v>
      </c>
      <c r="AK4300">
        <v>28.671094882724201</v>
      </c>
      <c r="AL4300">
        <v>90.720044089253506</v>
      </c>
      <c r="AM4300">
        <v>83.763965767291097</v>
      </c>
      <c r="AN4300">
        <v>1.00000005369446</v>
      </c>
    </row>
    <row r="4301" spans="1:40" x14ac:dyDescent="0.25">
      <c r="A4301" t="str">
        <f>"20190312161056061"</f>
        <v>20190312161056061</v>
      </c>
      <c r="B4301" t="str">
        <f>"1552378256050768"</f>
        <v>1552378256050768</v>
      </c>
      <c r="C4301" t="s">
        <v>40</v>
      </c>
      <c r="D4301">
        <v>5.6283289999999999</v>
      </c>
      <c r="E4301">
        <v>0.44528499999999999</v>
      </c>
      <c r="F4301" t="s">
        <v>87</v>
      </c>
      <c r="G4301">
        <v>-286.45999999999998</v>
      </c>
      <c r="H4301" s="1">
        <v>-6.9780489999999998E-6</v>
      </c>
      <c r="I4301">
        <v>140.31700000000001</v>
      </c>
      <c r="J4301">
        <v>-260.82650000000001</v>
      </c>
      <c r="K4301">
        <v>1.1092580000000001</v>
      </c>
      <c r="L4301">
        <v>141.0523</v>
      </c>
      <c r="M4301">
        <v>-0.99994000000000005</v>
      </c>
      <c r="N4301">
        <v>0</v>
      </c>
      <c r="O4301">
        <v>7.6203829999999997E-3</v>
      </c>
      <c r="P4301">
        <v>-0.99301150000000005</v>
      </c>
      <c r="Q4301">
        <v>-1.9838629999999999E-2</v>
      </c>
      <c r="R4301">
        <v>0.11633930000000001</v>
      </c>
      <c r="S4301">
        <v>-3.028473</v>
      </c>
      <c r="T4301">
        <v>-0.129608</v>
      </c>
      <c r="U4301">
        <v>-8.5662840000000004E-2</v>
      </c>
      <c r="V4301">
        <v>0.10876760000000001</v>
      </c>
      <c r="W4301">
        <v>-1.201033E-2</v>
      </c>
      <c r="X4301">
        <v>0.99399470000000001</v>
      </c>
      <c r="Y4301">
        <v>-3.5851500000000001E-2</v>
      </c>
      <c r="Z4301">
        <v>-1.0925830000000001E-3</v>
      </c>
      <c r="AA4301">
        <v>0.99935649999999998</v>
      </c>
      <c r="AB4301">
        <v>28</v>
      </c>
      <c r="AC4301">
        <v>-25.633499999999898</v>
      </c>
      <c r="AD4301">
        <v>-1.109264978049</v>
      </c>
      <c r="AE4301">
        <v>-0.73529999999999496</v>
      </c>
      <c r="AF4301">
        <v>-0.92888374829026699</v>
      </c>
      <c r="AG4301">
        <v>-1.109264978049</v>
      </c>
      <c r="AH4301">
        <v>25.579290755363299</v>
      </c>
      <c r="AI4301">
        <v>92.481484739968593</v>
      </c>
      <c r="AJ4301">
        <v>92.079719223718101</v>
      </c>
      <c r="AK4301">
        <v>25.620175826031598</v>
      </c>
      <c r="AL4301">
        <v>90.688157729211198</v>
      </c>
      <c r="AM4301">
        <v>83.755270126813002</v>
      </c>
      <c r="AN4301">
        <v>1.00000005123227</v>
      </c>
    </row>
    <row r="4302" spans="1:40" x14ac:dyDescent="0.25">
      <c r="A4302" t="str">
        <f>"20190312161056083"</f>
        <v>20190312161056083</v>
      </c>
      <c r="B4302" t="str">
        <f>"1552378256081025"</f>
        <v>1552378256081025</v>
      </c>
      <c r="C4302" t="s">
        <v>40</v>
      </c>
      <c r="D4302">
        <v>5.5088290000000004</v>
      </c>
      <c r="E4302">
        <v>0.44613819999999998</v>
      </c>
      <c r="F4302" t="s">
        <v>87</v>
      </c>
      <c r="G4302">
        <v>-286.77609999999999</v>
      </c>
      <c r="H4302" s="1">
        <v>-7.1779539999999997E-6</v>
      </c>
      <c r="I4302">
        <v>140.32669999999999</v>
      </c>
      <c r="J4302">
        <v>-261.10289999999998</v>
      </c>
      <c r="K4302">
        <v>1.1092569999999999</v>
      </c>
      <c r="L4302">
        <v>141.05449999999999</v>
      </c>
      <c r="M4302">
        <v>-0.99993980000000005</v>
      </c>
      <c r="N4302">
        <v>0</v>
      </c>
      <c r="O4302">
        <v>7.6402290000000001E-3</v>
      </c>
      <c r="P4302">
        <v>-0.99297420000000003</v>
      </c>
      <c r="Q4302">
        <v>-1.9305329999999999E-2</v>
      </c>
      <c r="R4302">
        <v>0.1167468</v>
      </c>
      <c r="S4302">
        <v>-3.0284420000000001</v>
      </c>
      <c r="T4302">
        <v>-0.12945690000000001</v>
      </c>
      <c r="U4302">
        <v>-8.4686280000000003E-2</v>
      </c>
      <c r="V4302">
        <v>0.10915560000000001</v>
      </c>
      <c r="W4302">
        <v>-1.1477660000000001E-2</v>
      </c>
      <c r="X4302">
        <v>0.99395840000000002</v>
      </c>
      <c r="Y4302">
        <v>-3.554997E-2</v>
      </c>
      <c r="Z4302">
        <v>-1.085733E-3</v>
      </c>
      <c r="AA4302">
        <v>0.99936729999999996</v>
      </c>
      <c r="AB4302">
        <v>28</v>
      </c>
      <c r="AC4302">
        <v>-25.673200000000001</v>
      </c>
      <c r="AD4302">
        <v>-1.109264177954</v>
      </c>
      <c r="AE4302">
        <v>-0.727800000000002</v>
      </c>
      <c r="AF4302">
        <v>-0.92221371239948102</v>
      </c>
      <c r="AG4302">
        <v>-1.109264177954</v>
      </c>
      <c r="AH4302">
        <v>25.6191012253874</v>
      </c>
      <c r="AI4302">
        <v>92.477659998398096</v>
      </c>
      <c r="AJ4302">
        <v>92.061592560338994</v>
      </c>
      <c r="AK4302">
        <v>25.659682241689499</v>
      </c>
      <c r="AL4302">
        <v>90.657635922068494</v>
      </c>
      <c r="AM4302">
        <v>83.732943567392994</v>
      </c>
      <c r="AN4302">
        <v>0.99999999131049699</v>
      </c>
    </row>
    <row r="4303" spans="1:40" x14ac:dyDescent="0.25">
      <c r="A4303" t="str">
        <f>"20190312161056107"</f>
        <v>20190312161056107</v>
      </c>
      <c r="B4303" t="str">
        <f>"1552378256101521"</f>
        <v>1552378256101521</v>
      </c>
      <c r="C4303" t="s">
        <v>40</v>
      </c>
      <c r="D4303">
        <v>5.4975069999999997</v>
      </c>
      <c r="E4303">
        <v>0.44653080000000001</v>
      </c>
      <c r="F4303" t="s">
        <v>87</v>
      </c>
      <c r="G4303">
        <v>-289.15839999999997</v>
      </c>
      <c r="H4303" s="1">
        <v>-8.6671709999999996E-6</v>
      </c>
      <c r="I4303">
        <v>140.34559999999999</v>
      </c>
      <c r="J4303">
        <v>-261.39519999999999</v>
      </c>
      <c r="K4303">
        <v>1.109251</v>
      </c>
      <c r="L4303">
        <v>141.05670000000001</v>
      </c>
      <c r="M4303">
        <v>-0.99993960000000004</v>
      </c>
      <c r="N4303">
        <v>0</v>
      </c>
      <c r="O4303">
        <v>7.6600150000000001E-3</v>
      </c>
      <c r="P4303">
        <v>-0.99298509999999995</v>
      </c>
      <c r="Q4303">
        <v>-1.9068129999999999E-2</v>
      </c>
      <c r="R4303">
        <v>0.1166917</v>
      </c>
      <c r="S4303">
        <v>-3.0278930000000002</v>
      </c>
      <c r="T4303">
        <v>-0.11971759999999999</v>
      </c>
      <c r="U4303">
        <v>-7.6507569999999997E-2</v>
      </c>
      <c r="V4303">
        <v>0.109081</v>
      </c>
      <c r="W4303">
        <v>-1.1243019999999999E-2</v>
      </c>
      <c r="X4303">
        <v>0.99396929999999994</v>
      </c>
      <c r="Y4303">
        <v>-3.2884940000000001E-2</v>
      </c>
      <c r="Z4303">
        <v>-9.5246079999999997E-4</v>
      </c>
      <c r="AA4303">
        <v>0.99945870000000003</v>
      </c>
      <c r="AB4303">
        <v>28</v>
      </c>
      <c r="AC4303">
        <v>-27.763199999999902</v>
      </c>
      <c r="AD4303">
        <v>-1.109259667171</v>
      </c>
      <c r="AE4303">
        <v>-0.71110000000001505</v>
      </c>
      <c r="AF4303">
        <v>-0.92228095488714001</v>
      </c>
      <c r="AG4303">
        <v>-1.109259667171</v>
      </c>
      <c r="AH4303">
        <v>27.7127280796742</v>
      </c>
      <c r="AI4303">
        <v>92.290892355317496</v>
      </c>
      <c r="AJ4303">
        <v>91.9061028619615</v>
      </c>
      <c r="AK4303">
        <v>27.750249670713298</v>
      </c>
      <c r="AL4303">
        <v>90.644191154326407</v>
      </c>
      <c r="AM4303">
        <v>83.737260736614203</v>
      </c>
      <c r="AN4303">
        <v>1.0000000197011001</v>
      </c>
    </row>
    <row r="4304" spans="1:40" x14ac:dyDescent="0.25">
      <c r="A4304" t="str">
        <f>"20190312161056129"</f>
        <v>20190312161056129</v>
      </c>
      <c r="B4304" t="str">
        <f>"1552378256121041"</f>
        <v>1552378256121041</v>
      </c>
      <c r="C4304" t="s">
        <v>40</v>
      </c>
      <c r="D4304">
        <v>5.4396509999999996</v>
      </c>
      <c r="E4304">
        <v>0.44732490000000003</v>
      </c>
      <c r="F4304" t="s">
        <v>87</v>
      </c>
      <c r="G4304">
        <v>-292.4384</v>
      </c>
      <c r="H4304" s="1">
        <v>-8.8919879999999994E-6</v>
      </c>
      <c r="I4304">
        <v>140.303</v>
      </c>
      <c r="J4304">
        <v>-261.67329999999998</v>
      </c>
      <c r="K4304">
        <v>1.109248</v>
      </c>
      <c r="L4304">
        <v>141.05889999999999</v>
      </c>
      <c r="M4304">
        <v>-0.99993969999999999</v>
      </c>
      <c r="N4304">
        <v>0</v>
      </c>
      <c r="O4304">
        <v>7.6746009999999996E-3</v>
      </c>
      <c r="P4304">
        <v>-0.99292979999999997</v>
      </c>
      <c r="Q4304">
        <v>-1.9012439999999999E-2</v>
      </c>
      <c r="R4304">
        <v>0.1171719</v>
      </c>
      <c r="S4304">
        <v>-3.0277400000000001</v>
      </c>
      <c r="T4304">
        <v>-0.10818990000000001</v>
      </c>
      <c r="U4304">
        <v>-7.3516849999999995E-2</v>
      </c>
      <c r="V4304">
        <v>0.10954700000000001</v>
      </c>
      <c r="W4304">
        <v>-1.119026E-2</v>
      </c>
      <c r="X4304">
        <v>0.99391859999999999</v>
      </c>
      <c r="Y4304">
        <v>-3.1920549999999999E-2</v>
      </c>
      <c r="Z4304">
        <v>-8.4416190000000005E-4</v>
      </c>
      <c r="AA4304">
        <v>0.99949010000000005</v>
      </c>
      <c r="AB4304">
        <v>28</v>
      </c>
      <c r="AC4304">
        <v>-30.7651</v>
      </c>
      <c r="AD4304">
        <v>-1.1092568919879999</v>
      </c>
      <c r="AE4304">
        <v>-0.75589999999999602</v>
      </c>
      <c r="AF4304">
        <v>-0.99070773277610702</v>
      </c>
      <c r="AG4304">
        <v>-1.1092568919879999</v>
      </c>
      <c r="AH4304">
        <v>30.718482171471301</v>
      </c>
      <c r="AI4304">
        <v>92.067001557353294</v>
      </c>
      <c r="AJ4304">
        <v>91.847217032621202</v>
      </c>
      <c r="AK4304">
        <v>30.754464709749101</v>
      </c>
      <c r="AL4304">
        <v>90.641168067363395</v>
      </c>
      <c r="AM4304">
        <v>83.710401672725595</v>
      </c>
      <c r="AN4304">
        <v>0.99999997527691298</v>
      </c>
    </row>
    <row r="4305" spans="1:40" x14ac:dyDescent="0.25">
      <c r="A4305" t="str">
        <f>"20190312161056151"</f>
        <v>20190312161056151</v>
      </c>
      <c r="B4305" t="str">
        <f>"1552378256141535"</f>
        <v>1552378256141535</v>
      </c>
      <c r="C4305" t="s">
        <v>40</v>
      </c>
      <c r="D4305">
        <v>5.3835569999999997</v>
      </c>
      <c r="E4305">
        <v>0.44778319999999999</v>
      </c>
      <c r="F4305" t="s">
        <v>87</v>
      </c>
      <c r="G4305">
        <v>-293.88339999999999</v>
      </c>
      <c r="H4305" s="1">
        <v>-8.7798080000000004E-6</v>
      </c>
      <c r="I4305">
        <v>140.35900000000001</v>
      </c>
      <c r="J4305">
        <v>-261.95460000000003</v>
      </c>
      <c r="K4305">
        <v>1.1092470000000001</v>
      </c>
      <c r="L4305">
        <v>141.06110000000001</v>
      </c>
      <c r="M4305">
        <v>-0.99993960000000004</v>
      </c>
      <c r="N4305">
        <v>0</v>
      </c>
      <c r="O4305">
        <v>7.6853599999999996E-3</v>
      </c>
      <c r="P4305">
        <v>-0.99293450000000005</v>
      </c>
      <c r="Q4305">
        <v>-1.9208329999999999E-2</v>
      </c>
      <c r="R4305">
        <v>0.11709940000000001</v>
      </c>
      <c r="S4305">
        <v>-3.0271300000000001</v>
      </c>
      <c r="T4305">
        <v>-0.1042486</v>
      </c>
      <c r="U4305">
        <v>-6.5780640000000001E-2</v>
      </c>
      <c r="V4305">
        <v>0.1094639</v>
      </c>
      <c r="W4305">
        <v>-1.138726E-2</v>
      </c>
      <c r="X4305">
        <v>0.99392559999999996</v>
      </c>
      <c r="Y4305">
        <v>-2.9386410000000002E-2</v>
      </c>
      <c r="Z4305">
        <v>-7.7036819999999997E-4</v>
      </c>
      <c r="AA4305">
        <v>0.99956780000000001</v>
      </c>
      <c r="AB4305">
        <v>28</v>
      </c>
      <c r="AC4305">
        <v>-31.928799999999899</v>
      </c>
      <c r="AD4305">
        <v>-1.1092557798079901</v>
      </c>
      <c r="AE4305">
        <v>-0.70210000000000095</v>
      </c>
      <c r="AF4305">
        <v>-0.94632951657060604</v>
      </c>
      <c r="AG4305">
        <v>-1.1092557798079901</v>
      </c>
      <c r="AH4305">
        <v>31.8839963552409</v>
      </c>
      <c r="AI4305">
        <v>91.991660923228494</v>
      </c>
      <c r="AJ4305">
        <v>91.700062114830402</v>
      </c>
      <c r="AK4305">
        <v>31.917318363546599</v>
      </c>
      <c r="AL4305">
        <v>90.652456002359699</v>
      </c>
      <c r="AM4305">
        <v>83.715178541469299</v>
      </c>
      <c r="AN4305">
        <v>1.00000005671443</v>
      </c>
    </row>
    <row r="4306" spans="1:40" x14ac:dyDescent="0.25">
      <c r="A4306" t="str">
        <f>"20190312161056283"</f>
        <v>20190312161056283</v>
      </c>
      <c r="B4306" t="str">
        <f>"1552378256271349"</f>
        <v>1552378256271349</v>
      </c>
      <c r="C4306" t="s">
        <v>40</v>
      </c>
      <c r="D4306">
        <v>5.0812480000000004</v>
      </c>
      <c r="E4306">
        <v>0.44553280000000001</v>
      </c>
      <c r="F4306" t="s">
        <v>87</v>
      </c>
      <c r="G4306">
        <v>-294.33819999999997</v>
      </c>
      <c r="H4306" s="1">
        <v>-8.7486699999999994E-6</v>
      </c>
      <c r="I4306">
        <v>140.39240000000001</v>
      </c>
      <c r="J4306">
        <v>-263.64370000000002</v>
      </c>
      <c r="K4306">
        <v>1.1092770000000001</v>
      </c>
      <c r="L4306">
        <v>141.07399999999899</v>
      </c>
      <c r="M4306">
        <v>-0.99993969999999999</v>
      </c>
      <c r="N4306">
        <v>0</v>
      </c>
      <c r="O4306">
        <v>7.6548619999999897E-3</v>
      </c>
      <c r="P4306">
        <v>-0.99310149999999997</v>
      </c>
      <c r="Q4306">
        <v>-1.5784799999999901E-2</v>
      </c>
      <c r="R4306">
        <v>0.116191</v>
      </c>
      <c r="S4306">
        <v>-3.0267029999999999</v>
      </c>
      <c r="T4306">
        <v>-0.10367560000000001</v>
      </c>
      <c r="U4306">
        <v>-6.25E-2</v>
      </c>
      <c r="V4306">
        <v>0.1085853</v>
      </c>
      <c r="W4306">
        <v>-7.9480680000000008E-3</v>
      </c>
      <c r="X4306">
        <v>0.99405540000000003</v>
      </c>
      <c r="Y4306">
        <v>-2.827694E-2</v>
      </c>
      <c r="Z4306">
        <v>-7.462142E-4</v>
      </c>
      <c r="AA4306">
        <v>0.99959989999999999</v>
      </c>
      <c r="AB4306">
        <v>29</v>
      </c>
      <c r="AC4306">
        <v>-30.694499999999898</v>
      </c>
      <c r="AD4306">
        <v>-1.1092857486700001</v>
      </c>
      <c r="AE4306">
        <v>-0.681599999999974</v>
      </c>
      <c r="AF4306">
        <v>-0.91535454847303299</v>
      </c>
      <c r="AG4306">
        <v>-1.1092857486700001</v>
      </c>
      <c r="AH4306">
        <v>30.648373786768499</v>
      </c>
      <c r="AI4306">
        <v>92.0719327535693</v>
      </c>
      <c r="AJ4306">
        <v>91.710706323223604</v>
      </c>
      <c r="AK4306">
        <v>30.6820990904321</v>
      </c>
      <c r="AL4306">
        <v>90.4553955288293</v>
      </c>
      <c r="AM4306">
        <v>83.766031814946601</v>
      </c>
      <c r="AN4306">
        <v>1.00000003871509</v>
      </c>
    </row>
    <row r="4307" spans="1:40" x14ac:dyDescent="0.25">
      <c r="A4307" t="str">
        <f>"20190312161056307"</f>
        <v>20190312161056307</v>
      </c>
      <c r="B4307" t="str">
        <f>"1552378256300625"</f>
        <v>1552378256300625</v>
      </c>
      <c r="C4307" t="s">
        <v>40</v>
      </c>
      <c r="D4307">
        <v>4.6862899999999996</v>
      </c>
      <c r="E4307">
        <v>0.44269059999999999</v>
      </c>
      <c r="F4307" t="s">
        <v>87</v>
      </c>
      <c r="G4307">
        <v>-291.44470000000001</v>
      </c>
      <c r="H4307" s="1">
        <v>-8.9817079999999993E-6</v>
      </c>
      <c r="I4307">
        <v>140.31219999999999</v>
      </c>
      <c r="J4307">
        <v>-263.9504</v>
      </c>
      <c r="K4307">
        <v>1.1092869999999999</v>
      </c>
      <c r="L4307">
        <v>141.07640000000001</v>
      </c>
      <c r="M4307">
        <v>-0.99994000000000005</v>
      </c>
      <c r="N4307">
        <v>0</v>
      </c>
      <c r="O4307">
        <v>7.6108719999999899E-3</v>
      </c>
      <c r="P4307">
        <v>-0.99313689999999999</v>
      </c>
      <c r="Q4307">
        <v>-1.5677569999999998E-2</v>
      </c>
      <c r="R4307">
        <v>0.1159029</v>
      </c>
      <c r="S4307">
        <v>-3.0286249999999999</v>
      </c>
      <c r="T4307">
        <v>-0.1208451</v>
      </c>
      <c r="U4307">
        <v>-8.2992549999999998E-2</v>
      </c>
      <c r="V4307">
        <v>0.10834100000000001</v>
      </c>
      <c r="W4307">
        <v>-7.836483E-3</v>
      </c>
      <c r="X4307">
        <v>0.99408289999999999</v>
      </c>
      <c r="Y4307">
        <v>-3.4966039999999997E-2</v>
      </c>
      <c r="Z4307">
        <v>-1.0007E-3</v>
      </c>
      <c r="AA4307">
        <v>0.99938800000000005</v>
      </c>
      <c r="AB4307">
        <v>29</v>
      </c>
      <c r="AC4307">
        <v>-27.494299999999999</v>
      </c>
      <c r="AD4307">
        <v>-1.1092959817079999</v>
      </c>
      <c r="AE4307">
        <v>-0.76420000000001598</v>
      </c>
      <c r="AF4307">
        <v>-0.97185915566094006</v>
      </c>
      <c r="AG4307">
        <v>-1.1092959817079999</v>
      </c>
      <c r="AH4307">
        <v>27.4430490370701</v>
      </c>
      <c r="AI4307">
        <v>92.313286802060205</v>
      </c>
      <c r="AJ4307">
        <v>92.028206387462006</v>
      </c>
      <c r="AK4307">
        <v>27.482648857861399</v>
      </c>
      <c r="AL4307">
        <v>90.449001998939394</v>
      </c>
      <c r="AM4307">
        <v>83.780117932938595</v>
      </c>
      <c r="AN4307">
        <v>0.99999999740960899</v>
      </c>
    </row>
    <row r="4308" spans="1:40" x14ac:dyDescent="0.25">
      <c r="A4308" t="str">
        <f>"20190312161056329"</f>
        <v>20190312161056329</v>
      </c>
      <c r="B4308" t="str">
        <f>"1552378256321120"</f>
        <v>1552378256321120</v>
      </c>
      <c r="C4308" t="s">
        <v>40</v>
      </c>
      <c r="D4308">
        <v>5.0875579999999996</v>
      </c>
      <c r="E4308">
        <v>0.44271329999999998</v>
      </c>
      <c r="F4308" t="s">
        <v>87</v>
      </c>
      <c r="G4308">
        <v>-296.46679999999998</v>
      </c>
      <c r="H4308" s="1">
        <v>-8.4410180000000002E-6</v>
      </c>
      <c r="I4308">
        <v>139.9348</v>
      </c>
      <c r="J4308">
        <v>-264.25020000000001</v>
      </c>
      <c r="K4308">
        <v>1.1092930000000001</v>
      </c>
      <c r="L4308">
        <v>141.07859999999999</v>
      </c>
      <c r="M4308">
        <v>-0.99994050000000001</v>
      </c>
      <c r="N4308">
        <v>0</v>
      </c>
      <c r="O4308">
        <v>7.5566990000000001E-3</v>
      </c>
      <c r="P4308">
        <v>-0.99313669999999998</v>
      </c>
      <c r="Q4308">
        <v>-1.5972429999999999E-2</v>
      </c>
      <c r="R4308">
        <v>0.11586490000000001</v>
      </c>
      <c r="S4308">
        <v>-3.0315249999999998</v>
      </c>
      <c r="T4308">
        <v>-0.1034204</v>
      </c>
      <c r="U4308">
        <v>-0.1064301</v>
      </c>
      <c r="V4308">
        <v>0.10835699999999999</v>
      </c>
      <c r="W4308">
        <v>-8.1261670000000001E-3</v>
      </c>
      <c r="X4308">
        <v>0.99407880000000004</v>
      </c>
      <c r="Y4308">
        <v>-4.260829E-2</v>
      </c>
      <c r="Z4308">
        <v>-9.8401239999999996E-4</v>
      </c>
      <c r="AA4308">
        <v>0.99909139999999996</v>
      </c>
      <c r="AB4308">
        <v>29</v>
      </c>
      <c r="AC4308">
        <v>-32.2165999999999</v>
      </c>
      <c r="AD4308">
        <v>-1.109301441018</v>
      </c>
      <c r="AE4308">
        <v>-1.1437999999999899</v>
      </c>
      <c r="AF4308">
        <v>-1.3855853354174399</v>
      </c>
      <c r="AG4308">
        <v>-1.109301441018</v>
      </c>
      <c r="AH4308">
        <v>32.168944843398599</v>
      </c>
      <c r="AI4308">
        <v>91.973154887253003</v>
      </c>
      <c r="AJ4308">
        <v>92.466327476109697</v>
      </c>
      <c r="AK4308">
        <v>32.217874056901898</v>
      </c>
      <c r="AL4308">
        <v>90.465600212314897</v>
      </c>
      <c r="AM4308">
        <v>83.779181114458197</v>
      </c>
      <c r="AN4308">
        <v>0.99999996732427499</v>
      </c>
    </row>
    <row r="4309" spans="1:40" x14ac:dyDescent="0.25">
      <c r="A4309" t="str">
        <f>"20190312161056352"</f>
        <v>20190312161056352</v>
      </c>
      <c r="B4309" t="str">
        <f>"1552378256340640"</f>
        <v>1552378256340640</v>
      </c>
      <c r="C4309" t="s">
        <v>40</v>
      </c>
      <c r="D4309">
        <v>5.0676370000000004</v>
      </c>
      <c r="E4309">
        <v>0.44287510000000002</v>
      </c>
      <c r="F4309" t="s">
        <v>87</v>
      </c>
      <c r="G4309">
        <v>-298.45519999999999</v>
      </c>
      <c r="H4309" s="1">
        <v>-8.2515269999999994E-6</v>
      </c>
      <c r="I4309">
        <v>139.87860000000001</v>
      </c>
      <c r="J4309">
        <v>-264.54109999999997</v>
      </c>
      <c r="K4309">
        <v>1.1092979999999999</v>
      </c>
      <c r="L4309">
        <v>141.08070000000001</v>
      </c>
      <c r="M4309">
        <v>-0.99994090000000002</v>
      </c>
      <c r="N4309">
        <v>0</v>
      </c>
      <c r="O4309">
        <v>7.4959939999999997E-3</v>
      </c>
      <c r="P4309">
        <v>-0.99313260000000003</v>
      </c>
      <c r="Q4309">
        <v>-1.637717E-2</v>
      </c>
      <c r="R4309">
        <v>0.11584319999999999</v>
      </c>
      <c r="S4309">
        <v>-3.031555</v>
      </c>
      <c r="T4309">
        <v>-9.8316070000000005E-2</v>
      </c>
      <c r="U4309">
        <v>-0.1063538</v>
      </c>
      <c r="V4309">
        <v>0.108395699999999</v>
      </c>
      <c r="W4309">
        <v>-8.5250380000000004E-3</v>
      </c>
      <c r="X4309">
        <v>0.99407120000000004</v>
      </c>
      <c r="Y4309">
        <v>-4.2525029999999998E-2</v>
      </c>
      <c r="Z4309">
        <v>-9.3214670000000004E-4</v>
      </c>
      <c r="AA4309">
        <v>0.99909499999999996</v>
      </c>
      <c r="AB4309">
        <v>29</v>
      </c>
      <c r="AC4309">
        <v>-33.914099999999998</v>
      </c>
      <c r="AD4309">
        <v>-1.10930625152699</v>
      </c>
      <c r="AE4309">
        <v>-1.2020999999999999</v>
      </c>
      <c r="AF4309">
        <v>-1.4547395268741301</v>
      </c>
      <c r="AG4309">
        <v>-1.10930625152699</v>
      </c>
      <c r="AH4309">
        <v>33.867946122587298</v>
      </c>
      <c r="AI4309">
        <v>91.874260792677504</v>
      </c>
      <c r="AJ4309">
        <v>92.459530065914095</v>
      </c>
      <c r="AK4309">
        <v>33.917320088904503</v>
      </c>
      <c r="AL4309">
        <v>90.488454649702604</v>
      </c>
      <c r="AM4309">
        <v>83.776929556917906</v>
      </c>
      <c r="AN4309">
        <v>0.99999992736041299</v>
      </c>
    </row>
    <row r="4310" spans="1:40" x14ac:dyDescent="0.25">
      <c r="A4310" t="str">
        <f>"20190312161056373"</f>
        <v>20190312161056373</v>
      </c>
      <c r="B4310" t="str">
        <f>"1552378256370896"</f>
        <v>1552378256370896</v>
      </c>
      <c r="C4310" t="s">
        <v>40</v>
      </c>
      <c r="D4310">
        <v>5.1350179999999996</v>
      </c>
      <c r="E4310">
        <v>0.44304690000000002</v>
      </c>
      <c r="F4310" t="s">
        <v>87</v>
      </c>
      <c r="G4310">
        <v>-299.52210000000002</v>
      </c>
      <c r="H4310" s="1">
        <v>-8.1548019999999906E-6</v>
      </c>
      <c r="I4310">
        <v>139.8672</v>
      </c>
      <c r="J4310">
        <v>-264.81479999999999</v>
      </c>
      <c r="K4310">
        <v>1.109302</v>
      </c>
      <c r="L4310">
        <v>141.08269999999999</v>
      </c>
      <c r="M4310">
        <v>-0.99994130000000003</v>
      </c>
      <c r="N4310">
        <v>0</v>
      </c>
      <c r="O4310">
        <v>7.43340699999999E-3</v>
      </c>
      <c r="P4310">
        <v>-0.99319080000000004</v>
      </c>
      <c r="Q4310">
        <v>-1.5732650000000001E-2</v>
      </c>
      <c r="R4310">
        <v>0.11543349999999999</v>
      </c>
      <c r="S4310">
        <v>-3.0314329999999998</v>
      </c>
      <c r="T4310">
        <v>-9.6132040000000002E-2</v>
      </c>
      <c r="U4310">
        <v>-0.1051636</v>
      </c>
      <c r="V4310">
        <v>0.10804800000000001</v>
      </c>
      <c r="W4310">
        <v>-7.8737449999999997E-3</v>
      </c>
      <c r="X4310">
        <v>0.99411450000000001</v>
      </c>
      <c r="Y4310">
        <v>-4.207354E-2</v>
      </c>
      <c r="Z4310">
        <v>-9.0235439999999999E-4</v>
      </c>
      <c r="AA4310">
        <v>0.9991141</v>
      </c>
      <c r="AB4310">
        <v>29</v>
      </c>
      <c r="AC4310">
        <v>-34.707299999999996</v>
      </c>
      <c r="AD4310">
        <v>-1.1093101548019999</v>
      </c>
      <c r="AE4310">
        <v>-1.21549999999999</v>
      </c>
      <c r="AF4310">
        <v>-1.4719660579000799</v>
      </c>
      <c r="AG4310">
        <v>-1.1093101548019999</v>
      </c>
      <c r="AH4310">
        <v>34.661939544575397</v>
      </c>
      <c r="AI4310">
        <v>91.831401522578801</v>
      </c>
      <c r="AJ4310">
        <v>92.431681573679498</v>
      </c>
      <c r="AK4310">
        <v>34.710910476202699</v>
      </c>
      <c r="AL4310">
        <v>90.451137017792206</v>
      </c>
      <c r="AM4310">
        <v>83.797003460619607</v>
      </c>
      <c r="AN4310">
        <v>1.0000000026372799</v>
      </c>
    </row>
    <row r="4311" spans="1:40" x14ac:dyDescent="0.25">
      <c r="A4311" t="str">
        <f>"20190312161056395"</f>
        <v>20190312161056395</v>
      </c>
      <c r="B4311" t="str">
        <f>"1552378256391392"</f>
        <v>1552378256391392</v>
      </c>
      <c r="C4311" t="s">
        <v>40</v>
      </c>
      <c r="D4311">
        <v>5.1096779999999997</v>
      </c>
      <c r="E4311">
        <v>0.44314160000000002</v>
      </c>
      <c r="F4311" t="s">
        <v>87</v>
      </c>
      <c r="G4311">
        <v>-300.80329999999998</v>
      </c>
      <c r="H4311" s="1">
        <v>-8.2372520000000003E-6</v>
      </c>
      <c r="I4311">
        <v>139.83629999999999</v>
      </c>
      <c r="J4311">
        <v>-265.09640000000002</v>
      </c>
      <c r="K4311">
        <v>1.1093120000000001</v>
      </c>
      <c r="L4311">
        <v>141.0847</v>
      </c>
      <c r="M4311">
        <v>-0.99994159999999999</v>
      </c>
      <c r="N4311">
        <v>0</v>
      </c>
      <c r="O4311">
        <v>7.3655269999999898E-3</v>
      </c>
      <c r="P4311">
        <v>-0.99318919999999999</v>
      </c>
      <c r="Q4311">
        <v>-1.533379E-2</v>
      </c>
      <c r="R4311">
        <v>0.11550000000000001</v>
      </c>
      <c r="S4311">
        <v>-3.0312809999999999</v>
      </c>
      <c r="T4311">
        <v>-9.3436119999999998E-2</v>
      </c>
      <c r="U4311">
        <v>-0.1049805</v>
      </c>
      <c r="V4311">
        <v>0.1081821</v>
      </c>
      <c r="W4311">
        <v>-7.46728199999999E-3</v>
      </c>
      <c r="X4311">
        <v>0.99410310000000002</v>
      </c>
      <c r="Y4311">
        <v>-4.1948640000000002E-2</v>
      </c>
      <c r="Z4311">
        <v>-8.7309080000000003E-4</v>
      </c>
      <c r="AA4311">
        <v>0.99911939999999999</v>
      </c>
      <c r="AB4311">
        <v>29</v>
      </c>
      <c r="AC4311">
        <v>-35.706899999999898</v>
      </c>
      <c r="AD4311">
        <v>-1.1093202372519999</v>
      </c>
      <c r="AE4311">
        <v>-1.2484</v>
      </c>
      <c r="AF4311">
        <v>-1.5099189265862201</v>
      </c>
      <c r="AG4311">
        <v>-1.1093202372519999</v>
      </c>
      <c r="AH4311">
        <v>35.662357276901602</v>
      </c>
      <c r="AI4311">
        <v>91.780085423825696</v>
      </c>
      <c r="AJ4311">
        <v>92.424414699136705</v>
      </c>
      <c r="AK4311">
        <v>35.711541175074203</v>
      </c>
      <c r="AL4311">
        <v>90.427847697752</v>
      </c>
      <c r="AM4311">
        <v>83.789294289593201</v>
      </c>
      <c r="AN4311">
        <v>1.00000005024524</v>
      </c>
    </row>
    <row r="4312" spans="1:40" x14ac:dyDescent="0.25">
      <c r="A4312" t="str">
        <f>"20190312161056417"</f>
        <v>20190312161056417</v>
      </c>
      <c r="B4312" t="str">
        <f>"1552378256410912"</f>
        <v>1552378256410912</v>
      </c>
      <c r="C4312" t="s">
        <v>40</v>
      </c>
      <c r="D4312">
        <v>5.1079749999999997</v>
      </c>
      <c r="E4312">
        <v>0.44315159999999998</v>
      </c>
      <c r="F4312" t="s">
        <v>87</v>
      </c>
      <c r="G4312">
        <v>-302.1472</v>
      </c>
      <c r="H4312" s="1">
        <v>-8.4231189999999993E-6</v>
      </c>
      <c r="I4312">
        <v>139.8124</v>
      </c>
      <c r="J4312">
        <v>-265.39229999999998</v>
      </c>
      <c r="K4312">
        <v>1.1093139999999999</v>
      </c>
      <c r="L4312">
        <v>141.08680000000001</v>
      </c>
      <c r="M4312">
        <v>-0.9999422</v>
      </c>
      <c r="N4312">
        <v>0</v>
      </c>
      <c r="O4312">
        <v>7.2919300000000003E-3</v>
      </c>
      <c r="P4312">
        <v>-0.99319610000000003</v>
      </c>
      <c r="Q4312">
        <v>-1.5945379999999999E-2</v>
      </c>
      <c r="R4312">
        <v>0.1153588</v>
      </c>
      <c r="S4312">
        <v>-3.03125</v>
      </c>
      <c r="T4312">
        <v>-9.0757249999999998E-2</v>
      </c>
      <c r="U4312">
        <v>-0.10409549999999999</v>
      </c>
      <c r="V4312">
        <v>0.1081141</v>
      </c>
      <c r="W4312">
        <v>-8.0695070000000001E-3</v>
      </c>
      <c r="X4312">
        <v>0.99410580000000004</v>
      </c>
      <c r="Y4312">
        <v>-4.1585610000000002E-2</v>
      </c>
      <c r="Z4312">
        <v>-8.4044839999999996E-4</v>
      </c>
      <c r="AA4312">
        <v>0.99913459999999998</v>
      </c>
      <c r="AB4312">
        <v>29</v>
      </c>
      <c r="AC4312">
        <v>-36.754899999999999</v>
      </c>
      <c r="AD4312">
        <v>-1.109322423119</v>
      </c>
      <c r="AE4312">
        <v>-1.27440000000001</v>
      </c>
      <c r="AF4312">
        <v>-1.54098659409949</v>
      </c>
      <c r="AG4312">
        <v>-1.109322423119</v>
      </c>
      <c r="AH4312">
        <v>36.711228419428203</v>
      </c>
      <c r="AI4312">
        <v>91.729288031074503</v>
      </c>
      <c r="AJ4312">
        <v>92.403630457142</v>
      </c>
      <c r="AK4312">
        <v>36.760298257564003</v>
      </c>
      <c r="AL4312">
        <v>90.462353684703004</v>
      </c>
      <c r="AM4312">
        <v>83.793184397923696</v>
      </c>
      <c r="AN4312">
        <v>1.0000000585778299</v>
      </c>
    </row>
    <row r="4313" spans="1:40" x14ac:dyDescent="0.25">
      <c r="A4313" t="str">
        <f>"20190312161056440"</f>
        <v>20190312161056440</v>
      </c>
      <c r="B4313" t="str">
        <f>"1552378256431408"</f>
        <v>1552378256431408</v>
      </c>
      <c r="C4313" t="s">
        <v>40</v>
      </c>
      <c r="D4313">
        <v>5.1199979999999998</v>
      </c>
      <c r="E4313">
        <v>0.44319950000000002</v>
      </c>
      <c r="F4313" t="s">
        <v>87</v>
      </c>
      <c r="G4313">
        <v>-302.67779999999999</v>
      </c>
      <c r="H4313" s="1">
        <v>-8.4966320000000001E-6</v>
      </c>
      <c r="I4313">
        <v>139.80340000000001</v>
      </c>
      <c r="J4313">
        <v>-265.6925</v>
      </c>
      <c r="K4313">
        <v>1.1093170000000001</v>
      </c>
      <c r="L4313">
        <v>141.0889</v>
      </c>
      <c r="M4313">
        <v>-0.99994269999999996</v>
      </c>
      <c r="N4313">
        <v>0</v>
      </c>
      <c r="O4313">
        <v>7.217139E-3</v>
      </c>
      <c r="P4313">
        <v>-0.99320379999999997</v>
      </c>
      <c r="Q4313">
        <v>-1.606662E-2</v>
      </c>
      <c r="R4313">
        <v>0.11527519999999999</v>
      </c>
      <c r="S4313">
        <v>-3.0311889999999999</v>
      </c>
      <c r="T4313">
        <v>-9.0184449999999999E-2</v>
      </c>
      <c r="U4313">
        <v>-0.1043396</v>
      </c>
      <c r="V4313">
        <v>0.1081047</v>
      </c>
      <c r="W4313">
        <v>-8.1798259999999994E-3</v>
      </c>
      <c r="X4313">
        <v>0.99410589999999999</v>
      </c>
      <c r="Y4313">
        <v>-4.1592259999999999E-2</v>
      </c>
      <c r="Z4313">
        <v>-8.3303670000000002E-4</v>
      </c>
      <c r="AA4313">
        <v>0.99913430000000003</v>
      </c>
      <c r="AB4313">
        <v>29</v>
      </c>
      <c r="AC4313">
        <v>-36.985300000000002</v>
      </c>
      <c r="AD4313">
        <v>-1.1093254966320001</v>
      </c>
      <c r="AE4313">
        <v>-1.2854999999999801</v>
      </c>
      <c r="AF4313">
        <v>-1.55100927543109</v>
      </c>
      <c r="AG4313">
        <v>-1.1093254966320001</v>
      </c>
      <c r="AH4313">
        <v>36.941865189854497</v>
      </c>
      <c r="AI4313">
        <v>91.718502265610397</v>
      </c>
      <c r="AJ4313">
        <v>92.4041591773709</v>
      </c>
      <c r="AK4313">
        <v>36.991048059433702</v>
      </c>
      <c r="AL4313">
        <v>90.468674715679398</v>
      </c>
      <c r="AM4313">
        <v>83.793720458534395</v>
      </c>
      <c r="AN4313">
        <v>1.0000000380651399</v>
      </c>
    </row>
    <row r="4314" spans="1:40" x14ac:dyDescent="0.25">
      <c r="A4314" t="str">
        <f>"20190312161056462"</f>
        <v>20190312161056462</v>
      </c>
      <c r="B4314" t="str">
        <f>"1552378256450928"</f>
        <v>1552378256450928</v>
      </c>
      <c r="C4314" t="s">
        <v>40</v>
      </c>
      <c r="D4314">
        <v>5.0421699999999996</v>
      </c>
      <c r="E4314">
        <v>0.44310280000000002</v>
      </c>
      <c r="F4314" t="s">
        <v>87</v>
      </c>
      <c r="G4314">
        <v>-303.35809999999998</v>
      </c>
      <c r="H4314" s="1">
        <v>-8.5913969999999904E-6</v>
      </c>
      <c r="I4314">
        <v>139.79349999999999</v>
      </c>
      <c r="J4314">
        <v>-265.98410000000001</v>
      </c>
      <c r="K4314">
        <v>1.1093219999999999</v>
      </c>
      <c r="L4314">
        <v>141.09100000000001</v>
      </c>
      <c r="M4314">
        <v>-0.99994300000000003</v>
      </c>
      <c r="N4314">
        <v>0</v>
      </c>
      <c r="O4314">
        <v>7.1453230000000003E-3</v>
      </c>
      <c r="P4314">
        <v>-0.99331519999999995</v>
      </c>
      <c r="Q4314">
        <v>-1.519625E-2</v>
      </c>
      <c r="R4314">
        <v>0.1144288</v>
      </c>
      <c r="S4314">
        <v>-3.031158</v>
      </c>
      <c r="T4314">
        <v>-8.9273690000000003E-2</v>
      </c>
      <c r="U4314">
        <v>-0.10424799999999999</v>
      </c>
      <c r="V4314">
        <v>0.1073288</v>
      </c>
      <c r="W4314">
        <v>-7.2967469999999897E-3</v>
      </c>
      <c r="X4314">
        <v>0.99419679999999999</v>
      </c>
      <c r="Y4314">
        <v>-4.1491210000000001E-2</v>
      </c>
      <c r="Z4314">
        <v>-8.2103489999999998E-4</v>
      </c>
      <c r="AA4314">
        <v>0.99913850000000004</v>
      </c>
      <c r="AB4314">
        <v>29</v>
      </c>
      <c r="AC4314">
        <v>-37.373999999999903</v>
      </c>
      <c r="AD4314">
        <v>-1.109330591397</v>
      </c>
      <c r="AE4314">
        <v>-1.2975000000000101</v>
      </c>
      <c r="AF4314">
        <v>-1.5631490830999799</v>
      </c>
      <c r="AG4314">
        <v>-1.109330591397</v>
      </c>
      <c r="AH4314">
        <v>37.3309250262392</v>
      </c>
      <c r="AI4314">
        <v>91.700618547943705</v>
      </c>
      <c r="AJ4314">
        <v>92.397732077785093</v>
      </c>
      <c r="AK4314">
        <v>37.380101828803198</v>
      </c>
      <c r="AL4314">
        <v>90.418076519128803</v>
      </c>
      <c r="AM4314">
        <v>83.838479948403801</v>
      </c>
      <c r="AN4314">
        <v>0.99999999547823004</v>
      </c>
    </row>
    <row r="4315" spans="1:40" x14ac:dyDescent="0.25">
      <c r="A4315" t="str">
        <f>"20190312161056596"</f>
        <v>20190312161056596</v>
      </c>
      <c r="B4315" t="str">
        <f>"1552378256591057"</f>
        <v>1552378256591057</v>
      </c>
      <c r="C4315" t="s">
        <v>40</v>
      </c>
      <c r="D4315">
        <v>5.105035</v>
      </c>
      <c r="E4315">
        <v>0.44304650000000001</v>
      </c>
      <c r="F4315" t="s">
        <v>87</v>
      </c>
      <c r="G4315">
        <v>-306.29750000000001</v>
      </c>
      <c r="H4315" s="1">
        <v>-8.9739579999999992E-6</v>
      </c>
      <c r="I4315">
        <v>139.66050000000001</v>
      </c>
      <c r="J4315">
        <v>-267.75709999999998</v>
      </c>
      <c r="K4315">
        <v>1.109337</v>
      </c>
      <c r="L4315">
        <v>141.10290000000001</v>
      </c>
      <c r="M4315">
        <v>-0.99994519999999998</v>
      </c>
      <c r="N4315">
        <v>0</v>
      </c>
      <c r="O4315">
        <v>6.7210600000000001E-3</v>
      </c>
      <c r="P4315">
        <v>-0.99355740000000003</v>
      </c>
      <c r="Q4315">
        <v>-1.412012E-2</v>
      </c>
      <c r="R4315">
        <v>0.112446699999999</v>
      </c>
      <c r="S4315">
        <v>-3.0313110000000001</v>
      </c>
      <c r="T4315">
        <v>-8.3414550000000004E-2</v>
      </c>
      <c r="U4315">
        <v>-0.10755919999999999</v>
      </c>
      <c r="V4315">
        <v>0.10576679999999999</v>
      </c>
      <c r="W4315">
        <v>-6.1244560000000003E-3</v>
      </c>
      <c r="X4315">
        <v>0.99437209999999998</v>
      </c>
      <c r="Y4315">
        <v>-4.2158180000000003E-2</v>
      </c>
      <c r="Z4315">
        <v>-7.6462009999999996E-4</v>
      </c>
      <c r="AA4315">
        <v>0.99911059999999996</v>
      </c>
      <c r="AB4315">
        <v>30</v>
      </c>
      <c r="AC4315">
        <v>-38.540399999999998</v>
      </c>
      <c r="AD4315">
        <v>-1.1093459739580001</v>
      </c>
      <c r="AE4315">
        <v>-1.4423999999999899</v>
      </c>
      <c r="AF4315">
        <v>-1.7000015935624799</v>
      </c>
      <c r="AG4315">
        <v>-1.1093459739580001</v>
      </c>
      <c r="AH4315">
        <v>38.497983047403203</v>
      </c>
      <c r="AI4315">
        <v>91.648954705033304</v>
      </c>
      <c r="AJ4315">
        <v>92.528435844675201</v>
      </c>
      <c r="AK4315">
        <v>38.551463689802901</v>
      </c>
      <c r="AL4315">
        <v>90.350907674649406</v>
      </c>
      <c r="AM4315">
        <v>83.928538721944904</v>
      </c>
      <c r="AN4315">
        <v>0.99999999910097204</v>
      </c>
    </row>
    <row r="4316" spans="1:40" x14ac:dyDescent="0.25">
      <c r="A4316" t="str">
        <f>"20190312161056641"</f>
        <v>20190312161056641</v>
      </c>
      <c r="B4316" t="str">
        <f>"1552378256631201"</f>
        <v>1552378256631201</v>
      </c>
      <c r="C4316" t="s">
        <v>40</v>
      </c>
      <c r="D4316">
        <v>4.9502439999999996</v>
      </c>
      <c r="E4316">
        <v>0.44155729999999999</v>
      </c>
      <c r="F4316" t="s">
        <v>87</v>
      </c>
      <c r="G4316">
        <v>-310.22359999999998</v>
      </c>
      <c r="H4316" s="1">
        <v>-9.3519639999999994E-6</v>
      </c>
      <c r="I4316">
        <v>139.5043</v>
      </c>
      <c r="J4316">
        <v>-268.36950000000002</v>
      </c>
      <c r="K4316">
        <v>1.1093329999999999</v>
      </c>
      <c r="L4316">
        <v>141.10679999999999</v>
      </c>
      <c r="M4316">
        <v>-0.999946</v>
      </c>
      <c r="N4316">
        <v>0</v>
      </c>
      <c r="O4316">
        <v>6.5746889999999999E-3</v>
      </c>
      <c r="P4316">
        <v>-0.99360769999999998</v>
      </c>
      <c r="Q4316">
        <v>-1.4145700000000001E-2</v>
      </c>
      <c r="R4316">
        <v>0.11200060000000001</v>
      </c>
      <c r="S4316">
        <v>-3.03125</v>
      </c>
      <c r="T4316">
        <v>-7.9184889999999994E-2</v>
      </c>
      <c r="U4316">
        <v>-0.1141052</v>
      </c>
      <c r="V4316">
        <v>0.105466</v>
      </c>
      <c r="W4316">
        <v>-6.1118469999999897E-3</v>
      </c>
      <c r="X4316">
        <v>0.99440410000000001</v>
      </c>
      <c r="Y4316">
        <v>-4.4168470000000001E-2</v>
      </c>
      <c r="Z4316">
        <v>-7.4827009999999905E-4</v>
      </c>
      <c r="AA4316">
        <v>0.99902380000000002</v>
      </c>
      <c r="AB4316">
        <v>30</v>
      </c>
      <c r="AC4316">
        <v>-41.854099999999903</v>
      </c>
      <c r="AD4316">
        <v>-1.109342351964</v>
      </c>
      <c r="AE4316">
        <v>-1.60249999999999</v>
      </c>
      <c r="AF4316">
        <v>-1.87633574195527</v>
      </c>
      <c r="AG4316">
        <v>-1.109342351964</v>
      </c>
      <c r="AH4316">
        <v>41.813327585191601</v>
      </c>
      <c r="AI4316">
        <v>91.518221042493195</v>
      </c>
      <c r="AJ4316">
        <v>92.569373237151595</v>
      </c>
      <c r="AK4316">
        <v>41.870104370743398</v>
      </c>
      <c r="AL4316">
        <v>90.350185227796501</v>
      </c>
      <c r="AM4316">
        <v>83.945870867225494</v>
      </c>
      <c r="AN4316">
        <v>0.99999997296328003</v>
      </c>
    </row>
    <row r="4317" spans="1:40" x14ac:dyDescent="0.25">
      <c r="A4317" t="str">
        <f>"20190312161056663"</f>
        <v>20190312161056663</v>
      </c>
      <c r="B4317" t="str">
        <f>"1552378256650724"</f>
        <v>1552378256650724</v>
      </c>
      <c r="C4317" t="s">
        <v>40</v>
      </c>
      <c r="D4317">
        <v>5.182321</v>
      </c>
      <c r="E4317">
        <v>0.44011850000000002</v>
      </c>
      <c r="F4317" t="s">
        <v>87</v>
      </c>
      <c r="G4317">
        <v>-311.38850000000002</v>
      </c>
      <c r="H4317" s="1">
        <v>-8.8518879999999996E-6</v>
      </c>
      <c r="I4317">
        <v>139.3039</v>
      </c>
      <c r="J4317">
        <v>-268.6515</v>
      </c>
      <c r="K4317">
        <v>1.109335</v>
      </c>
      <c r="L4317">
        <v>141.1086</v>
      </c>
      <c r="M4317">
        <v>-0.99994620000000001</v>
      </c>
      <c r="N4317">
        <v>0</v>
      </c>
      <c r="O4317">
        <v>6.5077360000000001E-3</v>
      </c>
      <c r="P4317">
        <v>-0.99362870000000003</v>
      </c>
      <c r="Q4317">
        <v>-1.457659E-2</v>
      </c>
      <c r="R4317">
        <v>0.1117572</v>
      </c>
      <c r="S4317">
        <v>-3.0325319999999998</v>
      </c>
      <c r="T4317">
        <v>-7.8200820000000004E-2</v>
      </c>
      <c r="U4317">
        <v>-0.1270905</v>
      </c>
      <c r="V4317">
        <v>0.10528899999999999</v>
      </c>
      <c r="W4317">
        <v>-6.5245900000000003E-3</v>
      </c>
      <c r="X4317">
        <v>0.99442030000000003</v>
      </c>
      <c r="Y4317">
        <v>-4.8355420000000003E-2</v>
      </c>
      <c r="Z4317">
        <v>-7.9082670000000003E-4</v>
      </c>
      <c r="AA4317">
        <v>0.99882990000000005</v>
      </c>
      <c r="AB4317">
        <v>30</v>
      </c>
      <c r="AC4317">
        <v>-42.737000000000002</v>
      </c>
      <c r="AD4317">
        <v>-1.1093438518880001</v>
      </c>
      <c r="AE4317">
        <v>-1.80469999999999</v>
      </c>
      <c r="AF4317">
        <v>-2.0813920451658401</v>
      </c>
      <c r="AG4317">
        <v>-1.1093438518880001</v>
      </c>
      <c r="AH4317">
        <v>42.695633402173598</v>
      </c>
      <c r="AI4317">
        <v>91.486594222426604</v>
      </c>
      <c r="AJ4317">
        <v>92.790932800426603</v>
      </c>
      <c r="AK4317">
        <v>42.760729042431002</v>
      </c>
      <c r="AL4317">
        <v>90.373834108091103</v>
      </c>
      <c r="AM4317">
        <v>83.956053769732094</v>
      </c>
      <c r="AN4317">
        <v>1.0000000384238701</v>
      </c>
    </row>
    <row r="4318" spans="1:40" x14ac:dyDescent="0.25">
      <c r="A4318" t="str">
        <f>"20190312161056685"</f>
        <v>20190312161056685</v>
      </c>
      <c r="B4318" t="str">
        <f>"1552378256680976"</f>
        <v>1552378256680976</v>
      </c>
      <c r="C4318" t="s">
        <v>40</v>
      </c>
      <c r="D4318">
        <v>4.5194449999999904</v>
      </c>
      <c r="E4318">
        <v>0.43768550000000001</v>
      </c>
      <c r="F4318" t="s">
        <v>87</v>
      </c>
      <c r="G4318">
        <v>-312.00130000000001</v>
      </c>
      <c r="H4318" s="1">
        <v>-8.5640320000000005E-6</v>
      </c>
      <c r="I4318">
        <v>139.11799999999999</v>
      </c>
      <c r="J4318">
        <v>-268.94310000000002</v>
      </c>
      <c r="K4318">
        <v>1.109332</v>
      </c>
      <c r="L4318">
        <v>141.1104</v>
      </c>
      <c r="M4318">
        <v>-0.99994649999999996</v>
      </c>
      <c r="N4318">
        <v>0</v>
      </c>
      <c r="O4318">
        <v>6.4384560000000004E-3</v>
      </c>
      <c r="P4318">
        <v>-0.99372590000000005</v>
      </c>
      <c r="Q4318">
        <v>-1.4411190000000001E-2</v>
      </c>
      <c r="R4318">
        <v>0.11090949999999999</v>
      </c>
      <c r="S4318">
        <v>-3.0337830000000001</v>
      </c>
      <c r="T4318">
        <v>-7.7635999999999997E-2</v>
      </c>
      <c r="U4318">
        <v>-0.13931270000000001</v>
      </c>
      <c r="V4318">
        <v>0.10450959999999999</v>
      </c>
      <c r="W4318">
        <v>-6.3398350000000003E-3</v>
      </c>
      <c r="X4318">
        <v>0.99450369999999999</v>
      </c>
      <c r="Y4318">
        <v>-5.228389E-2</v>
      </c>
      <c r="Z4318">
        <v>-8.3318399999999897E-4</v>
      </c>
      <c r="AA4318">
        <v>0.99863190000000002</v>
      </c>
      <c r="AB4318">
        <v>30</v>
      </c>
      <c r="AC4318">
        <v>-43.058199999999999</v>
      </c>
      <c r="AD4318">
        <v>-1.109340564032</v>
      </c>
      <c r="AE4318">
        <v>-1.9923999999999999</v>
      </c>
      <c r="AF4318">
        <v>-2.2680938349433899</v>
      </c>
      <c r="AG4318">
        <v>-1.109340564032</v>
      </c>
      <c r="AH4318">
        <v>43.015987325289302</v>
      </c>
      <c r="AI4318">
        <v>91.475226787377494</v>
      </c>
      <c r="AJ4318">
        <v>93.018226143881506</v>
      </c>
      <c r="AK4318">
        <v>43.090022646786402</v>
      </c>
      <c r="AL4318">
        <v>90.363248210934103</v>
      </c>
      <c r="AM4318">
        <v>84.000965911566396</v>
      </c>
      <c r="AN4318">
        <v>1.0000000296568301</v>
      </c>
    </row>
    <row r="4319" spans="1:40" x14ac:dyDescent="0.25">
      <c r="A4319" t="str">
        <f>"20190312161056842"</f>
        <v>20190312161056842</v>
      </c>
      <c r="B4319" t="str">
        <f>"1552378256831281"</f>
        <v>1552378256831281</v>
      </c>
      <c r="C4319" t="s">
        <v>40</v>
      </c>
      <c r="D4319">
        <v>5.1753030000000004</v>
      </c>
      <c r="E4319">
        <v>0.38595930000000001</v>
      </c>
      <c r="F4319" t="s">
        <v>87</v>
      </c>
      <c r="G4319">
        <v>-311.4588</v>
      </c>
      <c r="H4319" s="1">
        <v>-8.6865299999999993E-6</v>
      </c>
      <c r="I4319">
        <v>138.85210000000001</v>
      </c>
      <c r="J4319">
        <v>-271.08769999999998</v>
      </c>
      <c r="K4319">
        <v>1.1093420000000001</v>
      </c>
      <c r="L4319">
        <v>141.1232</v>
      </c>
      <c r="M4319">
        <v>-0.99994859999999997</v>
      </c>
      <c r="N4319">
        <v>0</v>
      </c>
      <c r="O4319">
        <v>5.9281050000000004E-3</v>
      </c>
      <c r="P4319">
        <v>-0.99376489999999995</v>
      </c>
      <c r="Q4319">
        <v>-1.3704940000000001E-2</v>
      </c>
      <c r="R4319">
        <v>0.1106521</v>
      </c>
      <c r="S4319">
        <v>-3.0357970000000001</v>
      </c>
      <c r="T4319">
        <v>-7.9211470000000006E-2</v>
      </c>
      <c r="U4319">
        <v>-0.16125490000000001</v>
      </c>
      <c r="V4319">
        <v>0.10475950000000001</v>
      </c>
      <c r="W4319">
        <v>-5.4897590000000003E-3</v>
      </c>
      <c r="X4319">
        <v>0.99448250000000005</v>
      </c>
      <c r="Y4319">
        <v>-5.8940039999999999E-2</v>
      </c>
      <c r="Z4319">
        <v>-9.2282810000000003E-4</v>
      </c>
      <c r="AA4319">
        <v>0.99826110000000001</v>
      </c>
      <c r="AB4319">
        <v>31</v>
      </c>
      <c r="AC4319">
        <v>-40.371099999999998</v>
      </c>
      <c r="AD4319">
        <v>-1.10935068653</v>
      </c>
      <c r="AE4319">
        <v>-2.2710999999999899</v>
      </c>
      <c r="AF4319">
        <v>-2.5085041453928199</v>
      </c>
      <c r="AG4319">
        <v>-1.10935068653</v>
      </c>
      <c r="AH4319">
        <v>40.326572823152901</v>
      </c>
      <c r="AI4319">
        <v>91.572723824830504</v>
      </c>
      <c r="AJ4319">
        <v>93.559482976895495</v>
      </c>
      <c r="AK4319">
        <v>40.419744279920998</v>
      </c>
      <c r="AL4319">
        <v>90.314541580238199</v>
      </c>
      <c r="AM4319">
        <v>83.986598944752203</v>
      </c>
      <c r="AN4319">
        <v>1.00000006655018</v>
      </c>
    </row>
    <row r="4320" spans="1:40" x14ac:dyDescent="0.25">
      <c r="A4320" t="str">
        <f>"20190312161056863"</f>
        <v>20190312161056863</v>
      </c>
      <c r="B4320" t="str">
        <f>"1552378256861536"</f>
        <v>1552378256861536</v>
      </c>
      <c r="C4320" t="s">
        <v>40</v>
      </c>
      <c r="D4320">
        <v>5.4178069999999998</v>
      </c>
      <c r="E4320">
        <v>0.40054430000000002</v>
      </c>
      <c r="F4320" t="s">
        <v>94</v>
      </c>
      <c r="G4320">
        <v>-380.60890000000001</v>
      </c>
      <c r="H4320">
        <v>4.6596919999999997</v>
      </c>
      <c r="I4320">
        <v>120.8151</v>
      </c>
      <c r="J4320">
        <v>-271.37520000000001</v>
      </c>
      <c r="K4320">
        <v>1.1093409999999999</v>
      </c>
      <c r="L4320">
        <v>141.12479999999999</v>
      </c>
      <c r="M4320">
        <v>-0.99994870000000002</v>
      </c>
      <c r="N4320">
        <v>0</v>
      </c>
      <c r="O4320">
        <v>5.8601319999999997E-3</v>
      </c>
      <c r="P4320">
        <v>-0.99387820000000004</v>
      </c>
      <c r="Q4320">
        <v>-1.331656E-2</v>
      </c>
      <c r="R4320">
        <v>0.10967590000000001</v>
      </c>
      <c r="S4320">
        <v>-3.0838320000000001</v>
      </c>
      <c r="T4320">
        <v>9.9968669999999996E-2</v>
      </c>
      <c r="U4320">
        <v>-0.57182310000000003</v>
      </c>
      <c r="V4320">
        <v>0.10384989999999999</v>
      </c>
      <c r="W4320">
        <v>-5.0811490000000001E-3</v>
      </c>
      <c r="X4320">
        <v>0.99458000000000002</v>
      </c>
      <c r="Y4320">
        <v>-0.1879789</v>
      </c>
      <c r="Z4320">
        <v>3.2086810000000001E-3</v>
      </c>
      <c r="AA4320">
        <v>0.98216780000000004</v>
      </c>
      <c r="AB4320">
        <v>31</v>
      </c>
      <c r="AC4320">
        <v>-109.2337</v>
      </c>
      <c r="AD4320">
        <v>3.550351</v>
      </c>
      <c r="AE4320">
        <v>-20.3096999999999</v>
      </c>
      <c r="AF4320">
        <v>-20.928127216291301</v>
      </c>
      <c r="AG4320">
        <v>3.550351</v>
      </c>
      <c r="AH4320">
        <v>109.001500893516</v>
      </c>
      <c r="AI4320">
        <v>88.167885508012205</v>
      </c>
      <c r="AJ4320">
        <v>100.868443743268</v>
      </c>
      <c r="AK4320">
        <v>111.049172432953</v>
      </c>
      <c r="AL4320">
        <v>90.291129646073102</v>
      </c>
      <c r="AM4320">
        <v>84.039014326853106</v>
      </c>
      <c r="AN4320">
        <v>0.999999998102585</v>
      </c>
    </row>
    <row r="4321" spans="1:40" x14ac:dyDescent="0.25">
      <c r="A4321" t="str">
        <f>"20190312161056887"</f>
        <v>20190312161056887</v>
      </c>
      <c r="B4321" t="str">
        <f>"1552378256881057"</f>
        <v>1552378256881057</v>
      </c>
      <c r="C4321" t="s">
        <v>40</v>
      </c>
      <c r="D4321">
        <v>5.4476500000000003</v>
      </c>
      <c r="E4321">
        <v>0.40454990000000002</v>
      </c>
      <c r="F4321" t="s">
        <v>80</v>
      </c>
      <c r="G4321">
        <v>-440.75</v>
      </c>
      <c r="H4321">
        <v>1.6559119999999901</v>
      </c>
      <c r="I4321">
        <v>115.7754</v>
      </c>
      <c r="J4321">
        <v>-271.69290000000001</v>
      </c>
      <c r="K4321">
        <v>1.1093390000000001</v>
      </c>
      <c r="L4321">
        <v>141.1266</v>
      </c>
      <c r="M4321">
        <v>-0.99994899999999998</v>
      </c>
      <c r="N4321">
        <v>0</v>
      </c>
      <c r="O4321">
        <v>5.7846989999999999E-3</v>
      </c>
      <c r="P4321">
        <v>-0.99397170000000001</v>
      </c>
      <c r="Q4321">
        <v>-1.401116E-2</v>
      </c>
      <c r="R4321">
        <v>0.1087381</v>
      </c>
      <c r="S4321">
        <v>-3.0693049999999999</v>
      </c>
      <c r="T4321">
        <v>9.9051E-3</v>
      </c>
      <c r="U4321">
        <v>-0.45936579999999999</v>
      </c>
      <c r="V4321">
        <v>0.10298690000000001</v>
      </c>
      <c r="W4321">
        <v>-5.753612E-3</v>
      </c>
      <c r="X4321">
        <v>0.9946661</v>
      </c>
      <c r="Y4321">
        <v>-0.1537338</v>
      </c>
      <c r="Z4321">
        <v>2.652536E-4</v>
      </c>
      <c r="AA4321">
        <v>0.98811230000000005</v>
      </c>
      <c r="AB4321">
        <v>31</v>
      </c>
      <c r="AC4321">
        <v>-169.05709999999999</v>
      </c>
      <c r="AD4321">
        <v>0.54657299999999998</v>
      </c>
      <c r="AE4321">
        <v>-25.351199999999899</v>
      </c>
      <c r="AF4321">
        <v>-26.328484605616101</v>
      </c>
      <c r="AG4321">
        <v>0.54657299999999998</v>
      </c>
      <c r="AH4321">
        <v>168.905890439898</v>
      </c>
      <c r="AI4321">
        <v>89.816805905929797</v>
      </c>
      <c r="AJ4321">
        <v>98.859776466072702</v>
      </c>
      <c r="AK4321">
        <v>170.94644678661001</v>
      </c>
      <c r="AL4321">
        <v>90.329659494167998</v>
      </c>
      <c r="AM4321">
        <v>84.088706363626002</v>
      </c>
      <c r="AN4321">
        <v>1.00000002805593</v>
      </c>
    </row>
    <row r="4322" spans="1:40" x14ac:dyDescent="0.25">
      <c r="A4322" t="str">
        <f>"20190312161056911"</f>
        <v>20190312161056911</v>
      </c>
      <c r="B4322" t="str">
        <f>"1552378256901553"</f>
        <v>1552378256901553</v>
      </c>
      <c r="C4322" t="s">
        <v>40</v>
      </c>
      <c r="D4322">
        <v>4.6737890000000002</v>
      </c>
      <c r="E4322">
        <v>0.4057152</v>
      </c>
      <c r="F4322" t="s">
        <v>80</v>
      </c>
      <c r="G4322">
        <v>-440.20710000000003</v>
      </c>
      <c r="H4322">
        <v>0.48146280000000002</v>
      </c>
      <c r="I4322">
        <v>117.4611</v>
      </c>
      <c r="J4322">
        <v>-272.02249999999998</v>
      </c>
      <c r="K4322">
        <v>1.1093409999999999</v>
      </c>
      <c r="L4322">
        <v>141.1284</v>
      </c>
      <c r="M4322">
        <v>-0.99994930000000004</v>
      </c>
      <c r="N4322">
        <v>0</v>
      </c>
      <c r="O4322">
        <v>5.7066390000000003E-3</v>
      </c>
      <c r="P4322">
        <v>-0.99402049999999997</v>
      </c>
      <c r="Q4322">
        <v>-1.4509350000000001E-2</v>
      </c>
      <c r="R4322">
        <v>0.108227</v>
      </c>
      <c r="S4322">
        <v>-3.0650940000000002</v>
      </c>
      <c r="T4322">
        <v>-1.141989E-2</v>
      </c>
      <c r="U4322">
        <v>-0.43045040000000001</v>
      </c>
      <c r="V4322">
        <v>0.1025533</v>
      </c>
      <c r="W4322">
        <v>-6.2290760000000001E-3</v>
      </c>
      <c r="X4322">
        <v>0.99470800000000004</v>
      </c>
      <c r="Y4322">
        <v>-0.14471970000000001</v>
      </c>
      <c r="Z4322">
        <v>-2.8944080000000002E-4</v>
      </c>
      <c r="AA4322">
        <v>0.98947260000000004</v>
      </c>
      <c r="AB4322">
        <v>31</v>
      </c>
      <c r="AC4322">
        <v>-168.18459999999999</v>
      </c>
      <c r="AD4322">
        <v>-0.62787819999999905</v>
      </c>
      <c r="AE4322">
        <v>-23.667300000000001</v>
      </c>
      <c r="AF4322">
        <v>-24.6263798692198</v>
      </c>
      <c r="AG4322">
        <v>-0.62787819999999905</v>
      </c>
      <c r="AH4322">
        <v>168.04449927052599</v>
      </c>
      <c r="AI4322">
        <v>90.2118154734803</v>
      </c>
      <c r="AJ4322">
        <v>98.337166984530199</v>
      </c>
      <c r="AK4322">
        <v>169.840532711067</v>
      </c>
      <c r="AL4322">
        <v>90.356902075640505</v>
      </c>
      <c r="AM4322">
        <v>84.1136654387021</v>
      </c>
      <c r="AN4322">
        <v>0.99999999299635101</v>
      </c>
    </row>
    <row r="4323" spans="1:40" x14ac:dyDescent="0.25">
      <c r="A4323" t="str">
        <f>"20190312161056975"</f>
        <v>20190312161056975</v>
      </c>
      <c r="B4323" t="str">
        <f>"1552378256970849"</f>
        <v>1552378256970849</v>
      </c>
      <c r="C4323" t="s">
        <v>40</v>
      </c>
      <c r="D4323">
        <v>4.9431969999999996</v>
      </c>
      <c r="E4323">
        <v>0.4057152</v>
      </c>
      <c r="F4323" t="s">
        <v>87</v>
      </c>
      <c r="G4323">
        <v>-427.2946</v>
      </c>
      <c r="H4323" s="1">
        <v>-2.0072480000000001E-6</v>
      </c>
      <c r="I4323">
        <v>119.703</v>
      </c>
      <c r="J4323">
        <v>-272.9171</v>
      </c>
      <c r="K4323">
        <v>1.1093470000000001</v>
      </c>
      <c r="L4323">
        <v>141.13319999999999</v>
      </c>
      <c r="M4323">
        <v>-0.99994989999999995</v>
      </c>
      <c r="N4323">
        <v>0</v>
      </c>
      <c r="O4323">
        <v>5.4945410000000004E-3</v>
      </c>
      <c r="P4323">
        <v>-0.99403180000000002</v>
      </c>
      <c r="Q4323">
        <v>-1.343126E-2</v>
      </c>
      <c r="R4323">
        <v>0.1082607</v>
      </c>
      <c r="S4323">
        <v>-3.0637819999999998</v>
      </c>
      <c r="T4323">
        <v>-2.1889209999999999E-2</v>
      </c>
      <c r="U4323">
        <v>-0.42276000000000002</v>
      </c>
      <c r="V4323">
        <v>0.10279770000000001</v>
      </c>
      <c r="W4323">
        <v>-5.0902730000000002E-3</v>
      </c>
      <c r="X4323">
        <v>0.99468920000000005</v>
      </c>
      <c r="Y4323">
        <v>-0.14212859999999999</v>
      </c>
      <c r="Z4323">
        <v>-5.4439400000000002E-4</v>
      </c>
      <c r="AA4323">
        <v>0.98984810000000001</v>
      </c>
      <c r="AB4323">
        <v>31</v>
      </c>
      <c r="AC4323">
        <v>-154.3775</v>
      </c>
      <c r="AD4323">
        <v>-1.1093490072479999</v>
      </c>
      <c r="AE4323">
        <v>-21.430199999999999</v>
      </c>
      <c r="AF4323">
        <v>-22.277011092856601</v>
      </c>
      <c r="AG4323">
        <v>-1.1093490072479999</v>
      </c>
      <c r="AH4323">
        <v>154.24960172281499</v>
      </c>
      <c r="AI4323">
        <v>90.407827820115401</v>
      </c>
      <c r="AJ4323">
        <v>98.217940499948796</v>
      </c>
      <c r="AK4323">
        <v>155.853891546212</v>
      </c>
      <c r="AL4323">
        <v>90.291652436093699</v>
      </c>
      <c r="AM4323">
        <v>84.099625532813405</v>
      </c>
      <c r="AN4323">
        <v>0.99999994130057002</v>
      </c>
    </row>
    <row r="4324" spans="1:40" x14ac:dyDescent="0.25">
      <c r="A4324" t="str">
        <f>"20190312161057000"</f>
        <v>20190312161057000</v>
      </c>
      <c r="B4324" t="str">
        <f>"1552378256991345"</f>
        <v>1552378256991345</v>
      </c>
      <c r="C4324" t="s">
        <v>40</v>
      </c>
      <c r="D4324">
        <v>6.2312370000000001</v>
      </c>
      <c r="E4324">
        <v>0.52359739999999999</v>
      </c>
      <c r="F4324" t="s">
        <v>41</v>
      </c>
      <c r="G4324">
        <v>-429.96969999999999</v>
      </c>
      <c r="H4324">
        <v>6.195142E-2</v>
      </c>
      <c r="I4324">
        <v>119.4629</v>
      </c>
      <c r="J4324">
        <v>-273.26139999999998</v>
      </c>
      <c r="K4324">
        <v>1.1093459999999999</v>
      </c>
      <c r="L4324">
        <v>141.13499999999999</v>
      </c>
      <c r="M4324">
        <v>-0.99995020000000001</v>
      </c>
      <c r="N4324">
        <v>0</v>
      </c>
      <c r="O4324">
        <v>5.4129E-3</v>
      </c>
      <c r="P4324">
        <v>-0.99401890000000004</v>
      </c>
      <c r="Q4324">
        <v>-1.364222E-2</v>
      </c>
      <c r="R4324">
        <v>0.10835359999999999</v>
      </c>
      <c r="S4324">
        <v>-3.0637819999999998</v>
      </c>
      <c r="T4324">
        <v>-2.043259E-2</v>
      </c>
      <c r="U4324">
        <v>-0.42274479999999998</v>
      </c>
      <c r="V4324">
        <v>0.10297190000000001</v>
      </c>
      <c r="W4324">
        <v>-5.2779630000000001E-3</v>
      </c>
      <c r="X4324">
        <v>0.99467030000000001</v>
      </c>
      <c r="Y4324">
        <v>-0.14204339999999999</v>
      </c>
      <c r="Z4324">
        <v>-5.0734360000000004E-4</v>
      </c>
      <c r="AA4324">
        <v>0.98986030000000003</v>
      </c>
      <c r="AB4324">
        <v>31</v>
      </c>
      <c r="AC4324">
        <v>-156.70830000000001</v>
      </c>
      <c r="AD4324">
        <v>-1.04739458</v>
      </c>
      <c r="AE4324">
        <v>-21.672099999999901</v>
      </c>
      <c r="AF4324">
        <v>-22.519071562392</v>
      </c>
      <c r="AG4324">
        <v>-1.04739458</v>
      </c>
      <c r="AH4324">
        <v>156.58182747914401</v>
      </c>
      <c r="AI4324">
        <v>90.379349715467896</v>
      </c>
      <c r="AJ4324">
        <v>98.183970467036005</v>
      </c>
      <c r="AK4324">
        <v>158.19631574770301</v>
      </c>
      <c r="AL4324">
        <v>90.302406397046596</v>
      </c>
      <c r="AM4324">
        <v>84.089586025926096</v>
      </c>
      <c r="AN4324">
        <v>1.0000000373925599</v>
      </c>
    </row>
    <row r="4325" spans="1:40" x14ac:dyDescent="0.25">
      <c r="A4325" t="str">
        <f>"20190312161057020"</f>
        <v>20190312161057020</v>
      </c>
      <c r="B4325" t="str">
        <f>"1552378257010868"</f>
        <v>1552378257010868</v>
      </c>
      <c r="C4325" t="s">
        <v>40</v>
      </c>
      <c r="D4325">
        <v>6.1982039999999996</v>
      </c>
      <c r="E4325">
        <v>0.5226693</v>
      </c>
      <c r="F4325" t="s">
        <v>42</v>
      </c>
      <c r="G4325">
        <v>-273.93770000000001</v>
      </c>
      <c r="H4325">
        <v>0.80202079999999998</v>
      </c>
      <c r="I4325">
        <v>141.25299999999999</v>
      </c>
      <c r="J4325">
        <v>-273.55450000000002</v>
      </c>
      <c r="K4325">
        <v>1.1093470000000001</v>
      </c>
      <c r="L4325">
        <v>141.13659999999999</v>
      </c>
      <c r="M4325">
        <v>-0.99995029999999996</v>
      </c>
      <c r="N4325">
        <v>0</v>
      </c>
      <c r="O4325">
        <v>5.3435540000000004E-3</v>
      </c>
      <c r="P4325">
        <v>-0.99406479999999997</v>
      </c>
      <c r="Q4325">
        <v>-1.36332E-2</v>
      </c>
      <c r="R4325">
        <v>0.1079329</v>
      </c>
      <c r="S4325">
        <v>-2.943848</v>
      </c>
      <c r="T4325">
        <v>-1.337564</v>
      </c>
      <c r="U4325">
        <v>0.51243590000000006</v>
      </c>
      <c r="V4325">
        <v>0.10262010000000001</v>
      </c>
      <c r="W4325">
        <v>-5.2488279999999997E-3</v>
      </c>
      <c r="X4325">
        <v>0.99470670000000005</v>
      </c>
      <c r="Y4325">
        <v>0.1521874</v>
      </c>
      <c r="Z4325">
        <v>3.0440169999999999E-2</v>
      </c>
      <c r="AA4325">
        <v>0.98788279999999995</v>
      </c>
      <c r="AB4325">
        <v>31</v>
      </c>
      <c r="AC4325">
        <v>-0.38319999999998799</v>
      </c>
      <c r="AD4325">
        <v>-0.30732619999999899</v>
      </c>
      <c r="AE4325">
        <v>0.11639999999999801</v>
      </c>
      <c r="AF4325">
        <v>7.19698232920256E-2</v>
      </c>
      <c r="AG4325">
        <v>-0.30732619999999899</v>
      </c>
      <c r="AH4325">
        <v>0.24156589311215201</v>
      </c>
      <c r="AI4325">
        <v>140.64250575801299</v>
      </c>
      <c r="AJ4325">
        <v>73.4096059995113</v>
      </c>
      <c r="AK4325">
        <v>0.39747091640294502</v>
      </c>
      <c r="AL4325">
        <v>90.300737094627294</v>
      </c>
      <c r="AM4325">
        <v>84.109850569507799</v>
      </c>
      <c r="AN4325">
        <v>0.99999992707213403</v>
      </c>
    </row>
    <row r="4326" spans="1:40" x14ac:dyDescent="0.25">
      <c r="A4326" t="str">
        <f>"20190312161057043"</f>
        <v>20190312161057043</v>
      </c>
      <c r="B4326" t="str">
        <f>"1552378257031365"</f>
        <v>1552378257031365</v>
      </c>
      <c r="C4326" t="s">
        <v>40</v>
      </c>
      <c r="D4326">
        <v>5.7807680000000001</v>
      </c>
      <c r="E4326">
        <v>0.51719020000000004</v>
      </c>
      <c r="F4326" t="s">
        <v>42</v>
      </c>
      <c r="G4326">
        <v>-274.22800000000001</v>
      </c>
      <c r="H4326">
        <v>0.83151600000000003</v>
      </c>
      <c r="I4326">
        <v>141.2517</v>
      </c>
      <c r="J4326">
        <v>-273.85669999999999</v>
      </c>
      <c r="K4326">
        <v>1.1093489999999999</v>
      </c>
      <c r="L4326">
        <v>141.13810000000001</v>
      </c>
      <c r="M4326">
        <v>-0.99995049999999996</v>
      </c>
      <c r="N4326">
        <v>0</v>
      </c>
      <c r="O4326">
        <v>5.2722969999999996E-3</v>
      </c>
      <c r="P4326">
        <v>-0.99418490000000004</v>
      </c>
      <c r="Q4326">
        <v>-1.241454E-2</v>
      </c>
      <c r="R4326">
        <v>0.1069702</v>
      </c>
      <c r="S4326">
        <v>-2.9465940000000002</v>
      </c>
      <c r="T4326">
        <v>-1.215419</v>
      </c>
      <c r="U4326">
        <v>0.5036621</v>
      </c>
      <c r="V4326">
        <v>0.1017274</v>
      </c>
      <c r="W4326">
        <v>-4.0092779999999998E-3</v>
      </c>
      <c r="X4326">
        <v>0.99480429999999997</v>
      </c>
      <c r="Y4326">
        <v>0.15165319999999999</v>
      </c>
      <c r="Z4326">
        <v>2.7780880000000001E-2</v>
      </c>
      <c r="AA4326">
        <v>0.98804329999999996</v>
      </c>
      <c r="AB4326">
        <v>31</v>
      </c>
      <c r="AC4326">
        <v>-0.371300000000019</v>
      </c>
      <c r="AD4326">
        <v>-0.277832999999999</v>
      </c>
      <c r="AE4326">
        <v>0.113599999999991</v>
      </c>
      <c r="AF4326">
        <v>7.3837241756492006E-2</v>
      </c>
      <c r="AG4326">
        <v>-0.277832999999999</v>
      </c>
      <c r="AH4326">
        <v>0.245964063818159</v>
      </c>
      <c r="AI4326">
        <v>137.25204156973399</v>
      </c>
      <c r="AJ4326">
        <v>73.290493414108298</v>
      </c>
      <c r="AK4326">
        <v>0.37834036904505702</v>
      </c>
      <c r="AL4326">
        <v>90.229715308380804</v>
      </c>
      <c r="AM4326">
        <v>84.161302758583005</v>
      </c>
      <c r="AN4326">
        <v>1.00000006675966</v>
      </c>
    </row>
    <row r="4327" spans="1:40" x14ac:dyDescent="0.25">
      <c r="A4327" t="str">
        <f>"20190312161057064"</f>
        <v>20190312161057064</v>
      </c>
      <c r="B4327" t="str">
        <f>"1552378257061617"</f>
        <v>1552378257061617</v>
      </c>
      <c r="C4327" t="s">
        <v>40</v>
      </c>
      <c r="D4327">
        <v>5.7204610000000002</v>
      </c>
      <c r="E4327">
        <v>0.52000389999999996</v>
      </c>
      <c r="F4327" t="s">
        <v>42</v>
      </c>
      <c r="G4327">
        <v>-274.5684</v>
      </c>
      <c r="H4327">
        <v>0.97188169999999996</v>
      </c>
      <c r="I4327">
        <v>141.2483</v>
      </c>
      <c r="J4327">
        <v>-274.15370000000001</v>
      </c>
      <c r="K4327">
        <v>1.1093550000000001</v>
      </c>
      <c r="L4327">
        <v>141.1396</v>
      </c>
      <c r="M4327">
        <v>-0.99995080000000003</v>
      </c>
      <c r="N4327">
        <v>0</v>
      </c>
      <c r="O4327">
        <v>5.2019359999999999E-3</v>
      </c>
      <c r="P4327">
        <v>-0.99434999999999996</v>
      </c>
      <c r="Q4327">
        <v>-1.1833979999999999E-2</v>
      </c>
      <c r="R4327">
        <v>0.10549169999999999</v>
      </c>
      <c r="S4327">
        <v>-2.9611209999999999</v>
      </c>
      <c r="T4327">
        <v>-0.57203890000000002</v>
      </c>
      <c r="U4327">
        <v>0.45771790000000001</v>
      </c>
      <c r="V4327">
        <v>0.10031809999999999</v>
      </c>
      <c r="W4327">
        <v>-3.4078400000000001E-3</v>
      </c>
      <c r="X4327">
        <v>0.99494959999999999</v>
      </c>
      <c r="Y4327">
        <v>0.14509240000000001</v>
      </c>
      <c r="Z4327">
        <v>1.2816630000000001E-2</v>
      </c>
      <c r="AA4327">
        <v>0.98933510000000002</v>
      </c>
      <c r="AB4327">
        <v>31</v>
      </c>
      <c r="AC4327">
        <v>-0.41469999999998203</v>
      </c>
      <c r="AD4327">
        <v>-0.13747329999999899</v>
      </c>
      <c r="AE4327">
        <v>0.10869999999999801</v>
      </c>
      <c r="AF4327">
        <v>9.6607292045633994E-2</v>
      </c>
      <c r="AG4327">
        <v>-0.13747329999999899</v>
      </c>
      <c r="AH4327">
        <v>0.37654097170418199</v>
      </c>
      <c r="AI4327">
        <v>109.475699814161</v>
      </c>
      <c r="AJ4327">
        <v>75.610278290877005</v>
      </c>
      <c r="AK4327">
        <v>0.41232872863918901</v>
      </c>
      <c r="AL4327">
        <v>90.195255223173106</v>
      </c>
      <c r="AM4327">
        <v>84.242478196026795</v>
      </c>
      <c r="AN4327">
        <v>1.0000000205506101</v>
      </c>
    </row>
    <row r="4328" spans="1:40" x14ac:dyDescent="0.25">
      <c r="A4328" t="str">
        <f>"20190312161057087"</f>
        <v>20190312161057087</v>
      </c>
      <c r="B4328" t="str">
        <f>"1552378257081138"</f>
        <v>1552378257081138</v>
      </c>
      <c r="C4328" t="s">
        <v>40</v>
      </c>
      <c r="D4328">
        <v>5.7914820000000002</v>
      </c>
      <c r="E4328">
        <v>0.52126090000000003</v>
      </c>
      <c r="F4328" t="s">
        <v>42</v>
      </c>
      <c r="G4328">
        <v>-274.85129999999998</v>
      </c>
      <c r="H4328">
        <v>0.97868849999999996</v>
      </c>
      <c r="I4328">
        <v>141.25190000000001</v>
      </c>
      <c r="J4328">
        <v>-274.48790000000002</v>
      </c>
      <c r="K4328">
        <v>1.109354</v>
      </c>
      <c r="L4328">
        <v>141.1412</v>
      </c>
      <c r="M4328">
        <v>-0.99995100000000003</v>
      </c>
      <c r="N4328">
        <v>0</v>
      </c>
      <c r="O4328">
        <v>5.1233399999999997E-3</v>
      </c>
      <c r="P4328">
        <v>-0.99445300000000003</v>
      </c>
      <c r="Q4328">
        <v>-1.137293E-2</v>
      </c>
      <c r="R4328">
        <v>0.1045662</v>
      </c>
      <c r="S4328">
        <v>-2.9599000000000002</v>
      </c>
      <c r="T4328">
        <v>-0.55438209999999999</v>
      </c>
      <c r="U4328">
        <v>0.47633359999999902</v>
      </c>
      <c r="V4328">
        <v>9.9470119999999995E-2</v>
      </c>
      <c r="W4328">
        <v>-2.9237809999999999E-3</v>
      </c>
      <c r="X4328">
        <v>0.99503620000000004</v>
      </c>
      <c r="Y4328">
        <v>0.1513457</v>
      </c>
      <c r="Z4328">
        <v>1.30183E-2</v>
      </c>
      <c r="AA4328">
        <v>0.98839520000000003</v>
      </c>
      <c r="AB4328">
        <v>31</v>
      </c>
      <c r="AC4328">
        <v>-0.36339999999995598</v>
      </c>
      <c r="AD4328">
        <v>-0.13066549999999999</v>
      </c>
      <c r="AE4328">
        <v>0.110700000000008</v>
      </c>
      <c r="AF4328">
        <v>9.7322634932137206E-2</v>
      </c>
      <c r="AG4328">
        <v>-0.13066549999999999</v>
      </c>
      <c r="AH4328">
        <v>0.32545817469178201</v>
      </c>
      <c r="AI4328">
        <v>111.039337379649</v>
      </c>
      <c r="AJ4328">
        <v>73.351615643044397</v>
      </c>
      <c r="AK4328">
        <v>0.36396179969069697</v>
      </c>
      <c r="AL4328">
        <v>90.167520559193505</v>
      </c>
      <c r="AM4328">
        <v>84.291316753720395</v>
      </c>
      <c r="AN4328">
        <v>0.99999994628929301</v>
      </c>
    </row>
    <row r="4329" spans="1:40" x14ac:dyDescent="0.25">
      <c r="A4329" t="str">
        <f>"20190312161057110"</f>
        <v>20190312161057110</v>
      </c>
      <c r="B4329" t="str">
        <f>"1552378257101633"</f>
        <v>1552378257101633</v>
      </c>
      <c r="C4329" t="s">
        <v>40</v>
      </c>
      <c r="D4329">
        <v>5.767271</v>
      </c>
      <c r="E4329">
        <v>0.53218739999999998</v>
      </c>
      <c r="F4329" t="s">
        <v>42</v>
      </c>
      <c r="G4329">
        <v>-275.39109999999999</v>
      </c>
      <c r="H4329">
        <v>0.93228009999999994</v>
      </c>
      <c r="I4329">
        <v>141.28899999999999</v>
      </c>
      <c r="J4329">
        <v>-274.80799999999999</v>
      </c>
      <c r="K4329">
        <v>1.109359</v>
      </c>
      <c r="L4329">
        <v>141.14279999999999</v>
      </c>
      <c r="M4329">
        <v>-0.99995120000000004</v>
      </c>
      <c r="N4329">
        <v>0</v>
      </c>
      <c r="O4329">
        <v>5.0497650000000003E-3</v>
      </c>
      <c r="P4329">
        <v>-0.99450079999999996</v>
      </c>
      <c r="Q4329">
        <v>-1.2255530000000001E-2</v>
      </c>
      <c r="R4329">
        <v>0.1040107</v>
      </c>
      <c r="S4329">
        <v>-2.9592290000000001</v>
      </c>
      <c r="T4329">
        <v>-0.58018419999999904</v>
      </c>
      <c r="U4329">
        <v>0.48350520000000002</v>
      </c>
      <c r="V4329">
        <v>9.8987770000000003E-2</v>
      </c>
      <c r="W4329">
        <v>-3.785123E-3</v>
      </c>
      <c r="X4329">
        <v>0.9950814</v>
      </c>
      <c r="Y4329">
        <v>0.1535118</v>
      </c>
      <c r="Z4329">
        <v>1.3836960000000001E-2</v>
      </c>
      <c r="AA4329">
        <v>0.98804990000000004</v>
      </c>
      <c r="AB4329">
        <v>31</v>
      </c>
      <c r="AC4329">
        <v>-0.58310000000000095</v>
      </c>
      <c r="AD4329">
        <v>-0.17707890000000001</v>
      </c>
      <c r="AE4329">
        <v>0.146199999999993</v>
      </c>
      <c r="AF4329">
        <v>0.13181585373162999</v>
      </c>
      <c r="AG4329">
        <v>-0.17707890000000001</v>
      </c>
      <c r="AH4329">
        <v>0.53721659794354704</v>
      </c>
      <c r="AI4329">
        <v>107.75127411035901</v>
      </c>
      <c r="AJ4329">
        <v>76.213800903818694</v>
      </c>
      <c r="AK4329">
        <v>0.58080463946687599</v>
      </c>
      <c r="AL4329">
        <v>90.216872101718096</v>
      </c>
      <c r="AM4329">
        <v>84.319074116445194</v>
      </c>
      <c r="AN4329">
        <v>0.99999994919582702</v>
      </c>
    </row>
    <row r="4330" spans="1:40" x14ac:dyDescent="0.25">
      <c r="A4330" t="str">
        <f>"20190312161057132"</f>
        <v>20190312161057132</v>
      </c>
      <c r="B4330" t="str">
        <f>"1552378257121153"</f>
        <v>1552378257121153</v>
      </c>
      <c r="C4330" t="s">
        <v>40</v>
      </c>
      <c r="D4330">
        <v>5.9504570000000001</v>
      </c>
      <c r="E4330">
        <v>0.52629159999999997</v>
      </c>
      <c r="F4330" t="s">
        <v>42</v>
      </c>
      <c r="G4330">
        <v>-275.64749999999998</v>
      </c>
      <c r="H4330">
        <v>0.87269739999999996</v>
      </c>
      <c r="I4330">
        <v>141.30510000000001</v>
      </c>
      <c r="J4330">
        <v>-275.12119999999999</v>
      </c>
      <c r="K4330">
        <v>1.109361</v>
      </c>
      <c r="L4330">
        <v>141.14429999999999</v>
      </c>
      <c r="M4330">
        <v>-0.99995140000000005</v>
      </c>
      <c r="N4330">
        <v>0</v>
      </c>
      <c r="O4330">
        <v>4.9797130000000002E-3</v>
      </c>
      <c r="P4330">
        <v>-0.99452269999999998</v>
      </c>
      <c r="Q4330">
        <v>-1.206806E-2</v>
      </c>
      <c r="R4330">
        <v>0.1038215</v>
      </c>
      <c r="S4330">
        <v>-2.9468380000000001</v>
      </c>
      <c r="T4330">
        <v>-0.83069190000000004</v>
      </c>
      <c r="U4330">
        <v>0.56924439999999998</v>
      </c>
      <c r="V4330">
        <v>9.8867919999999998E-2</v>
      </c>
      <c r="W4330">
        <v>-3.5772059999999999E-3</v>
      </c>
      <c r="X4330">
        <v>0.99509409999999998</v>
      </c>
      <c r="Y4330">
        <v>0.1782601</v>
      </c>
      <c r="Z4330">
        <v>2.3066639999999999E-2</v>
      </c>
      <c r="AA4330">
        <v>0.98371299999999995</v>
      </c>
      <c r="AB4330">
        <v>31</v>
      </c>
      <c r="AC4330">
        <v>-0.526299999999992</v>
      </c>
      <c r="AD4330">
        <v>-0.2366636</v>
      </c>
      <c r="AE4330">
        <v>0.16080000000002301</v>
      </c>
      <c r="AF4330">
        <v>0.13348920304369</v>
      </c>
      <c r="AG4330">
        <v>-0.2366636</v>
      </c>
      <c r="AH4330">
        <v>0.44482668698105099</v>
      </c>
      <c r="AI4330">
        <v>117.00269138439801</v>
      </c>
      <c r="AJ4330">
        <v>73.295887668294398</v>
      </c>
      <c r="AK4330">
        <v>0.52124831735434696</v>
      </c>
      <c r="AL4330">
        <v>90.2049592505616</v>
      </c>
      <c r="AM4330">
        <v>84.325979363431102</v>
      </c>
      <c r="AN4330">
        <v>0.99999996493135002</v>
      </c>
    </row>
    <row r="4331" spans="1:40" x14ac:dyDescent="0.25">
      <c r="A4331" t="str">
        <f>"20190312161057156"</f>
        <v>20190312161057156</v>
      </c>
      <c r="B4331" t="str">
        <f>"1552378257151409"</f>
        <v>1552378257151409</v>
      </c>
      <c r="C4331" t="s">
        <v>40</v>
      </c>
      <c r="D4331">
        <v>5.852487</v>
      </c>
      <c r="E4331">
        <v>0.52777019999999997</v>
      </c>
      <c r="F4331" t="s">
        <v>42</v>
      </c>
      <c r="G4331">
        <v>-275.94479999999999</v>
      </c>
      <c r="H4331">
        <v>0.91103319999999999</v>
      </c>
      <c r="I4331">
        <v>141.28980000000001</v>
      </c>
      <c r="J4331">
        <v>-275.44220000000001</v>
      </c>
      <c r="K4331">
        <v>1.109364</v>
      </c>
      <c r="L4331">
        <v>141.14580000000001</v>
      </c>
      <c r="M4331">
        <v>-0.99995160000000005</v>
      </c>
      <c r="N4331">
        <v>0</v>
      </c>
      <c r="O4331">
        <v>4.9088259999999998E-3</v>
      </c>
      <c r="P4331">
        <v>-0.99448309999999995</v>
      </c>
      <c r="Q4331">
        <v>-1.140647E-2</v>
      </c>
      <c r="R4331">
        <v>0.1042762</v>
      </c>
      <c r="S4331">
        <v>-2.953522</v>
      </c>
      <c r="T4331">
        <v>-0.71134189999999997</v>
      </c>
      <c r="U4331">
        <v>0.52117919999999995</v>
      </c>
      <c r="V4331">
        <v>9.9393319999999993E-2</v>
      </c>
      <c r="W4331">
        <v>-2.8951850000000002E-3</v>
      </c>
      <c r="X4331">
        <v>0.99504400000000004</v>
      </c>
      <c r="Y4331">
        <v>0.1645122</v>
      </c>
      <c r="Z4331">
        <v>1.8231190000000001E-2</v>
      </c>
      <c r="AA4331">
        <v>0.98620649999999999</v>
      </c>
      <c r="AB4331">
        <v>31</v>
      </c>
      <c r="AC4331">
        <v>-0.50259999999997196</v>
      </c>
      <c r="AD4331">
        <v>-0.1983308</v>
      </c>
      <c r="AE4331">
        <v>0.14400000000000501</v>
      </c>
      <c r="AF4331">
        <v>0.12372629516078699</v>
      </c>
      <c r="AG4331">
        <v>-0.1983308</v>
      </c>
      <c r="AH4331">
        <v>0.43998522365923598</v>
      </c>
      <c r="AI4331">
        <v>113.45777020417199</v>
      </c>
      <c r="AJ4331">
        <v>74.293721299759596</v>
      </c>
      <c r="AK4331">
        <v>0.498227156406917</v>
      </c>
      <c r="AL4331">
        <v>90.165882115133002</v>
      </c>
      <c r="AM4331">
        <v>84.295739718936602</v>
      </c>
      <c r="AN4331">
        <v>0.999999988046403</v>
      </c>
    </row>
    <row r="4332" spans="1:40" x14ac:dyDescent="0.25">
      <c r="A4332" t="str">
        <f>"20190312161057178"</f>
        <v>20190312161057178</v>
      </c>
      <c r="B4332" t="str">
        <f>"1552378257170930"</f>
        <v>1552378257170930</v>
      </c>
      <c r="C4332" t="s">
        <v>40</v>
      </c>
      <c r="D4332">
        <v>6.1015689999999996</v>
      </c>
      <c r="E4332">
        <v>0.52999110000000005</v>
      </c>
      <c r="F4332" t="s">
        <v>42</v>
      </c>
      <c r="G4332">
        <v>-276.22910000000002</v>
      </c>
      <c r="H4332">
        <v>0.91650089999999995</v>
      </c>
      <c r="I4332">
        <v>141.28829999999999</v>
      </c>
      <c r="J4332">
        <v>-275.76310000000001</v>
      </c>
      <c r="K4332">
        <v>1.109367</v>
      </c>
      <c r="L4332">
        <v>141.1473</v>
      </c>
      <c r="M4332">
        <v>-0.9999517</v>
      </c>
      <c r="N4332">
        <v>0</v>
      </c>
      <c r="O4332">
        <v>4.839304E-3</v>
      </c>
      <c r="P4332">
        <v>-0.99446639999999997</v>
      </c>
      <c r="Q4332">
        <v>-1.069638E-2</v>
      </c>
      <c r="R4332">
        <v>0.1045104</v>
      </c>
      <c r="S4332">
        <v>-2.9523929999999998</v>
      </c>
      <c r="T4332">
        <v>-0.72360979999999997</v>
      </c>
      <c r="U4332">
        <v>0.53382869999999905</v>
      </c>
      <c r="V4332">
        <v>9.9696670000000001E-2</v>
      </c>
      <c r="W4332">
        <v>-2.1644390000000002E-3</v>
      </c>
      <c r="X4332">
        <v>0.99501550000000005</v>
      </c>
      <c r="Y4332">
        <v>0.16847200000000001</v>
      </c>
      <c r="Z4332">
        <v>1.9028130000000001E-2</v>
      </c>
      <c r="AA4332">
        <v>0.98552269999999997</v>
      </c>
      <c r="AB4332">
        <v>32</v>
      </c>
      <c r="AC4332">
        <v>-0.46600000000000802</v>
      </c>
      <c r="AD4332">
        <v>-0.19286610000000001</v>
      </c>
      <c r="AE4332">
        <v>0.14099999999999099</v>
      </c>
      <c r="AF4332">
        <v>0.119923934757382</v>
      </c>
      <c r="AG4332">
        <v>-0.19286610000000001</v>
      </c>
      <c r="AH4332">
        <v>0.40337653440154397</v>
      </c>
      <c r="AI4332">
        <v>114.622169011065</v>
      </c>
      <c r="AJ4332">
        <v>73.442774459951195</v>
      </c>
      <c r="AK4332">
        <v>0.46291652720841903</v>
      </c>
      <c r="AL4332">
        <v>90.124013319268599</v>
      </c>
      <c r="AM4332">
        <v>84.278282765622905</v>
      </c>
      <c r="AN4332">
        <v>0.99999997802276097</v>
      </c>
    </row>
    <row r="4333" spans="1:40" x14ac:dyDescent="0.25">
      <c r="A4333" t="str">
        <f>"20190312161057199"</f>
        <v>20190312161057199</v>
      </c>
      <c r="B4333" t="str">
        <f>"1552378257191425"</f>
        <v>1552378257191425</v>
      </c>
      <c r="C4333" t="s">
        <v>40</v>
      </c>
      <c r="D4333">
        <v>5.8827119999999997</v>
      </c>
      <c r="E4333">
        <v>0.52775300000000003</v>
      </c>
      <c r="F4333" t="s">
        <v>42</v>
      </c>
      <c r="G4333">
        <v>-276.51350000000002</v>
      </c>
      <c r="H4333">
        <v>0.92087339999999995</v>
      </c>
      <c r="I4333">
        <v>141.28809999999999</v>
      </c>
      <c r="J4333">
        <v>-276.0643</v>
      </c>
      <c r="K4333">
        <v>1.1093649999999999</v>
      </c>
      <c r="L4333">
        <v>141.14869999999999</v>
      </c>
      <c r="M4333">
        <v>-0.99995179999999995</v>
      </c>
      <c r="N4333">
        <v>0</v>
      </c>
      <c r="O4333">
        <v>4.7749699999999999E-3</v>
      </c>
      <c r="P4333">
        <v>-0.99450810000000001</v>
      </c>
      <c r="Q4333">
        <v>-1.021852E-2</v>
      </c>
      <c r="R4333">
        <v>0.1041603</v>
      </c>
      <c r="S4333">
        <v>-2.9505620000000001</v>
      </c>
      <c r="T4333">
        <v>-0.74117180000000005</v>
      </c>
      <c r="U4333">
        <v>0.55323789999999995</v>
      </c>
      <c r="V4333">
        <v>9.9410449999999997E-2</v>
      </c>
      <c r="W4333">
        <v>-1.6667100000000001E-3</v>
      </c>
      <c r="X4333">
        <v>0.99504510000000002</v>
      </c>
      <c r="Y4333">
        <v>0.1745003</v>
      </c>
      <c r="Z4333">
        <v>2.023225E-2</v>
      </c>
      <c r="AA4333">
        <v>0.98444929999999997</v>
      </c>
      <c r="AB4333">
        <v>32</v>
      </c>
      <c r="AC4333">
        <v>-0.44920000000001797</v>
      </c>
      <c r="AD4333">
        <v>-0.18849159999999901</v>
      </c>
      <c r="AE4333">
        <v>0.139399999999994</v>
      </c>
      <c r="AF4333">
        <v>0.11825969220522201</v>
      </c>
      <c r="AG4333">
        <v>-0.18849159999999901</v>
      </c>
      <c r="AH4333">
        <v>0.387606881697523</v>
      </c>
      <c r="AI4333">
        <v>114.94448812037901</v>
      </c>
      <c r="AJ4333">
        <v>73.0329397205048</v>
      </c>
      <c r="AK4333">
        <v>0.44693795185720298</v>
      </c>
      <c r="AL4333">
        <v>90.095495494483799</v>
      </c>
      <c r="AM4333">
        <v>84.294769365289099</v>
      </c>
      <c r="AN4333">
        <v>0.999999983262718</v>
      </c>
    </row>
    <row r="4334" spans="1:40" x14ac:dyDescent="0.25">
      <c r="A4334" t="str">
        <f>"20190312161057222"</f>
        <v>20190312161057222</v>
      </c>
      <c r="B4334" t="str">
        <f>"1552378257210949"</f>
        <v>1552378257210949</v>
      </c>
      <c r="C4334" t="s">
        <v>40</v>
      </c>
      <c r="D4334">
        <v>5.8646379999999896</v>
      </c>
      <c r="E4334">
        <v>0.52576990000000001</v>
      </c>
      <c r="F4334" t="s">
        <v>42</v>
      </c>
      <c r="G4334">
        <v>-276.80079999999998</v>
      </c>
      <c r="H4334">
        <v>0.9308805</v>
      </c>
      <c r="I4334">
        <v>141.2825</v>
      </c>
      <c r="J4334">
        <v>-276.39019999999999</v>
      </c>
      <c r="K4334">
        <v>1.109362</v>
      </c>
      <c r="L4334">
        <v>141.15020000000001</v>
      </c>
      <c r="M4334">
        <v>-0.9999519</v>
      </c>
      <c r="N4334">
        <v>0</v>
      </c>
      <c r="O4334">
        <v>4.7076540000000004E-3</v>
      </c>
      <c r="P4334">
        <v>-0.99448099999999995</v>
      </c>
      <c r="Q4334">
        <v>-1.094881E-2</v>
      </c>
      <c r="R4334">
        <v>0.10434499999999999</v>
      </c>
      <c r="S4334">
        <v>-2.953125</v>
      </c>
      <c r="T4334">
        <v>-0.71570610000000001</v>
      </c>
      <c r="U4334">
        <v>0.53533940000000002</v>
      </c>
      <c r="V4334">
        <v>9.966245E-2</v>
      </c>
      <c r="W4334">
        <v>-2.3762100000000001E-3</v>
      </c>
      <c r="X4334">
        <v>0.99501850000000003</v>
      </c>
      <c r="Y4334">
        <v>0.169128</v>
      </c>
      <c r="Z4334">
        <v>1.8929729999999999E-2</v>
      </c>
      <c r="AA4334">
        <v>0.98541230000000002</v>
      </c>
      <c r="AB4334">
        <v>32</v>
      </c>
      <c r="AC4334">
        <v>-0.41059999999998797</v>
      </c>
      <c r="AD4334">
        <v>-0.17848149999999999</v>
      </c>
      <c r="AE4334">
        <v>0.13229999999998601</v>
      </c>
      <c r="AF4334">
        <v>0.111311347278034</v>
      </c>
      <c r="AG4334">
        <v>-0.17848149999999999</v>
      </c>
      <c r="AH4334">
        <v>0.35111484742321902</v>
      </c>
      <c r="AI4334">
        <v>115.853012193935</v>
      </c>
      <c r="AJ4334">
        <v>72.410207468064996</v>
      </c>
      <c r="AK4334">
        <v>0.40930123131519103</v>
      </c>
      <c r="AL4334">
        <v>90.136146927890195</v>
      </c>
      <c r="AM4334">
        <v>84.2802508010205</v>
      </c>
      <c r="AN4334">
        <v>1.0000000328281</v>
      </c>
    </row>
    <row r="4335" spans="1:40" x14ac:dyDescent="0.25">
      <c r="A4335" t="str">
        <f>"20190312161057245"</f>
        <v>20190312161057245</v>
      </c>
      <c r="B4335" t="str">
        <f>"1552378257231441"</f>
        <v>1552378257231441</v>
      </c>
      <c r="C4335" t="s">
        <v>40</v>
      </c>
      <c r="D4335">
        <v>5.9140480000000002</v>
      </c>
      <c r="E4335">
        <v>0.52476690000000004</v>
      </c>
      <c r="F4335" t="s">
        <v>42</v>
      </c>
      <c r="G4335">
        <v>-277.09100000000001</v>
      </c>
      <c r="H4335">
        <v>0.94559919999999997</v>
      </c>
      <c r="I4335">
        <v>141.27350000000001</v>
      </c>
      <c r="J4335">
        <v>-276.69779999999997</v>
      </c>
      <c r="K4335">
        <v>1.109359</v>
      </c>
      <c r="L4335">
        <v>141.1516</v>
      </c>
      <c r="M4335">
        <v>-0.99995210000000001</v>
      </c>
      <c r="N4335">
        <v>0</v>
      </c>
      <c r="O4335">
        <v>4.6482249999999998E-3</v>
      </c>
      <c r="P4335">
        <v>-0.99442180000000002</v>
      </c>
      <c r="Q4335">
        <v>-1.134256E-2</v>
      </c>
      <c r="R4335">
        <v>0.1048661</v>
      </c>
      <c r="S4335">
        <v>-2.954529</v>
      </c>
      <c r="T4335">
        <v>-0.69044649999999996</v>
      </c>
      <c r="U4335">
        <v>0.51959230000000001</v>
      </c>
      <c r="V4335">
        <v>0.1002429</v>
      </c>
      <c r="W4335">
        <v>-2.7510849999999999E-3</v>
      </c>
      <c r="X4335">
        <v>0.99495919999999904</v>
      </c>
      <c r="Y4335">
        <v>0.16444790000000001</v>
      </c>
      <c r="Z4335">
        <v>1.7756879999999999E-2</v>
      </c>
      <c r="AA4335">
        <v>0.98622589999999999</v>
      </c>
      <c r="AB4335">
        <v>32</v>
      </c>
      <c r="AC4335">
        <v>-0.39320000000003502</v>
      </c>
      <c r="AD4335">
        <v>-0.16375979999999901</v>
      </c>
      <c r="AE4335">
        <v>0.12190000000001</v>
      </c>
      <c r="AF4335">
        <v>0.103666186511558</v>
      </c>
      <c r="AG4335">
        <v>-0.16375979999999901</v>
      </c>
      <c r="AH4335">
        <v>0.33996442319157399</v>
      </c>
      <c r="AI4335">
        <v>114.737968432602</v>
      </c>
      <c r="AJ4335">
        <v>73.041834800906898</v>
      </c>
      <c r="AK4335">
        <v>0.39133075442375997</v>
      </c>
      <c r="AL4335">
        <v>90.157625757062704</v>
      </c>
      <c r="AM4335">
        <v>84.246820298715903</v>
      </c>
      <c r="AN4335">
        <v>1.0000000085668601</v>
      </c>
    </row>
    <row r="4336" spans="1:40" x14ac:dyDescent="0.25">
      <c r="A4336" t="str">
        <f>"20190312161057265"</f>
        <v>20190312161057265</v>
      </c>
      <c r="B4336" t="str">
        <f>"1552378257260721"</f>
        <v>1552378257260721</v>
      </c>
      <c r="C4336" t="s">
        <v>40</v>
      </c>
      <c r="D4336">
        <v>5.7991590000000004</v>
      </c>
      <c r="E4336">
        <v>0.52373400000000003</v>
      </c>
      <c r="F4336" t="s">
        <v>42</v>
      </c>
      <c r="G4336">
        <v>-277.63709999999998</v>
      </c>
      <c r="H4336">
        <v>0.89028430000000003</v>
      </c>
      <c r="I4336">
        <v>141.31479999999999</v>
      </c>
      <c r="J4336">
        <v>-277.00330000000002</v>
      </c>
      <c r="K4336">
        <v>1.109356</v>
      </c>
      <c r="L4336">
        <v>141.15299999999999</v>
      </c>
      <c r="M4336">
        <v>-0.99995219999999996</v>
      </c>
      <c r="N4336">
        <v>0</v>
      </c>
      <c r="O4336">
        <v>4.5939969999999998E-3</v>
      </c>
      <c r="P4336">
        <v>-0.99445329999999998</v>
      </c>
      <c r="Q4336">
        <v>-1.1308469999999999E-2</v>
      </c>
      <c r="R4336">
        <v>0.1045715</v>
      </c>
      <c r="S4336">
        <v>-2.954895</v>
      </c>
      <c r="T4336">
        <v>-0.68922289999999997</v>
      </c>
      <c r="U4336">
        <v>0.5125885</v>
      </c>
      <c r="V4336">
        <v>0.1000021</v>
      </c>
      <c r="W4336">
        <v>-2.6978839999999998E-3</v>
      </c>
      <c r="X4336">
        <v>0.99498359999999997</v>
      </c>
      <c r="Y4336">
        <v>0.16228029999999999</v>
      </c>
      <c r="Z4336">
        <v>1.7492279999999999E-2</v>
      </c>
      <c r="AA4336">
        <v>0.98658970000000001</v>
      </c>
      <c r="AB4336">
        <v>32</v>
      </c>
      <c r="AC4336">
        <v>-0.63379999999995096</v>
      </c>
      <c r="AD4336">
        <v>-0.21907170000000001</v>
      </c>
      <c r="AE4336">
        <v>0.161799999999999</v>
      </c>
      <c r="AF4336">
        <v>0.14286263478219499</v>
      </c>
      <c r="AG4336">
        <v>-0.21907170000000001</v>
      </c>
      <c r="AH4336">
        <v>0.57054294973390396</v>
      </c>
      <c r="AI4336">
        <v>110.428917616536</v>
      </c>
      <c r="AJ4336">
        <v>75.942313108958999</v>
      </c>
      <c r="AK4336">
        <v>0.62763157955034798</v>
      </c>
      <c r="AL4336">
        <v>90.154577549476002</v>
      </c>
      <c r="AM4336">
        <v>84.260687819200697</v>
      </c>
      <c r="AN4336">
        <v>1.00000003142572</v>
      </c>
    </row>
    <row r="4337" spans="1:40" x14ac:dyDescent="0.25">
      <c r="A4337" t="str">
        <f>"20190312161057289"</f>
        <v>20190312161057289</v>
      </c>
      <c r="B4337" t="str">
        <f>"1552378257281217"</f>
        <v>1552378257281217</v>
      </c>
      <c r="C4337" t="s">
        <v>40</v>
      </c>
      <c r="D4337">
        <v>5.8846170000000004</v>
      </c>
      <c r="E4337">
        <v>0.52382890000000004</v>
      </c>
      <c r="F4337" t="s">
        <v>42</v>
      </c>
      <c r="G4337">
        <v>-277.92450000000002</v>
      </c>
      <c r="H4337">
        <v>0.89626459999999997</v>
      </c>
      <c r="I4337">
        <v>141.31</v>
      </c>
      <c r="J4337">
        <v>-277.33890000000002</v>
      </c>
      <c r="K4337">
        <v>1.109356</v>
      </c>
      <c r="L4337">
        <v>141.15440000000001</v>
      </c>
      <c r="M4337">
        <v>-0.99995230000000002</v>
      </c>
      <c r="N4337">
        <v>0</v>
      </c>
      <c r="O4337">
        <v>4.5394709999999998E-3</v>
      </c>
      <c r="P4337">
        <v>-0.99452790000000002</v>
      </c>
      <c r="Q4337">
        <v>-1.058036E-2</v>
      </c>
      <c r="R4337">
        <v>0.1039344</v>
      </c>
      <c r="S4337">
        <v>-2.9560240000000002</v>
      </c>
      <c r="T4337">
        <v>-0.68376199999999998</v>
      </c>
      <c r="U4337">
        <v>0.50329590000000002</v>
      </c>
      <c r="V4337">
        <v>9.9418709999999993E-2</v>
      </c>
      <c r="W4337">
        <v>-1.948682E-3</v>
      </c>
      <c r="X4337">
        <v>0.99504380000000003</v>
      </c>
      <c r="Y4337">
        <v>0.15939439999999999</v>
      </c>
      <c r="Z4337">
        <v>1.7040429999999999E-2</v>
      </c>
      <c r="AA4337">
        <v>0.9870679</v>
      </c>
      <c r="AB4337">
        <v>32</v>
      </c>
      <c r="AC4337">
        <v>-0.58559999999999901</v>
      </c>
      <c r="AD4337">
        <v>-0.21309139999999999</v>
      </c>
      <c r="AE4337">
        <v>0.15559999999999199</v>
      </c>
      <c r="AF4337">
        <v>0.13610627452361099</v>
      </c>
      <c r="AG4337">
        <v>-0.21309139999999999</v>
      </c>
      <c r="AH4337">
        <v>0.52176777206656599</v>
      </c>
      <c r="AI4337">
        <v>111.562884842554</v>
      </c>
      <c r="AJ4337">
        <v>75.379851605632595</v>
      </c>
      <c r="AK4337">
        <v>0.57980554558055397</v>
      </c>
      <c r="AL4337">
        <v>90.111651322577799</v>
      </c>
      <c r="AM4337">
        <v>84.294291041012102</v>
      </c>
      <c r="AN4337">
        <v>1.00000002058902</v>
      </c>
    </row>
    <row r="4338" spans="1:40" x14ac:dyDescent="0.25">
      <c r="A4338" t="str">
        <f>"20190312161057312"</f>
        <v>20190312161057312</v>
      </c>
      <c r="B4338" t="str">
        <f>"1552378257300737"</f>
        <v>1552378257300737</v>
      </c>
      <c r="C4338" t="s">
        <v>40</v>
      </c>
      <c r="D4338">
        <v>5.8714820000000003</v>
      </c>
      <c r="E4338">
        <v>0.52225979999999905</v>
      </c>
      <c r="F4338" t="s">
        <v>42</v>
      </c>
      <c r="G4338">
        <v>-278.21429999999998</v>
      </c>
      <c r="H4338">
        <v>0.90705809999999998</v>
      </c>
      <c r="I4338">
        <v>141.30350000000001</v>
      </c>
      <c r="J4338">
        <v>-277.65899999999999</v>
      </c>
      <c r="K4338">
        <v>1.1093550000000001</v>
      </c>
      <c r="L4338">
        <v>141.1558</v>
      </c>
      <c r="M4338">
        <v>-0.99995230000000002</v>
      </c>
      <c r="N4338">
        <v>0</v>
      </c>
      <c r="O4338">
        <v>4.4931770000000001E-3</v>
      </c>
      <c r="P4338">
        <v>-0.99459330000000001</v>
      </c>
      <c r="Q4338">
        <v>-1.031519E-2</v>
      </c>
      <c r="R4338">
        <v>0.1033352</v>
      </c>
      <c r="S4338">
        <v>-2.9567570000000001</v>
      </c>
      <c r="T4338">
        <v>-0.6832954</v>
      </c>
      <c r="U4338">
        <v>0.50282289999999996</v>
      </c>
      <c r="V4338">
        <v>9.8865330000000001E-2</v>
      </c>
      <c r="W4338">
        <v>-1.663604E-3</v>
      </c>
      <c r="X4338">
        <v>0.99509939999999997</v>
      </c>
      <c r="Y4338">
        <v>0.1592557</v>
      </c>
      <c r="Z4338">
        <v>1.702004E-2</v>
      </c>
      <c r="AA4338">
        <v>0.98709060000000004</v>
      </c>
      <c r="AB4338">
        <v>32</v>
      </c>
      <c r="AC4338">
        <v>-0.55529999999998803</v>
      </c>
      <c r="AD4338">
        <v>-0.202296899999999</v>
      </c>
      <c r="AE4338">
        <v>0.14770000000001399</v>
      </c>
      <c r="AF4338">
        <v>0.129190557842224</v>
      </c>
      <c r="AG4338">
        <v>-0.202296899999999</v>
      </c>
      <c r="AH4338">
        <v>0.49464788616622501</v>
      </c>
      <c r="AI4338">
        <v>111.58861635469999</v>
      </c>
      <c r="AJ4338">
        <v>75.362644985952798</v>
      </c>
      <c r="AK4338">
        <v>0.54980975552813705</v>
      </c>
      <c r="AL4338">
        <v>90.095317534953097</v>
      </c>
      <c r="AM4338">
        <v>84.326157055865494</v>
      </c>
      <c r="AN4338">
        <v>0.99999996846731798</v>
      </c>
    </row>
    <row r="4339" spans="1:40" x14ac:dyDescent="0.25">
      <c r="A4339" t="str">
        <f>"20190312161057335"</f>
        <v>20190312161057335</v>
      </c>
      <c r="B4339" t="str">
        <f>"1552378257330993"</f>
        <v>1552378257330993</v>
      </c>
      <c r="C4339" t="s">
        <v>40</v>
      </c>
      <c r="D4339">
        <v>5.8549100000000003</v>
      </c>
      <c r="E4339">
        <v>0.46569379999999999</v>
      </c>
      <c r="F4339" t="s">
        <v>42</v>
      </c>
      <c r="G4339">
        <v>-278.50450000000001</v>
      </c>
      <c r="H4339">
        <v>0.91741450000000002</v>
      </c>
      <c r="I4339">
        <v>141.29580000000001</v>
      </c>
      <c r="J4339">
        <v>-277.99509999999998</v>
      </c>
      <c r="K4339">
        <v>1.109348</v>
      </c>
      <c r="L4339">
        <v>141.15729999999999</v>
      </c>
      <c r="M4339">
        <v>-0.99995219999999996</v>
      </c>
      <c r="N4339">
        <v>0</v>
      </c>
      <c r="O4339">
        <v>4.4529089999999997E-3</v>
      </c>
      <c r="P4339">
        <v>-0.99461679999999997</v>
      </c>
      <c r="Q4339">
        <v>-1.0238540000000001E-2</v>
      </c>
      <c r="R4339">
        <v>0.10311389999999999</v>
      </c>
      <c r="S4339">
        <v>-2.9585569999999999</v>
      </c>
      <c r="T4339">
        <v>-0.67164889999999999</v>
      </c>
      <c r="U4339">
        <v>0.4889984</v>
      </c>
      <c r="V4339">
        <v>9.8683850000000004E-2</v>
      </c>
      <c r="W4339">
        <v>-1.5665950000000001E-3</v>
      </c>
      <c r="X4339">
        <v>0.99511760000000005</v>
      </c>
      <c r="Y4339">
        <v>0.15494720000000001</v>
      </c>
      <c r="Z4339">
        <v>1.626263E-2</v>
      </c>
      <c r="AA4339">
        <v>0.98778889999999997</v>
      </c>
      <c r="AB4339">
        <v>32</v>
      </c>
      <c r="AC4339">
        <v>-0.50940000000002705</v>
      </c>
      <c r="AD4339">
        <v>-0.19193350000000001</v>
      </c>
      <c r="AE4339">
        <v>0.138500000000021</v>
      </c>
      <c r="AF4339">
        <v>0.12032414789015899</v>
      </c>
      <c r="AG4339">
        <v>-0.19193350000000001</v>
      </c>
      <c r="AH4339">
        <v>0.45046333504361502</v>
      </c>
      <c r="AI4339">
        <v>112.374411915051</v>
      </c>
      <c r="AJ4339">
        <v>75.044765450080106</v>
      </c>
      <c r="AK4339">
        <v>0.50421581213440703</v>
      </c>
      <c r="AL4339">
        <v>90.089759318676897</v>
      </c>
      <c r="AM4339">
        <v>84.336607260111705</v>
      </c>
      <c r="AN4339">
        <v>0.99999999715023802</v>
      </c>
    </row>
    <row r="4340" spans="1:40" x14ac:dyDescent="0.25">
      <c r="A4340" t="str">
        <f>"20190312161057357"</f>
        <v>20190312161057357</v>
      </c>
      <c r="B4340" t="str">
        <f>"1552378257351491"</f>
        <v>1552378257351491</v>
      </c>
      <c r="C4340" t="s">
        <v>40</v>
      </c>
      <c r="D4340">
        <v>5.7859360000000004</v>
      </c>
      <c r="E4340">
        <v>0.45921459999999997</v>
      </c>
      <c r="F4340" t="s">
        <v>42</v>
      </c>
      <c r="G4340">
        <v>-278.84059999999999</v>
      </c>
      <c r="H4340">
        <v>1.0222039999999999</v>
      </c>
      <c r="I4340">
        <v>141.16800000000001</v>
      </c>
      <c r="J4340">
        <v>-278.3014</v>
      </c>
      <c r="K4340">
        <v>1.1093440000000001</v>
      </c>
      <c r="L4340">
        <v>141.15870000000001</v>
      </c>
      <c r="M4340">
        <v>-0.99995210000000001</v>
      </c>
      <c r="N4340">
        <v>0</v>
      </c>
      <c r="O4340">
        <v>4.4239769999999999E-3</v>
      </c>
      <c r="P4340">
        <v>-0.99453619999999998</v>
      </c>
      <c r="Q4340">
        <v>-1.0764849999999999E-2</v>
      </c>
      <c r="R4340">
        <v>0.10383680000000001</v>
      </c>
      <c r="S4340">
        <v>-3.009125</v>
      </c>
      <c r="T4340">
        <v>-0.3101698</v>
      </c>
      <c r="U4340">
        <v>3.7902829999999998E-2</v>
      </c>
      <c r="V4340">
        <v>9.9436010000000005E-2</v>
      </c>
      <c r="W4340">
        <v>-2.075478E-3</v>
      </c>
      <c r="X4340">
        <v>0.99504179999999998</v>
      </c>
      <c r="Y4340">
        <v>8.1513030000000004E-3</v>
      </c>
      <c r="Z4340" s="1">
        <v>-3.5820969999999999E-5</v>
      </c>
      <c r="AA4340">
        <v>0.99996680000000004</v>
      </c>
      <c r="AB4340">
        <v>32</v>
      </c>
      <c r="AC4340">
        <v>-0.53919999999999302</v>
      </c>
      <c r="AD4340">
        <v>-8.7139999999999995E-2</v>
      </c>
      <c r="AE4340">
        <v>9.2999999999960892E-3</v>
      </c>
      <c r="AF4340">
        <v>6.73846853800481E-3</v>
      </c>
      <c r="AG4340">
        <v>-8.7139999999999995E-2</v>
      </c>
      <c r="AH4340">
        <v>0.52551470105559805</v>
      </c>
      <c r="AI4340">
        <v>99.414266395025194</v>
      </c>
      <c r="AJ4340">
        <v>89.265358991972803</v>
      </c>
      <c r="AK4340">
        <v>0.53273303594182397</v>
      </c>
      <c r="AL4340">
        <v>90.118916214566099</v>
      </c>
      <c r="AM4340">
        <v>84.293293340134298</v>
      </c>
      <c r="AN4340">
        <v>1.0000000057204399</v>
      </c>
    </row>
    <row r="4341" spans="1:40" x14ac:dyDescent="0.25">
      <c r="A4341" t="str">
        <f>"20190312161057400"</f>
        <v>20190312161057400</v>
      </c>
      <c r="B4341" t="str">
        <f>"1552378257391506"</f>
        <v>1552378257391506</v>
      </c>
      <c r="C4341" t="s">
        <v>40</v>
      </c>
      <c r="D4341">
        <v>5.8105549999999999</v>
      </c>
      <c r="E4341">
        <v>0.45597209999999999</v>
      </c>
      <c r="F4341" t="s">
        <v>87</v>
      </c>
      <c r="G4341">
        <v>-292.55059999999997</v>
      </c>
      <c r="H4341" s="1">
        <v>-9.0932540000000007E-6</v>
      </c>
      <c r="I4341">
        <v>141.1036</v>
      </c>
      <c r="J4341">
        <v>-278.9316</v>
      </c>
      <c r="K4341">
        <v>1.10934</v>
      </c>
      <c r="L4341">
        <v>141.16139999999999</v>
      </c>
      <c r="M4341">
        <v>-0.99995199999999995</v>
      </c>
      <c r="N4341">
        <v>0</v>
      </c>
      <c r="O4341">
        <v>4.3808240000000002E-3</v>
      </c>
      <c r="P4341">
        <v>-0.99444290000000002</v>
      </c>
      <c r="Q4341">
        <v>-1.0167539999999999E-2</v>
      </c>
      <c r="R4341">
        <v>0.1047868</v>
      </c>
      <c r="S4341">
        <v>-3.0151669999999999</v>
      </c>
      <c r="T4341">
        <v>-0.23474159999999999</v>
      </c>
      <c r="U4341">
        <v>-1.165771E-2</v>
      </c>
      <c r="V4341">
        <v>0.1004293</v>
      </c>
      <c r="W4341">
        <v>-1.4421379999999999E-3</v>
      </c>
      <c r="X4341">
        <v>0.99494309999999997</v>
      </c>
      <c r="Y4341">
        <v>-8.2091530000000003E-3</v>
      </c>
      <c r="Z4341">
        <v>-6.596312E-4</v>
      </c>
      <c r="AA4341">
        <v>0.99996609999999997</v>
      </c>
      <c r="AB4341">
        <v>32</v>
      </c>
      <c r="AC4341">
        <v>-13.6189999999999</v>
      </c>
      <c r="AD4341">
        <v>-1.109349093254</v>
      </c>
      <c r="AE4341">
        <v>-5.7799999999986001E-2</v>
      </c>
      <c r="AF4341">
        <v>-0.116689945789873</v>
      </c>
      <c r="AG4341">
        <v>-1.109349093254</v>
      </c>
      <c r="AH4341">
        <v>13.5288527079567</v>
      </c>
      <c r="AI4341">
        <v>94.687521468057199</v>
      </c>
      <c r="AJ4341">
        <v>90.494179052644995</v>
      </c>
      <c r="AK4341">
        <v>13.574760681048501</v>
      </c>
      <c r="AL4341">
        <v>90.082628453800993</v>
      </c>
      <c r="AM4341">
        <v>84.236101678316999</v>
      </c>
      <c r="AN4341">
        <v>0.99999994814905402</v>
      </c>
    </row>
    <row r="4342" spans="1:40" x14ac:dyDescent="0.25">
      <c r="A4342" t="str">
        <f>"20190312161057423"</f>
        <v>20190312161057423</v>
      </c>
      <c r="B4342" t="str">
        <f>"1552378257411026"</f>
        <v>1552378257411026</v>
      </c>
      <c r="C4342" t="s">
        <v>40</v>
      </c>
      <c r="D4342">
        <v>5.7964960000000003</v>
      </c>
      <c r="E4342">
        <v>0.45520719999999998</v>
      </c>
      <c r="F4342" t="s">
        <v>87</v>
      </c>
      <c r="G4342">
        <v>-296.57470000000001</v>
      </c>
      <c r="H4342" s="1">
        <v>-8.7018780000000003E-6</v>
      </c>
      <c r="I4342">
        <v>140.9599</v>
      </c>
      <c r="J4342">
        <v>-279.25940000000003</v>
      </c>
      <c r="K4342">
        <v>1.1093409999999999</v>
      </c>
      <c r="L4342">
        <v>141.1628</v>
      </c>
      <c r="M4342">
        <v>-0.99995199999999995</v>
      </c>
      <c r="N4342">
        <v>0</v>
      </c>
      <c r="O4342">
        <v>4.3644390000000003E-3</v>
      </c>
      <c r="P4342">
        <v>-0.99441310000000005</v>
      </c>
      <c r="Q4342">
        <v>-9.8431960000000002E-3</v>
      </c>
      <c r="R4342">
        <v>0.1050994</v>
      </c>
      <c r="S4342">
        <v>-3.0184630000000001</v>
      </c>
      <c r="T4342">
        <v>-0.1897924</v>
      </c>
      <c r="U4342">
        <v>-3.4469600000000003E-2</v>
      </c>
      <c r="V4342">
        <v>0.1007581</v>
      </c>
      <c r="W4342">
        <v>-1.098522E-3</v>
      </c>
      <c r="X4342">
        <v>0.99491039999999997</v>
      </c>
      <c r="Y4342">
        <v>-1.574335E-2</v>
      </c>
      <c r="Z4342">
        <v>-7.685999E-4</v>
      </c>
      <c r="AA4342">
        <v>0.99987579999999998</v>
      </c>
      <c r="AB4342">
        <v>32</v>
      </c>
      <c r="AC4342">
        <v>-17.315299999999901</v>
      </c>
      <c r="AD4342">
        <v>-1.1093497018780001</v>
      </c>
      <c r="AE4342">
        <v>-0.202899999999999</v>
      </c>
      <c r="AF4342">
        <v>-0.27733433963818099</v>
      </c>
      <c r="AG4342">
        <v>-1.1093497018780001</v>
      </c>
      <c r="AH4342">
        <v>17.243480633058599</v>
      </c>
      <c r="AI4342">
        <v>93.680544409796497</v>
      </c>
      <c r="AJ4342">
        <v>90.921433299570097</v>
      </c>
      <c r="AK4342">
        <v>17.281353981666602</v>
      </c>
      <c r="AL4342">
        <v>90.062940683641202</v>
      </c>
      <c r="AM4342">
        <v>84.217169899244595</v>
      </c>
      <c r="AN4342">
        <v>1.00000005274717</v>
      </c>
    </row>
    <row r="4343" spans="1:40" x14ac:dyDescent="0.25">
      <c r="A4343" t="str">
        <f>"20190312161057443"</f>
        <v>20190312161057443</v>
      </c>
      <c r="B4343" t="str">
        <f>"1552378257431521"</f>
        <v>1552378257431521</v>
      </c>
      <c r="C4343" t="s">
        <v>40</v>
      </c>
      <c r="D4343">
        <v>5.8280120000000002</v>
      </c>
      <c r="E4343">
        <v>0.45474750000000003</v>
      </c>
      <c r="F4343" t="s">
        <v>87</v>
      </c>
      <c r="G4343">
        <v>-298.41379999999998</v>
      </c>
      <c r="H4343" s="1">
        <v>-8.5276630000000001E-6</v>
      </c>
      <c r="I4343">
        <v>140.9119</v>
      </c>
      <c r="J4343">
        <v>-279.55410000000001</v>
      </c>
      <c r="K4343">
        <v>1.109345</v>
      </c>
      <c r="L4343">
        <v>141.16409999999999</v>
      </c>
      <c r="M4343">
        <v>-0.9999519</v>
      </c>
      <c r="N4343">
        <v>0</v>
      </c>
      <c r="O4343">
        <v>4.3522760000000004E-3</v>
      </c>
      <c r="P4343">
        <v>-0.99445989999999995</v>
      </c>
      <c r="Q4343">
        <v>-9.6284449999999994E-3</v>
      </c>
      <c r="R4343">
        <v>0.10467700000000001</v>
      </c>
      <c r="S4343">
        <v>-3.0193180000000002</v>
      </c>
      <c r="T4343">
        <v>-0.1748672</v>
      </c>
      <c r="U4343">
        <v>-3.9550780000000001E-2</v>
      </c>
      <c r="V4343">
        <v>0.1003477</v>
      </c>
      <c r="W4343">
        <v>-8.6537379999999996E-4</v>
      </c>
      <c r="X4343">
        <v>0.99495199999999995</v>
      </c>
      <c r="Y4343">
        <v>-1.7413600000000001E-2</v>
      </c>
      <c r="Z4343">
        <v>-7.5567649999999903E-4</v>
      </c>
      <c r="AA4343">
        <v>0.99984810000000002</v>
      </c>
      <c r="AB4343">
        <v>32</v>
      </c>
      <c r="AC4343">
        <v>-18.859699999999901</v>
      </c>
      <c r="AD4343">
        <v>-1.109353527663</v>
      </c>
      <c r="AE4343">
        <v>-0.25219999999998699</v>
      </c>
      <c r="AF4343">
        <v>-0.33313098973951999</v>
      </c>
      <c r="AG4343">
        <v>-1.109353527663</v>
      </c>
      <c r="AH4343">
        <v>18.7934109562974</v>
      </c>
      <c r="AI4343">
        <v>93.377654862648996</v>
      </c>
      <c r="AJ4343">
        <v>91.015515547169699</v>
      </c>
      <c r="AK4343">
        <v>18.829071588316399</v>
      </c>
      <c r="AL4343">
        <v>90.049582275305298</v>
      </c>
      <c r="AM4343">
        <v>84.240804590532804</v>
      </c>
      <c r="AN4343">
        <v>0.99999994603554998</v>
      </c>
    </row>
    <row r="4344" spans="1:40" x14ac:dyDescent="0.25">
      <c r="A4344" t="str">
        <f>"20190312161057467"</f>
        <v>20190312161057467</v>
      </c>
      <c r="B4344" t="str">
        <f>"1552378257460801"</f>
        <v>1552378257460801</v>
      </c>
      <c r="C4344" t="s">
        <v>40</v>
      </c>
      <c r="D4344">
        <v>5.8466589999999998</v>
      </c>
      <c r="E4344">
        <v>0.45421889999999998</v>
      </c>
      <c r="F4344" t="s">
        <v>87</v>
      </c>
      <c r="G4344">
        <v>-299.29559999999998</v>
      </c>
      <c r="H4344" s="1">
        <v>-8.4399030000000002E-6</v>
      </c>
      <c r="I4344">
        <v>140.87280000000001</v>
      </c>
      <c r="J4344">
        <v>-279.89159999999998</v>
      </c>
      <c r="K4344">
        <v>1.109337</v>
      </c>
      <c r="L4344">
        <v>141.16560000000001</v>
      </c>
      <c r="M4344">
        <v>-0.9999517</v>
      </c>
      <c r="N4344">
        <v>0</v>
      </c>
      <c r="O4344">
        <v>4.3396179999999999E-3</v>
      </c>
      <c r="P4344">
        <v>-0.99449189999999998</v>
      </c>
      <c r="Q4344">
        <v>-9.5830410000000005E-3</v>
      </c>
      <c r="R4344">
        <v>0.104376</v>
      </c>
      <c r="S4344">
        <v>-3.0197750000000001</v>
      </c>
      <c r="T4344">
        <v>-0.1696935</v>
      </c>
      <c r="U4344">
        <v>-4.4555659999999997E-2</v>
      </c>
      <c r="V4344">
        <v>0.10005940000000001</v>
      </c>
      <c r="W4344">
        <v>-7.9898709999999995E-4</v>
      </c>
      <c r="X4344">
        <v>0.99498120000000001</v>
      </c>
      <c r="Y4344">
        <v>-1.9055300000000001E-2</v>
      </c>
      <c r="Z4344">
        <v>-7.7861259999999904E-4</v>
      </c>
      <c r="AA4344">
        <v>0.99981810000000004</v>
      </c>
      <c r="AB4344">
        <v>32</v>
      </c>
      <c r="AC4344">
        <v>-19.404</v>
      </c>
      <c r="AD4344">
        <v>-1.1093454399030001</v>
      </c>
      <c r="AE4344">
        <v>-0.29279999999999901</v>
      </c>
      <c r="AF4344">
        <v>-0.37577850499645299</v>
      </c>
      <c r="AG4344">
        <v>-1.1093454399030001</v>
      </c>
      <c r="AH4344">
        <v>19.339349932992</v>
      </c>
      <c r="AI4344">
        <v>93.282389503979005</v>
      </c>
      <c r="AJ4344">
        <v>91.113161166470803</v>
      </c>
      <c r="AK4344">
        <v>19.374785485794899</v>
      </c>
      <c r="AL4344">
        <v>90.045778591062202</v>
      </c>
      <c r="AM4344">
        <v>84.257407476138596</v>
      </c>
      <c r="AN4344">
        <v>1.0000000551310899</v>
      </c>
    </row>
    <row r="4345" spans="1:40" x14ac:dyDescent="0.25">
      <c r="A4345" t="str">
        <f>"20190312161057490"</f>
        <v>20190312161057490</v>
      </c>
      <c r="B4345" t="str">
        <f>"1552378257481297"</f>
        <v>1552378257481297</v>
      </c>
      <c r="C4345" t="s">
        <v>40</v>
      </c>
      <c r="D4345">
        <v>5.8138489999999896</v>
      </c>
      <c r="E4345">
        <v>0.45389190000000001</v>
      </c>
      <c r="F4345" t="s">
        <v>87</v>
      </c>
      <c r="G4345">
        <v>-300.91460000000001</v>
      </c>
      <c r="H4345" s="1">
        <v>-8.5375659999999997E-6</v>
      </c>
      <c r="I4345">
        <v>140.8202</v>
      </c>
      <c r="J4345">
        <v>-280.23090000000002</v>
      </c>
      <c r="K4345">
        <v>1.1093409999999999</v>
      </c>
      <c r="L4345">
        <v>141.167</v>
      </c>
      <c r="M4345">
        <v>-0.99995120000000004</v>
      </c>
      <c r="N4345">
        <v>0</v>
      </c>
      <c r="O4345">
        <v>4.327816E-3</v>
      </c>
      <c r="P4345">
        <v>-0.9945098</v>
      </c>
      <c r="Q4345">
        <v>-9.1375880000000003E-3</v>
      </c>
      <c r="R4345">
        <v>0.1042442</v>
      </c>
      <c r="S4345">
        <v>-3.0202330000000002</v>
      </c>
      <c r="T4345">
        <v>-0.1593726</v>
      </c>
      <c r="U4345">
        <v>-4.9621579999999998E-2</v>
      </c>
      <c r="V4345">
        <v>9.9939070000000005E-2</v>
      </c>
      <c r="W4345">
        <v>-3.1188929999999998E-4</v>
      </c>
      <c r="X4345">
        <v>0.99499349999999998</v>
      </c>
      <c r="Y4345">
        <v>-2.0719910000000001E-2</v>
      </c>
      <c r="Z4345">
        <v>-7.7446839999999997E-4</v>
      </c>
      <c r="AA4345">
        <v>0.99978500000000003</v>
      </c>
      <c r="AB4345">
        <v>32</v>
      </c>
      <c r="AC4345">
        <v>-20.683699999999899</v>
      </c>
      <c r="AD4345">
        <v>-1.1093495375660001</v>
      </c>
      <c r="AE4345">
        <v>-0.346800000000001</v>
      </c>
      <c r="AF4345">
        <v>-0.43506437291439798</v>
      </c>
      <c r="AG4345">
        <v>-1.1093495375660001</v>
      </c>
      <c r="AH4345">
        <v>20.622698633261301</v>
      </c>
      <c r="AI4345">
        <v>93.078440286862701</v>
      </c>
      <c r="AJ4345">
        <v>91.208554504941006</v>
      </c>
      <c r="AK4345">
        <v>20.657096512418999</v>
      </c>
      <c r="AL4345">
        <v>90.017869941033396</v>
      </c>
      <c r="AM4345">
        <v>84.2643377935903</v>
      </c>
      <c r="AN4345">
        <v>0.99999999001482498</v>
      </c>
    </row>
    <row r="4346" spans="1:40" x14ac:dyDescent="0.25">
      <c r="A4346" t="str">
        <f>"20190312161057512"</f>
        <v>20190312161057512</v>
      </c>
      <c r="B4346" t="str">
        <f>"1552378257500821"</f>
        <v>1552378257500821</v>
      </c>
      <c r="C4346" t="s">
        <v>40</v>
      </c>
      <c r="D4346">
        <v>5.8191030000000001</v>
      </c>
      <c r="E4346">
        <v>0.45337749999999999</v>
      </c>
      <c r="F4346" t="s">
        <v>87</v>
      </c>
      <c r="G4346">
        <v>-301.95679999999999</v>
      </c>
      <c r="H4346" s="1">
        <v>-8.6855830000000005E-6</v>
      </c>
      <c r="I4346">
        <v>140.78649999999999</v>
      </c>
      <c r="J4346">
        <v>-280.55270000000002</v>
      </c>
      <c r="K4346">
        <v>1.109381</v>
      </c>
      <c r="L4346">
        <v>141.16839999999999</v>
      </c>
      <c r="M4346">
        <v>-0.99995000000000001</v>
      </c>
      <c r="N4346">
        <v>0</v>
      </c>
      <c r="O4346">
        <v>4.3163159999999997E-3</v>
      </c>
      <c r="P4346">
        <v>-0.99451849999999997</v>
      </c>
      <c r="Q4346">
        <v>-8.9438139999999996E-3</v>
      </c>
      <c r="R4346">
        <v>0.1041781</v>
      </c>
      <c r="S4346">
        <v>-3.0206909999999998</v>
      </c>
      <c r="T4346">
        <v>-0.15423979999999901</v>
      </c>
      <c r="U4346">
        <v>-5.290222E-2</v>
      </c>
      <c r="V4346">
        <v>9.9884219999999996E-2</v>
      </c>
      <c r="W4346" s="1">
        <v>4.0685239999999997E-5</v>
      </c>
      <c r="X4346">
        <v>0.99499910000000003</v>
      </c>
      <c r="Y4346">
        <v>-2.1792269999999999E-2</v>
      </c>
      <c r="Z4346">
        <v>-7.7620990000000002E-4</v>
      </c>
      <c r="AA4346">
        <v>0.99976220000000005</v>
      </c>
      <c r="AB4346">
        <v>32</v>
      </c>
      <c r="AC4346">
        <v>-21.4040999999999</v>
      </c>
      <c r="AD4346">
        <v>-1.1093896855830001</v>
      </c>
      <c r="AE4346">
        <v>-0.38190000000000102</v>
      </c>
      <c r="AF4346">
        <v>-0.47301674194701099</v>
      </c>
      <c r="AG4346">
        <v>-1.1093896855830001</v>
      </c>
      <c r="AH4346">
        <v>21.344928882426899</v>
      </c>
      <c r="AI4346">
        <v>92.974507173412903</v>
      </c>
      <c r="AJ4346">
        <v>91.269501898946203</v>
      </c>
      <c r="AK4346">
        <v>21.378972830996801</v>
      </c>
      <c r="AL4346">
        <v>89.997668907538198</v>
      </c>
      <c r="AM4346">
        <v>84.267496799470294</v>
      </c>
      <c r="AN4346">
        <v>1.0000000340305499</v>
      </c>
    </row>
    <row r="4347" spans="1:40" x14ac:dyDescent="0.25">
      <c r="A4347" t="str">
        <f>"20190312161057535"</f>
        <v>20190312161057535</v>
      </c>
      <c r="B4347" t="str">
        <f>"1552378257531074"</f>
        <v>1552378257531074</v>
      </c>
      <c r="C4347" t="s">
        <v>40</v>
      </c>
      <c r="D4347">
        <v>5.804748</v>
      </c>
      <c r="E4347">
        <v>0.45295619999999998</v>
      </c>
      <c r="F4347" t="s">
        <v>87</v>
      </c>
      <c r="G4347">
        <v>-302.65870000000001</v>
      </c>
      <c r="H4347" s="1">
        <v>-8.7758209999999905E-6</v>
      </c>
      <c r="I4347">
        <v>140.75110000000001</v>
      </c>
      <c r="J4347">
        <v>-280.8897</v>
      </c>
      <c r="K4347">
        <v>1.109459</v>
      </c>
      <c r="L4347">
        <v>141.16990000000001</v>
      </c>
      <c r="M4347">
        <v>-0.99994709999999998</v>
      </c>
      <c r="N4347">
        <v>0</v>
      </c>
      <c r="O4347">
        <v>4.3074740000000004E-3</v>
      </c>
      <c r="P4347">
        <v>-0.99444889999999997</v>
      </c>
      <c r="Q4347">
        <v>-9.1024250000000008E-3</v>
      </c>
      <c r="R4347">
        <v>0.1048279</v>
      </c>
      <c r="S4347">
        <v>-3.0211489999999999</v>
      </c>
      <c r="T4347">
        <v>-0.1516169</v>
      </c>
      <c r="U4347">
        <v>-5.7037350000000001E-2</v>
      </c>
      <c r="V4347">
        <v>0.1005433</v>
      </c>
      <c r="W4347">
        <v>1.929442E-4</v>
      </c>
      <c r="X4347">
        <v>0.9949327</v>
      </c>
      <c r="Y4347">
        <v>-2.3148180000000001E-2</v>
      </c>
      <c r="Z4347">
        <v>-7.9645859999999998E-4</v>
      </c>
      <c r="AA4347">
        <v>0.9997317</v>
      </c>
      <c r="AB4347">
        <v>32</v>
      </c>
      <c r="AC4347">
        <v>-21.768999999999998</v>
      </c>
      <c r="AD4347">
        <v>-1.1094677758210001</v>
      </c>
      <c r="AE4347">
        <v>-0.418800000000004</v>
      </c>
      <c r="AF4347">
        <v>-0.511242155873191</v>
      </c>
      <c r="AG4347">
        <v>-1.1094677758210001</v>
      </c>
      <c r="AH4347">
        <v>21.710621908082501</v>
      </c>
      <c r="AI4347">
        <v>92.924605360019299</v>
      </c>
      <c r="AJ4347">
        <v>91.348952855142301</v>
      </c>
      <c r="AK4347">
        <v>21.744962426346898</v>
      </c>
      <c r="AL4347">
        <v>89.988945111976406</v>
      </c>
      <c r="AM4347">
        <v>84.229543139214101</v>
      </c>
      <c r="AN4347">
        <v>1.00000003496582</v>
      </c>
    </row>
    <row r="4348" spans="1:40" x14ac:dyDescent="0.25">
      <c r="A4348" t="str">
        <f>"20190312161057556"</f>
        <v>20190312161057556</v>
      </c>
      <c r="B4348" t="str">
        <f>"1552378257551570"</f>
        <v>1552378257551570</v>
      </c>
      <c r="C4348" t="s">
        <v>40</v>
      </c>
      <c r="D4348">
        <v>5.8469559999999996</v>
      </c>
      <c r="E4348">
        <v>0.4525515</v>
      </c>
      <c r="F4348" t="s">
        <v>87</v>
      </c>
      <c r="G4348">
        <v>-303.33510000000001</v>
      </c>
      <c r="H4348" s="1">
        <v>-8.8684259999999906E-6</v>
      </c>
      <c r="I4348">
        <v>140.73589999999999</v>
      </c>
      <c r="J4348">
        <v>-281.19389999999999</v>
      </c>
      <c r="K4348">
        <v>1.109526</v>
      </c>
      <c r="L4348">
        <v>141.1712</v>
      </c>
      <c r="M4348">
        <v>-0.99994419999999995</v>
      </c>
      <c r="N4348">
        <v>0</v>
      </c>
      <c r="O4348">
        <v>4.301727E-3</v>
      </c>
      <c r="P4348">
        <v>-0.99438510000000002</v>
      </c>
      <c r="Q4348">
        <v>-9.522595E-3</v>
      </c>
      <c r="R4348">
        <v>0.10539270000000001</v>
      </c>
      <c r="S4348">
        <v>-3.021576</v>
      </c>
      <c r="T4348">
        <v>-0.14935580000000001</v>
      </c>
      <c r="U4348">
        <v>-5.8425900000000003E-2</v>
      </c>
      <c r="V4348">
        <v>0.10111390000000001</v>
      </c>
      <c r="W4348" s="1">
        <v>8.7829560000000001E-5</v>
      </c>
      <c r="X4348">
        <v>0.99487479999999995</v>
      </c>
      <c r="Y4348">
        <v>-2.3599510000000001E-2</v>
      </c>
      <c r="Z4348">
        <v>-7.9534440000000005E-4</v>
      </c>
      <c r="AA4348">
        <v>0.99972119999999998</v>
      </c>
      <c r="AB4348">
        <v>32</v>
      </c>
      <c r="AC4348">
        <v>-22.141200000000001</v>
      </c>
      <c r="AD4348">
        <v>-1.109534868426</v>
      </c>
      <c r="AE4348">
        <v>-0.43530000000001201</v>
      </c>
      <c r="AF4348">
        <v>-0.52921735155381</v>
      </c>
      <c r="AG4348">
        <v>-1.109534868426</v>
      </c>
      <c r="AH4348">
        <v>22.0836875792039</v>
      </c>
      <c r="AI4348">
        <v>92.875428052993001</v>
      </c>
      <c r="AJ4348">
        <v>91.3727833333284</v>
      </c>
      <c r="AK4348">
        <v>22.117875027346599</v>
      </c>
      <c r="AL4348">
        <v>89.9949677366277</v>
      </c>
      <c r="AM4348">
        <v>84.196682284502202</v>
      </c>
      <c r="AN4348">
        <v>0.99999994808113901</v>
      </c>
    </row>
    <row r="4349" spans="1:40" x14ac:dyDescent="0.25">
      <c r="A4349" t="str">
        <f>"20190312161057591"</f>
        <v>20190312161057591</v>
      </c>
      <c r="B4349" t="str">
        <f>"1552378257580849"</f>
        <v>1552378257580849</v>
      </c>
      <c r="C4349" t="s">
        <v>40</v>
      </c>
      <c r="D4349">
        <v>5.9170610000000003</v>
      </c>
      <c r="E4349">
        <v>0.45197500000000002</v>
      </c>
      <c r="F4349" t="s">
        <v>87</v>
      </c>
      <c r="G4349">
        <v>-303.74930000000001</v>
      </c>
      <c r="H4349" s="1">
        <v>-8.924228E-6</v>
      </c>
      <c r="I4349">
        <v>140.7234</v>
      </c>
      <c r="J4349">
        <v>-281.69349999999997</v>
      </c>
      <c r="K4349">
        <v>1.109607</v>
      </c>
      <c r="L4349">
        <v>141.17330000000001</v>
      </c>
      <c r="M4349">
        <v>-0.99993900000000002</v>
      </c>
      <c r="N4349">
        <v>0</v>
      </c>
      <c r="O4349">
        <v>4.2859020000000003E-3</v>
      </c>
      <c r="P4349">
        <v>-0.99432529999999997</v>
      </c>
      <c r="Q4349">
        <v>-1.012422E-2</v>
      </c>
      <c r="R4349">
        <v>0.105901</v>
      </c>
      <c r="S4349">
        <v>-3.0218509999999998</v>
      </c>
      <c r="T4349">
        <v>-0.14864949999999999</v>
      </c>
      <c r="U4349">
        <v>-5.9982300000000002E-2</v>
      </c>
      <c r="V4349">
        <v>0.1016384</v>
      </c>
      <c r="W4349" s="1">
        <v>1.038206E-6</v>
      </c>
      <c r="X4349">
        <v>0.99482139999999997</v>
      </c>
      <c r="Y4349">
        <v>-2.4096409999999999E-2</v>
      </c>
      <c r="Z4349">
        <v>-8.0294800000000005E-4</v>
      </c>
      <c r="AA4349">
        <v>0.99970930000000002</v>
      </c>
      <c r="AB4349">
        <v>32</v>
      </c>
      <c r="AC4349">
        <v>-22.055800000000001</v>
      </c>
      <c r="AD4349">
        <v>-1.1096159242279999</v>
      </c>
      <c r="AE4349">
        <v>-0.44990000000001301</v>
      </c>
      <c r="AF4349">
        <v>-0.54305583640611699</v>
      </c>
      <c r="AG4349">
        <v>-1.1096159242279999</v>
      </c>
      <c r="AH4349">
        <v>21.998014290438601</v>
      </c>
      <c r="AI4349">
        <v>92.886767675988693</v>
      </c>
      <c r="AJ4349">
        <v>91.414149869449901</v>
      </c>
      <c r="AK4349">
        <v>22.0326755039668</v>
      </c>
      <c r="AL4349">
        <v>89.9999405151774</v>
      </c>
      <c r="AM4349">
        <v>84.166475297896895</v>
      </c>
      <c r="AN4349">
        <v>0.99999999112679805</v>
      </c>
    </row>
    <row r="4350" spans="1:40" x14ac:dyDescent="0.25">
      <c r="A4350" t="str">
        <f>"20190312161057613"</f>
        <v>20190312161057613</v>
      </c>
      <c r="B4350" t="str">
        <f>"1552378257601346"</f>
        <v>1552378257601346</v>
      </c>
      <c r="C4350" t="s">
        <v>40</v>
      </c>
      <c r="D4350">
        <v>5.8404309999999997</v>
      </c>
      <c r="E4350">
        <v>0.45164100000000001</v>
      </c>
      <c r="F4350" t="s">
        <v>87</v>
      </c>
      <c r="G4350">
        <v>-304.51859999999999</v>
      </c>
      <c r="H4350" s="1">
        <v>-9.0269830000000003E-6</v>
      </c>
      <c r="I4350">
        <v>140.69749999999999</v>
      </c>
      <c r="J4350">
        <v>-282.00850000000003</v>
      </c>
      <c r="K4350">
        <v>1.1096469999999901</v>
      </c>
      <c r="L4350">
        <v>141.1746</v>
      </c>
      <c r="M4350">
        <v>-0.99993580000000004</v>
      </c>
      <c r="N4350">
        <v>0</v>
      </c>
      <c r="O4350">
        <v>4.2766150000000001E-3</v>
      </c>
      <c r="P4350">
        <v>-0.99426769999999998</v>
      </c>
      <c r="Q4350">
        <v>-1.0136579999999999E-2</v>
      </c>
      <c r="R4350">
        <v>0.1064377</v>
      </c>
      <c r="S4350">
        <v>-3.0223390000000001</v>
      </c>
      <c r="T4350">
        <v>-0.14692769999999999</v>
      </c>
      <c r="U4350">
        <v>-6.3003539999999997E-2</v>
      </c>
      <c r="V4350">
        <v>0.10218430000000001</v>
      </c>
      <c r="W4350">
        <v>2.978484E-4</v>
      </c>
      <c r="X4350">
        <v>0.99476549999999997</v>
      </c>
      <c r="Y4350">
        <v>-2.5082500000000001E-2</v>
      </c>
      <c r="Z4350">
        <v>-8.1702439999999999E-4</v>
      </c>
      <c r="AA4350">
        <v>0.99968500000000005</v>
      </c>
      <c r="AB4350">
        <v>32</v>
      </c>
      <c r="AC4350">
        <v>-22.510099999999898</v>
      </c>
      <c r="AD4350">
        <v>-1.10965602698299</v>
      </c>
      <c r="AE4350">
        <v>-0.47710000000000702</v>
      </c>
      <c r="AF4350">
        <v>-0.571978634132704</v>
      </c>
      <c r="AG4350">
        <v>-1.10965602698299</v>
      </c>
      <c r="AH4350">
        <v>22.4533146245568</v>
      </c>
      <c r="AI4350">
        <v>92.828373167823699</v>
      </c>
      <c r="AJ4350">
        <v>91.459244485612999</v>
      </c>
      <c r="AK4350">
        <v>22.487993100440601</v>
      </c>
      <c r="AL4350">
        <v>89.9829345445157</v>
      </c>
      <c r="AM4350">
        <v>84.135033974601896</v>
      </c>
      <c r="AN4350">
        <v>1.0000000599351999</v>
      </c>
    </row>
    <row r="4351" spans="1:40" x14ac:dyDescent="0.25">
      <c r="A4351" t="str">
        <f>"20190312161057634"</f>
        <v>20190312161057634</v>
      </c>
      <c r="B4351" t="str">
        <f>"1552378257631601"</f>
        <v>1552378257631601</v>
      </c>
      <c r="C4351" t="s">
        <v>40</v>
      </c>
      <c r="D4351">
        <v>5.8049480000000004</v>
      </c>
      <c r="E4351">
        <v>0.45128279999999898</v>
      </c>
      <c r="F4351" t="s">
        <v>87</v>
      </c>
      <c r="G4351">
        <v>-305.09899999999999</v>
      </c>
      <c r="H4351" s="1">
        <v>-9.1065009999999994E-6</v>
      </c>
      <c r="I4351">
        <v>140.68459999999999</v>
      </c>
      <c r="J4351">
        <v>-282.31509999999997</v>
      </c>
      <c r="K4351">
        <v>1.1096710000000001</v>
      </c>
      <c r="L4351">
        <v>141.17590000000001</v>
      </c>
      <c r="M4351">
        <v>-0.99993290000000001</v>
      </c>
      <c r="N4351">
        <v>0</v>
      </c>
      <c r="O4351">
        <v>4.2702159999999899E-3</v>
      </c>
      <c r="P4351">
        <v>-0.99419829999999998</v>
      </c>
      <c r="Q4351">
        <v>-1.0533789999999999E-2</v>
      </c>
      <c r="R4351">
        <v>0.1070479</v>
      </c>
      <c r="S4351">
        <v>-3.022675</v>
      </c>
      <c r="T4351">
        <v>-0.14526020000000001</v>
      </c>
      <c r="U4351">
        <v>-6.4147949999999995E-2</v>
      </c>
      <c r="V4351">
        <v>0.1028014</v>
      </c>
      <c r="W4351">
        <v>1.815001E-4</v>
      </c>
      <c r="X4351">
        <v>0.99470190000000003</v>
      </c>
      <c r="Y4351">
        <v>-2.5452490000000001E-2</v>
      </c>
      <c r="Z4351">
        <v>-8.1624750000000004E-4</v>
      </c>
      <c r="AA4351">
        <v>0.99967569999999994</v>
      </c>
      <c r="AB4351">
        <v>32</v>
      </c>
      <c r="AC4351">
        <v>-22.783899999999999</v>
      </c>
      <c r="AD4351">
        <v>-1.10968010650099</v>
      </c>
      <c r="AE4351">
        <v>-0.491300000000023</v>
      </c>
      <c r="AF4351">
        <v>-0.58720106291808705</v>
      </c>
      <c r="AG4351">
        <v>-1.10968010650099</v>
      </c>
      <c r="AH4351">
        <v>22.727706028625398</v>
      </c>
      <c r="AI4351">
        <v>92.794315321330004</v>
      </c>
      <c r="AJ4351">
        <v>91.479984806677294</v>
      </c>
      <c r="AK4351">
        <v>22.762355246122301</v>
      </c>
      <c r="AL4351">
        <v>89.989600810390996</v>
      </c>
      <c r="AM4351">
        <v>84.099489463922296</v>
      </c>
      <c r="AN4351">
        <v>1.0000000153239199</v>
      </c>
    </row>
    <row r="4352" spans="1:40" x14ac:dyDescent="0.25">
      <c r="A4352" t="str">
        <f>"20190312161057656"</f>
        <v>20190312161057656</v>
      </c>
      <c r="B4352" t="str">
        <f>"1552378257651122"</f>
        <v>1552378257651122</v>
      </c>
      <c r="C4352" t="s">
        <v>40</v>
      </c>
      <c r="D4352">
        <v>5.8293309999999998</v>
      </c>
      <c r="E4352">
        <v>0.45108900000000002</v>
      </c>
      <c r="F4352" t="s">
        <v>87</v>
      </c>
      <c r="G4352">
        <v>-305.29739999999998</v>
      </c>
      <c r="H4352" s="1">
        <v>-9.1337629999999993E-6</v>
      </c>
      <c r="I4352">
        <v>140.68049999999999</v>
      </c>
      <c r="J4352">
        <v>-282.64449999999999</v>
      </c>
      <c r="K4352">
        <v>1.109693</v>
      </c>
      <c r="L4352">
        <v>141.1773</v>
      </c>
      <c r="M4352">
        <v>-0.99992990000000004</v>
      </c>
      <c r="N4352">
        <v>0</v>
      </c>
      <c r="O4352">
        <v>4.2599580000000003E-3</v>
      </c>
      <c r="P4352">
        <v>-0.99417080000000002</v>
      </c>
      <c r="Q4352">
        <v>-1.0821819999999999E-2</v>
      </c>
      <c r="R4352">
        <v>0.1072726</v>
      </c>
      <c r="S4352">
        <v>-3.0230100000000002</v>
      </c>
      <c r="T4352">
        <v>-0.1459637</v>
      </c>
      <c r="U4352">
        <v>-6.5170290000000006E-2</v>
      </c>
      <c r="V4352">
        <v>0.1030364</v>
      </c>
      <c r="W4352">
        <v>1.70055999999999E-4</v>
      </c>
      <c r="X4352">
        <v>0.99467749999999999</v>
      </c>
      <c r="Y4352">
        <v>-2.5777129999999999E-2</v>
      </c>
      <c r="Z4352">
        <v>-8.2743940000000005E-4</v>
      </c>
      <c r="AA4352">
        <v>0.99966730000000004</v>
      </c>
      <c r="AB4352">
        <v>32</v>
      </c>
      <c r="AC4352">
        <v>-22.652899999999899</v>
      </c>
      <c r="AD4352">
        <v>-1.109702133763</v>
      </c>
      <c r="AE4352">
        <v>-0.49680000000000701</v>
      </c>
      <c r="AF4352">
        <v>-0.59188209988759</v>
      </c>
      <c r="AG4352">
        <v>-1.109702133763</v>
      </c>
      <c r="AH4352">
        <v>22.5963784594427</v>
      </c>
      <c r="AI4352">
        <v>92.810559232156706</v>
      </c>
      <c r="AJ4352">
        <v>91.500443697052106</v>
      </c>
      <c r="AK4352">
        <v>22.6313517653766</v>
      </c>
      <c r="AL4352">
        <v>89.990256508178604</v>
      </c>
      <c r="AM4352">
        <v>84.085952572639997</v>
      </c>
      <c r="AN4352">
        <v>0.99999992882512401</v>
      </c>
    </row>
    <row r="4353" spans="1:40" x14ac:dyDescent="0.25">
      <c r="A4353" t="str">
        <f>"20190312161057679"</f>
        <v>20190312161057679</v>
      </c>
      <c r="B4353" t="str">
        <f>"1552378257671617"</f>
        <v>1552378257671617</v>
      </c>
      <c r="C4353" t="s">
        <v>40</v>
      </c>
      <c r="D4353">
        <v>5.8042339999999903</v>
      </c>
      <c r="E4353">
        <v>0.4508778</v>
      </c>
      <c r="F4353" t="s">
        <v>87</v>
      </c>
      <c r="G4353">
        <v>-305.52999999999997</v>
      </c>
      <c r="H4353" s="1">
        <v>-9.166382E-6</v>
      </c>
      <c r="I4353">
        <v>140.67789999999999</v>
      </c>
      <c r="J4353">
        <v>-282.97620000000001</v>
      </c>
      <c r="K4353">
        <v>1.109712</v>
      </c>
      <c r="L4353">
        <v>141.17869999999999</v>
      </c>
      <c r="M4353">
        <v>-0.99992709999999996</v>
      </c>
      <c r="N4353">
        <v>0</v>
      </c>
      <c r="O4353">
        <v>4.2481319999999999E-3</v>
      </c>
      <c r="P4353">
        <v>-0.99417319999999998</v>
      </c>
      <c r="Q4353">
        <v>-1.081027E-2</v>
      </c>
      <c r="R4353">
        <v>0.1072515</v>
      </c>
      <c r="S4353">
        <v>-3.0231020000000002</v>
      </c>
      <c r="T4353">
        <v>-0.14658860000000001</v>
      </c>
      <c r="U4353">
        <v>-6.5978999999999996E-2</v>
      </c>
      <c r="V4353">
        <v>0.10302699999999999</v>
      </c>
      <c r="W4353">
        <v>4.3183959999999998E-4</v>
      </c>
      <c r="X4353">
        <v>0.99467850000000002</v>
      </c>
      <c r="Y4353">
        <v>-2.603138E-2</v>
      </c>
      <c r="Z4353">
        <v>-8.3653759999999895E-4</v>
      </c>
      <c r="AA4353">
        <v>0.99966080000000002</v>
      </c>
      <c r="AB4353">
        <v>32</v>
      </c>
      <c r="AC4353">
        <v>-22.553799999999899</v>
      </c>
      <c r="AD4353">
        <v>-1.1097211663819999</v>
      </c>
      <c r="AE4353">
        <v>-0.50079999999999802</v>
      </c>
      <c r="AF4353">
        <v>-0.59517293844353902</v>
      </c>
      <c r="AG4353">
        <v>-1.1097211663819999</v>
      </c>
      <c r="AH4353">
        <v>22.497031205668101</v>
      </c>
      <c r="AI4353">
        <v>92.822979591684899</v>
      </c>
      <c r="AJ4353">
        <v>91.515441959544106</v>
      </c>
      <c r="AK4353">
        <v>22.532246336363698</v>
      </c>
      <c r="AL4353">
        <v>89.9752574135603</v>
      </c>
      <c r="AM4353">
        <v>84.086494190002995</v>
      </c>
      <c r="AN4353">
        <v>1.0000000337883399</v>
      </c>
    </row>
    <row r="4354" spans="1:40" x14ac:dyDescent="0.25">
      <c r="A4354" t="str">
        <f>"20190312161057702"</f>
        <v>20190312161057702</v>
      </c>
      <c r="B4354" t="str">
        <f>"1552378257691138"</f>
        <v>1552378257691138</v>
      </c>
      <c r="C4354" t="s">
        <v>40</v>
      </c>
      <c r="D4354">
        <v>5.8243580000000001</v>
      </c>
      <c r="E4354">
        <v>0.4505826</v>
      </c>
      <c r="F4354" t="s">
        <v>87</v>
      </c>
      <c r="G4354">
        <v>-306.0215</v>
      </c>
      <c r="H4354" s="1">
        <v>-9.2329700000000008E-6</v>
      </c>
      <c r="I4354">
        <v>140.6644</v>
      </c>
      <c r="J4354">
        <v>-283.30399999999997</v>
      </c>
      <c r="K4354">
        <v>1.109726</v>
      </c>
      <c r="L4354">
        <v>141.18010000000001</v>
      </c>
      <c r="M4354">
        <v>-0.99992460000000005</v>
      </c>
      <c r="N4354">
        <v>0</v>
      </c>
      <c r="O4354">
        <v>4.2379169999999999E-3</v>
      </c>
      <c r="P4354">
        <v>-0.99418850000000003</v>
      </c>
      <c r="Q4354">
        <v>-1.122855E-2</v>
      </c>
      <c r="R4354">
        <v>0.1070653</v>
      </c>
      <c r="S4354">
        <v>-3.0232540000000001</v>
      </c>
      <c r="T4354">
        <v>-0.1455815</v>
      </c>
      <c r="U4354">
        <v>-6.7474370000000006E-2</v>
      </c>
      <c r="V4354">
        <v>0.1028507</v>
      </c>
      <c r="W4354">
        <v>2.349059E-4</v>
      </c>
      <c r="X4354">
        <v>0.99469680000000005</v>
      </c>
      <c r="Y4354">
        <v>-2.6514220000000002E-2</v>
      </c>
      <c r="Z4354">
        <v>-8.4187699999999999E-4</v>
      </c>
      <c r="AA4354">
        <v>0.99964810000000004</v>
      </c>
      <c r="AB4354">
        <v>32</v>
      </c>
      <c r="AC4354">
        <v>-22.717499999999902</v>
      </c>
      <c r="AD4354">
        <v>-1.1097352329700001</v>
      </c>
      <c r="AE4354">
        <v>-0.51570000000000904</v>
      </c>
      <c r="AF4354">
        <v>-0.61052053270115403</v>
      </c>
      <c r="AG4354">
        <v>-1.1097352329700001</v>
      </c>
      <c r="AH4354">
        <v>22.6610630044073</v>
      </c>
      <c r="AI4354">
        <v>92.802577392996795</v>
      </c>
      <c r="AJ4354">
        <v>91.543254620039207</v>
      </c>
      <c r="AK4354">
        <v>22.6964319684364</v>
      </c>
      <c r="AL4354">
        <v>89.986540883530296</v>
      </c>
      <c r="AM4354">
        <v>84.0966497079812</v>
      </c>
      <c r="AN4354">
        <v>1.00000002280075</v>
      </c>
    </row>
    <row r="4355" spans="1:40" x14ac:dyDescent="0.25">
      <c r="A4355" t="str">
        <f>"20190312161057727"</f>
        <v>20190312161057727</v>
      </c>
      <c r="B4355" t="str">
        <f>"1552378257721394"</f>
        <v>1552378257721394</v>
      </c>
      <c r="C4355" t="s">
        <v>40</v>
      </c>
      <c r="D4355">
        <v>5.7621129999999896</v>
      </c>
      <c r="E4355">
        <v>0.43195990000000001</v>
      </c>
      <c r="F4355" t="s">
        <v>87</v>
      </c>
      <c r="G4355">
        <v>-306.0752</v>
      </c>
      <c r="H4355" s="1">
        <v>-9.2362839999999995E-6</v>
      </c>
      <c r="I4355">
        <v>140.64959999999999</v>
      </c>
      <c r="J4355">
        <v>-283.64609999999999</v>
      </c>
      <c r="K4355">
        <v>1.1097379999999999</v>
      </c>
      <c r="L4355">
        <v>141.1815</v>
      </c>
      <c r="M4355">
        <v>-0.99992230000000004</v>
      </c>
      <c r="N4355">
        <v>0</v>
      </c>
      <c r="O4355">
        <v>4.2281990000000002E-3</v>
      </c>
      <c r="P4355">
        <v>-0.99419069999999998</v>
      </c>
      <c r="Q4355">
        <v>-1.2500280000000001E-2</v>
      </c>
      <c r="R4355">
        <v>0.106905</v>
      </c>
      <c r="S4355">
        <v>-3.0234679999999998</v>
      </c>
      <c r="T4355">
        <v>-0.14734630000000001</v>
      </c>
      <c r="U4355">
        <v>-7.0434570000000002E-2</v>
      </c>
      <c r="V4355">
        <v>0.1027001</v>
      </c>
      <c r="W4355">
        <v>-8.3432519999999998E-4</v>
      </c>
      <c r="X4355">
        <v>0.99471200000000004</v>
      </c>
      <c r="Y4355">
        <v>-2.7479159999999999E-2</v>
      </c>
      <c r="Z4355">
        <v>-8.7502350000000001E-4</v>
      </c>
      <c r="AA4355">
        <v>0.99962200000000001</v>
      </c>
      <c r="AB4355">
        <v>32</v>
      </c>
      <c r="AC4355">
        <v>-22.429099999999998</v>
      </c>
      <c r="AD4355">
        <v>-1.109747236284</v>
      </c>
      <c r="AE4355">
        <v>-0.53190000000000703</v>
      </c>
      <c r="AF4355">
        <v>-0.62520677244071998</v>
      </c>
      <c r="AG4355">
        <v>-1.109747236284</v>
      </c>
      <c r="AH4355">
        <v>22.371913044368</v>
      </c>
      <c r="AI4355">
        <v>92.838693527603695</v>
      </c>
      <c r="AJ4355">
        <v>91.600774520641394</v>
      </c>
      <c r="AK4355">
        <v>22.408143959317801</v>
      </c>
      <c r="AL4355">
        <v>90.047803318974402</v>
      </c>
      <c r="AM4355">
        <v>84.105322267891296</v>
      </c>
      <c r="AN4355">
        <v>0.99999998479127405</v>
      </c>
    </row>
    <row r="4356" spans="1:40" x14ac:dyDescent="0.25">
      <c r="A4356" t="str">
        <f>"20190312161057746"</f>
        <v>20190312161057746</v>
      </c>
      <c r="B4356" t="str">
        <f>"1552378257740914"</f>
        <v>1552378257740914</v>
      </c>
      <c r="C4356" t="s">
        <v>40</v>
      </c>
      <c r="D4356">
        <v>5.8091629999999999</v>
      </c>
      <c r="E4356">
        <v>0.43147990000000003</v>
      </c>
      <c r="F4356" t="s">
        <v>87</v>
      </c>
      <c r="G4356">
        <v>-307.31889999999999</v>
      </c>
      <c r="H4356" s="1">
        <v>-9.0626550000000007E-6</v>
      </c>
      <c r="I4356">
        <v>139.47620000000001</v>
      </c>
      <c r="J4356">
        <v>-283.947</v>
      </c>
      <c r="K4356">
        <v>1.109747</v>
      </c>
      <c r="L4356">
        <v>141.18279999999999</v>
      </c>
      <c r="M4356">
        <v>-0.99992049999999999</v>
      </c>
      <c r="N4356">
        <v>0</v>
      </c>
      <c r="O4356">
        <v>4.2195169999999999E-3</v>
      </c>
      <c r="P4356">
        <v>-0.99420019999999998</v>
      </c>
      <c r="Q4356">
        <v>-1.251038E-2</v>
      </c>
      <c r="R4356">
        <v>0.10681599999999999</v>
      </c>
      <c r="S4356">
        <v>-3.0392760000000001</v>
      </c>
      <c r="T4356">
        <v>-0.14247689999999999</v>
      </c>
      <c r="U4356">
        <v>-0.21894839999999999</v>
      </c>
      <c r="V4356">
        <v>0.10261969999999999</v>
      </c>
      <c r="W4356">
        <v>-6.881802E-4</v>
      </c>
      <c r="X4356">
        <v>0.99472039999999995</v>
      </c>
      <c r="Y4356">
        <v>-7.5974079999999999E-2</v>
      </c>
      <c r="Z4356">
        <v>-1.9749630000000002E-3</v>
      </c>
      <c r="AA4356">
        <v>0.99710790000000005</v>
      </c>
      <c r="AB4356">
        <v>32</v>
      </c>
      <c r="AC4356">
        <v>-23.371899999999901</v>
      </c>
      <c r="AD4356">
        <v>-1.109756062655</v>
      </c>
      <c r="AE4356">
        <v>-1.7065999999999799</v>
      </c>
      <c r="AF4356">
        <v>-1.8011705386911701</v>
      </c>
      <c r="AG4356">
        <v>-1.109756062655</v>
      </c>
      <c r="AH4356">
        <v>23.312209717358499</v>
      </c>
      <c r="AI4356">
        <v>92.717368285396105</v>
      </c>
      <c r="AJ4356">
        <v>94.418064682219594</v>
      </c>
      <c r="AK4356">
        <v>23.408009221934201</v>
      </c>
      <c r="AL4356">
        <v>90.039429825090707</v>
      </c>
      <c r="AM4356">
        <v>84.109953919835505</v>
      </c>
      <c r="AN4356">
        <v>0.99999997529811802</v>
      </c>
    </row>
    <row r="4357" spans="1:40" x14ac:dyDescent="0.25">
      <c r="A4357" t="str">
        <f>"20190312161057771"</f>
        <v>20190312161057771</v>
      </c>
      <c r="B4357" t="str">
        <f>"1552378257761410"</f>
        <v>1552378257761410</v>
      </c>
      <c r="C4357" t="s">
        <v>40</v>
      </c>
      <c r="D4357">
        <v>5.770302</v>
      </c>
      <c r="E4357">
        <v>0.43146780000000001</v>
      </c>
      <c r="F4357" t="s">
        <v>87</v>
      </c>
      <c r="G4357">
        <v>-308.08010000000002</v>
      </c>
      <c r="H4357" s="1">
        <v>-9.1516890000000007E-6</v>
      </c>
      <c r="I4357">
        <v>139.4128</v>
      </c>
      <c r="J4357">
        <v>-284.29590000000002</v>
      </c>
      <c r="K4357">
        <v>1.109747</v>
      </c>
      <c r="L4357">
        <v>141.18430000000001</v>
      </c>
      <c r="M4357">
        <v>-0.99991859999999999</v>
      </c>
      <c r="N4357">
        <v>0</v>
      </c>
      <c r="O4357">
        <v>4.2087929999999997E-3</v>
      </c>
      <c r="P4357">
        <v>-0.99420120000000001</v>
      </c>
      <c r="Q4357">
        <v>-1.2386299999999999E-2</v>
      </c>
      <c r="R4357">
        <v>0.10681980000000001</v>
      </c>
      <c r="S4357">
        <v>-3.0397029999999998</v>
      </c>
      <c r="T4357">
        <v>-0.13977979999999901</v>
      </c>
      <c r="U4357">
        <v>-0.22294620000000001</v>
      </c>
      <c r="V4357">
        <v>0.102634199999999</v>
      </c>
      <c r="W4357">
        <v>-4.0667550000000001E-4</v>
      </c>
      <c r="X4357">
        <v>0.99471909999999997</v>
      </c>
      <c r="Y4357">
        <v>-7.725978E-2</v>
      </c>
      <c r="Z4357">
        <v>-1.9662680000000002E-3</v>
      </c>
      <c r="AA4357">
        <v>0.99700900000000003</v>
      </c>
      <c r="AB4357">
        <v>32</v>
      </c>
      <c r="AC4357">
        <v>-23.784199999999998</v>
      </c>
      <c r="AD4357">
        <v>-1.109756151689</v>
      </c>
      <c r="AE4357">
        <v>-1.7715000000000001</v>
      </c>
      <c r="AF4357">
        <v>-1.8675509336062801</v>
      </c>
      <c r="AG4357">
        <v>-1.109756151689</v>
      </c>
      <c r="AH4357">
        <v>23.725165842077601</v>
      </c>
      <c r="AI4357">
        <v>92.669839206171204</v>
      </c>
      <c r="AJ4357">
        <v>94.500815766587394</v>
      </c>
      <c r="AK4357">
        <v>23.824416035653702</v>
      </c>
      <c r="AL4357">
        <v>90.023300790047301</v>
      </c>
      <c r="AM4357">
        <v>84.109119873412993</v>
      </c>
      <c r="AN4357">
        <v>1.0000000161497</v>
      </c>
    </row>
    <row r="4358" spans="1:40" x14ac:dyDescent="0.25">
      <c r="A4358" t="str">
        <f>"20190312161057791"</f>
        <v>20190312161057791</v>
      </c>
      <c r="B4358" t="str">
        <f>"1552378257780929"</f>
        <v>1552378257780929</v>
      </c>
      <c r="C4358" t="s">
        <v>40</v>
      </c>
      <c r="D4358">
        <v>5.7451249999999998</v>
      </c>
      <c r="E4358">
        <v>0.43137389999999998</v>
      </c>
      <c r="F4358" t="s">
        <v>87</v>
      </c>
      <c r="G4358">
        <v>-309.3236</v>
      </c>
      <c r="H4358" s="1">
        <v>-9.3097210000000008E-6</v>
      </c>
      <c r="I4358">
        <v>139.3485</v>
      </c>
      <c r="J4358">
        <v>-284.59140000000002</v>
      </c>
      <c r="K4358">
        <v>1.1097490000000001</v>
      </c>
      <c r="L4358">
        <v>141.18549999999999</v>
      </c>
      <c r="M4358">
        <v>-0.9999171</v>
      </c>
      <c r="N4358">
        <v>0</v>
      </c>
      <c r="O4358">
        <v>4.1994959999999996E-3</v>
      </c>
      <c r="P4358">
        <v>-0.99420019999999998</v>
      </c>
      <c r="Q4358">
        <v>-1.307207E-2</v>
      </c>
      <c r="R4358">
        <v>0.1067476</v>
      </c>
      <c r="S4358">
        <v>-3.0397639999999999</v>
      </c>
      <c r="T4358">
        <v>-0.13478660000000001</v>
      </c>
      <c r="U4358">
        <v>-0.2229614</v>
      </c>
      <c r="V4358">
        <v>0.1025712</v>
      </c>
      <c r="W4358">
        <v>-9.754761E-4</v>
      </c>
      <c r="X4358">
        <v>0.99472519999999998</v>
      </c>
      <c r="Y4358">
        <v>-7.7260019999999999E-2</v>
      </c>
      <c r="Z4358">
        <v>-1.8956540000000001E-3</v>
      </c>
      <c r="AA4358">
        <v>0.99700920000000004</v>
      </c>
      <c r="AB4358">
        <v>32</v>
      </c>
      <c r="AC4358">
        <v>-24.732199999999899</v>
      </c>
      <c r="AD4358">
        <v>-1.109758309721</v>
      </c>
      <c r="AE4358">
        <v>-1.83699999999998</v>
      </c>
      <c r="AF4358">
        <v>-1.93697574804621</v>
      </c>
      <c r="AG4358">
        <v>-1.109758309721</v>
      </c>
      <c r="AH4358">
        <v>24.674858908901399</v>
      </c>
      <c r="AI4358">
        <v>92.567270151253496</v>
      </c>
      <c r="AJ4358">
        <v>94.488512451027503</v>
      </c>
      <c r="AK4358">
        <v>24.775635223515501</v>
      </c>
      <c r="AL4358">
        <v>90.055890671679194</v>
      </c>
      <c r="AM4358">
        <v>84.112746318416896</v>
      </c>
      <c r="AN4358">
        <v>1.0000000130690501</v>
      </c>
    </row>
    <row r="4359" spans="1:40" x14ac:dyDescent="0.25">
      <c r="A4359" t="str">
        <f>"20190312161057813"</f>
        <v>20190312161057813</v>
      </c>
      <c r="B4359" t="str">
        <f>"1552378257801426"</f>
        <v>1552378257801426</v>
      </c>
      <c r="C4359" t="s">
        <v>40</v>
      </c>
      <c r="D4359">
        <v>5.7769700000000004</v>
      </c>
      <c r="E4359">
        <v>0.43140299999999998</v>
      </c>
      <c r="F4359" t="s">
        <v>87</v>
      </c>
      <c r="G4359">
        <v>-308.49709999999999</v>
      </c>
      <c r="H4359" s="1">
        <v>-9.2155259999999996E-6</v>
      </c>
      <c r="I4359">
        <v>139.42519999999999</v>
      </c>
      <c r="J4359">
        <v>-284.90589999999997</v>
      </c>
      <c r="K4359">
        <v>1.109748</v>
      </c>
      <c r="L4359">
        <v>141.18680000000001</v>
      </c>
      <c r="M4359">
        <v>-0.99991600000000003</v>
      </c>
      <c r="N4359">
        <v>0</v>
      </c>
      <c r="O4359">
        <v>4.1895869999999998E-3</v>
      </c>
      <c r="P4359">
        <v>-0.99424080000000004</v>
      </c>
      <c r="Q4359">
        <v>-1.3275250000000001E-2</v>
      </c>
      <c r="R4359">
        <v>0.10634589999999899</v>
      </c>
      <c r="S4359">
        <v>-3.0396420000000002</v>
      </c>
      <c r="T4359">
        <v>-0.1411077</v>
      </c>
      <c r="U4359">
        <v>-0.22383120000000001</v>
      </c>
      <c r="V4359">
        <v>0.1021794</v>
      </c>
      <c r="W4359">
        <v>-1.0692309999999999E-3</v>
      </c>
      <c r="X4359">
        <v>0.99476540000000002</v>
      </c>
      <c r="Y4359">
        <v>-7.7528899999999998E-2</v>
      </c>
      <c r="Z4359">
        <v>-1.9902909999999999E-3</v>
      </c>
      <c r="AA4359">
        <v>0.99698810000000004</v>
      </c>
      <c r="AB4359">
        <v>32</v>
      </c>
      <c r="AC4359">
        <v>-23.591200000000001</v>
      </c>
      <c r="AD4359">
        <v>-1.109757215526</v>
      </c>
      <c r="AE4359">
        <v>-1.76160000000001</v>
      </c>
      <c r="AF4359">
        <v>-1.8563442869225</v>
      </c>
      <c r="AG4359">
        <v>-1.109757215526</v>
      </c>
      <c r="AH4359">
        <v>23.531827860614101</v>
      </c>
      <c r="AI4359">
        <v>92.691709217369905</v>
      </c>
      <c r="AJ4359">
        <v>94.510524350642996</v>
      </c>
      <c r="AK4359">
        <v>23.6310071230698</v>
      </c>
      <c r="AL4359">
        <v>90.061262436091695</v>
      </c>
      <c r="AM4359">
        <v>84.135312669024898</v>
      </c>
      <c r="AN4359">
        <v>0.99999998703822501</v>
      </c>
    </row>
    <row r="4360" spans="1:40" x14ac:dyDescent="0.25">
      <c r="A4360" t="str">
        <f>"20190312161057835"</f>
        <v>20190312161057835</v>
      </c>
      <c r="B4360" t="str">
        <f>"1552378257831682"</f>
        <v>1552378257831682</v>
      </c>
      <c r="C4360" t="s">
        <v>40</v>
      </c>
      <c r="D4360">
        <v>5.7731329999999996</v>
      </c>
      <c r="E4360">
        <v>0.43138310000000002</v>
      </c>
      <c r="F4360" t="s">
        <v>87</v>
      </c>
      <c r="G4360">
        <v>-308.1028</v>
      </c>
      <c r="H4360" s="1">
        <v>-9.1736830000000001E-6</v>
      </c>
      <c r="I4360">
        <v>139.47139999999999</v>
      </c>
      <c r="J4360">
        <v>-285.22469999999998</v>
      </c>
      <c r="K4360">
        <v>1.109748</v>
      </c>
      <c r="L4360">
        <v>141.18809999999999</v>
      </c>
      <c r="M4360">
        <v>-0.99991490000000005</v>
      </c>
      <c r="N4360">
        <v>0</v>
      </c>
      <c r="O4360">
        <v>4.1798060000000003E-3</v>
      </c>
      <c r="P4360">
        <v>-0.99424749999999995</v>
      </c>
      <c r="Q4360">
        <v>-1.390801E-2</v>
      </c>
      <c r="R4360">
        <v>0.1062017</v>
      </c>
      <c r="S4360">
        <v>-3.0394899999999998</v>
      </c>
      <c r="T4360">
        <v>-0.1454116</v>
      </c>
      <c r="U4360">
        <v>-0.22477720000000001</v>
      </c>
      <c r="V4360">
        <v>0.1020448</v>
      </c>
      <c r="W4360">
        <v>-1.6151620000000001E-3</v>
      </c>
      <c r="X4360">
        <v>0.99477850000000001</v>
      </c>
      <c r="Y4360">
        <v>-7.7825699999999998E-2</v>
      </c>
      <c r="Z4360">
        <v>-2.0576269999999998E-3</v>
      </c>
      <c r="AA4360">
        <v>0.99696490000000004</v>
      </c>
      <c r="AB4360">
        <v>32</v>
      </c>
      <c r="AC4360">
        <v>-22.8781</v>
      </c>
      <c r="AD4360">
        <v>-1.1097571736830001</v>
      </c>
      <c r="AE4360">
        <v>-1.7166999999999999</v>
      </c>
      <c r="AF4360">
        <v>-1.8080877718127499</v>
      </c>
      <c r="AG4360">
        <v>-1.1097571736830001</v>
      </c>
      <c r="AH4360">
        <v>22.8173362390419</v>
      </c>
      <c r="AI4360">
        <v>92.775788854802599</v>
      </c>
      <c r="AJ4360">
        <v>94.530755702928801</v>
      </c>
      <c r="AK4360">
        <v>22.915749505975501</v>
      </c>
      <c r="AL4360">
        <v>90.092542005417798</v>
      </c>
      <c r="AM4360">
        <v>84.1430610195291</v>
      </c>
      <c r="AN4360">
        <v>1.00000000700878</v>
      </c>
    </row>
    <row r="4361" spans="1:40" x14ac:dyDescent="0.25">
      <c r="A4361" t="str">
        <f>"20190312161057858"</f>
        <v>20190312161057858</v>
      </c>
      <c r="B4361" t="str">
        <f>"1552378257851202"</f>
        <v>1552378257851202</v>
      </c>
      <c r="C4361" t="s">
        <v>40</v>
      </c>
      <c r="D4361">
        <v>5.7452030000000001</v>
      </c>
      <c r="E4361">
        <v>0.43130420000000003</v>
      </c>
      <c r="F4361" t="s">
        <v>87</v>
      </c>
      <c r="G4361">
        <v>-308.67039999999997</v>
      </c>
      <c r="H4361" s="1">
        <v>-9.2479660000000006E-6</v>
      </c>
      <c r="I4361">
        <v>139.4487</v>
      </c>
      <c r="J4361">
        <v>-285.553</v>
      </c>
      <c r="K4361">
        <v>1.109567</v>
      </c>
      <c r="L4361">
        <v>141.18950000000001</v>
      </c>
      <c r="M4361">
        <v>-0.99992199999999998</v>
      </c>
      <c r="N4361">
        <v>0</v>
      </c>
      <c r="O4361">
        <v>4.1699160000000001E-3</v>
      </c>
      <c r="P4361">
        <v>-0.99427520000000003</v>
      </c>
      <c r="Q4361">
        <v>-1.339753E-2</v>
      </c>
      <c r="R4361">
        <v>0.106007</v>
      </c>
      <c r="S4361">
        <v>-3.0394589999999999</v>
      </c>
      <c r="T4361">
        <v>-0.14386669999999999</v>
      </c>
      <c r="U4361">
        <v>-0.22549440000000001</v>
      </c>
      <c r="V4361">
        <v>0.1018599</v>
      </c>
      <c r="W4361">
        <v>-1.692926E-3</v>
      </c>
      <c r="X4361">
        <v>0.9947973</v>
      </c>
      <c r="Y4361">
        <v>-7.8052239999999995E-2</v>
      </c>
      <c r="Z4361">
        <v>-2.0406740000000001E-3</v>
      </c>
      <c r="AA4361">
        <v>0.99694720000000003</v>
      </c>
      <c r="AB4361">
        <v>32</v>
      </c>
      <c r="AC4361">
        <v>-23.1173999999999</v>
      </c>
      <c r="AD4361">
        <v>-1.1095762479660001</v>
      </c>
      <c r="AE4361">
        <v>-1.7407999999999999</v>
      </c>
      <c r="AF4361">
        <v>-1.83299020995466</v>
      </c>
      <c r="AG4361">
        <v>-1.1095762479660001</v>
      </c>
      <c r="AH4361">
        <v>23.057121036980401</v>
      </c>
      <c r="AI4361">
        <v>92.746463695880294</v>
      </c>
      <c r="AJ4361">
        <v>94.545328701204696</v>
      </c>
      <c r="AK4361">
        <v>23.156464390614602</v>
      </c>
      <c r="AL4361">
        <v>90.096997562454703</v>
      </c>
      <c r="AM4361">
        <v>84.153709640565793</v>
      </c>
      <c r="AN4361">
        <v>0.99999998665686995</v>
      </c>
    </row>
    <row r="4362" spans="1:40" x14ac:dyDescent="0.25">
      <c r="A4362" t="str">
        <f>"20190312161057882"</f>
        <v>20190312161057882</v>
      </c>
      <c r="B4362" t="str">
        <f>"1552378257871701"</f>
        <v>1552378257871701</v>
      </c>
      <c r="C4362" t="s">
        <v>40</v>
      </c>
      <c r="D4362">
        <v>5.7288589999999999</v>
      </c>
      <c r="E4362">
        <v>0.43125010000000003</v>
      </c>
      <c r="F4362" t="s">
        <v>87</v>
      </c>
      <c r="G4362">
        <v>-309.5976</v>
      </c>
      <c r="H4362" s="1">
        <v>-9.3643340000000008E-6</v>
      </c>
      <c r="I4362">
        <v>139.3963</v>
      </c>
      <c r="J4362">
        <v>-285.90089999999998</v>
      </c>
      <c r="K4362">
        <v>1.109226</v>
      </c>
      <c r="L4362">
        <v>141.1909</v>
      </c>
      <c r="M4362">
        <v>-0.99993679999999996</v>
      </c>
      <c r="N4362">
        <v>0</v>
      </c>
      <c r="O4362">
        <v>4.1590759999999899E-3</v>
      </c>
      <c r="P4362">
        <v>-0.9943398</v>
      </c>
      <c r="Q4362">
        <v>-1.1737879999999999E-2</v>
      </c>
      <c r="R4362">
        <v>0.1055987</v>
      </c>
      <c r="S4362">
        <v>-3.0395509999999999</v>
      </c>
      <c r="T4362">
        <v>-0.14026469999999999</v>
      </c>
      <c r="U4362">
        <v>-0.22668460000000001</v>
      </c>
      <c r="V4362">
        <v>0.1014622</v>
      </c>
      <c r="W4362">
        <v>-1.3423510000000001E-3</v>
      </c>
      <c r="X4362">
        <v>0.99483849999999996</v>
      </c>
      <c r="Y4362">
        <v>-7.8431520000000005E-2</v>
      </c>
      <c r="Z4362">
        <v>-1.997782E-3</v>
      </c>
      <c r="AA4362">
        <v>0.99691750000000001</v>
      </c>
      <c r="AB4362">
        <v>32</v>
      </c>
      <c r="AC4362">
        <v>-23.6967</v>
      </c>
      <c r="AD4362">
        <v>-1.1092353643340001</v>
      </c>
      <c r="AE4362">
        <v>-1.7946</v>
      </c>
      <c r="AF4362">
        <v>-1.88903068827839</v>
      </c>
      <c r="AG4362">
        <v>-1.1092353643340001</v>
      </c>
      <c r="AH4362">
        <v>23.6375327707207</v>
      </c>
      <c r="AI4362">
        <v>92.678214099520105</v>
      </c>
      <c r="AJ4362">
        <v>94.5691717917707</v>
      </c>
      <c r="AK4362">
        <v>23.738824644906899</v>
      </c>
      <c r="AL4362">
        <v>90.076911069214702</v>
      </c>
      <c r="AM4362">
        <v>84.176618123799003</v>
      </c>
      <c r="AN4362">
        <v>1.00000001050864</v>
      </c>
    </row>
    <row r="4363" spans="1:40" x14ac:dyDescent="0.25">
      <c r="A4363" t="str">
        <f>"20190312161057903"</f>
        <v>20190312161057903</v>
      </c>
      <c r="B4363" t="str">
        <f>"1552378257900977"</f>
        <v>1552378257900977</v>
      </c>
      <c r="C4363" t="s">
        <v>40</v>
      </c>
      <c r="D4363">
        <v>5.8042680000000004</v>
      </c>
      <c r="E4363">
        <v>0.43115870000000001</v>
      </c>
      <c r="F4363" t="s">
        <v>87</v>
      </c>
      <c r="G4363">
        <v>-310.59829999999999</v>
      </c>
      <c r="H4363" s="1">
        <v>-9.1591720000000004E-6</v>
      </c>
      <c r="I4363">
        <v>139.33600000000001</v>
      </c>
      <c r="J4363">
        <v>-286.23250000000002</v>
      </c>
      <c r="K4363">
        <v>1.1089370000000001</v>
      </c>
      <c r="L4363">
        <v>141.19229999999999</v>
      </c>
      <c r="M4363">
        <v>-0.99995009999999995</v>
      </c>
      <c r="N4363">
        <v>0</v>
      </c>
      <c r="O4363">
        <v>4.1497239999999996E-3</v>
      </c>
      <c r="P4363">
        <v>-0.99437690000000001</v>
      </c>
      <c r="Q4363">
        <v>-1.033191E-2</v>
      </c>
      <c r="R4363">
        <v>0.1053935</v>
      </c>
      <c r="S4363">
        <v>-3.0397340000000002</v>
      </c>
      <c r="T4363">
        <v>-0.13652359999999999</v>
      </c>
      <c r="U4363">
        <v>-0.228302</v>
      </c>
      <c r="V4363">
        <v>0.10126590000000001</v>
      </c>
      <c r="W4363">
        <v>-1.2799109999999999E-3</v>
      </c>
      <c r="X4363">
        <v>0.99485860000000004</v>
      </c>
      <c r="Y4363">
        <v>-7.8949259999999993E-2</v>
      </c>
      <c r="Z4363">
        <v>-1.9555789999999998E-3</v>
      </c>
      <c r="AA4363">
        <v>0.99687669999999995</v>
      </c>
      <c r="AB4363">
        <v>33</v>
      </c>
      <c r="AC4363">
        <v>-24.365799999999901</v>
      </c>
      <c r="AD4363">
        <v>-1.108946159172</v>
      </c>
      <c r="AE4363">
        <v>-1.8562999999999701</v>
      </c>
      <c r="AF4363">
        <v>-1.95337670115621</v>
      </c>
      <c r="AG4363">
        <v>-1.108946159172</v>
      </c>
      <c r="AH4363">
        <v>24.3078265713905</v>
      </c>
      <c r="AI4363">
        <v>92.603694952439895</v>
      </c>
      <c r="AJ4363">
        <v>94.594415416129905</v>
      </c>
      <c r="AK4363">
        <v>24.4113882183164</v>
      </c>
      <c r="AL4363">
        <v>90.073333516470001</v>
      </c>
      <c r="AM4363">
        <v>84.187924100637801</v>
      </c>
      <c r="AN4363">
        <v>1.00000002733446</v>
      </c>
    </row>
    <row r="4364" spans="1:40" x14ac:dyDescent="0.25">
      <c r="A4364" t="str">
        <f>"20190312161057927"</f>
        <v>20190312161057927</v>
      </c>
      <c r="B4364" t="str">
        <f>"1552378257921474"</f>
        <v>1552378257921474</v>
      </c>
      <c r="C4364" t="s">
        <v>40</v>
      </c>
      <c r="D4364">
        <v>5.7835000000000001</v>
      </c>
      <c r="E4364">
        <v>0.43119420000000003</v>
      </c>
      <c r="F4364" t="s">
        <v>87</v>
      </c>
      <c r="G4364">
        <v>-312.27120000000002</v>
      </c>
      <c r="H4364" s="1">
        <v>-8.4953669999999997E-6</v>
      </c>
      <c r="I4364">
        <v>139.2251</v>
      </c>
      <c r="J4364">
        <v>-286.57780000000002</v>
      </c>
      <c r="K4364">
        <v>1.108692</v>
      </c>
      <c r="L4364">
        <v>141.19370000000001</v>
      </c>
      <c r="M4364">
        <v>-0.99996169999999995</v>
      </c>
      <c r="N4364">
        <v>0</v>
      </c>
      <c r="O4364">
        <v>4.139836E-3</v>
      </c>
      <c r="P4364">
        <v>-0.99438720000000003</v>
      </c>
      <c r="Q4364">
        <v>-8.5120249999999995E-3</v>
      </c>
      <c r="R4364">
        <v>0.105461</v>
      </c>
      <c r="S4364">
        <v>-3.039917</v>
      </c>
      <c r="T4364">
        <v>-0.12946489999999999</v>
      </c>
      <c r="U4364">
        <v>-0.22966</v>
      </c>
      <c r="V4364">
        <v>0.1013433</v>
      </c>
      <c r="W4364">
        <v>-8.2558890000000002E-4</v>
      </c>
      <c r="X4364">
        <v>0.99485120000000005</v>
      </c>
      <c r="Y4364">
        <v>-7.9385709999999998E-2</v>
      </c>
      <c r="Z4364">
        <v>-1.863274E-3</v>
      </c>
      <c r="AA4364">
        <v>0.99684220000000001</v>
      </c>
      <c r="AB4364">
        <v>33</v>
      </c>
      <c r="AC4364">
        <v>-25.6934</v>
      </c>
      <c r="AD4364">
        <v>-1.1087004953669899</v>
      </c>
      <c r="AE4364">
        <v>-1.9685999999999999</v>
      </c>
      <c r="AF4364">
        <v>-2.0711187882384299</v>
      </c>
      <c r="AG4364">
        <v>-1.1087004953669899</v>
      </c>
      <c r="AH4364">
        <v>25.637570721855301</v>
      </c>
      <c r="AI4364">
        <v>92.468190717425102</v>
      </c>
      <c r="AJ4364">
        <v>94.618582176638995</v>
      </c>
      <c r="AK4364">
        <v>25.7449758660123</v>
      </c>
      <c r="AL4364">
        <v>90.0473027636273</v>
      </c>
      <c r="AM4364">
        <v>84.183469267307004</v>
      </c>
      <c r="AN4364">
        <v>1.0000000280966801</v>
      </c>
    </row>
    <row r="4365" spans="1:40" x14ac:dyDescent="0.25">
      <c r="A4365" t="str">
        <f>"20190312161057970"</f>
        <v>20190312161057970</v>
      </c>
      <c r="B4365" t="str">
        <f>"1552378257961490"</f>
        <v>1552378257961490</v>
      </c>
      <c r="C4365" t="s">
        <v>40</v>
      </c>
      <c r="D4365">
        <v>5.7740900000000002</v>
      </c>
      <c r="E4365">
        <v>0.43117090000000002</v>
      </c>
      <c r="F4365" t="s">
        <v>87</v>
      </c>
      <c r="G4365">
        <v>-313.80099999999999</v>
      </c>
      <c r="H4365" s="1">
        <v>-7.8939840000000006E-6</v>
      </c>
      <c r="I4365">
        <v>139.1421</v>
      </c>
      <c r="J4365">
        <v>-287.23540000000003</v>
      </c>
      <c r="K4365">
        <v>1.108368</v>
      </c>
      <c r="L4365">
        <v>141.19640000000001</v>
      </c>
      <c r="M4365">
        <v>-0.99997740000000002</v>
      </c>
      <c r="N4365">
        <v>0</v>
      </c>
      <c r="O4365">
        <v>4.1234569999999996E-3</v>
      </c>
      <c r="P4365">
        <v>-0.99446849999999998</v>
      </c>
      <c r="Q4365">
        <v>-6.0716119999999997E-3</v>
      </c>
      <c r="R4365">
        <v>0.104861</v>
      </c>
      <c r="S4365">
        <v>-3.0401609999999999</v>
      </c>
      <c r="T4365">
        <v>-0.1238142</v>
      </c>
      <c r="U4365">
        <v>-0.2291107</v>
      </c>
      <c r="V4365">
        <v>0.1007594</v>
      </c>
      <c r="W4365">
        <v>-7.6627249999999998E-4</v>
      </c>
      <c r="X4365">
        <v>0.99491050000000003</v>
      </c>
      <c r="Y4365">
        <v>-7.9190819999999995E-2</v>
      </c>
      <c r="Z4365">
        <v>-1.7772580000000001E-3</v>
      </c>
      <c r="AA4365">
        <v>0.99685789999999996</v>
      </c>
      <c r="AB4365">
        <v>34</v>
      </c>
      <c r="AC4365">
        <v>-26.5655999999999</v>
      </c>
      <c r="AD4365">
        <v>-1.1083758939839901</v>
      </c>
      <c r="AE4365">
        <v>-2.0543000000000098</v>
      </c>
      <c r="AF4365">
        <v>-2.1600883793233399</v>
      </c>
      <c r="AG4365">
        <v>-1.1083758939839901</v>
      </c>
      <c r="AH4365">
        <v>26.511028619762801</v>
      </c>
      <c r="AI4365">
        <v>92.386135556933198</v>
      </c>
      <c r="AJ4365">
        <v>94.658104878892999</v>
      </c>
      <c r="AK4365">
        <v>26.621966820780401</v>
      </c>
      <c r="AL4365">
        <v>90.043904185669703</v>
      </c>
      <c r="AM4365">
        <v>84.217096371064997</v>
      </c>
      <c r="AN4365">
        <v>0.99999997343607605</v>
      </c>
    </row>
    <row r="4366" spans="1:40" x14ac:dyDescent="0.25">
      <c r="A4366" t="str">
        <f>"20190312161057993"</f>
        <v>20190312161057993</v>
      </c>
      <c r="B4366" t="str">
        <f>"1552378257990770"</f>
        <v>1552378257990770</v>
      </c>
      <c r="C4366" t="s">
        <v>40</v>
      </c>
      <c r="D4366">
        <v>5.7957539999999996</v>
      </c>
      <c r="E4366">
        <v>0.43122909999999998</v>
      </c>
      <c r="F4366" t="s">
        <v>87</v>
      </c>
      <c r="G4366">
        <v>-316.54770000000002</v>
      </c>
      <c r="H4366" s="1">
        <v>-6.6915999999999996E-6</v>
      </c>
      <c r="I4366">
        <v>138.9674</v>
      </c>
      <c r="J4366">
        <v>-287.59449999999998</v>
      </c>
      <c r="K4366">
        <v>1.10829</v>
      </c>
      <c r="L4366">
        <v>141.1979</v>
      </c>
      <c r="M4366">
        <v>-0.99998220000000004</v>
      </c>
      <c r="N4366">
        <v>0</v>
      </c>
      <c r="O4366">
        <v>4.1144490000000001E-3</v>
      </c>
      <c r="P4366">
        <v>-0.99450870000000002</v>
      </c>
      <c r="Q4366">
        <v>-3.9255829999999999E-3</v>
      </c>
      <c r="R4366">
        <v>0.10458099999999999</v>
      </c>
      <c r="S4366">
        <v>-3.0404049999999998</v>
      </c>
      <c r="T4366">
        <v>-0.1149654</v>
      </c>
      <c r="U4366">
        <v>-0.2312012</v>
      </c>
      <c r="V4366">
        <v>0.1004882</v>
      </c>
      <c r="W4366">
        <v>3.7461919999999999E-4</v>
      </c>
      <c r="X4366">
        <v>0.99493819999999999</v>
      </c>
      <c r="Y4366">
        <v>-7.9866290000000006E-2</v>
      </c>
      <c r="Z4366">
        <v>-1.6625660000000001E-3</v>
      </c>
      <c r="AA4366">
        <v>0.99680420000000003</v>
      </c>
      <c r="AB4366">
        <v>34</v>
      </c>
      <c r="AC4366">
        <v>-28.953199999999999</v>
      </c>
      <c r="AD4366">
        <v>-1.1082966915999899</v>
      </c>
      <c r="AE4366">
        <v>-2.2305000000000001</v>
      </c>
      <c r="AF4366">
        <v>-2.3461911657371899</v>
      </c>
      <c r="AG4366">
        <v>-1.1082966915999899</v>
      </c>
      <c r="AH4366">
        <v>28.901678525866501</v>
      </c>
      <c r="AI4366">
        <v>92.188859890971102</v>
      </c>
      <c r="AJ4366">
        <v>94.641001246500693</v>
      </c>
      <c r="AK4366">
        <v>29.0179247389494</v>
      </c>
      <c r="AL4366">
        <v>89.978535900848001</v>
      </c>
      <c r="AM4366">
        <v>84.2327158232074</v>
      </c>
      <c r="AN4366">
        <v>1.00000002024901</v>
      </c>
    </row>
    <row r="4367" spans="1:40" x14ac:dyDescent="0.25">
      <c r="A4367" t="str">
        <f>"20190312161058014"</f>
        <v>20190312161058014</v>
      </c>
      <c r="B4367" t="str">
        <f>"1552378258011266"</f>
        <v>1552378258011266</v>
      </c>
      <c r="C4367" t="s">
        <v>40</v>
      </c>
      <c r="D4367">
        <v>5.7984400000000003</v>
      </c>
      <c r="E4367">
        <v>0.43121429999999999</v>
      </c>
      <c r="F4367" t="s">
        <v>87</v>
      </c>
      <c r="G4367">
        <v>-318.6189</v>
      </c>
      <c r="H4367" s="1">
        <v>-5.7307050000000004E-6</v>
      </c>
      <c r="I4367">
        <v>138.8348</v>
      </c>
      <c r="J4367">
        <v>-287.91030000000001</v>
      </c>
      <c r="K4367">
        <v>1.1083130000000001</v>
      </c>
      <c r="L4367">
        <v>141.19919999999999</v>
      </c>
      <c r="M4367">
        <v>-0.9999846</v>
      </c>
      <c r="N4367">
        <v>0</v>
      </c>
      <c r="O4367">
        <v>4.1058079999999999E-3</v>
      </c>
      <c r="P4367">
        <v>-0.99456029999999995</v>
      </c>
      <c r="Q4367">
        <v>-3.3434490000000001E-3</v>
      </c>
      <c r="R4367">
        <v>0.10411090000000001</v>
      </c>
      <c r="S4367">
        <v>-3.040527</v>
      </c>
      <c r="T4367">
        <v>-0.1086179</v>
      </c>
      <c r="U4367">
        <v>-0.2315979</v>
      </c>
      <c r="V4367">
        <v>0.1000267</v>
      </c>
      <c r="W4367">
        <v>3.9703049999999999E-4</v>
      </c>
      <c r="X4367">
        <v>0.99498470000000006</v>
      </c>
      <c r="Y4367">
        <v>-7.9990290000000006E-2</v>
      </c>
      <c r="Z4367">
        <v>-1.5726640000000001E-3</v>
      </c>
      <c r="AA4367">
        <v>0.99679439999999997</v>
      </c>
      <c r="AB4367">
        <v>34</v>
      </c>
      <c r="AC4367">
        <v>-30.708599999999901</v>
      </c>
      <c r="AD4367">
        <v>-1.108318730705</v>
      </c>
      <c r="AE4367">
        <v>-2.3643999999999799</v>
      </c>
      <c r="AF4367">
        <v>-2.4872437877690698</v>
      </c>
      <c r="AG4367">
        <v>-1.108318730705</v>
      </c>
      <c r="AH4367">
        <v>30.658932508070802</v>
      </c>
      <c r="AI4367">
        <v>92.063564140724793</v>
      </c>
      <c r="AJ4367">
        <v>94.638033694526001</v>
      </c>
      <c r="AK4367">
        <v>30.779618168571702</v>
      </c>
      <c r="AL4367">
        <v>89.977251828001002</v>
      </c>
      <c r="AM4367">
        <v>84.259291711077907</v>
      </c>
      <c r="AN4367">
        <v>1.0000000257900901</v>
      </c>
    </row>
    <row r="4368" spans="1:40" x14ac:dyDescent="0.25">
      <c r="A4368" t="str">
        <f>"20190312161058035"</f>
        <v>20190312161058035</v>
      </c>
      <c r="B4368" t="str">
        <f>"1552378258030788"</f>
        <v>1552378258030788</v>
      </c>
      <c r="C4368" t="s">
        <v>40</v>
      </c>
      <c r="D4368">
        <v>5.8008470000000001</v>
      </c>
      <c r="E4368">
        <v>0.43130170000000001</v>
      </c>
      <c r="F4368" t="s">
        <v>87</v>
      </c>
      <c r="G4368">
        <v>-319.63440000000003</v>
      </c>
      <c r="H4368" s="1">
        <v>-5.2454739999999997E-6</v>
      </c>
      <c r="I4368">
        <v>138.76599999999999</v>
      </c>
      <c r="J4368">
        <v>-288.24880000000002</v>
      </c>
      <c r="K4368">
        <v>1.108419</v>
      </c>
      <c r="L4368">
        <v>141.20060000000001</v>
      </c>
      <c r="M4368">
        <v>-0.99998529999999997</v>
      </c>
      <c r="N4368">
        <v>0</v>
      </c>
      <c r="O4368">
        <v>4.0959350000000002E-3</v>
      </c>
      <c r="P4368">
        <v>-0.99458219999999997</v>
      </c>
      <c r="Q4368">
        <v>-3.8091050000000001E-3</v>
      </c>
      <c r="R4368">
        <v>0.103884</v>
      </c>
      <c r="S4368">
        <v>-3.0404659999999999</v>
      </c>
      <c r="T4368">
        <v>-0.10622230000000001</v>
      </c>
      <c r="U4368">
        <v>-0.23320009999999999</v>
      </c>
      <c r="V4368">
        <v>9.9809300000000004E-2</v>
      </c>
      <c r="W4368">
        <v>-2.768917E-4</v>
      </c>
      <c r="X4368">
        <v>0.99500659999999996</v>
      </c>
      <c r="Y4368">
        <v>-8.0506179999999997E-2</v>
      </c>
      <c r="Z4368">
        <v>-1.5466500000000001E-3</v>
      </c>
      <c r="AA4368">
        <v>0.99675290000000005</v>
      </c>
      <c r="AB4368">
        <v>35</v>
      </c>
      <c r="AC4368">
        <v>-31.3856</v>
      </c>
      <c r="AD4368">
        <v>-1.1084242454739901</v>
      </c>
      <c r="AE4368">
        <v>-2.4346000000000099</v>
      </c>
      <c r="AF4368">
        <v>-2.55995997087475</v>
      </c>
      <c r="AG4368">
        <v>-1.1084242454739901</v>
      </c>
      <c r="AH4368">
        <v>31.336514211356999</v>
      </c>
      <c r="AI4368">
        <v>92.0190811911514</v>
      </c>
      <c r="AJ4368">
        <v>94.670267872486406</v>
      </c>
      <c r="AK4368">
        <v>31.460437413981001</v>
      </c>
      <c r="AL4368">
        <v>90.015864725145505</v>
      </c>
      <c r="AM4368">
        <v>84.271810854286201</v>
      </c>
      <c r="AN4368">
        <v>1.0000000535395299</v>
      </c>
    </row>
    <row r="4369" spans="1:40" x14ac:dyDescent="0.25">
      <c r="A4369" t="str">
        <f>"20190312161058059"</f>
        <v>20190312161058059</v>
      </c>
      <c r="B4369" t="str">
        <f>"1552378258051282"</f>
        <v>1552378258051282</v>
      </c>
      <c r="C4369" t="s">
        <v>40</v>
      </c>
      <c r="D4369">
        <v>5.7965580000000001</v>
      </c>
      <c r="E4369">
        <v>0.43120550000000002</v>
      </c>
      <c r="F4369" t="s">
        <v>87</v>
      </c>
      <c r="G4369">
        <v>-319.28949999999998</v>
      </c>
      <c r="H4369" s="1">
        <v>-5.4285200000000003E-6</v>
      </c>
      <c r="I4369">
        <v>138.81979999999999</v>
      </c>
      <c r="J4369">
        <v>-288.6123</v>
      </c>
      <c r="K4369">
        <v>1.1085750000000001</v>
      </c>
      <c r="L4369">
        <v>141.2021</v>
      </c>
      <c r="M4369">
        <v>-0.99998509999999996</v>
      </c>
      <c r="N4369">
        <v>0</v>
      </c>
      <c r="O4369">
        <v>4.085666E-3</v>
      </c>
      <c r="P4369">
        <v>-0.99454319999999896</v>
      </c>
      <c r="Q4369">
        <v>-3.8669360000000001E-3</v>
      </c>
      <c r="R4369">
        <v>0.104255399999999</v>
      </c>
      <c r="S4369">
        <v>-3.0402529999999999</v>
      </c>
      <c r="T4369">
        <v>-0.1085638</v>
      </c>
      <c r="U4369">
        <v>-0.2331848</v>
      </c>
      <c r="V4369">
        <v>0.10019119999999999</v>
      </c>
      <c r="W4369">
        <v>-2.2718169999999999E-4</v>
      </c>
      <c r="X4369">
        <v>0.99496819999999997</v>
      </c>
      <c r="Y4369">
        <v>-8.0494049999999998E-2</v>
      </c>
      <c r="Z4369">
        <v>-1.580251E-3</v>
      </c>
      <c r="AA4369">
        <v>0.99675380000000002</v>
      </c>
      <c r="AB4369">
        <v>35</v>
      </c>
      <c r="AC4369">
        <v>-30.6771999999999</v>
      </c>
      <c r="AD4369">
        <v>-1.10858042852</v>
      </c>
      <c r="AE4369">
        <v>-2.3823000000000101</v>
      </c>
      <c r="AF4369">
        <v>-2.5043669344113999</v>
      </c>
      <c r="AG4369">
        <v>-1.10858042852</v>
      </c>
      <c r="AH4369">
        <v>30.6274546070557</v>
      </c>
      <c r="AI4369">
        <v>92.066063190629393</v>
      </c>
      <c r="AJ4369">
        <v>94.674601204738707</v>
      </c>
      <c r="AK4369">
        <v>30.749663087844201</v>
      </c>
      <c r="AL4369">
        <v>90.013016552397502</v>
      </c>
      <c r="AM4369">
        <v>84.249819261487303</v>
      </c>
      <c r="AN4369">
        <v>1.0000000235901001</v>
      </c>
    </row>
    <row r="4370" spans="1:40" x14ac:dyDescent="0.25">
      <c r="A4370" t="str">
        <f>"20190312161058081"</f>
        <v>20190312161058081</v>
      </c>
      <c r="B4370" t="str">
        <f>"1552378258070806"</f>
        <v>1552378258070806</v>
      </c>
      <c r="C4370" t="s">
        <v>40</v>
      </c>
      <c r="D4370">
        <v>5.7881999999999998</v>
      </c>
      <c r="E4370">
        <v>0.43108540000000001</v>
      </c>
      <c r="F4370" t="s">
        <v>87</v>
      </c>
      <c r="G4370">
        <v>-319.47250000000003</v>
      </c>
      <c r="H4370" s="1">
        <v>-5.3534640000000004E-6</v>
      </c>
      <c r="I4370">
        <v>138.83879999999999</v>
      </c>
      <c r="J4370">
        <v>-288.96530000000001</v>
      </c>
      <c r="K4370">
        <v>1.1087209999999901</v>
      </c>
      <c r="L4370">
        <v>141.20349999999999</v>
      </c>
      <c r="M4370">
        <v>-0.99998390000000004</v>
      </c>
      <c r="N4370">
        <v>0</v>
      </c>
      <c r="O4370">
        <v>4.0782509999999998E-3</v>
      </c>
      <c r="P4370">
        <v>-0.99456409999999995</v>
      </c>
      <c r="Q4370">
        <v>-3.4438509999999999E-3</v>
      </c>
      <c r="R4370">
        <v>0.1040697</v>
      </c>
      <c r="S4370">
        <v>-3.0404360000000001</v>
      </c>
      <c r="T4370">
        <v>-0.1092206</v>
      </c>
      <c r="U4370">
        <v>-0.23283390000000001</v>
      </c>
      <c r="V4370">
        <v>0.1000128</v>
      </c>
      <c r="W4370">
        <v>4.6092669999999998E-4</v>
      </c>
      <c r="X4370">
        <v>0.99498609999999998</v>
      </c>
      <c r="Y4370">
        <v>-8.0367149999999998E-2</v>
      </c>
      <c r="Z4370">
        <v>-1.587176E-3</v>
      </c>
      <c r="AA4370">
        <v>0.99676410000000004</v>
      </c>
      <c r="AB4370">
        <v>35</v>
      </c>
      <c r="AC4370">
        <v>-30.507200000000001</v>
      </c>
      <c r="AD4370">
        <v>-1.1087263534639999</v>
      </c>
      <c r="AE4370">
        <v>-2.3646999999999898</v>
      </c>
      <c r="AF4370">
        <v>-2.4858335894631098</v>
      </c>
      <c r="AG4370">
        <v>-1.1087263534639999</v>
      </c>
      <c r="AH4370">
        <v>30.457313972880499</v>
      </c>
      <c r="AI4370">
        <v>92.077893346568203</v>
      </c>
      <c r="AJ4370">
        <v>94.665965574745698</v>
      </c>
      <c r="AK4370">
        <v>30.578695479107498</v>
      </c>
      <c r="AL4370">
        <v>89.973590845966399</v>
      </c>
      <c r="AM4370">
        <v>84.260092151804997</v>
      </c>
      <c r="AN4370">
        <v>1.00000005590523</v>
      </c>
    </row>
    <row r="4371" spans="1:40" x14ac:dyDescent="0.25">
      <c r="A4371" t="str">
        <f>"20190312161058102"</f>
        <v>20190312161058102</v>
      </c>
      <c r="B4371" t="str">
        <f>"1552378258091302"</f>
        <v>1552378258091302</v>
      </c>
      <c r="C4371" t="s">
        <v>40</v>
      </c>
      <c r="D4371">
        <v>5.8050899999999999</v>
      </c>
      <c r="E4371">
        <v>0.43101420000000001</v>
      </c>
      <c r="F4371" t="s">
        <v>41</v>
      </c>
      <c r="G4371">
        <v>-320.37580000000003</v>
      </c>
      <c r="H4371" s="1">
        <v>-4.2586570000000003E-6</v>
      </c>
      <c r="I4371">
        <v>138.7843</v>
      </c>
      <c r="J4371">
        <v>-289.29109999999997</v>
      </c>
      <c r="K4371">
        <v>1.108835</v>
      </c>
      <c r="L4371">
        <v>141.20480000000001</v>
      </c>
      <c r="M4371">
        <v>-0.99998290000000001</v>
      </c>
      <c r="N4371">
        <v>0</v>
      </c>
      <c r="O4371">
        <v>4.0727569999999998E-3</v>
      </c>
      <c r="P4371">
        <v>-0.99459450000000005</v>
      </c>
      <c r="Q4371">
        <v>-3.5846110000000001E-3</v>
      </c>
      <c r="R4371">
        <v>0.1037747</v>
      </c>
      <c r="S4371">
        <v>-3.0405579999999999</v>
      </c>
      <c r="T4371">
        <v>-0.10732559999999999</v>
      </c>
      <c r="U4371">
        <v>-0.23417660000000001</v>
      </c>
      <c r="V4371">
        <v>9.9723060000000002E-2</v>
      </c>
      <c r="W4371">
        <v>6.1971339999999995E-4</v>
      </c>
      <c r="X4371">
        <v>0.99501499999999998</v>
      </c>
      <c r="Y4371">
        <v>-8.0797839999999996E-2</v>
      </c>
      <c r="Z4371">
        <v>-1.5669600000000001E-3</v>
      </c>
      <c r="AA4371">
        <v>0.99672930000000004</v>
      </c>
      <c r="AB4371">
        <v>35</v>
      </c>
      <c r="AC4371">
        <v>-31.084700000000002</v>
      </c>
      <c r="AD4371">
        <v>-1.1088392586569999</v>
      </c>
      <c r="AE4371">
        <v>-2.4205000000000001</v>
      </c>
      <c r="AF4371">
        <v>-2.5438640149820002</v>
      </c>
      <c r="AG4371">
        <v>-1.1088392586569999</v>
      </c>
      <c r="AH4371">
        <v>31.035330812262899</v>
      </c>
      <c r="AI4371">
        <v>92.0393762327991</v>
      </c>
      <c r="AJ4371">
        <v>94.685871305545703</v>
      </c>
      <c r="AK4371">
        <v>31.159148371783999</v>
      </c>
      <c r="AL4371">
        <v>89.964493034031904</v>
      </c>
      <c r="AM4371">
        <v>84.276775406732199</v>
      </c>
      <c r="AN4371">
        <v>0.99999996148272996</v>
      </c>
    </row>
    <row r="4372" spans="1:40" x14ac:dyDescent="0.25">
      <c r="A4372" t="str">
        <f>"20190312161058126"</f>
        <v>20190312161058126</v>
      </c>
      <c r="B4372" t="str">
        <f>"1552378258121244"</f>
        <v>1552378258121244</v>
      </c>
      <c r="C4372" t="s">
        <v>40</v>
      </c>
      <c r="D4372">
        <v>5.8040010000000004</v>
      </c>
      <c r="E4372">
        <v>0.43078149999999998</v>
      </c>
      <c r="F4372" t="s">
        <v>41</v>
      </c>
      <c r="G4372">
        <v>-320.553</v>
      </c>
      <c r="H4372" s="1">
        <v>-4.1830770000000002E-6</v>
      </c>
      <c r="I4372">
        <v>138.7818</v>
      </c>
      <c r="J4372">
        <v>-289.64609999999999</v>
      </c>
      <c r="K4372">
        <v>1.1089260000000001</v>
      </c>
      <c r="L4372">
        <v>141.2062</v>
      </c>
      <c r="M4372">
        <v>-0.99998129999999996</v>
      </c>
      <c r="N4372">
        <v>0</v>
      </c>
      <c r="O4372">
        <v>4.069133E-3</v>
      </c>
      <c r="P4372">
        <v>-0.99463400000000002</v>
      </c>
      <c r="Q4372">
        <v>-4.2164910000000002E-3</v>
      </c>
      <c r="R4372">
        <v>0.1033718</v>
      </c>
      <c r="S4372">
        <v>-3.0404659999999999</v>
      </c>
      <c r="T4372">
        <v>-0.10784349999999999</v>
      </c>
      <c r="U4372">
        <v>-0.2356567</v>
      </c>
      <c r="V4372">
        <v>9.9323560000000005E-2</v>
      </c>
      <c r="W4372">
        <v>3.359953E-4</v>
      </c>
      <c r="X4372">
        <v>0.99505509999999997</v>
      </c>
      <c r="Y4372">
        <v>-8.1278030000000001E-2</v>
      </c>
      <c r="Z4372">
        <v>-1.5829079999999901E-3</v>
      </c>
      <c r="AA4372">
        <v>0.99669019999999997</v>
      </c>
      <c r="AB4372">
        <v>35</v>
      </c>
      <c r="AC4372">
        <v>-30.9069</v>
      </c>
      <c r="AD4372">
        <v>-1.108930183077</v>
      </c>
      <c r="AE4372">
        <v>-2.4243999999999901</v>
      </c>
      <c r="AF4372">
        <v>-2.5468868352218599</v>
      </c>
      <c r="AG4372">
        <v>-1.108930183077</v>
      </c>
      <c r="AH4372">
        <v>30.857297521107601</v>
      </c>
      <c r="AI4372">
        <v>92.0512049917197</v>
      </c>
      <c r="AJ4372">
        <v>94.718360165278696</v>
      </c>
      <c r="AK4372">
        <v>30.982078190601101</v>
      </c>
      <c r="AL4372">
        <v>89.980748886381093</v>
      </c>
      <c r="AM4372">
        <v>84.299780093435899</v>
      </c>
      <c r="AN4372">
        <v>0.99999996724996199</v>
      </c>
    </row>
    <row r="4373" spans="1:40" x14ac:dyDescent="0.25">
      <c r="A4373" t="str">
        <f>"20190312161058149"</f>
        <v>20190312161058149</v>
      </c>
      <c r="B4373" t="str">
        <f>"1552378258140763"</f>
        <v>1552378258140763</v>
      </c>
      <c r="C4373" t="s">
        <v>40</v>
      </c>
      <c r="D4373">
        <v>5.7545080000000004</v>
      </c>
      <c r="E4373">
        <v>0.4305928</v>
      </c>
      <c r="F4373" t="s">
        <v>41</v>
      </c>
      <c r="G4373">
        <v>-320.79910000000001</v>
      </c>
      <c r="H4373" s="1">
        <v>-4.0814359999999997E-6</v>
      </c>
      <c r="I4373">
        <v>138.75960000000001</v>
      </c>
      <c r="J4373">
        <v>-290.01420000000002</v>
      </c>
      <c r="K4373">
        <v>1.108989</v>
      </c>
      <c r="L4373">
        <v>141.20769999999999</v>
      </c>
      <c r="M4373">
        <v>-0.99997950000000002</v>
      </c>
      <c r="N4373">
        <v>0</v>
      </c>
      <c r="O4373">
        <v>4.0665989999999997E-3</v>
      </c>
      <c r="P4373">
        <v>-0.99468219999999996</v>
      </c>
      <c r="Q4373">
        <v>-4.5543629999999996E-3</v>
      </c>
      <c r="R4373">
        <v>0.10289280000000001</v>
      </c>
      <c r="S4373">
        <v>-3.0404969999999998</v>
      </c>
      <c r="T4373">
        <v>-0.1082306</v>
      </c>
      <c r="U4373">
        <v>-0.23878479999999999</v>
      </c>
      <c r="V4373">
        <v>9.8847069999999995E-2</v>
      </c>
      <c r="W4373">
        <v>3.6317499999999998E-4</v>
      </c>
      <c r="X4373">
        <v>0.99510259999999995</v>
      </c>
      <c r="Y4373">
        <v>-8.2292870000000004E-2</v>
      </c>
      <c r="Z4373">
        <v>-1.6064460000000001E-3</v>
      </c>
      <c r="AA4373">
        <v>0.99660689999999996</v>
      </c>
      <c r="AB4373">
        <v>35</v>
      </c>
      <c r="AC4373">
        <v>-30.7849</v>
      </c>
      <c r="AD4373">
        <v>-1.1089930814360001</v>
      </c>
      <c r="AE4373">
        <v>-2.4480999999999802</v>
      </c>
      <c r="AF4373">
        <v>-2.5699569963217401</v>
      </c>
      <c r="AG4373">
        <v>-1.1089930814360001</v>
      </c>
      <c r="AH4373">
        <v>30.735054923780101</v>
      </c>
      <c r="AI4373">
        <v>92.059289787437294</v>
      </c>
      <c r="AJ4373">
        <v>94.779752336445497</v>
      </c>
      <c r="AK4373">
        <v>30.862244665373801</v>
      </c>
      <c r="AL4373">
        <v>89.9791916054387</v>
      </c>
      <c r="AM4373">
        <v>84.327216277838204</v>
      </c>
      <c r="AN4373">
        <v>1.0000000298352101</v>
      </c>
    </row>
    <row r="4374" spans="1:40" x14ac:dyDescent="0.25">
      <c r="A4374" t="str">
        <f>"20190312161058172"</f>
        <v>20190312161058172</v>
      </c>
      <c r="B4374" t="str">
        <f>"1552378258161262"</f>
        <v>1552378258161262</v>
      </c>
      <c r="C4374" t="s">
        <v>40</v>
      </c>
      <c r="D4374">
        <v>5.8042220000000002</v>
      </c>
      <c r="E4374">
        <v>0.43041299999999999</v>
      </c>
      <c r="F4374" t="s">
        <v>41</v>
      </c>
      <c r="G4374">
        <v>-321.36189999999999</v>
      </c>
      <c r="H4374" s="1">
        <v>-3.8479320000000001E-6</v>
      </c>
      <c r="I4374">
        <v>138.7149</v>
      </c>
      <c r="J4374">
        <v>-290.38869999999997</v>
      </c>
      <c r="K4374">
        <v>1.1090450000000001</v>
      </c>
      <c r="L4374">
        <v>141.20930000000001</v>
      </c>
      <c r="M4374">
        <v>-0.99997780000000003</v>
      </c>
      <c r="N4374">
        <v>0</v>
      </c>
      <c r="O4374">
        <v>4.0648469999999999E-3</v>
      </c>
      <c r="P4374">
        <v>-0.99468869999999998</v>
      </c>
      <c r="Q4374">
        <v>-5.6513980000000002E-3</v>
      </c>
      <c r="R4374">
        <v>0.10277360000000001</v>
      </c>
      <c r="S4374">
        <v>-3.0405579999999999</v>
      </c>
      <c r="T4374">
        <v>-0.1075665</v>
      </c>
      <c r="U4374">
        <v>-0.2417908</v>
      </c>
      <c r="V4374">
        <v>9.8729289999999997E-2</v>
      </c>
      <c r="W4374">
        <v>-3.7521290000000002E-4</v>
      </c>
      <c r="X4374">
        <v>0.99511430000000001</v>
      </c>
      <c r="Y4374">
        <v>-8.3268750000000002E-2</v>
      </c>
      <c r="Z4374">
        <v>-1.6136690000000001E-3</v>
      </c>
      <c r="AA4374">
        <v>0.99652580000000002</v>
      </c>
      <c r="AB4374">
        <v>35</v>
      </c>
      <c r="AC4374">
        <v>-30.973199999999999</v>
      </c>
      <c r="AD4374">
        <v>-1.109048847932</v>
      </c>
      <c r="AE4374">
        <v>-2.4944000000000099</v>
      </c>
      <c r="AF4374">
        <v>-2.6169488404382499</v>
      </c>
      <c r="AG4374">
        <v>-1.109048847932</v>
      </c>
      <c r="AH4374">
        <v>30.9234125251816</v>
      </c>
      <c r="AI4374">
        <v>92.046687400514102</v>
      </c>
      <c r="AJ4374">
        <v>94.837231732873306</v>
      </c>
      <c r="AK4374">
        <v>31.0537574664183</v>
      </c>
      <c r="AL4374">
        <v>90.021498115195101</v>
      </c>
      <c r="AM4374">
        <v>84.333997789277902</v>
      </c>
      <c r="AN4374">
        <v>1.00000004177655</v>
      </c>
    </row>
    <row r="4375" spans="1:40" x14ac:dyDescent="0.25">
      <c r="A4375" t="str">
        <f>"20190312161058192"</f>
        <v>20190312161058192</v>
      </c>
      <c r="B4375" t="str">
        <f>"1552378258180780"</f>
        <v>1552378258180780</v>
      </c>
      <c r="C4375" t="s">
        <v>40</v>
      </c>
      <c r="D4375">
        <v>5.8160610000000004</v>
      </c>
      <c r="E4375">
        <v>0.43020219999999998</v>
      </c>
      <c r="F4375" t="s">
        <v>41</v>
      </c>
      <c r="G4375">
        <v>-321.02179999999998</v>
      </c>
      <c r="H4375" s="1">
        <v>-3.9865400000000001E-6</v>
      </c>
      <c r="I4375">
        <v>138.756</v>
      </c>
      <c r="J4375">
        <v>-290.69909999999999</v>
      </c>
      <c r="K4375">
        <v>1.1090739999999999</v>
      </c>
      <c r="L4375">
        <v>141.2106</v>
      </c>
      <c r="M4375">
        <v>-0.99997619999999998</v>
      </c>
      <c r="N4375">
        <v>0</v>
      </c>
      <c r="O4375">
        <v>4.0657590000000004E-3</v>
      </c>
      <c r="P4375">
        <v>-0.99465599999999998</v>
      </c>
      <c r="Q4375">
        <v>-6.0717219999999999E-3</v>
      </c>
      <c r="R4375">
        <v>0.1030667</v>
      </c>
      <c r="S4375">
        <v>-3.040527</v>
      </c>
      <c r="T4375">
        <v>-0.110080399999999</v>
      </c>
      <c r="U4375">
        <v>-0.24349979999999999</v>
      </c>
      <c r="V4375">
        <v>9.902184E-2</v>
      </c>
      <c r="W4375">
        <v>-5.1623079999999996E-4</v>
      </c>
      <c r="X4375">
        <v>0.99508509999999994</v>
      </c>
      <c r="Y4375">
        <v>-8.3824099999999999E-2</v>
      </c>
      <c r="Z4375">
        <v>-1.6614030000000001E-3</v>
      </c>
      <c r="AA4375">
        <v>0.99647920000000001</v>
      </c>
      <c r="AB4375">
        <v>35</v>
      </c>
      <c r="AC4375">
        <v>-30.322700000000001</v>
      </c>
      <c r="AD4375">
        <v>-1.10907798653999</v>
      </c>
      <c r="AE4375">
        <v>-2.4545999999999899</v>
      </c>
      <c r="AF4375">
        <v>-2.5744447681666101</v>
      </c>
      <c r="AG4375">
        <v>-1.10907798653999</v>
      </c>
      <c r="AH4375">
        <v>30.272235108713399</v>
      </c>
      <c r="AI4375">
        <v>92.090656084751004</v>
      </c>
      <c r="AJ4375">
        <v>94.860914739500402</v>
      </c>
      <c r="AK4375">
        <v>30.401744001319901</v>
      </c>
      <c r="AL4375">
        <v>90.029577848184303</v>
      </c>
      <c r="AM4375">
        <v>84.317152621357096</v>
      </c>
      <c r="AN4375">
        <v>0.99999997376661598</v>
      </c>
    </row>
    <row r="4376" spans="1:40" x14ac:dyDescent="0.25">
      <c r="A4376" t="str">
        <f>"20190312161058214"</f>
        <v>20190312161058214</v>
      </c>
      <c r="B4376" t="str">
        <f>"1552378258210746"</f>
        <v>1552378258210746</v>
      </c>
      <c r="C4376" t="s">
        <v>40</v>
      </c>
      <c r="D4376">
        <v>5.7110789999999998</v>
      </c>
      <c r="E4376">
        <v>0.42992039999999998</v>
      </c>
      <c r="F4376" t="s">
        <v>41</v>
      </c>
      <c r="G4376">
        <v>-321.33550000000002</v>
      </c>
      <c r="H4376" s="1">
        <v>-3.852999E-6</v>
      </c>
      <c r="I4376">
        <v>138.75</v>
      </c>
      <c r="J4376">
        <v>-291.04649999999998</v>
      </c>
      <c r="K4376">
        <v>1.1090850000000001</v>
      </c>
      <c r="L4376">
        <v>141.21199999999999</v>
      </c>
      <c r="M4376">
        <v>-0.99997440000000004</v>
      </c>
      <c r="N4376">
        <v>0</v>
      </c>
      <c r="O4376">
        <v>4.0741939999999997E-3</v>
      </c>
      <c r="P4376">
        <v>-0.99451670000000003</v>
      </c>
      <c r="Q4376">
        <v>-6.3520879999999997E-3</v>
      </c>
      <c r="R4376">
        <v>0.1043834</v>
      </c>
      <c r="S4376">
        <v>-3.0407099999999998</v>
      </c>
      <c r="T4376">
        <v>-0.1100776</v>
      </c>
      <c r="U4376">
        <v>-0.24420169999999999</v>
      </c>
      <c r="V4376">
        <v>0.1003304</v>
      </c>
      <c r="W4376">
        <v>-5.0856760000000001E-4</v>
      </c>
      <c r="X4376">
        <v>0.99495400000000001</v>
      </c>
      <c r="Y4376">
        <v>-8.4056140000000001E-2</v>
      </c>
      <c r="Z4376">
        <v>-1.665744E-3</v>
      </c>
      <c r="AA4376">
        <v>0.9964596</v>
      </c>
      <c r="AB4376">
        <v>35</v>
      </c>
      <c r="AC4376">
        <v>-30.289000000000001</v>
      </c>
      <c r="AD4376">
        <v>-1.109088852999</v>
      </c>
      <c r="AE4376">
        <v>-2.46200000000001</v>
      </c>
      <c r="AF4376">
        <v>-2.5819458218248901</v>
      </c>
      <c r="AG4376">
        <v>-1.109088852999</v>
      </c>
      <c r="AH4376">
        <v>30.238440291568899</v>
      </c>
      <c r="AI4376">
        <v>92.092950337562399</v>
      </c>
      <c r="AJ4376">
        <v>94.880431692463901</v>
      </c>
      <c r="AK4376">
        <v>30.368730522981402</v>
      </c>
      <c r="AL4376">
        <v>90.029138779645507</v>
      </c>
      <c r="AM4376">
        <v>84.241802303455799</v>
      </c>
      <c r="AN4376">
        <v>0.99999995496058003</v>
      </c>
    </row>
    <row r="4377" spans="1:40" x14ac:dyDescent="0.25">
      <c r="A4377" t="str">
        <f>"20190312161058238"</f>
        <v>20190312161058238</v>
      </c>
      <c r="B4377" t="str">
        <f>"1552378258231242"</f>
        <v>1552378258231242</v>
      </c>
      <c r="C4377" t="s">
        <v>40</v>
      </c>
      <c r="D4377">
        <v>5.8152660000000003</v>
      </c>
      <c r="E4377">
        <v>0.42974950000000001</v>
      </c>
      <c r="F4377" t="s">
        <v>41</v>
      </c>
      <c r="G4377">
        <v>-321.86380000000003</v>
      </c>
      <c r="H4377" s="1">
        <v>-3.6255069999999998E-6</v>
      </c>
      <c r="I4377">
        <v>138.75489999999999</v>
      </c>
      <c r="J4377">
        <v>-291.4067</v>
      </c>
      <c r="K4377">
        <v>1.109083</v>
      </c>
      <c r="L4377">
        <v>141.21350000000001</v>
      </c>
      <c r="M4377">
        <v>-0.9999728</v>
      </c>
      <c r="N4377">
        <v>0</v>
      </c>
      <c r="O4377">
        <v>4.0968659999999898E-3</v>
      </c>
      <c r="P4377">
        <v>-0.99442960000000002</v>
      </c>
      <c r="Q4377">
        <v>-6.3768219999999999E-3</v>
      </c>
      <c r="R4377">
        <v>0.10520980000000001</v>
      </c>
      <c r="S4377">
        <v>-3.04129</v>
      </c>
      <c r="T4377">
        <v>-0.1094537</v>
      </c>
      <c r="U4377">
        <v>-0.24247740000000001</v>
      </c>
      <c r="V4377">
        <v>0.1011348</v>
      </c>
      <c r="W4377">
        <v>-2.6293440000000001E-4</v>
      </c>
      <c r="X4377">
        <v>0.99487270000000005</v>
      </c>
      <c r="Y4377">
        <v>-8.3503220000000003E-2</v>
      </c>
      <c r="Z4377">
        <v>-1.6469150000000001E-3</v>
      </c>
      <c r="AA4377">
        <v>0.99650620000000001</v>
      </c>
      <c r="AB4377">
        <v>35</v>
      </c>
      <c r="AC4377">
        <v>-30.457100000000001</v>
      </c>
      <c r="AD4377">
        <v>-1.109086625507</v>
      </c>
      <c r="AE4377">
        <v>-2.4586000000000099</v>
      </c>
      <c r="AF4377">
        <v>-2.5799614089268799</v>
      </c>
      <c r="AG4377">
        <v>-1.109086625507</v>
      </c>
      <c r="AH4377">
        <v>30.4067124226545</v>
      </c>
      <c r="AI4377">
        <v>92.081468403629003</v>
      </c>
      <c r="AJ4377">
        <v>94.849840030333297</v>
      </c>
      <c r="AK4377">
        <v>30.5361168842478</v>
      </c>
      <c r="AL4377">
        <v>90.015065031536295</v>
      </c>
      <c r="AM4377">
        <v>84.195478773799493</v>
      </c>
      <c r="AN4377">
        <v>1.0000000030554099</v>
      </c>
    </row>
    <row r="4378" spans="1:40" x14ac:dyDescent="0.25">
      <c r="A4378" t="str">
        <f>"20190312161058259"</f>
        <v>20190312161058259</v>
      </c>
      <c r="B4378" t="str">
        <f>"1552378258250766"</f>
        <v>1552378258250766</v>
      </c>
      <c r="C4378" t="s">
        <v>40</v>
      </c>
      <c r="D4378">
        <v>5.786295</v>
      </c>
      <c r="E4378">
        <v>0.42954029999999999</v>
      </c>
      <c r="F4378" t="s">
        <v>41</v>
      </c>
      <c r="G4378">
        <v>-322.42520000000002</v>
      </c>
      <c r="H4378" s="1">
        <v>-3.385231E-6</v>
      </c>
      <c r="I4378">
        <v>138.75190000000001</v>
      </c>
      <c r="J4378">
        <v>-291.76889999999997</v>
      </c>
      <c r="K4378">
        <v>1.1090789999999999</v>
      </c>
      <c r="L4378">
        <v>141.215</v>
      </c>
      <c r="M4378">
        <v>-0.99997100000000005</v>
      </c>
      <c r="N4378">
        <v>0</v>
      </c>
      <c r="O4378">
        <v>4.136069E-3</v>
      </c>
      <c r="P4378">
        <v>-0.99443090000000001</v>
      </c>
      <c r="Q4378">
        <v>-6.0759780000000001E-3</v>
      </c>
      <c r="R4378">
        <v>0.1052153</v>
      </c>
      <c r="S4378">
        <v>-3.0416560000000001</v>
      </c>
      <c r="T4378">
        <v>-0.1087568</v>
      </c>
      <c r="U4378">
        <v>-0.2413788</v>
      </c>
      <c r="V4378">
        <v>0.1011012</v>
      </c>
      <c r="W4378">
        <v>2.816359E-4</v>
      </c>
      <c r="X4378">
        <v>0.99487610000000004</v>
      </c>
      <c r="Y4378">
        <v>-8.3176040000000007E-2</v>
      </c>
      <c r="Z4378">
        <v>-1.631824E-3</v>
      </c>
      <c r="AA4378">
        <v>0.99653349999999996</v>
      </c>
      <c r="AB4378">
        <v>35</v>
      </c>
      <c r="AC4378">
        <v>-30.656300000000002</v>
      </c>
      <c r="AD4378">
        <v>-1.1090823852309999</v>
      </c>
      <c r="AE4378">
        <v>-2.4630999999999901</v>
      </c>
      <c r="AF4378">
        <v>-2.5865144632391299</v>
      </c>
      <c r="AG4378">
        <v>-1.1090823852309999</v>
      </c>
      <c r="AH4378">
        <v>30.606048378678199</v>
      </c>
      <c r="AI4378">
        <v>92.067974596123605</v>
      </c>
      <c r="AJ4378">
        <v>94.830583231747696</v>
      </c>
      <c r="AK4378">
        <v>30.735164196141302</v>
      </c>
      <c r="AL4378">
        <v>89.983863451246805</v>
      </c>
      <c r="AM4378">
        <v>84.197413743011893</v>
      </c>
      <c r="AN4378">
        <v>0.99999999315571497</v>
      </c>
    </row>
    <row r="4379" spans="1:40" x14ac:dyDescent="0.25">
      <c r="A4379" t="str">
        <f>"20190312161058281"</f>
        <v>20190312161058281</v>
      </c>
      <c r="B4379" t="str">
        <f>"1552378258271258"</f>
        <v>1552378258271258</v>
      </c>
      <c r="C4379" t="s">
        <v>40</v>
      </c>
      <c r="D4379">
        <v>5.7902009999999997</v>
      </c>
      <c r="E4379">
        <v>0.42269800000000002</v>
      </c>
      <c r="F4379" t="s">
        <v>41</v>
      </c>
      <c r="G4379">
        <v>-323.24779999999998</v>
      </c>
      <c r="H4379" s="1">
        <v>-3.041461E-6</v>
      </c>
      <c r="I4379">
        <v>138.7003</v>
      </c>
      <c r="J4379">
        <v>-292.11680000000001</v>
      </c>
      <c r="K4379">
        <v>1.1090719999999901</v>
      </c>
      <c r="L4379">
        <v>141.21639999999999</v>
      </c>
      <c r="M4379">
        <v>-0.99996949999999996</v>
      </c>
      <c r="N4379">
        <v>0</v>
      </c>
      <c r="O4379">
        <v>4.1872849999999998E-3</v>
      </c>
      <c r="P4379">
        <v>-0.99446480000000004</v>
      </c>
      <c r="Q4379">
        <v>-5.8210629999999996E-3</v>
      </c>
      <c r="R4379">
        <v>0.10491060000000001</v>
      </c>
      <c r="S4379">
        <v>-3.0419010000000002</v>
      </c>
      <c r="T4379">
        <v>-0.1071739</v>
      </c>
      <c r="U4379">
        <v>-0.2429962</v>
      </c>
      <c r="V4379">
        <v>0.1007455</v>
      </c>
      <c r="W4379">
        <v>7.4559829999999998E-4</v>
      </c>
      <c r="X4379">
        <v>0.99491200000000002</v>
      </c>
      <c r="Y4379">
        <v>-8.3748509999999998E-2</v>
      </c>
      <c r="Z4379">
        <v>-1.6197939999999999E-3</v>
      </c>
      <c r="AA4379">
        <v>0.99648559999999997</v>
      </c>
      <c r="AB4379">
        <v>35</v>
      </c>
      <c r="AC4379">
        <v>-31.130999999999901</v>
      </c>
      <c r="AD4379">
        <v>-1.10907504146099</v>
      </c>
      <c r="AE4379">
        <v>-2.51609999999999</v>
      </c>
      <c r="AF4379">
        <v>-2.6431022460956601</v>
      </c>
      <c r="AG4379">
        <v>-1.10907504146099</v>
      </c>
      <c r="AH4379">
        <v>31.0809987164786</v>
      </c>
      <c r="AI4379">
        <v>92.036296472624002</v>
      </c>
      <c r="AJ4379">
        <v>94.860690928584006</v>
      </c>
      <c r="AK4379">
        <v>31.212890256184998</v>
      </c>
      <c r="AL4379">
        <v>89.957280362363605</v>
      </c>
      <c r="AM4379">
        <v>84.217897389136596</v>
      </c>
      <c r="AN4379">
        <v>1.0000000497155299</v>
      </c>
    </row>
    <row r="4380" spans="1:40" x14ac:dyDescent="0.25">
      <c r="A4380" t="str">
        <f>"20190312161058304"</f>
        <v>20190312161058304</v>
      </c>
      <c r="B4380" t="str">
        <f>"1552378258290779"</f>
        <v>1552378258290779</v>
      </c>
      <c r="C4380" t="s">
        <v>40</v>
      </c>
      <c r="D4380">
        <v>5.9422090000000001</v>
      </c>
      <c r="E4380">
        <v>0.42210589999999998</v>
      </c>
      <c r="F4380" t="s">
        <v>41</v>
      </c>
      <c r="G4380">
        <v>-337.1721</v>
      </c>
      <c r="H4380" s="1">
        <v>-1.8174369999999999E-6</v>
      </c>
      <c r="I4380">
        <v>136.80779999999999</v>
      </c>
      <c r="J4380">
        <v>-292.45670000000001</v>
      </c>
      <c r="K4380">
        <v>1.1090679999999999</v>
      </c>
      <c r="L4380">
        <v>141.21789999999999</v>
      </c>
      <c r="M4380">
        <v>-0.99996790000000002</v>
      </c>
      <c r="N4380">
        <v>0</v>
      </c>
      <c r="O4380">
        <v>4.2481530000000002E-3</v>
      </c>
      <c r="P4380">
        <v>-0.99455990000000005</v>
      </c>
      <c r="Q4380">
        <v>-5.2684530000000002E-3</v>
      </c>
      <c r="R4380">
        <v>0.10403270000000001</v>
      </c>
      <c r="S4380">
        <v>-3.0476990000000002</v>
      </c>
      <c r="T4380">
        <v>-7.5021619999999997E-2</v>
      </c>
      <c r="U4380">
        <v>-0.29821779999999998</v>
      </c>
      <c r="V4380">
        <v>9.9806820000000004E-2</v>
      </c>
      <c r="W4380">
        <v>1.4808810000000001E-3</v>
      </c>
      <c r="X4380">
        <v>0.99500569999999999</v>
      </c>
      <c r="Y4380">
        <v>-0.1015805</v>
      </c>
      <c r="Z4380">
        <v>-1.3513920000000001E-3</v>
      </c>
      <c r="AA4380">
        <v>0.9948264</v>
      </c>
      <c r="AB4380">
        <v>35</v>
      </c>
      <c r="AC4380">
        <v>-44.715399999999903</v>
      </c>
      <c r="AD4380">
        <v>-1.1090698174369999</v>
      </c>
      <c r="AE4380">
        <v>-4.4100999999999999</v>
      </c>
      <c r="AF4380">
        <v>-4.5972215652013499</v>
      </c>
      <c r="AG4380">
        <v>-1.1090698174369999</v>
      </c>
      <c r="AH4380">
        <v>44.669046416106902</v>
      </c>
      <c r="AI4380">
        <v>91.414811655547496</v>
      </c>
      <c r="AJ4380">
        <v>95.876043895483306</v>
      </c>
      <c r="AK4380">
        <v>44.918684193816397</v>
      </c>
      <c r="AL4380">
        <v>89.915151735069202</v>
      </c>
      <c r="AM4380">
        <v>84.271947091654695</v>
      </c>
      <c r="AN4380">
        <v>0.99999996867976804</v>
      </c>
    </row>
    <row r="4381" spans="1:40" x14ac:dyDescent="0.25">
      <c r="A4381" t="str">
        <f>"20190312161058327"</f>
        <v>20190312161058327</v>
      </c>
      <c r="B4381" t="str">
        <f>"1552378258321682"</f>
        <v>1552378258321682</v>
      </c>
      <c r="C4381" t="s">
        <v>40</v>
      </c>
      <c r="D4381">
        <v>5.7277950000000004</v>
      </c>
      <c r="E4381">
        <v>0.45810679999999998</v>
      </c>
      <c r="F4381" t="s">
        <v>41</v>
      </c>
      <c r="G4381">
        <v>-337.97989999999999</v>
      </c>
      <c r="H4381" s="1">
        <v>-1.548437E-6</v>
      </c>
      <c r="I4381">
        <v>136.65289999999999</v>
      </c>
      <c r="J4381">
        <v>-292.83150000000001</v>
      </c>
      <c r="K4381">
        <v>1.1090469999999999</v>
      </c>
      <c r="L4381">
        <v>141.21960000000001</v>
      </c>
      <c r="M4381">
        <v>-0.99996640000000003</v>
      </c>
      <c r="N4381">
        <v>0</v>
      </c>
      <c r="O4381">
        <v>4.3251610000000001E-3</v>
      </c>
      <c r="P4381">
        <v>-0.99463919999999995</v>
      </c>
      <c r="Q4381">
        <v>-5.3346629999999999E-3</v>
      </c>
      <c r="R4381">
        <v>0.1032706</v>
      </c>
      <c r="S4381">
        <v>-3.047974</v>
      </c>
      <c r="T4381">
        <v>-7.4256900000000001E-2</v>
      </c>
      <c r="U4381">
        <v>-0.3056488</v>
      </c>
      <c r="V4381">
        <v>9.8967949999999999E-2</v>
      </c>
      <c r="W4381">
        <v>1.5919839999999901E-3</v>
      </c>
      <c r="X4381">
        <v>0.99508940000000001</v>
      </c>
      <c r="Y4381">
        <v>-0.1040498</v>
      </c>
      <c r="Z4381">
        <v>-1.369213E-3</v>
      </c>
      <c r="AA4381">
        <v>0.99457110000000004</v>
      </c>
      <c r="AB4381">
        <v>36</v>
      </c>
      <c r="AC4381">
        <v>-45.148399999999903</v>
      </c>
      <c r="AD4381">
        <v>-1.1090485484369901</v>
      </c>
      <c r="AE4381">
        <v>-4.5667000000000204</v>
      </c>
      <c r="AF4381">
        <v>-4.7590934895041599</v>
      </c>
      <c r="AG4381">
        <v>-1.1090485484369901</v>
      </c>
      <c r="AH4381">
        <v>45.101286295640499</v>
      </c>
      <c r="AI4381">
        <v>91.400855206402497</v>
      </c>
      <c r="AJ4381">
        <v>96.023567502041104</v>
      </c>
      <c r="AK4381">
        <v>45.365239832342603</v>
      </c>
      <c r="AL4381">
        <v>89.908786001940399</v>
      </c>
      <c r="AM4381">
        <v>84.320249515781597</v>
      </c>
      <c r="AN4381">
        <v>1.0000000517662999</v>
      </c>
    </row>
    <row r="4382" spans="1:40" x14ac:dyDescent="0.25">
      <c r="A4382" t="str">
        <f>"20190312161058373"</f>
        <v>20190312161058373</v>
      </c>
      <c r="B4382" t="str">
        <f>"1552378258360722"</f>
        <v>1552378258360722</v>
      </c>
      <c r="C4382" t="s">
        <v>40</v>
      </c>
      <c r="D4382">
        <v>5.7070939999999997</v>
      </c>
      <c r="E4382">
        <v>0.45784269999999999</v>
      </c>
      <c r="F4382" t="s">
        <v>41</v>
      </c>
      <c r="G4382">
        <v>-323.19260000000003</v>
      </c>
      <c r="H4382" s="1">
        <v>-3.2695690000000002E-6</v>
      </c>
      <c r="I4382">
        <v>140.99529999999999</v>
      </c>
      <c r="J4382">
        <v>-293.57549999999998</v>
      </c>
      <c r="K4382">
        <v>1.10903</v>
      </c>
      <c r="L4382">
        <v>141.22299999999899</v>
      </c>
      <c r="M4382">
        <v>-0.99996350000000001</v>
      </c>
      <c r="N4382">
        <v>0</v>
      </c>
      <c r="O4382">
        <v>4.4964740000000003E-3</v>
      </c>
      <c r="P4382">
        <v>-0.99468730000000005</v>
      </c>
      <c r="Q4382">
        <v>-6.454184E-3</v>
      </c>
      <c r="R4382">
        <v>0.1027402</v>
      </c>
      <c r="S4382">
        <v>-3.0179140000000002</v>
      </c>
      <c r="T4382">
        <v>-0.11024059999999999</v>
      </c>
      <c r="U4382">
        <v>-2.2293090000000002E-2</v>
      </c>
      <c r="V4382">
        <v>9.8266530000000005E-2</v>
      </c>
      <c r="W4382">
        <v>7.6276449999999895E-4</v>
      </c>
      <c r="X4382">
        <v>0.99515989999999999</v>
      </c>
      <c r="Y4382">
        <v>-1.1872199999999999E-2</v>
      </c>
      <c r="Z4382">
        <v>-3.8096119999999999E-4</v>
      </c>
      <c r="AA4382">
        <v>0.99992939999999997</v>
      </c>
      <c r="AB4382">
        <v>36</v>
      </c>
      <c r="AC4382">
        <v>-29.617100000000001</v>
      </c>
      <c r="AD4382">
        <v>-1.1090332695689999</v>
      </c>
      <c r="AE4382">
        <v>-0.22769999999999799</v>
      </c>
      <c r="AF4382">
        <v>-0.36036846075659101</v>
      </c>
      <c r="AG4382">
        <v>-1.1090332695689999</v>
      </c>
      <c r="AH4382">
        <v>29.574310618907901</v>
      </c>
      <c r="AI4382">
        <v>92.1474196239798</v>
      </c>
      <c r="AJ4382">
        <v>90.698125150524803</v>
      </c>
      <c r="AK4382">
        <v>29.5972915788618</v>
      </c>
      <c r="AL4382">
        <v>89.956296811756502</v>
      </c>
      <c r="AM4382">
        <v>84.3606404004734</v>
      </c>
      <c r="AN4382">
        <v>1.0000000596479599</v>
      </c>
    </row>
    <row r="4383" spans="1:40" x14ac:dyDescent="0.25">
      <c r="A4383" t="str">
        <f>"20190312161058416"</f>
        <v>20190312161058416</v>
      </c>
      <c r="B4383" t="str">
        <f>"1552378258411474"</f>
        <v>1552378258411474</v>
      </c>
      <c r="C4383" t="s">
        <v>40</v>
      </c>
      <c r="D4383">
        <v>5.7549219999999996</v>
      </c>
      <c r="E4383">
        <v>0.45751330000000001</v>
      </c>
      <c r="F4383" t="s">
        <v>41</v>
      </c>
      <c r="G4383">
        <v>-323.26069999999999</v>
      </c>
      <c r="H4383" s="1">
        <v>-3.2329049999999999E-6</v>
      </c>
      <c r="I4383">
        <v>140.9674</v>
      </c>
      <c r="J4383">
        <v>-294.26560000000001</v>
      </c>
      <c r="K4383">
        <v>1.1090100000000001</v>
      </c>
      <c r="L4383">
        <v>141.22630000000001</v>
      </c>
      <c r="M4383">
        <v>-0.99996110000000005</v>
      </c>
      <c r="N4383">
        <v>0</v>
      </c>
      <c r="O4383">
        <v>4.660923E-3</v>
      </c>
      <c r="P4383">
        <v>-0.99457989999999996</v>
      </c>
      <c r="Q4383">
        <v>-7.3945759999999999E-3</v>
      </c>
      <c r="R4383">
        <v>0.1037115</v>
      </c>
      <c r="S4383">
        <v>-3.018005</v>
      </c>
      <c r="T4383">
        <v>-0.1127522</v>
      </c>
      <c r="U4383">
        <v>-2.598572E-2</v>
      </c>
      <c r="V4383">
        <v>9.9074540000000003E-2</v>
      </c>
      <c r="W4383" s="1">
        <v>3.0913069999999998E-5</v>
      </c>
      <c r="X4383">
        <v>0.99507999999999996</v>
      </c>
      <c r="Y4383">
        <v>-1.3258199999999999E-2</v>
      </c>
      <c r="Z4383">
        <v>-4.2164379999999998E-4</v>
      </c>
      <c r="AA4383">
        <v>0.99991200000000002</v>
      </c>
      <c r="AB4383">
        <v>36</v>
      </c>
      <c r="AC4383">
        <v>-28.995099999999901</v>
      </c>
      <c r="AD4383">
        <v>-1.109013232905</v>
      </c>
      <c r="AE4383">
        <v>-0.25890000000001101</v>
      </c>
      <c r="AF4383">
        <v>-0.39346933220183899</v>
      </c>
      <c r="AG4383">
        <v>-1.109013232905</v>
      </c>
      <c r="AH4383">
        <v>28.951227975538401</v>
      </c>
      <c r="AI4383">
        <v>92.1935120108474</v>
      </c>
      <c r="AJ4383">
        <v>90.778645529024899</v>
      </c>
      <c r="AK4383">
        <v>28.975132954962199</v>
      </c>
      <c r="AL4383">
        <v>89.998228811531902</v>
      </c>
      <c r="AM4383">
        <v>84.314119038705996</v>
      </c>
      <c r="AN4383">
        <v>0.99999998591591399</v>
      </c>
    </row>
    <row r="4384" spans="1:40" x14ac:dyDescent="0.25">
      <c r="A4384" t="str">
        <f>"20190312161058438"</f>
        <v>20190312161058438</v>
      </c>
      <c r="B4384" t="str">
        <f>"1552378258430993"</f>
        <v>1552378258430993</v>
      </c>
      <c r="C4384" t="s">
        <v>40</v>
      </c>
      <c r="D4384">
        <v>5.7155290000000001</v>
      </c>
      <c r="E4384">
        <v>0.45758799999999999</v>
      </c>
      <c r="F4384" t="s">
        <v>41</v>
      </c>
      <c r="G4384">
        <v>-324.11970000000002</v>
      </c>
      <c r="H4384" s="1">
        <v>-2.86541E-6</v>
      </c>
      <c r="I4384">
        <v>140.97110000000001</v>
      </c>
      <c r="J4384">
        <v>-294.62819999999999</v>
      </c>
      <c r="K4384">
        <v>1.1090009999999999</v>
      </c>
      <c r="L4384">
        <v>141.22799999999901</v>
      </c>
      <c r="M4384">
        <v>-0.99996019999999997</v>
      </c>
      <c r="N4384">
        <v>0</v>
      </c>
      <c r="O4384">
        <v>4.7460799999999997E-3</v>
      </c>
      <c r="P4384">
        <v>-0.99448999999999999</v>
      </c>
      <c r="Q4384">
        <v>-8.2391589999999994E-3</v>
      </c>
      <c r="R4384">
        <v>0.1045085</v>
      </c>
      <c r="S4384">
        <v>-3.0181580000000001</v>
      </c>
      <c r="T4384">
        <v>-0.112118</v>
      </c>
      <c r="U4384">
        <v>-2.5787350000000001E-2</v>
      </c>
      <c r="V4384">
        <v>9.9787109999999998E-2</v>
      </c>
      <c r="W4384">
        <v>-7.2301570000000005E-4</v>
      </c>
      <c r="X4384">
        <v>0.99500849999999996</v>
      </c>
      <c r="Y4384">
        <v>-1.3277270000000001E-2</v>
      </c>
      <c r="Z4384">
        <v>-4.227694E-4</v>
      </c>
      <c r="AA4384">
        <v>0.99991180000000002</v>
      </c>
      <c r="AB4384">
        <v>36</v>
      </c>
      <c r="AC4384">
        <v>-29.491499999999998</v>
      </c>
      <c r="AD4384">
        <v>-1.1090038654100001</v>
      </c>
      <c r="AE4384">
        <v>-0.25689999999997298</v>
      </c>
      <c r="AF4384">
        <v>-0.39630975004858598</v>
      </c>
      <c r="AG4384">
        <v>-1.1090038654100001</v>
      </c>
      <c r="AH4384">
        <v>29.448309570305</v>
      </c>
      <c r="AI4384">
        <v>92.156506898763396</v>
      </c>
      <c r="AJ4384">
        <v>90.771029159357198</v>
      </c>
      <c r="AK4384">
        <v>29.471849068899601</v>
      </c>
      <c r="AL4384">
        <v>90.041425753705596</v>
      </c>
      <c r="AM4384">
        <v>84.273086764870897</v>
      </c>
      <c r="AN4384">
        <v>0.99999995257305097</v>
      </c>
    </row>
    <row r="4385" spans="1:40" x14ac:dyDescent="0.25">
      <c r="A4385" t="str">
        <f>"20190312161058461"</f>
        <v>20190312161058461</v>
      </c>
      <c r="B4385" t="str">
        <f>"1552378258451493"</f>
        <v>1552378258451493</v>
      </c>
      <c r="C4385" t="s">
        <v>40</v>
      </c>
      <c r="D4385">
        <v>5.7633409999999996</v>
      </c>
      <c r="E4385">
        <v>0.45890029999999998</v>
      </c>
      <c r="F4385" t="s">
        <v>87</v>
      </c>
      <c r="G4385">
        <v>-313.09539999999998</v>
      </c>
      <c r="H4385" s="1">
        <v>-8.6941450000000001E-6</v>
      </c>
      <c r="I4385">
        <v>141.08930000000001</v>
      </c>
      <c r="J4385">
        <v>-294.99540000000002</v>
      </c>
      <c r="K4385">
        <v>1.108997</v>
      </c>
      <c r="L4385">
        <v>141.22989999999999</v>
      </c>
      <c r="M4385">
        <v>-0.99995900000000004</v>
      </c>
      <c r="N4385">
        <v>0</v>
      </c>
      <c r="O4385">
        <v>4.831864E-3</v>
      </c>
      <c r="P4385">
        <v>-0.99444250000000001</v>
      </c>
      <c r="Q4385">
        <v>-8.4692139999999992E-3</v>
      </c>
      <c r="R4385">
        <v>0.1049404</v>
      </c>
      <c r="S4385">
        <v>-3.0175169999999998</v>
      </c>
      <c r="T4385">
        <v>-0.18121039999999999</v>
      </c>
      <c r="U4385">
        <v>-2.267456E-2</v>
      </c>
      <c r="V4385">
        <v>0.1001338</v>
      </c>
      <c r="W4385">
        <v>-8.7204649999999997E-4</v>
      </c>
      <c r="X4385">
        <v>0.99497360000000001</v>
      </c>
      <c r="Y4385">
        <v>-1.231499E-2</v>
      </c>
      <c r="Z4385">
        <v>-6.5934759999999903E-4</v>
      </c>
      <c r="AA4385">
        <v>0.99992389999999998</v>
      </c>
      <c r="AB4385">
        <v>36</v>
      </c>
      <c r="AC4385">
        <v>-18.099999999999898</v>
      </c>
      <c r="AD4385">
        <v>-1.1090056941449999</v>
      </c>
      <c r="AE4385">
        <v>-0.14059999999997699</v>
      </c>
      <c r="AF4385">
        <v>-0.22720475497808401</v>
      </c>
      <c r="AG4385">
        <v>-1.1090056941449999</v>
      </c>
      <c r="AH4385">
        <v>18.031420932327102</v>
      </c>
      <c r="AI4385">
        <v>93.519211396689002</v>
      </c>
      <c r="AJ4385">
        <v>90.721916741918506</v>
      </c>
      <c r="AK4385">
        <v>18.0669216101995</v>
      </c>
      <c r="AL4385">
        <v>90.049964590245295</v>
      </c>
      <c r="AM4385">
        <v>84.253122490897297</v>
      </c>
      <c r="AN4385">
        <v>1.0000000015322399</v>
      </c>
    </row>
    <row r="4386" spans="1:40" x14ac:dyDescent="0.25">
      <c r="A4386" t="str">
        <f>"20190312161058817"</f>
        <v>20190312161058817</v>
      </c>
      <c r="B4386" t="str">
        <f>"1552378258811146"</f>
        <v>1552378258811146</v>
      </c>
      <c r="C4386" t="s">
        <v>40</v>
      </c>
      <c r="D4386">
        <v>5.5590650000000004</v>
      </c>
      <c r="E4386">
        <v>0.43256840000000002</v>
      </c>
      <c r="F4386" t="s">
        <v>87</v>
      </c>
      <c r="G4386">
        <v>-313.762</v>
      </c>
      <c r="H4386" s="1">
        <v>-8.4624209999999996E-6</v>
      </c>
      <c r="I4386">
        <v>141.16200000000001</v>
      </c>
      <c r="J4386">
        <v>-300.85250000000002</v>
      </c>
      <c r="K4386">
        <v>1.1089869999999999</v>
      </c>
      <c r="L4386">
        <v>141.26310000000001</v>
      </c>
      <c r="M4386">
        <v>-0.99994709999999998</v>
      </c>
      <c r="N4386">
        <v>0</v>
      </c>
      <c r="O4386">
        <v>6.1931669999999899E-3</v>
      </c>
      <c r="P4386">
        <v>-0.99465040000000005</v>
      </c>
      <c r="Q4386">
        <v>-1.17716E-2</v>
      </c>
      <c r="R4386">
        <v>0.1026263</v>
      </c>
      <c r="S4386">
        <v>-3.0164490000000002</v>
      </c>
      <c r="T4386">
        <v>-0.178256</v>
      </c>
      <c r="U4386">
        <v>-1.0910029999999999E-2</v>
      </c>
      <c r="V4386">
        <v>9.6463149999999998E-2</v>
      </c>
      <c r="W4386">
        <v>-3.598151E-3</v>
      </c>
      <c r="X4386">
        <v>0.99533000000000005</v>
      </c>
      <c r="Y4386">
        <v>-9.7822210000000007E-3</v>
      </c>
      <c r="Z4386">
        <v>-6.5446030000000004E-4</v>
      </c>
      <c r="AA4386">
        <v>0.99995199999999995</v>
      </c>
      <c r="AB4386">
        <v>37</v>
      </c>
      <c r="AC4386">
        <v>-12.9094999999999</v>
      </c>
      <c r="AD4386">
        <v>-1.1089954624209999</v>
      </c>
      <c r="AE4386">
        <v>-0.10110000000000199</v>
      </c>
      <c r="AF4386">
        <v>-0.179725203709825</v>
      </c>
      <c r="AG4386">
        <v>-1.1089954624209999</v>
      </c>
      <c r="AH4386">
        <v>12.814067648289999</v>
      </c>
      <c r="AI4386">
        <v>94.945863133263003</v>
      </c>
      <c r="AJ4386">
        <v>90.803555964663204</v>
      </c>
      <c r="AK4386">
        <v>12.8632228379777</v>
      </c>
      <c r="AL4386">
        <v>90.206159322033002</v>
      </c>
      <c r="AM4386">
        <v>84.464424819688105</v>
      </c>
      <c r="AN4386">
        <v>0.99999994744926901</v>
      </c>
    </row>
    <row r="4387" spans="1:40" x14ac:dyDescent="0.25">
      <c r="A4387" t="str">
        <f>"20190312161058930"</f>
        <v>20190312161058930</v>
      </c>
      <c r="B4387" t="str">
        <f>"1552378258921434"</f>
        <v>1552378258921434</v>
      </c>
      <c r="C4387" t="s">
        <v>40</v>
      </c>
      <c r="D4387">
        <v>5.8741139999999996</v>
      </c>
      <c r="E4387">
        <v>0.51293820000000001</v>
      </c>
      <c r="F4387" t="s">
        <v>45</v>
      </c>
      <c r="G4387">
        <v>0</v>
      </c>
      <c r="H4387">
        <v>0</v>
      </c>
      <c r="I4387">
        <v>0</v>
      </c>
      <c r="J4387">
        <v>-302.73430000000002</v>
      </c>
      <c r="K4387">
        <v>1.1089899999999999</v>
      </c>
      <c r="L4387">
        <v>141.27549999999999</v>
      </c>
      <c r="M4387">
        <v>-0.99994340000000004</v>
      </c>
      <c r="N4387">
        <v>0</v>
      </c>
      <c r="O4387">
        <v>6.6292769999999899E-3</v>
      </c>
      <c r="P4387">
        <v>-0.99446290000000004</v>
      </c>
      <c r="Q4387">
        <v>-1.125436E-2</v>
      </c>
      <c r="R4387">
        <v>0.1044848</v>
      </c>
      <c r="S4387">
        <v>-3.039612</v>
      </c>
      <c r="T4387">
        <v>5.7039259999999998E-3</v>
      </c>
      <c r="U4387">
        <v>-0.22717290000000001</v>
      </c>
      <c r="V4387">
        <v>9.7889100000000007E-2</v>
      </c>
      <c r="W4387">
        <v>-3.0036619999999998E-3</v>
      </c>
      <c r="X4387">
        <v>0.99519279999999999</v>
      </c>
      <c r="Y4387">
        <v>-8.1138890000000005E-2</v>
      </c>
      <c r="Z4387" s="1">
        <v>8.8447590000000003E-5</v>
      </c>
      <c r="AA4387">
        <v>0.9967028</v>
      </c>
      <c r="AB4387">
        <v>38</v>
      </c>
      <c r="AC4387">
        <v>-3.039612</v>
      </c>
      <c r="AD4387">
        <v>5.7039259999999998E-3</v>
      </c>
      <c r="AE4387">
        <v>-0.22717290000000001</v>
      </c>
      <c r="AF4387">
        <v>-0.247318169379455</v>
      </c>
      <c r="AG4387">
        <v>5.7039259999999998E-3</v>
      </c>
      <c r="AH4387">
        <v>3.0380285204275701</v>
      </c>
      <c r="AI4387">
        <v>89.892781473004305</v>
      </c>
      <c r="AJ4387">
        <v>94.654040640568397</v>
      </c>
      <c r="AK4387">
        <v>3.0480840051757698</v>
      </c>
      <c r="AL4387">
        <v>90.172097413854004</v>
      </c>
      <c r="AM4387">
        <v>84.382346217512506</v>
      </c>
      <c r="AN4387">
        <v>1.0000000035280301</v>
      </c>
    </row>
    <row r="4388" spans="1:40" x14ac:dyDescent="0.25">
      <c r="A4388" t="str">
        <f>"20190312161058955"</f>
        <v>20190312161058955</v>
      </c>
      <c r="B4388" t="str">
        <f>"1552378258951691"</f>
        <v>1552378258951691</v>
      </c>
      <c r="C4388" t="s">
        <v>40</v>
      </c>
      <c r="D4388">
        <v>5.7495019999999997</v>
      </c>
      <c r="E4388">
        <v>0.51407999999999998</v>
      </c>
      <c r="F4388" t="s">
        <v>87</v>
      </c>
      <c r="G4388">
        <v>-304.83350000000002</v>
      </c>
      <c r="H4388" s="1">
        <v>-9.33302E-6</v>
      </c>
      <c r="I4388">
        <v>141.57419999999999</v>
      </c>
      <c r="J4388">
        <v>-303.14690000000002</v>
      </c>
      <c r="K4388">
        <v>1.108981</v>
      </c>
      <c r="L4388">
        <v>141.2783</v>
      </c>
      <c r="M4388">
        <v>-0.99994269999999996</v>
      </c>
      <c r="N4388">
        <v>0</v>
      </c>
      <c r="O4388">
        <v>6.7251780000000001E-3</v>
      </c>
      <c r="P4388">
        <v>-0.9944596</v>
      </c>
      <c r="Q4388">
        <v>-1.120905E-2</v>
      </c>
      <c r="R4388">
        <v>0.10452160000000001</v>
      </c>
      <c r="S4388">
        <v>-2.9548649999999999</v>
      </c>
      <c r="T4388">
        <v>-1.561051</v>
      </c>
      <c r="U4388">
        <v>0.42047119999999999</v>
      </c>
      <c r="V4388">
        <v>9.7830500000000001E-2</v>
      </c>
      <c r="W4388">
        <v>-2.9428560000000002E-3</v>
      </c>
      <c r="X4388">
        <v>0.99519869999999999</v>
      </c>
      <c r="Y4388">
        <v>0.11970119999999999</v>
      </c>
      <c r="Z4388">
        <v>2.6231609999999999E-2</v>
      </c>
      <c r="AA4388">
        <v>0.9924634</v>
      </c>
      <c r="AB4388">
        <v>38</v>
      </c>
      <c r="AC4388">
        <v>-1.6865999999999901</v>
      </c>
      <c r="AD4388">
        <v>-1.1089903330199999</v>
      </c>
      <c r="AE4388">
        <v>0.29589999999998801</v>
      </c>
      <c r="AF4388">
        <v>0.20046714463642001</v>
      </c>
      <c r="AG4388">
        <v>-1.1089903330199999</v>
      </c>
      <c r="AH4388">
        <v>1.18959376639335</v>
      </c>
      <c r="AI4388">
        <v>132.59174761183499</v>
      </c>
      <c r="AJ4388">
        <v>80.434540441503103</v>
      </c>
      <c r="AK4388">
        <v>1.63865187390501</v>
      </c>
      <c r="AL4388">
        <v>90.168613478669201</v>
      </c>
      <c r="AM4388">
        <v>84.3857207307518</v>
      </c>
      <c r="AN4388">
        <v>0.99999995980668699</v>
      </c>
    </row>
    <row r="4389" spans="1:40" x14ac:dyDescent="0.25">
      <c r="A4389" t="str">
        <f>"20190312161058975"</f>
        <v>20190312161058975</v>
      </c>
      <c r="B4389" t="str">
        <f>"1552378258971210"</f>
        <v>1552378258971210</v>
      </c>
      <c r="C4389" t="s">
        <v>40</v>
      </c>
      <c r="D4389">
        <v>5.7361599999999999</v>
      </c>
      <c r="E4389">
        <v>0.51333830000000003</v>
      </c>
      <c r="F4389" t="s">
        <v>42</v>
      </c>
      <c r="G4389">
        <v>-303.94209999999998</v>
      </c>
      <c r="H4389">
        <v>0.84691149999999904</v>
      </c>
      <c r="I4389">
        <v>141.39340000000001</v>
      </c>
      <c r="J4389">
        <v>-303.48590000000002</v>
      </c>
      <c r="K4389">
        <v>1.108981</v>
      </c>
      <c r="L4389">
        <v>141.2807</v>
      </c>
      <c r="M4389">
        <v>-0.99994209999999994</v>
      </c>
      <c r="N4389">
        <v>0</v>
      </c>
      <c r="O4389">
        <v>6.8033819999999898E-3</v>
      </c>
      <c r="P4389">
        <v>-0.99443890000000001</v>
      </c>
      <c r="Q4389">
        <v>-1.1511209999999999E-2</v>
      </c>
      <c r="R4389">
        <v>0.1046861</v>
      </c>
      <c r="S4389">
        <v>-2.9608150000000002</v>
      </c>
      <c r="T4389">
        <v>-0.97573949999999998</v>
      </c>
      <c r="U4389">
        <v>0.42694090000000001</v>
      </c>
      <c r="V4389">
        <v>9.7917199999999996E-2</v>
      </c>
      <c r="W4389">
        <v>-3.2309639999999998E-3</v>
      </c>
      <c r="X4389">
        <v>0.99518930000000005</v>
      </c>
      <c r="Y4389">
        <v>0.12961719999999999</v>
      </c>
      <c r="Z4389">
        <v>1.853453E-2</v>
      </c>
      <c r="AA4389">
        <v>0.99139089999999996</v>
      </c>
      <c r="AB4389">
        <v>38</v>
      </c>
      <c r="AC4389">
        <v>-0.45619999999996702</v>
      </c>
      <c r="AD4389">
        <v>-0.26206950000000001</v>
      </c>
      <c r="AE4389">
        <v>0.11270000000001799</v>
      </c>
      <c r="AF4389">
        <v>8.3593824360863406E-2</v>
      </c>
      <c r="AG4389">
        <v>-0.26206950000000001</v>
      </c>
      <c r="AH4389">
        <v>0.34854885474261599</v>
      </c>
      <c r="AI4389">
        <v>126.172529130781</v>
      </c>
      <c r="AJ4389">
        <v>76.513266631830106</v>
      </c>
      <c r="AK4389">
        <v>0.44402100675971901</v>
      </c>
      <c r="AL4389">
        <v>90.185120926743807</v>
      </c>
      <c r="AM4389">
        <v>84.380724299732904</v>
      </c>
      <c r="AN4389">
        <v>0.99999998000934898</v>
      </c>
    </row>
    <row r="4390" spans="1:40" x14ac:dyDescent="0.25">
      <c r="A4390" t="str">
        <f>"20190312161059009"</f>
        <v>20190312161059009</v>
      </c>
      <c r="B4390" t="str">
        <f>"1552378259001466"</f>
        <v>1552378259001466</v>
      </c>
      <c r="C4390" t="s">
        <v>40</v>
      </c>
      <c r="D4390">
        <v>5.7589480000000002</v>
      </c>
      <c r="E4390">
        <v>0.51358320000000002</v>
      </c>
      <c r="F4390" t="s">
        <v>42</v>
      </c>
      <c r="G4390">
        <v>-304.28930000000003</v>
      </c>
      <c r="H4390">
        <v>0.86910549999999998</v>
      </c>
      <c r="I4390">
        <v>141.39519999999999</v>
      </c>
      <c r="J4390">
        <v>-304.05439999999999</v>
      </c>
      <c r="K4390">
        <v>1.1089869999999999</v>
      </c>
      <c r="L4390">
        <v>141.28469999999999</v>
      </c>
      <c r="M4390">
        <v>-0.99994099999999997</v>
      </c>
      <c r="N4390">
        <v>0</v>
      </c>
      <c r="O4390">
        <v>6.9346700000000004E-3</v>
      </c>
      <c r="P4390">
        <v>-0.99434219999999895</v>
      </c>
      <c r="Q4390">
        <v>-1.181684E-2</v>
      </c>
      <c r="R4390">
        <v>0.1055654</v>
      </c>
      <c r="S4390">
        <v>-2.962189</v>
      </c>
      <c r="T4390">
        <v>-0.88448189999999904</v>
      </c>
      <c r="U4390">
        <v>0.42098999999999998</v>
      </c>
      <c r="V4390">
        <v>9.8666190000000001E-2</v>
      </c>
      <c r="W4390">
        <v>-3.5028070000000001E-3</v>
      </c>
      <c r="X4390">
        <v>0.99511439999999995</v>
      </c>
      <c r="Y4390">
        <v>0.128633</v>
      </c>
      <c r="Z4390">
        <v>1.668944E-2</v>
      </c>
      <c r="AA4390">
        <v>0.99155179999999998</v>
      </c>
      <c r="AB4390">
        <v>38</v>
      </c>
      <c r="AC4390">
        <v>-0.234900000000038</v>
      </c>
      <c r="AD4390">
        <v>-0.2398815</v>
      </c>
      <c r="AE4390">
        <v>0.110500000000001</v>
      </c>
      <c r="AF4390">
        <v>5.8723810075705603E-2</v>
      </c>
      <c r="AG4390">
        <v>-0.2398815</v>
      </c>
      <c r="AH4390">
        <v>0.127115861450351</v>
      </c>
      <c r="AI4390">
        <v>149.72683785806299</v>
      </c>
      <c r="AJ4390">
        <v>65.2044439580513</v>
      </c>
      <c r="AK4390">
        <v>0.27775900011398802</v>
      </c>
      <c r="AL4390">
        <v>90.200696472399102</v>
      </c>
      <c r="AM4390">
        <v>84.337596077319802</v>
      </c>
      <c r="AN4390">
        <v>0.99999997789667705</v>
      </c>
    </row>
    <row r="4391" spans="1:40" x14ac:dyDescent="0.25">
      <c r="A4391" t="str">
        <f>"20190312161059030"</f>
        <v>20190312161059030</v>
      </c>
      <c r="B4391" t="str">
        <f>"1552378259020986"</f>
        <v>1552378259020986</v>
      </c>
      <c r="C4391" t="s">
        <v>40</v>
      </c>
      <c r="D4391">
        <v>5.822038</v>
      </c>
      <c r="E4391">
        <v>0.51296019999999998</v>
      </c>
      <c r="F4391" t="s">
        <v>42</v>
      </c>
      <c r="G4391">
        <v>-304.95639999999997</v>
      </c>
      <c r="H4391">
        <v>0.84105959999999902</v>
      </c>
      <c r="I4391">
        <v>141.4144</v>
      </c>
      <c r="J4391">
        <v>-304.43579999999997</v>
      </c>
      <c r="K4391">
        <v>1.1089929999999999</v>
      </c>
      <c r="L4391">
        <v>141.28739999999999</v>
      </c>
      <c r="M4391">
        <v>-0.99994000000000005</v>
      </c>
      <c r="N4391">
        <v>0</v>
      </c>
      <c r="O4391">
        <v>7.0227049999999997E-3</v>
      </c>
      <c r="P4391">
        <v>-0.99433050000000001</v>
      </c>
      <c r="Q4391">
        <v>-1.199539E-2</v>
      </c>
      <c r="R4391">
        <v>0.1056545</v>
      </c>
      <c r="S4391">
        <v>-2.961395</v>
      </c>
      <c r="T4391">
        <v>-0.87965669999999996</v>
      </c>
      <c r="U4391">
        <v>0.42579650000000002</v>
      </c>
      <c r="V4391">
        <v>9.8667850000000001E-2</v>
      </c>
      <c r="W4391">
        <v>-3.6518800000000001E-3</v>
      </c>
      <c r="X4391">
        <v>0.99511369999999999</v>
      </c>
      <c r="Y4391">
        <v>0.130153399999999</v>
      </c>
      <c r="Z4391">
        <v>1.6799060000000001E-2</v>
      </c>
      <c r="AA4391">
        <v>0.99135150000000005</v>
      </c>
      <c r="AB4391">
        <v>38</v>
      </c>
      <c r="AC4391">
        <v>-0.52060000000000095</v>
      </c>
      <c r="AD4391">
        <v>-0.26793339999999999</v>
      </c>
      <c r="AE4391">
        <v>0.12700000000000899</v>
      </c>
      <c r="AF4391">
        <v>9.8672583990920798E-2</v>
      </c>
      <c r="AG4391">
        <v>-0.26793339999999999</v>
      </c>
      <c r="AH4391">
        <v>0.417183299676472</v>
      </c>
      <c r="AI4391">
        <v>122.005374880682</v>
      </c>
      <c r="AJ4391">
        <v>76.692894306404</v>
      </c>
      <c r="AK4391">
        <v>0.50553584560934395</v>
      </c>
      <c r="AL4391">
        <v>90.209237780885502</v>
      </c>
      <c r="AM4391">
        <v>84.337497472523907</v>
      </c>
      <c r="AN4391">
        <v>0.99999997838942301</v>
      </c>
    </row>
    <row r="4392" spans="1:40" x14ac:dyDescent="0.25">
      <c r="A4392" t="str">
        <f>"20190312161059052"</f>
        <v>20190312161059052</v>
      </c>
      <c r="B4392" t="str">
        <f>"1552378259041485"</f>
        <v>1552378259041485</v>
      </c>
      <c r="C4392" t="s">
        <v>40</v>
      </c>
      <c r="D4392">
        <v>5.8805899999999998</v>
      </c>
      <c r="E4392">
        <v>0.51232840000000002</v>
      </c>
      <c r="F4392" t="s">
        <v>42</v>
      </c>
      <c r="G4392">
        <v>-305.30189999999999</v>
      </c>
      <c r="H4392">
        <v>0.85571649999999999</v>
      </c>
      <c r="I4392">
        <v>141.411</v>
      </c>
      <c r="J4392">
        <v>-304.80329999999998</v>
      </c>
      <c r="K4392">
        <v>1.1089960000000001</v>
      </c>
      <c r="L4392">
        <v>141.2901</v>
      </c>
      <c r="M4392">
        <v>-0.99993909999999997</v>
      </c>
      <c r="N4392">
        <v>0</v>
      </c>
      <c r="O4392">
        <v>7.1077619999999897E-3</v>
      </c>
      <c r="P4392">
        <v>-0.99427719999999997</v>
      </c>
      <c r="Q4392">
        <v>-1.189113E-2</v>
      </c>
      <c r="R4392">
        <v>0.10616780000000001</v>
      </c>
      <c r="S4392">
        <v>-2.9619140000000002</v>
      </c>
      <c r="T4392">
        <v>-0.86608790000000002</v>
      </c>
      <c r="U4392">
        <v>0.42121890000000001</v>
      </c>
      <c r="V4392">
        <v>9.9096920000000005E-2</v>
      </c>
      <c r="W4392">
        <v>-3.5191490000000001E-3</v>
      </c>
      <c r="X4392">
        <v>0.99507159999999995</v>
      </c>
      <c r="Y4392">
        <v>0.1287605</v>
      </c>
      <c r="Z4392">
        <v>1.6326440000000001E-2</v>
      </c>
      <c r="AA4392">
        <v>0.99154129999999996</v>
      </c>
      <c r="AB4392">
        <v>38</v>
      </c>
      <c r="AC4392">
        <v>-0.49860000000000998</v>
      </c>
      <c r="AD4392">
        <v>-0.25327949999999899</v>
      </c>
      <c r="AE4392">
        <v>0.120900000000006</v>
      </c>
      <c r="AF4392">
        <v>9.4356696059573697E-2</v>
      </c>
      <c r="AG4392">
        <v>-0.25327949999999899</v>
      </c>
      <c r="AH4392">
        <v>0.40157636255027501</v>
      </c>
      <c r="AI4392">
        <v>121.549589847739</v>
      </c>
      <c r="AJ4392">
        <v>76.777307845739898</v>
      </c>
      <c r="AK4392">
        <v>0.48406328736089699</v>
      </c>
      <c r="AL4392">
        <v>90.201632793994307</v>
      </c>
      <c r="AM4392">
        <v>84.312795376763205</v>
      </c>
      <c r="AN4392">
        <v>1.00000003654486</v>
      </c>
    </row>
    <row r="4393" spans="1:40" x14ac:dyDescent="0.25">
      <c r="A4393" t="str">
        <f>"20190312161059074"</f>
        <v>20190312161059074</v>
      </c>
      <c r="B4393" t="str">
        <f>"1552378259070762"</f>
        <v>1552378259070762</v>
      </c>
      <c r="C4393" t="s">
        <v>40</v>
      </c>
      <c r="D4393">
        <v>5.8503509999999999</v>
      </c>
      <c r="E4393">
        <v>0.51216700000000004</v>
      </c>
      <c r="F4393" t="s">
        <v>42</v>
      </c>
      <c r="G4393">
        <v>-305.64640000000003</v>
      </c>
      <c r="H4393">
        <v>0.86600089999999996</v>
      </c>
      <c r="I4393">
        <v>141.4092</v>
      </c>
      <c r="J4393">
        <v>-305.17950000000002</v>
      </c>
      <c r="K4393">
        <v>1.109008</v>
      </c>
      <c r="L4393">
        <v>141.2928</v>
      </c>
      <c r="M4393">
        <v>-0.9999382</v>
      </c>
      <c r="N4393">
        <v>0</v>
      </c>
      <c r="O4393">
        <v>7.1946669999999897E-3</v>
      </c>
      <c r="P4393">
        <v>-0.99422540000000004</v>
      </c>
      <c r="Q4393">
        <v>-1.2445670000000001E-2</v>
      </c>
      <c r="R4393">
        <v>0.1065883</v>
      </c>
      <c r="S4393">
        <v>-2.962494</v>
      </c>
      <c r="T4393">
        <v>-0.85390069999999996</v>
      </c>
      <c r="U4393">
        <v>0.41752620000000001</v>
      </c>
      <c r="V4393">
        <v>9.9431190000000003E-2</v>
      </c>
      <c r="W4393">
        <v>-4.0454530000000001E-3</v>
      </c>
      <c r="X4393">
        <v>0.99503620000000004</v>
      </c>
      <c r="Y4393">
        <v>0.12762219999999999</v>
      </c>
      <c r="Z4393">
        <v>1.591948E-2</v>
      </c>
      <c r="AA4393">
        <v>0.99169510000000005</v>
      </c>
      <c r="AB4393">
        <v>38</v>
      </c>
      <c r="AC4393">
        <v>-0.46690000000000897</v>
      </c>
      <c r="AD4393">
        <v>-0.2430071</v>
      </c>
      <c r="AE4393">
        <v>0.11639999999999801</v>
      </c>
      <c r="AF4393">
        <v>9.0067200715813603E-2</v>
      </c>
      <c r="AG4393">
        <v>-0.2430071</v>
      </c>
      <c r="AH4393">
        <v>0.372678554459006</v>
      </c>
      <c r="AI4393">
        <v>122.366879895286</v>
      </c>
      <c r="AJ4393">
        <v>76.413541541506106</v>
      </c>
      <c r="AK4393">
        <v>0.453931554585982</v>
      </c>
      <c r="AL4393">
        <v>90.231788019227096</v>
      </c>
      <c r="AM4393">
        <v>84.293536234343605</v>
      </c>
      <c r="AN4393">
        <v>0.99999998327261497</v>
      </c>
    </row>
    <row r="4394" spans="1:40" x14ac:dyDescent="0.25">
      <c r="A4394" t="str">
        <f>"20190312161059097"</f>
        <v>20190312161059097</v>
      </c>
      <c r="B4394" t="str">
        <f>"1552378259091259"</f>
        <v>1552378259091259</v>
      </c>
      <c r="C4394" t="s">
        <v>40</v>
      </c>
      <c r="D4394">
        <v>5.8879729999999997</v>
      </c>
      <c r="E4394">
        <v>0.51187070000000001</v>
      </c>
      <c r="F4394" t="s">
        <v>42</v>
      </c>
      <c r="G4394">
        <v>-305.99090000000001</v>
      </c>
      <c r="H4394">
        <v>0.87523459999999997</v>
      </c>
      <c r="I4394">
        <v>141.4075</v>
      </c>
      <c r="J4394">
        <v>-305.56169999999997</v>
      </c>
      <c r="K4394">
        <v>1.1089990000000001</v>
      </c>
      <c r="L4394">
        <v>141.29570000000001</v>
      </c>
      <c r="M4394">
        <v>-0.99993750000000003</v>
      </c>
      <c r="N4394">
        <v>0</v>
      </c>
      <c r="O4394">
        <v>7.2828769999999897E-3</v>
      </c>
      <c r="P4394">
        <v>-0.99424699999999999</v>
      </c>
      <c r="Q4394">
        <v>-1.2555699999999999E-2</v>
      </c>
      <c r="R4394">
        <v>0.10637249999999999</v>
      </c>
      <c r="S4394">
        <v>-2.9620060000000001</v>
      </c>
      <c r="T4394">
        <v>-0.85339519999999902</v>
      </c>
      <c r="U4394">
        <v>0.41732789999999997</v>
      </c>
      <c r="V4394">
        <v>9.9127199999999999E-2</v>
      </c>
      <c r="W4394">
        <v>-4.1251559999999996E-3</v>
      </c>
      <c r="X4394">
        <v>0.99506620000000001</v>
      </c>
      <c r="Y4394">
        <v>0.12750439999999999</v>
      </c>
      <c r="Z4394">
        <v>1.5871650000000001E-2</v>
      </c>
      <c r="AA4394">
        <v>0.99171100000000001</v>
      </c>
      <c r="AB4394">
        <v>38</v>
      </c>
      <c r="AC4394">
        <v>-0.429200000000037</v>
      </c>
      <c r="AD4394">
        <v>-0.23376440000000001</v>
      </c>
      <c r="AE4394">
        <v>0.11179999999998801</v>
      </c>
      <c r="AF4394">
        <v>8.5045736811889802E-2</v>
      </c>
      <c r="AG4394">
        <v>-0.23376440000000001</v>
      </c>
      <c r="AH4394">
        <v>0.33651915885143602</v>
      </c>
      <c r="AI4394">
        <v>123.95947424223399</v>
      </c>
      <c r="AJ4394">
        <v>75.8170750479471</v>
      </c>
      <c r="AK4394">
        <v>0.41847785644083402</v>
      </c>
      <c r="AL4394">
        <v>90.236354703574307</v>
      </c>
      <c r="AM4394">
        <v>84.311038324809999</v>
      </c>
      <c r="AN4394">
        <v>0.999999980537152</v>
      </c>
    </row>
    <row r="4395" spans="1:40" x14ac:dyDescent="0.25">
      <c r="A4395" t="str">
        <f>"20190312161059119"</f>
        <v>20190312161059119</v>
      </c>
      <c r="B4395" t="str">
        <f>"1552378259110782"</f>
        <v>1552378259110782</v>
      </c>
      <c r="C4395" t="s">
        <v>40</v>
      </c>
      <c r="D4395">
        <v>5.8433339999999996</v>
      </c>
      <c r="E4395">
        <v>0.51334299999999999</v>
      </c>
      <c r="F4395" t="s">
        <v>42</v>
      </c>
      <c r="G4395">
        <v>-306.33760000000001</v>
      </c>
      <c r="H4395">
        <v>0.88855790000000001</v>
      </c>
      <c r="I4395">
        <v>141.40430000000001</v>
      </c>
      <c r="J4395">
        <v>-305.94979999999998</v>
      </c>
      <c r="K4395">
        <v>1.1089929999999999</v>
      </c>
      <c r="L4395">
        <v>141.29859999999999</v>
      </c>
      <c r="M4395">
        <v>-0.99993650000000001</v>
      </c>
      <c r="N4395">
        <v>0</v>
      </c>
      <c r="O4395">
        <v>7.3724339999999998E-3</v>
      </c>
      <c r="P4395">
        <v>-0.99423839999999997</v>
      </c>
      <c r="Q4395">
        <v>-1.287396E-2</v>
      </c>
      <c r="R4395">
        <v>0.1064156</v>
      </c>
      <c r="S4395">
        <v>-2.9624329999999999</v>
      </c>
      <c r="T4395">
        <v>-0.84164850000000002</v>
      </c>
      <c r="U4395">
        <v>0.41410829999999998</v>
      </c>
      <c r="V4395">
        <v>9.9081340000000004E-2</v>
      </c>
      <c r="W4395">
        <v>-4.4075859999999998E-3</v>
      </c>
      <c r="X4395">
        <v>0.9950696</v>
      </c>
      <c r="Y4395">
        <v>0.12651009999999999</v>
      </c>
      <c r="Z4395">
        <v>1.549769E-2</v>
      </c>
      <c r="AA4395">
        <v>0.99184419999999995</v>
      </c>
      <c r="AB4395">
        <v>38</v>
      </c>
      <c r="AC4395">
        <v>-0.38780000000002701</v>
      </c>
      <c r="AD4395">
        <v>-0.22043509999999999</v>
      </c>
      <c r="AE4395">
        <v>0.10570000000001301</v>
      </c>
      <c r="AF4395">
        <v>7.9059760732576395E-2</v>
      </c>
      <c r="AG4395">
        <v>-0.22043509999999999</v>
      </c>
      <c r="AH4395">
        <v>0.29872376677880902</v>
      </c>
      <c r="AI4395">
        <v>125.502627953206</v>
      </c>
      <c r="AJ4395">
        <v>75.176061275813794</v>
      </c>
      <c r="AK4395">
        <v>0.37957603706981102</v>
      </c>
      <c r="AL4395">
        <v>90.252536887300195</v>
      </c>
      <c r="AM4395">
        <v>84.313672303806499</v>
      </c>
      <c r="AN4395">
        <v>1.0000000237973501</v>
      </c>
    </row>
    <row r="4396" spans="1:40" x14ac:dyDescent="0.25">
      <c r="A4396" t="str">
        <f>"20190312161059142"</f>
        <v>20190312161059142</v>
      </c>
      <c r="B4396" t="str">
        <f>"1552378259131274"</f>
        <v>1552378259131274</v>
      </c>
      <c r="C4396" t="s">
        <v>40</v>
      </c>
      <c r="D4396">
        <v>5.8262499999999999</v>
      </c>
      <c r="E4396">
        <v>0.51318589999999997</v>
      </c>
      <c r="F4396" t="s">
        <v>42</v>
      </c>
      <c r="G4396">
        <v>-306.68529999999998</v>
      </c>
      <c r="H4396">
        <v>0.90222999999999998</v>
      </c>
      <c r="I4396">
        <v>141.40469999999999</v>
      </c>
      <c r="J4396">
        <v>-306.33109999999999</v>
      </c>
      <c r="K4396">
        <v>1.1089929999999999</v>
      </c>
      <c r="L4396">
        <v>141.3015</v>
      </c>
      <c r="M4396">
        <v>-0.99993549999999998</v>
      </c>
      <c r="N4396">
        <v>0</v>
      </c>
      <c r="O4396">
        <v>7.4603029999999997E-3</v>
      </c>
      <c r="P4396">
        <v>-0.99428519999999998</v>
      </c>
      <c r="Q4396">
        <v>-1.286312E-2</v>
      </c>
      <c r="R4396">
        <v>0.1059793</v>
      </c>
      <c r="S4396">
        <v>-2.9610289999999999</v>
      </c>
      <c r="T4396">
        <v>-0.83237119999999998</v>
      </c>
      <c r="U4396">
        <v>0.42579650000000002</v>
      </c>
      <c r="V4396">
        <v>9.8557179999999994E-2</v>
      </c>
      <c r="W4396">
        <v>-4.3561449999999996E-3</v>
      </c>
      <c r="X4396">
        <v>0.99512179999999995</v>
      </c>
      <c r="Y4396">
        <v>0.13028290000000001</v>
      </c>
      <c r="Z4396">
        <v>1.5829699999999999E-2</v>
      </c>
      <c r="AA4396">
        <v>0.99135050000000002</v>
      </c>
      <c r="AB4396">
        <v>38</v>
      </c>
      <c r="AC4396">
        <v>-0.35419999999999102</v>
      </c>
      <c r="AD4396">
        <v>-0.206763</v>
      </c>
      <c r="AE4396">
        <v>0.103199999999986</v>
      </c>
      <c r="AF4396">
        <v>7.6519975007492302E-2</v>
      </c>
      <c r="AG4396">
        <v>-0.206763</v>
      </c>
      <c r="AH4396">
        <v>0.27011731176456699</v>
      </c>
      <c r="AI4396">
        <v>126.370734147777</v>
      </c>
      <c r="AJ4396">
        <v>74.183410363238195</v>
      </c>
      <c r="AK4396">
        <v>0.34866833360525201</v>
      </c>
      <c r="AL4396">
        <v>90.249589526476697</v>
      </c>
      <c r="AM4396">
        <v>84.343853307306105</v>
      </c>
      <c r="AN4396">
        <v>0.99999994528202496</v>
      </c>
    </row>
    <row r="4397" spans="1:40" x14ac:dyDescent="0.25">
      <c r="A4397" t="str">
        <f>"20190312161059165"</f>
        <v>20190312161059165</v>
      </c>
      <c r="B4397" t="str">
        <f>"1552378259161531"</f>
        <v>1552378259161531</v>
      </c>
      <c r="C4397" t="s">
        <v>40</v>
      </c>
      <c r="D4397">
        <v>5.7953999999999999</v>
      </c>
      <c r="E4397">
        <v>0.5127621</v>
      </c>
      <c r="F4397" t="s">
        <v>42</v>
      </c>
      <c r="G4397">
        <v>-307.03339999999997</v>
      </c>
      <c r="H4397">
        <v>0.91552389999999995</v>
      </c>
      <c r="I4397">
        <v>141.40209999999999</v>
      </c>
      <c r="J4397">
        <v>-306.72649999999999</v>
      </c>
      <c r="K4397">
        <v>1.1090009999999999</v>
      </c>
      <c r="L4397">
        <v>141.30449999999999</v>
      </c>
      <c r="M4397">
        <v>-0.99993430000000005</v>
      </c>
      <c r="N4397">
        <v>0</v>
      </c>
      <c r="O4397">
        <v>7.5514850000000001E-3</v>
      </c>
      <c r="P4397">
        <v>-0.99430260000000004</v>
      </c>
      <c r="Q4397">
        <v>-1.291806E-2</v>
      </c>
      <c r="R4397">
        <v>0.1058094</v>
      </c>
      <c r="S4397">
        <v>-2.9615779999999998</v>
      </c>
      <c r="T4397">
        <v>-0.81578589999999995</v>
      </c>
      <c r="U4397">
        <v>0.42294310000000002</v>
      </c>
      <c r="V4397">
        <v>9.8296519999999998E-2</v>
      </c>
      <c r="W4397">
        <v>-4.3650090000000004E-3</v>
      </c>
      <c r="X4397">
        <v>0.99514760000000002</v>
      </c>
      <c r="Y4397">
        <v>0.12944620000000001</v>
      </c>
      <c r="Z4397">
        <v>1.538668E-2</v>
      </c>
      <c r="AA4397">
        <v>0.99146710000000005</v>
      </c>
      <c r="AB4397">
        <v>38</v>
      </c>
      <c r="AC4397">
        <v>-0.30689999999998402</v>
      </c>
      <c r="AD4397">
        <v>-0.19347710000000001</v>
      </c>
      <c r="AE4397">
        <v>9.7599999999999895E-2</v>
      </c>
      <c r="AF4397">
        <v>7.0010579477596493E-2</v>
      </c>
      <c r="AG4397">
        <v>-0.19347710000000001</v>
      </c>
      <c r="AH4397">
        <v>0.226042512170677</v>
      </c>
      <c r="AI4397">
        <v>129.26991599399801</v>
      </c>
      <c r="AJ4397">
        <v>72.791041049105104</v>
      </c>
      <c r="AK4397">
        <v>0.30566335529734301</v>
      </c>
      <c r="AL4397">
        <v>90.250097386820897</v>
      </c>
      <c r="AM4397">
        <v>84.358861147267504</v>
      </c>
      <c r="AN4397">
        <v>1.0000000024667199</v>
      </c>
    </row>
    <row r="4398" spans="1:40" x14ac:dyDescent="0.25">
      <c r="A4398" t="str">
        <f>"20190312161059186"</f>
        <v>20190312161059186</v>
      </c>
      <c r="B4398" t="str">
        <f>"1552378259181050"</f>
        <v>1552378259181050</v>
      </c>
      <c r="C4398" t="s">
        <v>40</v>
      </c>
      <c r="D4398">
        <v>5.8694179999999996</v>
      </c>
      <c r="E4398">
        <v>0.51268469999999999</v>
      </c>
      <c r="F4398" t="s">
        <v>42</v>
      </c>
      <c r="G4398">
        <v>-307.69209999999998</v>
      </c>
      <c r="H4398">
        <v>0.84723349999999897</v>
      </c>
      <c r="I4398">
        <v>141.44130000000001</v>
      </c>
      <c r="J4398">
        <v>-307.10419999999999</v>
      </c>
      <c r="K4398">
        <v>1.109003</v>
      </c>
      <c r="L4398">
        <v>141.3074</v>
      </c>
      <c r="M4398">
        <v>-0.99993339999999997</v>
      </c>
      <c r="N4398">
        <v>0</v>
      </c>
      <c r="O4398">
        <v>7.638433E-3</v>
      </c>
      <c r="P4398">
        <v>-0.99432739999999997</v>
      </c>
      <c r="Q4398">
        <v>-1.3046179999999999E-2</v>
      </c>
      <c r="R4398">
        <v>0.10556069999999999</v>
      </c>
      <c r="S4398">
        <v>-2.9620669999999998</v>
      </c>
      <c r="T4398">
        <v>-0.80302169999999995</v>
      </c>
      <c r="U4398">
        <v>0.41940309999999997</v>
      </c>
      <c r="V4398">
        <v>9.7961119999999999E-2</v>
      </c>
      <c r="W4398">
        <v>-4.4469720000000004E-3</v>
      </c>
      <c r="X4398">
        <v>0.99518030000000002</v>
      </c>
      <c r="Y4398">
        <v>0.12835360000000001</v>
      </c>
      <c r="Z4398">
        <v>1.498525E-2</v>
      </c>
      <c r="AA4398">
        <v>0.99161520000000003</v>
      </c>
      <c r="AB4398">
        <v>38</v>
      </c>
      <c r="AC4398">
        <v>-0.58789999999998999</v>
      </c>
      <c r="AD4398">
        <v>-0.26176949999999999</v>
      </c>
      <c r="AE4398">
        <v>0.13390000000001101</v>
      </c>
      <c r="AF4398">
        <v>0.10888294154773</v>
      </c>
      <c r="AG4398">
        <v>-0.26176949999999999</v>
      </c>
      <c r="AH4398">
        <v>0.49551128550792001</v>
      </c>
      <c r="AI4398">
        <v>117.29244905695199</v>
      </c>
      <c r="AJ4398">
        <v>77.606869557333098</v>
      </c>
      <c r="AK4398">
        <v>0.570885452745161</v>
      </c>
      <c r="AL4398">
        <v>90.254793568769301</v>
      </c>
      <c r="AM4398">
        <v>84.378169444042001</v>
      </c>
      <c r="AN4398">
        <v>0.99999999304985598</v>
      </c>
    </row>
    <row r="4399" spans="1:40" x14ac:dyDescent="0.25">
      <c r="A4399" t="str">
        <f>"20190312161059209"</f>
        <v>20190312161059209</v>
      </c>
      <c r="B4399" t="str">
        <f>"1552378259201546"</f>
        <v>1552378259201546</v>
      </c>
      <c r="C4399" t="s">
        <v>40</v>
      </c>
      <c r="D4399">
        <v>5.9660799999999998</v>
      </c>
      <c r="E4399">
        <v>0.51265050000000001</v>
      </c>
      <c r="F4399" t="s">
        <v>42</v>
      </c>
      <c r="G4399">
        <v>-308.03980000000001</v>
      </c>
      <c r="H4399">
        <v>0.85713760000000006</v>
      </c>
      <c r="I4399">
        <v>141.43979999999999</v>
      </c>
      <c r="J4399">
        <v>-307.49450000000002</v>
      </c>
      <c r="K4399">
        <v>1.109003</v>
      </c>
      <c r="L4399">
        <v>141.31049999999999</v>
      </c>
      <c r="M4399">
        <v>-0.9999323</v>
      </c>
      <c r="N4399">
        <v>0</v>
      </c>
      <c r="O4399">
        <v>7.7284169999999996E-3</v>
      </c>
      <c r="P4399">
        <v>-0.99431789999999998</v>
      </c>
      <c r="Q4399">
        <v>-1.325107E-2</v>
      </c>
      <c r="R4399">
        <v>0.10562539999999999</v>
      </c>
      <c r="S4399">
        <v>-2.9622799999999998</v>
      </c>
      <c r="T4399">
        <v>-0.79745080000000002</v>
      </c>
      <c r="U4399">
        <v>0.41793819999999998</v>
      </c>
      <c r="V4399">
        <v>9.7936350000000005E-2</v>
      </c>
      <c r="W4399">
        <v>-4.6050960000000004E-3</v>
      </c>
      <c r="X4399">
        <v>0.99518200000000001</v>
      </c>
      <c r="Y4399">
        <v>0.12785270000000001</v>
      </c>
      <c r="Z4399">
        <v>1.4794669999999999E-2</v>
      </c>
      <c r="AA4399">
        <v>0.99168279999999998</v>
      </c>
      <c r="AB4399">
        <v>38</v>
      </c>
      <c r="AC4399">
        <v>-0.54529999999999701</v>
      </c>
      <c r="AD4399">
        <v>-0.25186539999999902</v>
      </c>
      <c r="AE4399">
        <v>0.1293</v>
      </c>
      <c r="AF4399">
        <v>0.10406296725724599</v>
      </c>
      <c r="AG4399">
        <v>-0.25186539999999902</v>
      </c>
      <c r="AH4399">
        <v>0.45448571568200102</v>
      </c>
      <c r="AI4399">
        <v>118.377795048338</v>
      </c>
      <c r="AJ4399">
        <v>77.103372824263104</v>
      </c>
      <c r="AK4399">
        <v>0.52992692574592104</v>
      </c>
      <c r="AL4399">
        <v>90.2638535044143</v>
      </c>
      <c r="AM4399">
        <v>84.379591391176803</v>
      </c>
      <c r="AN4399">
        <v>0.99999997434224497</v>
      </c>
    </row>
    <row r="4400" spans="1:40" x14ac:dyDescent="0.25">
      <c r="A4400" t="str">
        <f>"20190312161059232"</f>
        <v>20190312161059232</v>
      </c>
      <c r="B4400" t="str">
        <f>"1552378259221067"</f>
        <v>1552378259221067</v>
      </c>
      <c r="C4400" t="s">
        <v>40</v>
      </c>
      <c r="D4400">
        <v>5.8077300000000003</v>
      </c>
      <c r="E4400">
        <v>0.51258159999999997</v>
      </c>
      <c r="F4400" t="s">
        <v>42</v>
      </c>
      <c r="G4400">
        <v>-308.38940000000002</v>
      </c>
      <c r="H4400">
        <v>0.87042589999999997</v>
      </c>
      <c r="I4400">
        <v>141.43680000000001</v>
      </c>
      <c r="J4400">
        <v>-307.88760000000002</v>
      </c>
      <c r="K4400">
        <v>1.109005</v>
      </c>
      <c r="L4400">
        <v>141.31360000000001</v>
      </c>
      <c r="M4400">
        <v>-0.99993089999999996</v>
      </c>
      <c r="N4400">
        <v>0</v>
      </c>
      <c r="O4400">
        <v>7.8190410000000005E-3</v>
      </c>
      <c r="P4400">
        <v>-0.99427949999999998</v>
      </c>
      <c r="Q4400">
        <v>-1.3583649999999999E-2</v>
      </c>
      <c r="R4400">
        <v>0.1059408</v>
      </c>
      <c r="S4400">
        <v>-2.96225</v>
      </c>
      <c r="T4400">
        <v>-0.78969230000000001</v>
      </c>
      <c r="U4400">
        <v>0.41763309999999998</v>
      </c>
      <c r="V4400">
        <v>9.8161639999999994E-2</v>
      </c>
      <c r="W4400">
        <v>-4.8878250000000002E-3</v>
      </c>
      <c r="X4400">
        <v>0.99515849999999995</v>
      </c>
      <c r="Y4400">
        <v>0.12775039999999999</v>
      </c>
      <c r="Z4400">
        <v>1.4618819999999999E-2</v>
      </c>
      <c r="AA4400">
        <v>0.99169859999999999</v>
      </c>
      <c r="AB4400">
        <v>38</v>
      </c>
      <c r="AC4400">
        <v>-0.50180000000000202</v>
      </c>
      <c r="AD4400">
        <v>-0.23857909999999999</v>
      </c>
      <c r="AE4400">
        <v>0.12319999999999701</v>
      </c>
      <c r="AF4400">
        <v>9.8312445358617301E-2</v>
      </c>
      <c r="AG4400">
        <v>-0.23857909999999999</v>
      </c>
      <c r="AH4400">
        <v>0.41439888170168299</v>
      </c>
      <c r="AI4400">
        <v>119.256452266534</v>
      </c>
      <c r="AJ4400">
        <v>76.653824356448794</v>
      </c>
      <c r="AK4400">
        <v>0.48817185193823498</v>
      </c>
      <c r="AL4400">
        <v>90.280052853227801</v>
      </c>
      <c r="AM4400">
        <v>84.366613257240004</v>
      </c>
      <c r="AN4400">
        <v>1.00000001926148</v>
      </c>
    </row>
    <row r="4401" spans="1:40" x14ac:dyDescent="0.25">
      <c r="A4401" t="str">
        <f>"20190312161059253"</f>
        <v>20190312161059253</v>
      </c>
      <c r="B4401" t="str">
        <f>"1552378259241563"</f>
        <v>1552378259241563</v>
      </c>
      <c r="C4401" t="s">
        <v>40</v>
      </c>
      <c r="D4401">
        <v>5.9038820000000003</v>
      </c>
      <c r="E4401">
        <v>0.51333549999999994</v>
      </c>
      <c r="F4401" t="s">
        <v>42</v>
      </c>
      <c r="G4401">
        <v>-308.74009999999998</v>
      </c>
      <c r="H4401">
        <v>0.88481500000000002</v>
      </c>
      <c r="I4401">
        <v>141.43430000000001</v>
      </c>
      <c r="J4401">
        <v>-308.2398</v>
      </c>
      <c r="K4401">
        <v>1.1090150000000001</v>
      </c>
      <c r="L4401">
        <v>141.31649999999999</v>
      </c>
      <c r="M4401">
        <v>-0.99992999999999999</v>
      </c>
      <c r="N4401">
        <v>0</v>
      </c>
      <c r="O4401">
        <v>7.8999410000000006E-3</v>
      </c>
      <c r="P4401">
        <v>-0.99427319999999997</v>
      </c>
      <c r="Q4401">
        <v>-1.3503680000000001E-2</v>
      </c>
      <c r="R4401">
        <v>0.1060112</v>
      </c>
      <c r="S4401">
        <v>-2.962097</v>
      </c>
      <c r="T4401">
        <v>-0.77898500000000004</v>
      </c>
      <c r="U4401">
        <v>0.41798400000000002</v>
      </c>
      <c r="V4401">
        <v>9.8151429999999998E-2</v>
      </c>
      <c r="W4401">
        <v>-4.7563839999999998E-3</v>
      </c>
      <c r="X4401">
        <v>0.99516009999999999</v>
      </c>
      <c r="Y4401">
        <v>0.12789880000000001</v>
      </c>
      <c r="Z4401">
        <v>1.442595E-2</v>
      </c>
      <c r="AA4401">
        <v>0.99168230000000002</v>
      </c>
      <c r="AB4401">
        <v>39</v>
      </c>
      <c r="AC4401">
        <v>-0.50029999999998098</v>
      </c>
      <c r="AD4401">
        <v>-0.22419999999999901</v>
      </c>
      <c r="AE4401">
        <v>0.117800000000016</v>
      </c>
      <c r="AF4401">
        <v>9.5645171375316002E-2</v>
      </c>
      <c r="AG4401">
        <v>-0.22419999999999901</v>
      </c>
      <c r="AH4401">
        <v>0.42109263226917298</v>
      </c>
      <c r="AI4401">
        <v>117.43833547575299</v>
      </c>
      <c r="AJ4401">
        <v>77.203199422537807</v>
      </c>
      <c r="AK4401">
        <v>0.486551789390189</v>
      </c>
      <c r="AL4401">
        <v>90.272521763174495</v>
      </c>
      <c r="AM4401">
        <v>84.367204427468394</v>
      </c>
      <c r="AN4401">
        <v>0.99999997551590403</v>
      </c>
    </row>
    <row r="4402" spans="1:40" x14ac:dyDescent="0.25">
      <c r="A4402" t="str">
        <f>"20190312161059275"</f>
        <v>20190312161059275</v>
      </c>
      <c r="B4402" t="str">
        <f>"1552378259270842"</f>
        <v>1552378259270842</v>
      </c>
      <c r="C4402" t="s">
        <v>40</v>
      </c>
      <c r="D4402">
        <v>5.8413589999999997</v>
      </c>
      <c r="E4402">
        <v>0.51340370000000002</v>
      </c>
      <c r="F4402" t="s">
        <v>42</v>
      </c>
      <c r="G4402">
        <v>-309.08550000000002</v>
      </c>
      <c r="H4402">
        <v>0.88535489999999994</v>
      </c>
      <c r="I4402">
        <v>141.43780000000001</v>
      </c>
      <c r="J4402">
        <v>-308.63299999999998</v>
      </c>
      <c r="K4402">
        <v>1.1090249999999999</v>
      </c>
      <c r="L4402">
        <v>141.31960000000001</v>
      </c>
      <c r="M4402">
        <v>-0.99992859999999995</v>
      </c>
      <c r="N4402">
        <v>0</v>
      </c>
      <c r="O4402">
        <v>7.9904829999999996E-3</v>
      </c>
      <c r="P4402">
        <v>-0.9942434</v>
      </c>
      <c r="Q4402">
        <v>-1.346062E-2</v>
      </c>
      <c r="R4402">
        <v>0.1062965</v>
      </c>
      <c r="S4402">
        <v>-2.961395</v>
      </c>
      <c r="T4402">
        <v>-0.78319499999999997</v>
      </c>
      <c r="U4402">
        <v>0.42430109999999899</v>
      </c>
      <c r="V4402">
        <v>9.8347009999999999E-2</v>
      </c>
      <c r="W4402">
        <v>-4.6455070000000001E-3</v>
      </c>
      <c r="X4402">
        <v>0.99514130000000001</v>
      </c>
      <c r="Y4402">
        <v>0.12981029999999999</v>
      </c>
      <c r="Z4402">
        <v>1.472649E-2</v>
      </c>
      <c r="AA4402">
        <v>0.99142940000000002</v>
      </c>
      <c r="AB4402">
        <v>39</v>
      </c>
      <c r="AC4402">
        <v>-0.45250000000004298</v>
      </c>
      <c r="AD4402">
        <v>-0.22367009999999901</v>
      </c>
      <c r="AE4402">
        <v>0.118200000000001</v>
      </c>
      <c r="AF4402">
        <v>9.3251497296583497E-2</v>
      </c>
      <c r="AG4402">
        <v>-0.22367009999999901</v>
      </c>
      <c r="AH4402">
        <v>0.36902503596942798</v>
      </c>
      <c r="AI4402">
        <v>120.440162802901</v>
      </c>
      <c r="AJ4402">
        <v>75.818415409953303</v>
      </c>
      <c r="AK4402">
        <v>0.44147891518656002</v>
      </c>
      <c r="AL4402">
        <v>90.266168912528101</v>
      </c>
      <c r="AM4402">
        <v>84.355946779926697</v>
      </c>
      <c r="AN4402">
        <v>0.99999996103845701</v>
      </c>
    </row>
    <row r="4403" spans="1:40" x14ac:dyDescent="0.25">
      <c r="A4403" t="str">
        <f>"20190312161059299"</f>
        <v>20190312161059299</v>
      </c>
      <c r="B4403" t="str">
        <f>"1552378259291339"</f>
        <v>1552378259291339</v>
      </c>
      <c r="C4403" t="s">
        <v>40</v>
      </c>
      <c r="D4403">
        <v>5.9097619999999997</v>
      </c>
      <c r="E4403">
        <v>0.5131888</v>
      </c>
      <c r="F4403" t="s">
        <v>42</v>
      </c>
      <c r="G4403">
        <v>-309.43630000000002</v>
      </c>
      <c r="H4403">
        <v>0.89812369999999997</v>
      </c>
      <c r="I4403">
        <v>141.43549999999999</v>
      </c>
      <c r="J4403">
        <v>-309.03320000000002</v>
      </c>
      <c r="K4403">
        <v>1.109038</v>
      </c>
      <c r="L4403">
        <v>141.3229</v>
      </c>
      <c r="M4403">
        <v>-0.99992720000000002</v>
      </c>
      <c r="N4403">
        <v>0</v>
      </c>
      <c r="O4403">
        <v>8.0824669999999994E-3</v>
      </c>
      <c r="P4403">
        <v>-0.99423309999999998</v>
      </c>
      <c r="Q4403">
        <v>-1.363676E-2</v>
      </c>
      <c r="R4403">
        <v>0.1063711</v>
      </c>
      <c r="S4403">
        <v>-2.961395</v>
      </c>
      <c r="T4403">
        <v>-0.77741930000000004</v>
      </c>
      <c r="U4403">
        <v>0.42541499999999999</v>
      </c>
      <c r="V4403">
        <v>9.8330169999999995E-2</v>
      </c>
      <c r="W4403">
        <v>-4.7430119999999996E-3</v>
      </c>
      <c r="X4403">
        <v>0.99514250000000004</v>
      </c>
      <c r="Y4403">
        <v>0.13013640000000001</v>
      </c>
      <c r="Z4403">
        <v>1.4639289999999999E-2</v>
      </c>
      <c r="AA4403">
        <v>0.99138800000000005</v>
      </c>
      <c r="AB4403">
        <v>39</v>
      </c>
      <c r="AC4403">
        <v>-0.40309999999999402</v>
      </c>
      <c r="AD4403">
        <v>-0.2109143</v>
      </c>
      <c r="AE4403">
        <v>0.112599999999986</v>
      </c>
      <c r="AF4403">
        <v>8.71946514812732E-2</v>
      </c>
      <c r="AG4403">
        <v>-0.2109143</v>
      </c>
      <c r="AH4403">
        <v>0.32217825263493499</v>
      </c>
      <c r="AI4403">
        <v>122.28948886948</v>
      </c>
      <c r="AJ4403">
        <v>74.856198096877193</v>
      </c>
      <c r="AK4403">
        <v>0.39482474043850202</v>
      </c>
      <c r="AL4403">
        <v>90.271755600408596</v>
      </c>
      <c r="AM4403">
        <v>84.356913736115899</v>
      </c>
      <c r="AN4403">
        <v>0.99999995690065402</v>
      </c>
    </row>
    <row r="4404" spans="1:40" x14ac:dyDescent="0.25">
      <c r="A4404" t="str">
        <f>"20190312161059322"</f>
        <v>20190312161059322</v>
      </c>
      <c r="B4404" t="str">
        <f>"1552378259310858"</f>
        <v>1552378259310858</v>
      </c>
      <c r="C4404" t="s">
        <v>40</v>
      </c>
      <c r="D4404">
        <v>5.850117</v>
      </c>
      <c r="E4404">
        <v>0.51299799999999995</v>
      </c>
      <c r="F4404" t="s">
        <v>42</v>
      </c>
      <c r="G4404">
        <v>-309.7885</v>
      </c>
      <c r="H4404">
        <v>0.91330900000000004</v>
      </c>
      <c r="I4404">
        <v>141.43119999999999</v>
      </c>
      <c r="J4404">
        <v>-309.43439999999998</v>
      </c>
      <c r="K4404">
        <v>1.1090500000000001</v>
      </c>
      <c r="L4404">
        <v>141.3262</v>
      </c>
      <c r="M4404">
        <v>-0.99992570000000003</v>
      </c>
      <c r="N4404">
        <v>0</v>
      </c>
      <c r="O4404">
        <v>8.1741049999999992E-3</v>
      </c>
      <c r="P4404">
        <v>-0.99420540000000002</v>
      </c>
      <c r="Q4404">
        <v>-1.400795E-2</v>
      </c>
      <c r="R4404">
        <v>0.1065837</v>
      </c>
      <c r="S4404">
        <v>-2.9615779999999998</v>
      </c>
      <c r="T4404">
        <v>-0.76749409999999996</v>
      </c>
      <c r="U4404">
        <v>0.42364499999999999</v>
      </c>
      <c r="V4404">
        <v>9.8451899999999995E-2</v>
      </c>
      <c r="W4404">
        <v>-5.0253499999999996E-3</v>
      </c>
      <c r="X4404">
        <v>0.99512909999999999</v>
      </c>
      <c r="Y4404">
        <v>0.12957869999999999</v>
      </c>
      <c r="Z4404">
        <v>1.436405E-2</v>
      </c>
      <c r="AA4404">
        <v>0.99146509999999999</v>
      </c>
      <c r="AB4404">
        <v>39</v>
      </c>
      <c r="AC4404">
        <v>-0.35410000000001601</v>
      </c>
      <c r="AD4404">
        <v>-0.195741</v>
      </c>
      <c r="AE4404">
        <v>0.104999999999989</v>
      </c>
      <c r="AF4404">
        <v>7.9712694605861306E-2</v>
      </c>
      <c r="AG4404">
        <v>-0.195741</v>
      </c>
      <c r="AH4404">
        <v>0.27711271226058498</v>
      </c>
      <c r="AI4404">
        <v>124.169912272819</v>
      </c>
      <c r="AJ4404">
        <v>73.951885258468394</v>
      </c>
      <c r="AK4404">
        <v>0.34851127393349102</v>
      </c>
      <c r="AL4404">
        <v>90.287932563773396</v>
      </c>
      <c r="AM4404">
        <v>84.349897337768795</v>
      </c>
      <c r="AN4404">
        <v>0.99999997821152098</v>
      </c>
    </row>
    <row r="4405" spans="1:40" x14ac:dyDescent="0.25">
      <c r="A4405" t="str">
        <f>"20190312161059342"</f>
        <v>20190312161059342</v>
      </c>
      <c r="B4405" t="str">
        <f>"1552378259331355"</f>
        <v>1552378259331355</v>
      </c>
      <c r="C4405" t="s">
        <v>40</v>
      </c>
      <c r="D4405">
        <v>5.9417849999999897</v>
      </c>
      <c r="E4405">
        <v>0.51290309999999995</v>
      </c>
      <c r="F4405" t="s">
        <v>42</v>
      </c>
      <c r="G4405">
        <v>-310.14139999999998</v>
      </c>
      <c r="H4405">
        <v>0.92764659999999999</v>
      </c>
      <c r="I4405">
        <v>141.42740000000001</v>
      </c>
      <c r="J4405">
        <v>-309.78809999999999</v>
      </c>
      <c r="K4405">
        <v>1.1090610000000001</v>
      </c>
      <c r="L4405">
        <v>141.32919999999999</v>
      </c>
      <c r="M4405">
        <v>-0.99992420000000004</v>
      </c>
      <c r="N4405">
        <v>0</v>
      </c>
      <c r="O4405">
        <v>8.255287E-3</v>
      </c>
      <c r="P4405">
        <v>-0.99415849999999995</v>
      </c>
      <c r="Q4405">
        <v>-1.4197120000000001E-2</v>
      </c>
      <c r="R4405">
        <v>0.1069922</v>
      </c>
      <c r="S4405">
        <v>-2.961487</v>
      </c>
      <c r="T4405">
        <v>-0.75992869999999901</v>
      </c>
      <c r="U4405">
        <v>0.42256159999999998</v>
      </c>
      <c r="V4405">
        <v>9.8779759999999994E-2</v>
      </c>
      <c r="W4405">
        <v>-5.1218139999999997E-3</v>
      </c>
      <c r="X4405">
        <v>0.99509610000000004</v>
      </c>
      <c r="Y4405">
        <v>0.12923589999999999</v>
      </c>
      <c r="Z4405">
        <v>1.416417E-2</v>
      </c>
      <c r="AA4405">
        <v>0.99151270000000002</v>
      </c>
      <c r="AB4405">
        <v>39</v>
      </c>
      <c r="AC4405">
        <v>-0.35329999999999001</v>
      </c>
      <c r="AD4405">
        <v>-0.1814144</v>
      </c>
      <c r="AE4405">
        <v>9.8200000000019799E-2</v>
      </c>
      <c r="AF4405">
        <v>7.6544944093784401E-2</v>
      </c>
      <c r="AG4405">
        <v>-0.1814144</v>
      </c>
      <c r="AH4405">
        <v>0.28447186975051197</v>
      </c>
      <c r="AI4405">
        <v>121.625574964168</v>
      </c>
      <c r="AJ4405">
        <v>74.939706971021096</v>
      </c>
      <c r="AK4405">
        <v>0.34596901259077101</v>
      </c>
      <c r="AL4405">
        <v>90.293459620129497</v>
      </c>
      <c r="AM4405">
        <v>84.331017206811197</v>
      </c>
      <c r="AN4405">
        <v>0.99999996109975797</v>
      </c>
    </row>
    <row r="4406" spans="1:40" x14ac:dyDescent="0.25">
      <c r="A4406" t="str">
        <f>"20190312161059366"</f>
        <v>20190312161059366</v>
      </c>
      <c r="B4406" t="str">
        <f>"1552378259361611"</f>
        <v>1552378259361611</v>
      </c>
      <c r="C4406" t="s">
        <v>40</v>
      </c>
      <c r="D4406">
        <v>5.9521470000000001</v>
      </c>
      <c r="E4406">
        <v>0.51254520000000003</v>
      </c>
      <c r="F4406" t="s">
        <v>42</v>
      </c>
      <c r="G4406">
        <v>-310.48919999999998</v>
      </c>
      <c r="H4406">
        <v>0.93039510000000003</v>
      </c>
      <c r="I4406">
        <v>141.42959999999999</v>
      </c>
      <c r="J4406">
        <v>-310.19510000000002</v>
      </c>
      <c r="K4406">
        <v>1.1090739999999999</v>
      </c>
      <c r="L4406">
        <v>141.33269999999999</v>
      </c>
      <c r="M4406">
        <v>-0.99992230000000004</v>
      </c>
      <c r="N4406">
        <v>0</v>
      </c>
      <c r="O4406">
        <v>8.3480619999999998E-3</v>
      </c>
      <c r="P4406">
        <v>-0.99410410000000005</v>
      </c>
      <c r="Q4406">
        <v>-1.4148539999999999E-2</v>
      </c>
      <c r="R4406">
        <v>0.1075026</v>
      </c>
      <c r="S4406">
        <v>-2.9613339999999999</v>
      </c>
      <c r="T4406">
        <v>-0.75476480000000001</v>
      </c>
      <c r="U4406">
        <v>0.42285159999999999</v>
      </c>
      <c r="V4406">
        <v>9.9198339999999996E-2</v>
      </c>
      <c r="W4406">
        <v>-4.9484189999999999E-3</v>
      </c>
      <c r="X4406">
        <v>0.99505540000000003</v>
      </c>
      <c r="Y4406">
        <v>0.1292982</v>
      </c>
      <c r="Z4406">
        <v>1.405608E-2</v>
      </c>
      <c r="AA4406">
        <v>0.9915062</v>
      </c>
      <c r="AB4406">
        <v>39</v>
      </c>
      <c r="AC4406">
        <v>-0.29409999999995701</v>
      </c>
      <c r="AD4406">
        <v>-0.178678899999999</v>
      </c>
      <c r="AE4406">
        <v>9.6900000000005093E-2</v>
      </c>
      <c r="AF4406">
        <v>7.0850590819678899E-2</v>
      </c>
      <c r="AG4406">
        <v>-0.178678899999999</v>
      </c>
      <c r="AH4406">
        <v>0.22123516229653201</v>
      </c>
      <c r="AI4406">
        <v>127.56612614709501</v>
      </c>
      <c r="AJ4406">
        <v>72.242328830364798</v>
      </c>
      <c r="AK4406">
        <v>0.29307158265700201</v>
      </c>
      <c r="AL4406">
        <v>90.283524674471593</v>
      </c>
      <c r="AM4406">
        <v>84.306920988543197</v>
      </c>
      <c r="AN4406">
        <v>1.0000000232892501</v>
      </c>
    </row>
    <row r="4407" spans="1:40" x14ac:dyDescent="0.25">
      <c r="A4407" t="str">
        <f>"20190312161059389"</f>
        <v>20190312161059389</v>
      </c>
      <c r="B4407" t="str">
        <f>"1552378259381132"</f>
        <v>1552378259381132</v>
      </c>
      <c r="C4407" t="s">
        <v>40</v>
      </c>
      <c r="D4407">
        <v>5.8825209999999997</v>
      </c>
      <c r="E4407">
        <v>0.51220379999999999</v>
      </c>
      <c r="F4407" t="s">
        <v>42</v>
      </c>
      <c r="G4407">
        <v>-311.15609999999998</v>
      </c>
      <c r="H4407">
        <v>0.865170199999999</v>
      </c>
      <c r="I4407">
        <v>141.4693</v>
      </c>
      <c r="J4407">
        <v>-310.61189999999999</v>
      </c>
      <c r="K4407">
        <v>1.109097</v>
      </c>
      <c r="L4407">
        <v>141.33619999999999</v>
      </c>
      <c r="M4407">
        <v>-0.99992000000000003</v>
      </c>
      <c r="N4407">
        <v>0</v>
      </c>
      <c r="O4407">
        <v>8.4436230000000008E-3</v>
      </c>
      <c r="P4407">
        <v>-0.99403019999999997</v>
      </c>
      <c r="Q4407">
        <v>-1.3992030000000001E-2</v>
      </c>
      <c r="R4407">
        <v>0.1082042</v>
      </c>
      <c r="S4407">
        <v>-2.9615480000000001</v>
      </c>
      <c r="T4407">
        <v>-0.75170159999999997</v>
      </c>
      <c r="U4407">
        <v>0.42129519999999998</v>
      </c>
      <c r="V4407">
        <v>9.9805500000000005E-2</v>
      </c>
      <c r="W4407">
        <v>-4.6529680000000004E-3</v>
      </c>
      <c r="X4407">
        <v>0.99499610000000005</v>
      </c>
      <c r="Y4407">
        <v>0.1287336</v>
      </c>
      <c r="Z4407">
        <v>1.390634E-2</v>
      </c>
      <c r="AA4407">
        <v>0.99158170000000001</v>
      </c>
      <c r="AB4407">
        <v>39</v>
      </c>
      <c r="AC4407">
        <v>-0.54419999999998903</v>
      </c>
      <c r="AD4407">
        <v>-0.2439268</v>
      </c>
      <c r="AE4407">
        <v>0.13310000000001301</v>
      </c>
      <c r="AF4407">
        <v>0.10802222685850001</v>
      </c>
      <c r="AG4407">
        <v>-0.2439268</v>
      </c>
      <c r="AH4407">
        <v>0.45840460266844801</v>
      </c>
      <c r="AI4407">
        <v>117.381219225081</v>
      </c>
      <c r="AJ4407">
        <v>76.740257564384095</v>
      </c>
      <c r="AK4407">
        <v>0.53038086786886196</v>
      </c>
      <c r="AL4407">
        <v>90.266596386995602</v>
      </c>
      <c r="AM4407">
        <v>84.271967446913905</v>
      </c>
      <c r="AN4407">
        <v>1.00000001347833</v>
      </c>
    </row>
    <row r="4408" spans="1:40" x14ac:dyDescent="0.25">
      <c r="A4408" t="str">
        <f>"20190312161059411"</f>
        <v>20190312161059411</v>
      </c>
      <c r="B4408" t="str">
        <f>"1552378259401630"</f>
        <v>1552378259401630</v>
      </c>
      <c r="C4408" t="s">
        <v>40</v>
      </c>
      <c r="D4408">
        <v>5.8682480000000004</v>
      </c>
      <c r="E4408">
        <v>0.51212009999999997</v>
      </c>
      <c r="F4408" t="s">
        <v>42</v>
      </c>
      <c r="G4408">
        <v>-311.51089999999999</v>
      </c>
      <c r="H4408">
        <v>0.88328499999999999</v>
      </c>
      <c r="I4408">
        <v>141.46420000000001</v>
      </c>
      <c r="J4408">
        <v>-310.97890000000001</v>
      </c>
      <c r="K4408">
        <v>1.109113</v>
      </c>
      <c r="L4408">
        <v>141.33940000000001</v>
      </c>
      <c r="M4408">
        <v>-0.99991819999999998</v>
      </c>
      <c r="N4408">
        <v>0</v>
      </c>
      <c r="O4408">
        <v>8.5273180000000007E-3</v>
      </c>
      <c r="P4408">
        <v>-0.99402610000000002</v>
      </c>
      <c r="Q4408">
        <v>-1.3620200000000001E-2</v>
      </c>
      <c r="R4408">
        <v>0.10829179999999999</v>
      </c>
      <c r="S4408">
        <v>-2.9617610000000001</v>
      </c>
      <c r="T4408">
        <v>-0.74393089999999995</v>
      </c>
      <c r="U4408">
        <v>0.42073060000000001</v>
      </c>
      <c r="V4408">
        <v>9.9810220000000005E-2</v>
      </c>
      <c r="W4408">
        <v>-4.1552489999999997E-3</v>
      </c>
      <c r="X4408">
        <v>0.99499780000000004</v>
      </c>
      <c r="Y4408">
        <v>0.12853999999999999</v>
      </c>
      <c r="Z4408">
        <v>1.372167E-2</v>
      </c>
      <c r="AA4408">
        <v>0.99160939999999997</v>
      </c>
      <c r="AB4408">
        <v>39</v>
      </c>
      <c r="AC4408">
        <v>-0.53199999999998204</v>
      </c>
      <c r="AD4408">
        <v>-0.225828</v>
      </c>
      <c r="AE4408">
        <v>0.124799999999993</v>
      </c>
      <c r="AF4408">
        <v>0.10271571473232199</v>
      </c>
      <c r="AG4408">
        <v>-0.225828</v>
      </c>
      <c r="AH4408">
        <v>0.45528580381509598</v>
      </c>
      <c r="AI4408">
        <v>115.820149579721</v>
      </c>
      <c r="AJ4408">
        <v>77.286512066800697</v>
      </c>
      <c r="AK4408">
        <v>0.51849201227456698</v>
      </c>
      <c r="AL4408">
        <v>90.238078919440298</v>
      </c>
      <c r="AM4408">
        <v>84.2717080803599</v>
      </c>
      <c r="AN4408">
        <v>0.99999998405777002</v>
      </c>
    </row>
    <row r="4409" spans="1:40" x14ac:dyDescent="0.25">
      <c r="A4409" t="str">
        <f>"20190312161059431"</f>
        <v>20190312161059431</v>
      </c>
      <c r="B4409" t="str">
        <f>"1552378259421146"</f>
        <v>1552378259421146</v>
      </c>
      <c r="C4409" t="s">
        <v>40</v>
      </c>
      <c r="D4409">
        <v>5.697559</v>
      </c>
      <c r="E4409">
        <v>0.4792979</v>
      </c>
      <c r="F4409" t="s">
        <v>42</v>
      </c>
      <c r="G4409">
        <v>-311.86090000000002</v>
      </c>
      <c r="H4409">
        <v>0.88901039999999998</v>
      </c>
      <c r="I4409">
        <v>141.46530000000001</v>
      </c>
      <c r="J4409">
        <v>-311.346</v>
      </c>
      <c r="K4409">
        <v>1.1091329999999999</v>
      </c>
      <c r="L4409">
        <v>141.3426</v>
      </c>
      <c r="M4409">
        <v>-0.99991609999999997</v>
      </c>
      <c r="N4409">
        <v>0</v>
      </c>
      <c r="O4409">
        <v>8.6112240000000007E-3</v>
      </c>
      <c r="P4409">
        <v>-0.99406159999999999</v>
      </c>
      <c r="Q4409">
        <v>-1.3652360000000001E-2</v>
      </c>
      <c r="R4409">
        <v>0.10796020000000001</v>
      </c>
      <c r="S4409">
        <v>-2.9619749999999998</v>
      </c>
      <c r="T4409">
        <v>-0.7391529</v>
      </c>
      <c r="U4409">
        <v>0.42169190000000001</v>
      </c>
      <c r="V4409">
        <v>9.9394620000000003E-2</v>
      </c>
      <c r="W4409">
        <v>-4.0446559999999998E-3</v>
      </c>
      <c r="X4409">
        <v>0.99503989999999998</v>
      </c>
      <c r="Y4409">
        <v>0.1288038</v>
      </c>
      <c r="Z4409">
        <v>1.364662E-2</v>
      </c>
      <c r="AA4409">
        <v>0.99157620000000002</v>
      </c>
      <c r="AB4409">
        <v>39</v>
      </c>
      <c r="AC4409">
        <v>-0.51490000000001102</v>
      </c>
      <c r="AD4409">
        <v>-0.220122599999999</v>
      </c>
      <c r="AE4409">
        <v>0.122700000000008</v>
      </c>
      <c r="AF4409">
        <v>0.10082467007781799</v>
      </c>
      <c r="AG4409">
        <v>-0.220122599999999</v>
      </c>
      <c r="AH4409">
        <v>0.43986683194144499</v>
      </c>
      <c r="AI4409">
        <v>116.002199427929</v>
      </c>
      <c r="AJ4409">
        <v>77.089886705176895</v>
      </c>
      <c r="AK4409">
        <v>0.50209800135955895</v>
      </c>
      <c r="AL4409">
        <v>90.231742344177704</v>
      </c>
      <c r="AM4409">
        <v>84.295642253611405</v>
      </c>
      <c r="AN4409">
        <v>1.0000000261595501</v>
      </c>
    </row>
    <row r="4410" spans="1:40" x14ac:dyDescent="0.25">
      <c r="A4410" t="str">
        <f>"20190312161059454"</f>
        <v>20190312161059454</v>
      </c>
      <c r="B4410" t="str">
        <f>"1552378259451403"</f>
        <v>1552378259451403</v>
      </c>
      <c r="C4410" t="s">
        <v>40</v>
      </c>
      <c r="D4410">
        <v>5.7953979999999996</v>
      </c>
      <c r="E4410">
        <v>0.4228941</v>
      </c>
      <c r="F4410" t="s">
        <v>42</v>
      </c>
      <c r="G4410">
        <v>-312.24259999999998</v>
      </c>
      <c r="H4410">
        <v>0.96363149999999997</v>
      </c>
      <c r="I4410">
        <v>141.39099999999999</v>
      </c>
      <c r="J4410">
        <v>-311.7244</v>
      </c>
      <c r="K4410">
        <v>1.1091599999999999</v>
      </c>
      <c r="L4410">
        <v>141.3459</v>
      </c>
      <c r="M4410">
        <v>-0.99991350000000001</v>
      </c>
      <c r="N4410">
        <v>0</v>
      </c>
      <c r="O4410">
        <v>8.6981439999999997E-3</v>
      </c>
      <c r="P4410">
        <v>-0.99406629999999996</v>
      </c>
      <c r="Q4410">
        <v>-1.451787E-2</v>
      </c>
      <c r="R4410">
        <v>0.1078031</v>
      </c>
      <c r="S4410">
        <v>-2.9938660000000001</v>
      </c>
      <c r="T4410">
        <v>-0.48588490000000001</v>
      </c>
      <c r="U4410">
        <v>0.16014100000000001</v>
      </c>
      <c r="V4410">
        <v>9.9150879999999997E-2</v>
      </c>
      <c r="W4410">
        <v>-4.7277090000000001E-3</v>
      </c>
      <c r="X4410">
        <v>0.99506119999999998</v>
      </c>
      <c r="Y4410">
        <v>4.4261250000000002E-2</v>
      </c>
      <c r="Z4410">
        <v>2.1643449999999998E-3</v>
      </c>
      <c r="AA4410">
        <v>0.99901770000000001</v>
      </c>
      <c r="AB4410">
        <v>39</v>
      </c>
      <c r="AC4410">
        <v>-0.51819999999997801</v>
      </c>
      <c r="AD4410">
        <v>-0.14552850000000001</v>
      </c>
      <c r="AE4410">
        <v>4.50999999999908E-2</v>
      </c>
      <c r="AF4410">
        <v>3.7644097519074403E-2</v>
      </c>
      <c r="AG4410">
        <v>-0.14552850000000001</v>
      </c>
      <c r="AH4410">
        <v>0.48092797518594699</v>
      </c>
      <c r="AI4410">
        <v>106.787334950478</v>
      </c>
      <c r="AJ4410">
        <v>85.524362719535304</v>
      </c>
      <c r="AK4410">
        <v>0.50387234465361397</v>
      </c>
      <c r="AL4410">
        <v>90.2708787761362</v>
      </c>
      <c r="AM4410">
        <v>84.309659829768805</v>
      </c>
      <c r="AN4410">
        <v>1.0000000199912999</v>
      </c>
    </row>
    <row r="4411" spans="1:40" x14ac:dyDescent="0.25">
      <c r="A4411" t="str">
        <f>"20190312161059477"</f>
        <v>20190312161059477</v>
      </c>
      <c r="B4411" t="str">
        <f>"1552378259470923"</f>
        <v>1552378259470923</v>
      </c>
      <c r="C4411" t="s">
        <v>40</v>
      </c>
      <c r="D4411">
        <v>5.7517259999999997</v>
      </c>
      <c r="E4411">
        <v>0.4235544</v>
      </c>
      <c r="F4411" t="s">
        <v>41</v>
      </c>
      <c r="G4411">
        <v>-327.30720000000002</v>
      </c>
      <c r="H4411" s="1">
        <v>-1.205409E-6</v>
      </c>
      <c r="I4411">
        <v>139.8715</v>
      </c>
      <c r="J4411">
        <v>-312.13150000000002</v>
      </c>
      <c r="K4411">
        <v>1.1092040000000001</v>
      </c>
      <c r="L4411">
        <v>141.34960000000001</v>
      </c>
      <c r="M4411">
        <v>-0.99991030000000003</v>
      </c>
      <c r="N4411">
        <v>0</v>
      </c>
      <c r="O4411">
        <v>8.7958540000000005E-3</v>
      </c>
      <c r="P4411">
        <v>-0.99406459999999996</v>
      </c>
      <c r="Q4411">
        <v>-1.45737E-2</v>
      </c>
      <c r="R4411">
        <v>0.1078124</v>
      </c>
      <c r="S4411">
        <v>-3.0460509999999998</v>
      </c>
      <c r="T4411">
        <v>-0.21681429999999999</v>
      </c>
      <c r="U4411">
        <v>-0.28820800000000002</v>
      </c>
      <c r="V4411">
        <v>9.9062929999999993E-2</v>
      </c>
      <c r="W4411">
        <v>-4.5398959999999999E-3</v>
      </c>
      <c r="X4411">
        <v>0.99507080000000003</v>
      </c>
      <c r="Y4411">
        <v>-0.1026702</v>
      </c>
      <c r="Z4411">
        <v>-4.265245E-3</v>
      </c>
      <c r="AA4411">
        <v>0.99470630000000004</v>
      </c>
      <c r="AB4411">
        <v>39</v>
      </c>
      <c r="AC4411">
        <v>-15.175700000000001</v>
      </c>
      <c r="AD4411">
        <v>-1.109205205409</v>
      </c>
      <c r="AE4411">
        <v>-1.47810000000001</v>
      </c>
      <c r="AF4411">
        <v>-1.60304941274352</v>
      </c>
      <c r="AG4411">
        <v>-1.109205205409</v>
      </c>
      <c r="AH4411">
        <v>15.0822944696137</v>
      </c>
      <c r="AI4411">
        <v>94.182686665539606</v>
      </c>
      <c r="AJ4411">
        <v>96.067009627227606</v>
      </c>
      <c r="AK4411">
        <v>15.2077516443275</v>
      </c>
      <c r="AL4411">
        <v>90.260117777438296</v>
      </c>
      <c r="AM4411">
        <v>84.314728751915695</v>
      </c>
      <c r="AN4411">
        <v>0.99999998588425698</v>
      </c>
    </row>
    <row r="4412" spans="1:40" x14ac:dyDescent="0.25">
      <c r="A4412" t="str">
        <f>"20190312161059499"</f>
        <v>20190312161059499</v>
      </c>
      <c r="B4412" t="str">
        <f>"1552378259491419"</f>
        <v>1552378259491419</v>
      </c>
      <c r="C4412" t="s">
        <v>40</v>
      </c>
      <c r="D4412">
        <v>5.7498610000000001</v>
      </c>
      <c r="E4412">
        <v>0.42371760000000003</v>
      </c>
      <c r="F4412" t="s">
        <v>41</v>
      </c>
      <c r="G4412">
        <v>-328.88490000000002</v>
      </c>
      <c r="H4412" s="1">
        <v>-5.0769300000000005E-7</v>
      </c>
      <c r="I4412">
        <v>139.79300000000001</v>
      </c>
      <c r="J4412">
        <v>-312.50959999999998</v>
      </c>
      <c r="K4412">
        <v>1.1092420000000001</v>
      </c>
      <c r="L4412">
        <v>141.35299999999901</v>
      </c>
      <c r="M4412">
        <v>-0.99990690000000004</v>
      </c>
      <c r="N4412">
        <v>0</v>
      </c>
      <c r="O4412">
        <v>8.8810079999999993E-3</v>
      </c>
      <c r="P4412">
        <v>-0.99406269999999997</v>
      </c>
      <c r="Q4412">
        <v>-1.424746E-2</v>
      </c>
      <c r="R4412">
        <v>0.1078741</v>
      </c>
      <c r="S4412">
        <v>-3.0456539999999999</v>
      </c>
      <c r="T4412">
        <v>-0.2016473</v>
      </c>
      <c r="U4412">
        <v>-0.28297420000000001</v>
      </c>
      <c r="V4412">
        <v>9.9040020000000006E-2</v>
      </c>
      <c r="W4412">
        <v>-3.9519830000000001E-3</v>
      </c>
      <c r="X4412">
        <v>0.99507559999999995</v>
      </c>
      <c r="Y4412">
        <v>-0.1011133</v>
      </c>
      <c r="Z4412">
        <v>-3.9226249999999999E-3</v>
      </c>
      <c r="AA4412">
        <v>0.99486719999999895</v>
      </c>
      <c r="AB4412">
        <v>39</v>
      </c>
      <c r="AC4412">
        <v>-16.375299999999999</v>
      </c>
      <c r="AD4412">
        <v>-1.1092425076929999</v>
      </c>
      <c r="AE4412">
        <v>-1.5599999999999701</v>
      </c>
      <c r="AF4412">
        <v>-1.6976557460308099</v>
      </c>
      <c r="AG4412">
        <v>-1.1092425076929999</v>
      </c>
      <c r="AH4412">
        <v>16.2867388118982</v>
      </c>
      <c r="AI4412">
        <v>93.875301084519805</v>
      </c>
      <c r="AJ4412">
        <v>95.950762402904601</v>
      </c>
      <c r="AK4412">
        <v>16.412504839295501</v>
      </c>
      <c r="AL4412">
        <v>90.226432536762303</v>
      </c>
      <c r="AM4412">
        <v>84.316062196367398</v>
      </c>
      <c r="AN4412">
        <v>0.99999999672329598</v>
      </c>
    </row>
    <row r="4413" spans="1:40" x14ac:dyDescent="0.25">
      <c r="A4413" t="str">
        <f>"20190312161059521"</f>
        <v>20190312161059521</v>
      </c>
      <c r="B4413" t="str">
        <f>"1552378259510938"</f>
        <v>1552378259510938</v>
      </c>
      <c r="C4413" t="s">
        <v>40</v>
      </c>
      <c r="D4413">
        <v>5.7522399999999996</v>
      </c>
      <c r="E4413">
        <v>0.42360569999999997</v>
      </c>
      <c r="F4413" t="s">
        <v>41</v>
      </c>
      <c r="G4413">
        <v>-329.79700000000003</v>
      </c>
      <c r="H4413" s="1">
        <v>-1.0669679999999999E-7</v>
      </c>
      <c r="I4413">
        <v>139.75649999999999</v>
      </c>
      <c r="J4413">
        <v>-312.8972</v>
      </c>
      <c r="K4413">
        <v>1.1092869999999999</v>
      </c>
      <c r="L4413">
        <v>141.35659999999999</v>
      </c>
      <c r="M4413">
        <v>-0.99990299999999999</v>
      </c>
      <c r="N4413">
        <v>0</v>
      </c>
      <c r="O4413">
        <v>8.962411E-3</v>
      </c>
      <c r="P4413">
        <v>-0.99395820000000001</v>
      </c>
      <c r="Q4413">
        <v>-1.457086E-2</v>
      </c>
      <c r="R4413">
        <v>0.1087886</v>
      </c>
      <c r="S4413">
        <v>-3.0456539999999999</v>
      </c>
      <c r="T4413">
        <v>-0.19542470000000001</v>
      </c>
      <c r="U4413">
        <v>-0.28125</v>
      </c>
      <c r="V4413">
        <v>9.9874379999999999E-2</v>
      </c>
      <c r="W4413">
        <v>-3.9830150000000003E-3</v>
      </c>
      <c r="X4413">
        <v>0.99499210000000005</v>
      </c>
      <c r="Y4413">
        <v>-0.1006512</v>
      </c>
      <c r="Z4413">
        <v>-3.792354E-3</v>
      </c>
      <c r="AA4413">
        <v>0.99491450000000003</v>
      </c>
      <c r="AB4413">
        <v>39</v>
      </c>
      <c r="AC4413">
        <v>-16.8997999999999</v>
      </c>
      <c r="AD4413">
        <v>-1.1092871066968</v>
      </c>
      <c r="AE4413">
        <v>-1.6000999999999901</v>
      </c>
      <c r="AF4413">
        <v>-1.7440597944310301</v>
      </c>
      <c r="AG4413">
        <v>-1.1092871066968</v>
      </c>
      <c r="AH4413">
        <v>16.812984688440299</v>
      </c>
      <c r="AI4413">
        <v>93.754700840793902</v>
      </c>
      <c r="AJ4413">
        <v>95.922276190045594</v>
      </c>
      <c r="AK4413">
        <v>16.939560696351101</v>
      </c>
      <c r="AL4413">
        <v>90.228210548621803</v>
      </c>
      <c r="AM4413">
        <v>84.268017713976803</v>
      </c>
      <c r="AN4413">
        <v>1.0000000176256401</v>
      </c>
    </row>
    <row r="4414" spans="1:40" x14ac:dyDescent="0.25">
      <c r="A4414" t="str">
        <f>"20190312161059543"</f>
        <v>20190312161059543</v>
      </c>
      <c r="B4414" t="str">
        <f>"1552378259531435"</f>
        <v>1552378259531435</v>
      </c>
      <c r="C4414" t="s">
        <v>40</v>
      </c>
      <c r="D4414">
        <v>5.7315500000000004</v>
      </c>
      <c r="E4414">
        <v>0.4237243</v>
      </c>
      <c r="F4414" t="s">
        <v>41</v>
      </c>
      <c r="G4414">
        <v>-331.23540000000003</v>
      </c>
      <c r="H4414" s="1">
        <v>-4.1391599999999999E-6</v>
      </c>
      <c r="I4414">
        <v>139.67500000000001</v>
      </c>
      <c r="J4414">
        <v>-313.27600000000001</v>
      </c>
      <c r="K4414">
        <v>1.1093420000000001</v>
      </c>
      <c r="L4414">
        <v>141.36009999999999</v>
      </c>
      <c r="M4414">
        <v>-0.99989870000000003</v>
      </c>
      <c r="N4414">
        <v>0</v>
      </c>
      <c r="O4414">
        <v>9.0450649999999997E-3</v>
      </c>
      <c r="P4414">
        <v>-0.99389170000000004</v>
      </c>
      <c r="Q4414">
        <v>-1.429504E-2</v>
      </c>
      <c r="R4414">
        <v>0.10943</v>
      </c>
      <c r="S4414">
        <v>-3.0461429999999998</v>
      </c>
      <c r="T4414">
        <v>-0.18426310000000001</v>
      </c>
      <c r="U4414">
        <v>-0.27931209999999901</v>
      </c>
      <c r="V4414">
        <v>0.1004341</v>
      </c>
      <c r="W4414">
        <v>-3.3892800000000002E-3</v>
      </c>
      <c r="X4414">
        <v>0.99493799999999999</v>
      </c>
      <c r="Y4414">
        <v>-0.10011680000000001</v>
      </c>
      <c r="Z4414">
        <v>-3.5645709999999999E-3</v>
      </c>
      <c r="AA4414">
        <v>0.99496929999999995</v>
      </c>
      <c r="AB4414">
        <v>39</v>
      </c>
      <c r="AC4414">
        <v>-17.959399999999999</v>
      </c>
      <c r="AD4414">
        <v>-1.1093461391599999</v>
      </c>
      <c r="AE4414">
        <v>-1.6850999999999701</v>
      </c>
      <c r="AF4414">
        <v>-1.84052359196011</v>
      </c>
      <c r="AG4414">
        <v>-1.1093461391599999</v>
      </c>
      <c r="AH4414">
        <v>17.875812684656001</v>
      </c>
      <c r="AI4414">
        <v>93.532508857662194</v>
      </c>
      <c r="AJ4414">
        <v>95.878554691879998</v>
      </c>
      <c r="AK4414">
        <v>18.004523184076302</v>
      </c>
      <c r="AL4414">
        <v>90.194191799772995</v>
      </c>
      <c r="AM4414">
        <v>84.235798700977199</v>
      </c>
      <c r="AN4414">
        <v>1.00000005975286</v>
      </c>
    </row>
    <row r="4415" spans="1:40" x14ac:dyDescent="0.25">
      <c r="A4415" t="str">
        <f>"20190312161059567"</f>
        <v>20190312161059567</v>
      </c>
      <c r="B4415" t="str">
        <f>"1552378259561690"</f>
        <v>1552378259561690</v>
      </c>
      <c r="C4415" t="s">
        <v>40</v>
      </c>
      <c r="D4415">
        <v>5.7213219999999998</v>
      </c>
      <c r="E4415">
        <v>0.42455120000000002</v>
      </c>
      <c r="F4415" t="s">
        <v>41</v>
      </c>
      <c r="G4415">
        <v>-332.74040000000002</v>
      </c>
      <c r="H4415" s="1">
        <v>-3.4160559999999998E-6</v>
      </c>
      <c r="I4415">
        <v>139.5943</v>
      </c>
      <c r="J4415">
        <v>-313.6789</v>
      </c>
      <c r="K4415">
        <v>1.1094040000000001</v>
      </c>
      <c r="L4415">
        <v>141.3638</v>
      </c>
      <c r="M4415">
        <v>-0.99989360000000005</v>
      </c>
      <c r="N4415">
        <v>0</v>
      </c>
      <c r="O4415">
        <v>9.1388419999999995E-3</v>
      </c>
      <c r="P4415">
        <v>-0.99387859999999995</v>
      </c>
      <c r="Q4415">
        <v>-1.4130200000000001E-2</v>
      </c>
      <c r="R4415">
        <v>0.109570899999999</v>
      </c>
      <c r="S4415">
        <v>-3.0463870000000002</v>
      </c>
      <c r="T4415">
        <v>-0.1736249</v>
      </c>
      <c r="U4415">
        <v>-0.27636719999999998</v>
      </c>
      <c r="V4415">
        <v>0.1004821</v>
      </c>
      <c r="W4415">
        <v>-2.8421229999999998E-3</v>
      </c>
      <c r="X4415">
        <v>0.99493480000000001</v>
      </c>
      <c r="Y4415">
        <v>-9.9272390000000002E-2</v>
      </c>
      <c r="Z4415">
        <v>-3.3403310000000002E-3</v>
      </c>
      <c r="AA4415">
        <v>0.99505469999999896</v>
      </c>
      <c r="AB4415">
        <v>39</v>
      </c>
      <c r="AC4415">
        <v>-19.061499999999999</v>
      </c>
      <c r="AD4415">
        <v>-1.1094074160559999</v>
      </c>
      <c r="AE4415">
        <v>-1.7694999999999901</v>
      </c>
      <c r="AF4415">
        <v>-1.93713159551264</v>
      </c>
      <c r="AG4415">
        <v>-1.1094074160559999</v>
      </c>
      <c r="AH4415">
        <v>18.980785268663698</v>
      </c>
      <c r="AI4415">
        <v>93.327826892543101</v>
      </c>
      <c r="AJ4415">
        <v>95.827288389000501</v>
      </c>
      <c r="AK4415">
        <v>19.111605716115399</v>
      </c>
      <c r="AL4415">
        <v>90.162841873100504</v>
      </c>
      <c r="AM4415">
        <v>84.233043984016604</v>
      </c>
      <c r="AN4415">
        <v>0.99999999316729804</v>
      </c>
    </row>
    <row r="4416" spans="1:40" x14ac:dyDescent="0.25">
      <c r="A4416" t="str">
        <f>"20190312161059589"</f>
        <v>20190312161059589</v>
      </c>
      <c r="B4416" t="str">
        <f>"1552378259581210"</f>
        <v>1552378259581210</v>
      </c>
      <c r="C4416" t="s">
        <v>40</v>
      </c>
      <c r="D4416">
        <v>5.6993900000000002</v>
      </c>
      <c r="E4416">
        <v>0.4250912</v>
      </c>
      <c r="F4416" t="s">
        <v>41</v>
      </c>
      <c r="G4416">
        <v>-333.36099999999999</v>
      </c>
      <c r="H4416" s="1">
        <v>-3.1204179999999999E-6</v>
      </c>
      <c r="I4416">
        <v>139.6224</v>
      </c>
      <c r="J4416">
        <v>-314.07060000000001</v>
      </c>
      <c r="K4416">
        <v>1.1094710000000001</v>
      </c>
      <c r="L4416">
        <v>141.36750000000001</v>
      </c>
      <c r="M4416">
        <v>-0.99988829999999995</v>
      </c>
      <c r="N4416">
        <v>0</v>
      </c>
      <c r="O4416">
        <v>9.2328849999999997E-3</v>
      </c>
      <c r="P4416">
        <v>-0.99391130000000005</v>
      </c>
      <c r="Q4416">
        <v>-1.421099E-2</v>
      </c>
      <c r="R4416">
        <v>0.1092625</v>
      </c>
      <c r="S4416">
        <v>-3.045715</v>
      </c>
      <c r="T4416">
        <v>-0.1716763</v>
      </c>
      <c r="U4416">
        <v>-0.26947019999999999</v>
      </c>
      <c r="V4416">
        <v>0.1000798</v>
      </c>
      <c r="W4416">
        <v>-2.5353009999999998E-3</v>
      </c>
      <c r="X4416">
        <v>0.99497619999999998</v>
      </c>
      <c r="Y4416">
        <v>-9.7157160000000006E-2</v>
      </c>
      <c r="Z4416">
        <v>-3.2497960000000001E-3</v>
      </c>
      <c r="AA4416">
        <v>0.99526380000000003</v>
      </c>
      <c r="AB4416">
        <v>39</v>
      </c>
      <c r="AC4416">
        <v>-19.290399999999899</v>
      </c>
      <c r="AD4416">
        <v>-1.1094741204180001</v>
      </c>
      <c r="AE4416">
        <v>-1.7451000000000001</v>
      </c>
      <c r="AF4416">
        <v>-1.9168546687446799</v>
      </c>
      <c r="AG4416">
        <v>-1.1094741204180001</v>
      </c>
      <c r="AH4416">
        <v>19.210433939640598</v>
      </c>
      <c r="AI4416">
        <v>93.289075884362006</v>
      </c>
      <c r="AJ4416">
        <v>95.698223546948498</v>
      </c>
      <c r="AK4416">
        <v>19.337684370013399</v>
      </c>
      <c r="AL4416">
        <v>90.145262200339801</v>
      </c>
      <c r="AM4416">
        <v>84.2562158393484</v>
      </c>
      <c r="AN4416">
        <v>1.00000001634282</v>
      </c>
    </row>
    <row r="4417" spans="1:40" x14ac:dyDescent="0.25">
      <c r="A4417" t="str">
        <f>"20190312161059611"</f>
        <v>20190312161059611</v>
      </c>
      <c r="B4417" t="str">
        <f>"1552378259601706"</f>
        <v>1552378259601706</v>
      </c>
      <c r="C4417" t="s">
        <v>40</v>
      </c>
      <c r="D4417">
        <v>5.7235449999999997</v>
      </c>
      <c r="E4417">
        <v>0.42557309999999998</v>
      </c>
      <c r="F4417" t="s">
        <v>41</v>
      </c>
      <c r="G4417">
        <v>-333.14580000000001</v>
      </c>
      <c r="H4417" s="1">
        <v>-3.2429689999999999E-6</v>
      </c>
      <c r="I4417">
        <v>139.70089999999999</v>
      </c>
      <c r="J4417">
        <v>-314.46440000000001</v>
      </c>
      <c r="K4417">
        <v>1.109521</v>
      </c>
      <c r="L4417">
        <v>141.37119999999999</v>
      </c>
      <c r="M4417">
        <v>-0.99988279999999996</v>
      </c>
      <c r="N4417">
        <v>0</v>
      </c>
      <c r="O4417">
        <v>9.3256539999999992E-3</v>
      </c>
      <c r="P4417">
        <v>-0.99394009999999999</v>
      </c>
      <c r="Q4417">
        <v>-1.452838E-2</v>
      </c>
      <c r="R4417">
        <v>0.1089595</v>
      </c>
      <c r="S4417">
        <v>-3.045105</v>
      </c>
      <c r="T4417">
        <v>-0.177112299999999</v>
      </c>
      <c r="U4417">
        <v>-0.26605220000000002</v>
      </c>
      <c r="V4417">
        <v>9.9684529999999993E-2</v>
      </c>
      <c r="W4417">
        <v>-2.4785190000000002E-3</v>
      </c>
      <c r="X4417">
        <v>0.99501600000000001</v>
      </c>
      <c r="Y4417">
        <v>-9.6149100000000001E-2</v>
      </c>
      <c r="Z4417">
        <v>-3.3295109999999998E-3</v>
      </c>
      <c r="AA4417">
        <v>0.99536139999999995</v>
      </c>
      <c r="AB4417">
        <v>39</v>
      </c>
      <c r="AC4417">
        <v>-18.6814</v>
      </c>
      <c r="AD4417">
        <v>-1.109524242969</v>
      </c>
      <c r="AE4417">
        <v>-1.6702999999999899</v>
      </c>
      <c r="AF4417">
        <v>-1.8380244422399501</v>
      </c>
      <c r="AG4417">
        <v>-1.109524242969</v>
      </c>
      <c r="AH4417">
        <v>18.599920696350601</v>
      </c>
      <c r="AI4417">
        <v>93.397259890408193</v>
      </c>
      <c r="AJ4417">
        <v>95.643585561184693</v>
      </c>
      <c r="AK4417">
        <v>18.723419233850901</v>
      </c>
      <c r="AL4417">
        <v>90.142008824330802</v>
      </c>
      <c r="AM4417">
        <v>84.278977729194494</v>
      </c>
      <c r="AN4417">
        <v>0.99999999441687704</v>
      </c>
    </row>
    <row r="4418" spans="1:40" x14ac:dyDescent="0.25">
      <c r="A4418" t="str">
        <f>"20190312161059633"</f>
        <v>20190312161059633</v>
      </c>
      <c r="B4418" t="str">
        <f>"1552378259621227"</f>
        <v>1552378259621227</v>
      </c>
      <c r="C4418" t="s">
        <v>40</v>
      </c>
      <c r="D4418">
        <v>5.6259670000000002</v>
      </c>
      <c r="E4418">
        <v>0.42596220000000001</v>
      </c>
      <c r="F4418" t="s">
        <v>41</v>
      </c>
      <c r="G4418">
        <v>-333.43709999999999</v>
      </c>
      <c r="H4418" s="1">
        <v>-3.1131689999999999E-6</v>
      </c>
      <c r="I4418">
        <v>139.73050000000001</v>
      </c>
      <c r="J4418">
        <v>-314.83679999999998</v>
      </c>
      <c r="K4418">
        <v>1.1095660000000001</v>
      </c>
      <c r="L4418">
        <v>141.37469999999999</v>
      </c>
      <c r="M4418">
        <v>-0.99987800000000004</v>
      </c>
      <c r="N4418">
        <v>0</v>
      </c>
      <c r="O4418">
        <v>9.4095540000000005E-3</v>
      </c>
      <c r="P4418">
        <v>-0.99392650000000005</v>
      </c>
      <c r="Q4418">
        <v>-1.469122E-2</v>
      </c>
      <c r="R4418">
        <v>0.1090597</v>
      </c>
      <c r="S4418">
        <v>-3.0445250000000001</v>
      </c>
      <c r="T4418">
        <v>-0.17804320000000001</v>
      </c>
      <c r="U4418">
        <v>-0.26327509999999998</v>
      </c>
      <c r="V4418">
        <v>9.9701079999999997E-2</v>
      </c>
      <c r="W4418">
        <v>-2.315569E-3</v>
      </c>
      <c r="X4418">
        <v>0.99501470000000003</v>
      </c>
      <c r="Y4418">
        <v>-9.5347230000000005E-2</v>
      </c>
      <c r="Z4418">
        <v>-3.3292590000000002E-3</v>
      </c>
      <c r="AA4418">
        <v>0.9954385</v>
      </c>
      <c r="AB4418">
        <v>39</v>
      </c>
      <c r="AC4418">
        <v>-18.600300000000001</v>
      </c>
      <c r="AD4418">
        <v>-1.109569113169</v>
      </c>
      <c r="AE4418">
        <v>-1.6441999999999799</v>
      </c>
      <c r="AF4418">
        <v>-1.8127606091712001</v>
      </c>
      <c r="AG4418">
        <v>-1.109569113169</v>
      </c>
      <c r="AH4418">
        <v>18.5186161893796</v>
      </c>
      <c r="AI4418">
        <v>93.412586326781494</v>
      </c>
      <c r="AJ4418">
        <v>95.590789261662906</v>
      </c>
      <c r="AK4418">
        <v>18.640182140006399</v>
      </c>
      <c r="AL4418">
        <v>90.132672454711795</v>
      </c>
      <c r="AM4418">
        <v>84.278026779630196</v>
      </c>
      <c r="AN4418">
        <v>0.99999996021452398</v>
      </c>
    </row>
    <row r="4419" spans="1:40" x14ac:dyDescent="0.25">
      <c r="A4419" t="str">
        <f>"20190312161059655"</f>
        <v>20190312161059655</v>
      </c>
      <c r="B4419" t="str">
        <f>"1552378259651483"</f>
        <v>1552378259651483</v>
      </c>
      <c r="C4419" t="s">
        <v>40</v>
      </c>
      <c r="D4419">
        <v>5.6412399999999998</v>
      </c>
      <c r="E4419">
        <v>0.42596400000000001</v>
      </c>
      <c r="F4419" t="s">
        <v>41</v>
      </c>
      <c r="G4419">
        <v>-333.4359</v>
      </c>
      <c r="H4419" s="1">
        <v>-3.1286669999999999E-6</v>
      </c>
      <c r="I4419">
        <v>139.78649999999999</v>
      </c>
      <c r="J4419">
        <v>-315.2072</v>
      </c>
      <c r="K4419">
        <v>1.1096010000000001</v>
      </c>
      <c r="L4419">
        <v>141.3783</v>
      </c>
      <c r="M4419">
        <v>-0.99987369999999998</v>
      </c>
      <c r="N4419">
        <v>0</v>
      </c>
      <c r="O4419">
        <v>9.4889529999999996E-3</v>
      </c>
      <c r="P4419">
        <v>-0.99395310000000003</v>
      </c>
      <c r="Q4419">
        <v>-1.440394E-2</v>
      </c>
      <c r="R4419">
        <v>0.10885830000000001</v>
      </c>
      <c r="S4419">
        <v>-3.0441590000000001</v>
      </c>
      <c r="T4419">
        <v>-0.1816062</v>
      </c>
      <c r="U4419">
        <v>-0.25994869999999998</v>
      </c>
      <c r="V4419">
        <v>9.9420679999999997E-2</v>
      </c>
      <c r="W4419">
        <v>-1.7332529999999999E-3</v>
      </c>
      <c r="X4419">
        <v>0.99504400000000004</v>
      </c>
      <c r="Y4419">
        <v>-9.4351149999999995E-2</v>
      </c>
      <c r="Z4419">
        <v>-3.3714259999999999E-3</v>
      </c>
      <c r="AA4419">
        <v>0.99553329999999995</v>
      </c>
      <c r="AB4419">
        <v>39</v>
      </c>
      <c r="AC4419">
        <v>-18.2287</v>
      </c>
      <c r="AD4419">
        <v>-1.109604128667</v>
      </c>
      <c r="AE4419">
        <v>-1.5918000000000001</v>
      </c>
      <c r="AF4419">
        <v>-1.75824810640739</v>
      </c>
      <c r="AG4419">
        <v>-1.109604128667</v>
      </c>
      <c r="AH4419">
        <v>18.146045524930699</v>
      </c>
      <c r="AI4419">
        <v>93.482924984085003</v>
      </c>
      <c r="AJ4419">
        <v>95.534356963648904</v>
      </c>
      <c r="AK4419">
        <v>18.2647646006976</v>
      </c>
      <c r="AL4419">
        <v>90.099308129578802</v>
      </c>
      <c r="AM4419">
        <v>84.294179866626905</v>
      </c>
      <c r="AN4419">
        <v>1.0000000188568099</v>
      </c>
    </row>
    <row r="4420" spans="1:40" x14ac:dyDescent="0.25">
      <c r="A4420" t="str">
        <f>"20190312161059678"</f>
        <v>20190312161059678</v>
      </c>
      <c r="B4420" t="str">
        <f>"1552378259671003"</f>
        <v>1552378259671003</v>
      </c>
      <c r="C4420" t="s">
        <v>40</v>
      </c>
      <c r="D4420">
        <v>5.6060639999999999</v>
      </c>
      <c r="E4420">
        <v>0.41742289999999999</v>
      </c>
      <c r="F4420" t="s">
        <v>41</v>
      </c>
      <c r="G4420">
        <v>-334.10640000000001</v>
      </c>
      <c r="H4420" s="1">
        <v>-2.8050269999999999E-6</v>
      </c>
      <c r="I4420">
        <v>139.76140000000001</v>
      </c>
      <c r="J4420">
        <v>-315.60919999999999</v>
      </c>
      <c r="K4420">
        <v>1.1096280000000001</v>
      </c>
      <c r="L4420">
        <v>141.38220000000001</v>
      </c>
      <c r="M4420">
        <v>-0.99986909999999896</v>
      </c>
      <c r="N4420">
        <v>0</v>
      </c>
      <c r="O4420">
        <v>9.5729960000000003E-3</v>
      </c>
      <c r="P4420">
        <v>-0.99399570000000004</v>
      </c>
      <c r="Q4420">
        <v>-1.4055639999999999E-2</v>
      </c>
      <c r="R4420">
        <v>0.1085134</v>
      </c>
      <c r="S4420">
        <v>-3.0441889999999998</v>
      </c>
      <c r="T4420">
        <v>-0.17873</v>
      </c>
      <c r="U4420">
        <v>-0.26043699999999997</v>
      </c>
      <c r="V4420">
        <v>9.8991869999999996E-2</v>
      </c>
      <c r="W4420">
        <v>-1.0967100000000001E-3</v>
      </c>
      <c r="X4420">
        <v>0.99508759999999996</v>
      </c>
      <c r="Y4420">
        <v>-9.4597719999999996E-2</v>
      </c>
      <c r="Z4420">
        <v>-3.330211E-3</v>
      </c>
      <c r="AA4420">
        <v>0.99551000000000001</v>
      </c>
      <c r="AB4420">
        <v>39</v>
      </c>
      <c r="AC4420">
        <v>-18.497199999999999</v>
      </c>
      <c r="AD4420">
        <v>-1.1096308050270001</v>
      </c>
      <c r="AE4420">
        <v>-1.6208</v>
      </c>
      <c r="AF4420">
        <v>-1.7914167646450201</v>
      </c>
      <c r="AG4420">
        <v>-1.1096308050270001</v>
      </c>
      <c r="AH4420">
        <v>18.415069768957402</v>
      </c>
      <c r="AI4420">
        <v>93.4321210642089</v>
      </c>
      <c r="AJ4420">
        <v>95.5562466720408</v>
      </c>
      <c r="AK4420">
        <v>18.535243433623599</v>
      </c>
      <c r="AL4420">
        <v>90.062836869309706</v>
      </c>
      <c r="AM4420">
        <v>84.318875521436098</v>
      </c>
      <c r="AN4420">
        <v>0.99999996238633904</v>
      </c>
    </row>
    <row r="4421" spans="1:40" x14ac:dyDescent="0.25">
      <c r="A4421" t="str">
        <f>"20190312161059700"</f>
        <v>20190312161059700</v>
      </c>
      <c r="B4421" t="str">
        <f>"1552378259691502"</f>
        <v>1552378259691502</v>
      </c>
      <c r="C4421" t="s">
        <v>40</v>
      </c>
      <c r="D4421">
        <v>5.6178999999999997</v>
      </c>
      <c r="E4421">
        <v>0.4188075</v>
      </c>
      <c r="F4421" t="s">
        <v>41</v>
      </c>
      <c r="G4421">
        <v>-353.31009999999998</v>
      </c>
      <c r="H4421" s="1">
        <v>-3.2600359999999999E-6</v>
      </c>
      <c r="I4421">
        <v>137.3175</v>
      </c>
      <c r="J4421">
        <v>-315.9914</v>
      </c>
      <c r="K4421">
        <v>1.1096349999999999</v>
      </c>
      <c r="L4421">
        <v>141.38589999999999</v>
      </c>
      <c r="M4421">
        <v>-0.99986509999999995</v>
      </c>
      <c r="N4421">
        <v>0</v>
      </c>
      <c r="O4421">
        <v>9.6525680000000003E-3</v>
      </c>
      <c r="P4421">
        <v>-0.99397550000000001</v>
      </c>
      <c r="Q4421">
        <v>-1.434562E-2</v>
      </c>
      <c r="R4421">
        <v>0.1086606</v>
      </c>
      <c r="S4421">
        <v>-3.052826</v>
      </c>
      <c r="T4421">
        <v>-8.9852329999999994E-2</v>
      </c>
      <c r="U4421">
        <v>-0.32913209999999998</v>
      </c>
      <c r="V4421">
        <v>9.9060140000000005E-2</v>
      </c>
      <c r="W4421">
        <v>-1.143366E-3</v>
      </c>
      <c r="X4421">
        <v>0.99508079999999999</v>
      </c>
      <c r="Y4421">
        <v>-0.11672979999999999</v>
      </c>
      <c r="Z4421">
        <v>-1.9957709999999999E-3</v>
      </c>
      <c r="AA4421">
        <v>0.99316170000000004</v>
      </c>
      <c r="AB4421">
        <v>39</v>
      </c>
      <c r="AC4421">
        <v>-37.3186999999999</v>
      </c>
      <c r="AD4421">
        <v>-1.109638260036</v>
      </c>
      <c r="AE4421">
        <v>-4.0683999999999898</v>
      </c>
      <c r="AF4421">
        <v>-4.4245976175245199</v>
      </c>
      <c r="AG4421">
        <v>-1.109638260036</v>
      </c>
      <c r="AH4421">
        <v>37.245144834669098</v>
      </c>
      <c r="AI4421">
        <v>91.694589968102406</v>
      </c>
      <c r="AJ4421">
        <v>96.774794392365393</v>
      </c>
      <c r="AK4421">
        <v>37.523448334349801</v>
      </c>
      <c r="AL4421">
        <v>90.065510059950299</v>
      </c>
      <c r="AM4421">
        <v>84.314944580426499</v>
      </c>
      <c r="AN4421">
        <v>1.00000000857563</v>
      </c>
    </row>
    <row r="4422" spans="1:40" x14ac:dyDescent="0.25">
      <c r="A4422" t="str">
        <f>"20190312161059721"</f>
        <v>20190312161059721</v>
      </c>
      <c r="B4422" t="str">
        <f>"1552378259711019"</f>
        <v>1552378259711019</v>
      </c>
      <c r="C4422" t="s">
        <v>40</v>
      </c>
      <c r="D4422">
        <v>5.591774</v>
      </c>
      <c r="E4422">
        <v>0.41968490000000003</v>
      </c>
      <c r="F4422" t="s">
        <v>41</v>
      </c>
      <c r="G4422">
        <v>-358.2998</v>
      </c>
      <c r="H4422" s="1">
        <v>-1.265547E-6</v>
      </c>
      <c r="I4422">
        <v>136.982</v>
      </c>
      <c r="J4422">
        <v>-316.36309999999997</v>
      </c>
      <c r="K4422">
        <v>1.109642</v>
      </c>
      <c r="L4422">
        <v>141.3896</v>
      </c>
      <c r="M4422">
        <v>-0.99986149999999996</v>
      </c>
      <c r="N4422">
        <v>0</v>
      </c>
      <c r="O4422">
        <v>9.7305410000000005E-3</v>
      </c>
      <c r="P4422">
        <v>-0.99396649999999998</v>
      </c>
      <c r="Q4422">
        <v>-1.442979E-2</v>
      </c>
      <c r="R4422">
        <v>0.108732</v>
      </c>
      <c r="S4422">
        <v>-3.051758</v>
      </c>
      <c r="T4422">
        <v>-8.00395E-2</v>
      </c>
      <c r="U4422">
        <v>-0.31765749999999998</v>
      </c>
      <c r="V4422">
        <v>9.9054020000000007E-2</v>
      </c>
      <c r="W4422">
        <v>-1.017617E-3</v>
      </c>
      <c r="X4422">
        <v>0.99508149999999995</v>
      </c>
      <c r="Y4422">
        <v>-0.1131631</v>
      </c>
      <c r="Z4422">
        <v>-1.734261E-3</v>
      </c>
      <c r="AA4422">
        <v>0.99357490000000004</v>
      </c>
      <c r="AB4422">
        <v>38</v>
      </c>
      <c r="AC4422">
        <v>-41.936700000000002</v>
      </c>
      <c r="AD4422">
        <v>-1.1096432655470001</v>
      </c>
      <c r="AE4422">
        <v>-4.4076000000000004</v>
      </c>
      <c r="AF4422">
        <v>-4.81216294575131</v>
      </c>
      <c r="AG4422">
        <v>-1.1096432655470001</v>
      </c>
      <c r="AH4422">
        <v>41.862832819686702</v>
      </c>
      <c r="AI4422">
        <v>91.5084347381285</v>
      </c>
      <c r="AJ4422">
        <v>96.557409935031998</v>
      </c>
      <c r="AK4422">
        <v>42.153113670075101</v>
      </c>
      <c r="AL4422">
        <v>90.058305171479105</v>
      </c>
      <c r="AM4422">
        <v>84.315297479111806</v>
      </c>
      <c r="AN4422">
        <v>0.99999996303238303</v>
      </c>
    </row>
    <row r="4423" spans="1:40" x14ac:dyDescent="0.25">
      <c r="A4423" t="str">
        <f>"20190312161059743"</f>
        <v>20190312161059743</v>
      </c>
      <c r="B4423" t="str">
        <f>"1552378259731620"</f>
        <v>1552378259731620</v>
      </c>
      <c r="C4423" t="s">
        <v>40</v>
      </c>
      <c r="D4423">
        <v>5.5487729999999997</v>
      </c>
      <c r="E4423">
        <v>0.42004629999999998</v>
      </c>
      <c r="F4423" t="s">
        <v>41</v>
      </c>
      <c r="G4423">
        <v>-361.89980000000003</v>
      </c>
      <c r="H4423" s="1">
        <v>-3.9647780000000004E-6</v>
      </c>
      <c r="I4423">
        <v>136.755</v>
      </c>
      <c r="J4423">
        <v>-316.72890000000001</v>
      </c>
      <c r="K4423">
        <v>1.1096539999999999</v>
      </c>
      <c r="L4423">
        <v>141.39320000000001</v>
      </c>
      <c r="M4423">
        <v>-0.99985829999999998</v>
      </c>
      <c r="N4423">
        <v>0</v>
      </c>
      <c r="O4423">
        <v>9.8067750000000002E-3</v>
      </c>
      <c r="P4423">
        <v>-0.99393679999999995</v>
      </c>
      <c r="Q4423">
        <v>-1.409346E-2</v>
      </c>
      <c r="R4423">
        <v>0.10904759999999999</v>
      </c>
      <c r="S4423">
        <v>-3.0511469999999998</v>
      </c>
      <c r="T4423">
        <v>-7.4350949999999999E-2</v>
      </c>
      <c r="U4423">
        <v>-0.31053160000000002</v>
      </c>
      <c r="V4423">
        <v>9.9294149999999998E-2</v>
      </c>
      <c r="W4423">
        <v>-4.9945359999999995E-4</v>
      </c>
      <c r="X4423">
        <v>0.995058</v>
      </c>
      <c r="Y4423">
        <v>-0.1109692</v>
      </c>
      <c r="Z4423">
        <v>-1.5867500000000001E-3</v>
      </c>
      <c r="AA4423">
        <v>0.9938226</v>
      </c>
      <c r="AB4423">
        <v>38</v>
      </c>
      <c r="AC4423">
        <v>-45.170900000000003</v>
      </c>
      <c r="AD4423">
        <v>-1.109657964778</v>
      </c>
      <c r="AE4423">
        <v>-4.6382000000000101</v>
      </c>
      <c r="AF4423">
        <v>-5.0779667776594701</v>
      </c>
      <c r="AG4423">
        <v>-1.109657964778</v>
      </c>
      <c r="AH4423">
        <v>45.096306745689098</v>
      </c>
      <c r="AI4423">
        <v>91.400710156474403</v>
      </c>
      <c r="AJ4423">
        <v>96.424598500004606</v>
      </c>
      <c r="AK4423">
        <v>45.394867215304103</v>
      </c>
      <c r="AL4423">
        <v>90.028616584517394</v>
      </c>
      <c r="AM4423">
        <v>84.301473333556203</v>
      </c>
      <c r="AN4423">
        <v>1.0000000005210601</v>
      </c>
    </row>
    <row r="4424" spans="1:40" x14ac:dyDescent="0.25">
      <c r="A4424" t="str">
        <f>"20190312161059768"</f>
        <v>20190312161059768</v>
      </c>
      <c r="B4424" t="str">
        <f>"1552378259760899"</f>
        <v>1552378259760899</v>
      </c>
      <c r="C4424" t="s">
        <v>40</v>
      </c>
      <c r="D4424">
        <v>5.5157970000000001</v>
      </c>
      <c r="E4424">
        <v>0.42025699999999999</v>
      </c>
      <c r="F4424" t="s">
        <v>41</v>
      </c>
      <c r="G4424">
        <v>-367.12189999999998</v>
      </c>
      <c r="H4424" s="1">
        <v>-1.8407860000000001E-6</v>
      </c>
      <c r="I4424">
        <v>136.32660000000001</v>
      </c>
      <c r="J4424">
        <v>-317.1422</v>
      </c>
      <c r="K4424">
        <v>1.1096710000000001</v>
      </c>
      <c r="L4424">
        <v>141.3974</v>
      </c>
      <c r="M4424">
        <v>-0.99985500000000005</v>
      </c>
      <c r="N4424">
        <v>0</v>
      </c>
      <c r="O4424">
        <v>9.89225E-3</v>
      </c>
      <c r="P4424">
        <v>-0.99388799999999999</v>
      </c>
      <c r="Q4424">
        <v>-1.4245499999999999E-2</v>
      </c>
      <c r="R4424">
        <v>0.1094715</v>
      </c>
      <c r="S4424">
        <v>-3.0509949999999999</v>
      </c>
      <c r="T4424">
        <v>-6.7183140000000002E-2</v>
      </c>
      <c r="U4424">
        <v>-0.3067474</v>
      </c>
      <c r="V4424">
        <v>9.9633429999999995E-2</v>
      </c>
      <c r="W4424">
        <v>-4.7383339999999998E-4</v>
      </c>
      <c r="X4424">
        <v>0.99502409999999997</v>
      </c>
      <c r="Y4424">
        <v>-0.10984579999999999</v>
      </c>
      <c r="Z4424">
        <v>-1.423519E-3</v>
      </c>
      <c r="AA4424">
        <v>0.99394760000000004</v>
      </c>
      <c r="AB4424">
        <v>38</v>
      </c>
      <c r="AC4424">
        <v>-49.979699999999902</v>
      </c>
      <c r="AD4424">
        <v>-1.1096728407859999</v>
      </c>
      <c r="AE4424">
        <v>-5.0707999999999904</v>
      </c>
      <c r="AF4424">
        <v>-5.5622970324686296</v>
      </c>
      <c r="AG4424">
        <v>-1.1096728407859999</v>
      </c>
      <c r="AH4424">
        <v>49.902738703560999</v>
      </c>
      <c r="AI4424">
        <v>91.266022182768793</v>
      </c>
      <c r="AJ4424">
        <v>96.360093317964001</v>
      </c>
      <c r="AK4424">
        <v>50.2240365980959</v>
      </c>
      <c r="AL4424">
        <v>90.027148654967505</v>
      </c>
      <c r="AM4424">
        <v>84.281937223907704</v>
      </c>
      <c r="AN4424">
        <v>1.0000000022362301</v>
      </c>
    </row>
    <row r="4425" spans="1:40" x14ac:dyDescent="0.25">
      <c r="A4425" t="str">
        <f>"20190312161059790"</f>
        <v>20190312161059790</v>
      </c>
      <c r="B4425" t="str">
        <f>"1552378259781395"</f>
        <v>1552378259781395</v>
      </c>
      <c r="C4425" t="s">
        <v>40</v>
      </c>
      <c r="D4425">
        <v>5.4906240000000004</v>
      </c>
      <c r="E4425">
        <v>0.42056719999999997</v>
      </c>
      <c r="F4425" t="s">
        <v>41</v>
      </c>
      <c r="G4425">
        <v>-370.38740000000001</v>
      </c>
      <c r="H4425" s="1">
        <v>-4.7306790000000003E-6</v>
      </c>
      <c r="I4425">
        <v>136.0951</v>
      </c>
      <c r="J4425">
        <v>-317.52539999999999</v>
      </c>
      <c r="K4425">
        <v>1.109688</v>
      </c>
      <c r="L4425">
        <v>141.40119999999999</v>
      </c>
      <c r="M4425">
        <v>-0.99985219999999997</v>
      </c>
      <c r="N4425">
        <v>0</v>
      </c>
      <c r="O4425">
        <v>9.9702100000000002E-3</v>
      </c>
      <c r="P4425">
        <v>-0.99386140000000001</v>
      </c>
      <c r="Q4425">
        <v>-1.421879E-2</v>
      </c>
      <c r="R4425">
        <v>0.1097158</v>
      </c>
      <c r="S4425">
        <v>-3.0509949999999999</v>
      </c>
      <c r="T4425">
        <v>-6.35854E-2</v>
      </c>
      <c r="U4425">
        <v>-0.30381770000000002</v>
      </c>
      <c r="V4425">
        <v>9.9800379999999994E-2</v>
      </c>
      <c r="W4425">
        <v>-3.0388669999999998E-4</v>
      </c>
      <c r="X4425">
        <v>0.99500750000000004</v>
      </c>
      <c r="Y4425">
        <v>-0.10898139999999901</v>
      </c>
      <c r="Z4425">
        <v>-1.340007E-3</v>
      </c>
      <c r="AA4425">
        <v>0.99404289999999995</v>
      </c>
      <c r="AB4425">
        <v>38</v>
      </c>
      <c r="AC4425">
        <v>-52.862000000000002</v>
      </c>
      <c r="AD4425">
        <v>-1.1096927306790001</v>
      </c>
      <c r="AE4425">
        <v>-5.3060999999999803</v>
      </c>
      <c r="AF4425">
        <v>-5.8303894821244304</v>
      </c>
      <c r="AG4425">
        <v>-1.1096927306790001</v>
      </c>
      <c r="AH4425">
        <v>52.783435607894198</v>
      </c>
      <c r="AI4425">
        <v>91.197101873361703</v>
      </c>
      <c r="AJ4425">
        <v>96.303264351316201</v>
      </c>
      <c r="AK4425">
        <v>53.116060980107598</v>
      </c>
      <c r="AL4425">
        <v>90.017411424468094</v>
      </c>
      <c r="AM4425">
        <v>84.272324527389003</v>
      </c>
      <c r="AN4425">
        <v>1.00000006662575</v>
      </c>
    </row>
    <row r="4426" spans="1:40" x14ac:dyDescent="0.25">
      <c r="A4426" t="str">
        <f>"20190312161059811"</f>
        <v>20190312161059811</v>
      </c>
      <c r="B4426" t="str">
        <f>"1552378259801890"</f>
        <v>1552378259801890</v>
      </c>
      <c r="C4426" t="s">
        <v>40</v>
      </c>
      <c r="D4426">
        <v>5.4314879999999999</v>
      </c>
      <c r="E4426">
        <v>0.42055510000000002</v>
      </c>
      <c r="F4426" t="s">
        <v>41</v>
      </c>
      <c r="G4426">
        <v>-375.29930000000002</v>
      </c>
      <c r="H4426" s="1">
        <v>-2.6914850000000002E-6</v>
      </c>
      <c r="I4426">
        <v>135.71170000000001</v>
      </c>
      <c r="J4426">
        <v>-317.90320000000003</v>
      </c>
      <c r="K4426">
        <v>1.109696</v>
      </c>
      <c r="L4426">
        <v>141.4051</v>
      </c>
      <c r="M4426">
        <v>-0.99984969999999995</v>
      </c>
      <c r="N4426">
        <v>0</v>
      </c>
      <c r="O4426">
        <v>1.0045500000000001E-2</v>
      </c>
      <c r="P4426">
        <v>-0.99384589999999995</v>
      </c>
      <c r="Q4426">
        <v>-1.396207E-2</v>
      </c>
      <c r="R4426">
        <v>0.10988829999999999</v>
      </c>
      <c r="S4426">
        <v>-3.0508730000000002</v>
      </c>
      <c r="T4426">
        <v>-5.859959E-2</v>
      </c>
      <c r="U4426">
        <v>-0.30044559999999998</v>
      </c>
      <c r="V4426">
        <v>9.9898120000000007E-2</v>
      </c>
      <c r="W4426" s="1">
        <v>7.5805100000000004E-5</v>
      </c>
      <c r="X4426">
        <v>0.99499769999999998</v>
      </c>
      <c r="Y4426">
        <v>-0.10797610000000001</v>
      </c>
      <c r="Z4426">
        <v>-1.226885E-3</v>
      </c>
      <c r="AA4426">
        <v>0.9941527</v>
      </c>
      <c r="AB4426">
        <v>38</v>
      </c>
      <c r="AC4426">
        <v>-57.396099999999898</v>
      </c>
      <c r="AD4426">
        <v>-1.109698691485</v>
      </c>
      <c r="AE4426">
        <v>-5.6933999999999898</v>
      </c>
      <c r="AF4426">
        <v>-6.2674227930956903</v>
      </c>
      <c r="AG4426">
        <v>-1.109698691485</v>
      </c>
      <c r="AH4426">
        <v>57.314788796146402</v>
      </c>
      <c r="AI4426">
        <v>91.102620926758803</v>
      </c>
      <c r="AJ4426">
        <v>96.240548905401397</v>
      </c>
      <c r="AK4426">
        <v>57.667122647139003</v>
      </c>
      <c r="AL4426">
        <v>89.995656687837297</v>
      </c>
      <c r="AM4426">
        <v>84.2666963588361</v>
      </c>
      <c r="AN4426">
        <v>1.0000000315656099</v>
      </c>
    </row>
    <row r="4427" spans="1:40" x14ac:dyDescent="0.25">
      <c r="A4427" t="str">
        <f>"20190312161059833"</f>
        <v>20190312161059833</v>
      </c>
      <c r="B4427" t="str">
        <f>"1552378259821180"</f>
        <v>1552378259821180</v>
      </c>
      <c r="C4427" t="s">
        <v>40</v>
      </c>
      <c r="D4427">
        <v>5.3896790000000001</v>
      </c>
      <c r="E4427">
        <v>0.42308869999999998</v>
      </c>
      <c r="F4427" t="s">
        <v>41</v>
      </c>
      <c r="G4427">
        <v>-382.06799999999998</v>
      </c>
      <c r="H4427" s="1">
        <v>-4.1872060000000001E-6</v>
      </c>
      <c r="I4427">
        <v>135.0943</v>
      </c>
      <c r="J4427">
        <v>-318.26749999999998</v>
      </c>
      <c r="K4427">
        <v>1.1097079999999999</v>
      </c>
      <c r="L4427">
        <v>141.40880000000001</v>
      </c>
      <c r="M4427">
        <v>-0.99984759999999995</v>
      </c>
      <c r="N4427">
        <v>0</v>
      </c>
      <c r="O4427">
        <v>1.0114339999999999E-2</v>
      </c>
      <c r="P4427">
        <v>-0.9938361</v>
      </c>
      <c r="Q4427">
        <v>-1.400995E-2</v>
      </c>
      <c r="R4427">
        <v>0.1099707</v>
      </c>
      <c r="S4427">
        <v>-3.0510860000000002</v>
      </c>
      <c r="T4427">
        <v>-5.276716E-2</v>
      </c>
      <c r="U4427">
        <v>-0.30007929999999999</v>
      </c>
      <c r="V4427">
        <v>9.9912139999999997E-2</v>
      </c>
      <c r="W4427">
        <v>1.314322E-4</v>
      </c>
      <c r="X4427">
        <v>0.9949962</v>
      </c>
      <c r="Y4427">
        <v>-0.1079237</v>
      </c>
      <c r="Z4427">
        <v>-1.105457E-3</v>
      </c>
      <c r="AA4427">
        <v>0.9941586</v>
      </c>
      <c r="AB4427">
        <v>38</v>
      </c>
      <c r="AC4427">
        <v>-63.8005</v>
      </c>
      <c r="AD4427">
        <v>-1.1097121872059901</v>
      </c>
      <c r="AE4427">
        <v>-6.3144999999999998</v>
      </c>
      <c r="AF4427">
        <v>-6.9574577870297203</v>
      </c>
      <c r="AG4427">
        <v>-1.1097121872059901</v>
      </c>
      <c r="AH4427">
        <v>63.714273720675699</v>
      </c>
      <c r="AI4427">
        <v>90.991925094728003</v>
      </c>
      <c r="AJ4427">
        <v>96.231880714032201</v>
      </c>
      <c r="AK4427">
        <v>64.102623626103806</v>
      </c>
      <c r="AL4427">
        <v>89.992469489215793</v>
      </c>
      <c r="AM4427">
        <v>84.265888504650206</v>
      </c>
      <c r="AN4427">
        <v>0.99999994550411997</v>
      </c>
    </row>
    <row r="4428" spans="1:40" x14ac:dyDescent="0.25">
      <c r="A4428" t="str">
        <f>"20190312161059857"</f>
        <v>20190312161059857</v>
      </c>
      <c r="B4428" t="str">
        <f>"1552378259851434"</f>
        <v>1552378259851434</v>
      </c>
      <c r="C4428" t="s">
        <v>40</v>
      </c>
      <c r="D4428">
        <v>5.3289239999999998</v>
      </c>
      <c r="E4428">
        <v>0.4227554</v>
      </c>
      <c r="F4428" t="s">
        <v>52</v>
      </c>
      <c r="G4428">
        <v>-637.64710000000002</v>
      </c>
      <c r="H4428">
        <v>-0.1</v>
      </c>
      <c r="I4428">
        <v>112.11320000000001</v>
      </c>
      <c r="J4428">
        <v>-318.6585</v>
      </c>
      <c r="K4428">
        <v>1.109723</v>
      </c>
      <c r="L4428">
        <v>141.4128</v>
      </c>
      <c r="M4428">
        <v>-0.9998456</v>
      </c>
      <c r="N4428">
        <v>0</v>
      </c>
      <c r="O4428">
        <v>1.018079E-2</v>
      </c>
      <c r="P4428">
        <v>-0.99378290000000002</v>
      </c>
      <c r="Q4428">
        <v>-1.4126140000000001E-2</v>
      </c>
      <c r="R4428">
        <v>0.11043699999999999</v>
      </c>
      <c r="S4428">
        <v>-3.0493769999999998</v>
      </c>
      <c r="T4428">
        <v>-1.1550070000000001E-2</v>
      </c>
      <c r="U4428">
        <v>-0.27970889999999998</v>
      </c>
      <c r="V4428">
        <v>0.10031279999999999</v>
      </c>
      <c r="W4428">
        <v>1.114051E-4</v>
      </c>
      <c r="X4428">
        <v>0.99495599999999995</v>
      </c>
      <c r="Y4428">
        <v>-0.10147680000000001</v>
      </c>
      <c r="Z4428">
        <v>-2.3026629999999999E-4</v>
      </c>
      <c r="AA4428">
        <v>0.99483790000000005</v>
      </c>
      <c r="AB4428">
        <v>38</v>
      </c>
      <c r="AC4428">
        <v>-318.98860000000002</v>
      </c>
      <c r="AD4428">
        <v>-1.2097229999999899</v>
      </c>
      <c r="AE4428">
        <v>-29.299600000000002</v>
      </c>
      <c r="AF4428">
        <v>-32.545506145608897</v>
      </c>
      <c r="AG4428">
        <v>-1.2097229999999899</v>
      </c>
      <c r="AH4428">
        <v>318.669196382368</v>
      </c>
      <c r="AI4428">
        <v>90.216378055483204</v>
      </c>
      <c r="AJ4428">
        <v>95.831367344697995</v>
      </c>
      <c r="AK4428">
        <v>320.32909659129501</v>
      </c>
      <c r="AL4428">
        <v>89.993616958298603</v>
      </c>
      <c r="AM4428">
        <v>84.2428171179033</v>
      </c>
      <c r="AN4428">
        <v>1.0000000560954601</v>
      </c>
    </row>
    <row r="4429" spans="1:40" x14ac:dyDescent="0.25">
      <c r="A4429" t="str">
        <f>"20190312161059879"</f>
        <v>20190312161059879</v>
      </c>
      <c r="B4429" t="str">
        <f>"1552378259870956"</f>
        <v>1552378259870956</v>
      </c>
      <c r="C4429" t="s">
        <v>40</v>
      </c>
      <c r="D4429">
        <v>5.3338739999999998</v>
      </c>
      <c r="E4429">
        <v>0.4227862</v>
      </c>
      <c r="F4429" t="s">
        <v>52</v>
      </c>
      <c r="G4429">
        <v>-604.6019</v>
      </c>
      <c r="H4429">
        <v>-0.1</v>
      </c>
      <c r="I4429">
        <v>115.0749</v>
      </c>
      <c r="J4429">
        <v>-319.04770000000002</v>
      </c>
      <c r="K4429">
        <v>1.1097429999999999</v>
      </c>
      <c r="L4429">
        <v>141.4169</v>
      </c>
      <c r="M4429">
        <v>-0.99984379999999995</v>
      </c>
      <c r="N4429">
        <v>0</v>
      </c>
      <c r="O4429">
        <v>1.023488E-2</v>
      </c>
      <c r="P4429">
        <v>-0.99374779999999996</v>
      </c>
      <c r="Q4429">
        <v>-1.388472E-2</v>
      </c>
      <c r="R4429">
        <v>0.1107829</v>
      </c>
      <c r="S4429">
        <v>-3.0498050000000001</v>
      </c>
      <c r="T4429">
        <v>-1.290262E-2</v>
      </c>
      <c r="U4429">
        <v>-0.28091430000000001</v>
      </c>
      <c r="V4429">
        <v>0.10060520000000001</v>
      </c>
      <c r="W4429">
        <v>4.3613110000000001E-4</v>
      </c>
      <c r="X4429">
        <v>0.99492630000000004</v>
      </c>
      <c r="Y4429">
        <v>-0.1019077</v>
      </c>
      <c r="Z4429">
        <v>-2.5832840000000003E-4</v>
      </c>
      <c r="AA4429">
        <v>0.99479379999999995</v>
      </c>
      <c r="AB4429">
        <v>38</v>
      </c>
      <c r="AC4429">
        <v>-285.55419999999998</v>
      </c>
      <c r="AD4429">
        <v>-1.209743</v>
      </c>
      <c r="AE4429">
        <v>-26.341999999999999</v>
      </c>
      <c r="AF4429">
        <v>-29.2630156244172</v>
      </c>
      <c r="AG4429">
        <v>-1.209743</v>
      </c>
      <c r="AH4429">
        <v>285.26452835935299</v>
      </c>
      <c r="AI4429">
        <v>90.241708701150202</v>
      </c>
      <c r="AJ4429">
        <v>95.857030299458401</v>
      </c>
      <c r="AK4429">
        <v>286.76408195875098</v>
      </c>
      <c r="AL4429">
        <v>89.975011527100094</v>
      </c>
      <c r="AM4429">
        <v>84.225977633277594</v>
      </c>
      <c r="AN4429">
        <v>0.99999996945453196</v>
      </c>
    </row>
    <row r="4430" spans="1:40" x14ac:dyDescent="0.25">
      <c r="A4430" t="str">
        <f>"20190312161059902"</f>
        <v>20190312161059902</v>
      </c>
      <c r="B4430" t="str">
        <f>"1552378259891452"</f>
        <v>1552378259891452</v>
      </c>
      <c r="C4430" t="s">
        <v>40</v>
      </c>
      <c r="D4430">
        <v>5.3362230000000004</v>
      </c>
      <c r="E4430">
        <v>0.4226336</v>
      </c>
      <c r="F4430" t="s">
        <v>52</v>
      </c>
      <c r="G4430">
        <v>-622.85640000000001</v>
      </c>
      <c r="H4430">
        <v>-0.1</v>
      </c>
      <c r="I4430">
        <v>113.56010000000001</v>
      </c>
      <c r="J4430">
        <v>-319.43239999999997</v>
      </c>
      <c r="K4430">
        <v>1.1097539999999999</v>
      </c>
      <c r="L4430">
        <v>141.42089999999999</v>
      </c>
      <c r="M4430">
        <v>-0.99984229999999996</v>
      </c>
      <c r="N4430">
        <v>0</v>
      </c>
      <c r="O4430">
        <v>1.027494E-2</v>
      </c>
      <c r="P4430">
        <v>-0.99369859999999999</v>
      </c>
      <c r="Q4430">
        <v>-1.452899E-2</v>
      </c>
      <c r="R4430">
        <v>0.1111405</v>
      </c>
      <c r="S4430">
        <v>-3.0498660000000002</v>
      </c>
      <c r="T4430">
        <v>-1.214433E-2</v>
      </c>
      <c r="U4430">
        <v>-0.2796478</v>
      </c>
      <c r="V4430">
        <v>0.1009235</v>
      </c>
      <c r="W4430">
        <v>-1.360539E-4</v>
      </c>
      <c r="X4430">
        <v>0.99489419999999995</v>
      </c>
      <c r="Y4430">
        <v>-0.10153619999999999</v>
      </c>
      <c r="Z4430">
        <v>-2.4256749999999999E-4</v>
      </c>
      <c r="AA4430">
        <v>0.99483180000000004</v>
      </c>
      <c r="AB4430">
        <v>38</v>
      </c>
      <c r="AC4430">
        <v>-303.42399999999998</v>
      </c>
      <c r="AD4430">
        <v>-1.209754</v>
      </c>
      <c r="AE4430">
        <v>-27.860799999999902</v>
      </c>
      <c r="AF4430">
        <v>-30.9768311510391</v>
      </c>
      <c r="AG4430">
        <v>-1.209754</v>
      </c>
      <c r="AH4430">
        <v>303.11690309879799</v>
      </c>
      <c r="AI4430">
        <v>90.227484182981996</v>
      </c>
      <c r="AJ4430">
        <v>95.8350473756703</v>
      </c>
      <c r="AK4430">
        <v>304.69802184639599</v>
      </c>
      <c r="AL4430">
        <v>90.007795314122205</v>
      </c>
      <c r="AM4430">
        <v>84.207647882030201</v>
      </c>
      <c r="AN4430">
        <v>1.00000002027827</v>
      </c>
    </row>
    <row r="4431" spans="1:40" x14ac:dyDescent="0.25">
      <c r="A4431" t="str">
        <f>"20190312161059923"</f>
        <v>20190312161059923</v>
      </c>
      <c r="B4431" t="str">
        <f>"1552378259910972"</f>
        <v>1552378259910972</v>
      </c>
      <c r="C4431" t="s">
        <v>40</v>
      </c>
      <c r="D4431">
        <v>5.4055900000000001</v>
      </c>
      <c r="E4431">
        <v>0.42230000000000001</v>
      </c>
      <c r="F4431" t="s">
        <v>52</v>
      </c>
      <c r="G4431">
        <v>-581.10400000000004</v>
      </c>
      <c r="H4431">
        <v>-0.1</v>
      </c>
      <c r="I4431">
        <v>117.4344</v>
      </c>
      <c r="J4431">
        <v>-319.7955</v>
      </c>
      <c r="K4431">
        <v>1.1097729999999999</v>
      </c>
      <c r="L4431">
        <v>141.4246</v>
      </c>
      <c r="M4431">
        <v>-0.99984130000000004</v>
      </c>
      <c r="N4431">
        <v>0</v>
      </c>
      <c r="O4431">
        <v>1.030084E-2</v>
      </c>
      <c r="P4431">
        <v>-0.99369260000000004</v>
      </c>
      <c r="Q4431">
        <v>-1.4504690000000001E-2</v>
      </c>
      <c r="R4431">
        <v>0.1111973</v>
      </c>
      <c r="S4431">
        <v>-3.050049</v>
      </c>
      <c r="T4431">
        <v>-1.4100909999999999E-2</v>
      </c>
      <c r="U4431">
        <v>-0.27958680000000002</v>
      </c>
      <c r="V4431">
        <v>0.10095460000000001</v>
      </c>
      <c r="W4431" s="1">
        <v>-5.2952920000000001E-5</v>
      </c>
      <c r="X4431">
        <v>0.99489099999999997</v>
      </c>
      <c r="Y4431">
        <v>-0.1015365</v>
      </c>
      <c r="Z4431">
        <v>-2.8175109999999999E-4</v>
      </c>
      <c r="AA4431">
        <v>0.99483180000000004</v>
      </c>
      <c r="AB4431">
        <v>38</v>
      </c>
      <c r="AC4431">
        <v>-261.30849999999998</v>
      </c>
      <c r="AD4431">
        <v>-1.209773</v>
      </c>
      <c r="AE4431">
        <v>-23.990200000000002</v>
      </c>
      <c r="AF4431">
        <v>-26.6803412744725</v>
      </c>
      <c r="AG4431">
        <v>-1.209773</v>
      </c>
      <c r="AH4431">
        <v>261.041939637415</v>
      </c>
      <c r="AI4431">
        <v>90.264153602434405</v>
      </c>
      <c r="AJ4431">
        <v>95.835771401668495</v>
      </c>
      <c r="AK4431">
        <v>262.40464632109303</v>
      </c>
      <c r="AL4431">
        <v>90.003033978927405</v>
      </c>
      <c r="AM4431">
        <v>84.205856577295606</v>
      </c>
      <c r="AN4431">
        <v>0.99999996797308499</v>
      </c>
    </row>
    <row r="4432" spans="1:40" x14ac:dyDescent="0.25">
      <c r="A4432" t="str">
        <f>"20190312161059947"</f>
        <v>20190312161059947</v>
      </c>
      <c r="B4432" t="str">
        <f>"1552378259941227"</f>
        <v>1552378259941227</v>
      </c>
      <c r="C4432" t="s">
        <v>40</v>
      </c>
      <c r="D4432">
        <v>5.2700589999999998</v>
      </c>
      <c r="E4432">
        <v>0.42209989999999997</v>
      </c>
      <c r="F4432" t="s">
        <v>52</v>
      </c>
      <c r="G4432">
        <v>-629.14149999999995</v>
      </c>
      <c r="H4432">
        <v>-0.1</v>
      </c>
      <c r="I4432">
        <v>112.80800000000001</v>
      </c>
      <c r="J4432">
        <v>-320.1832</v>
      </c>
      <c r="K4432">
        <v>1.1097969999999999</v>
      </c>
      <c r="L4432">
        <v>141.42859999999999</v>
      </c>
      <c r="M4432">
        <v>-0.99984039999999996</v>
      </c>
      <c r="N4432">
        <v>0</v>
      </c>
      <c r="O4432">
        <v>1.031786E-2</v>
      </c>
      <c r="P4432">
        <v>-0.99374680000000004</v>
      </c>
      <c r="Q4432">
        <v>-1.410169E-2</v>
      </c>
      <c r="R4432">
        <v>0.1107658</v>
      </c>
      <c r="S4432">
        <v>-3.0503849999999999</v>
      </c>
      <c r="T4432">
        <v>-1.192927E-2</v>
      </c>
      <c r="U4432">
        <v>-0.28218080000000001</v>
      </c>
      <c r="V4432">
        <v>0.1005057</v>
      </c>
      <c r="W4432">
        <v>4.041831E-4</v>
      </c>
      <c r="X4432">
        <v>0.99493640000000005</v>
      </c>
      <c r="Y4432">
        <v>-0.10238269999999999</v>
      </c>
      <c r="Z4432">
        <v>-2.4004199999999999E-4</v>
      </c>
      <c r="AA4432">
        <v>0.99474510000000005</v>
      </c>
      <c r="AB4432">
        <v>38</v>
      </c>
      <c r="AC4432">
        <v>-308.95829999999899</v>
      </c>
      <c r="AD4432">
        <v>-1.209797</v>
      </c>
      <c r="AE4432">
        <v>-28.6206</v>
      </c>
      <c r="AF4432">
        <v>-31.8067202317403</v>
      </c>
      <c r="AG4432">
        <v>-1.209797</v>
      </c>
      <c r="AH4432">
        <v>308.64182360875401</v>
      </c>
      <c r="AI4432">
        <v>90.223400527722205</v>
      </c>
      <c r="AJ4432">
        <v>95.883779095282094</v>
      </c>
      <c r="AK4432">
        <v>310.27875586513898</v>
      </c>
      <c r="AL4432">
        <v>89.976842013579002</v>
      </c>
      <c r="AM4432">
        <v>84.231707858689305</v>
      </c>
      <c r="AN4432">
        <v>0.99999999957071395</v>
      </c>
    </row>
    <row r="4433" spans="1:40" x14ac:dyDescent="0.25">
      <c r="A4433" t="str">
        <f>"20190312161059969"</f>
        <v>20190312161059969</v>
      </c>
      <c r="B4433" t="str">
        <f>"1552378259961723"</f>
        <v>1552378259961723</v>
      </c>
      <c r="C4433" t="s">
        <v>40</v>
      </c>
      <c r="D4433">
        <v>5.2740519999999904</v>
      </c>
      <c r="E4433">
        <v>0.4219985</v>
      </c>
      <c r="F4433" t="s">
        <v>52</v>
      </c>
      <c r="G4433">
        <v>-682.12699999999995</v>
      </c>
      <c r="H4433">
        <v>-0.1</v>
      </c>
      <c r="I4433">
        <v>107.60339999999999</v>
      </c>
      <c r="J4433">
        <v>-320.57100000000003</v>
      </c>
      <c r="K4433">
        <v>1.1098079999999999</v>
      </c>
      <c r="L4433">
        <v>141.43260000000001</v>
      </c>
      <c r="M4433">
        <v>-0.99983960000000005</v>
      </c>
      <c r="N4433">
        <v>0</v>
      </c>
      <c r="O4433">
        <v>1.032682E-2</v>
      </c>
      <c r="P4433">
        <v>-0.99383900000000003</v>
      </c>
      <c r="Q4433">
        <v>-1.404674E-2</v>
      </c>
      <c r="R4433">
        <v>0.10994089999999999</v>
      </c>
      <c r="S4433">
        <v>-3.0504760000000002</v>
      </c>
      <c r="T4433">
        <v>-1.0196210000000001E-2</v>
      </c>
      <c r="U4433">
        <v>-0.28508</v>
      </c>
      <c r="V4433">
        <v>9.967086E-2</v>
      </c>
      <c r="W4433">
        <v>5.0574940000000003E-4</v>
      </c>
      <c r="X4433">
        <v>0.99502029999999997</v>
      </c>
      <c r="Y4433">
        <v>-0.1033263</v>
      </c>
      <c r="Z4433">
        <v>-2.0675770000000001E-4</v>
      </c>
      <c r="AA4433">
        <v>0.99464750000000002</v>
      </c>
      <c r="AB4433">
        <v>38</v>
      </c>
      <c r="AC4433">
        <v>-361.55599999999998</v>
      </c>
      <c r="AD4433">
        <v>-1.209808</v>
      </c>
      <c r="AE4433">
        <v>-33.8292</v>
      </c>
      <c r="AF4433">
        <v>-37.561102384936198</v>
      </c>
      <c r="AG4433">
        <v>-1.209808</v>
      </c>
      <c r="AH4433">
        <v>361.18332225368601</v>
      </c>
      <c r="AI4433">
        <v>90.190885956375993</v>
      </c>
      <c r="AJ4433">
        <v>95.937108013443805</v>
      </c>
      <c r="AK4433">
        <v>363.13316059261001</v>
      </c>
      <c r="AL4433">
        <v>89.971022691690294</v>
      </c>
      <c r="AM4433">
        <v>84.279781620931203</v>
      </c>
      <c r="AN4433">
        <v>0.99999996676384195</v>
      </c>
    </row>
    <row r="4434" spans="1:40" x14ac:dyDescent="0.25">
      <c r="A4434" t="str">
        <f>"20190312161059993"</f>
        <v>20190312161059993</v>
      </c>
      <c r="B4434" t="str">
        <f>"1552378259981244"</f>
        <v>1552378259981244</v>
      </c>
      <c r="C4434" t="s">
        <v>40</v>
      </c>
      <c r="D4434">
        <v>5.2842149999999997</v>
      </c>
      <c r="E4434">
        <v>0.42212300000000003</v>
      </c>
      <c r="F4434" t="s">
        <v>52</v>
      </c>
      <c r="G4434">
        <v>-743.0367</v>
      </c>
      <c r="H4434">
        <v>-0.1</v>
      </c>
      <c r="I4434">
        <v>101.48569999999999</v>
      </c>
      <c r="J4434">
        <v>-320.9803</v>
      </c>
      <c r="K4434">
        <v>1.10982</v>
      </c>
      <c r="L4434">
        <v>141.43680000000001</v>
      </c>
      <c r="M4434">
        <v>-0.99983909999999998</v>
      </c>
      <c r="N4434">
        <v>0</v>
      </c>
      <c r="O4434">
        <v>1.0329410000000001E-2</v>
      </c>
      <c r="P4434">
        <v>-0.99386759999999996</v>
      </c>
      <c r="Q4434">
        <v>-1.437569E-2</v>
      </c>
      <c r="R4434">
        <v>0.10963829999999999</v>
      </c>
      <c r="S4434">
        <v>-3.0504150000000001</v>
      </c>
      <c r="T4434">
        <v>-8.735418E-3</v>
      </c>
      <c r="U4434">
        <v>-0.2884369</v>
      </c>
      <c r="V4434">
        <v>9.9365259999999997E-2</v>
      </c>
      <c r="W4434">
        <v>2.1678609999999999E-4</v>
      </c>
      <c r="X4434">
        <v>0.99505100000000002</v>
      </c>
      <c r="Y4434">
        <v>-0.10441590000000001</v>
      </c>
      <c r="Z4434">
        <v>-1.7869459999999901E-4</v>
      </c>
      <c r="AA4434">
        <v>0.99453369999999996</v>
      </c>
      <c r="AB4434">
        <v>38</v>
      </c>
      <c r="AC4434">
        <v>-422.0564</v>
      </c>
      <c r="AD4434">
        <v>-1.2098199999999999</v>
      </c>
      <c r="AE4434">
        <v>-39.951099999999997</v>
      </c>
      <c r="AF4434">
        <v>-44.308669818070399</v>
      </c>
      <c r="AG4434">
        <v>-1.2098199999999999</v>
      </c>
      <c r="AH4434">
        <v>421.61772929754397</v>
      </c>
      <c r="AI4434">
        <v>90.163507714293104</v>
      </c>
      <c r="AJ4434">
        <v>95.999309238625898</v>
      </c>
      <c r="AK4434">
        <v>423.94130672004201</v>
      </c>
      <c r="AL4434">
        <v>89.987579071281402</v>
      </c>
      <c r="AM4434">
        <v>84.297379341310403</v>
      </c>
      <c r="AN4434">
        <v>0.99999999724604005</v>
      </c>
    </row>
    <row r="4435" spans="1:40" x14ac:dyDescent="0.25">
      <c r="A4435" t="str">
        <f>"20190312161100035"</f>
        <v>20190312161100035</v>
      </c>
      <c r="B4435" t="str">
        <f>"1552378260031019"</f>
        <v>1552378260031019</v>
      </c>
      <c r="C4435" t="s">
        <v>40</v>
      </c>
      <c r="D4435">
        <v>5.3209280000000003</v>
      </c>
      <c r="E4435">
        <v>0.42199300000000001</v>
      </c>
      <c r="F4435" t="s">
        <v>52</v>
      </c>
      <c r="G4435">
        <v>-736.13499999999999</v>
      </c>
      <c r="H4435">
        <v>-0.1</v>
      </c>
      <c r="I4435">
        <v>102.1909</v>
      </c>
      <c r="J4435">
        <v>-321.6859</v>
      </c>
      <c r="K4435">
        <v>1.109842</v>
      </c>
      <c r="L4435">
        <v>141.4442</v>
      </c>
      <c r="M4435">
        <v>-0.99983829999999996</v>
      </c>
      <c r="N4435">
        <v>0</v>
      </c>
      <c r="O4435">
        <v>1.032742E-2</v>
      </c>
      <c r="P4435">
        <v>-0.99400069999999996</v>
      </c>
      <c r="Q4435">
        <v>-1.4590840000000001E-2</v>
      </c>
      <c r="R4435">
        <v>0.1083968</v>
      </c>
      <c r="S4435">
        <v>-3.0502009999999999</v>
      </c>
      <c r="T4435">
        <v>-8.8887210000000005E-3</v>
      </c>
      <c r="U4435">
        <v>-0.28834530000000003</v>
      </c>
      <c r="V4435">
        <v>9.812448E-2</v>
      </c>
      <c r="W4435" s="1">
        <v>5.7269760000000002E-5</v>
      </c>
      <c r="X4435">
        <v>0.99517420000000001</v>
      </c>
      <c r="Y4435">
        <v>-0.10439080000000001</v>
      </c>
      <c r="Z4435">
        <v>-1.8180130000000001E-4</v>
      </c>
      <c r="AA4435">
        <v>0.99453630000000004</v>
      </c>
      <c r="AB4435">
        <v>38</v>
      </c>
      <c r="AC4435">
        <v>-414.44909999999999</v>
      </c>
      <c r="AD4435">
        <v>-1.2098420000000001</v>
      </c>
      <c r="AE4435">
        <v>-39.253300000000003</v>
      </c>
      <c r="AF4435">
        <v>-43.531492340904499</v>
      </c>
      <c r="AG4435">
        <v>-1.2098420000000001</v>
      </c>
      <c r="AH4435">
        <v>414.018067030932</v>
      </c>
      <c r="AI4435">
        <v>90.166511153491101</v>
      </c>
      <c r="AJ4435">
        <v>96.002250259329202</v>
      </c>
      <c r="AK4435">
        <v>416.30207106273298</v>
      </c>
      <c r="AL4435">
        <v>89.996718684629002</v>
      </c>
      <c r="AM4435">
        <v>84.368820387214399</v>
      </c>
      <c r="AN4435">
        <v>1.0000000526003601</v>
      </c>
    </row>
    <row r="4436" spans="1:40" x14ac:dyDescent="0.25">
      <c r="A4436" t="str">
        <f>"20190312161100058"</f>
        <v>20190312161100058</v>
      </c>
      <c r="B4436" t="str">
        <f>"1552378260051516"</f>
        <v>1552378260051516</v>
      </c>
      <c r="C4436" t="s">
        <v>40</v>
      </c>
      <c r="D4436">
        <v>5.3499990000000004</v>
      </c>
      <c r="E4436">
        <v>0.421906</v>
      </c>
      <c r="F4436" t="s">
        <v>52</v>
      </c>
      <c r="G4436">
        <v>-648.02620000000002</v>
      </c>
      <c r="H4436">
        <v>-0.1</v>
      </c>
      <c r="I4436">
        <v>110.0771</v>
      </c>
      <c r="J4436">
        <v>-322.07310000000001</v>
      </c>
      <c r="K4436">
        <v>1.1098509999999999</v>
      </c>
      <c r="L4436">
        <v>141.44820000000001</v>
      </c>
      <c r="M4436">
        <v>-0.99983789999999995</v>
      </c>
      <c r="N4436">
        <v>0</v>
      </c>
      <c r="O4436">
        <v>1.0326190000000001E-2</v>
      </c>
      <c r="P4436">
        <v>-0.99403269999999999</v>
      </c>
      <c r="Q4436">
        <v>-1.490873E-2</v>
      </c>
      <c r="R4436">
        <v>0.10805910000000001</v>
      </c>
      <c r="S4436">
        <v>-3.0499269999999998</v>
      </c>
      <c r="T4436">
        <v>-1.1306999999999999E-2</v>
      </c>
      <c r="U4436">
        <v>-0.29315190000000002</v>
      </c>
      <c r="V4436">
        <v>9.7787600000000002E-2</v>
      </c>
      <c r="W4436">
        <v>-2.370993E-4</v>
      </c>
      <c r="X4436">
        <v>0.99520730000000002</v>
      </c>
      <c r="Y4436">
        <v>-0.1059508</v>
      </c>
      <c r="Z4436">
        <v>-2.341462E-4</v>
      </c>
      <c r="AA4436">
        <v>0.99437140000000002</v>
      </c>
      <c r="AB4436">
        <v>38</v>
      </c>
      <c r="AC4436">
        <v>-325.95310000000001</v>
      </c>
      <c r="AD4436">
        <v>-1.209851</v>
      </c>
      <c r="AE4436">
        <v>-31.371099999999998</v>
      </c>
      <c r="AF4436">
        <v>-34.735172696202</v>
      </c>
      <c r="AG4436">
        <v>-1.209851</v>
      </c>
      <c r="AH4436">
        <v>325.607293643189</v>
      </c>
      <c r="AI4436">
        <v>90.211690413635907</v>
      </c>
      <c r="AJ4436">
        <v>96.089176781531506</v>
      </c>
      <c r="AK4436">
        <v>327.45702868516798</v>
      </c>
      <c r="AL4436">
        <v>90.013584789064893</v>
      </c>
      <c r="AM4436">
        <v>84.388215134434901</v>
      </c>
      <c r="AN4436">
        <v>1.00000002045156</v>
      </c>
    </row>
    <row r="4437" spans="1:40" x14ac:dyDescent="0.25">
      <c r="A4437" t="str">
        <f>"20190312161100080"</f>
        <v>20190312161100080</v>
      </c>
      <c r="B4437" t="str">
        <f>"1552378260071036"</f>
        <v>1552378260071036</v>
      </c>
      <c r="C4437" t="s">
        <v>40</v>
      </c>
      <c r="D4437">
        <v>5.3297290000000004</v>
      </c>
      <c r="E4437">
        <v>0.42184440000000001</v>
      </c>
      <c r="F4437" t="s">
        <v>52</v>
      </c>
      <c r="G4437">
        <v>-601.25329999999997</v>
      </c>
      <c r="H4437">
        <v>-0.1</v>
      </c>
      <c r="I4437">
        <v>114.4542</v>
      </c>
      <c r="J4437">
        <v>-322.4538</v>
      </c>
      <c r="K4437">
        <v>1.1098589999999999</v>
      </c>
      <c r="L4437">
        <v>141.4521</v>
      </c>
      <c r="M4437">
        <v>-0.99983759999999999</v>
      </c>
      <c r="N4437">
        <v>0</v>
      </c>
      <c r="O4437">
        <v>1.032571E-2</v>
      </c>
      <c r="P4437">
        <v>-0.99401620000000002</v>
      </c>
      <c r="Q4437">
        <v>-1.489395E-2</v>
      </c>
      <c r="R4437">
        <v>0.1082129</v>
      </c>
      <c r="S4437">
        <v>-3.0498660000000002</v>
      </c>
      <c r="T4437">
        <v>-1.321685E-2</v>
      </c>
      <c r="U4437">
        <v>-0.29489140000000003</v>
      </c>
      <c r="V4437">
        <v>9.7942169999999995E-2</v>
      </c>
      <c r="W4437">
        <v>-2.036633E-4</v>
      </c>
      <c r="X4437">
        <v>0.99519210000000002</v>
      </c>
      <c r="Y4437">
        <v>-0.10651380000000001</v>
      </c>
      <c r="Z4437">
        <v>-2.7490840000000001E-4</v>
      </c>
      <c r="AA4437">
        <v>0.99431119999999995</v>
      </c>
      <c r="AB4437">
        <v>38</v>
      </c>
      <c r="AC4437">
        <v>-278.79950000000002</v>
      </c>
      <c r="AD4437">
        <v>-1.209859</v>
      </c>
      <c r="AE4437">
        <v>-26.997900000000001</v>
      </c>
      <c r="AF4437">
        <v>-29.875019866716599</v>
      </c>
      <c r="AG4437">
        <v>-1.209859</v>
      </c>
      <c r="AH4437">
        <v>278.50063475142599</v>
      </c>
      <c r="AI4437">
        <v>90.247482243563397</v>
      </c>
      <c r="AJ4437">
        <v>96.122757767128405</v>
      </c>
      <c r="AK4437">
        <v>280.10102486028899</v>
      </c>
      <c r="AL4437">
        <v>90.011669047460401</v>
      </c>
      <c r="AM4437">
        <v>84.379316207959306</v>
      </c>
      <c r="AN4437">
        <v>1.00000001302272</v>
      </c>
    </row>
    <row r="4438" spans="1:40" x14ac:dyDescent="0.25">
      <c r="A4438" t="str">
        <f>"20190312161100102"</f>
        <v>20190312161100102</v>
      </c>
      <c r="B4438" t="str">
        <f>"1552378260091531"</f>
        <v>1552378260091531</v>
      </c>
      <c r="C4438" t="s">
        <v>40</v>
      </c>
      <c r="D4438">
        <v>5.3758019999999904</v>
      </c>
      <c r="E4438">
        <v>0.42176570000000002</v>
      </c>
      <c r="F4438" t="s">
        <v>52</v>
      </c>
      <c r="G4438">
        <v>-603.8143</v>
      </c>
      <c r="H4438">
        <v>-0.1</v>
      </c>
      <c r="I4438">
        <v>114.2358</v>
      </c>
      <c r="J4438">
        <v>-322.81740000000002</v>
      </c>
      <c r="K4438">
        <v>1.1098699999999999</v>
      </c>
      <c r="L4438">
        <v>141.45590000000001</v>
      </c>
      <c r="M4438">
        <v>-0.99983750000000005</v>
      </c>
      <c r="N4438">
        <v>0</v>
      </c>
      <c r="O4438">
        <v>1.0325569999999999E-2</v>
      </c>
      <c r="P4438">
        <v>-0.99398549999999997</v>
      </c>
      <c r="Q4438">
        <v>-1.4569540000000001E-2</v>
      </c>
      <c r="R4438">
        <v>0.1085396</v>
      </c>
      <c r="S4438">
        <v>-3.0499879999999999</v>
      </c>
      <c r="T4438">
        <v>-1.311505E-2</v>
      </c>
      <c r="U4438">
        <v>-0.29502869999999998</v>
      </c>
      <c r="V4438">
        <v>9.8269319999999993E-2</v>
      </c>
      <c r="W4438">
        <v>1.3524690000000001E-4</v>
      </c>
      <c r="X4438">
        <v>0.99515989999999999</v>
      </c>
      <c r="Y4438">
        <v>-0.1065542</v>
      </c>
      <c r="Z4438">
        <v>-2.7286539999999998E-4</v>
      </c>
      <c r="AA4438">
        <v>0.99430689999999999</v>
      </c>
      <c r="AB4438">
        <v>38</v>
      </c>
      <c r="AC4438">
        <v>-280.99689999999998</v>
      </c>
      <c r="AD4438">
        <v>-1.20987</v>
      </c>
      <c r="AE4438">
        <v>-27.220099999999999</v>
      </c>
      <c r="AF4438">
        <v>-30.119865378188901</v>
      </c>
      <c r="AG4438">
        <v>-1.20987</v>
      </c>
      <c r="AH4438">
        <v>280.695667713337</v>
      </c>
      <c r="AI4438">
        <v>90.245548324465602</v>
      </c>
      <c r="AJ4438">
        <v>96.124651095177896</v>
      </c>
      <c r="AK4438">
        <v>282.30963134270399</v>
      </c>
      <c r="AL4438">
        <v>89.992250923817494</v>
      </c>
      <c r="AM4438">
        <v>84.360481318933907</v>
      </c>
      <c r="AN4438">
        <v>1.00000005205649</v>
      </c>
    </row>
    <row r="4439" spans="1:40" x14ac:dyDescent="0.25">
      <c r="A4439" t="str">
        <f>"20190312161100123"</f>
        <v>20190312161100123</v>
      </c>
      <c r="B4439" t="str">
        <f>"1552378260111051"</f>
        <v>1552378260111051</v>
      </c>
      <c r="C4439" t="s">
        <v>40</v>
      </c>
      <c r="D4439">
        <v>5.4033069999999999</v>
      </c>
      <c r="E4439">
        <v>0.42172209999999899</v>
      </c>
      <c r="F4439" t="s">
        <v>52</v>
      </c>
      <c r="G4439">
        <v>-618.303</v>
      </c>
      <c r="H4439">
        <v>-0.1</v>
      </c>
      <c r="I4439">
        <v>112.9143</v>
      </c>
      <c r="J4439">
        <v>-323.16890000000001</v>
      </c>
      <c r="K4439">
        <v>1.109874</v>
      </c>
      <c r="L4439">
        <v>141.45949999999999</v>
      </c>
      <c r="M4439">
        <v>-0.99983730000000004</v>
      </c>
      <c r="N4439">
        <v>0</v>
      </c>
      <c r="O4439">
        <v>1.032576E-2</v>
      </c>
      <c r="P4439">
        <v>-0.99399660000000001</v>
      </c>
      <c r="Q4439">
        <v>-1.423468E-2</v>
      </c>
      <c r="R4439">
        <v>0.1084817</v>
      </c>
      <c r="S4439">
        <v>-3.0501100000000001</v>
      </c>
      <c r="T4439">
        <v>-1.248872E-2</v>
      </c>
      <c r="U4439">
        <v>-0.29461670000000001</v>
      </c>
      <c r="V4439">
        <v>9.8211119999999999E-2</v>
      </c>
      <c r="W4439">
        <v>4.8190750000000001E-4</v>
      </c>
      <c r="X4439">
        <v>0.99516550000000004</v>
      </c>
      <c r="Y4439">
        <v>-0.1064176</v>
      </c>
      <c r="Z4439">
        <v>-2.5954759999999999E-4</v>
      </c>
      <c r="AA4439">
        <v>0.99432149999999997</v>
      </c>
      <c r="AB4439">
        <v>38</v>
      </c>
      <c r="AC4439">
        <v>-295.13409999999999</v>
      </c>
      <c r="AD4439">
        <v>-1.2098739999999999</v>
      </c>
      <c r="AE4439">
        <v>-28.545199999999902</v>
      </c>
      <c r="AF4439">
        <v>-31.590969154407201</v>
      </c>
      <c r="AG4439">
        <v>-1.2098739999999999</v>
      </c>
      <c r="AH4439">
        <v>294.81867067174602</v>
      </c>
      <c r="AI4439">
        <v>90.233790205233902</v>
      </c>
      <c r="AJ4439">
        <v>96.116128863118306</v>
      </c>
      <c r="AK4439">
        <v>296.508856029404</v>
      </c>
      <c r="AL4439">
        <v>89.972388733461997</v>
      </c>
      <c r="AM4439">
        <v>84.363831323970501</v>
      </c>
      <c r="AN4439">
        <v>1.00000001435837</v>
      </c>
    </row>
    <row r="4440" spans="1:40" x14ac:dyDescent="0.25">
      <c r="A4440" t="str">
        <f>"20190312161100146"</f>
        <v>20190312161100146</v>
      </c>
      <c r="B4440" t="str">
        <f>"1552378260141307"</f>
        <v>1552378260141307</v>
      </c>
      <c r="C4440" t="s">
        <v>40</v>
      </c>
      <c r="D4440">
        <v>5.4390130000000001</v>
      </c>
      <c r="E4440">
        <v>0.42166609999999999</v>
      </c>
      <c r="F4440" t="s">
        <v>52</v>
      </c>
      <c r="G4440">
        <v>-599.14610000000005</v>
      </c>
      <c r="H4440">
        <v>-0.1</v>
      </c>
      <c r="I4440">
        <v>114.7514</v>
      </c>
      <c r="J4440">
        <v>-323.54899999999998</v>
      </c>
      <c r="K4440">
        <v>1.109882</v>
      </c>
      <c r="L4440">
        <v>141.46340000000001</v>
      </c>
      <c r="M4440">
        <v>-0.99983710000000003</v>
      </c>
      <c r="N4440">
        <v>0</v>
      </c>
      <c r="O4440">
        <v>1.032602E-2</v>
      </c>
      <c r="P4440">
        <v>-0.99400230000000001</v>
      </c>
      <c r="Q4440">
        <v>-1.370354E-2</v>
      </c>
      <c r="R4440">
        <v>0.1084972</v>
      </c>
      <c r="S4440">
        <v>-3.0501399999999999</v>
      </c>
      <c r="T4440">
        <v>-1.337171E-2</v>
      </c>
      <c r="U4440">
        <v>-0.29518129999999998</v>
      </c>
      <c r="V4440">
        <v>9.822641E-2</v>
      </c>
      <c r="W4440">
        <v>1.0240710000000001E-3</v>
      </c>
      <c r="X4440">
        <v>0.99516360000000004</v>
      </c>
      <c r="Y4440">
        <v>-0.10659920000000001</v>
      </c>
      <c r="Z4440">
        <v>-2.7829089999999998E-4</v>
      </c>
      <c r="AA4440">
        <v>0.99430200000000002</v>
      </c>
      <c r="AB4440">
        <v>38</v>
      </c>
      <c r="AC4440">
        <v>-275.59710000000001</v>
      </c>
      <c r="AD4440">
        <v>-1.2098819999999999</v>
      </c>
      <c r="AE4440">
        <v>-26.712</v>
      </c>
      <c r="AF4440">
        <v>-29.556144270158399</v>
      </c>
      <c r="AG4440">
        <v>-1.2098819999999999</v>
      </c>
      <c r="AH4440">
        <v>275.30128816122101</v>
      </c>
      <c r="AI4440">
        <v>90.250360674360394</v>
      </c>
      <c r="AJ4440">
        <v>96.127761884760204</v>
      </c>
      <c r="AK4440">
        <v>276.88594897863601</v>
      </c>
      <c r="AL4440">
        <v>89.941325045491396</v>
      </c>
      <c r="AM4440">
        <v>84.362948814797306</v>
      </c>
      <c r="AN4440">
        <v>1.0000000335539301</v>
      </c>
    </row>
    <row r="4441" spans="1:40" x14ac:dyDescent="0.25">
      <c r="A4441" t="str">
        <f>"20190312161100169"</f>
        <v>20190312161100169</v>
      </c>
      <c r="B4441" t="str">
        <f>"1552378260161803"</f>
        <v>1552378260161803</v>
      </c>
      <c r="C4441" t="s">
        <v>40</v>
      </c>
      <c r="D4441">
        <v>5.5041120000000001</v>
      </c>
      <c r="E4441">
        <v>0.42151379999999999</v>
      </c>
      <c r="F4441" t="s">
        <v>52</v>
      </c>
      <c r="G4441">
        <v>-614.24559999999997</v>
      </c>
      <c r="H4441">
        <v>-0.1</v>
      </c>
      <c r="I4441">
        <v>113.3079</v>
      </c>
      <c r="J4441">
        <v>-323.94490000000002</v>
      </c>
      <c r="K4441">
        <v>1.1098939999999999</v>
      </c>
      <c r="L4441">
        <v>141.4675</v>
      </c>
      <c r="M4441">
        <v>-0.99983699999999998</v>
      </c>
      <c r="N4441">
        <v>0</v>
      </c>
      <c r="O4441">
        <v>1.0326129999999999E-2</v>
      </c>
      <c r="P4441">
        <v>-0.9939732</v>
      </c>
      <c r="Q4441">
        <v>-1.3596520000000001E-2</v>
      </c>
      <c r="R4441">
        <v>0.10877729999999999</v>
      </c>
      <c r="S4441">
        <v>-3.0501710000000002</v>
      </c>
      <c r="T4441">
        <v>-1.2694840000000001E-2</v>
      </c>
      <c r="U4441">
        <v>-0.2954254</v>
      </c>
      <c r="V4441">
        <v>9.8506659999999996E-2</v>
      </c>
      <c r="W4441">
        <v>1.139466E-3</v>
      </c>
      <c r="X4441">
        <v>0.99513569999999996</v>
      </c>
      <c r="Y4441">
        <v>-0.1066773</v>
      </c>
      <c r="Z4441">
        <v>-2.6436310000000002E-4</v>
      </c>
      <c r="AA4441">
        <v>0.99429369999999995</v>
      </c>
      <c r="AB4441">
        <v>37</v>
      </c>
      <c r="AC4441">
        <v>-290.30069999999898</v>
      </c>
      <c r="AD4441">
        <v>-1.209894</v>
      </c>
      <c r="AE4441">
        <v>-28.159600000000001</v>
      </c>
      <c r="AF4441">
        <v>-31.155573774011</v>
      </c>
      <c r="AG4441">
        <v>-1.209894</v>
      </c>
      <c r="AH4441">
        <v>289.98941722767597</v>
      </c>
      <c r="AI4441">
        <v>90.237680310446905</v>
      </c>
      <c r="AJ4441">
        <v>96.132161160523495</v>
      </c>
      <c r="AK4441">
        <v>291.66075451580099</v>
      </c>
      <c r="AL4441">
        <v>89.934713390622804</v>
      </c>
      <c r="AM4441">
        <v>84.346812292063404</v>
      </c>
      <c r="AN4441">
        <v>0.99999996093080401</v>
      </c>
    </row>
    <row r="4442" spans="1:40" x14ac:dyDescent="0.25">
      <c r="A4442" t="str">
        <f>"20190312161100192"</f>
        <v>20190312161100192</v>
      </c>
      <c r="B4442" t="str">
        <f>"1552378260181324"</f>
        <v>1552378260181324</v>
      </c>
      <c r="C4442" t="s">
        <v>40</v>
      </c>
      <c r="D4442">
        <v>5.4021739999999996</v>
      </c>
      <c r="E4442">
        <v>0.42137400000000003</v>
      </c>
      <c r="F4442" t="s">
        <v>52</v>
      </c>
      <c r="G4442">
        <v>-583.94140000000004</v>
      </c>
      <c r="H4442">
        <v>-0.1</v>
      </c>
      <c r="I4442">
        <v>116.2495</v>
      </c>
      <c r="J4442">
        <v>-324.3168</v>
      </c>
      <c r="K4442">
        <v>1.1098950000000001</v>
      </c>
      <c r="L4442">
        <v>141.47130000000001</v>
      </c>
      <c r="M4442">
        <v>-0.99983679999999997</v>
      </c>
      <c r="N4442">
        <v>0</v>
      </c>
      <c r="O4442">
        <v>1.0326190000000001E-2</v>
      </c>
      <c r="P4442">
        <v>-0.99401530000000005</v>
      </c>
      <c r="Q4442">
        <v>-1.340323E-2</v>
      </c>
      <c r="R4442">
        <v>0.1084154</v>
      </c>
      <c r="S4442">
        <v>-3.0503849999999999</v>
      </c>
      <c r="T4442">
        <v>-1.4194969999999999E-2</v>
      </c>
      <c r="U4442">
        <v>-0.29586790000000002</v>
      </c>
      <c r="V4442">
        <v>9.8144339999999997E-2</v>
      </c>
      <c r="W4442">
        <v>1.3397369999999999E-3</v>
      </c>
      <c r="X4442">
        <v>0.99517129999999998</v>
      </c>
      <c r="Y4442">
        <v>-0.1068133</v>
      </c>
      <c r="Z4442">
        <v>-2.9589550000000002E-4</v>
      </c>
      <c r="AA4442">
        <v>0.99427900000000002</v>
      </c>
      <c r="AB4442">
        <v>37</v>
      </c>
      <c r="AC4442">
        <v>-259.62459999999999</v>
      </c>
      <c r="AD4442">
        <v>-1.2098949999999999</v>
      </c>
      <c r="AE4442">
        <v>-25.221800000000002</v>
      </c>
      <c r="AF4442">
        <v>-27.901082252867301</v>
      </c>
      <c r="AG4442">
        <v>-1.2098949999999999</v>
      </c>
      <c r="AH4442">
        <v>259.34470137670797</v>
      </c>
      <c r="AI4442">
        <v>90.265760828545098</v>
      </c>
      <c r="AJ4442">
        <v>96.140434791751005</v>
      </c>
      <c r="AK4442">
        <v>260.844030732862</v>
      </c>
      <c r="AL4442">
        <v>89.923238702151096</v>
      </c>
      <c r="AM4442">
        <v>84.367671679179793</v>
      </c>
      <c r="AN4442">
        <v>1.00000001135647</v>
      </c>
    </row>
    <row r="4443" spans="1:40" x14ac:dyDescent="0.25">
      <c r="A4443" t="str">
        <f>"20190312161100214"</f>
        <v>20190312161100214</v>
      </c>
      <c r="B4443" t="str">
        <f>"1552378260211579"</f>
        <v>1552378260211579</v>
      </c>
      <c r="C4443" t="s">
        <v>40</v>
      </c>
      <c r="D4443">
        <v>5.4998009999999997</v>
      </c>
      <c r="E4443">
        <v>0.42101729999999998</v>
      </c>
      <c r="F4443" t="s">
        <v>52</v>
      </c>
      <c r="G4443">
        <v>-582.50900000000001</v>
      </c>
      <c r="H4443">
        <v>-0.1</v>
      </c>
      <c r="I4443">
        <v>116.24469999999999</v>
      </c>
      <c r="J4443">
        <v>-324.68950000000001</v>
      </c>
      <c r="K4443">
        <v>1.1099000000000001</v>
      </c>
      <c r="L4443">
        <v>141.4752</v>
      </c>
      <c r="M4443">
        <v>-0.99983690000000003</v>
      </c>
      <c r="N4443">
        <v>0</v>
      </c>
      <c r="O4443">
        <v>1.0326149999999999E-2</v>
      </c>
      <c r="P4443">
        <v>-0.99400429999999995</v>
      </c>
      <c r="Q4443">
        <v>-1.336499E-2</v>
      </c>
      <c r="R4443">
        <v>0.1085218</v>
      </c>
      <c r="S4443">
        <v>-3.050354</v>
      </c>
      <c r="T4443">
        <v>-1.4294029999999999E-2</v>
      </c>
      <c r="U4443">
        <v>-0.29803469999999999</v>
      </c>
      <c r="V4443">
        <v>9.8250740000000003E-2</v>
      </c>
      <c r="W4443">
        <v>1.382653E-3</v>
      </c>
      <c r="X4443">
        <v>0.99516079999999996</v>
      </c>
      <c r="Y4443">
        <v>-0.10751380000000001</v>
      </c>
      <c r="Z4443">
        <v>-2.995904E-4</v>
      </c>
      <c r="AA4443">
        <v>0.99420359999999997</v>
      </c>
      <c r="AB4443">
        <v>37</v>
      </c>
      <c r="AC4443">
        <v>-257.81950000000001</v>
      </c>
      <c r="AD4443">
        <v>-1.2099</v>
      </c>
      <c r="AE4443">
        <v>-25.230499999999999</v>
      </c>
      <c r="AF4443">
        <v>-27.891121227950201</v>
      </c>
      <c r="AG4443">
        <v>-1.2099</v>
      </c>
      <c r="AH4443">
        <v>257.53957064288397</v>
      </c>
      <c r="AI4443">
        <v>90.267604235473996</v>
      </c>
      <c r="AJ4443">
        <v>96.180951357880801</v>
      </c>
      <c r="AK4443">
        <v>259.04827532389203</v>
      </c>
      <c r="AL4443">
        <v>89.920779798773793</v>
      </c>
      <c r="AM4443">
        <v>84.361545790235994</v>
      </c>
      <c r="AN4443">
        <v>1.00000006874825</v>
      </c>
    </row>
    <row r="4444" spans="1:40" x14ac:dyDescent="0.25">
      <c r="A4444" t="str">
        <f>"20190312161100235"</f>
        <v>20190312161100235</v>
      </c>
      <c r="B4444" t="str">
        <f>"1552378260231100"</f>
        <v>1552378260231100</v>
      </c>
      <c r="C4444" t="s">
        <v>40</v>
      </c>
      <c r="D4444">
        <v>5.533277</v>
      </c>
      <c r="E4444">
        <v>0.42082239999999999</v>
      </c>
      <c r="F4444" t="s">
        <v>52</v>
      </c>
      <c r="G4444">
        <v>-572.22029999999995</v>
      </c>
      <c r="H4444">
        <v>-0.1</v>
      </c>
      <c r="I4444">
        <v>117.08759999999999</v>
      </c>
      <c r="J4444">
        <v>-325.04360000000003</v>
      </c>
      <c r="K4444">
        <v>1.1099019999999999</v>
      </c>
      <c r="L4444">
        <v>141.47890000000001</v>
      </c>
      <c r="M4444">
        <v>-0.99983690000000003</v>
      </c>
      <c r="N4444">
        <v>0</v>
      </c>
      <c r="O4444">
        <v>1.0326119999999999E-2</v>
      </c>
      <c r="P4444">
        <v>-0.99394870000000002</v>
      </c>
      <c r="Q4444">
        <v>-1.337461E-2</v>
      </c>
      <c r="R4444">
        <v>0.109028</v>
      </c>
      <c r="S4444">
        <v>-3.0507200000000001</v>
      </c>
      <c r="T4444">
        <v>-1.4911529999999999E-2</v>
      </c>
      <c r="U4444">
        <v>-0.30056759999999999</v>
      </c>
      <c r="V4444">
        <v>9.8757380000000006E-2</v>
      </c>
      <c r="W4444">
        <v>1.375977E-3</v>
      </c>
      <c r="X4444">
        <v>0.99511059999999996</v>
      </c>
      <c r="Y4444">
        <v>-0.1083196</v>
      </c>
      <c r="Z4444">
        <v>-3.1444719999999999E-4</v>
      </c>
      <c r="AA4444">
        <v>0.99411609999999995</v>
      </c>
      <c r="AB4444">
        <v>37</v>
      </c>
      <c r="AC4444">
        <v>-247.17669999999899</v>
      </c>
      <c r="AD4444">
        <v>-1.209902</v>
      </c>
      <c r="AE4444">
        <v>-24.391300000000001</v>
      </c>
      <c r="AF4444">
        <v>-26.9420164614185</v>
      </c>
      <c r="AG4444">
        <v>-1.209902</v>
      </c>
      <c r="AH4444">
        <v>246.90576474857201</v>
      </c>
      <c r="AI4444">
        <v>90.279105174963604</v>
      </c>
      <c r="AJ4444">
        <v>96.227398137506995</v>
      </c>
      <c r="AK4444">
        <v>248.37429975731001</v>
      </c>
      <c r="AL4444">
        <v>89.921162301090007</v>
      </c>
      <c r="AM4444">
        <v>84.332375282443095</v>
      </c>
      <c r="AN4444">
        <v>1.0000000098247599</v>
      </c>
    </row>
    <row r="4445" spans="1:40" x14ac:dyDescent="0.25">
      <c r="A4445" t="str">
        <f>"20190312161100258"</f>
        <v>20190312161100258</v>
      </c>
      <c r="B4445" t="str">
        <f>"1552378260251595"</f>
        <v>1552378260251595</v>
      </c>
      <c r="C4445" t="s">
        <v>40</v>
      </c>
      <c r="D4445">
        <v>5.5388830000000002</v>
      </c>
      <c r="E4445">
        <v>0.41771609999999998</v>
      </c>
      <c r="F4445" t="s">
        <v>43</v>
      </c>
      <c r="G4445">
        <v>-546.18370000000004</v>
      </c>
      <c r="H4445">
        <v>-0.05</v>
      </c>
      <c r="I4445">
        <v>119.6966</v>
      </c>
      <c r="J4445">
        <v>-325.43119999999999</v>
      </c>
      <c r="K4445">
        <v>1.109907</v>
      </c>
      <c r="L4445">
        <v>141.4829</v>
      </c>
      <c r="M4445">
        <v>-0.99983690000000003</v>
      </c>
      <c r="N4445">
        <v>0</v>
      </c>
      <c r="O4445">
        <v>1.032609E-2</v>
      </c>
      <c r="P4445">
        <v>-0.99385270000000003</v>
      </c>
      <c r="Q4445">
        <v>-1.3389979999999999E-2</v>
      </c>
      <c r="R4445">
        <v>0.1098991</v>
      </c>
      <c r="S4445">
        <v>-3.0509949999999999</v>
      </c>
      <c r="T4445">
        <v>-1.6002769999999999E-2</v>
      </c>
      <c r="U4445">
        <v>-0.30052190000000001</v>
      </c>
      <c r="V4445">
        <v>9.9629590000000004E-2</v>
      </c>
      <c r="W4445">
        <v>1.3621480000000001E-3</v>
      </c>
      <c r="X4445">
        <v>0.99502369999999996</v>
      </c>
      <c r="Y4445">
        <v>-0.1082959</v>
      </c>
      <c r="Z4445">
        <v>-3.3736630000000002E-4</v>
      </c>
      <c r="AA4445">
        <v>0.99411859999999996</v>
      </c>
      <c r="AB4445">
        <v>37</v>
      </c>
      <c r="AC4445">
        <v>-220.7525</v>
      </c>
      <c r="AD4445">
        <v>-1.159907</v>
      </c>
      <c r="AE4445">
        <v>-21.786300000000001</v>
      </c>
      <c r="AF4445">
        <v>-24.0642406921604</v>
      </c>
      <c r="AG4445">
        <v>-1.159907</v>
      </c>
      <c r="AH4445">
        <v>220.50970678340599</v>
      </c>
      <c r="AI4445">
        <v>90.299601044007403</v>
      </c>
      <c r="AJ4445">
        <v>96.228046666658102</v>
      </c>
      <c r="AK4445">
        <v>221.821919228111</v>
      </c>
      <c r="AL4445">
        <v>89.921954647288899</v>
      </c>
      <c r="AM4445">
        <v>84.282153861711294</v>
      </c>
      <c r="AN4445">
        <v>1.0000000371062101</v>
      </c>
    </row>
    <row r="4446" spans="1:40" x14ac:dyDescent="0.25">
      <c r="A4446" t="str">
        <f>"20190312161100280"</f>
        <v>20190312161100280</v>
      </c>
      <c r="B4446" t="str">
        <f>"1552378260271115"</f>
        <v>1552378260271115</v>
      </c>
      <c r="C4446" t="s">
        <v>40</v>
      </c>
      <c r="D4446">
        <v>5.5019859999999996</v>
      </c>
      <c r="E4446">
        <v>0.41741840000000002</v>
      </c>
      <c r="F4446" t="s">
        <v>41</v>
      </c>
      <c r="G4446">
        <v>-364.74799999999999</v>
      </c>
      <c r="H4446" s="1">
        <v>-2.6415390000000001E-6</v>
      </c>
      <c r="I4446">
        <v>137.32660000000001</v>
      </c>
      <c r="J4446">
        <v>-325.8021</v>
      </c>
      <c r="K4446">
        <v>1.1099139999999901</v>
      </c>
      <c r="L4446">
        <v>141.48670000000001</v>
      </c>
      <c r="M4446">
        <v>-0.99983670000000002</v>
      </c>
      <c r="N4446">
        <v>0</v>
      </c>
      <c r="O4446">
        <v>1.032626E-2</v>
      </c>
      <c r="P4446">
        <v>-0.99377409999999999</v>
      </c>
      <c r="Q4446">
        <v>-1.405523E-2</v>
      </c>
      <c r="R4446">
        <v>0.1105236</v>
      </c>
      <c r="S4446">
        <v>-3.05307</v>
      </c>
      <c r="T4446">
        <v>-8.618808E-2</v>
      </c>
      <c r="U4446">
        <v>-0.32273859999999999</v>
      </c>
      <c r="V4446">
        <v>0.1002546</v>
      </c>
      <c r="W4446">
        <v>6.9743789999999995E-4</v>
      </c>
      <c r="X4446">
        <v>0.9949616</v>
      </c>
      <c r="Y4446">
        <v>-0.11533889999999999</v>
      </c>
      <c r="Z4446">
        <v>-1.913873E-3</v>
      </c>
      <c r="AA4446">
        <v>0.99332430000000005</v>
      </c>
      <c r="AB4446">
        <v>37</v>
      </c>
      <c r="AC4446">
        <v>-38.945900000000002</v>
      </c>
      <c r="AD4446">
        <v>-1.1099166415389901</v>
      </c>
      <c r="AE4446">
        <v>-4.1600999999999999</v>
      </c>
      <c r="AF4446">
        <v>-4.5584273301656202</v>
      </c>
      <c r="AG4446">
        <v>-1.1099166415389901</v>
      </c>
      <c r="AH4446">
        <v>38.869646689940701</v>
      </c>
      <c r="AI4446">
        <v>91.624500511003006</v>
      </c>
      <c r="AJ4446">
        <v>96.688794276773706</v>
      </c>
      <c r="AK4446">
        <v>39.151763797770201</v>
      </c>
      <c r="AL4446">
        <v>89.960039749751104</v>
      </c>
      <c r="AM4446">
        <v>84.246167099030998</v>
      </c>
      <c r="AN4446">
        <v>1.00000002835767</v>
      </c>
    </row>
    <row r="4447" spans="1:40" x14ac:dyDescent="0.25">
      <c r="A4447" t="str">
        <f>"20190312161100302"</f>
        <v>20190312161100302</v>
      </c>
      <c r="B4447" t="str">
        <f>"1552378260291611"</f>
        <v>1552378260291611</v>
      </c>
      <c r="C4447" t="s">
        <v>40</v>
      </c>
      <c r="D4447">
        <v>5.5822339999999997</v>
      </c>
      <c r="E4447">
        <v>0.41736220000000002</v>
      </c>
      <c r="F4447" t="s">
        <v>41</v>
      </c>
      <c r="G4447">
        <v>-367.68810000000002</v>
      </c>
      <c r="H4447" s="1">
        <v>-1.4542209999999999E-6</v>
      </c>
      <c r="I4447">
        <v>137.05520000000001</v>
      </c>
      <c r="J4447">
        <v>-326.15679999999998</v>
      </c>
      <c r="K4447">
        <v>1.109918</v>
      </c>
      <c r="L4447">
        <v>141.49039999999999</v>
      </c>
      <c r="M4447">
        <v>-0.99983670000000002</v>
      </c>
      <c r="N4447">
        <v>0</v>
      </c>
      <c r="O4447">
        <v>1.0326429999999999E-2</v>
      </c>
      <c r="P4447">
        <v>-0.99379419999999996</v>
      </c>
      <c r="Q4447">
        <v>-1.3470380000000001E-2</v>
      </c>
      <c r="R4447">
        <v>0.11041620000000001</v>
      </c>
      <c r="S4447">
        <v>-3.0535890000000001</v>
      </c>
      <c r="T4447">
        <v>-8.0915570000000006E-2</v>
      </c>
      <c r="U4447">
        <v>-0.32305909999999999</v>
      </c>
      <c r="V4447">
        <v>0.100147</v>
      </c>
      <c r="W4447">
        <v>1.282994E-3</v>
      </c>
      <c r="X4447">
        <v>0.99497179999999996</v>
      </c>
      <c r="Y4447">
        <v>-0.1154303</v>
      </c>
      <c r="Z4447">
        <v>-1.797735E-3</v>
      </c>
      <c r="AA4447">
        <v>0.99331400000000003</v>
      </c>
      <c r="AB4447">
        <v>37</v>
      </c>
      <c r="AC4447">
        <v>-41.531300000000002</v>
      </c>
      <c r="AD4447">
        <v>-1.109919454221</v>
      </c>
      <c r="AE4447">
        <v>-4.4351999999999796</v>
      </c>
      <c r="AF4447">
        <v>-4.8604484150342202</v>
      </c>
      <c r="AG4447">
        <v>-1.109919454221</v>
      </c>
      <c r="AH4447">
        <v>41.454006861987999</v>
      </c>
      <c r="AI4447">
        <v>91.523282207888599</v>
      </c>
      <c r="AJ4447">
        <v>96.687350352250107</v>
      </c>
      <c r="AK4447">
        <v>41.752731226876797</v>
      </c>
      <c r="AL4447">
        <v>89.926489836672005</v>
      </c>
      <c r="AM4447">
        <v>84.252359660120504</v>
      </c>
      <c r="AN4447">
        <v>0.99999997523892104</v>
      </c>
    </row>
    <row r="4448" spans="1:40" x14ac:dyDescent="0.25">
      <c r="A4448" t="str">
        <f>"20190312161100325"</f>
        <v>20190312161100325</v>
      </c>
      <c r="B4448" t="str">
        <f>"1552378260320891"</f>
        <v>1552378260320891</v>
      </c>
      <c r="C4448" t="s">
        <v>40</v>
      </c>
      <c r="D4448">
        <v>5.5959719999999997</v>
      </c>
      <c r="E4448">
        <v>0.41683750000000003</v>
      </c>
      <c r="F4448" t="s">
        <v>41</v>
      </c>
      <c r="G4448">
        <v>-368.39249999999998</v>
      </c>
      <c r="H4448" s="1">
        <v>-1.226023E-6</v>
      </c>
      <c r="I4448">
        <v>137.012</v>
      </c>
      <c r="J4448">
        <v>-326.5342</v>
      </c>
      <c r="K4448">
        <v>1.1099220000000001</v>
      </c>
      <c r="L4448">
        <v>141.49430000000001</v>
      </c>
      <c r="M4448">
        <v>-0.99983670000000002</v>
      </c>
      <c r="N4448">
        <v>0</v>
      </c>
      <c r="O4448">
        <v>1.0326419999999999E-2</v>
      </c>
      <c r="P4448">
        <v>-0.99387599999999998</v>
      </c>
      <c r="Q4448">
        <v>-1.3287739999999999E-2</v>
      </c>
      <c r="R4448">
        <v>0.1096999</v>
      </c>
      <c r="S4448">
        <v>-3.0536189999999999</v>
      </c>
      <c r="T4448">
        <v>-8.0246689999999996E-2</v>
      </c>
      <c r="U4448">
        <v>-0.32377620000000001</v>
      </c>
      <c r="V4448">
        <v>9.9429909999999996E-2</v>
      </c>
      <c r="W4448">
        <v>1.4675300000000001E-3</v>
      </c>
      <c r="X4448">
        <v>0.99504349999999997</v>
      </c>
      <c r="Y4448">
        <v>-0.1156606</v>
      </c>
      <c r="Z4448">
        <v>-1.7858570000000001E-3</v>
      </c>
      <c r="AA4448">
        <v>0.99328720000000004</v>
      </c>
      <c r="AB4448">
        <v>37</v>
      </c>
      <c r="AC4448">
        <v>-41.8582999999999</v>
      </c>
      <c r="AD4448">
        <v>-1.1099232260230001</v>
      </c>
      <c r="AE4448">
        <v>-4.4823000000000004</v>
      </c>
      <c r="AF4448">
        <v>-4.9109411016078903</v>
      </c>
      <c r="AG4448">
        <v>-1.1099232260230001</v>
      </c>
      <c r="AH4448">
        <v>41.780733086505101</v>
      </c>
      <c r="AI4448">
        <v>91.511329774338606</v>
      </c>
      <c r="AJ4448">
        <v>96.703832086092305</v>
      </c>
      <c r="AK4448">
        <v>42.083000479016597</v>
      </c>
      <c r="AL4448">
        <v>89.915916695668002</v>
      </c>
      <c r="AM4448">
        <v>84.293650797973399</v>
      </c>
      <c r="AN4448">
        <v>1.0000000137695699</v>
      </c>
    </row>
    <row r="4449" spans="1:40" x14ac:dyDescent="0.25">
      <c r="A4449" t="str">
        <f>"20190312161100347"</f>
        <v>20190312161100347</v>
      </c>
      <c r="B4449" t="str">
        <f>"1552378260341387"</f>
        <v>1552378260341387</v>
      </c>
      <c r="C4449" t="s">
        <v>40</v>
      </c>
      <c r="D4449">
        <v>5.6132030000000004</v>
      </c>
      <c r="E4449">
        <v>0.41682209999999997</v>
      </c>
      <c r="F4449" t="s">
        <v>41</v>
      </c>
      <c r="G4449">
        <v>-372.08569999999997</v>
      </c>
      <c r="H4449" s="1">
        <v>-3.9178150000000002E-6</v>
      </c>
      <c r="I4449">
        <v>136.57040000000001</v>
      </c>
      <c r="J4449">
        <v>-326.90050000000002</v>
      </c>
      <c r="K4449">
        <v>1.109928</v>
      </c>
      <c r="L4449">
        <v>141.49799999999999</v>
      </c>
      <c r="M4449">
        <v>-0.99983670000000002</v>
      </c>
      <c r="N4449">
        <v>0</v>
      </c>
      <c r="O4449">
        <v>1.03266E-2</v>
      </c>
      <c r="P4449">
        <v>-0.99383250000000001</v>
      </c>
      <c r="Q4449">
        <v>-1.4474509999999999E-2</v>
      </c>
      <c r="R4449">
        <v>0.10994379999999999</v>
      </c>
      <c r="S4449">
        <v>-3.053925</v>
      </c>
      <c r="T4449">
        <v>-7.4413300000000002E-2</v>
      </c>
      <c r="U4449">
        <v>-0.33010859999999997</v>
      </c>
      <c r="V4449">
        <v>9.9673910000000004E-2</v>
      </c>
      <c r="W4449">
        <v>2.7972860000000002E-4</v>
      </c>
      <c r="X4449">
        <v>0.99502009999999996</v>
      </c>
      <c r="Y4449">
        <v>-0.1176919</v>
      </c>
      <c r="Z4449">
        <v>-1.6804070000000001E-3</v>
      </c>
      <c r="AA4449">
        <v>0.99304870000000001</v>
      </c>
      <c r="AB4449">
        <v>37</v>
      </c>
      <c r="AC4449">
        <v>-45.185199999999902</v>
      </c>
      <c r="AD4449">
        <v>-1.109931917815</v>
      </c>
      <c r="AE4449">
        <v>-4.9275999999999804</v>
      </c>
      <c r="AF4449">
        <v>-5.3907834737396696</v>
      </c>
      <c r="AG4449">
        <v>-1.109931917815</v>
      </c>
      <c r="AH4449">
        <v>45.105003034058697</v>
      </c>
      <c r="AI4449">
        <v>91.399677667476993</v>
      </c>
      <c r="AJ4449">
        <v>96.815451799215197</v>
      </c>
      <c r="AK4449">
        <v>45.439561992006197</v>
      </c>
      <c r="AL4449">
        <v>89.983972731329303</v>
      </c>
      <c r="AM4449">
        <v>84.279606596834896</v>
      </c>
      <c r="AN4449">
        <v>0.99999998299339299</v>
      </c>
    </row>
    <row r="4450" spans="1:40" x14ac:dyDescent="0.25">
      <c r="A4450" t="str">
        <f>"20190312161100370"</f>
        <v>20190312161100370</v>
      </c>
      <c r="B4450" t="str">
        <f>"1552378260361882"</f>
        <v>1552378260361882</v>
      </c>
      <c r="C4450" t="s">
        <v>40</v>
      </c>
      <c r="D4450">
        <v>5.6385569999999996</v>
      </c>
      <c r="E4450">
        <v>0.4169409</v>
      </c>
      <c r="F4450" t="s">
        <v>41</v>
      </c>
      <c r="G4450">
        <v>-372.3458</v>
      </c>
      <c r="H4450" s="1">
        <v>-3.8022289999999999E-6</v>
      </c>
      <c r="I4450">
        <v>136.59280000000001</v>
      </c>
      <c r="J4450">
        <v>-327.2901</v>
      </c>
      <c r="K4450">
        <v>1.1099330000000001</v>
      </c>
      <c r="L4450">
        <v>141.50210000000001</v>
      </c>
      <c r="M4450">
        <v>-0.99983670000000002</v>
      </c>
      <c r="N4450">
        <v>0</v>
      </c>
      <c r="O4450">
        <v>1.0326429999999999E-2</v>
      </c>
      <c r="P4450">
        <v>-0.99374910000000005</v>
      </c>
      <c r="Q4450">
        <v>-1.4742430000000001E-2</v>
      </c>
      <c r="R4450">
        <v>0.11065899999999999</v>
      </c>
      <c r="S4450">
        <v>-3.0540159999999998</v>
      </c>
      <c r="T4450">
        <v>-7.4589730000000007E-2</v>
      </c>
      <c r="U4450">
        <v>-0.32963559999999997</v>
      </c>
      <c r="V4450">
        <v>0.1003901</v>
      </c>
      <c r="W4450" s="1">
        <v>9.6183209999999998E-6</v>
      </c>
      <c r="X4450">
        <v>0.9949481</v>
      </c>
      <c r="Y4450">
        <v>-0.1175364</v>
      </c>
      <c r="Z4450">
        <v>-1.6824559999999999E-3</v>
      </c>
      <c r="AA4450">
        <v>0.99306709999999998</v>
      </c>
      <c r="AB4450">
        <v>37</v>
      </c>
      <c r="AC4450">
        <v>-45.055700000000002</v>
      </c>
      <c r="AD4450">
        <v>-1.1099368022289999</v>
      </c>
      <c r="AE4450">
        <v>-4.9093</v>
      </c>
      <c r="AF4450">
        <v>-5.3711325445968496</v>
      </c>
      <c r="AG4450">
        <v>-1.1099368022289999</v>
      </c>
      <c r="AH4450">
        <v>44.975621836678002</v>
      </c>
      <c r="AI4450">
        <v>91.403724070008593</v>
      </c>
      <c r="AJ4450">
        <v>96.810191953715403</v>
      </c>
      <c r="AK4450">
        <v>45.308802501417297</v>
      </c>
      <c r="AL4450">
        <v>89.999448910771406</v>
      </c>
      <c r="AM4450">
        <v>84.238365088571001</v>
      </c>
      <c r="AN4450">
        <v>0.99999994698206396</v>
      </c>
    </row>
    <row r="4451" spans="1:40" x14ac:dyDescent="0.25">
      <c r="A4451" t="str">
        <f>"20190312161100393"</f>
        <v>20190312161100393</v>
      </c>
      <c r="B4451" t="str">
        <f>"1552378260381403"</f>
        <v>1552378260381403</v>
      </c>
      <c r="C4451" t="s">
        <v>40</v>
      </c>
      <c r="D4451">
        <v>5.6252469999999999</v>
      </c>
      <c r="E4451">
        <v>0.41688320000000001</v>
      </c>
      <c r="F4451" t="s">
        <v>41</v>
      </c>
      <c r="G4451">
        <v>-372.03989999999999</v>
      </c>
      <c r="H4451" s="1">
        <v>-3.9113330000000004E-6</v>
      </c>
      <c r="I4451">
        <v>136.71770000000001</v>
      </c>
      <c r="J4451">
        <v>-327.65480000000002</v>
      </c>
      <c r="K4451">
        <v>1.1099319999999999</v>
      </c>
      <c r="L4451">
        <v>141.50579999999999</v>
      </c>
      <c r="M4451">
        <v>-0.99983690000000003</v>
      </c>
      <c r="N4451">
        <v>0</v>
      </c>
      <c r="O4451">
        <v>1.032626E-2</v>
      </c>
      <c r="P4451">
        <v>-0.99372709999999997</v>
      </c>
      <c r="Q4451">
        <v>-1.405385E-2</v>
      </c>
      <c r="R4451">
        <v>0.110946699999999</v>
      </c>
      <c r="S4451">
        <v>-3.0541079999999998</v>
      </c>
      <c r="T4451">
        <v>-7.5751659999999998E-2</v>
      </c>
      <c r="U4451">
        <v>-0.3265228</v>
      </c>
      <c r="V4451">
        <v>0.1006782</v>
      </c>
      <c r="W4451">
        <v>6.9696109999999999E-4</v>
      </c>
      <c r="X4451">
        <v>0.99491879999999999</v>
      </c>
      <c r="Y4451">
        <v>-0.1165315</v>
      </c>
      <c r="Z4451">
        <v>-1.696269E-3</v>
      </c>
      <c r="AA4451">
        <v>0.9931856</v>
      </c>
      <c r="AB4451">
        <v>37</v>
      </c>
      <c r="AC4451">
        <v>-44.385099999999902</v>
      </c>
      <c r="AD4451">
        <v>-1.1099359113329901</v>
      </c>
      <c r="AE4451">
        <v>-4.7880999999999796</v>
      </c>
      <c r="AF4451">
        <v>-5.2429860862035902</v>
      </c>
      <c r="AG4451">
        <v>-1.1099359113329901</v>
      </c>
      <c r="AH4451">
        <v>44.305896535359501</v>
      </c>
      <c r="AI4451">
        <v>91.425114376611603</v>
      </c>
      <c r="AJ4451">
        <v>96.748772706057693</v>
      </c>
      <c r="AK4451">
        <v>44.628839651388802</v>
      </c>
      <c r="AL4451">
        <v>89.960067067338201</v>
      </c>
      <c r="AM4451">
        <v>84.221773029145297</v>
      </c>
      <c r="AN4451">
        <v>1.0000000021517199</v>
      </c>
    </row>
    <row r="4452" spans="1:40" x14ac:dyDescent="0.25">
      <c r="A4452" t="str">
        <f>"20190312161100415"</f>
        <v>20190312161100415</v>
      </c>
      <c r="B4452" t="str">
        <f>"1552378260411659"</f>
        <v>1552378260411659</v>
      </c>
      <c r="C4452" t="s">
        <v>40</v>
      </c>
      <c r="D4452">
        <v>5.610093</v>
      </c>
      <c r="E4452">
        <v>0.4212572</v>
      </c>
      <c r="F4452" t="s">
        <v>41</v>
      </c>
      <c r="G4452">
        <v>-373.66160000000002</v>
      </c>
      <c r="H4452" s="1">
        <v>-3.237288E-6</v>
      </c>
      <c r="I4452">
        <v>136.59540000000001</v>
      </c>
      <c r="J4452">
        <v>-328.0249</v>
      </c>
      <c r="K4452">
        <v>1.1099330000000001</v>
      </c>
      <c r="L4452">
        <v>141.50970000000001</v>
      </c>
      <c r="M4452">
        <v>-0.99983690000000003</v>
      </c>
      <c r="N4452">
        <v>0</v>
      </c>
      <c r="O4452">
        <v>1.032609E-2</v>
      </c>
      <c r="P4452">
        <v>-0.99374110000000004</v>
      </c>
      <c r="Q4452">
        <v>-1.3447219999999999E-2</v>
      </c>
      <c r="R4452">
        <v>0.1108972</v>
      </c>
      <c r="S4452">
        <v>-3.0542910000000001</v>
      </c>
      <c r="T4452">
        <v>-7.368624E-2</v>
      </c>
      <c r="U4452">
        <v>-0.32598880000000002</v>
      </c>
      <c r="V4452">
        <v>0.1006288</v>
      </c>
      <c r="W4452">
        <v>1.30159E-3</v>
      </c>
      <c r="X4452">
        <v>0.99492320000000001</v>
      </c>
      <c r="Y4452">
        <v>-0.116355399999999</v>
      </c>
      <c r="Z4452">
        <v>-1.6478279999999901E-3</v>
      </c>
      <c r="AA4452">
        <v>0.99320629999999999</v>
      </c>
      <c r="AB4452">
        <v>37</v>
      </c>
      <c r="AC4452">
        <v>-45.636699999999998</v>
      </c>
      <c r="AD4452">
        <v>-1.1099362372879999</v>
      </c>
      <c r="AE4452">
        <v>-4.9142999999999901</v>
      </c>
      <c r="AF4452">
        <v>-5.3821911775613502</v>
      </c>
      <c r="AG4452">
        <v>-1.1099362372879999</v>
      </c>
      <c r="AH4452">
        <v>45.556876451730297</v>
      </c>
      <c r="AI4452">
        <v>91.386028312438</v>
      </c>
      <c r="AJ4452">
        <v>96.737819346029895</v>
      </c>
      <c r="AK4452">
        <v>45.887132535830602</v>
      </c>
      <c r="AL4452">
        <v>89.925424366160101</v>
      </c>
      <c r="AM4452">
        <v>84.224614442943206</v>
      </c>
      <c r="AN4452">
        <v>1.0000000117121</v>
      </c>
    </row>
    <row r="4453" spans="1:40" x14ac:dyDescent="0.25">
      <c r="A4453" t="str">
        <f>"20190312161100437"</f>
        <v>20190312161100437</v>
      </c>
      <c r="B4453" t="str">
        <f>"1552378260431179"</f>
        <v>1552378260431179</v>
      </c>
      <c r="C4453" t="s">
        <v>40</v>
      </c>
      <c r="D4453">
        <v>5.7022959999999996</v>
      </c>
      <c r="E4453">
        <v>0.42092679999999999</v>
      </c>
      <c r="F4453" t="s">
        <v>41</v>
      </c>
      <c r="G4453">
        <v>-352.94170000000003</v>
      </c>
      <c r="H4453" s="1">
        <v>-3.0971719999999998E-6</v>
      </c>
      <c r="I4453">
        <v>139.1266</v>
      </c>
      <c r="J4453">
        <v>-328.3809</v>
      </c>
      <c r="K4453">
        <v>1.109934</v>
      </c>
      <c r="L4453">
        <v>141.51329999999999</v>
      </c>
      <c r="M4453">
        <v>-0.99983690000000003</v>
      </c>
      <c r="N4453">
        <v>0</v>
      </c>
      <c r="O4453">
        <v>1.032395E-2</v>
      </c>
      <c r="P4453">
        <v>-0.99374390000000001</v>
      </c>
      <c r="Q4453">
        <v>-1.3366380000000001E-2</v>
      </c>
      <c r="R4453">
        <v>0.1108811</v>
      </c>
      <c r="S4453">
        <v>-3.0495909999999999</v>
      </c>
      <c r="T4453">
        <v>-0.13584669999999999</v>
      </c>
      <c r="U4453">
        <v>-0.29165649999999999</v>
      </c>
      <c r="V4453">
        <v>0.1006147</v>
      </c>
      <c r="W4453">
        <v>1.3807450000000001E-3</v>
      </c>
      <c r="X4453">
        <v>0.99492449999999999</v>
      </c>
      <c r="Y4453">
        <v>-0.1053629</v>
      </c>
      <c r="Z4453">
        <v>-2.798965E-3</v>
      </c>
      <c r="AA4453">
        <v>0.99442989999999998</v>
      </c>
      <c r="AB4453">
        <v>37</v>
      </c>
      <c r="AC4453">
        <v>-24.5608</v>
      </c>
      <c r="AD4453">
        <v>-1.109937097172</v>
      </c>
      <c r="AE4453">
        <v>-2.3866999999999901</v>
      </c>
      <c r="AF4453">
        <v>-2.6348344048680001</v>
      </c>
      <c r="AG4453">
        <v>-1.109937097172</v>
      </c>
      <c r="AH4453">
        <v>24.485310243148</v>
      </c>
      <c r="AI4453">
        <v>92.580605011125797</v>
      </c>
      <c r="AJ4453">
        <v>96.141894797202795</v>
      </c>
      <c r="AK4453">
        <v>24.651667903084402</v>
      </c>
      <c r="AL4453">
        <v>89.920889113186405</v>
      </c>
      <c r="AM4453">
        <v>84.225425708781799</v>
      </c>
      <c r="AN4453">
        <v>0.99999999250654703</v>
      </c>
    </row>
    <row r="4454" spans="1:40" x14ac:dyDescent="0.25">
      <c r="A4454" t="str">
        <f>"20190312161100460"</f>
        <v>20190312161100460</v>
      </c>
      <c r="B4454" t="str">
        <f>"1552378260451675"</f>
        <v>1552378260451675</v>
      </c>
      <c r="C4454" t="s">
        <v>40</v>
      </c>
      <c r="D4454">
        <v>5.8538550000000003</v>
      </c>
      <c r="E4454">
        <v>0.4198673</v>
      </c>
      <c r="F4454" t="s">
        <v>41</v>
      </c>
      <c r="G4454">
        <v>-354.64949999999999</v>
      </c>
      <c r="H4454" s="1">
        <v>-2.3907639999999999E-6</v>
      </c>
      <c r="I4454">
        <v>138.9786</v>
      </c>
      <c r="J4454">
        <v>-328.76209999999998</v>
      </c>
      <c r="K4454">
        <v>1.109939</v>
      </c>
      <c r="L4454">
        <v>141.51730000000001</v>
      </c>
      <c r="M4454">
        <v>-0.99983690000000003</v>
      </c>
      <c r="N4454">
        <v>0</v>
      </c>
      <c r="O4454">
        <v>1.031549E-2</v>
      </c>
      <c r="P4454">
        <v>-0.99376699999999996</v>
      </c>
      <c r="Q4454">
        <v>-1.3934129999999999E-2</v>
      </c>
      <c r="R4454">
        <v>0.1106027</v>
      </c>
      <c r="S4454">
        <v>-3.0499879999999999</v>
      </c>
      <c r="T4454">
        <v>-0.12887219999999999</v>
      </c>
      <c r="U4454">
        <v>-0.29429630000000001</v>
      </c>
      <c r="V4454">
        <v>0.1003445</v>
      </c>
      <c r="W4454">
        <v>8.1235559999999897E-4</v>
      </c>
      <c r="X4454">
        <v>0.99495239999999996</v>
      </c>
      <c r="Y4454">
        <v>-0.1062057</v>
      </c>
      <c r="Z4454">
        <v>-2.67234E-3</v>
      </c>
      <c r="AA4454">
        <v>0.99434060000000002</v>
      </c>
      <c r="AB4454">
        <v>37</v>
      </c>
      <c r="AC4454">
        <v>-25.8874</v>
      </c>
      <c r="AD4454">
        <v>-1.1099413907639999</v>
      </c>
      <c r="AE4454">
        <v>-2.5387</v>
      </c>
      <c r="AF4454">
        <v>-2.80053619332995</v>
      </c>
      <c r="AG4454">
        <v>-1.1099413907639999</v>
      </c>
      <c r="AH4454">
        <v>25.812831053097302</v>
      </c>
      <c r="AI4454">
        <v>92.447831944353197</v>
      </c>
      <c r="AJ4454">
        <v>96.192026336541801</v>
      </c>
      <c r="AK4454">
        <v>25.988020698714799</v>
      </c>
      <c r="AL4454">
        <v>89.953455446533098</v>
      </c>
      <c r="AM4454">
        <v>84.240989311438099</v>
      </c>
      <c r="AN4454">
        <v>0.99999997843381505</v>
      </c>
    </row>
    <row r="4455" spans="1:40" x14ac:dyDescent="0.25">
      <c r="A4455" t="str">
        <f>"20190312161100481"</f>
        <v>20190312161100481</v>
      </c>
      <c r="B4455" t="str">
        <f>"1552378260471196"</f>
        <v>1552378260471196</v>
      </c>
      <c r="C4455" t="s">
        <v>40</v>
      </c>
      <c r="D4455">
        <v>5.7083579999999996</v>
      </c>
      <c r="E4455">
        <v>0.41929899999999998</v>
      </c>
      <c r="F4455" t="s">
        <v>41</v>
      </c>
      <c r="G4455">
        <v>-355.72680000000003</v>
      </c>
      <c r="H4455" s="1">
        <v>-1.9542560000000001E-6</v>
      </c>
      <c r="I4455">
        <v>138.83410000000001</v>
      </c>
      <c r="J4455">
        <v>-329.12439999999998</v>
      </c>
      <c r="K4455">
        <v>1.109947</v>
      </c>
      <c r="L4455">
        <v>141.52099999999999</v>
      </c>
      <c r="M4455">
        <v>-0.99983719999999998</v>
      </c>
      <c r="N4455">
        <v>0</v>
      </c>
      <c r="O4455">
        <v>1.0298470000000001E-2</v>
      </c>
      <c r="P4455">
        <v>-0.99394519999999997</v>
      </c>
      <c r="Q4455">
        <v>-1.36895E-2</v>
      </c>
      <c r="R4455">
        <v>0.1090217</v>
      </c>
      <c r="S4455">
        <v>-3.0508419999999998</v>
      </c>
      <c r="T4455">
        <v>-0.1255811</v>
      </c>
      <c r="U4455">
        <v>-0.3035736</v>
      </c>
      <c r="V4455">
        <v>9.8778630000000006E-2</v>
      </c>
      <c r="W4455">
        <v>1.057927E-3</v>
      </c>
      <c r="X4455">
        <v>0.99510880000000002</v>
      </c>
      <c r="Y4455">
        <v>-0.1091594</v>
      </c>
      <c r="Z4455">
        <v>-2.662963E-3</v>
      </c>
      <c r="AA4455">
        <v>0.99402069999999998</v>
      </c>
      <c r="AB4455">
        <v>37</v>
      </c>
      <c r="AC4455">
        <v>-26.602399999999999</v>
      </c>
      <c r="AD4455">
        <v>-1.1099489542559999</v>
      </c>
      <c r="AE4455">
        <v>-2.6869000000000001</v>
      </c>
      <c r="AF4455">
        <v>-2.9556581406086999</v>
      </c>
      <c r="AG4455">
        <v>-1.1099489542559999</v>
      </c>
      <c r="AH4455">
        <v>26.527600410566301</v>
      </c>
      <c r="AI4455">
        <v>92.381214137696404</v>
      </c>
      <c r="AJ4455">
        <v>96.357572877064698</v>
      </c>
      <c r="AK4455">
        <v>26.714817709800698</v>
      </c>
      <c r="AL4455">
        <v>89.939385232341195</v>
      </c>
      <c r="AM4455">
        <v>84.331153513146305</v>
      </c>
      <c r="AN4455">
        <v>0.99999993039582402</v>
      </c>
    </row>
    <row r="4456" spans="1:40" x14ac:dyDescent="0.25">
      <c r="A4456" t="str">
        <f>"20190312161100503"</f>
        <v>20190312161100503</v>
      </c>
      <c r="B4456" t="str">
        <f>"1552378260491691"</f>
        <v>1552378260491691</v>
      </c>
      <c r="C4456" t="s">
        <v>40</v>
      </c>
      <c r="D4456">
        <v>5.7401920000000004</v>
      </c>
      <c r="E4456">
        <v>0.4188791</v>
      </c>
      <c r="F4456" t="s">
        <v>41</v>
      </c>
      <c r="G4456">
        <v>-358.4803</v>
      </c>
      <c r="H4456" s="1">
        <v>-8.3038859999999996E-7</v>
      </c>
      <c r="I4456">
        <v>138.51050000000001</v>
      </c>
      <c r="J4456">
        <v>-329.4796</v>
      </c>
      <c r="K4456">
        <v>1.10995</v>
      </c>
      <c r="L4456">
        <v>141.52459999999999</v>
      </c>
      <c r="M4456">
        <v>-0.99983739999999999</v>
      </c>
      <c r="N4456">
        <v>0</v>
      </c>
      <c r="O4456">
        <v>1.027367E-2</v>
      </c>
      <c r="P4456">
        <v>-0.99401799999999996</v>
      </c>
      <c r="Q4456">
        <v>-1.3825230000000001E-2</v>
      </c>
      <c r="R4456">
        <v>0.10833859999999999</v>
      </c>
      <c r="S4456">
        <v>-3.0509949999999999</v>
      </c>
      <c r="T4456">
        <v>-0.115358</v>
      </c>
      <c r="U4456">
        <v>-0.31288149999999998</v>
      </c>
      <c r="V4456">
        <v>9.8119499999999998E-2</v>
      </c>
      <c r="W4456">
        <v>9.2250510000000004E-4</v>
      </c>
      <c r="X4456">
        <v>0.99517420000000001</v>
      </c>
      <c r="Y4456">
        <v>-0.1121448</v>
      </c>
      <c r="Z4456">
        <v>-2.501184E-3</v>
      </c>
      <c r="AA4456">
        <v>0.99368869999999998</v>
      </c>
      <c r="AB4456">
        <v>37</v>
      </c>
      <c r="AC4456">
        <v>-29.000699999999899</v>
      </c>
      <c r="AD4456">
        <v>-1.1099508303886001</v>
      </c>
      <c r="AE4456">
        <v>-3.01409999999998</v>
      </c>
      <c r="AF4456">
        <v>-3.3071245966027298</v>
      </c>
      <c r="AG4456">
        <v>-1.1099508303886001</v>
      </c>
      <c r="AH4456">
        <v>28.926280271340701</v>
      </c>
      <c r="AI4456">
        <v>92.183250296932201</v>
      </c>
      <c r="AJ4456">
        <v>96.522273118850705</v>
      </c>
      <c r="AK4456">
        <v>29.135867144800901</v>
      </c>
      <c r="AL4456">
        <v>89.947144343050098</v>
      </c>
      <c r="AM4456">
        <v>84.369104343346294</v>
      </c>
      <c r="AN4456">
        <v>0.99999998782077404</v>
      </c>
    </row>
    <row r="4457" spans="1:40" x14ac:dyDescent="0.25">
      <c r="A4457" t="str">
        <f>"20190312161100525"</f>
        <v>20190312161100525</v>
      </c>
      <c r="B4457" t="str">
        <f>"1552378260520971"</f>
        <v>1552378260520971</v>
      </c>
      <c r="C4457" t="s">
        <v>40</v>
      </c>
      <c r="D4457">
        <v>5.7267679999999999</v>
      </c>
      <c r="E4457">
        <v>0.41844239999999999</v>
      </c>
      <c r="F4457" t="s">
        <v>41</v>
      </c>
      <c r="G4457">
        <v>-360.50569999999999</v>
      </c>
      <c r="H4457" s="1">
        <v>-4.2908459999999996E-6</v>
      </c>
      <c r="I4457">
        <v>138.2886</v>
      </c>
      <c r="J4457">
        <v>-329.83940000000001</v>
      </c>
      <c r="K4457">
        <v>1.109955</v>
      </c>
      <c r="L4457">
        <v>141.5283</v>
      </c>
      <c r="M4457">
        <v>-0.9998378</v>
      </c>
      <c r="N4457">
        <v>0</v>
      </c>
      <c r="O4457">
        <v>1.024137E-2</v>
      </c>
      <c r="P4457">
        <v>-0.9940544</v>
      </c>
      <c r="Q4457">
        <v>-1.428916E-2</v>
      </c>
      <c r="R4457">
        <v>0.107944</v>
      </c>
      <c r="S4457">
        <v>-3.0512079999999999</v>
      </c>
      <c r="T4457">
        <v>-0.1091568</v>
      </c>
      <c r="U4457">
        <v>-0.3182373</v>
      </c>
      <c r="V4457">
        <v>9.7756770000000007E-2</v>
      </c>
      <c r="W4457">
        <v>4.5806569999999998E-4</v>
      </c>
      <c r="X4457">
        <v>0.99521020000000004</v>
      </c>
      <c r="Y4457">
        <v>-0.1138393</v>
      </c>
      <c r="Z4457">
        <v>-2.3955069999999998E-3</v>
      </c>
      <c r="AA4457">
        <v>0.9934963</v>
      </c>
      <c r="AB4457">
        <v>37</v>
      </c>
      <c r="AC4457">
        <v>-30.6662999999999</v>
      </c>
      <c r="AD4457">
        <v>-1.1099592908460001</v>
      </c>
      <c r="AE4457">
        <v>-3.2396999999999898</v>
      </c>
      <c r="AF4457">
        <v>-3.5490313285988999</v>
      </c>
      <c r="AG4457">
        <v>-1.1099592908460001</v>
      </c>
      <c r="AH4457">
        <v>30.591873912417</v>
      </c>
      <c r="AI4457">
        <v>92.064108906617307</v>
      </c>
      <c r="AJ4457">
        <v>96.617428980751697</v>
      </c>
      <c r="AK4457">
        <v>30.817046945999401</v>
      </c>
      <c r="AL4457">
        <v>89.973754766919996</v>
      </c>
      <c r="AM4457">
        <v>84.389989345777195</v>
      </c>
      <c r="AN4457">
        <v>0.99999996904452804</v>
      </c>
    </row>
    <row r="4458" spans="1:40" x14ac:dyDescent="0.25">
      <c r="A4458" t="str">
        <f>"20190312161100548"</f>
        <v>20190312161100548</v>
      </c>
      <c r="B4458" t="str">
        <f>"1552378260541468"</f>
        <v>1552378260541468</v>
      </c>
      <c r="C4458" t="s">
        <v>40</v>
      </c>
      <c r="D4458">
        <v>5.7317489999999998</v>
      </c>
      <c r="E4458">
        <v>0.4181414</v>
      </c>
      <c r="F4458" t="s">
        <v>41</v>
      </c>
      <c r="G4458">
        <v>-361.7167</v>
      </c>
      <c r="H4458" s="1">
        <v>-3.79521E-6</v>
      </c>
      <c r="I4458">
        <v>138.154</v>
      </c>
      <c r="J4458">
        <v>-330.21699999999998</v>
      </c>
      <c r="K4458">
        <v>1.1099600000000001</v>
      </c>
      <c r="L4458">
        <v>141.53210000000001</v>
      </c>
      <c r="M4458">
        <v>-0.99983840000000002</v>
      </c>
      <c r="N4458">
        <v>0</v>
      </c>
      <c r="O4458">
        <v>1.0200870000000001E-2</v>
      </c>
      <c r="P4458">
        <v>-0.99401240000000002</v>
      </c>
      <c r="Q4458">
        <v>-1.4045810000000001E-2</v>
      </c>
      <c r="R4458">
        <v>0.108362</v>
      </c>
      <c r="S4458">
        <v>-3.051453</v>
      </c>
      <c r="T4458">
        <v>-0.1062511</v>
      </c>
      <c r="U4458">
        <v>-0.32299800000000001</v>
      </c>
      <c r="V4458">
        <v>9.8215469999999999E-2</v>
      </c>
      <c r="W4458">
        <v>6.9934520000000005E-4</v>
      </c>
      <c r="X4458">
        <v>0.99516490000000002</v>
      </c>
      <c r="Y4458">
        <v>-0.1153271</v>
      </c>
      <c r="Z4458">
        <v>-2.3558199999999998E-3</v>
      </c>
      <c r="AA4458">
        <v>0.99332480000000001</v>
      </c>
      <c r="AB4458">
        <v>37</v>
      </c>
      <c r="AC4458">
        <v>-31.499700000000001</v>
      </c>
      <c r="AD4458">
        <v>-1.1099637952099899</v>
      </c>
      <c r="AE4458">
        <v>-3.3781000000000101</v>
      </c>
      <c r="AF4458">
        <v>-3.6947482711935402</v>
      </c>
      <c r="AG4458">
        <v>-1.1099637952099899</v>
      </c>
      <c r="AH4458">
        <v>31.425021644138099</v>
      </c>
      <c r="AI4458">
        <v>92.009077233222399</v>
      </c>
      <c r="AJ4458">
        <v>96.705676981962796</v>
      </c>
      <c r="AK4458">
        <v>31.6609407590601</v>
      </c>
      <c r="AL4458">
        <v>89.959930467265593</v>
      </c>
      <c r="AM4458">
        <v>84.363579915920596</v>
      </c>
      <c r="AN4458">
        <v>0.99999997291151899</v>
      </c>
    </row>
    <row r="4459" spans="1:40" x14ac:dyDescent="0.25">
      <c r="A4459" t="str">
        <f>"20190312161100570"</f>
        <v>20190312161100570</v>
      </c>
      <c r="B4459" t="str">
        <f>"1552378260560989"</f>
        <v>1552378260560989</v>
      </c>
      <c r="C4459" t="s">
        <v>40</v>
      </c>
      <c r="D4459">
        <v>5.7188100000000004</v>
      </c>
      <c r="E4459">
        <v>0.41796739999999999</v>
      </c>
      <c r="F4459" t="s">
        <v>41</v>
      </c>
      <c r="G4459">
        <v>-362.54500000000002</v>
      </c>
      <c r="H4459" s="1">
        <v>-3.4496110000000001E-6</v>
      </c>
      <c r="I4459">
        <v>138.09899999999999</v>
      </c>
      <c r="J4459">
        <v>-330.58440000000002</v>
      </c>
      <c r="K4459">
        <v>1.109972</v>
      </c>
      <c r="L4459">
        <v>141.53579999999999</v>
      </c>
      <c r="M4459">
        <v>-0.99983880000000003</v>
      </c>
      <c r="N4459">
        <v>0</v>
      </c>
      <c r="O4459">
        <v>1.015689E-2</v>
      </c>
      <c r="P4459">
        <v>-0.99405149999999998</v>
      </c>
      <c r="Q4459">
        <v>-1.335947E-2</v>
      </c>
      <c r="R4459">
        <v>0.1080912</v>
      </c>
      <c r="S4459">
        <v>-3.0519409999999998</v>
      </c>
      <c r="T4459">
        <v>-0.1047869</v>
      </c>
      <c r="U4459">
        <v>-0.32409670000000002</v>
      </c>
      <c r="V4459">
        <v>9.7988199999999998E-2</v>
      </c>
      <c r="W4459">
        <v>1.3836059999999999E-3</v>
      </c>
      <c r="X4459">
        <v>0.99518660000000003</v>
      </c>
      <c r="Y4459">
        <v>-0.1156223</v>
      </c>
      <c r="Z4459">
        <v>-2.3265080000000001E-3</v>
      </c>
      <c r="AA4459">
        <v>0.99329049999999997</v>
      </c>
      <c r="AB4459">
        <v>37</v>
      </c>
      <c r="AC4459">
        <v>-31.960599999999999</v>
      </c>
      <c r="AD4459">
        <v>-1.1099754496109999</v>
      </c>
      <c r="AE4459">
        <v>-3.4367999999999999</v>
      </c>
      <c r="AF4459">
        <v>-3.7567991462789601</v>
      </c>
      <c r="AG4459">
        <v>-1.1099754496109999</v>
      </c>
      <c r="AH4459">
        <v>31.886020696703099</v>
      </c>
      <c r="AI4459">
        <v>91.9800180865616</v>
      </c>
      <c r="AJ4459">
        <v>96.719589202659606</v>
      </c>
      <c r="AK4459">
        <v>32.125751371676898</v>
      </c>
      <c r="AL4459">
        <v>89.920725189229103</v>
      </c>
      <c r="AM4459">
        <v>84.376660696418099</v>
      </c>
      <c r="AN4459">
        <v>0.99999998526218103</v>
      </c>
    </row>
    <row r="4460" spans="1:40" x14ac:dyDescent="0.25">
      <c r="A4460" t="str">
        <f>"20190312161100594"</f>
        <v>20190312161100594</v>
      </c>
      <c r="B4460" t="str">
        <f>"1552378260581484"</f>
        <v>1552378260581484</v>
      </c>
      <c r="C4460" t="s">
        <v>40</v>
      </c>
      <c r="D4460">
        <v>5.7185709999999998</v>
      </c>
      <c r="E4460">
        <v>0.41782780000000003</v>
      </c>
      <c r="F4460" t="s">
        <v>41</v>
      </c>
      <c r="G4460">
        <v>-363.66539999999998</v>
      </c>
      <c r="H4460" s="1">
        <v>-2.9864189999999998E-6</v>
      </c>
      <c r="I4460">
        <v>138.00049999999999</v>
      </c>
      <c r="J4460">
        <v>-330.95299999999997</v>
      </c>
      <c r="K4460">
        <v>1.109985</v>
      </c>
      <c r="L4460">
        <v>141.5395</v>
      </c>
      <c r="M4460">
        <v>-0.99983929999999999</v>
      </c>
      <c r="N4460">
        <v>0</v>
      </c>
      <c r="O4460">
        <v>1.0109369999999999E-2</v>
      </c>
      <c r="P4460">
        <v>-0.9940504</v>
      </c>
      <c r="Q4460">
        <v>-1.349876E-2</v>
      </c>
      <c r="R4460">
        <v>0.1080817</v>
      </c>
      <c r="S4460">
        <v>-3.0520320000000001</v>
      </c>
      <c r="T4460">
        <v>-0.1024057</v>
      </c>
      <c r="U4460">
        <v>-0.32615660000000002</v>
      </c>
      <c r="V4460">
        <v>9.8025689999999999E-2</v>
      </c>
      <c r="W4460">
        <v>1.241986E-3</v>
      </c>
      <c r="X4460">
        <v>0.99518309999999999</v>
      </c>
      <c r="Y4460">
        <v>-0.1162378</v>
      </c>
      <c r="Z4460">
        <v>-2.2822250000000001E-3</v>
      </c>
      <c r="AA4460">
        <v>0.99321879999999996</v>
      </c>
      <c r="AB4460">
        <v>37</v>
      </c>
      <c r="AC4460">
        <v>-32.712399999999903</v>
      </c>
      <c r="AD4460">
        <v>-1.1099879864190001</v>
      </c>
      <c r="AE4460">
        <v>-3.5390000000000099</v>
      </c>
      <c r="AF4460">
        <v>-3.8651584036582198</v>
      </c>
      <c r="AG4460">
        <v>-1.1099879864190001</v>
      </c>
      <c r="AH4460">
        <v>32.637803827679399</v>
      </c>
      <c r="AI4460">
        <v>91.934330500765796</v>
      </c>
      <c r="AJ4460">
        <v>96.753842927266604</v>
      </c>
      <c r="AK4460">
        <v>32.884612838065202</v>
      </c>
      <c r="AL4460">
        <v>89.928839425013393</v>
      </c>
      <c r="AM4460">
        <v>84.374503363049996</v>
      </c>
      <c r="AN4460">
        <v>0.99999999047740495</v>
      </c>
    </row>
    <row r="4461" spans="1:40" x14ac:dyDescent="0.25">
      <c r="A4461" t="str">
        <f>"20190312161100615"</f>
        <v>20190312161100615</v>
      </c>
      <c r="B4461" t="str">
        <f>"1552378260611739"</f>
        <v>1552378260611739</v>
      </c>
      <c r="C4461" t="s">
        <v>40</v>
      </c>
      <c r="D4461">
        <v>5.7373609999999999</v>
      </c>
      <c r="E4461">
        <v>0.4203095</v>
      </c>
      <c r="F4461" t="s">
        <v>41</v>
      </c>
      <c r="G4461">
        <v>-364.0967</v>
      </c>
      <c r="H4461" s="1">
        <v>-2.8042779999999998E-6</v>
      </c>
      <c r="I4461">
        <v>137.98419999999999</v>
      </c>
      <c r="J4461">
        <v>-331.31509999999997</v>
      </c>
      <c r="K4461">
        <v>1.1099859999999999</v>
      </c>
      <c r="L4461">
        <v>141.54320000000001</v>
      </c>
      <c r="M4461">
        <v>-0.99983999999999995</v>
      </c>
      <c r="N4461">
        <v>0</v>
      </c>
      <c r="O4461">
        <v>1.006109E-2</v>
      </c>
      <c r="P4461">
        <v>-0.99397279999999999</v>
      </c>
      <c r="Q4461">
        <v>-1.265344E-2</v>
      </c>
      <c r="R4461">
        <v>0.1088956</v>
      </c>
      <c r="S4461">
        <v>-3.052155</v>
      </c>
      <c r="T4461">
        <v>-0.10221710000000001</v>
      </c>
      <c r="U4461">
        <v>-0.32739259999999998</v>
      </c>
      <c r="V4461">
        <v>9.8888340000000005E-2</v>
      </c>
      <c r="W4461">
        <v>2.0831249999999999E-3</v>
      </c>
      <c r="X4461">
        <v>0.99509639999999999</v>
      </c>
      <c r="Y4461">
        <v>-0.1165834</v>
      </c>
      <c r="Z4461">
        <v>-2.2820409999999998E-3</v>
      </c>
      <c r="AA4461">
        <v>0.99317829999999996</v>
      </c>
      <c r="AB4461">
        <v>37</v>
      </c>
      <c r="AC4461">
        <v>-32.781599999999997</v>
      </c>
      <c r="AD4461">
        <v>-1.109988804278</v>
      </c>
      <c r="AE4461">
        <v>-3.5590000000000201</v>
      </c>
      <c r="AF4461">
        <v>-3.8842730637572398</v>
      </c>
      <c r="AG4461">
        <v>-1.109988804278</v>
      </c>
      <c r="AH4461">
        <v>32.707067036015196</v>
      </c>
      <c r="AI4461">
        <v>91.9301634699479</v>
      </c>
      <c r="AJ4461">
        <v>96.772693486780497</v>
      </c>
      <c r="AK4461">
        <v>32.955604780945002</v>
      </c>
      <c r="AL4461">
        <v>89.880645648261293</v>
      </c>
      <c r="AM4461">
        <v>84.324828142407796</v>
      </c>
      <c r="AN4461">
        <v>1.0000000442453301</v>
      </c>
    </row>
    <row r="4462" spans="1:40" x14ac:dyDescent="0.25">
      <c r="A4462" t="str">
        <f>"20190312161100638"</f>
        <v>20190312161100638</v>
      </c>
      <c r="B4462" t="str">
        <f>"1552378260631260"</f>
        <v>1552378260631260</v>
      </c>
      <c r="C4462" t="s">
        <v>40</v>
      </c>
      <c r="D4462">
        <v>5.7199090000000004</v>
      </c>
      <c r="E4462">
        <v>0.42016199999999998</v>
      </c>
      <c r="F4462" t="s">
        <v>41</v>
      </c>
      <c r="G4462">
        <v>-355.61540000000002</v>
      </c>
      <c r="H4462" s="1">
        <v>-1.9530249999999998E-6</v>
      </c>
      <c r="I4462">
        <v>139.1104</v>
      </c>
      <c r="J4462">
        <v>-331.67189999999999</v>
      </c>
      <c r="K4462">
        <v>1.1099889999999999</v>
      </c>
      <c r="L4462">
        <v>141.54669999999999</v>
      </c>
      <c r="M4462">
        <v>-0.99984039999999996</v>
      </c>
      <c r="N4462">
        <v>0</v>
      </c>
      <c r="O4462">
        <v>1.001376E-2</v>
      </c>
      <c r="P4462">
        <v>-0.99394879999999997</v>
      </c>
      <c r="Q4462">
        <v>-1.263763E-2</v>
      </c>
      <c r="R4462">
        <v>0.1091164</v>
      </c>
      <c r="S4462">
        <v>-3.0498660000000002</v>
      </c>
      <c r="T4462">
        <v>-0.13931170000000001</v>
      </c>
      <c r="U4462">
        <v>-0.3053131</v>
      </c>
      <c r="V4462">
        <v>9.9156510000000003E-2</v>
      </c>
      <c r="W4462">
        <v>2.0960000000000002E-3</v>
      </c>
      <c r="X4462">
        <v>0.9950696</v>
      </c>
      <c r="Y4462">
        <v>-0.109445899999999</v>
      </c>
      <c r="Z4462">
        <v>-2.9482459999999999E-3</v>
      </c>
      <c r="AA4462">
        <v>0.99398839999999999</v>
      </c>
      <c r="AB4462">
        <v>37</v>
      </c>
      <c r="AC4462">
        <v>-23.9435</v>
      </c>
      <c r="AD4462">
        <v>-1.1099909530249901</v>
      </c>
      <c r="AE4462">
        <v>-2.4362999999999801</v>
      </c>
      <c r="AF4462">
        <v>-2.6702885271173198</v>
      </c>
      <c r="AG4462">
        <v>-1.1099909530249901</v>
      </c>
      <c r="AH4462">
        <v>23.867131988680399</v>
      </c>
      <c r="AI4462">
        <v>92.646254573319098</v>
      </c>
      <c r="AJ4462">
        <v>96.383785046915307</v>
      </c>
      <c r="AK4462">
        <v>24.041682763461999</v>
      </c>
      <c r="AL4462">
        <v>89.879907953137007</v>
      </c>
      <c r="AM4462">
        <v>84.309386563790994</v>
      </c>
      <c r="AN4462">
        <v>0.99999995776776895</v>
      </c>
    </row>
    <row r="4463" spans="1:40" x14ac:dyDescent="0.25">
      <c r="A4463" t="str">
        <f>"20190312161100660"</f>
        <v>20190312161100660</v>
      </c>
      <c r="B4463" t="str">
        <f>"1552378260651755"</f>
        <v>1552378260651755</v>
      </c>
      <c r="C4463" t="s">
        <v>40</v>
      </c>
      <c r="D4463">
        <v>5.7621010000000004</v>
      </c>
      <c r="E4463">
        <v>0.4196647</v>
      </c>
      <c r="F4463" t="s">
        <v>41</v>
      </c>
      <c r="G4463">
        <v>-355.62549999999999</v>
      </c>
      <c r="H4463" s="1">
        <v>-1.9425040000000001E-6</v>
      </c>
      <c r="I4463">
        <v>139.14519999999999</v>
      </c>
      <c r="J4463">
        <v>-332.05180000000001</v>
      </c>
      <c r="K4463">
        <v>1.1099889999999999</v>
      </c>
      <c r="L4463">
        <v>141.5504</v>
      </c>
      <c r="M4463">
        <v>-0.99984090000000003</v>
      </c>
      <c r="N4463">
        <v>0</v>
      </c>
      <c r="O4463">
        <v>9.9639930000000008E-3</v>
      </c>
      <c r="P4463">
        <v>-0.99399400000000004</v>
      </c>
      <c r="Q4463">
        <v>-1.2130429999999999E-2</v>
      </c>
      <c r="R4463">
        <v>0.10876089999999999</v>
      </c>
      <c r="S4463">
        <v>-3.050049</v>
      </c>
      <c r="T4463">
        <v>-0.1413372</v>
      </c>
      <c r="U4463">
        <v>-0.30577090000000001</v>
      </c>
      <c r="V4463">
        <v>9.8850289999999993E-2</v>
      </c>
      <c r="W4463">
        <v>2.6004919999999998E-3</v>
      </c>
      <c r="X4463">
        <v>0.99509890000000001</v>
      </c>
      <c r="Y4463">
        <v>-0.1095346</v>
      </c>
      <c r="Z4463">
        <v>-2.990613E-3</v>
      </c>
      <c r="AA4463">
        <v>0.99397849999999999</v>
      </c>
      <c r="AB4463">
        <v>36</v>
      </c>
      <c r="AC4463">
        <v>-23.573699999999899</v>
      </c>
      <c r="AD4463">
        <v>-1.109990942504</v>
      </c>
      <c r="AE4463">
        <v>-2.4051999999999998</v>
      </c>
      <c r="AF4463">
        <v>-2.6342143487965601</v>
      </c>
      <c r="AG4463">
        <v>-1.109990942504</v>
      </c>
      <c r="AH4463">
        <v>23.497003224107399</v>
      </c>
      <c r="AI4463">
        <v>92.687810719397007</v>
      </c>
      <c r="AJ4463">
        <v>96.396636173587495</v>
      </c>
      <c r="AK4463">
        <v>23.6702413515697</v>
      </c>
      <c r="AL4463">
        <v>89.851002613064594</v>
      </c>
      <c r="AM4463">
        <v>84.327011733234798</v>
      </c>
      <c r="AN4463">
        <v>0.99999998158646697</v>
      </c>
    </row>
    <row r="4464" spans="1:40" x14ac:dyDescent="0.25">
      <c r="A4464" t="str">
        <f>"20190312161100682"</f>
        <v>20190312161100682</v>
      </c>
      <c r="B4464" t="str">
        <f>"1552378260671276"</f>
        <v>1552378260671276</v>
      </c>
      <c r="C4464" t="s">
        <v>40</v>
      </c>
      <c r="D4464">
        <v>5.7533699999999897</v>
      </c>
      <c r="E4464">
        <v>0.45191779999999998</v>
      </c>
      <c r="F4464" t="s">
        <v>41</v>
      </c>
      <c r="G4464">
        <v>-356.0043</v>
      </c>
      <c r="H4464" s="1">
        <v>-1.786293E-6</v>
      </c>
      <c r="I4464">
        <v>139.10990000000001</v>
      </c>
      <c r="J4464">
        <v>-332.40429999999998</v>
      </c>
      <c r="K4464">
        <v>1.10999</v>
      </c>
      <c r="L4464">
        <v>141.5539</v>
      </c>
      <c r="M4464">
        <v>-0.99984139999999999</v>
      </c>
      <c r="N4464">
        <v>0</v>
      </c>
      <c r="O4464">
        <v>9.918517E-3</v>
      </c>
      <c r="P4464">
        <v>-0.99396390000000001</v>
      </c>
      <c r="Q4464">
        <v>-1.212624E-2</v>
      </c>
      <c r="R4464">
        <v>0.1090367</v>
      </c>
      <c r="S4464">
        <v>-3.0504150000000001</v>
      </c>
      <c r="T4464">
        <v>-0.1413605</v>
      </c>
      <c r="U4464">
        <v>-0.31080629999999998</v>
      </c>
      <c r="V4464">
        <v>9.9171529999999994E-2</v>
      </c>
      <c r="W4464">
        <v>2.6009689999999999E-3</v>
      </c>
      <c r="X4464">
        <v>0.99506689999999998</v>
      </c>
      <c r="Y4464">
        <v>-0.1111</v>
      </c>
      <c r="Z4464">
        <v>-3.0245620000000002E-3</v>
      </c>
      <c r="AA4464">
        <v>0.99380460000000004</v>
      </c>
      <c r="AB4464">
        <v>36</v>
      </c>
      <c r="AC4464">
        <v>-23.6</v>
      </c>
      <c r="AD4464">
        <v>-1.109991786293</v>
      </c>
      <c r="AE4464">
        <v>-2.44399999999998</v>
      </c>
      <c r="AF4464">
        <v>-2.6721339151576</v>
      </c>
      <c r="AG4464">
        <v>-1.109991786293</v>
      </c>
      <c r="AH4464">
        <v>23.5231107460469</v>
      </c>
      <c r="AI4464">
        <v>92.684389644929894</v>
      </c>
      <c r="AJ4464">
        <v>96.480796816564407</v>
      </c>
      <c r="AK4464">
        <v>23.700403384688599</v>
      </c>
      <c r="AL4464">
        <v>89.850975277646995</v>
      </c>
      <c r="AM4464">
        <v>84.3085148798787</v>
      </c>
      <c r="AN4464">
        <v>0.99999994643894297</v>
      </c>
    </row>
    <row r="4465" spans="1:40" x14ac:dyDescent="0.25">
      <c r="A4465" t="str">
        <f>"20190312161100705"</f>
        <v>20190312161100705</v>
      </c>
      <c r="B4465" t="str">
        <f>"1552378260701532"</f>
        <v>1552378260701532</v>
      </c>
      <c r="C4465" t="s">
        <v>40</v>
      </c>
      <c r="D4465">
        <v>5.8217910000000002</v>
      </c>
      <c r="E4465">
        <v>0.46538360000000001</v>
      </c>
      <c r="F4465" t="s">
        <v>41</v>
      </c>
      <c r="G4465">
        <v>-356.75940000000003</v>
      </c>
      <c r="H4465" s="1">
        <v>-1.771673E-6</v>
      </c>
      <c r="I4465">
        <v>141.1164</v>
      </c>
      <c r="J4465">
        <v>-332.76409999999998</v>
      </c>
      <c r="K4465">
        <v>1.109999</v>
      </c>
      <c r="L4465">
        <v>141.5574</v>
      </c>
      <c r="M4465">
        <v>-0.99984189999999995</v>
      </c>
      <c r="N4465">
        <v>0</v>
      </c>
      <c r="O4465">
        <v>9.8725730000000008E-3</v>
      </c>
      <c r="P4465">
        <v>-0.99393909999999996</v>
      </c>
      <c r="Q4465">
        <v>-1.2873310000000001E-2</v>
      </c>
      <c r="R4465">
        <v>0.1091758</v>
      </c>
      <c r="S4465">
        <v>-3.022491</v>
      </c>
      <c r="T4465">
        <v>-0.1377515</v>
      </c>
      <c r="U4465">
        <v>-5.4290770000000002E-2</v>
      </c>
      <c r="V4465">
        <v>9.9356520000000004E-2</v>
      </c>
      <c r="W4465">
        <v>1.850429E-3</v>
      </c>
      <c r="X4465">
        <v>0.9950502</v>
      </c>
      <c r="Y4465">
        <v>-2.779146E-2</v>
      </c>
      <c r="Z4465">
        <v>-1.082656E-3</v>
      </c>
      <c r="AA4465">
        <v>0.99961319999999998</v>
      </c>
      <c r="AB4465">
        <v>36</v>
      </c>
      <c r="AC4465">
        <v>-23.9953</v>
      </c>
      <c r="AD4465">
        <v>-1.110000771673</v>
      </c>
      <c r="AE4465">
        <v>-0.441000000000002</v>
      </c>
      <c r="AF4465">
        <v>-0.67645270891867004</v>
      </c>
      <c r="AG4465">
        <v>-1.110000771673</v>
      </c>
      <c r="AH4465">
        <v>23.938567124396801</v>
      </c>
      <c r="AI4465">
        <v>92.653772698696002</v>
      </c>
      <c r="AJ4465">
        <v>91.618625453042895</v>
      </c>
      <c r="AK4465">
        <v>23.973833359514401</v>
      </c>
      <c r="AL4465">
        <v>89.893978169768801</v>
      </c>
      <c r="AM4465">
        <v>84.297873074416501</v>
      </c>
      <c r="AN4465">
        <v>1.0000000213370099</v>
      </c>
    </row>
    <row r="4466" spans="1:40" x14ac:dyDescent="0.25">
      <c r="A4466" t="str">
        <f>"20190312161100726"</f>
        <v>20190312161100726</v>
      </c>
      <c r="B4466" t="str">
        <f>"1552378260721052"</f>
        <v>1552378260721052</v>
      </c>
      <c r="C4466" t="s">
        <v>40</v>
      </c>
      <c r="D4466">
        <v>5.7952450000000004</v>
      </c>
      <c r="E4466">
        <v>0.46670339999999999</v>
      </c>
      <c r="F4466" t="s">
        <v>41</v>
      </c>
      <c r="G4466">
        <v>-352.00240000000002</v>
      </c>
      <c r="H4466" s="1">
        <v>-3.998564E-6</v>
      </c>
      <c r="I4466">
        <v>141.8937</v>
      </c>
      <c r="J4466">
        <v>-333.12380000000002</v>
      </c>
      <c r="K4466">
        <v>1.109999</v>
      </c>
      <c r="L4466">
        <v>141.56100000000001</v>
      </c>
      <c r="M4466">
        <v>-0.99984229999999996</v>
      </c>
      <c r="N4466">
        <v>0</v>
      </c>
      <c r="O4466">
        <v>9.8264570000000002E-3</v>
      </c>
      <c r="P4466">
        <v>-0.99388980000000005</v>
      </c>
      <c r="Q4466">
        <v>-1.2670280000000001E-2</v>
      </c>
      <c r="R4466">
        <v>0.1096471</v>
      </c>
      <c r="S4466">
        <v>-3.010284</v>
      </c>
      <c r="T4466">
        <v>-0.17368610000000001</v>
      </c>
      <c r="U4466">
        <v>5.2627559999999997E-2</v>
      </c>
      <c r="V4466">
        <v>9.9874180000000007E-2</v>
      </c>
      <c r="W4466">
        <v>2.0497470000000002E-3</v>
      </c>
      <c r="X4466">
        <v>0.99499800000000005</v>
      </c>
      <c r="Y4466">
        <v>7.6566519999999999E-3</v>
      </c>
      <c r="Z4466">
        <v>-3.4580670000000001E-4</v>
      </c>
      <c r="AA4466">
        <v>0.99997060000000004</v>
      </c>
      <c r="AB4466">
        <v>36</v>
      </c>
      <c r="AC4466">
        <v>-18.878599999999999</v>
      </c>
      <c r="AD4466">
        <v>-1.1100029985640001</v>
      </c>
      <c r="AE4466">
        <v>0.33269999999998801</v>
      </c>
      <c r="AF4466">
        <v>0.14664707033392799</v>
      </c>
      <c r="AG4466">
        <v>-1.1100029985640001</v>
      </c>
      <c r="AH4466">
        <v>18.815930071284601</v>
      </c>
      <c r="AI4466">
        <v>93.376019067646894</v>
      </c>
      <c r="AJ4466">
        <v>89.553458794932496</v>
      </c>
      <c r="AK4466">
        <v>18.8492131524775</v>
      </c>
      <c r="AL4466">
        <v>89.882558069896405</v>
      </c>
      <c r="AM4466">
        <v>84.268062878241807</v>
      </c>
      <c r="AN4466">
        <v>1.0000000366487101</v>
      </c>
    </row>
    <row r="4467" spans="1:40" x14ac:dyDescent="0.25">
      <c r="A4467" t="str">
        <f>"20190312161100750"</f>
        <v>20190312161100750</v>
      </c>
      <c r="B4467" t="str">
        <f>"1552378260741548"</f>
        <v>1552378260741548</v>
      </c>
      <c r="C4467" t="s">
        <v>40</v>
      </c>
      <c r="D4467">
        <v>5.6380549999999996</v>
      </c>
      <c r="E4467">
        <v>0.46849030000000003</v>
      </c>
      <c r="F4467" t="s">
        <v>41</v>
      </c>
      <c r="G4467">
        <v>-351.56020000000001</v>
      </c>
      <c r="H4467" s="1">
        <v>-4.1600599999999999E-6</v>
      </c>
      <c r="I4467">
        <v>141.95580000000001</v>
      </c>
      <c r="J4467">
        <v>-333.49239999999998</v>
      </c>
      <c r="K4467">
        <v>1.110006</v>
      </c>
      <c r="L4467">
        <v>141.56450000000001</v>
      </c>
      <c r="M4467">
        <v>-0.99984309999999998</v>
      </c>
      <c r="N4467">
        <v>0</v>
      </c>
      <c r="O4467">
        <v>9.778798E-3</v>
      </c>
      <c r="P4467">
        <v>-0.9939038</v>
      </c>
      <c r="Q4467">
        <v>-1.230408E-2</v>
      </c>
      <c r="R4467">
        <v>0.1095627</v>
      </c>
      <c r="S4467">
        <v>-3.0090029999999999</v>
      </c>
      <c r="T4467">
        <v>-0.18116370000000001</v>
      </c>
      <c r="U4467">
        <v>6.4453129999999997E-2</v>
      </c>
      <c r="V4467">
        <v>9.9836980000000006E-2</v>
      </c>
      <c r="W4467">
        <v>2.4121419999999999E-3</v>
      </c>
      <c r="X4467">
        <v>0.99500089999999997</v>
      </c>
      <c r="Y4467">
        <v>1.163318E-2</v>
      </c>
      <c r="Z4467">
        <v>-2.383521E-4</v>
      </c>
      <c r="AA4467">
        <v>0.9999323</v>
      </c>
      <c r="AB4467">
        <v>36</v>
      </c>
      <c r="AC4467">
        <v>-18.067799999999998</v>
      </c>
      <c r="AD4467">
        <v>-1.1100101600599901</v>
      </c>
      <c r="AE4467">
        <v>0.39130000000000098</v>
      </c>
      <c r="AF4467">
        <v>0.21377416279136</v>
      </c>
      <c r="AG4467">
        <v>-1.1100101600599901</v>
      </c>
      <c r="AH4467">
        <v>18.002845416602302</v>
      </c>
      <c r="AI4467">
        <v>93.527999013802301</v>
      </c>
      <c r="AJ4467">
        <v>89.3196752303636</v>
      </c>
      <c r="AK4467">
        <v>18.038299948780899</v>
      </c>
      <c r="AL4467">
        <v>89.861794312001805</v>
      </c>
      <c r="AM4467">
        <v>84.270200225427899</v>
      </c>
      <c r="AN4467">
        <v>1.0000000160026701</v>
      </c>
    </row>
    <row r="4468" spans="1:40" x14ac:dyDescent="0.25">
      <c r="A4468" t="str">
        <f>"20190312161100772"</f>
        <v>20190312161100772</v>
      </c>
      <c r="B4468" t="str">
        <f>"1552378260761080"</f>
        <v>1552378260761080</v>
      </c>
      <c r="C4468" t="s">
        <v>40</v>
      </c>
      <c r="D4468">
        <v>5.8312150000000003</v>
      </c>
      <c r="E4468">
        <v>0.46910180000000001</v>
      </c>
      <c r="F4468" t="s">
        <v>41</v>
      </c>
      <c r="G4468">
        <v>-352.33479999999997</v>
      </c>
      <c r="H4468" s="1">
        <v>-3.9144589999999999E-6</v>
      </c>
      <c r="I4468">
        <v>142.05719999999999</v>
      </c>
      <c r="J4468">
        <v>-333.85169999999999</v>
      </c>
      <c r="K4468">
        <v>1.110009</v>
      </c>
      <c r="L4468">
        <v>141.56799999999899</v>
      </c>
      <c r="M4468">
        <v>-0.9998435</v>
      </c>
      <c r="N4468">
        <v>0</v>
      </c>
      <c r="O4468">
        <v>9.7323949999999996E-3</v>
      </c>
      <c r="P4468">
        <v>-0.99391850000000004</v>
      </c>
      <c r="Q4468">
        <v>-1.2816920000000001E-2</v>
      </c>
      <c r="R4468">
        <v>0.10936899999999999</v>
      </c>
      <c r="S4468">
        <v>-3.0075379999999998</v>
      </c>
      <c r="T4468">
        <v>-0.1771752</v>
      </c>
      <c r="U4468">
        <v>7.8659060000000003E-2</v>
      </c>
      <c r="V4468">
        <v>9.9689360000000005E-2</v>
      </c>
      <c r="W4468">
        <v>1.896205E-3</v>
      </c>
      <c r="X4468">
        <v>0.99501680000000003</v>
      </c>
      <c r="Y4468">
        <v>1.6402110000000001E-2</v>
      </c>
      <c r="Z4468" s="1">
        <v>-9.0155900000000002E-5</v>
      </c>
      <c r="AA4468">
        <v>0.99986549999999996</v>
      </c>
      <c r="AB4468">
        <v>36</v>
      </c>
      <c r="AC4468">
        <v>-18.483099999999901</v>
      </c>
      <c r="AD4468">
        <v>-1.1100129144589901</v>
      </c>
      <c r="AE4468">
        <v>0.48920000000001101</v>
      </c>
      <c r="AF4468">
        <v>0.30816170269155302</v>
      </c>
      <c r="AG4468">
        <v>-1.1100129144589901</v>
      </c>
      <c r="AH4468">
        <v>18.420595534719698</v>
      </c>
      <c r="AI4468">
        <v>93.447954588556001</v>
      </c>
      <c r="AJ4468">
        <v>89.041577234739904</v>
      </c>
      <c r="AK4468">
        <v>18.456582353160801</v>
      </c>
      <c r="AL4468">
        <v>89.891355391104298</v>
      </c>
      <c r="AM4468">
        <v>84.278706937726497</v>
      </c>
      <c r="AN4468">
        <v>0.99999999818642504</v>
      </c>
    </row>
    <row r="4469" spans="1:40" x14ac:dyDescent="0.25">
      <c r="A4469" t="str">
        <f>"20190312161100795"</f>
        <v>20190312161100795</v>
      </c>
      <c r="B4469" t="str">
        <f>"1552378260791324"</f>
        <v>1552378260791324</v>
      </c>
      <c r="C4469" t="s">
        <v>40</v>
      </c>
      <c r="D4469">
        <v>5.7564890000000002</v>
      </c>
      <c r="E4469">
        <v>0.47018860000000001</v>
      </c>
      <c r="F4469" t="s">
        <v>41</v>
      </c>
      <c r="G4469">
        <v>-353.49259999999998</v>
      </c>
      <c r="H4469" s="1">
        <v>-3.437227E-6</v>
      </c>
      <c r="I4469">
        <v>142.10910000000001</v>
      </c>
      <c r="J4469">
        <v>-334.22460000000001</v>
      </c>
      <c r="K4469">
        <v>1.1100139999999901</v>
      </c>
      <c r="L4469">
        <v>141.57159999999999</v>
      </c>
      <c r="M4469">
        <v>-0.99984399999999996</v>
      </c>
      <c r="N4469">
        <v>0</v>
      </c>
      <c r="O4469">
        <v>9.6839079999999998E-3</v>
      </c>
      <c r="P4469">
        <v>-0.99387429999999999</v>
      </c>
      <c r="Q4469">
        <v>-1.3025989999999999E-2</v>
      </c>
      <c r="R4469">
        <v>0.1097466</v>
      </c>
      <c r="S4469">
        <v>-3.00705</v>
      </c>
      <c r="T4469">
        <v>-0.1699446</v>
      </c>
      <c r="U4469">
        <v>8.2855219999999993E-2</v>
      </c>
      <c r="V4469">
        <v>0.1001156</v>
      </c>
      <c r="W4469">
        <v>1.6825830000000001E-3</v>
      </c>
      <c r="X4469">
        <v>0.99497440000000004</v>
      </c>
      <c r="Y4469">
        <v>1.784761E-2</v>
      </c>
      <c r="Z4469" s="1">
        <v>-4.295009E-5</v>
      </c>
      <c r="AA4469">
        <v>0.99984070000000003</v>
      </c>
      <c r="AB4469">
        <v>36</v>
      </c>
      <c r="AC4469">
        <v>-19.267999999999901</v>
      </c>
      <c r="AD4469">
        <v>-1.11001743722699</v>
      </c>
      <c r="AE4469">
        <v>0.53750000000002196</v>
      </c>
      <c r="AF4469">
        <v>0.34970517858914202</v>
      </c>
      <c r="AG4469">
        <v>-1.11001743722699</v>
      </c>
      <c r="AH4469">
        <v>19.208601287252002</v>
      </c>
      <c r="AI4469">
        <v>93.306756085620705</v>
      </c>
      <c r="AJ4469">
        <v>88.957007995469596</v>
      </c>
      <c r="AK4469">
        <v>19.243824875411299</v>
      </c>
      <c r="AL4469">
        <v>89.903595050948297</v>
      </c>
      <c r="AM4469">
        <v>84.254164624293196</v>
      </c>
      <c r="AN4469">
        <v>1.0000000105521301</v>
      </c>
    </row>
    <row r="4470" spans="1:40" x14ac:dyDescent="0.25">
      <c r="A4470" t="str">
        <f>"20190312161100840"</f>
        <v>20190312161100840</v>
      </c>
      <c r="B4470" t="str">
        <f>"1552378260831340"</f>
        <v>1552378260831340</v>
      </c>
      <c r="C4470" t="s">
        <v>40</v>
      </c>
      <c r="D4470">
        <v>5.7655979999999998</v>
      </c>
      <c r="E4470">
        <v>0.47120590000000001</v>
      </c>
      <c r="F4470" t="s">
        <v>41</v>
      </c>
      <c r="G4470">
        <v>-356.19850000000002</v>
      </c>
      <c r="H4470" s="1">
        <v>-2.3133369999999999E-6</v>
      </c>
      <c r="I4470">
        <v>142.24780000000001</v>
      </c>
      <c r="J4470">
        <v>-334.94029999999998</v>
      </c>
      <c r="K4470">
        <v>1.11002</v>
      </c>
      <c r="L4470">
        <v>141.57839999999999</v>
      </c>
      <c r="M4470">
        <v>-0.99984499999999998</v>
      </c>
      <c r="N4470">
        <v>0</v>
      </c>
      <c r="O4470">
        <v>9.5916950000000008E-3</v>
      </c>
      <c r="P4470">
        <v>-0.99388549999999998</v>
      </c>
      <c r="Q4470">
        <v>-1.271457E-2</v>
      </c>
      <c r="R4470">
        <v>0.10968070000000001</v>
      </c>
      <c r="S4470">
        <v>-3.0062869999999999</v>
      </c>
      <c r="T4470">
        <v>-0.15186329999999901</v>
      </c>
      <c r="U4470">
        <v>9.2529299999999995E-2</v>
      </c>
      <c r="V4470">
        <v>0.1001413</v>
      </c>
      <c r="W4470">
        <v>1.986804E-3</v>
      </c>
      <c r="X4470">
        <v>0.9949713</v>
      </c>
      <c r="Y4470">
        <v>2.1159689999999998E-2</v>
      </c>
      <c r="Z4470" s="1">
        <v>4.9843599999999998E-5</v>
      </c>
      <c r="AA4470">
        <v>0.99977609999999995</v>
      </c>
      <c r="AB4470">
        <v>36</v>
      </c>
      <c r="AC4470">
        <v>-21.258199999999999</v>
      </c>
      <c r="AD4470">
        <v>-1.110022313337</v>
      </c>
      <c r="AE4470">
        <v>0.66940000000002398</v>
      </c>
      <c r="AF4470">
        <v>0.46418045414148401</v>
      </c>
      <c r="AG4470">
        <v>-1.110022313337</v>
      </c>
      <c r="AH4470">
        <v>21.205882039887001</v>
      </c>
      <c r="AI4470">
        <v>92.995697695327195</v>
      </c>
      <c r="AJ4470">
        <v>88.746039685102403</v>
      </c>
      <c r="AK4470">
        <v>21.2399869613829</v>
      </c>
      <c r="AL4470">
        <v>89.886164447743695</v>
      </c>
      <c r="AM4470">
        <v>84.252681735814306</v>
      </c>
      <c r="AN4470">
        <v>1.0000000575897501</v>
      </c>
    </row>
    <row r="4471" spans="1:40" x14ac:dyDescent="0.25">
      <c r="A4471" t="str">
        <f>"20190312161100862"</f>
        <v>20190312161100862</v>
      </c>
      <c r="B4471" t="str">
        <f>"1552378260850860"</f>
        <v>1552378260850860</v>
      </c>
      <c r="C4471" t="s">
        <v>40</v>
      </c>
      <c r="D4471">
        <v>5.8324199999999999</v>
      </c>
      <c r="E4471">
        <v>0.47162219999999999</v>
      </c>
      <c r="F4471" t="s">
        <v>41</v>
      </c>
      <c r="G4471">
        <v>-356.78059999999999</v>
      </c>
      <c r="H4471" s="1">
        <v>-2.079855E-6</v>
      </c>
      <c r="I4471">
        <v>142.30879999999999</v>
      </c>
      <c r="J4471">
        <v>-335.31180000000001</v>
      </c>
      <c r="K4471">
        <v>1.1100190000000001</v>
      </c>
      <c r="L4471">
        <v>141.58189999999999</v>
      </c>
      <c r="M4471">
        <v>-0.9998456</v>
      </c>
      <c r="N4471">
        <v>0</v>
      </c>
      <c r="O4471">
        <v>9.5437439999999998E-3</v>
      </c>
      <c r="P4471">
        <v>-0.99387650000000005</v>
      </c>
      <c r="Q4471">
        <v>-1.270697E-2</v>
      </c>
      <c r="R4471">
        <v>0.1097646</v>
      </c>
      <c r="S4471">
        <v>-3.0054319999999999</v>
      </c>
      <c r="T4471">
        <v>-0.1527501</v>
      </c>
      <c r="U4471">
        <v>0.1005249</v>
      </c>
      <c r="V4471">
        <v>0.10027320000000001</v>
      </c>
      <c r="W4471">
        <v>1.9906189999999999E-3</v>
      </c>
      <c r="X4471">
        <v>0.99495789999999995</v>
      </c>
      <c r="Y4471">
        <v>2.3869609999999999E-2</v>
      </c>
      <c r="Z4471">
        <v>1.213847E-4</v>
      </c>
      <c r="AA4471">
        <v>0.99971509999999997</v>
      </c>
      <c r="AB4471">
        <v>36</v>
      </c>
      <c r="AC4471">
        <v>-21.468799999999899</v>
      </c>
      <c r="AD4471">
        <v>-1.1100210798549901</v>
      </c>
      <c r="AE4471">
        <v>0.72689999999999999</v>
      </c>
      <c r="AF4471">
        <v>0.52056182929929795</v>
      </c>
      <c r="AG4471">
        <v>-1.1100210798549901</v>
      </c>
      <c r="AH4471">
        <v>21.417570221028399</v>
      </c>
      <c r="AI4471">
        <v>92.965973356918695</v>
      </c>
      <c r="AJ4471">
        <v>88.607679380758995</v>
      </c>
      <c r="AK4471">
        <v>21.452632602748999</v>
      </c>
      <c r="AL4471">
        <v>89.885945851652707</v>
      </c>
      <c r="AM4471">
        <v>84.245085511120905</v>
      </c>
      <c r="AN4471">
        <v>0.999999949987325</v>
      </c>
    </row>
    <row r="4472" spans="1:40" x14ac:dyDescent="0.25">
      <c r="A4472" t="str">
        <f>"20190312161100906"</f>
        <v>20190312161100906</v>
      </c>
      <c r="B4472" t="str">
        <f>"1552378260901611"</f>
        <v>1552378260901611</v>
      </c>
      <c r="C4472" t="s">
        <v>40</v>
      </c>
      <c r="D4472">
        <v>5.7932839999999999</v>
      </c>
      <c r="E4472">
        <v>0.47235169999999999</v>
      </c>
      <c r="F4472" t="s">
        <v>41</v>
      </c>
      <c r="G4472">
        <v>-356.46469999999999</v>
      </c>
      <c r="H4472" s="1">
        <v>-2.2168219999999999E-6</v>
      </c>
      <c r="I4472">
        <v>142.3143</v>
      </c>
      <c r="J4472">
        <v>-336.00650000000002</v>
      </c>
      <c r="K4472">
        <v>1.1100190000000001</v>
      </c>
      <c r="L4472">
        <v>141.58850000000001</v>
      </c>
      <c r="M4472">
        <v>-0.99984640000000002</v>
      </c>
      <c r="N4472">
        <v>0</v>
      </c>
      <c r="O4472">
        <v>9.4543969999999998E-3</v>
      </c>
      <c r="P4472">
        <v>-0.9939713</v>
      </c>
      <c r="Q4472">
        <v>-1.2563070000000001E-2</v>
      </c>
      <c r="R4472">
        <v>0.10891729999999999</v>
      </c>
      <c r="S4472">
        <v>-3.0049739999999998</v>
      </c>
      <c r="T4472">
        <v>-0.15768929999999901</v>
      </c>
      <c r="U4472">
        <v>0.10404969999999999</v>
      </c>
      <c r="V4472">
        <v>9.9513870000000004E-2</v>
      </c>
      <c r="W4472">
        <v>2.1279480000000002E-3</v>
      </c>
      <c r="X4472">
        <v>0.99503390000000003</v>
      </c>
      <c r="Y4472">
        <v>2.513222E-2</v>
      </c>
      <c r="Z4472">
        <v>1.631015E-4</v>
      </c>
      <c r="AA4472">
        <v>0.99968409999999996</v>
      </c>
      <c r="AB4472">
        <v>36</v>
      </c>
      <c r="AC4472">
        <v>-20.458199999999898</v>
      </c>
      <c r="AD4472">
        <v>-1.1100212168220001</v>
      </c>
      <c r="AE4472">
        <v>0.72579999999999201</v>
      </c>
      <c r="AF4472">
        <v>0.53076596894456196</v>
      </c>
      <c r="AG4472">
        <v>-1.1100212168220001</v>
      </c>
      <c r="AH4472">
        <v>20.404155265592099</v>
      </c>
      <c r="AI4472">
        <v>93.112868732104204</v>
      </c>
      <c r="AJ4472">
        <v>88.509921478283303</v>
      </c>
      <c r="AK4472">
        <v>20.441218449935199</v>
      </c>
      <c r="AL4472">
        <v>89.878077468601006</v>
      </c>
      <c r="AM4472">
        <v>84.288809381346098</v>
      </c>
      <c r="AN4472">
        <v>1.0000000003171301</v>
      </c>
    </row>
    <row r="4473" spans="1:40" x14ac:dyDescent="0.25">
      <c r="A4473" t="str">
        <f>"20190312161100928"</f>
        <v>20190312161100928</v>
      </c>
      <c r="B4473" t="str">
        <f>"1552378260921133"</f>
        <v>1552378260921133</v>
      </c>
      <c r="C4473" t="s">
        <v>40</v>
      </c>
      <c r="D4473">
        <v>5.9026759999999996</v>
      </c>
      <c r="E4473">
        <v>0.47235169999999999</v>
      </c>
      <c r="F4473" t="s">
        <v>41</v>
      </c>
      <c r="G4473">
        <v>-356.55450000000002</v>
      </c>
      <c r="H4473" s="1">
        <v>-2.180213E-6</v>
      </c>
      <c r="I4473">
        <v>142.32149999999999</v>
      </c>
      <c r="J4473">
        <v>-336.37580000000003</v>
      </c>
      <c r="K4473">
        <v>1.1100099999999999</v>
      </c>
      <c r="L4473">
        <v>141.59190000000001</v>
      </c>
      <c r="M4473">
        <v>-0.99984700000000004</v>
      </c>
      <c r="N4473">
        <v>0</v>
      </c>
      <c r="O4473">
        <v>9.4066299999999992E-3</v>
      </c>
      <c r="P4473">
        <v>-0.99403770000000002</v>
      </c>
      <c r="Q4473">
        <v>-1.238591E-2</v>
      </c>
      <c r="R4473">
        <v>0.1083315</v>
      </c>
      <c r="S4473">
        <v>-3.0043950000000001</v>
      </c>
      <c r="T4473">
        <v>-0.16230029999999901</v>
      </c>
      <c r="U4473">
        <v>0.107193</v>
      </c>
      <c r="V4473">
        <v>9.8975069999999998E-2</v>
      </c>
      <c r="W4473">
        <v>2.301993E-3</v>
      </c>
      <c r="X4473">
        <v>0.99508730000000001</v>
      </c>
      <c r="Y4473">
        <v>2.62283E-2</v>
      </c>
      <c r="Z4473">
        <v>2.000463E-4</v>
      </c>
      <c r="AA4473">
        <v>0.99965599999999999</v>
      </c>
      <c r="AB4473">
        <v>36</v>
      </c>
      <c r="AC4473">
        <v>-20.1786999999999</v>
      </c>
      <c r="AD4473">
        <v>-1.1100121802130001</v>
      </c>
      <c r="AE4473">
        <v>0.72959999999997605</v>
      </c>
      <c r="AF4473">
        <v>0.53810731591910899</v>
      </c>
      <c r="AG4473">
        <v>-1.1100121802130001</v>
      </c>
      <c r="AH4473">
        <v>20.1238555474641</v>
      </c>
      <c r="AI4473">
        <v>93.156053970717394</v>
      </c>
      <c r="AJ4473">
        <v>88.468288895950394</v>
      </c>
      <c r="AK4473">
        <v>20.161628124208299</v>
      </c>
      <c r="AL4473">
        <v>89.8681054066234</v>
      </c>
      <c r="AM4473">
        <v>84.319831663559995</v>
      </c>
      <c r="AN4473">
        <v>1.00000004913728</v>
      </c>
    </row>
    <row r="4474" spans="1:40" x14ac:dyDescent="0.25">
      <c r="A4474" t="str">
        <f>"20190312161100951"</f>
        <v>20190312161100951</v>
      </c>
      <c r="B4474" t="str">
        <f>"1552378260941628"</f>
        <v>1552378260941628</v>
      </c>
      <c r="C4474" t="s">
        <v>40</v>
      </c>
      <c r="D4474">
        <v>5.8706709999999998</v>
      </c>
      <c r="E4474">
        <v>0.50287470000000001</v>
      </c>
      <c r="F4474" t="s">
        <v>41</v>
      </c>
      <c r="G4474">
        <v>-357.00490000000002</v>
      </c>
      <c r="H4474" s="1">
        <v>-1.9853759999999998E-6</v>
      </c>
      <c r="I4474">
        <v>142.31540000000001</v>
      </c>
      <c r="J4474">
        <v>-336.73570000000001</v>
      </c>
      <c r="K4474">
        <v>1.110015</v>
      </c>
      <c r="L4474">
        <v>141.59520000000001</v>
      </c>
      <c r="M4474">
        <v>-0.9998475</v>
      </c>
      <c r="N4474">
        <v>0</v>
      </c>
      <c r="O4474">
        <v>9.359816E-3</v>
      </c>
      <c r="P4474">
        <v>-0.99406499999999998</v>
      </c>
      <c r="Q4474">
        <v>-1.2569200000000001E-2</v>
      </c>
      <c r="R4474">
        <v>0.1080594</v>
      </c>
      <c r="S4474">
        <v>-3.0045169999999999</v>
      </c>
      <c r="T4474">
        <v>-0.16166710000000001</v>
      </c>
      <c r="U4474">
        <v>0.1053925</v>
      </c>
      <c r="V4474">
        <v>9.8749240000000002E-2</v>
      </c>
      <c r="W4474">
        <v>2.1150729999999999E-3</v>
      </c>
      <c r="X4474">
        <v>0.9951101</v>
      </c>
      <c r="Y4474">
        <v>2.5676259999999999E-2</v>
      </c>
      <c r="Z4474">
        <v>1.869401E-4</v>
      </c>
      <c r="AA4474">
        <v>0.99967030000000001</v>
      </c>
      <c r="AB4474">
        <v>36</v>
      </c>
      <c r="AC4474">
        <v>-20.269200000000001</v>
      </c>
      <c r="AD4474">
        <v>-1.110016985376</v>
      </c>
      <c r="AE4474">
        <v>0.72020000000000495</v>
      </c>
      <c r="AF4474">
        <v>0.52884779071375998</v>
      </c>
      <c r="AG4474">
        <v>-1.110016985376</v>
      </c>
      <c r="AH4474">
        <v>20.2145054115825</v>
      </c>
      <c r="AI4474">
        <v>93.141990870086502</v>
      </c>
      <c r="AJ4474">
        <v>88.501381279290499</v>
      </c>
      <c r="AK4474">
        <v>20.251865265413599</v>
      </c>
      <c r="AL4474">
        <v>89.878815153205295</v>
      </c>
      <c r="AM4474">
        <v>84.332836562006705</v>
      </c>
      <c r="AN4474">
        <v>0.99999999852819099</v>
      </c>
    </row>
    <row r="4475" spans="1:40" x14ac:dyDescent="0.25">
      <c r="A4475" t="str">
        <f>"20190312161100972"</f>
        <v>20190312161100972</v>
      </c>
      <c r="B4475" t="str">
        <f>"1552378260961148"</f>
        <v>1552378260961148</v>
      </c>
      <c r="C4475" t="s">
        <v>40</v>
      </c>
      <c r="D4475">
        <v>6.0872570000000001</v>
      </c>
      <c r="E4475">
        <v>0.51493919999999904</v>
      </c>
      <c r="F4475" t="s">
        <v>42</v>
      </c>
      <c r="G4475">
        <v>-337.6293</v>
      </c>
      <c r="H4475">
        <v>0.96128130000000001</v>
      </c>
      <c r="I4475">
        <v>141.69909999999999</v>
      </c>
      <c r="J4475">
        <v>-337.07569999999998</v>
      </c>
      <c r="K4475">
        <v>1.110017</v>
      </c>
      <c r="L4475">
        <v>141.5984</v>
      </c>
      <c r="M4475">
        <v>-0.99984810000000002</v>
      </c>
      <c r="N4475">
        <v>0</v>
      </c>
      <c r="O4475">
        <v>9.3155619999999995E-3</v>
      </c>
      <c r="P4475">
        <v>-0.99412140000000004</v>
      </c>
      <c r="Q4475">
        <v>-1.2282349999999999E-2</v>
      </c>
      <c r="R4475">
        <v>0.1075744</v>
      </c>
      <c r="S4475">
        <v>-2.9741209999999998</v>
      </c>
      <c r="T4475">
        <v>-0.49500470000000002</v>
      </c>
      <c r="U4475">
        <v>0.34539789999999998</v>
      </c>
      <c r="V4475">
        <v>9.8307779999999997E-2</v>
      </c>
      <c r="W4475">
        <v>2.3983139999999999E-3</v>
      </c>
      <c r="X4475">
        <v>0.99515319999999996</v>
      </c>
      <c r="Y4475">
        <v>0.10480390000000001</v>
      </c>
      <c r="Z4475">
        <v>7.0988809999999996E-3</v>
      </c>
      <c r="AA4475">
        <v>0.99446760000000001</v>
      </c>
      <c r="AB4475">
        <v>36</v>
      </c>
      <c r="AC4475">
        <v>-0.55360000000001697</v>
      </c>
      <c r="AD4475">
        <v>-0.1487357</v>
      </c>
      <c r="AE4475">
        <v>0.10069999999998901</v>
      </c>
      <c r="AF4475">
        <v>8.9298537480636306E-2</v>
      </c>
      <c r="AG4475">
        <v>-0.1487357</v>
      </c>
      <c r="AH4475">
        <v>0.51829969091280703</v>
      </c>
      <c r="AI4475">
        <v>105.791000531362</v>
      </c>
      <c r="AJ4475">
        <v>80.224407770353906</v>
      </c>
      <c r="AK4475">
        <v>0.546562994403191</v>
      </c>
      <c r="AL4475">
        <v>89.8625866024488</v>
      </c>
      <c r="AM4475">
        <v>84.358250658831594</v>
      </c>
      <c r="AN4475">
        <v>1.0000000314944</v>
      </c>
    </row>
    <row r="4476" spans="1:40" x14ac:dyDescent="0.25">
      <c r="A4476" t="str">
        <f>"20190312161100996"</f>
        <v>20190312161100996</v>
      </c>
      <c r="B4476" t="str">
        <f>"1552378260992380"</f>
        <v>1552378260992380</v>
      </c>
      <c r="C4476" t="s">
        <v>40</v>
      </c>
      <c r="D4476">
        <v>5.356293</v>
      </c>
      <c r="E4476">
        <v>0.52036450000000001</v>
      </c>
      <c r="F4476" t="s">
        <v>42</v>
      </c>
      <c r="G4476">
        <v>-337.92950000000002</v>
      </c>
      <c r="H4476">
        <v>0.91974889999999998</v>
      </c>
      <c r="I4476">
        <v>141.7251</v>
      </c>
      <c r="J4476">
        <v>-337.45569999999998</v>
      </c>
      <c r="K4476">
        <v>1.1100139999999901</v>
      </c>
      <c r="L4476">
        <v>141.6018</v>
      </c>
      <c r="M4476">
        <v>-0.99984839999999997</v>
      </c>
      <c r="N4476">
        <v>0</v>
      </c>
      <c r="O4476">
        <v>9.2662460000000006E-3</v>
      </c>
      <c r="P4476">
        <v>-0.99417699999999998</v>
      </c>
      <c r="Q4476">
        <v>-1.2078790000000001E-2</v>
      </c>
      <c r="R4476">
        <v>0.1070806</v>
      </c>
      <c r="S4476">
        <v>-2.9620669999999998</v>
      </c>
      <c r="T4476">
        <v>-0.66003849999999997</v>
      </c>
      <c r="U4476">
        <v>0.43920900000000002</v>
      </c>
      <c r="V4476">
        <v>9.7862480000000002E-2</v>
      </c>
      <c r="W4476">
        <v>2.598585E-3</v>
      </c>
      <c r="X4476">
        <v>0.99519659999999999</v>
      </c>
      <c r="Y4476">
        <v>0.134495899999999</v>
      </c>
      <c r="Z4476">
        <v>1.269677E-2</v>
      </c>
      <c r="AA4476">
        <v>0.99083279999999996</v>
      </c>
      <c r="AB4476">
        <v>36</v>
      </c>
      <c r="AC4476">
        <v>-0.47380000000003902</v>
      </c>
      <c r="AD4476">
        <v>-0.19026509999999899</v>
      </c>
      <c r="AE4476">
        <v>0.12330000000000001</v>
      </c>
      <c r="AF4476">
        <v>0.103301958157962</v>
      </c>
      <c r="AG4476">
        <v>-0.19026509999999899</v>
      </c>
      <c r="AH4476">
        <v>0.412605576038026</v>
      </c>
      <c r="AI4476">
        <v>114.10011664738001</v>
      </c>
      <c r="AJ4476">
        <v>75.944080257761101</v>
      </c>
      <c r="AK4476">
        <v>0.46595650463852401</v>
      </c>
      <c r="AL4476">
        <v>89.851111885950303</v>
      </c>
      <c r="AM4476">
        <v>84.3838854240242</v>
      </c>
      <c r="AN4476">
        <v>1.0000000451436499</v>
      </c>
    </row>
    <row r="4477" spans="1:40" x14ac:dyDescent="0.25">
      <c r="A4477" t="str">
        <f>"20190312161101022"</f>
        <v>20190312161101022</v>
      </c>
      <c r="B4477" t="str">
        <f>"1552378261010924"</f>
        <v>1552378261010924</v>
      </c>
      <c r="C4477" t="s">
        <v>40</v>
      </c>
      <c r="D4477">
        <v>5.8863729999999999</v>
      </c>
      <c r="E4477">
        <v>0.52008220000000005</v>
      </c>
      <c r="F4477" t="s">
        <v>42</v>
      </c>
      <c r="G4477">
        <v>-338.2473</v>
      </c>
      <c r="H4477">
        <v>0.91617009999999999</v>
      </c>
      <c r="I4477">
        <v>141.73099999999999</v>
      </c>
      <c r="J4477">
        <v>-337.86329999999998</v>
      </c>
      <c r="K4477">
        <v>1.1100179999999999</v>
      </c>
      <c r="L4477">
        <v>141.60560000000001</v>
      </c>
      <c r="M4477">
        <v>-0.99984899999999999</v>
      </c>
      <c r="N4477">
        <v>0</v>
      </c>
      <c r="O4477">
        <v>9.2137690000000001E-3</v>
      </c>
      <c r="P4477">
        <v>-0.99422940000000004</v>
      </c>
      <c r="Q4477">
        <v>-1.21265E-2</v>
      </c>
      <c r="R4477">
        <v>0.10658810000000001</v>
      </c>
      <c r="S4477">
        <v>-2.9569399999999999</v>
      </c>
      <c r="T4477">
        <v>-0.7240645</v>
      </c>
      <c r="U4477">
        <v>0.48132320000000001</v>
      </c>
      <c r="V4477">
        <v>9.7421770000000005E-2</v>
      </c>
      <c r="W4477">
        <v>2.547087E-3</v>
      </c>
      <c r="X4477">
        <v>0.99523989999999996</v>
      </c>
      <c r="Y4477">
        <v>0.14757870000000001</v>
      </c>
      <c r="Z4477">
        <v>1.548503E-2</v>
      </c>
      <c r="AA4477">
        <v>0.98892910000000001</v>
      </c>
      <c r="AB4477">
        <v>36</v>
      </c>
      <c r="AC4477">
        <v>-0.384000000000014</v>
      </c>
      <c r="AD4477">
        <v>-0.19384789999999999</v>
      </c>
      <c r="AE4477">
        <v>0.125399999999984</v>
      </c>
      <c r="AF4477">
        <v>9.9047709845648493E-2</v>
      </c>
      <c r="AG4477">
        <v>-0.19384789999999999</v>
      </c>
      <c r="AH4477">
        <v>0.31305060515764999</v>
      </c>
      <c r="AI4477">
        <v>120.556617698892</v>
      </c>
      <c r="AJ4477">
        <v>72.442878490910303</v>
      </c>
      <c r="AK4477">
        <v>0.38129796557239698</v>
      </c>
      <c r="AL4477">
        <v>89.854062503215602</v>
      </c>
      <c r="AM4477">
        <v>84.4092579132666</v>
      </c>
      <c r="AN4477">
        <v>0.99999997373706295</v>
      </c>
    </row>
    <row r="4478" spans="1:40" x14ac:dyDescent="0.25">
      <c r="A4478" t="str">
        <f>"20190312161101041"</f>
        <v>20190312161101041</v>
      </c>
      <c r="B4478" t="str">
        <f>"1552378261031419"</f>
        <v>1552378261031419</v>
      </c>
      <c r="C4478" t="s">
        <v>40</v>
      </c>
      <c r="D4478">
        <v>6.3495100000000004</v>
      </c>
      <c r="E4478">
        <v>0.51964690000000002</v>
      </c>
      <c r="F4478" t="s">
        <v>42</v>
      </c>
      <c r="G4478">
        <v>-338.57330000000002</v>
      </c>
      <c r="H4478">
        <v>0.93229879999999998</v>
      </c>
      <c r="I4478">
        <v>141.72040000000001</v>
      </c>
      <c r="J4478">
        <v>-338.16969999999998</v>
      </c>
      <c r="K4478">
        <v>1.1100190000000001</v>
      </c>
      <c r="L4478">
        <v>141.60839999999999</v>
      </c>
      <c r="M4478">
        <v>-0.99984949999999995</v>
      </c>
      <c r="N4478">
        <v>0</v>
      </c>
      <c r="O4478">
        <v>9.1743980000000003E-3</v>
      </c>
      <c r="P4478">
        <v>-0.99421300000000001</v>
      </c>
      <c r="Q4478">
        <v>-1.2225710000000001E-2</v>
      </c>
      <c r="R4478">
        <v>0.10672959999999999</v>
      </c>
      <c r="S4478">
        <v>-2.957214</v>
      </c>
      <c r="T4478">
        <v>-0.74014990000000003</v>
      </c>
      <c r="U4478">
        <v>0.47723389999999999</v>
      </c>
      <c r="V4478">
        <v>9.7602670000000002E-2</v>
      </c>
      <c r="W4478">
        <v>2.4440899999999999E-3</v>
      </c>
      <c r="X4478">
        <v>0.99522239999999995</v>
      </c>
      <c r="Y4478">
        <v>0.14613590000000001</v>
      </c>
      <c r="Z4478">
        <v>1.5652200000000002E-2</v>
      </c>
      <c r="AA4478">
        <v>0.98914069999999998</v>
      </c>
      <c r="AB4478">
        <v>36</v>
      </c>
      <c r="AC4478">
        <v>-0.40360000000003898</v>
      </c>
      <c r="AD4478">
        <v>-0.17772019999999999</v>
      </c>
      <c r="AE4478">
        <v>0.112000000000023</v>
      </c>
      <c r="AF4478">
        <v>9.1770384916092698E-2</v>
      </c>
      <c r="AG4478">
        <v>-0.17772019999999999</v>
      </c>
      <c r="AH4478">
        <v>0.34288075098444798</v>
      </c>
      <c r="AI4478">
        <v>116.596750999942</v>
      </c>
      <c r="AJ4478">
        <v>75.016252319825597</v>
      </c>
      <c r="AK4478">
        <v>0.396955265025351</v>
      </c>
      <c r="AL4478">
        <v>89.859963810444</v>
      </c>
      <c r="AM4478">
        <v>84.398844695948497</v>
      </c>
      <c r="AN4478">
        <v>0.99999994011440596</v>
      </c>
    </row>
    <row r="4479" spans="1:40" x14ac:dyDescent="0.25">
      <c r="A4479" t="str">
        <f>"20190312161101061"</f>
        <v>20190312161101061</v>
      </c>
      <c r="B4479" t="str">
        <f>"1552378261050939"</f>
        <v>1552378261050939</v>
      </c>
      <c r="C4479" t="s">
        <v>40</v>
      </c>
      <c r="D4479">
        <v>6.4519909999999996</v>
      </c>
      <c r="E4479">
        <v>0.51886670000000001</v>
      </c>
      <c r="F4479" t="s">
        <v>42</v>
      </c>
      <c r="G4479">
        <v>-338.89120000000003</v>
      </c>
      <c r="H4479">
        <v>0.93092680000000005</v>
      </c>
      <c r="I4479">
        <v>141.7242</v>
      </c>
      <c r="J4479">
        <v>-338.50139999999999</v>
      </c>
      <c r="K4479">
        <v>1.11002</v>
      </c>
      <c r="L4479">
        <v>141.6114</v>
      </c>
      <c r="M4479">
        <v>-0.99984989999999996</v>
      </c>
      <c r="N4479">
        <v>0</v>
      </c>
      <c r="O4479">
        <v>9.1318089999999994E-3</v>
      </c>
      <c r="P4479">
        <v>-0.99424820000000003</v>
      </c>
      <c r="Q4479">
        <v>-1.23327E-2</v>
      </c>
      <c r="R4479">
        <v>0.10638980000000001</v>
      </c>
      <c r="S4479">
        <v>-2.957611</v>
      </c>
      <c r="T4479">
        <v>-0.73410369999999903</v>
      </c>
      <c r="U4479">
        <v>0.47380070000000002</v>
      </c>
      <c r="V4479">
        <v>9.7304989999999994E-2</v>
      </c>
      <c r="W4479">
        <v>2.333941E-3</v>
      </c>
      <c r="X4479">
        <v>0.99525189999999997</v>
      </c>
      <c r="Y4479">
        <v>0.14513239999999999</v>
      </c>
      <c r="Z4479">
        <v>1.541583E-2</v>
      </c>
      <c r="AA4479">
        <v>0.98929210000000001</v>
      </c>
      <c r="AB4479">
        <v>36</v>
      </c>
      <c r="AC4479">
        <v>-0.38980000000003601</v>
      </c>
      <c r="AD4479">
        <v>-0.17909319999999901</v>
      </c>
      <c r="AE4479">
        <v>0.112799999999992</v>
      </c>
      <c r="AF4479">
        <v>9.1426980865240398E-2</v>
      </c>
      <c r="AG4479">
        <v>-0.17909319999999901</v>
      </c>
      <c r="AH4479">
        <v>0.32710055313484898</v>
      </c>
      <c r="AI4479">
        <v>117.802987735757</v>
      </c>
      <c r="AJ4479">
        <v>74.383936097993299</v>
      </c>
      <c r="AK4479">
        <v>0.383963590692525</v>
      </c>
      <c r="AL4479">
        <v>89.8662749131921</v>
      </c>
      <c r="AM4479">
        <v>84.415984086991401</v>
      </c>
      <c r="AN4479">
        <v>1.0000000264065501</v>
      </c>
    </row>
    <row r="4480" spans="1:40" x14ac:dyDescent="0.25">
      <c r="A4480" t="str">
        <f>"20190312161101084"</f>
        <v>20190312161101084</v>
      </c>
      <c r="B4480" t="str">
        <f>"1552378261071435"</f>
        <v>1552378261071435</v>
      </c>
      <c r="C4480" t="s">
        <v>40</v>
      </c>
      <c r="D4480">
        <v>6.1501010000000003</v>
      </c>
      <c r="E4480">
        <v>0.51837429999999995</v>
      </c>
      <c r="F4480" t="s">
        <v>42</v>
      </c>
      <c r="G4480">
        <v>-339.21159999999998</v>
      </c>
      <c r="H4480">
        <v>0.93589250000000002</v>
      </c>
      <c r="I4480">
        <v>141.7236</v>
      </c>
      <c r="J4480">
        <v>-338.85070000000002</v>
      </c>
      <c r="K4480">
        <v>1.1100219999999901</v>
      </c>
      <c r="L4480">
        <v>141.61449999999999</v>
      </c>
      <c r="M4480">
        <v>-0.99985029999999997</v>
      </c>
      <c r="N4480">
        <v>0</v>
      </c>
      <c r="O4480">
        <v>9.086841E-3</v>
      </c>
      <c r="P4480">
        <v>-0.99427699999999997</v>
      </c>
      <c r="Q4480">
        <v>-1.22065E-2</v>
      </c>
      <c r="R4480">
        <v>0.1061325</v>
      </c>
      <c r="S4480">
        <v>-2.9583740000000001</v>
      </c>
      <c r="T4480">
        <v>-0.7253115</v>
      </c>
      <c r="U4480">
        <v>0.46672059999999999</v>
      </c>
      <c r="V4480">
        <v>9.7092129999999999E-2</v>
      </c>
      <c r="W4480">
        <v>2.4564880000000002E-3</v>
      </c>
      <c r="X4480">
        <v>0.9952723</v>
      </c>
      <c r="Y4480">
        <v>0.14298279999999999</v>
      </c>
      <c r="Z4480">
        <v>1.4988059999999999E-2</v>
      </c>
      <c r="AA4480">
        <v>0.98961169999999998</v>
      </c>
      <c r="AB4480">
        <v>36</v>
      </c>
      <c r="AC4480">
        <v>-0.36089999999995798</v>
      </c>
      <c r="AD4480">
        <v>-0.17412949999999899</v>
      </c>
      <c r="AE4480">
        <v>0.10910000000001201</v>
      </c>
      <c r="AF4480">
        <v>8.7213064340722096E-2</v>
      </c>
      <c r="AG4480">
        <v>-0.17412949999999899</v>
      </c>
      <c r="AH4480">
        <v>0.29825787522521802</v>
      </c>
      <c r="AI4480">
        <v>119.264406647564</v>
      </c>
      <c r="AJ4480">
        <v>73.700644514562796</v>
      </c>
      <c r="AK4480">
        <v>0.35620915414375698</v>
      </c>
      <c r="AL4480">
        <v>89.859253454276896</v>
      </c>
      <c r="AM4480">
        <v>84.428235963177897</v>
      </c>
      <c r="AN4480">
        <v>0.99999993359425798</v>
      </c>
    </row>
    <row r="4481" spans="1:40" x14ac:dyDescent="0.25">
      <c r="A4481" t="str">
        <f>"20190312161101107"</f>
        <v>20190312161101107</v>
      </c>
      <c r="B4481" t="str">
        <f>"1552378261101691"</f>
        <v>1552378261101691</v>
      </c>
      <c r="C4481" t="s">
        <v>40</v>
      </c>
      <c r="D4481">
        <v>5.8090029999999997</v>
      </c>
      <c r="E4481">
        <v>0.51778570000000002</v>
      </c>
      <c r="F4481" t="s">
        <v>42</v>
      </c>
      <c r="G4481">
        <v>-339.53320000000002</v>
      </c>
      <c r="H4481">
        <v>0.94398000000000004</v>
      </c>
      <c r="I4481">
        <v>141.7216</v>
      </c>
      <c r="J4481">
        <v>-339.21300000000002</v>
      </c>
      <c r="K4481">
        <v>1.1100209999999999</v>
      </c>
      <c r="L4481">
        <v>141.61779999999999</v>
      </c>
      <c r="M4481">
        <v>-0.99985069999999998</v>
      </c>
      <c r="N4481">
        <v>0</v>
      </c>
      <c r="O4481">
        <v>9.0400870000000005E-3</v>
      </c>
      <c r="P4481">
        <v>-0.99429610000000002</v>
      </c>
      <c r="Q4481">
        <v>-1.227263E-2</v>
      </c>
      <c r="R4481">
        <v>0.1059467</v>
      </c>
      <c r="S4481">
        <v>-2.9590450000000001</v>
      </c>
      <c r="T4481">
        <v>-0.71991919999999898</v>
      </c>
      <c r="U4481">
        <v>0.46263120000000002</v>
      </c>
      <c r="V4481">
        <v>9.6952709999999998E-2</v>
      </c>
      <c r="W4481">
        <v>2.3868700000000001E-3</v>
      </c>
      <c r="X4481">
        <v>0.99528609999999995</v>
      </c>
      <c r="Y4481">
        <v>0.1417506</v>
      </c>
      <c r="Z4481">
        <v>1.474227E-2</v>
      </c>
      <c r="AA4481">
        <v>0.98979260000000002</v>
      </c>
      <c r="AB4481">
        <v>36</v>
      </c>
      <c r="AC4481">
        <v>-0.32019999999999899</v>
      </c>
      <c r="AD4481">
        <v>-0.16604099999999999</v>
      </c>
      <c r="AE4481">
        <v>0.103800000000006</v>
      </c>
      <c r="AF4481">
        <v>8.1153842882722302E-2</v>
      </c>
      <c r="AG4481">
        <v>-0.16604099999999999</v>
      </c>
      <c r="AH4481">
        <v>0.25827898570253299</v>
      </c>
      <c r="AI4481">
        <v>121.52127278998999</v>
      </c>
      <c r="AJ4481">
        <v>72.556759230313602</v>
      </c>
      <c r="AK4481">
        <v>0.31759029322566301</v>
      </c>
      <c r="AL4481">
        <v>89.863242289204607</v>
      </c>
      <c r="AM4481">
        <v>84.436263191888202</v>
      </c>
      <c r="AN4481">
        <v>0.99999997298897503</v>
      </c>
    </row>
    <row r="4482" spans="1:40" x14ac:dyDescent="0.25">
      <c r="A4482" t="str">
        <f>"20190312161101129"</f>
        <v>20190312161101129</v>
      </c>
      <c r="B4482" t="str">
        <f>"1552378261121211"</f>
        <v>1552378261121211</v>
      </c>
      <c r="C4482" t="s">
        <v>40</v>
      </c>
      <c r="D4482">
        <v>5.8102539999999996</v>
      </c>
      <c r="E4482">
        <v>0.5179549</v>
      </c>
      <c r="F4482" t="s">
        <v>42</v>
      </c>
      <c r="G4482">
        <v>-340.14260000000002</v>
      </c>
      <c r="H4482">
        <v>0.88583840000000003</v>
      </c>
      <c r="I4482">
        <v>141.76169999999999</v>
      </c>
      <c r="J4482">
        <v>-339.57330000000002</v>
      </c>
      <c r="K4482">
        <v>1.11002</v>
      </c>
      <c r="L4482">
        <v>141.62090000000001</v>
      </c>
      <c r="M4482">
        <v>-0.9998515</v>
      </c>
      <c r="N4482">
        <v>0</v>
      </c>
      <c r="O4482">
        <v>8.9932720000000001E-3</v>
      </c>
      <c r="P4482">
        <v>-0.99428340000000004</v>
      </c>
      <c r="Q4482">
        <v>-1.2818329999999999E-2</v>
      </c>
      <c r="R4482">
        <v>0.106003399999999</v>
      </c>
      <c r="S4482">
        <v>-2.959625</v>
      </c>
      <c r="T4482">
        <v>-0.71375310000000003</v>
      </c>
      <c r="U4482">
        <v>0.45733639999999998</v>
      </c>
      <c r="V4482">
        <v>9.7056249999999997E-2</v>
      </c>
      <c r="W4482">
        <v>1.836601E-3</v>
      </c>
      <c r="X4482">
        <v>0.99527719999999997</v>
      </c>
      <c r="Y4482">
        <v>0.14014550000000001</v>
      </c>
      <c r="Z4482">
        <v>1.443997E-2</v>
      </c>
      <c r="AA4482">
        <v>0.99002559999999995</v>
      </c>
      <c r="AB4482">
        <v>36</v>
      </c>
      <c r="AC4482">
        <v>-0.56929999999999803</v>
      </c>
      <c r="AD4482">
        <v>-0.22418160000000001</v>
      </c>
      <c r="AE4482">
        <v>0.14079999999998399</v>
      </c>
      <c r="AF4482">
        <v>0.118375852984568</v>
      </c>
      <c r="AG4482">
        <v>-0.22418160000000001</v>
      </c>
      <c r="AH4482">
        <v>0.49780072822457899</v>
      </c>
      <c r="AI4482">
        <v>113.65951688792001</v>
      </c>
      <c r="AJ4482">
        <v>76.623638090453198</v>
      </c>
      <c r="AK4482">
        <v>0.55863744715987795</v>
      </c>
      <c r="AL4482">
        <v>89.894770454555697</v>
      </c>
      <c r="AM4482">
        <v>84.430309285117403</v>
      </c>
      <c r="AN4482">
        <v>0.99999999680356699</v>
      </c>
    </row>
    <row r="4483" spans="1:40" x14ac:dyDescent="0.25">
      <c r="A4483" t="str">
        <f>"20190312161101151"</f>
        <v>20190312161101151</v>
      </c>
      <c r="B4483" t="str">
        <f>"1552378261141707"</f>
        <v>1552378261141707</v>
      </c>
      <c r="C4483" t="s">
        <v>40</v>
      </c>
      <c r="D4483">
        <v>5.8123849999999999</v>
      </c>
      <c r="E4483">
        <v>0.51836800000000005</v>
      </c>
      <c r="F4483" t="s">
        <v>42</v>
      </c>
      <c r="G4483">
        <v>-340.4624</v>
      </c>
      <c r="H4483">
        <v>0.89363429999999999</v>
      </c>
      <c r="I4483">
        <v>141.75880000000001</v>
      </c>
      <c r="J4483">
        <v>-339.92189999999999</v>
      </c>
      <c r="K4483">
        <v>1.1100190000000001</v>
      </c>
      <c r="L4483">
        <v>141.624</v>
      </c>
      <c r="M4483">
        <v>-0.99985170000000001</v>
      </c>
      <c r="N4483">
        <v>0</v>
      </c>
      <c r="O4483">
        <v>8.9478289999999992E-3</v>
      </c>
      <c r="P4483">
        <v>-0.99436579999999997</v>
      </c>
      <c r="Q4483">
        <v>-1.227352E-2</v>
      </c>
      <c r="R4483">
        <v>0.10529189999999999</v>
      </c>
      <c r="S4483">
        <v>-2.9591059999999998</v>
      </c>
      <c r="T4483">
        <v>-0.72017959999999903</v>
      </c>
      <c r="U4483">
        <v>0.45802310000000002</v>
      </c>
      <c r="V4483">
        <v>9.638919E-2</v>
      </c>
      <c r="W4483">
        <v>2.3787639999999998E-3</v>
      </c>
      <c r="X4483">
        <v>0.99534089999999997</v>
      </c>
      <c r="Y4483">
        <v>0.14036680000000001</v>
      </c>
      <c r="Z4483">
        <v>1.460581E-2</v>
      </c>
      <c r="AA4483">
        <v>0.98999179999999998</v>
      </c>
      <c r="AB4483">
        <v>35</v>
      </c>
      <c r="AC4483">
        <v>-0.54050000000000797</v>
      </c>
      <c r="AD4483">
        <v>-0.21638470000000001</v>
      </c>
      <c r="AE4483">
        <v>0.13480000000001199</v>
      </c>
      <c r="AF4483">
        <v>0.11291954127324701</v>
      </c>
      <c r="AG4483">
        <v>-0.21638470000000001</v>
      </c>
      <c r="AH4483">
        <v>0.470666582189257</v>
      </c>
      <c r="AI4483">
        <v>114.087268458661</v>
      </c>
      <c r="AJ4483">
        <v>76.5089214097883</v>
      </c>
      <c r="AK4483">
        <v>0.53018882748051799</v>
      </c>
      <c r="AL4483">
        <v>89.863706736646094</v>
      </c>
      <c r="AM4483">
        <v>84.468702909457306</v>
      </c>
      <c r="AN4483">
        <v>1.00000002083991</v>
      </c>
    </row>
    <row r="4484" spans="1:40" x14ac:dyDescent="0.25">
      <c r="A4484" t="str">
        <f>"20190312161101172"</f>
        <v>20190312161101172</v>
      </c>
      <c r="B4484" t="str">
        <f>"1552378261161228"</f>
        <v>1552378261161228</v>
      </c>
      <c r="C4484" t="s">
        <v>40</v>
      </c>
      <c r="D4484">
        <v>5.7612139999999998</v>
      </c>
      <c r="E4484">
        <v>0.51806890000000005</v>
      </c>
      <c r="F4484" t="s">
        <v>42</v>
      </c>
      <c r="G4484">
        <v>-340.78039999999999</v>
      </c>
      <c r="H4484">
        <v>0.89771710000000005</v>
      </c>
      <c r="I4484">
        <v>141.75739999999999</v>
      </c>
      <c r="J4484">
        <v>-340.26409999999998</v>
      </c>
      <c r="K4484">
        <v>1.110025</v>
      </c>
      <c r="L4484">
        <v>141.62700000000001</v>
      </c>
      <c r="M4484">
        <v>-0.99985230000000003</v>
      </c>
      <c r="N4484">
        <v>0</v>
      </c>
      <c r="O4484">
        <v>8.9030389999999997E-3</v>
      </c>
      <c r="P4484">
        <v>-0.99451109999999998</v>
      </c>
      <c r="Q4484">
        <v>-1.2306020000000001E-2</v>
      </c>
      <c r="R4484">
        <v>0.1039059</v>
      </c>
      <c r="S4484">
        <v>-2.9593509999999998</v>
      </c>
      <c r="T4484">
        <v>-0.73186280000000004</v>
      </c>
      <c r="U4484">
        <v>0.45892329999999998</v>
      </c>
      <c r="V4484">
        <v>9.5046459999999999E-2</v>
      </c>
      <c r="W4484">
        <v>2.3449080000000001E-3</v>
      </c>
      <c r="X4484">
        <v>0.99546999999999997</v>
      </c>
      <c r="Y4484">
        <v>0.14056579999999999</v>
      </c>
      <c r="Z4484">
        <v>1.4869439999999999E-2</v>
      </c>
      <c r="AA4484">
        <v>0.9899597</v>
      </c>
      <c r="AB4484">
        <v>35</v>
      </c>
      <c r="AC4484">
        <v>-0.51630000000000098</v>
      </c>
      <c r="AD4484">
        <v>-0.21230789999999899</v>
      </c>
      <c r="AE4484">
        <v>0.13039999999998</v>
      </c>
      <c r="AF4484">
        <v>0.108544138403668</v>
      </c>
      <c r="AG4484">
        <v>-0.21230789999999899</v>
      </c>
      <c r="AH4484">
        <v>0.44647197823121398</v>
      </c>
      <c r="AI4484">
        <v>114.799974111796</v>
      </c>
      <c r="AJ4484">
        <v>76.335617874810595</v>
      </c>
      <c r="AK4484">
        <v>0.50615580776071201</v>
      </c>
      <c r="AL4484">
        <v>89.865646534987306</v>
      </c>
      <c r="AM4484">
        <v>84.545990672633394</v>
      </c>
      <c r="AN4484">
        <v>0.99999992452602704</v>
      </c>
    </row>
    <row r="4485" spans="1:40" x14ac:dyDescent="0.25">
      <c r="A4485" t="str">
        <f>"20190312161101197"</f>
        <v>20190312161101197</v>
      </c>
      <c r="B4485" t="str">
        <f>"1552378261191483"</f>
        <v>1552378261191483</v>
      </c>
      <c r="C4485" t="s">
        <v>40</v>
      </c>
      <c r="D4485">
        <v>5.9317820000000001</v>
      </c>
      <c r="E4485">
        <v>0.51825200000000005</v>
      </c>
      <c r="F4485" t="s">
        <v>42</v>
      </c>
      <c r="G4485">
        <v>-341.09930000000003</v>
      </c>
      <c r="H4485">
        <v>0.90490649999999995</v>
      </c>
      <c r="I4485">
        <v>141.7552</v>
      </c>
      <c r="J4485">
        <v>-340.63389999999998</v>
      </c>
      <c r="K4485">
        <v>1.1100219999999901</v>
      </c>
      <c r="L4485">
        <v>141.63030000000001</v>
      </c>
      <c r="M4485">
        <v>-0.99985279999999999</v>
      </c>
      <c r="N4485">
        <v>0</v>
      </c>
      <c r="O4485">
        <v>8.8550909999999903E-3</v>
      </c>
      <c r="P4485">
        <v>-0.99465820000000005</v>
      </c>
      <c r="Q4485">
        <v>-1.2210159999999999E-2</v>
      </c>
      <c r="R4485">
        <v>0.10250090000000001</v>
      </c>
      <c r="S4485">
        <v>-2.9602050000000002</v>
      </c>
      <c r="T4485">
        <v>-0.72709209999999902</v>
      </c>
      <c r="U4485">
        <v>0.4537659</v>
      </c>
      <c r="V4485">
        <v>9.3688060000000004E-2</v>
      </c>
      <c r="W4485">
        <v>2.4383679999999998E-3</v>
      </c>
      <c r="X4485">
        <v>0.9955986</v>
      </c>
      <c r="Y4485">
        <v>0.1389802</v>
      </c>
      <c r="Z4485">
        <v>1.4593770000000001E-2</v>
      </c>
      <c r="AA4485">
        <v>0.99018759999999995</v>
      </c>
      <c r="AB4485">
        <v>35</v>
      </c>
      <c r="AC4485">
        <v>-0.465400000000045</v>
      </c>
      <c r="AD4485">
        <v>-0.20511549999999901</v>
      </c>
      <c r="AE4485">
        <v>0.124899999999996</v>
      </c>
      <c r="AF4485">
        <v>0.102247097906909</v>
      </c>
      <c r="AG4485">
        <v>-0.20511549999999901</v>
      </c>
      <c r="AH4485">
        <v>0.39492961474403798</v>
      </c>
      <c r="AI4485">
        <v>116.69300652933801</v>
      </c>
      <c r="AJ4485">
        <v>75.484858602783902</v>
      </c>
      <c r="AK4485">
        <v>0.45661388280746501</v>
      </c>
      <c r="AL4485">
        <v>89.860291664200005</v>
      </c>
      <c r="AM4485">
        <v>84.624169490490701</v>
      </c>
      <c r="AN4485">
        <v>0.99999998527351297</v>
      </c>
    </row>
    <row r="4486" spans="1:40" x14ac:dyDescent="0.25">
      <c r="A4486" t="str">
        <f>"20190312161101219"</f>
        <v>20190312161101219</v>
      </c>
      <c r="B4486" t="str">
        <f>"1552378261211003"</f>
        <v>1552378261211003</v>
      </c>
      <c r="C4486" t="s">
        <v>40</v>
      </c>
      <c r="D4486">
        <v>5.8138370000000004</v>
      </c>
      <c r="E4486">
        <v>0.51850649999999998</v>
      </c>
      <c r="F4486" t="s">
        <v>42</v>
      </c>
      <c r="G4486">
        <v>-341.42020000000002</v>
      </c>
      <c r="H4486">
        <v>0.91773079999999996</v>
      </c>
      <c r="I4486">
        <v>141.75049999999999</v>
      </c>
      <c r="J4486">
        <v>-340.99360000000001</v>
      </c>
      <c r="K4486">
        <v>1.11002</v>
      </c>
      <c r="L4486">
        <v>141.63339999999999</v>
      </c>
      <c r="M4486">
        <v>-0.99985310000000005</v>
      </c>
      <c r="N4486">
        <v>0</v>
      </c>
      <c r="O4486">
        <v>8.8080980000000003E-3</v>
      </c>
      <c r="P4486">
        <v>-0.99468279999999998</v>
      </c>
      <c r="Q4486">
        <v>-1.312689E-2</v>
      </c>
      <c r="R4486">
        <v>0.10214579999999999</v>
      </c>
      <c r="S4486">
        <v>-2.9606629999999998</v>
      </c>
      <c r="T4486">
        <v>-0.72398580000000001</v>
      </c>
      <c r="U4486">
        <v>0.45188899999999999</v>
      </c>
      <c r="V4486">
        <v>9.3379489999999996E-2</v>
      </c>
      <c r="W4486">
        <v>1.5180739999999999E-3</v>
      </c>
      <c r="X4486">
        <v>0.9956294</v>
      </c>
      <c r="Y4486">
        <v>0.13843720000000001</v>
      </c>
      <c r="Z4486">
        <v>1.447787E-2</v>
      </c>
      <c r="AA4486">
        <v>0.99026539999999996</v>
      </c>
      <c r="AB4486">
        <v>35</v>
      </c>
      <c r="AC4486">
        <v>-0.42660000000000697</v>
      </c>
      <c r="AD4486">
        <v>-0.19228919999999899</v>
      </c>
      <c r="AE4486">
        <v>0.117099999999993</v>
      </c>
      <c r="AF4486">
        <v>9.5326692852239103E-2</v>
      </c>
      <c r="AG4486">
        <v>-0.19228919999999899</v>
      </c>
      <c r="AH4486">
        <v>0.35966133855662602</v>
      </c>
      <c r="AI4486">
        <v>117.329714710332</v>
      </c>
      <c r="AJ4486">
        <v>75.155326125562894</v>
      </c>
      <c r="AK4486">
        <v>0.41883002907997102</v>
      </c>
      <c r="AL4486">
        <v>89.913020730613397</v>
      </c>
      <c r="AM4486">
        <v>84.641936840150805</v>
      </c>
      <c r="AN4486">
        <v>0.99999996792284396</v>
      </c>
    </row>
    <row r="4487" spans="1:40" x14ac:dyDescent="0.25">
      <c r="A4487" t="str">
        <f>"20190312161101241"</f>
        <v>20190312161101241</v>
      </c>
      <c r="B4487" t="str">
        <f>"1552378261231499"</f>
        <v>1552378261231499</v>
      </c>
      <c r="C4487" t="s">
        <v>40</v>
      </c>
      <c r="D4487">
        <v>6.0193490000000001</v>
      </c>
      <c r="E4487">
        <v>0.51936479999999996</v>
      </c>
      <c r="F4487" t="s">
        <v>42</v>
      </c>
      <c r="G4487">
        <v>-341.73939999999999</v>
      </c>
      <c r="H4487">
        <v>0.92637159999999996</v>
      </c>
      <c r="I4487">
        <v>141.7473</v>
      </c>
      <c r="J4487">
        <v>-341.34070000000003</v>
      </c>
      <c r="K4487">
        <v>1.110025</v>
      </c>
      <c r="L4487">
        <v>141.63640000000001</v>
      </c>
      <c r="M4487">
        <v>-0.99985360000000001</v>
      </c>
      <c r="N4487">
        <v>0</v>
      </c>
      <c r="O4487">
        <v>8.7630090000000004E-3</v>
      </c>
      <c r="P4487">
        <v>-0.99466089999999996</v>
      </c>
      <c r="Q4487">
        <v>-1.3641530000000001E-2</v>
      </c>
      <c r="R4487">
        <v>0.1022928</v>
      </c>
      <c r="S4487">
        <v>-2.9600520000000001</v>
      </c>
      <c r="T4487">
        <v>-0.7288673</v>
      </c>
      <c r="U4487">
        <v>0.45166020000000001</v>
      </c>
      <c r="V4487">
        <v>9.3571719999999997E-2</v>
      </c>
      <c r="W4487">
        <v>9.9927570000000001E-4</v>
      </c>
      <c r="X4487">
        <v>0.99561200000000005</v>
      </c>
      <c r="Y4487">
        <v>0.13838629999999999</v>
      </c>
      <c r="Z4487">
        <v>1.458042E-2</v>
      </c>
      <c r="AA4487">
        <v>0.99027100000000001</v>
      </c>
      <c r="AB4487">
        <v>35</v>
      </c>
      <c r="AC4487">
        <v>-0.39869999999996197</v>
      </c>
      <c r="AD4487">
        <v>-0.18365339999999999</v>
      </c>
      <c r="AE4487">
        <v>0.110899999999986</v>
      </c>
      <c r="AF4487">
        <v>8.97298737055236E-2</v>
      </c>
      <c r="AG4487">
        <v>-0.18365339999999999</v>
      </c>
      <c r="AH4487">
        <v>0.33389775644449898</v>
      </c>
      <c r="AI4487">
        <v>117.976464150499</v>
      </c>
      <c r="AJ4487">
        <v>74.958023185961494</v>
      </c>
      <c r="AK4487">
        <v>0.39149423153533103</v>
      </c>
      <c r="AL4487">
        <v>89.942745707997801</v>
      </c>
      <c r="AM4487">
        <v>84.630877896609704</v>
      </c>
      <c r="AN4487">
        <v>0.99999995993984003</v>
      </c>
    </row>
    <row r="4488" spans="1:40" x14ac:dyDescent="0.25">
      <c r="A4488" t="str">
        <f>"20190312161101262"</f>
        <v>20190312161101262</v>
      </c>
      <c r="B4488" t="str">
        <f>"1552378261251019"</f>
        <v>1552378261251019</v>
      </c>
      <c r="C4488" t="s">
        <v>40</v>
      </c>
      <c r="D4488">
        <v>5.7031150000000004</v>
      </c>
      <c r="E4488">
        <v>0.5199627</v>
      </c>
      <c r="F4488" t="s">
        <v>42</v>
      </c>
      <c r="G4488">
        <v>-342.05650000000003</v>
      </c>
      <c r="H4488">
        <v>0.93117559999999999</v>
      </c>
      <c r="I4488">
        <v>141.7475</v>
      </c>
      <c r="J4488">
        <v>-341.67219999999998</v>
      </c>
      <c r="K4488">
        <v>1.110026</v>
      </c>
      <c r="L4488">
        <v>141.63929999999999</v>
      </c>
      <c r="M4488">
        <v>-0.99985409999999997</v>
      </c>
      <c r="N4488">
        <v>0</v>
      </c>
      <c r="O4488">
        <v>8.7198850000000001E-3</v>
      </c>
      <c r="P4488">
        <v>-0.99472649999999996</v>
      </c>
      <c r="Q4488">
        <v>-1.2692129999999999E-2</v>
      </c>
      <c r="R4488">
        <v>0.1017759</v>
      </c>
      <c r="S4488">
        <v>-2.9588009999999998</v>
      </c>
      <c r="T4488">
        <v>-0.73932290000000001</v>
      </c>
      <c r="U4488">
        <v>0.45816040000000002</v>
      </c>
      <c r="V4488">
        <v>9.3097029999999997E-2</v>
      </c>
      <c r="W4488">
        <v>1.9457960000000001E-3</v>
      </c>
      <c r="X4488">
        <v>0.99565510000000002</v>
      </c>
      <c r="Y4488">
        <v>0.14044389999999901</v>
      </c>
      <c r="Z4488">
        <v>1.5049430000000001E-2</v>
      </c>
      <c r="AA4488">
        <v>0.98997429999999997</v>
      </c>
      <c r="AB4488">
        <v>35</v>
      </c>
      <c r="AC4488">
        <v>-0.38430000000005199</v>
      </c>
      <c r="AD4488">
        <v>-0.17885039999999899</v>
      </c>
      <c r="AE4488">
        <v>0.10820000000001</v>
      </c>
      <c r="AF4488">
        <v>8.7320760173549894E-2</v>
      </c>
      <c r="AG4488">
        <v>-0.17885039999999899</v>
      </c>
      <c r="AH4488">
        <v>0.32084178262386498</v>
      </c>
      <c r="AI4488">
        <v>118.274750246297</v>
      </c>
      <c r="AJ4488">
        <v>74.775061238965407</v>
      </c>
      <c r="AK4488">
        <v>0.377560366318693</v>
      </c>
      <c r="AL4488">
        <v>89.888514026668005</v>
      </c>
      <c r="AM4488">
        <v>84.658187425574397</v>
      </c>
      <c r="AN4488">
        <v>0.99999996063645102</v>
      </c>
    </row>
    <row r="4489" spans="1:40" x14ac:dyDescent="0.25">
      <c r="A4489" t="str">
        <f>"20190312161101284"</f>
        <v>20190312161101284</v>
      </c>
      <c r="B4489" t="str">
        <f>"1552378261271515"</f>
        <v>1552378261271515</v>
      </c>
      <c r="C4489" t="s">
        <v>40</v>
      </c>
      <c r="D4489">
        <v>5.6860999999999997</v>
      </c>
      <c r="E4489">
        <v>0.52079470000000005</v>
      </c>
      <c r="F4489" t="s">
        <v>42</v>
      </c>
      <c r="G4489">
        <v>-342.3725</v>
      </c>
      <c r="H4489">
        <v>0.93434329999999999</v>
      </c>
      <c r="I4489">
        <v>141.74889999999999</v>
      </c>
      <c r="J4489">
        <v>-342.00729999999999</v>
      </c>
      <c r="K4489">
        <v>1.1100219999999901</v>
      </c>
      <c r="L4489">
        <v>141.6421</v>
      </c>
      <c r="M4489">
        <v>-0.99985440000000003</v>
      </c>
      <c r="N4489">
        <v>0</v>
      </c>
      <c r="O4489">
        <v>8.6768209999999995E-3</v>
      </c>
      <c r="P4489">
        <v>-0.99476719999999996</v>
      </c>
      <c r="Q4489">
        <v>-1.276733E-2</v>
      </c>
      <c r="R4489">
        <v>0.1013656</v>
      </c>
      <c r="S4489">
        <v>-2.9591370000000001</v>
      </c>
      <c r="T4489">
        <v>-0.74242159999999902</v>
      </c>
      <c r="U4489">
        <v>0.46228029999999998</v>
      </c>
      <c r="V4489">
        <v>9.2729210000000006E-2</v>
      </c>
      <c r="W4489">
        <v>1.8675950000000001E-3</v>
      </c>
      <c r="X4489">
        <v>0.99568959999999995</v>
      </c>
      <c r="Y4489">
        <v>0.1417437</v>
      </c>
      <c r="Z4489">
        <v>1.527769E-2</v>
      </c>
      <c r="AA4489">
        <v>0.98978549999999998</v>
      </c>
      <c r="AB4489">
        <v>35</v>
      </c>
      <c r="AC4489">
        <v>-0.36520000000001501</v>
      </c>
      <c r="AD4489">
        <v>-0.17567869999999899</v>
      </c>
      <c r="AE4489">
        <v>0.106799999999992</v>
      </c>
      <c r="AF4489">
        <v>8.5417847619991397E-2</v>
      </c>
      <c r="AG4489">
        <v>-0.17567869999999899</v>
      </c>
      <c r="AH4489">
        <v>0.30178070493929499</v>
      </c>
      <c r="AI4489">
        <v>119.254709492621</v>
      </c>
      <c r="AJ4489">
        <v>74.1960421807659</v>
      </c>
      <c r="AK4489">
        <v>0.35948686790949602</v>
      </c>
      <c r="AL4489">
        <v>89.892994625056701</v>
      </c>
      <c r="AM4489">
        <v>84.679354496338405</v>
      </c>
      <c r="AN4489">
        <v>0.999999986923234</v>
      </c>
    </row>
    <row r="4490" spans="1:40" x14ac:dyDescent="0.25">
      <c r="A4490" t="str">
        <f>"20190312161101308"</f>
        <v>20190312161101308</v>
      </c>
      <c r="B4490" t="str">
        <f>"1552378261301771"</f>
        <v>1552378261301771</v>
      </c>
      <c r="C4490" t="s">
        <v>40</v>
      </c>
      <c r="D4490">
        <v>5.6941290000000002</v>
      </c>
      <c r="E4490">
        <v>0.52127209999999902</v>
      </c>
      <c r="F4490" t="s">
        <v>42</v>
      </c>
      <c r="G4490">
        <v>-342.68869999999998</v>
      </c>
      <c r="H4490">
        <v>0.93843790000000005</v>
      </c>
      <c r="I4490">
        <v>141.75030000000001</v>
      </c>
      <c r="J4490">
        <v>-342.38260000000002</v>
      </c>
      <c r="K4490">
        <v>1.1100209999999999</v>
      </c>
      <c r="L4490">
        <v>141.64529999999999</v>
      </c>
      <c r="M4490">
        <v>-0.99985489999999999</v>
      </c>
      <c r="N4490">
        <v>0</v>
      </c>
      <c r="O4490">
        <v>8.6285140000000003E-3</v>
      </c>
      <c r="P4490">
        <v>-0.99478219999999995</v>
      </c>
      <c r="Q4490">
        <v>-1.301153E-2</v>
      </c>
      <c r="R4490">
        <v>0.10118920000000001</v>
      </c>
      <c r="S4490">
        <v>-2.9585270000000001</v>
      </c>
      <c r="T4490">
        <v>-0.74505699999999997</v>
      </c>
      <c r="U4490">
        <v>0.46769709999999998</v>
      </c>
      <c r="V4490">
        <v>9.2601080000000002E-2</v>
      </c>
      <c r="W4490">
        <v>1.619164E-3</v>
      </c>
      <c r="X4490">
        <v>0.99570199999999998</v>
      </c>
      <c r="Y4490">
        <v>0.14350729999999901</v>
      </c>
      <c r="Z4490">
        <v>1.5560549999999999E-2</v>
      </c>
      <c r="AA4490">
        <v>0.98952689999999999</v>
      </c>
      <c r="AB4490">
        <v>35</v>
      </c>
      <c r="AC4490">
        <v>-0.30609999999995802</v>
      </c>
      <c r="AD4490">
        <v>-0.17158309999999899</v>
      </c>
      <c r="AE4490">
        <v>0.105000000000018</v>
      </c>
      <c r="AF4490">
        <v>7.9893891088727798E-2</v>
      </c>
      <c r="AG4490">
        <v>-0.17158309999999899</v>
      </c>
      <c r="AH4490">
        <v>0.23962769155622099</v>
      </c>
      <c r="AI4490">
        <v>124.187492707986</v>
      </c>
      <c r="AJ4490">
        <v>71.561179102294105</v>
      </c>
      <c r="AK4490">
        <v>0.30536081051678998</v>
      </c>
      <c r="AL4490">
        <v>89.907228698452698</v>
      </c>
      <c r="AM4490">
        <v>84.686730064144598</v>
      </c>
      <c r="AN4490">
        <v>1.0000000272566101</v>
      </c>
    </row>
    <row r="4491" spans="1:40" x14ac:dyDescent="0.25">
      <c r="A4491" t="str">
        <f>"20190312161101330"</f>
        <v>20190312161101330</v>
      </c>
      <c r="B4491" t="str">
        <f>"1552378261321291"</f>
        <v>1552378261321291</v>
      </c>
      <c r="C4491" t="s">
        <v>40</v>
      </c>
      <c r="D4491">
        <v>5.7097179999999996</v>
      </c>
      <c r="E4491">
        <v>0.52163110000000001</v>
      </c>
      <c r="F4491" t="s">
        <v>42</v>
      </c>
      <c r="G4491">
        <v>-343.29109999999997</v>
      </c>
      <c r="H4491">
        <v>0.88037009999999905</v>
      </c>
      <c r="I4491">
        <v>141.79040000000001</v>
      </c>
      <c r="J4491">
        <v>-342.73140000000001</v>
      </c>
      <c r="K4491">
        <v>1.1100139999999901</v>
      </c>
      <c r="L4491">
        <v>141.64830000000001</v>
      </c>
      <c r="M4491">
        <v>-0.99985539999999995</v>
      </c>
      <c r="N4491">
        <v>0</v>
      </c>
      <c r="O4491">
        <v>8.5833660000000003E-3</v>
      </c>
      <c r="P4491">
        <v>-0.99477579999999999</v>
      </c>
      <c r="Q4491">
        <v>-1.3552089999999999E-2</v>
      </c>
      <c r="R4491">
        <v>0.10118199999999999</v>
      </c>
      <c r="S4491">
        <v>-2.9580690000000001</v>
      </c>
      <c r="T4491">
        <v>-0.74771549999999998</v>
      </c>
      <c r="U4491">
        <v>0.47096250000000001</v>
      </c>
      <c r="V4491">
        <v>9.2638890000000002E-2</v>
      </c>
      <c r="W4491">
        <v>1.0750930000000001E-3</v>
      </c>
      <c r="X4491">
        <v>0.99569920000000001</v>
      </c>
      <c r="Y4491">
        <v>0.1445775</v>
      </c>
      <c r="Z4491">
        <v>1.5758979999999999E-2</v>
      </c>
      <c r="AA4491">
        <v>0.98936800000000003</v>
      </c>
      <c r="AB4491">
        <v>35</v>
      </c>
      <c r="AC4491">
        <v>-0.559699999999963</v>
      </c>
      <c r="AD4491">
        <v>-0.22964389999999901</v>
      </c>
      <c r="AE4491">
        <v>0.142099999999999</v>
      </c>
      <c r="AF4491">
        <v>0.118542567203563</v>
      </c>
      <c r="AG4491">
        <v>-0.22964389999999901</v>
      </c>
      <c r="AH4491">
        <v>0.48430596258235897</v>
      </c>
      <c r="AI4491">
        <v>114.729614063657</v>
      </c>
      <c r="AJ4491">
        <v>76.246243766456303</v>
      </c>
      <c r="AK4491">
        <v>0.54894528546955101</v>
      </c>
      <c r="AL4491">
        <v>89.938401697162405</v>
      </c>
      <c r="AM4491">
        <v>84.684558161859698</v>
      </c>
      <c r="AN4491">
        <v>1.0000000083230101</v>
      </c>
    </row>
    <row r="4492" spans="1:40" x14ac:dyDescent="0.25">
      <c r="A4492" t="str">
        <f>"20190312161101351"</f>
        <v>20190312161101351</v>
      </c>
      <c r="B4492" t="str">
        <f>"1552378261341786"</f>
        <v>1552378261341786</v>
      </c>
      <c r="C4492" t="s">
        <v>40</v>
      </c>
      <c r="D4492">
        <v>5.7468370000000002</v>
      </c>
      <c r="E4492">
        <v>0.52187919999999999</v>
      </c>
      <c r="F4492" t="s">
        <v>42</v>
      </c>
      <c r="G4492">
        <v>-343.60719999999998</v>
      </c>
      <c r="H4492">
        <v>0.88761480000000004</v>
      </c>
      <c r="I4492">
        <v>141.7886</v>
      </c>
      <c r="J4492">
        <v>-343.07190000000003</v>
      </c>
      <c r="K4492">
        <v>1.1100179999999999</v>
      </c>
      <c r="L4492">
        <v>141.65119999999999</v>
      </c>
      <c r="M4492">
        <v>-0.99985590000000002</v>
      </c>
      <c r="N4492">
        <v>0</v>
      </c>
      <c r="O4492">
        <v>8.5390520000000001E-3</v>
      </c>
      <c r="P4492">
        <v>-0.99480040000000003</v>
      </c>
      <c r="Q4492">
        <v>-1.3966040000000001E-2</v>
      </c>
      <c r="R4492">
        <v>0.1008838</v>
      </c>
      <c r="S4492">
        <v>-2.9573360000000002</v>
      </c>
      <c r="T4492">
        <v>-0.75097659999999999</v>
      </c>
      <c r="U4492">
        <v>0.47389219999999999</v>
      </c>
      <c r="V4492">
        <v>9.2384499999999994E-2</v>
      </c>
      <c r="W4492">
        <v>6.5738359999999998E-4</v>
      </c>
      <c r="X4492">
        <v>0.99572320000000003</v>
      </c>
      <c r="Y4492">
        <v>0.1455466</v>
      </c>
      <c r="Z4492">
        <v>1.5959609999999999E-2</v>
      </c>
      <c r="AA4492">
        <v>0.98922259999999995</v>
      </c>
      <c r="AB4492">
        <v>35</v>
      </c>
      <c r="AC4492">
        <v>-0.53529999999994904</v>
      </c>
      <c r="AD4492">
        <v>-0.222403199999999</v>
      </c>
      <c r="AE4492">
        <v>0.13740000000001301</v>
      </c>
      <c r="AF4492">
        <v>0.11431101323833701</v>
      </c>
      <c r="AG4492">
        <v>-0.222403199999999</v>
      </c>
      <c r="AH4492">
        <v>0.46168461002600603</v>
      </c>
      <c r="AI4492">
        <v>115.060857957324</v>
      </c>
      <c r="AJ4492">
        <v>76.093495608092596</v>
      </c>
      <c r="AK4492">
        <v>0.525055111633703</v>
      </c>
      <c r="AL4492">
        <v>89.962334691844006</v>
      </c>
      <c r="AM4492">
        <v>84.699198348154695</v>
      </c>
      <c r="AN4492">
        <v>1.0000000095058399</v>
      </c>
    </row>
    <row r="4493" spans="1:40" x14ac:dyDescent="0.25">
      <c r="A4493" t="str">
        <f>"20190312161101373"</f>
        <v>20190312161101373</v>
      </c>
      <c r="B4493" t="str">
        <f>"1552378261361308"</f>
        <v>1552378261361308</v>
      </c>
      <c r="C4493" t="s">
        <v>40</v>
      </c>
      <c r="D4493">
        <v>5.7781890000000002</v>
      </c>
      <c r="E4493">
        <v>0.52206439999999998</v>
      </c>
      <c r="F4493" t="s">
        <v>42</v>
      </c>
      <c r="G4493">
        <v>-343.92270000000002</v>
      </c>
      <c r="H4493">
        <v>0.89420409999999995</v>
      </c>
      <c r="I4493">
        <v>141.78809999999999</v>
      </c>
      <c r="J4493">
        <v>-343.41640000000001</v>
      </c>
      <c r="K4493">
        <v>1.110017</v>
      </c>
      <c r="L4493">
        <v>141.6541</v>
      </c>
      <c r="M4493">
        <v>-0.99985630000000003</v>
      </c>
      <c r="N4493">
        <v>0</v>
      </c>
      <c r="O4493">
        <v>8.4946190000000001E-3</v>
      </c>
      <c r="P4493">
        <v>-0.99486079999999999</v>
      </c>
      <c r="Q4493">
        <v>-1.352333E-2</v>
      </c>
      <c r="R4493">
        <v>0.1003454</v>
      </c>
      <c r="S4493">
        <v>-2.9569700000000001</v>
      </c>
      <c r="T4493">
        <v>-0.75016389999999999</v>
      </c>
      <c r="U4493">
        <v>0.47523500000000002</v>
      </c>
      <c r="V4493">
        <v>9.1889860000000004E-2</v>
      </c>
      <c r="W4493">
        <v>1.0965510000000001E-3</v>
      </c>
      <c r="X4493">
        <v>0.99576849999999995</v>
      </c>
      <c r="Y4493">
        <v>0.14603929999999901</v>
      </c>
      <c r="Z4493">
        <v>1.6016389999999998E-2</v>
      </c>
      <c r="AA4493">
        <v>0.98914919999999995</v>
      </c>
      <c r="AB4493">
        <v>35</v>
      </c>
      <c r="AC4493">
        <v>-0.50630000000000996</v>
      </c>
      <c r="AD4493">
        <v>-0.2158129</v>
      </c>
      <c r="AE4493">
        <v>0.13399999999998599</v>
      </c>
      <c r="AF4493">
        <v>0.110868487556358</v>
      </c>
      <c r="AG4493">
        <v>-0.2158129</v>
      </c>
      <c r="AH4493">
        <v>0.433766838003247</v>
      </c>
      <c r="AI4493">
        <v>115.735729163272</v>
      </c>
      <c r="AJ4493">
        <v>75.662461425792202</v>
      </c>
      <c r="AK4493">
        <v>0.49701176956967402</v>
      </c>
      <c r="AL4493">
        <v>89.937172238513895</v>
      </c>
      <c r="AM4493">
        <v>84.727657734757699</v>
      </c>
      <c r="AN4493">
        <v>0.999999927193579</v>
      </c>
    </row>
    <row r="4494" spans="1:40" x14ac:dyDescent="0.25">
      <c r="A4494" t="str">
        <f>"20190312161101397"</f>
        <v>20190312161101397</v>
      </c>
      <c r="B4494" t="str">
        <f>"1552378261391563"</f>
        <v>1552378261391563</v>
      </c>
      <c r="C4494" t="s">
        <v>40</v>
      </c>
      <c r="D4494">
        <v>5.6739629999999996</v>
      </c>
      <c r="E4494">
        <v>0.45474419999999999</v>
      </c>
      <c r="F4494" t="s">
        <v>42</v>
      </c>
      <c r="G4494">
        <v>-344.23790000000002</v>
      </c>
      <c r="H4494">
        <v>0.90133949999999996</v>
      </c>
      <c r="I4494">
        <v>141.786</v>
      </c>
      <c r="J4494">
        <v>-343.77769999999998</v>
      </c>
      <c r="K4494">
        <v>1.110023</v>
      </c>
      <c r="L4494">
        <v>141.65710000000001</v>
      </c>
      <c r="M4494">
        <v>-0.99985670000000004</v>
      </c>
      <c r="N4494">
        <v>0</v>
      </c>
      <c r="O4494">
        <v>8.4476849999999999E-3</v>
      </c>
      <c r="P4494">
        <v>-0.99492049999999999</v>
      </c>
      <c r="Q4494">
        <v>-1.296785E-2</v>
      </c>
      <c r="R4494">
        <v>9.9826659999999998E-2</v>
      </c>
      <c r="S4494">
        <v>-2.9573360000000002</v>
      </c>
      <c r="T4494">
        <v>-0.75123169999999995</v>
      </c>
      <c r="U4494">
        <v>0.47532649999999999</v>
      </c>
      <c r="V4494">
        <v>9.1417449999999997E-2</v>
      </c>
      <c r="W4494">
        <v>1.649204E-3</v>
      </c>
      <c r="X4494">
        <v>0.99581129999999995</v>
      </c>
      <c r="Y4494">
        <v>0.14608270000000001</v>
      </c>
      <c r="Z4494">
        <v>1.6053609999999999E-2</v>
      </c>
      <c r="AA4494">
        <v>0.98914210000000002</v>
      </c>
      <c r="AB4494">
        <v>35</v>
      </c>
      <c r="AC4494">
        <v>-0.46020000000004202</v>
      </c>
      <c r="AD4494">
        <v>-0.20868349999999899</v>
      </c>
      <c r="AE4494">
        <v>0.128899999999987</v>
      </c>
      <c r="AF4494">
        <v>0.104989118837767</v>
      </c>
      <c r="AG4494">
        <v>-0.20868349999999899</v>
      </c>
      <c r="AH4494">
        <v>0.38740603025089299</v>
      </c>
      <c r="AI4494">
        <v>117.470582205989</v>
      </c>
      <c r="AJ4494">
        <v>74.8367483916997</v>
      </c>
      <c r="AK4494">
        <v>0.452388053026753</v>
      </c>
      <c r="AL4494">
        <v>89.905507529129594</v>
      </c>
      <c r="AM4494">
        <v>84.754835693387605</v>
      </c>
      <c r="AN4494">
        <v>1.00000000762301</v>
      </c>
    </row>
    <row r="4495" spans="1:40" x14ac:dyDescent="0.25">
      <c r="A4495" t="str">
        <f>"20190312161101420"</f>
        <v>20190312161101420</v>
      </c>
      <c r="B4495" t="str">
        <f>"1552378261411084"</f>
        <v>1552378261411084</v>
      </c>
      <c r="C4495" t="s">
        <v>40</v>
      </c>
      <c r="D4495">
        <v>5.8121340000000004</v>
      </c>
      <c r="E4495">
        <v>0.43574059999999998</v>
      </c>
      <c r="F4495" t="s">
        <v>42</v>
      </c>
      <c r="G4495">
        <v>-344.60379999999998</v>
      </c>
      <c r="H4495">
        <v>1.0104839999999999</v>
      </c>
      <c r="I4495">
        <v>141.64099999999999</v>
      </c>
      <c r="J4495">
        <v>-344.14049999999997</v>
      </c>
      <c r="K4495">
        <v>1.1100209999999999</v>
      </c>
      <c r="L4495">
        <v>141.6601</v>
      </c>
      <c r="M4495">
        <v>-0.9998572</v>
      </c>
      <c r="N4495">
        <v>0</v>
      </c>
      <c r="O4495">
        <v>8.4005119999999902E-3</v>
      </c>
      <c r="P4495">
        <v>-0.99494450000000001</v>
      </c>
      <c r="Q4495">
        <v>-1.318098E-2</v>
      </c>
      <c r="R4495">
        <v>9.9558460000000001E-2</v>
      </c>
      <c r="S4495">
        <v>-3.0166629999999999</v>
      </c>
      <c r="T4495">
        <v>-0.36358819999999997</v>
      </c>
      <c r="U4495">
        <v>-5.9967039999999999E-2</v>
      </c>
      <c r="V4495">
        <v>9.1195960000000006E-2</v>
      </c>
      <c r="W4495">
        <v>1.4322439999999901E-3</v>
      </c>
      <c r="X4495">
        <v>0.99583200000000005</v>
      </c>
      <c r="Y4495">
        <v>-2.801031E-2</v>
      </c>
      <c r="Z4495">
        <v>-2.6906009999999999E-3</v>
      </c>
      <c r="AA4495">
        <v>0.99960400000000005</v>
      </c>
      <c r="AB4495">
        <v>35</v>
      </c>
      <c r="AC4495">
        <v>-0.46330000000000299</v>
      </c>
      <c r="AD4495">
        <v>-9.9537E-2</v>
      </c>
      <c r="AE4495">
        <v>-1.91000000000087E-2</v>
      </c>
      <c r="AF4495">
        <v>-2.1978925465419401E-2</v>
      </c>
      <c r="AG4495">
        <v>-9.9537E-2</v>
      </c>
      <c r="AH4495">
        <v>0.44272277345063199</v>
      </c>
      <c r="AI4495">
        <v>102.65598421441101</v>
      </c>
      <c r="AJ4495">
        <v>92.842109570279206</v>
      </c>
      <c r="AK4495">
        <v>0.45430622014829902</v>
      </c>
      <c r="AL4495">
        <v>89.917938440708497</v>
      </c>
      <c r="AM4495">
        <v>84.767581431908596</v>
      </c>
      <c r="AN4495">
        <v>1.0000000633335899</v>
      </c>
    </row>
    <row r="4496" spans="1:40" x14ac:dyDescent="0.25">
      <c r="A4496" t="str">
        <f>"20190312161101442"</f>
        <v>20190312161101442</v>
      </c>
      <c r="B4496" t="str">
        <f>"1552378261431206"</f>
        <v>1552378261431206</v>
      </c>
      <c r="C4496" t="s">
        <v>40</v>
      </c>
      <c r="D4496">
        <v>5.7660479999999996</v>
      </c>
      <c r="E4496">
        <v>0.4294809</v>
      </c>
      <c r="F4496" t="s">
        <v>41</v>
      </c>
      <c r="G4496">
        <v>-356.3877</v>
      </c>
      <c r="H4496" s="1">
        <v>-1.848394E-6</v>
      </c>
      <c r="I4496">
        <v>140.80549999999999</v>
      </c>
      <c r="J4496">
        <v>-344.48559999999998</v>
      </c>
      <c r="K4496">
        <v>1.1100219999999901</v>
      </c>
      <c r="L4496">
        <v>141.66299999999899</v>
      </c>
      <c r="M4496">
        <v>-0.99985769999999996</v>
      </c>
      <c r="N4496">
        <v>0</v>
      </c>
      <c r="O4496">
        <v>8.3557219999999995E-3</v>
      </c>
      <c r="P4496">
        <v>-0.99497369999999996</v>
      </c>
      <c r="Q4496">
        <v>-1.2733400000000001E-2</v>
      </c>
      <c r="R4496">
        <v>9.9325830000000004E-2</v>
      </c>
      <c r="S4496">
        <v>-3.0327760000000001</v>
      </c>
      <c r="T4496">
        <v>-0.2748756</v>
      </c>
      <c r="U4496">
        <v>-0.21160889999999999</v>
      </c>
      <c r="V4496">
        <v>9.1007660000000004E-2</v>
      </c>
      <c r="W4496">
        <v>1.876178E-3</v>
      </c>
      <c r="X4496">
        <v>0.99584839999999997</v>
      </c>
      <c r="Y4496">
        <v>-7.7588069999999995E-2</v>
      </c>
      <c r="Z4496">
        <v>-4.2596609999999997E-3</v>
      </c>
      <c r="AA4496">
        <v>0.99697639999999998</v>
      </c>
      <c r="AB4496">
        <v>35</v>
      </c>
      <c r="AC4496">
        <v>-11.902100000000001</v>
      </c>
      <c r="AD4496">
        <v>-1.1100238483939999</v>
      </c>
      <c r="AE4496">
        <v>-0.85749999999998705</v>
      </c>
      <c r="AF4496">
        <v>-0.94872204306470098</v>
      </c>
      <c r="AG4496">
        <v>-1.1100238483939999</v>
      </c>
      <c r="AH4496">
        <v>11.7924777635398</v>
      </c>
      <c r="AI4496">
        <v>95.360179575133301</v>
      </c>
      <c r="AJ4496">
        <v>94.599622545579507</v>
      </c>
      <c r="AK4496">
        <v>11.882540059371999</v>
      </c>
      <c r="AL4496">
        <v>89.892502853231704</v>
      </c>
      <c r="AM4496">
        <v>84.778410981664507</v>
      </c>
      <c r="AN4496">
        <v>0.99999997500256099</v>
      </c>
    </row>
    <row r="4497" spans="1:40" x14ac:dyDescent="0.25">
      <c r="A4497" t="str">
        <f>"20190312161101463"</f>
        <v>20190312161101463</v>
      </c>
      <c r="B4497" t="str">
        <f>"1552378261451702"</f>
        <v>1552378261451702</v>
      </c>
      <c r="C4497" t="s">
        <v>40</v>
      </c>
      <c r="D4497">
        <v>5.8141290000000003</v>
      </c>
      <c r="E4497">
        <v>0.42626720000000001</v>
      </c>
      <c r="F4497" t="s">
        <v>41</v>
      </c>
      <c r="G4497">
        <v>-358.41210000000001</v>
      </c>
      <c r="H4497" s="1">
        <v>-8.8869800000000001E-7</v>
      </c>
      <c r="I4497">
        <v>140.46260000000001</v>
      </c>
      <c r="J4497">
        <v>-344.80970000000002</v>
      </c>
      <c r="K4497">
        <v>1.1100270000000001</v>
      </c>
      <c r="L4497">
        <v>141.66560000000001</v>
      </c>
      <c r="M4497">
        <v>-0.99985800000000002</v>
      </c>
      <c r="N4497">
        <v>0</v>
      </c>
      <c r="O4497">
        <v>8.3136129999999992E-3</v>
      </c>
      <c r="P4497">
        <v>-0.99500999999999995</v>
      </c>
      <c r="Q4497">
        <v>-1.204944E-2</v>
      </c>
      <c r="R4497">
        <v>9.9044090000000001E-2</v>
      </c>
      <c r="S4497">
        <v>-3.038208</v>
      </c>
      <c r="T4497">
        <v>-0.24216260000000001</v>
      </c>
      <c r="U4497">
        <v>-0.26185609999999998</v>
      </c>
      <c r="V4497">
        <v>9.0767299999999995E-2</v>
      </c>
      <c r="W4497">
        <v>2.5566230000000001E-3</v>
      </c>
      <c r="X4497">
        <v>0.99586889999999995</v>
      </c>
      <c r="Y4497">
        <v>-9.3828540000000002E-2</v>
      </c>
      <c r="Z4497">
        <v>-4.3870410000000004E-3</v>
      </c>
      <c r="AA4497">
        <v>0.99557870000000004</v>
      </c>
      <c r="AB4497">
        <v>35</v>
      </c>
      <c r="AC4497">
        <v>-13.6023999999999</v>
      </c>
      <c r="AD4497">
        <v>-1.110027888698</v>
      </c>
      <c r="AE4497">
        <v>-1.2030000000000001</v>
      </c>
      <c r="AF4497">
        <v>-1.3074165874030601</v>
      </c>
      <c r="AG4497">
        <v>-1.110027888698</v>
      </c>
      <c r="AH4497">
        <v>13.502705091460999</v>
      </c>
      <c r="AI4497">
        <v>94.677813972681307</v>
      </c>
      <c r="AJ4497">
        <v>95.530496291120699</v>
      </c>
      <c r="AK4497">
        <v>13.611191896144501</v>
      </c>
      <c r="AL4497">
        <v>89.853516140410605</v>
      </c>
      <c r="AM4497">
        <v>84.792232384521299</v>
      </c>
      <c r="AN4497">
        <v>1.00000005252883</v>
      </c>
    </row>
    <row r="4498" spans="1:40" x14ac:dyDescent="0.25">
      <c r="A4498" t="str">
        <f>"20190312161101486"</f>
        <v>20190312161101486</v>
      </c>
      <c r="B4498" t="str">
        <f>"1552378261480982"</f>
        <v>1552378261480982</v>
      </c>
      <c r="C4498" t="s">
        <v>40</v>
      </c>
      <c r="D4498">
        <v>5.8067060000000001</v>
      </c>
      <c r="E4498">
        <v>0.42367470000000002</v>
      </c>
      <c r="F4498" t="s">
        <v>41</v>
      </c>
      <c r="G4498">
        <v>-359.66079999999999</v>
      </c>
      <c r="H4498" s="1">
        <v>-2.9877560000000001E-7</v>
      </c>
      <c r="I4498">
        <v>140.25880000000001</v>
      </c>
      <c r="J4498">
        <v>-345.16579999999999</v>
      </c>
      <c r="K4498">
        <v>1.110034</v>
      </c>
      <c r="L4498">
        <v>141.6686</v>
      </c>
      <c r="M4498">
        <v>-0.99985860000000004</v>
      </c>
      <c r="N4498">
        <v>0</v>
      </c>
      <c r="O4498">
        <v>8.2675119999999994E-3</v>
      </c>
      <c r="P4498">
        <v>-0.99502230000000003</v>
      </c>
      <c r="Q4498">
        <v>-1.168982E-2</v>
      </c>
      <c r="R4498">
        <v>9.8965120000000004E-2</v>
      </c>
      <c r="S4498">
        <v>-3.040924</v>
      </c>
      <c r="T4498">
        <v>-0.22728979999999999</v>
      </c>
      <c r="U4498">
        <v>-0.28805540000000002</v>
      </c>
      <c r="V4498">
        <v>9.0734229999999999E-2</v>
      </c>
      <c r="W4498">
        <v>2.9123420000000001E-3</v>
      </c>
      <c r="X4498">
        <v>0.9958709</v>
      </c>
      <c r="Y4498">
        <v>-0.1022269</v>
      </c>
      <c r="Z4498">
        <v>-4.4224329999999999E-3</v>
      </c>
      <c r="AA4498">
        <v>0.9947513</v>
      </c>
      <c r="AB4498">
        <v>35</v>
      </c>
      <c r="AC4498">
        <v>-14.494999999999999</v>
      </c>
      <c r="AD4498">
        <v>-1.1100342987756</v>
      </c>
      <c r="AE4498">
        <v>-1.40979999999999</v>
      </c>
      <c r="AF4498">
        <v>-1.52076717255567</v>
      </c>
      <c r="AG4498">
        <v>-1.1100342987756</v>
      </c>
      <c r="AH4498">
        <v>14.3991939431773</v>
      </c>
      <c r="AI4498">
        <v>94.383928134443096</v>
      </c>
      <c r="AJ4498">
        <v>96.028928829245004</v>
      </c>
      <c r="AK4498">
        <v>14.5217662545165</v>
      </c>
      <c r="AL4498">
        <v>89.833134861660895</v>
      </c>
      <c r="AM4498">
        <v>84.794129743743895</v>
      </c>
      <c r="AN4498">
        <v>1.0000000158482101</v>
      </c>
    </row>
    <row r="4499" spans="1:40" x14ac:dyDescent="0.25">
      <c r="A4499" t="str">
        <f>"20190312161101510"</f>
        <v>20190312161101510</v>
      </c>
      <c r="B4499" t="str">
        <f>"1552378261501478"</f>
        <v>1552378261501478</v>
      </c>
      <c r="C4499" t="s">
        <v>40</v>
      </c>
      <c r="D4499">
        <v>6.288697</v>
      </c>
      <c r="E4499">
        <v>0.42229169999999999</v>
      </c>
      <c r="F4499" t="s">
        <v>41</v>
      </c>
      <c r="G4499">
        <v>-360.50760000000002</v>
      </c>
      <c r="H4499" s="1">
        <v>-4.1859930000000003E-6</v>
      </c>
      <c r="I4499">
        <v>140.1104</v>
      </c>
      <c r="J4499">
        <v>-345.53179999999998</v>
      </c>
      <c r="K4499">
        <v>1.1100380000000001</v>
      </c>
      <c r="L4499">
        <v>141.67150000000001</v>
      </c>
      <c r="M4499">
        <v>-0.99985900000000005</v>
      </c>
      <c r="N4499">
        <v>0</v>
      </c>
      <c r="O4499">
        <v>8.2198640000000003E-3</v>
      </c>
      <c r="P4499">
        <v>-0.99501260000000002</v>
      </c>
      <c r="Q4499">
        <v>-1.1417399999999999E-2</v>
      </c>
      <c r="R4499">
        <v>9.9093470000000003E-2</v>
      </c>
      <c r="S4499">
        <v>-3.0431520000000001</v>
      </c>
      <c r="T4499">
        <v>-0.22018550000000001</v>
      </c>
      <c r="U4499">
        <v>-0.30906679999999997</v>
      </c>
      <c r="V4499">
        <v>9.091022E-2</v>
      </c>
      <c r="W4499">
        <v>3.180324E-3</v>
      </c>
      <c r="X4499">
        <v>0.99585400000000002</v>
      </c>
      <c r="Y4499">
        <v>-0.1089137</v>
      </c>
      <c r="Z4499">
        <v>-4.5175659999999998E-3</v>
      </c>
      <c r="AA4499">
        <v>0.99404099999999995</v>
      </c>
      <c r="AB4499">
        <v>35</v>
      </c>
      <c r="AC4499">
        <v>-14.9758</v>
      </c>
      <c r="AD4499">
        <v>-1.1100421859930001</v>
      </c>
      <c r="AE4499">
        <v>-1.5611000000000099</v>
      </c>
      <c r="AF4499">
        <v>-1.6750554429245601</v>
      </c>
      <c r="AG4499">
        <v>-1.1100421859930001</v>
      </c>
      <c r="AH4499">
        <v>14.8815781209207</v>
      </c>
      <c r="AI4499">
        <v>94.239218107101905</v>
      </c>
      <c r="AJ4499">
        <v>96.422124496621905</v>
      </c>
      <c r="AK4499">
        <v>15.016636499583401</v>
      </c>
      <c r="AL4499">
        <v>89.817780547577399</v>
      </c>
      <c r="AM4499">
        <v>84.783999943165099</v>
      </c>
      <c r="AN4499">
        <v>0.99999998593859596</v>
      </c>
    </row>
    <row r="4500" spans="1:40" x14ac:dyDescent="0.25">
      <c r="A4500" t="str">
        <f>"20190312161101533"</f>
        <v>20190312161101533</v>
      </c>
      <c r="B4500" t="str">
        <f>"1552378261520998"</f>
        <v>1552378261520998</v>
      </c>
      <c r="C4500" t="s">
        <v>40</v>
      </c>
      <c r="D4500">
        <v>5.781193</v>
      </c>
      <c r="E4500">
        <v>0.42089500000000002</v>
      </c>
      <c r="F4500" t="s">
        <v>41</v>
      </c>
      <c r="G4500">
        <v>-361.32380000000001</v>
      </c>
      <c r="H4500" s="1">
        <v>-3.8099670000000001E-6</v>
      </c>
      <c r="I4500">
        <v>140.01320000000001</v>
      </c>
      <c r="J4500">
        <v>-345.8954</v>
      </c>
      <c r="K4500">
        <v>1.1100410000000001</v>
      </c>
      <c r="L4500">
        <v>141.67449999999999</v>
      </c>
      <c r="M4500">
        <v>-0.99985939999999995</v>
      </c>
      <c r="N4500">
        <v>0</v>
      </c>
      <c r="O4500">
        <v>8.1726919999999901E-3</v>
      </c>
      <c r="P4500">
        <v>-0.99505929999999998</v>
      </c>
      <c r="Q4500">
        <v>-1.098619E-2</v>
      </c>
      <c r="R4500">
        <v>9.8673739999999996E-2</v>
      </c>
      <c r="S4500">
        <v>-3.0444339999999999</v>
      </c>
      <c r="T4500">
        <v>-0.2139983</v>
      </c>
      <c r="U4500">
        <v>-0.3196869</v>
      </c>
      <c r="V4500">
        <v>9.0536950000000005E-2</v>
      </c>
      <c r="W4500">
        <v>3.6080439999999999E-3</v>
      </c>
      <c r="X4500">
        <v>0.99588659999999996</v>
      </c>
      <c r="Y4500">
        <v>-0.11226419999999999</v>
      </c>
      <c r="Z4500">
        <v>-4.5023090000000003E-3</v>
      </c>
      <c r="AA4500">
        <v>0.9936682</v>
      </c>
      <c r="AB4500">
        <v>35</v>
      </c>
      <c r="AC4500">
        <v>-15.4284</v>
      </c>
      <c r="AD4500">
        <v>-1.1100448099669999</v>
      </c>
      <c r="AE4500">
        <v>-1.66129999999998</v>
      </c>
      <c r="AF4500">
        <v>-1.7782499171981301</v>
      </c>
      <c r="AG4500">
        <v>-1.1100448099669999</v>
      </c>
      <c r="AH4500">
        <v>15.335829306797001</v>
      </c>
      <c r="AI4500">
        <v>94.112529212355398</v>
      </c>
      <c r="AJ4500">
        <v>96.614134196758002</v>
      </c>
      <c r="AK4500">
        <v>15.4784376723028</v>
      </c>
      <c r="AL4500">
        <v>89.793273865970406</v>
      </c>
      <c r="AM4500">
        <v>84.805468123373501</v>
      </c>
      <c r="AN4500">
        <v>1.00000003867818</v>
      </c>
    </row>
    <row r="4501" spans="1:40" x14ac:dyDescent="0.25">
      <c r="A4501" t="str">
        <f>"20190312161101552"</f>
        <v>20190312161101552</v>
      </c>
      <c r="B4501" t="str">
        <f>"1552378261541115"</f>
        <v>1552378261541115</v>
      </c>
      <c r="C4501" t="s">
        <v>40</v>
      </c>
      <c r="D4501">
        <v>5.7556459999999996</v>
      </c>
      <c r="E4501">
        <v>0.4199117</v>
      </c>
      <c r="F4501" t="s">
        <v>41</v>
      </c>
      <c r="G4501">
        <v>-362.28829999999999</v>
      </c>
      <c r="H4501" s="1">
        <v>-3.3627879999999999E-6</v>
      </c>
      <c r="I4501">
        <v>139.88759999999999</v>
      </c>
      <c r="J4501">
        <v>-346.19459999999998</v>
      </c>
      <c r="K4501">
        <v>1.1100369999999999</v>
      </c>
      <c r="L4501">
        <v>141.67689999999999</v>
      </c>
      <c r="M4501">
        <v>-0.99985979999999997</v>
      </c>
      <c r="N4501">
        <v>0</v>
      </c>
      <c r="O4501">
        <v>8.1337969999999999E-3</v>
      </c>
      <c r="P4501">
        <v>-0.99503790000000003</v>
      </c>
      <c r="Q4501">
        <v>-1.071618E-2</v>
      </c>
      <c r="R4501">
        <v>9.8919460000000001E-2</v>
      </c>
      <c r="S4501">
        <v>-3.0455320000000001</v>
      </c>
      <c r="T4501">
        <v>-0.20622779999999999</v>
      </c>
      <c r="U4501">
        <v>-0.331955</v>
      </c>
      <c r="V4501">
        <v>9.0821680000000002E-2</v>
      </c>
      <c r="W4501">
        <v>3.8745950000000002E-3</v>
      </c>
      <c r="X4501">
        <v>0.99585959999999996</v>
      </c>
      <c r="Y4501">
        <v>-0.11615739999999899</v>
      </c>
      <c r="Z4501">
        <v>-4.4653799999999997E-3</v>
      </c>
      <c r="AA4501">
        <v>0.99322080000000001</v>
      </c>
      <c r="AB4501">
        <v>35</v>
      </c>
      <c r="AC4501">
        <v>-16.093699999999998</v>
      </c>
      <c r="AD4501">
        <v>-1.110040362788</v>
      </c>
      <c r="AE4501">
        <v>-1.7892999999999899</v>
      </c>
      <c r="AF4501">
        <v>-1.91117657649715</v>
      </c>
      <c r="AG4501">
        <v>-1.110040362788</v>
      </c>
      <c r="AH4501">
        <v>16.003407825354898</v>
      </c>
      <c r="AI4501">
        <v>93.939930755583603</v>
      </c>
      <c r="AJ4501">
        <v>96.810186489043403</v>
      </c>
      <c r="AK4501">
        <v>16.155304006369001</v>
      </c>
      <c r="AL4501">
        <v>89.778001496275095</v>
      </c>
      <c r="AM4501">
        <v>84.789081112164894</v>
      </c>
      <c r="AN4501">
        <v>0.99999996647829703</v>
      </c>
    </row>
    <row r="4502" spans="1:40" x14ac:dyDescent="0.25">
      <c r="A4502" t="str">
        <f>"20190312161101575"</f>
        <v>20190312161101575</v>
      </c>
      <c r="B4502" t="str">
        <f>"1552378261571371"</f>
        <v>1552378261571371</v>
      </c>
      <c r="C4502" t="s">
        <v>40</v>
      </c>
      <c r="D4502">
        <v>5.8438119999999998</v>
      </c>
      <c r="E4502">
        <v>0.41866750000000003</v>
      </c>
      <c r="F4502" t="s">
        <v>41</v>
      </c>
      <c r="G4502">
        <v>-363.02179999999998</v>
      </c>
      <c r="H4502" s="1">
        <v>-3.0259079999999999E-6</v>
      </c>
      <c r="I4502">
        <v>139.804</v>
      </c>
      <c r="J4502">
        <v>-346.54149999999998</v>
      </c>
      <c r="K4502">
        <v>1.1100380000000001</v>
      </c>
      <c r="L4502">
        <v>141.6797</v>
      </c>
      <c r="M4502">
        <v>-0.99986019999999998</v>
      </c>
      <c r="N4502">
        <v>0</v>
      </c>
      <c r="O4502">
        <v>8.0886510000000005E-3</v>
      </c>
      <c r="P4502">
        <v>-0.99504090000000001</v>
      </c>
      <c r="Q4502">
        <v>-1.1183230000000001E-2</v>
      </c>
      <c r="R4502">
        <v>9.8837759999999997E-2</v>
      </c>
      <c r="S4502">
        <v>-3.0465089999999999</v>
      </c>
      <c r="T4502">
        <v>-0.20097010000000001</v>
      </c>
      <c r="U4502">
        <v>-0.33906560000000002</v>
      </c>
      <c r="V4502">
        <v>9.0785030000000003E-2</v>
      </c>
      <c r="W4502">
        <v>3.4034820000000002E-3</v>
      </c>
      <c r="X4502">
        <v>0.99586470000000005</v>
      </c>
      <c r="Y4502">
        <v>-0.1183781</v>
      </c>
      <c r="Z4502">
        <v>-4.4198249999999996E-3</v>
      </c>
      <c r="AA4502">
        <v>0.99295869999999997</v>
      </c>
      <c r="AB4502">
        <v>35</v>
      </c>
      <c r="AC4502">
        <v>-16.4803</v>
      </c>
      <c r="AD4502">
        <v>-1.11004102590799</v>
      </c>
      <c r="AE4502">
        <v>-1.8756999999999899</v>
      </c>
      <c r="AF4502">
        <v>-1.9999987738902401</v>
      </c>
      <c r="AG4502">
        <v>-1.11004102590799</v>
      </c>
      <c r="AH4502">
        <v>16.391175036860499</v>
      </c>
      <c r="AI4502">
        <v>93.845825578127503</v>
      </c>
      <c r="AJ4502">
        <v>96.956660025493903</v>
      </c>
      <c r="AK4502">
        <v>16.550009222467502</v>
      </c>
      <c r="AL4502">
        <v>89.804994469861001</v>
      </c>
      <c r="AM4502">
        <v>84.791198875190005</v>
      </c>
      <c r="AN4502">
        <v>1.00000000303395</v>
      </c>
    </row>
    <row r="4503" spans="1:40" x14ac:dyDescent="0.25">
      <c r="A4503" t="str">
        <f>"20190312161101597"</f>
        <v>20190312161101597</v>
      </c>
      <c r="B4503" t="str">
        <f>"1552378261590895"</f>
        <v>1552378261590895</v>
      </c>
      <c r="C4503" t="s">
        <v>40</v>
      </c>
      <c r="D4503">
        <v>5.8644610000000004</v>
      </c>
      <c r="E4503">
        <v>0.41802719999999999</v>
      </c>
      <c r="F4503" t="s">
        <v>41</v>
      </c>
      <c r="G4503">
        <v>-363.6379</v>
      </c>
      <c r="H4503" s="1">
        <v>-2.7393760000000002E-6</v>
      </c>
      <c r="I4503">
        <v>139.72059999999999</v>
      </c>
      <c r="J4503">
        <v>-346.8954</v>
      </c>
      <c r="K4503">
        <v>1.110042</v>
      </c>
      <c r="L4503">
        <v>141.6825</v>
      </c>
      <c r="M4503">
        <v>-0.99986059999999999</v>
      </c>
      <c r="N4503">
        <v>0</v>
      </c>
      <c r="O4503">
        <v>8.04267E-3</v>
      </c>
      <c r="P4503">
        <v>-0.99504499999999996</v>
      </c>
      <c r="Q4503">
        <v>-1.093044E-2</v>
      </c>
      <c r="R4503">
        <v>9.8823900000000006E-2</v>
      </c>
      <c r="S4503">
        <v>-3.0474239999999999</v>
      </c>
      <c r="T4503">
        <v>-0.1978644</v>
      </c>
      <c r="U4503">
        <v>-0.34919739999999999</v>
      </c>
      <c r="V4503">
        <v>9.0816850000000005E-2</v>
      </c>
      <c r="W4503">
        <v>3.6523900000000002E-3</v>
      </c>
      <c r="X4503">
        <v>0.99586090000000005</v>
      </c>
      <c r="Y4503">
        <v>-0.1215609</v>
      </c>
      <c r="Z4503">
        <v>-4.449476E-3</v>
      </c>
      <c r="AA4503">
        <v>0.99257399999999996</v>
      </c>
      <c r="AB4503">
        <v>35</v>
      </c>
      <c r="AC4503">
        <v>-16.7425</v>
      </c>
      <c r="AD4503">
        <v>-1.110044739376</v>
      </c>
      <c r="AE4503">
        <v>-1.96190000000001</v>
      </c>
      <c r="AF4503">
        <v>-2.0874535659303399</v>
      </c>
      <c r="AG4503">
        <v>-1.110044739376</v>
      </c>
      <c r="AH4503">
        <v>16.653961514751199</v>
      </c>
      <c r="AI4503">
        <v>93.783803039073305</v>
      </c>
      <c r="AJ4503">
        <v>97.144352319267497</v>
      </c>
      <c r="AK4503">
        <v>16.8209421807504</v>
      </c>
      <c r="AL4503">
        <v>89.790732999700197</v>
      </c>
      <c r="AM4503">
        <v>84.789363473796101</v>
      </c>
      <c r="AN4503">
        <v>0.99999998617272201</v>
      </c>
    </row>
    <row r="4504" spans="1:40" x14ac:dyDescent="0.25">
      <c r="A4504" t="str">
        <f>"20190312161101622"</f>
        <v>20190312161101622</v>
      </c>
      <c r="B4504" t="str">
        <f>"1552378261611387"</f>
        <v>1552378261611387</v>
      </c>
      <c r="C4504" t="s">
        <v>40</v>
      </c>
      <c r="D4504">
        <v>5.8723380000000001</v>
      </c>
      <c r="E4504">
        <v>0.41740949999999999</v>
      </c>
      <c r="F4504" t="s">
        <v>41</v>
      </c>
      <c r="G4504">
        <v>-364.26990000000001</v>
      </c>
      <c r="H4504" s="1">
        <v>-2.4528520000000002E-6</v>
      </c>
      <c r="I4504">
        <v>139.6627</v>
      </c>
      <c r="J4504">
        <v>-347.25790000000001</v>
      </c>
      <c r="K4504">
        <v>1.110039</v>
      </c>
      <c r="L4504">
        <v>141.68539999999999</v>
      </c>
      <c r="M4504">
        <v>-0.999861</v>
      </c>
      <c r="N4504">
        <v>0</v>
      </c>
      <c r="O4504">
        <v>7.9955579999999998E-3</v>
      </c>
      <c r="P4504">
        <v>-0.99507950000000001</v>
      </c>
      <c r="Q4504">
        <v>-1.0636980000000001E-2</v>
      </c>
      <c r="R4504">
        <v>9.8506910000000003E-2</v>
      </c>
      <c r="S4504">
        <v>-3.047974</v>
      </c>
      <c r="T4504">
        <v>-0.19473289999999999</v>
      </c>
      <c r="U4504">
        <v>-0.35430909999999999</v>
      </c>
      <c r="V4504">
        <v>9.0546429999999997E-2</v>
      </c>
      <c r="W4504">
        <v>3.9418270000000002E-3</v>
      </c>
      <c r="X4504">
        <v>0.9958844</v>
      </c>
      <c r="Y4504">
        <v>-0.123142</v>
      </c>
      <c r="Z4504">
        <v>-4.4252880000000003E-3</v>
      </c>
      <c r="AA4504">
        <v>0.99237920000000002</v>
      </c>
      <c r="AB4504">
        <v>35</v>
      </c>
      <c r="AC4504">
        <v>-17.012</v>
      </c>
      <c r="AD4504">
        <v>-1.110041452852</v>
      </c>
      <c r="AE4504">
        <v>-2.02269999999998</v>
      </c>
      <c r="AF4504">
        <v>-2.14964551601012</v>
      </c>
      <c r="AG4504">
        <v>-1.110041452852</v>
      </c>
      <c r="AH4504">
        <v>16.924229147088599</v>
      </c>
      <c r="AI4504">
        <v>93.722767325597502</v>
      </c>
      <c r="AJ4504">
        <v>97.238711320959197</v>
      </c>
      <c r="AK4504">
        <v>17.096277375344499</v>
      </c>
      <c r="AL4504">
        <v>89.774149356786694</v>
      </c>
      <c r="AM4504">
        <v>84.804915773503296</v>
      </c>
      <c r="AN4504">
        <v>0.99999996607459996</v>
      </c>
    </row>
    <row r="4505" spans="1:40" x14ac:dyDescent="0.25">
      <c r="A4505" t="str">
        <f>"20190312161101645"</f>
        <v>20190312161101645</v>
      </c>
      <c r="B4505" t="str">
        <f>"1552378261641643"</f>
        <v>1552378261641643</v>
      </c>
      <c r="C4505" t="s">
        <v>40</v>
      </c>
      <c r="D4505">
        <v>5.8517429999999999</v>
      </c>
      <c r="E4505">
        <v>0.41670180000000001</v>
      </c>
      <c r="F4505" t="s">
        <v>41</v>
      </c>
      <c r="G4505">
        <v>-364.93490000000003</v>
      </c>
      <c r="H4505" s="1">
        <v>-2.1587519999999999E-6</v>
      </c>
      <c r="I4505">
        <v>139.59639999999999</v>
      </c>
      <c r="J4505">
        <v>-347.6069</v>
      </c>
      <c r="K4505">
        <v>1.1100410000000001</v>
      </c>
      <c r="L4505">
        <v>141.68809999999999</v>
      </c>
      <c r="M4505">
        <v>-0.99986140000000001</v>
      </c>
      <c r="N4505">
        <v>0</v>
      </c>
      <c r="O4505">
        <v>7.9500539999999998E-3</v>
      </c>
      <c r="P4505">
        <v>-0.99509579999999997</v>
      </c>
      <c r="Q4505">
        <v>-1.0706500000000001E-2</v>
      </c>
      <c r="R4505">
        <v>9.8336939999999998E-2</v>
      </c>
      <c r="S4505">
        <v>-3.0484619999999998</v>
      </c>
      <c r="T4505">
        <v>-0.1914314</v>
      </c>
      <c r="U4505">
        <v>-0.36024479999999998</v>
      </c>
      <c r="V4505">
        <v>9.0421890000000005E-2</v>
      </c>
      <c r="W4505">
        <v>3.8683960000000001E-3</v>
      </c>
      <c r="X4505">
        <v>0.995896</v>
      </c>
      <c r="Y4505">
        <v>-0.12499</v>
      </c>
      <c r="Z4505">
        <v>-4.4041490000000004E-3</v>
      </c>
      <c r="AA4505">
        <v>0.99214820000000004</v>
      </c>
      <c r="AB4505">
        <v>35</v>
      </c>
      <c r="AC4505">
        <v>-17.327999999999999</v>
      </c>
      <c r="AD4505">
        <v>-1.1100431587520001</v>
      </c>
      <c r="AE4505">
        <v>-2.0916999999999999</v>
      </c>
      <c r="AF4505">
        <v>-2.2204259158886699</v>
      </c>
      <c r="AG4505">
        <v>-1.1100431587520001</v>
      </c>
      <c r="AH4505">
        <v>17.241084126216499</v>
      </c>
      <c r="AI4505">
        <v>93.653731204305899</v>
      </c>
      <c r="AJ4505">
        <v>97.338551623999706</v>
      </c>
      <c r="AK4505">
        <v>17.418882539058501</v>
      </c>
      <c r="AL4505">
        <v>89.778356674659094</v>
      </c>
      <c r="AM4505">
        <v>84.812082312336699</v>
      </c>
      <c r="AN4505">
        <v>0.999999962747391</v>
      </c>
    </row>
    <row r="4506" spans="1:40" x14ac:dyDescent="0.25">
      <c r="A4506" t="str">
        <f>"20190312161101665"</f>
        <v>20190312161101665</v>
      </c>
      <c r="B4506" t="str">
        <f>"1552378261661163"</f>
        <v>1552378261661163</v>
      </c>
      <c r="C4506" t="s">
        <v>40</v>
      </c>
      <c r="D4506">
        <v>5.8611069999999996</v>
      </c>
      <c r="E4506">
        <v>0.41661019999999999</v>
      </c>
      <c r="F4506" t="s">
        <v>41</v>
      </c>
      <c r="G4506">
        <v>-365.387</v>
      </c>
      <c r="H4506" s="1">
        <v>-1.972687E-6</v>
      </c>
      <c r="I4506">
        <v>139.55189999999999</v>
      </c>
      <c r="J4506">
        <v>-347.93029999999999</v>
      </c>
      <c r="K4506">
        <v>1.1100399999999999</v>
      </c>
      <c r="L4506">
        <v>141.69059999999999</v>
      </c>
      <c r="M4506">
        <v>-0.99986180000000002</v>
      </c>
      <c r="N4506">
        <v>0</v>
      </c>
      <c r="O4506">
        <v>7.9079430000000006E-3</v>
      </c>
      <c r="P4506">
        <v>-0.99509029999999998</v>
      </c>
      <c r="Q4506">
        <v>-1.0888689999999999E-2</v>
      </c>
      <c r="R4506">
        <v>9.8370840000000001E-2</v>
      </c>
      <c r="S4506">
        <v>-3.04895</v>
      </c>
      <c r="T4506">
        <v>-0.1903524</v>
      </c>
      <c r="U4506">
        <v>-0.36630249999999998</v>
      </c>
      <c r="V4506">
        <v>9.0497530000000007E-2</v>
      </c>
      <c r="W4506">
        <v>3.68243E-3</v>
      </c>
      <c r="X4506">
        <v>0.99588989999999999</v>
      </c>
      <c r="Y4506">
        <v>-0.1268726</v>
      </c>
      <c r="Z4506">
        <v>-4.434052E-3</v>
      </c>
      <c r="AA4506">
        <v>0.99190909999999999</v>
      </c>
      <c r="AB4506">
        <v>34</v>
      </c>
      <c r="AC4506">
        <v>-17.456699999999898</v>
      </c>
      <c r="AD4506">
        <v>-1.1100419726869999</v>
      </c>
      <c r="AE4506">
        <v>-2.1387</v>
      </c>
      <c r="AF4506">
        <v>-2.26766083222451</v>
      </c>
      <c r="AG4506">
        <v>-1.1100419726869999</v>
      </c>
      <c r="AH4506">
        <v>17.370042853171402</v>
      </c>
      <c r="AI4506">
        <v>93.625860773871693</v>
      </c>
      <c r="AJ4506">
        <v>97.437904547918606</v>
      </c>
      <c r="AK4506">
        <v>17.5525743853186</v>
      </c>
      <c r="AL4506">
        <v>89.789011831725702</v>
      </c>
      <c r="AM4506">
        <v>84.807734580817595</v>
      </c>
      <c r="AN4506">
        <v>1.0000000280743999</v>
      </c>
    </row>
    <row r="4507" spans="1:40" x14ac:dyDescent="0.25">
      <c r="A4507" t="str">
        <f>"20190312161101688"</f>
        <v>20190312161101688</v>
      </c>
      <c r="B4507" t="str">
        <f>"1552378261681659"</f>
        <v>1552378261681659</v>
      </c>
      <c r="C4507" t="s">
        <v>40</v>
      </c>
      <c r="D4507">
        <v>5.8047300000000002</v>
      </c>
      <c r="E4507">
        <v>0.40094469999999999</v>
      </c>
      <c r="F4507" t="s">
        <v>41</v>
      </c>
      <c r="G4507">
        <v>-365.75069999999999</v>
      </c>
      <c r="H4507" s="1">
        <v>-1.8177490000000001E-6</v>
      </c>
      <c r="I4507">
        <v>139.54580000000001</v>
      </c>
      <c r="J4507">
        <v>-348.28800000000001</v>
      </c>
      <c r="K4507">
        <v>1.110044</v>
      </c>
      <c r="L4507">
        <v>141.6934</v>
      </c>
      <c r="M4507">
        <v>-0.99986240000000004</v>
      </c>
      <c r="N4507">
        <v>0</v>
      </c>
      <c r="O4507">
        <v>7.8611280000000002E-3</v>
      </c>
      <c r="P4507">
        <v>-0.99504979999999998</v>
      </c>
      <c r="Q4507">
        <v>-1.0996290000000001E-2</v>
      </c>
      <c r="R4507">
        <v>9.876712E-2</v>
      </c>
      <c r="S4507">
        <v>-3.049042</v>
      </c>
      <c r="T4507">
        <v>-0.18992700000000001</v>
      </c>
      <c r="U4507">
        <v>-0.36697390000000002</v>
      </c>
      <c r="V4507">
        <v>9.0940679999999996E-2</v>
      </c>
      <c r="W4507">
        <v>3.5708509999999999E-3</v>
      </c>
      <c r="X4507">
        <v>0.99584989999999995</v>
      </c>
      <c r="Y4507">
        <v>-0.12703889999999901</v>
      </c>
      <c r="Z4507">
        <v>-4.4262219999999996E-3</v>
      </c>
      <c r="AA4507">
        <v>0.99188790000000004</v>
      </c>
      <c r="AB4507">
        <v>34</v>
      </c>
      <c r="AC4507">
        <v>-17.462699999999899</v>
      </c>
      <c r="AD4507">
        <v>-1.110045817749</v>
      </c>
      <c r="AE4507">
        <v>-2.1475999999999802</v>
      </c>
      <c r="AF4507">
        <v>-2.2757660659879999</v>
      </c>
      <c r="AG4507">
        <v>-1.110045817749</v>
      </c>
      <c r="AH4507">
        <v>17.376110011333498</v>
      </c>
      <c r="AI4507">
        <v>93.624415046913796</v>
      </c>
      <c r="AJ4507">
        <v>97.461613510107995</v>
      </c>
      <c r="AK4507">
        <v>17.5596273317678</v>
      </c>
      <c r="AL4507">
        <v>89.795404871746598</v>
      </c>
      <c r="AM4507">
        <v>84.7822405733219</v>
      </c>
      <c r="AN4507">
        <v>0.99999999079286805</v>
      </c>
    </row>
    <row r="4508" spans="1:40" x14ac:dyDescent="0.25">
      <c r="A4508" t="str">
        <f>"20190312161101710"</f>
        <v>20190312161101710</v>
      </c>
      <c r="B4508" t="str">
        <f>"1552378261701179"</f>
        <v>1552378261701179</v>
      </c>
      <c r="C4508" t="s">
        <v>40</v>
      </c>
      <c r="D4508">
        <v>5.8427189999999998</v>
      </c>
      <c r="E4508">
        <v>0.3991478</v>
      </c>
      <c r="F4508" t="s">
        <v>41</v>
      </c>
      <c r="G4508">
        <v>-377.45569999999998</v>
      </c>
      <c r="H4508" s="1">
        <v>-1.540963E-6</v>
      </c>
      <c r="I4508">
        <v>137.0264</v>
      </c>
      <c r="J4508">
        <v>-348.62290000000002</v>
      </c>
      <c r="K4508">
        <v>1.1100449999999999</v>
      </c>
      <c r="L4508">
        <v>141.696</v>
      </c>
      <c r="M4508">
        <v>-0.99986260000000005</v>
      </c>
      <c r="N4508">
        <v>0</v>
      </c>
      <c r="O4508">
        <v>7.8175290000000001E-3</v>
      </c>
      <c r="P4508">
        <v>-0.99504610000000004</v>
      </c>
      <c r="Q4508">
        <v>-1.094116E-2</v>
      </c>
      <c r="R4508">
        <v>9.8810560000000006E-2</v>
      </c>
      <c r="S4508">
        <v>-3.0622859999999998</v>
      </c>
      <c r="T4508">
        <v>-0.1165426</v>
      </c>
      <c r="U4508">
        <v>-0.48997499999999999</v>
      </c>
      <c r="V4508">
        <v>9.10276E-2</v>
      </c>
      <c r="W4508">
        <v>3.6218729999999998E-3</v>
      </c>
      <c r="X4508">
        <v>0.9958418</v>
      </c>
      <c r="Y4508">
        <v>-0.16558629999999999</v>
      </c>
      <c r="Z4508">
        <v>-3.4254699999999999E-3</v>
      </c>
      <c r="AA4508">
        <v>0.98618939999999999</v>
      </c>
      <c r="AB4508">
        <v>34</v>
      </c>
      <c r="AC4508">
        <v>-28.832799999999899</v>
      </c>
      <c r="AD4508">
        <v>-1.110046540963</v>
      </c>
      <c r="AE4508">
        <v>-4.6696</v>
      </c>
      <c r="AF4508">
        <v>-4.8878230177721003</v>
      </c>
      <c r="AG4508">
        <v>-1.110046540963</v>
      </c>
      <c r="AH4508">
        <v>28.7538802309621</v>
      </c>
      <c r="AI4508">
        <v>92.179576200949001</v>
      </c>
      <c r="AJ4508">
        <v>99.6473933940253</v>
      </c>
      <c r="AK4508">
        <v>29.1874741201201</v>
      </c>
      <c r="AL4508">
        <v>89.792481512840197</v>
      </c>
      <c r="AM4508">
        <v>84.7772388224287</v>
      </c>
      <c r="AN4508">
        <v>1.0000000162765099</v>
      </c>
    </row>
    <row r="4509" spans="1:40" x14ac:dyDescent="0.25">
      <c r="A4509" t="str">
        <f>"20190312161101732"</f>
        <v>20190312161101732</v>
      </c>
      <c r="B4509" t="str">
        <f>"1552378261721676"</f>
        <v>1552378261721676</v>
      </c>
      <c r="C4509" t="s">
        <v>40</v>
      </c>
      <c r="D4509">
        <v>5.7588419999999996</v>
      </c>
      <c r="E4509">
        <v>0.3983604</v>
      </c>
      <c r="F4509" t="s">
        <v>41</v>
      </c>
      <c r="G4509">
        <v>-379.1157</v>
      </c>
      <c r="H4509" s="1">
        <v>-1.0686189999999999E-6</v>
      </c>
      <c r="I4509">
        <v>136.67859999999999</v>
      </c>
      <c r="J4509">
        <v>-348.95530000000002</v>
      </c>
      <c r="K4509">
        <v>1.110036</v>
      </c>
      <c r="L4509">
        <v>141.6986</v>
      </c>
      <c r="M4509">
        <v>-0.99986299999999995</v>
      </c>
      <c r="N4509">
        <v>0</v>
      </c>
      <c r="O4509">
        <v>7.7742269999999999E-3</v>
      </c>
      <c r="P4509">
        <v>-0.99510410000000005</v>
      </c>
      <c r="Q4509">
        <v>-1.046247E-2</v>
      </c>
      <c r="R4509">
        <v>9.8277050000000005E-2</v>
      </c>
      <c r="S4509">
        <v>-3.0637819999999998</v>
      </c>
      <c r="T4509">
        <v>-0.1115327</v>
      </c>
      <c r="U4509">
        <v>-0.50411989999999995</v>
      </c>
      <c r="V4509">
        <v>9.0536770000000003E-2</v>
      </c>
      <c r="W4509">
        <v>4.097753E-3</v>
      </c>
      <c r="X4509">
        <v>0.99588469999999996</v>
      </c>
      <c r="Y4509">
        <v>-0.1699109</v>
      </c>
      <c r="Z4509">
        <v>-3.3521340000000001E-3</v>
      </c>
      <c r="AA4509">
        <v>0.98545369999999999</v>
      </c>
      <c r="AB4509">
        <v>34</v>
      </c>
      <c r="AC4509">
        <v>-30.1603999999999</v>
      </c>
      <c r="AD4509">
        <v>-1.110037068619</v>
      </c>
      <c r="AE4509">
        <v>-5.0199999999999996</v>
      </c>
      <c r="AF4509">
        <v>-5.24743070615816</v>
      </c>
      <c r="AG4509">
        <v>-1.110037068619</v>
      </c>
      <c r="AH4509">
        <v>30.080809468064999</v>
      </c>
      <c r="AI4509">
        <v>92.081948407354901</v>
      </c>
      <c r="AJ4509">
        <v>99.895358592093402</v>
      </c>
      <c r="AK4509">
        <v>30.5552419326647</v>
      </c>
      <c r="AL4509">
        <v>89.7652153945332</v>
      </c>
      <c r="AM4509">
        <v>84.805468538165698</v>
      </c>
      <c r="AN4509">
        <v>1.00000001699788</v>
      </c>
    </row>
    <row r="4510" spans="1:40" x14ac:dyDescent="0.25">
      <c r="A4510" t="str">
        <f>"20190312161101753"</f>
        <v>20190312161101753</v>
      </c>
      <c r="B4510" t="str">
        <f>"1552378261741051"</f>
        <v>1552378261741051</v>
      </c>
      <c r="C4510" t="s">
        <v>40</v>
      </c>
      <c r="D4510">
        <v>5.7208600000000001</v>
      </c>
      <c r="E4510">
        <v>0.39784180000000002</v>
      </c>
      <c r="F4510" t="s">
        <v>41</v>
      </c>
      <c r="G4510">
        <v>-379.74939999999998</v>
      </c>
      <c r="H4510" s="1">
        <v>-8.8638900000000001E-7</v>
      </c>
      <c r="I4510">
        <v>136.55289999999999</v>
      </c>
      <c r="J4510">
        <v>-349.28629999999998</v>
      </c>
      <c r="K4510">
        <v>1.1100399999999999</v>
      </c>
      <c r="L4510">
        <v>141.7011</v>
      </c>
      <c r="M4510">
        <v>-0.99986359999999996</v>
      </c>
      <c r="N4510">
        <v>0</v>
      </c>
      <c r="O4510">
        <v>7.7309269999999899E-3</v>
      </c>
      <c r="P4510">
        <v>-0.99515929999999997</v>
      </c>
      <c r="Q4510">
        <v>-1.0356799999999999E-2</v>
      </c>
      <c r="R4510">
        <v>9.7730259999999999E-2</v>
      </c>
      <c r="S4510">
        <v>-3.0641780000000001</v>
      </c>
      <c r="T4510">
        <v>-0.1104546</v>
      </c>
      <c r="U4510">
        <v>-0.51200869999999998</v>
      </c>
      <c r="V4510">
        <v>9.0032879999999996E-2</v>
      </c>
      <c r="W4510">
        <v>4.1997950000000001E-3</v>
      </c>
      <c r="X4510">
        <v>0.99592999999999998</v>
      </c>
      <c r="Y4510">
        <v>-0.17231729999999901</v>
      </c>
      <c r="Z4510">
        <v>-3.3601439999999998E-3</v>
      </c>
      <c r="AA4510">
        <v>0.98503580000000002</v>
      </c>
      <c r="AB4510">
        <v>34</v>
      </c>
      <c r="AC4510">
        <v>-30.463100000000001</v>
      </c>
      <c r="AD4510">
        <v>-1.1100408863889999</v>
      </c>
      <c r="AE4510">
        <v>-5.1482000000000001</v>
      </c>
      <c r="AF4510">
        <v>-5.37663838683428</v>
      </c>
      <c r="AG4510">
        <v>-1.1100408863889999</v>
      </c>
      <c r="AH4510">
        <v>30.383162553532902</v>
      </c>
      <c r="AI4510">
        <v>92.060372078283905</v>
      </c>
      <c r="AJ4510">
        <v>100.035233929911</v>
      </c>
      <c r="AK4510">
        <v>30.8751841754287</v>
      </c>
      <c r="AL4510">
        <v>89.759368779047406</v>
      </c>
      <c r="AM4510">
        <v>84.834455982685199</v>
      </c>
      <c r="AN4510">
        <v>1.0000000613295601</v>
      </c>
    </row>
    <row r="4511" spans="1:40" x14ac:dyDescent="0.25">
      <c r="A4511" t="str">
        <f>"20190312161101776"</f>
        <v>20190312161101776</v>
      </c>
      <c r="B4511" t="str">
        <f>"1552378261771306"</f>
        <v>1552378261771306</v>
      </c>
      <c r="C4511" t="s">
        <v>40</v>
      </c>
      <c r="D4511">
        <v>5.6956769999999999</v>
      </c>
      <c r="E4511">
        <v>0.39727380000000001</v>
      </c>
      <c r="F4511" t="s">
        <v>41</v>
      </c>
      <c r="G4511">
        <v>-380.54349999999999</v>
      </c>
      <c r="H4511" s="1">
        <v>-4.6060350000000004E-6</v>
      </c>
      <c r="I4511">
        <v>136.41999999999999</v>
      </c>
      <c r="J4511">
        <v>-349.63279999999997</v>
      </c>
      <c r="K4511">
        <v>1.110042</v>
      </c>
      <c r="L4511">
        <v>141.7037</v>
      </c>
      <c r="M4511">
        <v>-0.99986390000000003</v>
      </c>
      <c r="N4511">
        <v>0</v>
      </c>
      <c r="O4511">
        <v>7.6859569999999898E-3</v>
      </c>
      <c r="P4511">
        <v>-0.9952067</v>
      </c>
      <c r="Q4511">
        <v>-1.1081809999999999E-2</v>
      </c>
      <c r="R4511">
        <v>9.7164849999999997E-2</v>
      </c>
      <c r="S4511">
        <v>-3.064362</v>
      </c>
      <c r="T4511">
        <v>-0.10882559999999999</v>
      </c>
      <c r="U4511">
        <v>-0.51773069999999999</v>
      </c>
      <c r="V4511">
        <v>8.9511809999999997E-2</v>
      </c>
      <c r="W4511">
        <v>3.4716700000000001E-3</v>
      </c>
      <c r="X4511">
        <v>0.99597970000000002</v>
      </c>
      <c r="Y4511">
        <v>-0.1740543</v>
      </c>
      <c r="Z4511">
        <v>-3.3389489999999999E-3</v>
      </c>
      <c r="AA4511">
        <v>0.98473040000000001</v>
      </c>
      <c r="AB4511">
        <v>34</v>
      </c>
      <c r="AC4511">
        <v>-30.910699999999999</v>
      </c>
      <c r="AD4511">
        <v>-1.1100466060349901</v>
      </c>
      <c r="AE4511">
        <v>-5.2836999999999996</v>
      </c>
      <c r="AF4511">
        <v>-5.5142380929829802</v>
      </c>
      <c r="AG4511">
        <v>-1.1100466060349901</v>
      </c>
      <c r="AH4511">
        <v>30.830540956816598</v>
      </c>
      <c r="AI4511">
        <v>92.029846946519299</v>
      </c>
      <c r="AJ4511">
        <v>100.140491319936</v>
      </c>
      <c r="AK4511">
        <v>31.339452466557599</v>
      </c>
      <c r="AL4511">
        <v>89.801087559525897</v>
      </c>
      <c r="AM4511">
        <v>84.864446406919896</v>
      </c>
      <c r="AN4511">
        <v>0.99999998971707704</v>
      </c>
    </row>
    <row r="4512" spans="1:40" x14ac:dyDescent="0.25">
      <c r="A4512" t="str">
        <f>"20190312161101799"</f>
        <v>20190312161101799</v>
      </c>
      <c r="B4512" t="str">
        <f>"1552378261791803"</f>
        <v>1552378261791803</v>
      </c>
      <c r="C4512" t="s">
        <v>40</v>
      </c>
      <c r="D4512">
        <v>5.6417099999999998</v>
      </c>
      <c r="E4512">
        <v>0.39703549999999999</v>
      </c>
      <c r="F4512" t="s">
        <v>41</v>
      </c>
      <c r="G4512">
        <v>-381.12259999999998</v>
      </c>
      <c r="H4512" s="1">
        <v>-4.3755720000000002E-6</v>
      </c>
      <c r="I4512">
        <v>136.31899999999999</v>
      </c>
      <c r="J4512">
        <v>-349.99090000000001</v>
      </c>
      <c r="K4512">
        <v>1.1100449999999999</v>
      </c>
      <c r="L4512">
        <v>141.7064</v>
      </c>
      <c r="M4512">
        <v>-0.99986430000000004</v>
      </c>
      <c r="N4512">
        <v>0</v>
      </c>
      <c r="O4512">
        <v>7.639318E-3</v>
      </c>
      <c r="P4512">
        <v>-0.99524179999999995</v>
      </c>
      <c r="Q4512">
        <v>-1.1280770000000001E-2</v>
      </c>
      <c r="R4512">
        <v>9.6782279999999998E-2</v>
      </c>
      <c r="S4512">
        <v>-3.0643919999999998</v>
      </c>
      <c r="T4512">
        <v>-0.10802299999999999</v>
      </c>
      <c r="U4512">
        <v>-0.52400210000000003</v>
      </c>
      <c r="V4512">
        <v>8.9175630000000006E-2</v>
      </c>
      <c r="W4512">
        <v>3.2699690000000002E-3</v>
      </c>
      <c r="X4512">
        <v>0.99601050000000002</v>
      </c>
      <c r="Y4512">
        <v>-0.1759657</v>
      </c>
      <c r="Z4512">
        <v>-3.3455479999999998E-3</v>
      </c>
      <c r="AA4512">
        <v>0.9843906</v>
      </c>
      <c r="AB4512">
        <v>34</v>
      </c>
      <c r="AC4512">
        <v>-31.131699999999899</v>
      </c>
      <c r="AD4512">
        <v>-1.110049375572</v>
      </c>
      <c r="AE4512">
        <v>-5.3874000000000102</v>
      </c>
      <c r="AF4512">
        <v>-5.6181578691794396</v>
      </c>
      <c r="AG4512">
        <v>-1.110049375572</v>
      </c>
      <c r="AH4512">
        <v>31.051300492568799</v>
      </c>
      <c r="AI4512">
        <v>92.014704646865496</v>
      </c>
      <c r="AJ4512">
        <v>100.255660475414</v>
      </c>
      <c r="AK4512">
        <v>31.574976955479102</v>
      </c>
      <c r="AL4512">
        <v>89.812644234070802</v>
      </c>
      <c r="AM4512">
        <v>84.883788848160407</v>
      </c>
      <c r="AN4512">
        <v>0.99999995089670202</v>
      </c>
    </row>
    <row r="4513" spans="1:40" x14ac:dyDescent="0.25">
      <c r="A4513" t="str">
        <f>"20190312161101823"</f>
        <v>20190312161101823</v>
      </c>
      <c r="B4513" t="str">
        <f>"1552378261811322"</f>
        <v>1552378261811322</v>
      </c>
      <c r="C4513" t="s">
        <v>40</v>
      </c>
      <c r="D4513">
        <v>5.6277030000000003</v>
      </c>
      <c r="E4513">
        <v>0.39688790000000002</v>
      </c>
      <c r="F4513" t="s">
        <v>41</v>
      </c>
      <c r="G4513">
        <v>-381.70909999999998</v>
      </c>
      <c r="H4513" s="1">
        <v>-4.1360300000000003E-6</v>
      </c>
      <c r="I4513">
        <v>136.25069999999999</v>
      </c>
      <c r="J4513">
        <v>-350.33339999999998</v>
      </c>
      <c r="K4513">
        <v>1.1100509999999999</v>
      </c>
      <c r="L4513">
        <v>141.709</v>
      </c>
      <c r="M4513">
        <v>-0.99986459999999999</v>
      </c>
      <c r="N4513">
        <v>0</v>
      </c>
      <c r="O4513">
        <v>7.59464699999999E-3</v>
      </c>
      <c r="P4513">
        <v>-0.99528519999999998</v>
      </c>
      <c r="Q4513">
        <v>-1.126517E-2</v>
      </c>
      <c r="R4513">
        <v>9.6337530000000005E-2</v>
      </c>
      <c r="S4513">
        <v>-3.0643919999999998</v>
      </c>
      <c r="T4513">
        <v>-0.1072452</v>
      </c>
      <c r="U4513">
        <v>-0.52708440000000001</v>
      </c>
      <c r="V4513">
        <v>8.877496E-2</v>
      </c>
      <c r="W4513">
        <v>3.28189E-3</v>
      </c>
      <c r="X4513">
        <v>0.99604630000000005</v>
      </c>
      <c r="Y4513">
        <v>-0.1768846</v>
      </c>
      <c r="Z4513">
        <v>-3.335597E-3</v>
      </c>
      <c r="AA4513">
        <v>0.98422589999999999</v>
      </c>
      <c r="AB4513">
        <v>34</v>
      </c>
      <c r="AC4513">
        <v>-31.375699999999899</v>
      </c>
      <c r="AD4513">
        <v>-1.1100551360299999</v>
      </c>
      <c r="AE4513">
        <v>-5.4583000000000004</v>
      </c>
      <c r="AF4513">
        <v>-5.6895428753469801</v>
      </c>
      <c r="AG4513">
        <v>-1.1100551360299999</v>
      </c>
      <c r="AH4513">
        <v>31.2953148313313</v>
      </c>
      <c r="AI4513">
        <v>91.998713648827007</v>
      </c>
      <c r="AJ4513">
        <v>100.303934892987</v>
      </c>
      <c r="AK4513">
        <v>31.827658583810202</v>
      </c>
      <c r="AL4513">
        <v>89.811961216248406</v>
      </c>
      <c r="AM4513">
        <v>84.906837127593306</v>
      </c>
      <c r="AN4513">
        <v>0.99999999803433104</v>
      </c>
    </row>
    <row r="4514" spans="1:40" x14ac:dyDescent="0.25">
      <c r="A4514" t="str">
        <f>"20190312161101845"</f>
        <v>20190312161101845</v>
      </c>
      <c r="B4514" t="str">
        <f>"1552378261841577"</f>
        <v>1552378261841577</v>
      </c>
      <c r="C4514" t="s">
        <v>40</v>
      </c>
      <c r="D4514">
        <v>5.6150630000000001</v>
      </c>
      <c r="E4514">
        <v>0.39679950000000003</v>
      </c>
      <c r="F4514" t="s">
        <v>41</v>
      </c>
      <c r="G4514">
        <v>-381.99979999999999</v>
      </c>
      <c r="H4514" s="1">
        <v>-4.0139190000000001E-6</v>
      </c>
      <c r="I4514">
        <v>136.2362</v>
      </c>
      <c r="J4514">
        <v>-350.67509999999999</v>
      </c>
      <c r="K4514">
        <v>1.1100509999999999</v>
      </c>
      <c r="L4514">
        <v>141.7116</v>
      </c>
      <c r="M4514">
        <v>-0.99986509999999995</v>
      </c>
      <c r="N4514">
        <v>0</v>
      </c>
      <c r="O4514">
        <v>7.55003599999999E-3</v>
      </c>
      <c r="P4514">
        <v>-0.99538740000000003</v>
      </c>
      <c r="Q4514">
        <v>-1.0571840000000001E-2</v>
      </c>
      <c r="R4514">
        <v>9.535428E-2</v>
      </c>
      <c r="S4514">
        <v>-3.0643009999999999</v>
      </c>
      <c r="T4514">
        <v>-0.10741820000000001</v>
      </c>
      <c r="U4514">
        <v>-0.52958680000000002</v>
      </c>
      <c r="V4514">
        <v>8.7835410000000003E-2</v>
      </c>
      <c r="W4514">
        <v>3.972822E-3</v>
      </c>
      <c r="X4514">
        <v>0.99612710000000004</v>
      </c>
      <c r="Y4514">
        <v>-0.17762530000000001</v>
      </c>
      <c r="Z4514">
        <v>-3.3521739999999999E-3</v>
      </c>
      <c r="AA4514">
        <v>0.98409250000000004</v>
      </c>
      <c r="AB4514">
        <v>34</v>
      </c>
      <c r="AC4514">
        <v>-31.3247</v>
      </c>
      <c r="AD4514">
        <v>-1.110055013919</v>
      </c>
      <c r="AE4514">
        <v>-5.4753999999999996</v>
      </c>
      <c r="AF4514">
        <v>-5.7048200551504804</v>
      </c>
      <c r="AG4514">
        <v>-1.110055013919</v>
      </c>
      <c r="AH4514">
        <v>31.244390158871798</v>
      </c>
      <c r="AI4514">
        <v>92.001691468610005</v>
      </c>
      <c r="AJ4514">
        <v>100.347482173396</v>
      </c>
      <c r="AK4514">
        <v>31.780325838407901</v>
      </c>
      <c r="AL4514">
        <v>89.772373472628004</v>
      </c>
      <c r="AM4514">
        <v>84.960868248612996</v>
      </c>
      <c r="AN4514">
        <v>1.0000000209594599</v>
      </c>
    </row>
    <row r="4515" spans="1:40" x14ac:dyDescent="0.25">
      <c r="A4515" t="str">
        <f>"20190312161101865"</f>
        <v>20190312161101865</v>
      </c>
      <c r="B4515" t="str">
        <f>"1552378261861098"</f>
        <v>1552378261861098</v>
      </c>
      <c r="C4515" t="s">
        <v>40</v>
      </c>
      <c r="D4515">
        <v>5.6104820000000002</v>
      </c>
      <c r="E4515">
        <v>0.39686260000000001</v>
      </c>
      <c r="F4515" t="s">
        <v>41</v>
      </c>
      <c r="G4515">
        <v>-382.93299999999999</v>
      </c>
      <c r="H4515" s="1">
        <v>-3.6384600000000001E-6</v>
      </c>
      <c r="I4515">
        <v>136.0959</v>
      </c>
      <c r="J4515">
        <v>-350.98860000000002</v>
      </c>
      <c r="K4515">
        <v>1.110053</v>
      </c>
      <c r="L4515">
        <v>141.7139</v>
      </c>
      <c r="M4515">
        <v>-0.99986540000000002</v>
      </c>
      <c r="N4515">
        <v>0</v>
      </c>
      <c r="O4515">
        <v>7.5092329999999997E-3</v>
      </c>
      <c r="P4515">
        <v>-0.99539909999999998</v>
      </c>
      <c r="Q4515">
        <v>-1.069194E-2</v>
      </c>
      <c r="R4515">
        <v>9.5218520000000001E-2</v>
      </c>
      <c r="S4515">
        <v>-3.0638730000000001</v>
      </c>
      <c r="T4515">
        <v>-0.10543379999999999</v>
      </c>
      <c r="U4515">
        <v>-0.53337100000000004</v>
      </c>
      <c r="V4515">
        <v>8.7740170000000006E-2</v>
      </c>
      <c r="W4515">
        <v>3.8497990000000001E-3</v>
      </c>
      <c r="X4515">
        <v>0.99613600000000002</v>
      </c>
      <c r="Y4515">
        <v>-0.17879139999999999</v>
      </c>
      <c r="Z4515">
        <v>-3.3089080000000002E-3</v>
      </c>
      <c r="AA4515">
        <v>0.98388140000000002</v>
      </c>
      <c r="AB4515">
        <v>34</v>
      </c>
      <c r="AC4515">
        <v>-31.944400000000002</v>
      </c>
      <c r="AD4515">
        <v>-1.1100566384599999</v>
      </c>
      <c r="AE4515">
        <v>-5.6179999999999897</v>
      </c>
      <c r="AF4515">
        <v>-5.8508918300630999</v>
      </c>
      <c r="AG4515">
        <v>-1.1100566384599999</v>
      </c>
      <c r="AH4515">
        <v>31.863985185062202</v>
      </c>
      <c r="AI4515">
        <v>91.962443019228999</v>
      </c>
      <c r="AJ4515">
        <v>100.404794434286</v>
      </c>
      <c r="AK4515">
        <v>32.4157170647443</v>
      </c>
      <c r="AL4515">
        <v>89.779422230264402</v>
      </c>
      <c r="AM4515">
        <v>84.9663488384587</v>
      </c>
      <c r="AN4515">
        <v>1.0000000444399799</v>
      </c>
    </row>
    <row r="4516" spans="1:40" x14ac:dyDescent="0.25">
      <c r="A4516" t="str">
        <f>"20190312161101888"</f>
        <v>20190312161101888</v>
      </c>
      <c r="B4516" t="str">
        <f>"1552378261881594"</f>
        <v>1552378261881594</v>
      </c>
      <c r="C4516" t="s">
        <v>40</v>
      </c>
      <c r="D4516">
        <v>5.5886930000000001</v>
      </c>
      <c r="E4516">
        <v>0.39680939999999998</v>
      </c>
      <c r="F4516" t="s">
        <v>41</v>
      </c>
      <c r="G4516">
        <v>-382.87619999999998</v>
      </c>
      <c r="H4516" s="1">
        <v>-3.6507980000000002E-6</v>
      </c>
      <c r="I4516">
        <v>136.16380000000001</v>
      </c>
      <c r="J4516">
        <v>-351.34160000000003</v>
      </c>
      <c r="K4516">
        <v>1.110055</v>
      </c>
      <c r="L4516">
        <v>141.7165</v>
      </c>
      <c r="M4516">
        <v>-0.99986569999999997</v>
      </c>
      <c r="N4516">
        <v>0</v>
      </c>
      <c r="O4516">
        <v>7.4628949999999998E-3</v>
      </c>
      <c r="P4516">
        <v>-0.99541650000000004</v>
      </c>
      <c r="Q4516">
        <v>-1.123451E-2</v>
      </c>
      <c r="R4516">
        <v>9.4974199999999995E-2</v>
      </c>
      <c r="S4516">
        <v>-3.0637210000000001</v>
      </c>
      <c r="T4516">
        <v>-0.1066531</v>
      </c>
      <c r="U4516">
        <v>-0.53323359999999997</v>
      </c>
      <c r="V4516">
        <v>8.7541919999999995E-2</v>
      </c>
      <c r="W4516">
        <v>3.3033469999999999E-3</v>
      </c>
      <c r="X4516">
        <v>0.99615540000000002</v>
      </c>
      <c r="Y4516">
        <v>-0.1787089</v>
      </c>
      <c r="Z4516">
        <v>-3.3443000000000001E-3</v>
      </c>
      <c r="AA4516">
        <v>0.98389629999999995</v>
      </c>
      <c r="AB4516">
        <v>34</v>
      </c>
      <c r="AC4516">
        <v>-31.534599999999902</v>
      </c>
      <c r="AD4516">
        <v>-1.1100586507979999</v>
      </c>
      <c r="AE4516">
        <v>-5.5526999999999802</v>
      </c>
      <c r="AF4516">
        <v>-5.7809618531368496</v>
      </c>
      <c r="AG4516">
        <v>-1.1100586507979999</v>
      </c>
      <c r="AH4516">
        <v>31.454473925136501</v>
      </c>
      <c r="AI4516">
        <v>91.987916554951099</v>
      </c>
      <c r="AJ4516">
        <v>100.414071482482</v>
      </c>
      <c r="AK4516">
        <v>32.000557496123797</v>
      </c>
      <c r="AL4516">
        <v>89.810731822060006</v>
      </c>
      <c r="AM4516">
        <v>84.977761508495306</v>
      </c>
      <c r="AN4516">
        <v>1.00000004040392</v>
      </c>
    </row>
    <row r="4517" spans="1:40" x14ac:dyDescent="0.25">
      <c r="A4517" t="str">
        <f>"20190312161101911"</f>
        <v>20190312161101911</v>
      </c>
      <c r="B4517" t="str">
        <f>"1552378261901115"</f>
        <v>1552378261901115</v>
      </c>
      <c r="C4517" t="s">
        <v>40</v>
      </c>
      <c r="D4517">
        <v>5.5740460000000001</v>
      </c>
      <c r="E4517">
        <v>0.39682699999999999</v>
      </c>
      <c r="F4517" t="s">
        <v>41</v>
      </c>
      <c r="G4517">
        <v>-382.84930000000003</v>
      </c>
      <c r="H4517" s="1">
        <v>-3.6522969999999999E-6</v>
      </c>
      <c r="I4517">
        <v>136.22040000000001</v>
      </c>
      <c r="J4517">
        <v>-351.69600000000003</v>
      </c>
      <c r="K4517">
        <v>1.1100559999999999</v>
      </c>
      <c r="L4517">
        <v>141.7191</v>
      </c>
      <c r="M4517">
        <v>-0.99986629999999999</v>
      </c>
      <c r="N4517">
        <v>0</v>
      </c>
      <c r="O4517">
        <v>7.416555E-3</v>
      </c>
      <c r="P4517">
        <v>-0.99544540000000004</v>
      </c>
      <c r="Q4517">
        <v>-1.124088E-2</v>
      </c>
      <c r="R4517">
        <v>9.4670270000000001E-2</v>
      </c>
      <c r="S4517">
        <v>-3.063599</v>
      </c>
      <c r="T4517">
        <v>-0.107935199999999</v>
      </c>
      <c r="U4517">
        <v>-0.53439329999999996</v>
      </c>
      <c r="V4517">
        <v>8.7283830000000007E-2</v>
      </c>
      <c r="W4517">
        <v>3.2933340000000002E-3</v>
      </c>
      <c r="X4517">
        <v>0.99617800000000001</v>
      </c>
      <c r="Y4517">
        <v>-0.17902850000000001</v>
      </c>
      <c r="Z4517">
        <v>-3.3884689999999999E-3</v>
      </c>
      <c r="AA4517">
        <v>0.98383799999999999</v>
      </c>
      <c r="AB4517">
        <v>34</v>
      </c>
      <c r="AC4517">
        <v>-31.153300000000002</v>
      </c>
      <c r="AD4517">
        <v>-1.1100596522970001</v>
      </c>
      <c r="AE4517">
        <v>-5.4986999999999799</v>
      </c>
      <c r="AF4517">
        <v>-5.7225772752144701</v>
      </c>
      <c r="AG4517">
        <v>-1.1100596522970001</v>
      </c>
      <c r="AH4517">
        <v>31.0733968419676</v>
      </c>
      <c r="AI4517">
        <v>92.012143631625406</v>
      </c>
      <c r="AJ4517">
        <v>100.434854647406</v>
      </c>
      <c r="AK4517">
        <v>31.615441075538701</v>
      </c>
      <c r="AL4517">
        <v>89.811305512693096</v>
      </c>
      <c r="AM4517">
        <v>84.992605642662099</v>
      </c>
      <c r="AN4517">
        <v>0.99999996035615102</v>
      </c>
    </row>
    <row r="4518" spans="1:40" x14ac:dyDescent="0.25">
      <c r="A4518" t="str">
        <f>"20190312161101933"</f>
        <v>20190312161101933</v>
      </c>
      <c r="B4518" t="str">
        <f>"1552378261921610"</f>
        <v>1552378261921610</v>
      </c>
      <c r="C4518" t="s">
        <v>40</v>
      </c>
      <c r="D4518">
        <v>5.5715659999999998</v>
      </c>
      <c r="E4518">
        <v>0.3968161</v>
      </c>
      <c r="F4518" t="s">
        <v>41</v>
      </c>
      <c r="G4518">
        <v>-383.15069999999997</v>
      </c>
      <c r="H4518" s="1">
        <v>-3.522602E-6</v>
      </c>
      <c r="I4518">
        <v>136.2225</v>
      </c>
      <c r="J4518">
        <v>-352.00889999999998</v>
      </c>
      <c r="K4518">
        <v>1.1100559999999999</v>
      </c>
      <c r="L4518">
        <v>141.72130000000001</v>
      </c>
      <c r="M4518">
        <v>-0.99986649999999999</v>
      </c>
      <c r="N4518">
        <v>0</v>
      </c>
      <c r="O4518">
        <v>7.3758130000000002E-3</v>
      </c>
      <c r="P4518">
        <v>-0.99544940000000004</v>
      </c>
      <c r="Q4518">
        <v>-1.1321319999999999E-2</v>
      </c>
      <c r="R4518">
        <v>9.4617530000000005E-2</v>
      </c>
      <c r="S4518">
        <v>-3.0634160000000001</v>
      </c>
      <c r="T4518">
        <v>-0.10811030000000001</v>
      </c>
      <c r="U4518">
        <v>-0.53530880000000003</v>
      </c>
      <c r="V4518">
        <v>8.727174E-2</v>
      </c>
      <c r="W4518">
        <v>3.2098880000000002E-3</v>
      </c>
      <c r="X4518">
        <v>0.99617929999999999</v>
      </c>
      <c r="Y4518">
        <v>-0.1792832</v>
      </c>
      <c r="Z4518">
        <v>-3.3971090000000002E-3</v>
      </c>
      <c r="AA4518">
        <v>0.98379159999999999</v>
      </c>
      <c r="AB4518">
        <v>34</v>
      </c>
      <c r="AC4518">
        <v>-31.1417999999999</v>
      </c>
      <c r="AD4518">
        <v>-1.110059522602</v>
      </c>
      <c r="AE4518">
        <v>-5.4988000000000099</v>
      </c>
      <c r="AF4518">
        <v>-5.7213212491507202</v>
      </c>
      <c r="AG4518">
        <v>-1.110059522602</v>
      </c>
      <c r="AH4518">
        <v>31.062116396857999</v>
      </c>
      <c r="AI4518">
        <v>92.012864046911403</v>
      </c>
      <c r="AJ4518">
        <v>100.43632008739201</v>
      </c>
      <c r="AK4518">
        <v>31.604126693070601</v>
      </c>
      <c r="AL4518">
        <v>89.8160866359853</v>
      </c>
      <c r="AM4518">
        <v>84.993302209850995</v>
      </c>
      <c r="AN4518">
        <v>0.99999992886604205</v>
      </c>
    </row>
    <row r="4519" spans="1:40" x14ac:dyDescent="0.25">
      <c r="A4519" t="str">
        <f>"20190312161101955"</f>
        <v>20190312161101955</v>
      </c>
      <c r="B4519" t="str">
        <f>"1552378261951866"</f>
        <v>1552378261951866</v>
      </c>
      <c r="C4519" t="s">
        <v>40</v>
      </c>
      <c r="D4519">
        <v>5.5659780000000003</v>
      </c>
      <c r="E4519">
        <v>0.39680189999999999</v>
      </c>
      <c r="F4519" t="s">
        <v>41</v>
      </c>
      <c r="G4519">
        <v>-383.51949999999999</v>
      </c>
      <c r="H4519" s="1">
        <v>-3.366035E-6</v>
      </c>
      <c r="I4519">
        <v>136.2132</v>
      </c>
      <c r="J4519">
        <v>-352.34739999999999</v>
      </c>
      <c r="K4519">
        <v>1.110055</v>
      </c>
      <c r="L4519">
        <v>141.72380000000001</v>
      </c>
      <c r="M4519">
        <v>-0.9998669</v>
      </c>
      <c r="N4519">
        <v>0</v>
      </c>
      <c r="O4519">
        <v>7.331321E-3</v>
      </c>
      <c r="P4519">
        <v>-0.99551339999999999</v>
      </c>
      <c r="Q4519">
        <v>-1.107056E-2</v>
      </c>
      <c r="R4519">
        <v>9.3970170000000006E-2</v>
      </c>
      <c r="S4519">
        <v>-3.0633849999999998</v>
      </c>
      <c r="T4519">
        <v>-0.10791729999999999</v>
      </c>
      <c r="U4519">
        <v>-0.53547670000000003</v>
      </c>
      <c r="V4519">
        <v>8.6668140000000005E-2</v>
      </c>
      <c r="W4519">
        <v>3.4573640000000001E-3</v>
      </c>
      <c r="X4519">
        <v>0.99623130000000004</v>
      </c>
      <c r="Y4519">
        <v>-0.179293799999999</v>
      </c>
      <c r="Z4519">
        <v>-3.389694E-3</v>
      </c>
      <c r="AA4519">
        <v>0.98378969999999999</v>
      </c>
      <c r="AB4519">
        <v>34</v>
      </c>
      <c r="AC4519">
        <v>-31.1721</v>
      </c>
      <c r="AD4519">
        <v>-1.1100583660349901</v>
      </c>
      <c r="AE4519">
        <v>-5.5106000000000099</v>
      </c>
      <c r="AF4519">
        <v>-5.7319602981956903</v>
      </c>
      <c r="AG4519">
        <v>-1.1100583660349901</v>
      </c>
      <c r="AH4519">
        <v>31.092623580060799</v>
      </c>
      <c r="AI4519">
        <v>92.010830799426699</v>
      </c>
      <c r="AJ4519">
        <v>100.44526676880599</v>
      </c>
      <c r="AK4519">
        <v>31.636037038912601</v>
      </c>
      <c r="AL4519">
        <v>89.8019072520907</v>
      </c>
      <c r="AM4519">
        <v>85.028014212768397</v>
      </c>
      <c r="AN4519">
        <v>1.00000006147828</v>
      </c>
    </row>
    <row r="4520" spans="1:40" x14ac:dyDescent="0.25">
      <c r="A4520" t="str">
        <f>"20190312161101978"</f>
        <v>20190312161101978</v>
      </c>
      <c r="B4520" t="str">
        <f>"1552378261971387"</f>
        <v>1552378261971387</v>
      </c>
      <c r="C4520" t="s">
        <v>40</v>
      </c>
      <c r="D4520">
        <v>5.5429139999999997</v>
      </c>
      <c r="E4520">
        <v>0.39684259999999999</v>
      </c>
      <c r="F4520" t="s">
        <v>41</v>
      </c>
      <c r="G4520">
        <v>-383.95600000000002</v>
      </c>
      <c r="H4520" s="1">
        <v>-3.1852349999999999E-6</v>
      </c>
      <c r="I4520">
        <v>136.17679999999999</v>
      </c>
      <c r="J4520">
        <v>-352.69029999999998</v>
      </c>
      <c r="K4520">
        <v>1.1100540000000001</v>
      </c>
      <c r="L4520">
        <v>141.72630000000001</v>
      </c>
      <c r="M4520">
        <v>-0.99986730000000001</v>
      </c>
      <c r="N4520">
        <v>0</v>
      </c>
      <c r="O4520">
        <v>7.286173E-3</v>
      </c>
      <c r="P4520">
        <v>-0.99551990000000001</v>
      </c>
      <c r="Q4520">
        <v>-1.115917E-2</v>
      </c>
      <c r="R4520">
        <v>9.3893660000000004E-2</v>
      </c>
      <c r="S4520">
        <v>-3.0630489999999999</v>
      </c>
      <c r="T4520">
        <v>-0.107570899999999</v>
      </c>
      <c r="U4520">
        <v>-0.53752140000000004</v>
      </c>
      <c r="V4520">
        <v>8.6636660000000004E-2</v>
      </c>
      <c r="W4520">
        <v>3.365336E-3</v>
      </c>
      <c r="X4520">
        <v>0.99623430000000002</v>
      </c>
      <c r="Y4520">
        <v>-0.17990519999999999</v>
      </c>
      <c r="Z4520">
        <v>-3.3880690000000001E-3</v>
      </c>
      <c r="AA4520">
        <v>0.9836781</v>
      </c>
      <c r="AB4520">
        <v>34</v>
      </c>
      <c r="AC4520">
        <v>-31.265699999999899</v>
      </c>
      <c r="AD4520">
        <v>-1.1100571852349901</v>
      </c>
      <c r="AE4520">
        <v>-5.5495000000000196</v>
      </c>
      <c r="AF4520">
        <v>-5.7701328453282201</v>
      </c>
      <c r="AG4520">
        <v>-1.1100571852349901</v>
      </c>
      <c r="AH4520">
        <v>31.186320236582301</v>
      </c>
      <c r="AI4520">
        <v>92.004552502022406</v>
      </c>
      <c r="AJ4520">
        <v>100.48239696879</v>
      </c>
      <c r="AK4520">
        <v>31.7350473436844</v>
      </c>
      <c r="AL4520">
        <v>89.807180088215603</v>
      </c>
      <c r="AM4520">
        <v>85.029826004529795</v>
      </c>
      <c r="AN4520">
        <v>1.0000000084194101</v>
      </c>
    </row>
    <row r="4521" spans="1:40" x14ac:dyDescent="0.25">
      <c r="A4521" t="str">
        <f>"20190312161102002"</f>
        <v>20190312161102002</v>
      </c>
      <c r="B4521" t="str">
        <f>"1552378261991882"</f>
        <v>1552378261991882</v>
      </c>
      <c r="C4521" t="s">
        <v>40</v>
      </c>
      <c r="D4521">
        <v>5.6029200000000001</v>
      </c>
      <c r="E4521">
        <v>0.39688069999999998</v>
      </c>
      <c r="F4521" t="s">
        <v>41</v>
      </c>
      <c r="G4521">
        <v>-383.89120000000003</v>
      </c>
      <c r="H4521" s="1">
        <v>-3.1997189999999999E-6</v>
      </c>
      <c r="I4521">
        <v>136.25190000000001</v>
      </c>
      <c r="J4521">
        <v>-353.05779999999999</v>
      </c>
      <c r="K4521">
        <v>1.1100559999999999</v>
      </c>
      <c r="L4521">
        <v>141.72890000000001</v>
      </c>
      <c r="M4521">
        <v>-0.99986779999999997</v>
      </c>
      <c r="N4521">
        <v>0</v>
      </c>
      <c r="O4521">
        <v>7.23769199999999E-3</v>
      </c>
      <c r="P4521">
        <v>-0.99555110000000002</v>
      </c>
      <c r="Q4521">
        <v>-1.158209E-2</v>
      </c>
      <c r="R4521">
        <v>9.3511689999999995E-2</v>
      </c>
      <c r="S4521">
        <v>-3.0629270000000002</v>
      </c>
      <c r="T4521">
        <v>-0.10897220000000001</v>
      </c>
      <c r="U4521">
        <v>-0.53739930000000002</v>
      </c>
      <c r="V4521">
        <v>8.6303039999999998E-2</v>
      </c>
      <c r="W4521">
        <v>2.9385689999999998E-3</v>
      </c>
      <c r="X4521">
        <v>0.99626459999999994</v>
      </c>
      <c r="Y4521">
        <v>-0.17982329999999999</v>
      </c>
      <c r="Z4521">
        <v>-3.429166E-3</v>
      </c>
      <c r="AA4521">
        <v>0.98369289999999998</v>
      </c>
      <c r="AB4521">
        <v>34</v>
      </c>
      <c r="AC4521">
        <v>-30.833400000000001</v>
      </c>
      <c r="AD4521">
        <v>-1.1100591997189999</v>
      </c>
      <c r="AE4521">
        <v>-5.4770000000000003</v>
      </c>
      <c r="AF4521">
        <v>-5.6928897855696103</v>
      </c>
      <c r="AG4521">
        <v>-1.1100591997189999</v>
      </c>
      <c r="AH4521">
        <v>30.754304815306899</v>
      </c>
      <c r="AI4521">
        <v>92.032659536079706</v>
      </c>
      <c r="AJ4521">
        <v>100.487240700782</v>
      </c>
      <c r="AK4521">
        <v>31.2964613049196</v>
      </c>
      <c r="AL4521">
        <v>89.8316321564389</v>
      </c>
      <c r="AM4521">
        <v>85.049019639417907</v>
      </c>
      <c r="AN4521">
        <v>1.00000000155708</v>
      </c>
    </row>
    <row r="4522" spans="1:40" x14ac:dyDescent="0.25">
      <c r="A4522" t="str">
        <f>"20190312161102023"</f>
        <v>20190312161102023</v>
      </c>
      <c r="B4522" t="str">
        <f>"1552378262011402"</f>
        <v>1552378262011402</v>
      </c>
      <c r="C4522" t="s">
        <v>40</v>
      </c>
      <c r="D4522">
        <v>5.5705200000000001</v>
      </c>
      <c r="E4522">
        <v>0.39608379999999999</v>
      </c>
      <c r="F4522" t="s">
        <v>41</v>
      </c>
      <c r="G4522">
        <v>-383.89460000000003</v>
      </c>
      <c r="H4522" s="1">
        <v>-3.188169E-6</v>
      </c>
      <c r="I4522">
        <v>136.30879999999999</v>
      </c>
      <c r="J4522">
        <v>-353.36070000000001</v>
      </c>
      <c r="K4522">
        <v>1.1100449999999999</v>
      </c>
      <c r="L4522">
        <v>141.73099999999999</v>
      </c>
      <c r="M4522">
        <v>-0.99986819999999998</v>
      </c>
      <c r="N4522">
        <v>0</v>
      </c>
      <c r="O4522">
        <v>7.1973710000000002E-3</v>
      </c>
      <c r="P4522">
        <v>-0.99551900000000004</v>
      </c>
      <c r="Q4522">
        <v>-1.1908800000000001E-2</v>
      </c>
      <c r="R4522">
        <v>9.3808909999999995E-2</v>
      </c>
      <c r="S4522">
        <v>-3.0627140000000002</v>
      </c>
      <c r="T4522">
        <v>-0.1102513</v>
      </c>
      <c r="U4522">
        <v>-0.53831479999999998</v>
      </c>
      <c r="V4522">
        <v>8.6640389999999998E-2</v>
      </c>
      <c r="W4522">
        <v>2.607645E-3</v>
      </c>
      <c r="X4522">
        <v>0.99623629999999996</v>
      </c>
      <c r="Y4522">
        <v>-0.18007770000000001</v>
      </c>
      <c r="Z4522">
        <v>-3.4726430000000001E-3</v>
      </c>
      <c r="AA4522">
        <v>0.98364629999999997</v>
      </c>
      <c r="AB4522">
        <v>34</v>
      </c>
      <c r="AC4522">
        <v>-30.533899999999999</v>
      </c>
      <c r="AD4522">
        <v>-1.1100481881690001</v>
      </c>
      <c r="AE4522">
        <v>-5.4222000000000001</v>
      </c>
      <c r="AF4522">
        <v>-5.6346272182530797</v>
      </c>
      <c r="AG4522">
        <v>-1.1100481881690001</v>
      </c>
      <c r="AH4522">
        <v>30.4550585688872</v>
      </c>
      <c r="AI4522">
        <v>92.052629334494597</v>
      </c>
      <c r="AJ4522">
        <v>100.482021046328</v>
      </c>
      <c r="AK4522">
        <v>30.991802517812399</v>
      </c>
      <c r="AL4522">
        <v>89.850592786853696</v>
      </c>
      <c r="AM4522">
        <v>85.029623022056796</v>
      </c>
      <c r="AN4522">
        <v>1.0000000612147399</v>
      </c>
    </row>
    <row r="4523" spans="1:40" x14ac:dyDescent="0.25">
      <c r="A4523" t="str">
        <f>"20190312161102045"</f>
        <v>20190312161102045</v>
      </c>
      <c r="B4523" t="str">
        <f>"1552378262041658"</f>
        <v>1552378262041658</v>
      </c>
      <c r="C4523" t="s">
        <v>40</v>
      </c>
      <c r="D4523">
        <v>5.574846</v>
      </c>
      <c r="E4523">
        <v>0.36546200000000001</v>
      </c>
      <c r="F4523" t="s">
        <v>41</v>
      </c>
      <c r="G4523">
        <v>-384.05009999999999</v>
      </c>
      <c r="H4523" s="1">
        <v>-3.1258869999999999E-6</v>
      </c>
      <c r="I4523">
        <v>136.28380000000001</v>
      </c>
      <c r="J4523">
        <v>-353.7038</v>
      </c>
      <c r="K4523">
        <v>1.1100429999999999</v>
      </c>
      <c r="L4523">
        <v>141.73339999999999</v>
      </c>
      <c r="M4523">
        <v>-0.99986850000000005</v>
      </c>
      <c r="N4523">
        <v>0</v>
      </c>
      <c r="O4523">
        <v>7.1522219999999997E-3</v>
      </c>
      <c r="P4523">
        <v>-0.99548139999999996</v>
      </c>
      <c r="Q4523">
        <v>-1.233157E-2</v>
      </c>
      <c r="R4523">
        <v>9.4153520000000004E-2</v>
      </c>
      <c r="S4523">
        <v>-3.0633849999999998</v>
      </c>
      <c r="T4523">
        <v>-0.1108041</v>
      </c>
      <c r="U4523">
        <v>-0.54373169999999904</v>
      </c>
      <c r="V4523">
        <v>8.7030360000000001E-2</v>
      </c>
      <c r="W4523">
        <v>2.181353E-3</v>
      </c>
      <c r="X4523">
        <v>0.99620319999999996</v>
      </c>
      <c r="Y4523">
        <v>-0.18168090000000001</v>
      </c>
      <c r="Z4523">
        <v>-3.5159000000000002E-3</v>
      </c>
      <c r="AA4523">
        <v>0.98335119999999998</v>
      </c>
      <c r="AB4523">
        <v>34</v>
      </c>
      <c r="AC4523">
        <v>-30.3462999999999</v>
      </c>
      <c r="AD4523">
        <v>-1.110046125887</v>
      </c>
      <c r="AE4523">
        <v>-5.44959999999997</v>
      </c>
      <c r="AF4523">
        <v>-5.6591913689275097</v>
      </c>
      <c r="AG4523">
        <v>-1.110046125887</v>
      </c>
      <c r="AH4523">
        <v>30.267309023522799</v>
      </c>
      <c r="AI4523">
        <v>92.064620365910599</v>
      </c>
      <c r="AJ4523">
        <v>100.590522975779</v>
      </c>
      <c r="AK4523">
        <v>30.811826380095798</v>
      </c>
      <c r="AL4523">
        <v>89.875017571452602</v>
      </c>
      <c r="AM4523">
        <v>85.007199038613805</v>
      </c>
      <c r="AN4523">
        <v>0.99999992877643695</v>
      </c>
    </row>
    <row r="4524" spans="1:40" x14ac:dyDescent="0.25">
      <c r="A4524" t="str">
        <f>"20190312161102068"</f>
        <v>20190312161102068</v>
      </c>
      <c r="B4524" t="str">
        <f>"1552378262061179"</f>
        <v>1552378262061179</v>
      </c>
      <c r="C4524" t="s">
        <v>40</v>
      </c>
      <c r="D4524">
        <v>5.5012660000000002</v>
      </c>
      <c r="E4524">
        <v>0.36485630000000002</v>
      </c>
      <c r="F4524" t="s">
        <v>41</v>
      </c>
      <c r="G4524">
        <v>-386.44260000000003</v>
      </c>
      <c r="H4524" s="1">
        <v>-2.8511690000000001E-6</v>
      </c>
      <c r="I4524">
        <v>133.398</v>
      </c>
      <c r="J4524">
        <v>-354.04840000000002</v>
      </c>
      <c r="K4524">
        <v>1.110047</v>
      </c>
      <c r="L4524">
        <v>141.73589999999999</v>
      </c>
      <c r="M4524">
        <v>-0.9998688</v>
      </c>
      <c r="N4524">
        <v>0</v>
      </c>
      <c r="O4524">
        <v>7.1067179999999997E-3</v>
      </c>
      <c r="P4524">
        <v>-0.9955176</v>
      </c>
      <c r="Q4524">
        <v>-1.216241E-2</v>
      </c>
      <c r="R4524">
        <v>9.3791780000000005E-2</v>
      </c>
      <c r="S4524">
        <v>-3.0866699999999998</v>
      </c>
      <c r="T4524">
        <v>-0.10465720000000001</v>
      </c>
      <c r="U4524">
        <v>-0.78587340000000006</v>
      </c>
      <c r="V4524">
        <v>8.6713719999999994E-2</v>
      </c>
      <c r="W4524">
        <v>2.3468159999999998E-3</v>
      </c>
      <c r="X4524">
        <v>0.99623050000000002</v>
      </c>
      <c r="Y4524">
        <v>-0.25347189999999997</v>
      </c>
      <c r="Z4524">
        <v>-4.4656940000000001E-3</v>
      </c>
      <c r="AA4524">
        <v>0.96733239999999998</v>
      </c>
      <c r="AB4524">
        <v>34</v>
      </c>
      <c r="AC4524">
        <v>-32.394199999999998</v>
      </c>
      <c r="AD4524">
        <v>-1.110049851169</v>
      </c>
      <c r="AE4524">
        <v>-8.3378999999999905</v>
      </c>
      <c r="AF4524">
        <v>-8.5585050528510696</v>
      </c>
      <c r="AG4524">
        <v>-1.110049851169</v>
      </c>
      <c r="AH4524">
        <v>32.298551128003297</v>
      </c>
      <c r="AI4524">
        <v>91.902772488284199</v>
      </c>
      <c r="AJ4524">
        <v>104.841214301617</v>
      </c>
      <c r="AK4524">
        <v>33.431670977981398</v>
      </c>
      <c r="AL4524">
        <v>89.865537223532201</v>
      </c>
      <c r="AM4524">
        <v>85.025408518072197</v>
      </c>
      <c r="AN4524">
        <v>0.99999999295591302</v>
      </c>
    </row>
    <row r="4525" spans="1:40" x14ac:dyDescent="0.25">
      <c r="A4525" t="str">
        <f>"20190312161102090"</f>
        <v>20190312161102090</v>
      </c>
      <c r="B4525" t="str">
        <f>"1552378262081674"</f>
        <v>1552378262081674</v>
      </c>
      <c r="C4525" t="s">
        <v>40</v>
      </c>
      <c r="D4525">
        <v>5.6051479999999998</v>
      </c>
      <c r="E4525">
        <v>0.3651182</v>
      </c>
      <c r="F4525" t="s">
        <v>41</v>
      </c>
      <c r="G4525">
        <v>-384.04180000000002</v>
      </c>
      <c r="H4525" s="1">
        <v>-3.5270080000000001E-6</v>
      </c>
      <c r="I4525">
        <v>134.04259999999999</v>
      </c>
      <c r="J4525">
        <v>-354.38080000000002</v>
      </c>
      <c r="K4525">
        <v>1.1100479999999999</v>
      </c>
      <c r="L4525">
        <v>141.73820000000001</v>
      </c>
      <c r="M4525">
        <v>-0.99986920000000001</v>
      </c>
      <c r="N4525">
        <v>0</v>
      </c>
      <c r="O4525">
        <v>7.0632359999999996E-3</v>
      </c>
      <c r="P4525">
        <v>-0.995591</v>
      </c>
      <c r="Q4525">
        <v>-1.1935919999999999E-2</v>
      </c>
      <c r="R4525">
        <v>9.3039579999999997E-2</v>
      </c>
      <c r="S4525">
        <v>-3.0866699999999998</v>
      </c>
      <c r="T4525">
        <v>-0.1142374</v>
      </c>
      <c r="U4525">
        <v>-0.79171749999999996</v>
      </c>
      <c r="V4525">
        <v>8.6004339999999999E-2</v>
      </c>
      <c r="W4525">
        <v>2.5704510000000001E-3</v>
      </c>
      <c r="X4525">
        <v>0.9962915</v>
      </c>
      <c r="Y4525">
        <v>-0.25512079999999998</v>
      </c>
      <c r="Z4525">
        <v>-4.9015370000000001E-3</v>
      </c>
      <c r="AA4525">
        <v>0.9668968</v>
      </c>
      <c r="AB4525">
        <v>34</v>
      </c>
      <c r="AC4525">
        <v>-29.660999999999898</v>
      </c>
      <c r="AD4525">
        <v>-1.110051527008</v>
      </c>
      <c r="AE4525">
        <v>-7.6956000000000104</v>
      </c>
      <c r="AF4525">
        <v>-7.8945730321454697</v>
      </c>
      <c r="AG4525">
        <v>-1.110051527008</v>
      </c>
      <c r="AH4525">
        <v>29.567098449484401</v>
      </c>
      <c r="AI4525">
        <v>92.077364965005899</v>
      </c>
      <c r="AJ4525">
        <v>104.94953167656</v>
      </c>
      <c r="AK4525">
        <v>30.623027421762099</v>
      </c>
      <c r="AL4525">
        <v>89.852723851929895</v>
      </c>
      <c r="AM4525">
        <v>85.066203105583</v>
      </c>
      <c r="AN4525">
        <v>1.00000005334471</v>
      </c>
    </row>
    <row r="4526" spans="1:40" x14ac:dyDescent="0.25">
      <c r="A4526" t="str">
        <f>"20190312161102110"</f>
        <v>20190312161102110</v>
      </c>
      <c r="B4526" t="str">
        <f>"1552378262101194"</f>
        <v>1552378262101194</v>
      </c>
      <c r="C4526" t="s">
        <v>40</v>
      </c>
      <c r="D4526">
        <v>5.5950579999999999</v>
      </c>
      <c r="E4526">
        <v>0.36532389999999998</v>
      </c>
      <c r="F4526" t="s">
        <v>41</v>
      </c>
      <c r="G4526">
        <v>-383.66359999999997</v>
      </c>
      <c r="H4526" s="1">
        <v>-3.6570700000000001E-6</v>
      </c>
      <c r="I4526">
        <v>134.22399999999999</v>
      </c>
      <c r="J4526">
        <v>-354.6952</v>
      </c>
      <c r="K4526">
        <v>1.1100479999999999</v>
      </c>
      <c r="L4526">
        <v>141.74039999999999</v>
      </c>
      <c r="M4526">
        <v>-0.99986949999999997</v>
      </c>
      <c r="N4526">
        <v>0</v>
      </c>
      <c r="O4526">
        <v>7.0221349999999997E-3</v>
      </c>
      <c r="P4526">
        <v>-0.9955775</v>
      </c>
      <c r="Q4526">
        <v>-1.263514E-2</v>
      </c>
      <c r="R4526">
        <v>9.3091300000000002E-2</v>
      </c>
      <c r="S4526">
        <v>-3.0859070000000002</v>
      </c>
      <c r="T4526">
        <v>-0.11698070000000001</v>
      </c>
      <c r="U4526">
        <v>-0.79185490000000003</v>
      </c>
      <c r="V4526">
        <v>8.6097149999999997E-2</v>
      </c>
      <c r="W4526">
        <v>1.8675950000000001E-3</v>
      </c>
      <c r="X4526">
        <v>0.99628499999999998</v>
      </c>
      <c r="Y4526">
        <v>-0.25517069999999997</v>
      </c>
      <c r="Z4526">
        <v>-5.0197310000000004E-3</v>
      </c>
      <c r="AA4526">
        <v>0.96688300000000005</v>
      </c>
      <c r="AB4526">
        <v>34</v>
      </c>
      <c r="AC4526">
        <v>-28.9683999999999</v>
      </c>
      <c r="AD4526">
        <v>-1.1100516570700001</v>
      </c>
      <c r="AE4526">
        <v>-7.5164</v>
      </c>
      <c r="AF4526">
        <v>-7.7090504253340999</v>
      </c>
      <c r="AG4526">
        <v>-1.1100516570700001</v>
      </c>
      <c r="AH4526">
        <v>28.875173697483302</v>
      </c>
      <c r="AI4526">
        <v>92.127113340267897</v>
      </c>
      <c r="AJ4526">
        <v>104.94809619220599</v>
      </c>
      <c r="AK4526">
        <v>29.907145119545302</v>
      </c>
      <c r="AL4526">
        <v>89.892994626903999</v>
      </c>
      <c r="AM4526">
        <v>85.060873148123605</v>
      </c>
      <c r="AN4526">
        <v>1.0000000041871</v>
      </c>
    </row>
    <row r="4527" spans="1:40" x14ac:dyDescent="0.25">
      <c r="A4527" t="str">
        <f>"20190312161102134"</f>
        <v>20190312161102134</v>
      </c>
      <c r="B4527" t="str">
        <f>"1552378262131450"</f>
        <v>1552378262131450</v>
      </c>
      <c r="C4527" t="s">
        <v>40</v>
      </c>
      <c r="D4527">
        <v>5.5912040000000003</v>
      </c>
      <c r="E4527">
        <v>0.36529089999999997</v>
      </c>
      <c r="F4527" t="s">
        <v>41</v>
      </c>
      <c r="G4527">
        <v>-384.1585</v>
      </c>
      <c r="H4527" s="1">
        <v>-3.449892E-6</v>
      </c>
      <c r="I4527">
        <v>134.1952</v>
      </c>
      <c r="J4527">
        <v>-355.03070000000002</v>
      </c>
      <c r="K4527">
        <v>1.110047</v>
      </c>
      <c r="L4527">
        <v>141.74270000000001</v>
      </c>
      <c r="M4527">
        <v>-0.99986980000000003</v>
      </c>
      <c r="N4527">
        <v>0</v>
      </c>
      <c r="O4527">
        <v>6.9782969999999996E-3</v>
      </c>
      <c r="P4527">
        <v>-0.99558239999999998</v>
      </c>
      <c r="Q4527">
        <v>-1.241834E-2</v>
      </c>
      <c r="R4527">
        <v>9.3065759999999997E-2</v>
      </c>
      <c r="S4527">
        <v>-3.085785</v>
      </c>
      <c r="T4527">
        <v>-0.1162596</v>
      </c>
      <c r="U4527">
        <v>-0.79022219999999999</v>
      </c>
      <c r="V4527">
        <v>8.6115010000000006E-2</v>
      </c>
      <c r="W4527">
        <v>2.0807410000000001E-3</v>
      </c>
      <c r="X4527">
        <v>0.99628309999999998</v>
      </c>
      <c r="Y4527">
        <v>-0.25466</v>
      </c>
      <c r="Z4527">
        <v>-4.9782309999999996E-3</v>
      </c>
      <c r="AA4527">
        <v>0.96701780000000004</v>
      </c>
      <c r="AB4527">
        <v>34</v>
      </c>
      <c r="AC4527">
        <v>-29.127799999999901</v>
      </c>
      <c r="AD4527">
        <v>-1.1100504498919901</v>
      </c>
      <c r="AE4527">
        <v>-7.5475000000000101</v>
      </c>
      <c r="AF4527">
        <v>-7.7400661605869097</v>
      </c>
      <c r="AG4527">
        <v>-1.1100504498919901</v>
      </c>
      <c r="AH4527">
        <v>29.034900771456599</v>
      </c>
      <c r="AI4527">
        <v>92.115630819744993</v>
      </c>
      <c r="AJ4527">
        <v>104.92667482921701</v>
      </c>
      <c r="AK4527">
        <v>30.069358140470801</v>
      </c>
      <c r="AL4527">
        <v>89.880782244746698</v>
      </c>
      <c r="AM4527">
        <v>85.059844270419006</v>
      </c>
      <c r="AN4527">
        <v>1.0000000698880001</v>
      </c>
    </row>
    <row r="4528" spans="1:40" x14ac:dyDescent="0.25">
      <c r="A4528" t="str">
        <f>"20190312161102155"</f>
        <v>20190312161102155</v>
      </c>
      <c r="B4528" t="str">
        <f>"1552378262151946"</f>
        <v>1552378262151946</v>
      </c>
      <c r="C4528" t="s">
        <v>40</v>
      </c>
      <c r="D4528">
        <v>5.6355259999999996</v>
      </c>
      <c r="E4528">
        <v>0.36528110000000003</v>
      </c>
      <c r="F4528" t="s">
        <v>41</v>
      </c>
      <c r="G4528">
        <v>-385.15249999999997</v>
      </c>
      <c r="H4528" s="1">
        <v>-3.1232259999999999E-6</v>
      </c>
      <c r="I4528">
        <v>134.02549999999999</v>
      </c>
      <c r="J4528">
        <v>-355.36540000000002</v>
      </c>
      <c r="K4528">
        <v>1.110052</v>
      </c>
      <c r="L4528">
        <v>141.745</v>
      </c>
      <c r="M4528">
        <v>-0.99987020000000004</v>
      </c>
      <c r="N4528">
        <v>0</v>
      </c>
      <c r="O4528">
        <v>6.9343410000000001E-3</v>
      </c>
      <c r="P4528">
        <v>-0.99555919999999998</v>
      </c>
      <c r="Q4528">
        <v>-1.2043389999999999E-2</v>
      </c>
      <c r="R4528">
        <v>9.3365100000000006E-2</v>
      </c>
      <c r="S4528">
        <v>-3.0858150000000002</v>
      </c>
      <c r="T4528">
        <v>-0.113718899999999</v>
      </c>
      <c r="U4528">
        <v>-0.79057310000000003</v>
      </c>
      <c r="V4528">
        <v>8.6458439999999998E-2</v>
      </c>
      <c r="W4528">
        <v>2.4512420000000002E-3</v>
      </c>
      <c r="X4528">
        <v>0.99625240000000004</v>
      </c>
      <c r="Y4528">
        <v>-0.2547258</v>
      </c>
      <c r="Z4528">
        <v>-4.8689950000000001E-3</v>
      </c>
      <c r="AA4528">
        <v>0.96700109999999995</v>
      </c>
      <c r="AB4528">
        <v>33</v>
      </c>
      <c r="AC4528">
        <v>-29.787099999999899</v>
      </c>
      <c r="AD4528">
        <v>-1.1100551232260001</v>
      </c>
      <c r="AE4528">
        <v>-7.7195000000000098</v>
      </c>
      <c r="AF4528">
        <v>-7.91558896904594</v>
      </c>
      <c r="AG4528">
        <v>-1.1100551232260001</v>
      </c>
      <c r="AH4528">
        <v>29.694205084419298</v>
      </c>
      <c r="AI4528">
        <v>92.068711210273705</v>
      </c>
      <c r="AJ4528">
        <v>104.926254671623</v>
      </c>
      <c r="AK4528">
        <v>30.751172119108499</v>
      </c>
      <c r="AL4528">
        <v>89.859554032214405</v>
      </c>
      <c r="AM4528">
        <v>85.040088742049605</v>
      </c>
      <c r="AN4528">
        <v>0.99999995747016701</v>
      </c>
    </row>
    <row r="4529" spans="1:40" x14ac:dyDescent="0.25">
      <c r="A4529" t="str">
        <f>"20190312161102179"</f>
        <v>20190312161102179</v>
      </c>
      <c r="B4529" t="str">
        <f>"1552378262171466"</f>
        <v>1552378262171466</v>
      </c>
      <c r="C4529" t="s">
        <v>40</v>
      </c>
      <c r="D4529">
        <v>5.631094</v>
      </c>
      <c r="E4529">
        <v>0.36520609999999998</v>
      </c>
      <c r="F4529" t="s">
        <v>41</v>
      </c>
      <c r="G4529">
        <v>-385.05439999999999</v>
      </c>
      <c r="H4529" s="1">
        <v>-3.1240949999999999E-6</v>
      </c>
      <c r="I4529">
        <v>134.14769999999999</v>
      </c>
      <c r="J4529">
        <v>-355.71199999999999</v>
      </c>
      <c r="K4529">
        <v>1.1100490000000001</v>
      </c>
      <c r="L4529">
        <v>141.7473</v>
      </c>
      <c r="M4529">
        <v>-0.9998707</v>
      </c>
      <c r="N4529">
        <v>0</v>
      </c>
      <c r="O4529">
        <v>6.8886549999999996E-3</v>
      </c>
      <c r="P4529">
        <v>-0.99549900000000002</v>
      </c>
      <c r="Q4529">
        <v>-1.210638E-2</v>
      </c>
      <c r="R4529">
        <v>9.3996129999999997E-2</v>
      </c>
      <c r="S4529">
        <v>-3.0860599999999998</v>
      </c>
      <c r="T4529">
        <v>-0.115386</v>
      </c>
      <c r="U4529">
        <v>-0.78970340000000006</v>
      </c>
      <c r="V4529">
        <v>8.7135279999999996E-2</v>
      </c>
      <c r="W4529">
        <v>2.3835319999999998E-3</v>
      </c>
      <c r="X4529">
        <v>0.99619360000000001</v>
      </c>
      <c r="Y4529">
        <v>-0.25440279999999998</v>
      </c>
      <c r="Z4529">
        <v>-4.9324959999999998E-3</v>
      </c>
      <c r="AA4529">
        <v>0.9670858</v>
      </c>
      <c r="AB4529">
        <v>33</v>
      </c>
      <c r="AC4529">
        <v>-29.342400000000001</v>
      </c>
      <c r="AD4529">
        <v>-1.1100521240950001</v>
      </c>
      <c r="AE4529">
        <v>-7.5995999999999997</v>
      </c>
      <c r="AF4529">
        <v>-7.7911210822694903</v>
      </c>
      <c r="AG4529">
        <v>-1.1100521240950001</v>
      </c>
      <c r="AH4529">
        <v>29.250116374388298</v>
      </c>
      <c r="AI4529">
        <v>92.100194393064598</v>
      </c>
      <c r="AJ4529">
        <v>104.91512163855</v>
      </c>
      <c r="AK4529">
        <v>30.290313490488199</v>
      </c>
      <c r="AL4529">
        <v>89.863433541764905</v>
      </c>
      <c r="AM4529">
        <v>85.001162487483498</v>
      </c>
      <c r="AN4529">
        <v>0.99999996346321596</v>
      </c>
    </row>
    <row r="4530" spans="1:40" x14ac:dyDescent="0.25">
      <c r="A4530" t="str">
        <f>"20190312161102200"</f>
        <v>20190312161102200</v>
      </c>
      <c r="B4530" t="str">
        <f>"1552378262190985"</f>
        <v>1552378262190985</v>
      </c>
      <c r="C4530" t="s">
        <v>40</v>
      </c>
      <c r="D4530">
        <v>5.6410299999999998</v>
      </c>
      <c r="E4530">
        <v>0.36504910000000002</v>
      </c>
      <c r="F4530" t="s">
        <v>41</v>
      </c>
      <c r="G4530">
        <v>-385.07040000000001</v>
      </c>
      <c r="H4530" s="1">
        <v>-3.091686E-6</v>
      </c>
      <c r="I4530">
        <v>134.249</v>
      </c>
      <c r="J4530">
        <v>-356.03300000000002</v>
      </c>
      <c r="K4530">
        <v>1.1100509999999999</v>
      </c>
      <c r="L4530">
        <v>141.74950000000001</v>
      </c>
      <c r="M4530">
        <v>-0.99987099999999995</v>
      </c>
      <c r="N4530">
        <v>0</v>
      </c>
      <c r="O4530">
        <v>6.8465449999999999E-3</v>
      </c>
      <c r="P4530">
        <v>-0.99547430000000003</v>
      </c>
      <c r="Q4530">
        <v>-1.2143660000000001E-2</v>
      </c>
      <c r="R4530">
        <v>9.4253729999999994E-2</v>
      </c>
      <c r="S4530">
        <v>-3.0866090000000002</v>
      </c>
      <c r="T4530">
        <v>-0.11670609999999999</v>
      </c>
      <c r="U4530">
        <v>-0.78833009999999903</v>
      </c>
      <c r="V4530">
        <v>8.7435219999999994E-2</v>
      </c>
      <c r="W4530">
        <v>2.3425239999999999E-3</v>
      </c>
      <c r="X4530">
        <v>0.99616749999999998</v>
      </c>
      <c r="Y4530">
        <v>-0.25391330000000001</v>
      </c>
      <c r="Z4530">
        <v>-4.9776279999999996E-3</v>
      </c>
      <c r="AA4530">
        <v>0.96721420000000002</v>
      </c>
      <c r="AB4530">
        <v>33</v>
      </c>
      <c r="AC4530">
        <v>-29.037399999999899</v>
      </c>
      <c r="AD4530">
        <v>-1.110054091686</v>
      </c>
      <c r="AE4530">
        <v>-7.5005000000000104</v>
      </c>
      <c r="AF4530">
        <v>-7.68861758427414</v>
      </c>
      <c r="AG4530">
        <v>-1.110054091686</v>
      </c>
      <c r="AH4530">
        <v>28.945705617308899</v>
      </c>
      <c r="AI4530">
        <v>92.122654803723705</v>
      </c>
      <c r="AJ4530">
        <v>104.87552396983099</v>
      </c>
      <c r="AK4530">
        <v>29.970000569362501</v>
      </c>
      <c r="AL4530">
        <v>89.865783144893598</v>
      </c>
      <c r="AM4530">
        <v>84.983912205242106</v>
      </c>
      <c r="AN4530">
        <v>1.00000004658569</v>
      </c>
    </row>
    <row r="4531" spans="1:40" x14ac:dyDescent="0.25">
      <c r="A4531" t="str">
        <f>"20190312161102224"</f>
        <v>20190312161102224</v>
      </c>
      <c r="B4531" t="str">
        <f>"1552378262211483"</f>
        <v>1552378262211483</v>
      </c>
      <c r="C4531" t="s">
        <v>40</v>
      </c>
      <c r="D4531">
        <v>5.6504450000000004</v>
      </c>
      <c r="E4531">
        <v>0.3649752</v>
      </c>
      <c r="F4531" t="s">
        <v>41</v>
      </c>
      <c r="G4531">
        <v>-385.3125</v>
      </c>
      <c r="H4531" s="1">
        <v>-3.0042470000000002E-6</v>
      </c>
      <c r="I4531">
        <v>134.2681</v>
      </c>
      <c r="J4531">
        <v>-356.36750000000001</v>
      </c>
      <c r="K4531">
        <v>1.110052</v>
      </c>
      <c r="L4531">
        <v>141.7518</v>
      </c>
      <c r="M4531">
        <v>-0.99987130000000002</v>
      </c>
      <c r="N4531">
        <v>0</v>
      </c>
      <c r="O4531">
        <v>6.8025289999999999E-3</v>
      </c>
      <c r="P4531">
        <v>-0.99551029999999996</v>
      </c>
      <c r="Q4531">
        <v>-1.2163200000000001E-2</v>
      </c>
      <c r="R4531">
        <v>9.386796E-2</v>
      </c>
      <c r="S4531">
        <v>-3.0869140000000002</v>
      </c>
      <c r="T4531">
        <v>-0.11703230000000001</v>
      </c>
      <c r="U4531">
        <v>-0.78875729999999999</v>
      </c>
      <c r="V4531">
        <v>8.7092989999999995E-2</v>
      </c>
      <c r="W4531">
        <v>2.3196359999999999E-3</v>
      </c>
      <c r="X4531">
        <v>0.99619749999999996</v>
      </c>
      <c r="Y4531">
        <v>-0.25397249999999999</v>
      </c>
      <c r="Z4531">
        <v>-4.9904299999999997E-3</v>
      </c>
      <c r="AA4531">
        <v>0.96719860000000002</v>
      </c>
      <c r="AB4531">
        <v>33</v>
      </c>
      <c r="AC4531">
        <v>-28.945</v>
      </c>
      <c r="AD4531">
        <v>-1.1100550042470001</v>
      </c>
      <c r="AE4531">
        <v>-7.48369999999999</v>
      </c>
      <c r="AF4531">
        <v>-7.6698730810642797</v>
      </c>
      <c r="AG4531">
        <v>-1.1100550042470001</v>
      </c>
      <c r="AH4531">
        <v>28.853638943342698</v>
      </c>
      <c r="AI4531">
        <v>92.129318830067504</v>
      </c>
      <c r="AJ4531">
        <v>104.886115553568</v>
      </c>
      <c r="AK4531">
        <v>29.876272449301101</v>
      </c>
      <c r="AL4531">
        <v>89.867094529907703</v>
      </c>
      <c r="AM4531">
        <v>85.0035957871454</v>
      </c>
      <c r="AN4531">
        <v>1.00000001431228</v>
      </c>
    </row>
    <row r="4532" spans="1:40" x14ac:dyDescent="0.25">
      <c r="A4532" t="str">
        <f>"20190312161102246"</f>
        <v>20190312161102246</v>
      </c>
      <c r="B4532" t="str">
        <f>"1552378262241740"</f>
        <v>1552378262241740</v>
      </c>
      <c r="C4532" t="s">
        <v>40</v>
      </c>
      <c r="D4532">
        <v>5.6185710000000002</v>
      </c>
      <c r="E4532">
        <v>0.36519160000000001</v>
      </c>
      <c r="F4532" t="s">
        <v>41</v>
      </c>
      <c r="G4532">
        <v>-385.3535</v>
      </c>
      <c r="H4532" s="1">
        <v>-2.974415E-6</v>
      </c>
      <c r="I4532">
        <v>134.32769999999999</v>
      </c>
      <c r="J4532">
        <v>-356.70119999999997</v>
      </c>
      <c r="K4532">
        <v>1.110053</v>
      </c>
      <c r="L4532">
        <v>141.75399999999999</v>
      </c>
      <c r="M4532">
        <v>-0.99987159999999997</v>
      </c>
      <c r="N4532">
        <v>0</v>
      </c>
      <c r="O4532">
        <v>6.7588680000000003E-3</v>
      </c>
      <c r="P4532">
        <v>-0.99554350000000003</v>
      </c>
      <c r="Q4532">
        <v>-1.226678E-2</v>
      </c>
      <c r="R4532">
        <v>9.3500509999999995E-2</v>
      </c>
      <c r="S4532">
        <v>-3.0866389999999999</v>
      </c>
      <c r="T4532">
        <v>-0.1182069</v>
      </c>
      <c r="U4532">
        <v>-0.79055790000000004</v>
      </c>
      <c r="V4532">
        <v>8.6768689999999996E-2</v>
      </c>
      <c r="W4532">
        <v>2.2128249999999999E-3</v>
      </c>
      <c r="X4532">
        <v>0.99622599999999994</v>
      </c>
      <c r="Y4532">
        <v>-0.2544766</v>
      </c>
      <c r="Z4532">
        <v>-5.0484070000000004E-3</v>
      </c>
      <c r="AA4532">
        <v>0.96706579999999998</v>
      </c>
      <c r="AB4532">
        <v>33</v>
      </c>
      <c r="AC4532">
        <v>-28.6523</v>
      </c>
      <c r="AD4532">
        <v>-1.110055974415</v>
      </c>
      <c r="AE4532">
        <v>-7.4262999999999897</v>
      </c>
      <c r="AF4532">
        <v>-7.6091058289567002</v>
      </c>
      <c r="AG4532">
        <v>-1.110055974415</v>
      </c>
      <c r="AH4532">
        <v>28.561275820580502</v>
      </c>
      <c r="AI4532">
        <v>92.1507798724342</v>
      </c>
      <c r="AJ4532">
        <v>104.917867162584</v>
      </c>
      <c r="AK4532">
        <v>29.578323013346701</v>
      </c>
      <c r="AL4532">
        <v>89.873214359757398</v>
      </c>
      <c r="AM4532">
        <v>85.022248467262301</v>
      </c>
      <c r="AN4532">
        <v>0.99999997261739704</v>
      </c>
    </row>
    <row r="4533" spans="1:40" x14ac:dyDescent="0.25">
      <c r="A4533" t="str">
        <f>"20190312161102269"</f>
        <v>20190312161102269</v>
      </c>
      <c r="B4533" t="str">
        <f>"1552378262261258"</f>
        <v>1552378262261258</v>
      </c>
      <c r="C4533" t="s">
        <v>40</v>
      </c>
      <c r="D4533">
        <v>5.6168559999999896</v>
      </c>
      <c r="E4533">
        <v>0.36522779999999999</v>
      </c>
      <c r="F4533" t="s">
        <v>41</v>
      </c>
      <c r="G4533">
        <v>-384.38920000000002</v>
      </c>
      <c r="H4533" s="1">
        <v>-3.26736E-6</v>
      </c>
      <c r="I4533">
        <v>134.6662</v>
      </c>
      <c r="J4533">
        <v>-357.04489999999998</v>
      </c>
      <c r="K4533">
        <v>1.1100509999999999</v>
      </c>
      <c r="L4533">
        <v>141.75630000000001</v>
      </c>
      <c r="M4533">
        <v>-0.99987199999999998</v>
      </c>
      <c r="N4533">
        <v>0</v>
      </c>
      <c r="O4533">
        <v>6.7137209999999998E-3</v>
      </c>
      <c r="P4533">
        <v>-0.99556520000000004</v>
      </c>
      <c r="Q4533">
        <v>-1.264125E-2</v>
      </c>
      <c r="R4533">
        <v>9.322039E-2</v>
      </c>
      <c r="S4533">
        <v>-3.08609</v>
      </c>
      <c r="T4533">
        <v>-0.12372660000000001</v>
      </c>
      <c r="U4533">
        <v>-0.78999330000000001</v>
      </c>
      <c r="V4533">
        <v>8.6533449999999998E-2</v>
      </c>
      <c r="W4533">
        <v>1.835171E-3</v>
      </c>
      <c r="X4533">
        <v>0.9962472</v>
      </c>
      <c r="Y4533">
        <v>-0.25429109999999999</v>
      </c>
      <c r="Z4533">
        <v>-5.2795589999999996E-3</v>
      </c>
      <c r="AA4533">
        <v>0.96711329999999995</v>
      </c>
      <c r="AB4533">
        <v>33</v>
      </c>
      <c r="AC4533">
        <v>-27.3443</v>
      </c>
      <c r="AD4533">
        <v>-1.11005426736</v>
      </c>
      <c r="AE4533">
        <v>-7.0900999999999996</v>
      </c>
      <c r="AF4533">
        <v>-7.2623272406673003</v>
      </c>
      <c r="AG4533">
        <v>-1.11005426736</v>
      </c>
      <c r="AH4533">
        <v>27.253992719513601</v>
      </c>
      <c r="AI4533">
        <v>92.253807373194903</v>
      </c>
      <c r="AJ4533">
        <v>104.920809828134</v>
      </c>
      <c r="AK4533">
        <v>28.226826541117301</v>
      </c>
      <c r="AL4533">
        <v>89.894852382176495</v>
      </c>
      <c r="AM4533">
        <v>85.0357813120212</v>
      </c>
      <c r="AN4533">
        <v>0.99999994466466902</v>
      </c>
    </row>
    <row r="4534" spans="1:40" x14ac:dyDescent="0.25">
      <c r="A4534" t="str">
        <f>"20190312161102290"</f>
        <v>20190312161102290</v>
      </c>
      <c r="B4534" t="str">
        <f>"1552378262281754"</f>
        <v>1552378262281754</v>
      </c>
      <c r="C4534" t="s">
        <v>40</v>
      </c>
      <c r="D4534">
        <v>5.7085699999999999</v>
      </c>
      <c r="E4534">
        <v>0.36517349999999998</v>
      </c>
      <c r="F4534" t="s">
        <v>41</v>
      </c>
      <c r="G4534">
        <v>-384.14269999999999</v>
      </c>
      <c r="H4534" s="1">
        <v>-3.347103E-6</v>
      </c>
      <c r="I4534">
        <v>134.81280000000001</v>
      </c>
      <c r="J4534">
        <v>-357.37130000000002</v>
      </c>
      <c r="K4534">
        <v>1.1100449999999999</v>
      </c>
      <c r="L4534">
        <v>141.75839999999999</v>
      </c>
      <c r="M4534">
        <v>-0.99987250000000005</v>
      </c>
      <c r="N4534">
        <v>0</v>
      </c>
      <c r="O4534">
        <v>6.6705990000000001E-3</v>
      </c>
      <c r="P4534">
        <v>-0.99559900000000001</v>
      </c>
      <c r="Q4534">
        <v>-1.251798E-2</v>
      </c>
      <c r="R4534">
        <v>9.2876479999999997E-2</v>
      </c>
      <c r="S4534">
        <v>-3.085785</v>
      </c>
      <c r="T4534">
        <v>-0.12640850000000001</v>
      </c>
      <c r="U4534">
        <v>-0.79067989999999999</v>
      </c>
      <c r="V4534">
        <v>8.6232249999999996E-2</v>
      </c>
      <c r="W4534">
        <v>1.954856E-3</v>
      </c>
      <c r="X4534">
        <v>0.99627319999999997</v>
      </c>
      <c r="Y4534">
        <v>-0.25446560000000001</v>
      </c>
      <c r="Z4534">
        <v>-5.3960509999999998E-3</v>
      </c>
      <c r="AA4534">
        <v>0.9670668</v>
      </c>
      <c r="AB4534">
        <v>33</v>
      </c>
      <c r="AC4534">
        <v>-26.7713999999999</v>
      </c>
      <c r="AD4534">
        <v>-1.110048347103</v>
      </c>
      <c r="AE4534">
        <v>-6.9455999999999802</v>
      </c>
      <c r="AF4534">
        <v>-7.11258829896141</v>
      </c>
      <c r="AG4534">
        <v>-1.110048347103</v>
      </c>
      <c r="AH4534">
        <v>26.6814885684798</v>
      </c>
      <c r="AI4534">
        <v>92.302043140932</v>
      </c>
      <c r="AJ4534">
        <v>104.926454463418</v>
      </c>
      <c r="AK4534">
        <v>27.635537843026501</v>
      </c>
      <c r="AL4534">
        <v>89.887994936547798</v>
      </c>
      <c r="AM4534">
        <v>85.053103007467598</v>
      </c>
      <c r="AN4534">
        <v>1.0000000557201401</v>
      </c>
    </row>
    <row r="4535" spans="1:40" x14ac:dyDescent="0.25">
      <c r="A4535" t="str">
        <f>"20190312161102312"</f>
        <v>20190312161102312</v>
      </c>
      <c r="B4535" t="str">
        <f>"1552378262301274"</f>
        <v>1552378262301274</v>
      </c>
      <c r="C4535" t="s">
        <v>40</v>
      </c>
      <c r="D4535">
        <v>5.7243659999999998</v>
      </c>
      <c r="E4535">
        <v>0.40784429999999999</v>
      </c>
      <c r="F4535" t="s">
        <v>41</v>
      </c>
      <c r="G4535">
        <v>-384.67880000000002</v>
      </c>
      <c r="H4535" s="1">
        <v>-3.128883E-6</v>
      </c>
      <c r="I4535">
        <v>134.7465</v>
      </c>
      <c r="J4535">
        <v>-357.68389999999999</v>
      </c>
      <c r="K4535">
        <v>1.110047</v>
      </c>
      <c r="L4535">
        <v>141.76050000000001</v>
      </c>
      <c r="M4535">
        <v>-0.99987269999999995</v>
      </c>
      <c r="N4535">
        <v>0</v>
      </c>
      <c r="O4535">
        <v>6.6292640000000002E-3</v>
      </c>
      <c r="P4535">
        <v>-0.99558029999999997</v>
      </c>
      <c r="Q4535">
        <v>-1.2166659999999999E-2</v>
      </c>
      <c r="R4535">
        <v>9.312434E-2</v>
      </c>
      <c r="S4535">
        <v>-3.0856020000000002</v>
      </c>
      <c r="T4535">
        <v>-0.12542990000000001</v>
      </c>
      <c r="U4535">
        <v>-0.79229740000000004</v>
      </c>
      <c r="V4535">
        <v>8.6521529999999999E-2</v>
      </c>
      <c r="W4535">
        <v>2.301993E-3</v>
      </c>
      <c r="X4535">
        <v>0.99624740000000001</v>
      </c>
      <c r="Y4535">
        <v>-0.25491789999999998</v>
      </c>
      <c r="Z4535">
        <v>-5.3616660000000002E-3</v>
      </c>
      <c r="AA4535">
        <v>0.96694789999999997</v>
      </c>
      <c r="AB4535">
        <v>33</v>
      </c>
      <c r="AC4535">
        <v>-26.994900000000001</v>
      </c>
      <c r="AD4535">
        <v>-1.110050128883</v>
      </c>
      <c r="AE4535">
        <v>-7.0140000000000002</v>
      </c>
      <c r="AF4535">
        <v>-7.1814457434478003</v>
      </c>
      <c r="AG4535">
        <v>-1.110050128883</v>
      </c>
      <c r="AH4535">
        <v>26.9051868516094</v>
      </c>
      <c r="AI4535">
        <v>92.282732500904501</v>
      </c>
      <c r="AJ4535">
        <v>104.94479519344701</v>
      </c>
      <c r="AK4535">
        <v>27.8692384857343</v>
      </c>
      <c r="AL4535">
        <v>89.868105410452102</v>
      </c>
      <c r="AM4535">
        <v>85.036462709216906</v>
      </c>
      <c r="AN4535">
        <v>1.0000000781660301</v>
      </c>
    </row>
    <row r="4536" spans="1:40" x14ac:dyDescent="0.25">
      <c r="A4536" t="str">
        <f>"20190312161102334"</f>
        <v>20190312161102334</v>
      </c>
      <c r="B4536" t="str">
        <f>"1552378262331531"</f>
        <v>1552378262331531</v>
      </c>
      <c r="C4536" t="s">
        <v>40</v>
      </c>
      <c r="D4536">
        <v>5.4675180000000001</v>
      </c>
      <c r="E4536">
        <v>0.40938669999999999</v>
      </c>
      <c r="F4536" t="s">
        <v>41</v>
      </c>
      <c r="G4536">
        <v>-383.25420000000003</v>
      </c>
      <c r="H4536" s="1">
        <v>-3.168117E-6</v>
      </c>
      <c r="I4536">
        <v>137.97069999999999</v>
      </c>
      <c r="J4536">
        <v>-358.0104</v>
      </c>
      <c r="K4536">
        <v>1.1100589999999999</v>
      </c>
      <c r="L4536">
        <v>141.76259999999999</v>
      </c>
      <c r="M4536">
        <v>-0.99987300000000001</v>
      </c>
      <c r="N4536">
        <v>0</v>
      </c>
      <c r="O4536">
        <v>6.5859639999999997E-3</v>
      </c>
      <c r="P4536">
        <v>-0.99558389999999997</v>
      </c>
      <c r="Q4536">
        <v>-1.251939E-2</v>
      </c>
      <c r="R4536">
        <v>9.3038720000000005E-2</v>
      </c>
      <c r="S4536">
        <v>-3.0540470000000002</v>
      </c>
      <c r="T4536">
        <v>-0.13258159999999999</v>
      </c>
      <c r="U4536">
        <v>-0.45262150000000001</v>
      </c>
      <c r="V4536">
        <v>8.6479070000000005E-2</v>
      </c>
      <c r="W4536">
        <v>1.9457960000000001E-3</v>
      </c>
      <c r="X4536">
        <v>0.99625180000000002</v>
      </c>
      <c r="Y4536">
        <v>-0.15296779999999999</v>
      </c>
      <c r="Z4536">
        <v>-3.5850249999999999E-3</v>
      </c>
      <c r="AA4536">
        <v>0.98822469999999996</v>
      </c>
      <c r="AB4536">
        <v>33</v>
      </c>
      <c r="AC4536">
        <v>-25.2438</v>
      </c>
      <c r="AD4536">
        <v>-1.110062168117</v>
      </c>
      <c r="AE4536">
        <v>-3.7918999999999898</v>
      </c>
      <c r="AF4536">
        <v>-3.9506193340501801</v>
      </c>
      <c r="AG4536">
        <v>-1.110062168117</v>
      </c>
      <c r="AH4536">
        <v>25.170678335114399</v>
      </c>
      <c r="AI4536">
        <v>92.494686649503393</v>
      </c>
      <c r="AJ4536">
        <v>98.919986937753293</v>
      </c>
      <c r="AK4536">
        <v>25.502993529965298</v>
      </c>
      <c r="AL4536">
        <v>89.888514034661597</v>
      </c>
      <c r="AM4536">
        <v>85.0389081818102</v>
      </c>
      <c r="AN4536">
        <v>1.00000003233668</v>
      </c>
    </row>
    <row r="4537" spans="1:40" x14ac:dyDescent="0.25">
      <c r="A4537" t="str">
        <f>"20190312161102356"</f>
        <v>20190312161102356</v>
      </c>
      <c r="B4537" t="str">
        <f>"1552378262351051"</f>
        <v>1552378262351051</v>
      </c>
      <c r="C4537" t="s">
        <v>40</v>
      </c>
      <c r="D4537">
        <v>5.5814409999999999</v>
      </c>
      <c r="E4537">
        <v>0.41154950000000001</v>
      </c>
      <c r="F4537" t="s">
        <v>41</v>
      </c>
      <c r="G4537">
        <v>-390.4905</v>
      </c>
      <c r="H4537" s="1">
        <v>-4.512385E-6</v>
      </c>
      <c r="I4537">
        <v>137.07640000000001</v>
      </c>
      <c r="J4537">
        <v>-358.34899999999999</v>
      </c>
      <c r="K4537">
        <v>1.1100540000000001</v>
      </c>
      <c r="L4537">
        <v>141.76480000000001</v>
      </c>
      <c r="M4537">
        <v>-0.99987340000000002</v>
      </c>
      <c r="N4537">
        <v>0</v>
      </c>
      <c r="O4537">
        <v>6.5412930000000001E-3</v>
      </c>
      <c r="P4537">
        <v>-0.99563610000000002</v>
      </c>
      <c r="Q4537">
        <v>-1.195706E-2</v>
      </c>
      <c r="R4537">
        <v>9.2553880000000005E-2</v>
      </c>
      <c r="S4537">
        <v>-3.0531009999999998</v>
      </c>
      <c r="T4537">
        <v>-0.1043452</v>
      </c>
      <c r="U4537">
        <v>-0.44049070000000001</v>
      </c>
      <c r="V4537">
        <v>8.6038489999999995E-2</v>
      </c>
      <c r="W4537">
        <v>2.505125E-3</v>
      </c>
      <c r="X4537">
        <v>0.99628870000000003</v>
      </c>
      <c r="Y4537">
        <v>-0.1491808</v>
      </c>
      <c r="Z4537">
        <v>-2.7577959999999999E-3</v>
      </c>
      <c r="AA4537">
        <v>0.98880610000000002</v>
      </c>
      <c r="AB4537">
        <v>33</v>
      </c>
      <c r="AC4537">
        <v>-32.141500000000001</v>
      </c>
      <c r="AD4537">
        <v>-1.110058512385</v>
      </c>
      <c r="AE4537">
        <v>-4.6883999999999997</v>
      </c>
      <c r="AF4537">
        <v>-4.8928542653709304</v>
      </c>
      <c r="AG4537">
        <v>-1.110058512385</v>
      </c>
      <c r="AH4537">
        <v>32.072682221743399</v>
      </c>
      <c r="AI4537">
        <v>91.959602850823998</v>
      </c>
      <c r="AJ4537">
        <v>98.673891949859893</v>
      </c>
      <c r="AK4537">
        <v>32.462735523366</v>
      </c>
      <c r="AL4537">
        <v>89.856466765326502</v>
      </c>
      <c r="AM4537">
        <v>85.0642399009608</v>
      </c>
      <c r="AN4537">
        <v>1.0000000355802099</v>
      </c>
    </row>
    <row r="4538" spans="1:40" x14ac:dyDescent="0.25">
      <c r="A4538" t="str">
        <f>"20190312161102379"</f>
        <v>20190312161102379</v>
      </c>
      <c r="B4538" t="str">
        <f>"1552378262371548"</f>
        <v>1552378262371548</v>
      </c>
      <c r="C4538" t="s">
        <v>40</v>
      </c>
      <c r="D4538">
        <v>5.5773229999999998</v>
      </c>
      <c r="E4538">
        <v>0.41264099999999998</v>
      </c>
      <c r="F4538" t="s">
        <v>41</v>
      </c>
      <c r="G4538">
        <v>-394.18979999999999</v>
      </c>
      <c r="H4538" s="1">
        <v>-2.9786839999999999E-6</v>
      </c>
      <c r="I4538">
        <v>136.77590000000001</v>
      </c>
      <c r="J4538">
        <v>-358.67790000000002</v>
      </c>
      <c r="K4538">
        <v>1.110053</v>
      </c>
      <c r="L4538">
        <v>141.76689999999999</v>
      </c>
      <c r="M4538">
        <v>-0.99987360000000003</v>
      </c>
      <c r="N4538">
        <v>0</v>
      </c>
      <c r="O4538">
        <v>6.4982869999999898E-3</v>
      </c>
      <c r="P4538">
        <v>-0.9956353</v>
      </c>
      <c r="Q4538">
        <v>-1.185927E-2</v>
      </c>
      <c r="R4538">
        <v>9.2572269999999998E-2</v>
      </c>
      <c r="S4538">
        <v>-3.0514830000000002</v>
      </c>
      <c r="T4538">
        <v>-9.4510200000000003E-2</v>
      </c>
      <c r="U4538">
        <v>-0.4247437</v>
      </c>
      <c r="V4538">
        <v>8.6099389999999998E-2</v>
      </c>
      <c r="W4538">
        <v>2.5990620000000001E-3</v>
      </c>
      <c r="X4538">
        <v>0.99628320000000004</v>
      </c>
      <c r="Y4538">
        <v>-0.14422650000000001</v>
      </c>
      <c r="Z4538">
        <v>-2.4225380000000001E-3</v>
      </c>
      <c r="AA4538">
        <v>0.98954169999999997</v>
      </c>
      <c r="AB4538">
        <v>33</v>
      </c>
      <c r="AC4538">
        <v>-35.511899999999898</v>
      </c>
      <c r="AD4538">
        <v>-1.1100559786840001</v>
      </c>
      <c r="AE4538">
        <v>-4.9909999999999801</v>
      </c>
      <c r="AF4538">
        <v>-5.2166868894203402</v>
      </c>
      <c r="AG4538">
        <v>-1.1100559786840001</v>
      </c>
      <c r="AH4538">
        <v>35.444751226576798</v>
      </c>
      <c r="AI4538">
        <v>91.774692759649099</v>
      </c>
      <c r="AJ4538">
        <v>98.372568655067198</v>
      </c>
      <c r="AK4538">
        <v>35.843778203364401</v>
      </c>
      <c r="AL4538">
        <v>89.851084554610594</v>
      </c>
      <c r="AM4538">
        <v>85.060736402269399</v>
      </c>
      <c r="AN4538">
        <v>1.00000003734194</v>
      </c>
    </row>
    <row r="4539" spans="1:40" x14ac:dyDescent="0.25">
      <c r="A4539" t="str">
        <f>"20190312161102401"</f>
        <v>20190312161102401</v>
      </c>
      <c r="B4539" t="str">
        <f>"1552378262391066"</f>
        <v>1552378262391066</v>
      </c>
      <c r="C4539" t="s">
        <v>40</v>
      </c>
      <c r="D4539">
        <v>5.5847949999999997</v>
      </c>
      <c r="E4539">
        <v>0.41342449999999997</v>
      </c>
      <c r="F4539" t="s">
        <v>41</v>
      </c>
      <c r="G4539">
        <v>-397.14909999999998</v>
      </c>
      <c r="H4539" s="1">
        <v>-1.7804989999999999E-6</v>
      </c>
      <c r="I4539">
        <v>136.51820000000001</v>
      </c>
      <c r="J4539">
        <v>-358.99950000000001</v>
      </c>
      <c r="K4539">
        <v>1.1100559999999999</v>
      </c>
      <c r="L4539">
        <v>141.7689</v>
      </c>
      <c r="M4539">
        <v>-0.99987400000000004</v>
      </c>
      <c r="N4539">
        <v>0</v>
      </c>
      <c r="O4539">
        <v>6.4561769999999996E-3</v>
      </c>
      <c r="P4539">
        <v>-0.99563740000000001</v>
      </c>
      <c r="Q4539">
        <v>-1.1674520000000001E-2</v>
      </c>
      <c r="R4539">
        <v>9.2573080000000002E-2</v>
      </c>
      <c r="S4539">
        <v>-3.0507810000000002</v>
      </c>
      <c r="T4539">
        <v>-8.8027720000000004E-2</v>
      </c>
      <c r="U4539">
        <v>-0.41621399999999997</v>
      </c>
      <c r="V4539">
        <v>8.6142300000000005E-2</v>
      </c>
      <c r="W4539">
        <v>2.7797820000000002E-3</v>
      </c>
      <c r="X4539">
        <v>0.99627889999999997</v>
      </c>
      <c r="Y4539">
        <v>-0.14151079999999999</v>
      </c>
      <c r="Z4539">
        <v>-2.2171869999999998E-3</v>
      </c>
      <c r="AA4539">
        <v>0.98993419999999999</v>
      </c>
      <c r="AB4539">
        <v>33</v>
      </c>
      <c r="AC4539">
        <v>-38.1495999999999</v>
      </c>
      <c r="AD4539">
        <v>-1.1100577804989999</v>
      </c>
      <c r="AE4539">
        <v>-5.2506999999999904</v>
      </c>
      <c r="AF4539">
        <v>-5.4923532912702298</v>
      </c>
      <c r="AG4539">
        <v>-1.1100577804989999</v>
      </c>
      <c r="AH4539">
        <v>38.083257445833198</v>
      </c>
      <c r="AI4539">
        <v>91.652507737904799</v>
      </c>
      <c r="AJ4539">
        <v>98.206591176302496</v>
      </c>
      <c r="AK4539">
        <v>38.493280850530098</v>
      </c>
      <c r="AL4539">
        <v>89.840730007932294</v>
      </c>
      <c r="AM4539">
        <v>85.058265747927194</v>
      </c>
      <c r="AN4539">
        <v>0.99999993481123095</v>
      </c>
    </row>
    <row r="4540" spans="1:40" x14ac:dyDescent="0.25">
      <c r="A4540" t="str">
        <f>"20190312161102425"</f>
        <v>20190312161102425</v>
      </c>
      <c r="B4540" t="str">
        <f>"1552378262411562"</f>
        <v>1552378262411562</v>
      </c>
      <c r="C4540" t="s">
        <v>40</v>
      </c>
      <c r="D4540">
        <v>5.5388999999999999</v>
      </c>
      <c r="E4540">
        <v>0.41424810000000001</v>
      </c>
      <c r="F4540" t="s">
        <v>41</v>
      </c>
      <c r="G4540">
        <v>-397.24419999999998</v>
      </c>
      <c r="H4540" s="1">
        <v>-1.718594E-6</v>
      </c>
      <c r="I4540">
        <v>136.6293</v>
      </c>
      <c r="J4540">
        <v>-359.33440000000002</v>
      </c>
      <c r="K4540">
        <v>1.1100559999999999</v>
      </c>
      <c r="L4540">
        <v>141.77109999999999</v>
      </c>
      <c r="M4540">
        <v>-0.99987429999999999</v>
      </c>
      <c r="N4540">
        <v>0</v>
      </c>
      <c r="O4540">
        <v>6.4123390000000004E-3</v>
      </c>
      <c r="P4540">
        <v>-0.99557269999999998</v>
      </c>
      <c r="Q4540">
        <v>-1.192124E-2</v>
      </c>
      <c r="R4540">
        <v>9.3235689999999996E-2</v>
      </c>
      <c r="S4540">
        <v>-3.0502319999999998</v>
      </c>
      <c r="T4540">
        <v>-8.8533399999999998E-2</v>
      </c>
      <c r="U4540">
        <v>-0.4099121</v>
      </c>
      <c r="V4540">
        <v>8.6849060000000006E-2</v>
      </c>
      <c r="W4540">
        <v>2.52849E-3</v>
      </c>
      <c r="X4540">
        <v>0.9962183</v>
      </c>
      <c r="Y4540">
        <v>-0.13948260000000001</v>
      </c>
      <c r="Z4540">
        <v>-2.2000610000000001E-3</v>
      </c>
      <c r="AA4540">
        <v>0.99022209999999999</v>
      </c>
      <c r="AB4540">
        <v>33</v>
      </c>
      <c r="AC4540">
        <v>-37.909799999999898</v>
      </c>
      <c r="AD4540">
        <v>-1.1100577185939999</v>
      </c>
      <c r="AE4540">
        <v>-5.1417999999999804</v>
      </c>
      <c r="AF4540">
        <v>-5.3802805445201303</v>
      </c>
      <c r="AG4540">
        <v>-1.1100577185939999</v>
      </c>
      <c r="AH4540">
        <v>37.844184191120299</v>
      </c>
      <c r="AI4540">
        <v>91.663419423600402</v>
      </c>
      <c r="AJ4540">
        <v>98.091475421166095</v>
      </c>
      <c r="AK4540">
        <v>38.240841046815298</v>
      </c>
      <c r="AL4540">
        <v>89.855128043983896</v>
      </c>
      <c r="AM4540">
        <v>85.017622677697702</v>
      </c>
      <c r="AN4540">
        <v>1.00000002686972</v>
      </c>
    </row>
    <row r="4541" spans="1:40" x14ac:dyDescent="0.25">
      <c r="A4541" t="str">
        <f>"20190312161102448"</f>
        <v>20190312161102448</v>
      </c>
      <c r="B4541" t="str">
        <f>"1552378262441819"</f>
        <v>1552378262441819</v>
      </c>
      <c r="C4541" t="s">
        <v>40</v>
      </c>
      <c r="D4541">
        <v>5.6261429999999999</v>
      </c>
      <c r="E4541">
        <v>0.4147769</v>
      </c>
      <c r="F4541" t="s">
        <v>41</v>
      </c>
      <c r="G4541">
        <v>-396.22899999999998</v>
      </c>
      <c r="H4541" s="1">
        <v>-2.079133E-6</v>
      </c>
      <c r="I4541">
        <v>136.91550000000001</v>
      </c>
      <c r="J4541">
        <v>-359.68770000000001</v>
      </c>
      <c r="K4541">
        <v>1.1100559999999999</v>
      </c>
      <c r="L4541">
        <v>141.77330000000001</v>
      </c>
      <c r="M4541">
        <v>-0.99987479999999995</v>
      </c>
      <c r="N4541">
        <v>0</v>
      </c>
      <c r="O4541">
        <v>6.3654619999999997E-3</v>
      </c>
      <c r="P4541">
        <v>-0.99558420000000003</v>
      </c>
      <c r="Q4541">
        <v>-1.2028809999999999E-2</v>
      </c>
      <c r="R4541">
        <v>9.309974E-2</v>
      </c>
      <c r="S4541">
        <v>-3.0498959999999999</v>
      </c>
      <c r="T4541">
        <v>-9.1763140000000007E-2</v>
      </c>
      <c r="U4541">
        <v>-0.40138239999999997</v>
      </c>
      <c r="V4541">
        <v>8.6759589999999998E-2</v>
      </c>
      <c r="W4541">
        <v>2.417864E-3</v>
      </c>
      <c r="X4541">
        <v>0.99622639999999996</v>
      </c>
      <c r="Y4541">
        <v>-0.1367256</v>
      </c>
      <c r="Z4541">
        <v>-2.2382579999999999E-3</v>
      </c>
      <c r="AA4541">
        <v>0.9906064</v>
      </c>
      <c r="AB4541">
        <v>33</v>
      </c>
      <c r="AC4541">
        <v>-36.5413</v>
      </c>
      <c r="AD4541">
        <v>-1.1100580791329999</v>
      </c>
      <c r="AE4541">
        <v>-4.8577999999999903</v>
      </c>
      <c r="AF4541">
        <v>-5.0857164631794598</v>
      </c>
      <c r="AG4541">
        <v>-1.1100580791329999</v>
      </c>
      <c r="AH4541">
        <v>36.4765569214428</v>
      </c>
      <c r="AI4541">
        <v>91.726403821041302</v>
      </c>
      <c r="AJ4541">
        <v>97.937253733862306</v>
      </c>
      <c r="AK4541">
        <v>36.846111677165602</v>
      </c>
      <c r="AL4541">
        <v>89.861466470181796</v>
      </c>
      <c r="AM4541">
        <v>85.022769882501507</v>
      </c>
      <c r="AN4541">
        <v>1.0000000562901199</v>
      </c>
    </row>
    <row r="4542" spans="1:40" x14ac:dyDescent="0.25">
      <c r="A4542" t="str">
        <f>"20190312161102470"</f>
        <v>20190312161102470</v>
      </c>
      <c r="B4542" t="str">
        <f>"1552378262461339"</f>
        <v>1552378262461339</v>
      </c>
      <c r="C4542" t="s">
        <v>40</v>
      </c>
      <c r="D4542">
        <v>5.6446839999999998</v>
      </c>
      <c r="E4542">
        <v>0.4151183</v>
      </c>
      <c r="F4542" t="s">
        <v>41</v>
      </c>
      <c r="G4542">
        <v>-395.6891</v>
      </c>
      <c r="H4542" s="1">
        <v>-2.2817999999999999E-6</v>
      </c>
      <c r="I4542">
        <v>137.07849999999999</v>
      </c>
      <c r="J4542">
        <v>-360.00830000000002</v>
      </c>
      <c r="K4542">
        <v>1.1100650000000001</v>
      </c>
      <c r="L4542">
        <v>141.77529999999999</v>
      </c>
      <c r="M4542">
        <v>-0.99987499999999996</v>
      </c>
      <c r="N4542">
        <v>0</v>
      </c>
      <c r="O4542">
        <v>6.3236459999999996E-3</v>
      </c>
      <c r="P4542">
        <v>-0.99559399999999998</v>
      </c>
      <c r="Q4542">
        <v>-1.1456839999999999E-2</v>
      </c>
      <c r="R4542">
        <v>9.3066880000000005E-2</v>
      </c>
      <c r="S4542">
        <v>-3.049347</v>
      </c>
      <c r="T4542">
        <v>-9.4022750000000002E-2</v>
      </c>
      <c r="U4542">
        <v>-0.397644</v>
      </c>
      <c r="V4542">
        <v>8.6768419999999999E-2</v>
      </c>
      <c r="W4542">
        <v>2.986729E-3</v>
      </c>
      <c r="X4542">
        <v>0.996224</v>
      </c>
      <c r="Y4542">
        <v>-0.13551050000000001</v>
      </c>
      <c r="Z4542">
        <v>-2.2740070000000002E-3</v>
      </c>
      <c r="AA4542">
        <v>0.99077329999999997</v>
      </c>
      <c r="AB4542">
        <v>33</v>
      </c>
      <c r="AC4542">
        <v>-35.680799999999898</v>
      </c>
      <c r="AD4542">
        <v>-1.1100672817999999</v>
      </c>
      <c r="AE4542">
        <v>-4.6967999999999899</v>
      </c>
      <c r="AF4542">
        <v>-4.9176837694080904</v>
      </c>
      <c r="AG4542">
        <v>-1.1100672817999999</v>
      </c>
      <c r="AH4542">
        <v>35.616496446988897</v>
      </c>
      <c r="AI4542">
        <v>91.768406195917393</v>
      </c>
      <c r="AJ4542">
        <v>97.861306766524095</v>
      </c>
      <c r="AK4542">
        <v>35.9715259918786</v>
      </c>
      <c r="AL4542">
        <v>89.828872773971895</v>
      </c>
      <c r="AM4542">
        <v>85.022253935818199</v>
      </c>
      <c r="AN4542">
        <v>0.99999996871770702</v>
      </c>
    </row>
    <row r="4543" spans="1:40" x14ac:dyDescent="0.25">
      <c r="A4543" t="str">
        <f>"20190312161102491"</f>
        <v>20190312161102491</v>
      </c>
      <c r="B4543" t="str">
        <f>"1552378262481835"</f>
        <v>1552378262481835</v>
      </c>
      <c r="C4543" t="s">
        <v>40</v>
      </c>
      <c r="D4543">
        <v>5.6051489999999999</v>
      </c>
      <c r="E4543">
        <v>0.41532530000000001</v>
      </c>
      <c r="F4543" t="s">
        <v>41</v>
      </c>
      <c r="G4543">
        <v>-395.46870000000001</v>
      </c>
      <c r="H4543" s="1">
        <v>-2.3582970000000001E-6</v>
      </c>
      <c r="I4543">
        <v>137.18029999999999</v>
      </c>
      <c r="J4543">
        <v>-360.32339999999999</v>
      </c>
      <c r="K4543">
        <v>1.1100699999999999</v>
      </c>
      <c r="L4543">
        <v>141.77719999999999</v>
      </c>
      <c r="M4543">
        <v>-0.99987539999999997</v>
      </c>
      <c r="N4543">
        <v>0</v>
      </c>
      <c r="O4543">
        <v>6.2820109999999997E-3</v>
      </c>
      <c r="P4543">
        <v>-0.99559180000000003</v>
      </c>
      <c r="Q4543">
        <v>-1.106351E-2</v>
      </c>
      <c r="R4543">
        <v>9.313813E-2</v>
      </c>
      <c r="S4543">
        <v>-3.0491329999999999</v>
      </c>
      <c r="T4543">
        <v>-9.5451469999999997E-2</v>
      </c>
      <c r="U4543">
        <v>-0.3950958</v>
      </c>
      <c r="V4543">
        <v>8.6881139999999996E-2</v>
      </c>
      <c r="W4543">
        <v>3.3763030000000002E-3</v>
      </c>
      <c r="X4543">
        <v>0.99621300000000002</v>
      </c>
      <c r="Y4543">
        <v>-0.13466229999999901</v>
      </c>
      <c r="Z4543">
        <v>-2.2943120000000002E-3</v>
      </c>
      <c r="AA4543">
        <v>0.99088889999999996</v>
      </c>
      <c r="AB4543">
        <v>33</v>
      </c>
      <c r="AC4543">
        <v>-35.145299999999999</v>
      </c>
      <c r="AD4543">
        <v>-1.110072358297</v>
      </c>
      <c r="AE4543">
        <v>-4.5968999999999998</v>
      </c>
      <c r="AF4543">
        <v>-4.8128948798515596</v>
      </c>
      <c r="AG4543">
        <v>-1.110072358297</v>
      </c>
      <c r="AH4543">
        <v>35.0813161744776</v>
      </c>
      <c r="AI4543">
        <v>91.795588101356302</v>
      </c>
      <c r="AJ4543">
        <v>97.811786520125196</v>
      </c>
      <c r="AK4543">
        <v>35.427319434284399</v>
      </c>
      <c r="AL4543">
        <v>89.806551727296196</v>
      </c>
      <c r="AM4543">
        <v>85.015765190383803</v>
      </c>
      <c r="AN4543">
        <v>1.00000003663932</v>
      </c>
    </row>
    <row r="4544" spans="1:40" x14ac:dyDescent="0.25">
      <c r="A4544" t="str">
        <f>"20190312161102513"</f>
        <v>20190312161102513</v>
      </c>
      <c r="B4544" t="str">
        <f>"1552378262501355"</f>
        <v>1552378262501355</v>
      </c>
      <c r="C4544" t="s">
        <v>40</v>
      </c>
      <c r="D4544">
        <v>5.607469</v>
      </c>
      <c r="E4544">
        <v>0.41550730000000002</v>
      </c>
      <c r="F4544" t="s">
        <v>41</v>
      </c>
      <c r="G4544">
        <v>-395.6703</v>
      </c>
      <c r="H4544" s="1">
        <v>-2.2647379999999999E-6</v>
      </c>
      <c r="I4544">
        <v>137.22030000000001</v>
      </c>
      <c r="J4544">
        <v>-360.63709999999998</v>
      </c>
      <c r="K4544">
        <v>1.1100699999999999</v>
      </c>
      <c r="L4544">
        <v>141.7791</v>
      </c>
      <c r="M4544">
        <v>-0.99987570000000003</v>
      </c>
      <c r="N4544">
        <v>0</v>
      </c>
      <c r="O4544">
        <v>6.2403769999999897E-3</v>
      </c>
      <c r="P4544">
        <v>-0.99557989999999996</v>
      </c>
      <c r="Q4544">
        <v>-1.1297679999999999E-2</v>
      </c>
      <c r="R4544">
        <v>9.3238329999999994E-2</v>
      </c>
      <c r="S4544">
        <v>-3.0489809999999999</v>
      </c>
      <c r="T4544">
        <v>-9.5753669999999999E-2</v>
      </c>
      <c r="U4544">
        <v>-0.39306639999999998</v>
      </c>
      <c r="V4544">
        <v>8.7022899999999903E-2</v>
      </c>
      <c r="W4544">
        <v>3.138839E-3</v>
      </c>
      <c r="X4544">
        <v>0.99620140000000001</v>
      </c>
      <c r="Y4544">
        <v>-0.1339785</v>
      </c>
      <c r="Z4544">
        <v>-2.2897920000000001E-3</v>
      </c>
      <c r="AA4544">
        <v>0.99098160000000002</v>
      </c>
      <c r="AB4544">
        <v>33</v>
      </c>
      <c r="AC4544">
        <v>-35.033200000000001</v>
      </c>
      <c r="AD4544">
        <v>-1.1100722647379999</v>
      </c>
      <c r="AE4544">
        <v>-4.55879999999999</v>
      </c>
      <c r="AF4544">
        <v>-4.77264246675227</v>
      </c>
      <c r="AG4544">
        <v>-1.1100722647379999</v>
      </c>
      <c r="AH4544">
        <v>34.969540570943799</v>
      </c>
      <c r="AI4544">
        <v>91.801495840062998</v>
      </c>
      <c r="AJ4544">
        <v>97.771710656849805</v>
      </c>
      <c r="AK4544">
        <v>35.311175912043403</v>
      </c>
      <c r="AL4544">
        <v>89.820157483423799</v>
      </c>
      <c r="AM4544">
        <v>85.007615869686703</v>
      </c>
      <c r="AN4544">
        <v>1.0000000333983099</v>
      </c>
    </row>
    <row r="4545" spans="1:40" x14ac:dyDescent="0.25">
      <c r="A4545" t="str">
        <f>"20190312161102535"</f>
        <v>20190312161102535</v>
      </c>
      <c r="B4545" t="str">
        <f>"1552378262531610"</f>
        <v>1552378262531610</v>
      </c>
      <c r="C4545" t="s">
        <v>40</v>
      </c>
      <c r="D4545">
        <v>5.6349650000000002</v>
      </c>
      <c r="E4545">
        <v>0.41568090000000002</v>
      </c>
      <c r="F4545" t="s">
        <v>41</v>
      </c>
      <c r="G4545">
        <v>-395.49579999999997</v>
      </c>
      <c r="H4545" s="1">
        <v>-2.325017E-6</v>
      </c>
      <c r="I4545">
        <v>137.30250000000001</v>
      </c>
      <c r="J4545">
        <v>-360.96749999999997</v>
      </c>
      <c r="K4545">
        <v>1.110069</v>
      </c>
      <c r="L4545">
        <v>141.78120000000001</v>
      </c>
      <c r="M4545">
        <v>-0.99987599999999999</v>
      </c>
      <c r="N4545">
        <v>0</v>
      </c>
      <c r="O4545">
        <v>6.1967130000000004E-3</v>
      </c>
      <c r="P4545">
        <v>-0.99552790000000002</v>
      </c>
      <c r="Q4545">
        <v>-1.1752469999999999E-2</v>
      </c>
      <c r="R4545">
        <v>9.3734479999999995E-2</v>
      </c>
      <c r="S4545">
        <v>-3.0489199999999999</v>
      </c>
      <c r="T4545">
        <v>-9.7092990000000004E-2</v>
      </c>
      <c r="U4545">
        <v>-0.39154050000000001</v>
      </c>
      <c r="V4545">
        <v>8.7562920000000002E-2</v>
      </c>
      <c r="W4545">
        <v>2.6801239999999999E-3</v>
      </c>
      <c r="X4545">
        <v>0.99615540000000002</v>
      </c>
      <c r="Y4545">
        <v>-0.13344819999999999</v>
      </c>
      <c r="Z4545">
        <v>-2.3121309999999998E-3</v>
      </c>
      <c r="AA4545">
        <v>0.99105310000000002</v>
      </c>
      <c r="AB4545">
        <v>33</v>
      </c>
      <c r="AC4545">
        <v>-34.528300000000002</v>
      </c>
      <c r="AD4545">
        <v>-1.110071325017</v>
      </c>
      <c r="AE4545">
        <v>-4.4786999999999999</v>
      </c>
      <c r="AF4545">
        <v>-4.6878332240744598</v>
      </c>
      <c r="AG4545">
        <v>-1.110071325017</v>
      </c>
      <c r="AH4545">
        <v>34.4648474567393</v>
      </c>
      <c r="AI4545">
        <v>91.827970034070006</v>
      </c>
      <c r="AJ4545">
        <v>97.745712697118293</v>
      </c>
      <c r="AK4545">
        <v>34.799910185224199</v>
      </c>
      <c r="AL4545">
        <v>89.846440024613798</v>
      </c>
      <c r="AM4545">
        <v>84.976562912213197</v>
      </c>
      <c r="AN4545">
        <v>1.0000000144863701</v>
      </c>
    </row>
    <row r="4546" spans="1:40" x14ac:dyDescent="0.25">
      <c r="A4546" t="str">
        <f>"20190312161102561"</f>
        <v>20190312161102561</v>
      </c>
      <c r="B4546" t="str">
        <f>"1552378262551131"</f>
        <v>1552378262551131</v>
      </c>
      <c r="C4546" t="s">
        <v>40</v>
      </c>
      <c r="D4546">
        <v>5.5685769999999897</v>
      </c>
      <c r="E4546">
        <v>0.415686</v>
      </c>
      <c r="F4546" t="s">
        <v>41</v>
      </c>
      <c r="G4546">
        <v>-395.57299999999998</v>
      </c>
      <c r="H4546" s="1">
        <v>-2.2799699999999998E-6</v>
      </c>
      <c r="I4546">
        <v>137.3698</v>
      </c>
      <c r="J4546">
        <v>-361.33839999999998</v>
      </c>
      <c r="K4546">
        <v>1.1100719999999999</v>
      </c>
      <c r="L4546">
        <v>141.7834</v>
      </c>
      <c r="M4546">
        <v>-0.99987630000000005</v>
      </c>
      <c r="N4546">
        <v>0</v>
      </c>
      <c r="O4546">
        <v>6.1479859999999898E-3</v>
      </c>
      <c r="P4546">
        <v>-0.99550819999999995</v>
      </c>
      <c r="Q4546">
        <v>-1.21216E-2</v>
      </c>
      <c r="R4546">
        <v>9.3895790000000007E-2</v>
      </c>
      <c r="S4546">
        <v>-3.048889</v>
      </c>
      <c r="T4546">
        <v>-9.7802040000000007E-2</v>
      </c>
      <c r="U4546">
        <v>-0.38865660000000002</v>
      </c>
      <c r="V4546">
        <v>8.7772829999999996E-2</v>
      </c>
      <c r="W4546">
        <v>2.3067610000000001E-3</v>
      </c>
      <c r="X4546">
        <v>0.99613790000000002</v>
      </c>
      <c r="Y4546">
        <v>-0.13247829999999999</v>
      </c>
      <c r="Z4546">
        <v>-2.3121230000000001E-3</v>
      </c>
      <c r="AA4546">
        <v>0.99118320000000004</v>
      </c>
      <c r="AB4546">
        <v>33</v>
      </c>
      <c r="AC4546">
        <v>-34.2346</v>
      </c>
      <c r="AD4546">
        <v>-1.1100742799700001</v>
      </c>
      <c r="AE4546">
        <v>-4.4135999999999997</v>
      </c>
      <c r="AF4546">
        <v>-4.6192351481568803</v>
      </c>
      <c r="AG4546">
        <v>-1.1100742799700001</v>
      </c>
      <c r="AH4546">
        <v>34.171474317030999</v>
      </c>
      <c r="AI4546">
        <v>91.843863869845904</v>
      </c>
      <c r="AJ4546">
        <v>97.698469554869106</v>
      </c>
      <c r="AK4546">
        <v>34.5001341339498</v>
      </c>
      <c r="AL4546">
        <v>89.867832220188205</v>
      </c>
      <c r="AM4546">
        <v>84.964494321999098</v>
      </c>
      <c r="AN4546">
        <v>1.00000005332446</v>
      </c>
    </row>
    <row r="4547" spans="1:40" x14ac:dyDescent="0.25">
      <c r="A4547" t="str">
        <f>"20190312161102584"</f>
        <v>20190312161102584</v>
      </c>
      <c r="B4547" t="str">
        <f>"1552378262571627"</f>
        <v>1552378262571627</v>
      </c>
      <c r="C4547" t="s">
        <v>40</v>
      </c>
      <c r="D4547">
        <v>5.8429140000000004</v>
      </c>
      <c r="E4547">
        <v>0.41573789999999999</v>
      </c>
      <c r="F4547" t="s">
        <v>41</v>
      </c>
      <c r="G4547">
        <v>-394.96319999999997</v>
      </c>
      <c r="H4547" s="1">
        <v>-2.5178560000000001E-6</v>
      </c>
      <c r="I4547">
        <v>137.5033</v>
      </c>
      <c r="J4547">
        <v>-361.67070000000001</v>
      </c>
      <c r="K4547">
        <v>1.11007099999999</v>
      </c>
      <c r="L4547">
        <v>141.78540000000001</v>
      </c>
      <c r="M4547">
        <v>-0.99987669999999995</v>
      </c>
      <c r="N4547">
        <v>0</v>
      </c>
      <c r="O4547">
        <v>6.1041450000000001E-3</v>
      </c>
      <c r="P4547">
        <v>-0.9954655</v>
      </c>
      <c r="Q4547">
        <v>-1.1876390000000001E-2</v>
      </c>
      <c r="R4547">
        <v>9.4379790000000005E-2</v>
      </c>
      <c r="S4547">
        <v>-3.0489199999999999</v>
      </c>
      <c r="T4547">
        <v>-0.1006558</v>
      </c>
      <c r="U4547">
        <v>-0.38809199999999999</v>
      </c>
      <c r="V4547">
        <v>8.8300859999999995E-2</v>
      </c>
      <c r="W4547">
        <v>2.548041E-3</v>
      </c>
      <c r="X4547">
        <v>0.99609060000000005</v>
      </c>
      <c r="Y4547">
        <v>-0.13224900000000001</v>
      </c>
      <c r="Z4547">
        <v>-2.3743459999999998E-3</v>
      </c>
      <c r="AA4547">
        <v>0.99121369999999998</v>
      </c>
      <c r="AB4547">
        <v>33</v>
      </c>
      <c r="AC4547">
        <v>-33.292499999999897</v>
      </c>
      <c r="AD4547">
        <v>-1.11007351785599</v>
      </c>
      <c r="AE4547">
        <v>-4.2821000000000096</v>
      </c>
      <c r="AF4547">
        <v>-4.48036370365993</v>
      </c>
      <c r="AG4547">
        <v>-1.11007351785599</v>
      </c>
      <c r="AH4547">
        <v>33.2293964507219</v>
      </c>
      <c r="AI4547">
        <v>91.896186953293295</v>
      </c>
      <c r="AJ4547">
        <v>97.678956428759406</v>
      </c>
      <c r="AK4547">
        <v>33.548453177626101</v>
      </c>
      <c r="AL4547">
        <v>89.854007847996598</v>
      </c>
      <c r="AM4547">
        <v>84.934119223838394</v>
      </c>
      <c r="AN4547">
        <v>1.00000000889901</v>
      </c>
    </row>
    <row r="4548" spans="1:40" x14ac:dyDescent="0.25">
      <c r="A4548" t="str">
        <f>"20190312161102606"</f>
        <v>20190312161102606</v>
      </c>
      <c r="B4548" t="str">
        <f>"1552378262601882"</f>
        <v>1552378262601882</v>
      </c>
      <c r="C4548" t="s">
        <v>40</v>
      </c>
      <c r="D4548">
        <v>5.4351479999999999</v>
      </c>
      <c r="E4548">
        <v>0.46388639999999998</v>
      </c>
      <c r="F4548" t="s">
        <v>41</v>
      </c>
      <c r="G4548">
        <v>-396.24619999999999</v>
      </c>
      <c r="H4548" s="1">
        <v>-1.9846629999999999E-6</v>
      </c>
      <c r="I4548">
        <v>137.40629999999999</v>
      </c>
      <c r="J4548">
        <v>-361.9973</v>
      </c>
      <c r="K4548">
        <v>1.1100699999999999</v>
      </c>
      <c r="L4548">
        <v>141.78739999999999</v>
      </c>
      <c r="M4548">
        <v>-0.99987700000000002</v>
      </c>
      <c r="N4548">
        <v>0</v>
      </c>
      <c r="O4548">
        <v>6.0613159999999998E-3</v>
      </c>
      <c r="P4548">
        <v>-0.99545660000000002</v>
      </c>
      <c r="Q4548">
        <v>-1.1930659999999999E-2</v>
      </c>
      <c r="R4548">
        <v>9.4467990000000002E-2</v>
      </c>
      <c r="S4548">
        <v>-3.0491030000000001</v>
      </c>
      <c r="T4548">
        <v>-9.7893830000000001E-2</v>
      </c>
      <c r="U4548">
        <v>-0.3861694</v>
      </c>
      <c r="V4548">
        <v>8.8431700000000002E-2</v>
      </c>
      <c r="W4548">
        <v>2.4908199999999999E-3</v>
      </c>
      <c r="X4548">
        <v>0.9960791</v>
      </c>
      <c r="Y4548">
        <v>-0.13158829999999999</v>
      </c>
      <c r="Z4548">
        <v>-2.2972510000000002E-3</v>
      </c>
      <c r="AA4548">
        <v>0.99130180000000001</v>
      </c>
      <c r="AB4548">
        <v>33</v>
      </c>
      <c r="AC4548">
        <v>-34.2488999999999</v>
      </c>
      <c r="AD4548">
        <v>-1.1100719846630001</v>
      </c>
      <c r="AE4548">
        <v>-4.3811</v>
      </c>
      <c r="AF4548">
        <v>-4.5838966329363897</v>
      </c>
      <c r="AG4548">
        <v>-1.1100719846630001</v>
      </c>
      <c r="AH4548">
        <v>34.186377056576802</v>
      </c>
      <c r="AI4548">
        <v>91.843322954627197</v>
      </c>
      <c r="AJ4548">
        <v>97.6369810332654</v>
      </c>
      <c r="AK4548">
        <v>34.510183198688097</v>
      </c>
      <c r="AL4548">
        <v>89.857286374850005</v>
      </c>
      <c r="AM4548">
        <v>84.926593721667103</v>
      </c>
      <c r="AN4548">
        <v>0.99999997160298504</v>
      </c>
    </row>
    <row r="4549" spans="1:40" x14ac:dyDescent="0.25">
      <c r="A4549" t="str">
        <f>"20190312161102626"</f>
        <v>20190312161102626</v>
      </c>
      <c r="B4549" t="str">
        <f>"1552378262621402"</f>
        <v>1552378262621402</v>
      </c>
      <c r="C4549" t="s">
        <v>40</v>
      </c>
      <c r="D4549">
        <v>5.451346</v>
      </c>
      <c r="E4549">
        <v>0.46825470000000002</v>
      </c>
      <c r="F4549" t="s">
        <v>41</v>
      </c>
      <c r="G4549">
        <v>-397.58600000000001</v>
      </c>
      <c r="H4549" s="1">
        <v>-1.5842269999999999E-6</v>
      </c>
      <c r="I4549">
        <v>141.74459999999999</v>
      </c>
      <c r="J4549">
        <v>-362.2835</v>
      </c>
      <c r="K4549">
        <v>1.1100639999999999</v>
      </c>
      <c r="L4549">
        <v>141.78909999999999</v>
      </c>
      <c r="M4549">
        <v>-0.99987720000000002</v>
      </c>
      <c r="N4549">
        <v>0</v>
      </c>
      <c r="O4549">
        <v>6.0235519999999997E-3</v>
      </c>
      <c r="P4549">
        <v>-0.99546250000000003</v>
      </c>
      <c r="Q4549">
        <v>-1.198552E-2</v>
      </c>
      <c r="R4549">
        <v>9.4397519999999999E-2</v>
      </c>
      <c r="S4549">
        <v>-3.0129090000000001</v>
      </c>
      <c r="T4549">
        <v>-9.3977690000000003E-2</v>
      </c>
      <c r="U4549">
        <v>-3.6163329999999998E-3</v>
      </c>
      <c r="V4549">
        <v>8.8398870000000004E-2</v>
      </c>
      <c r="W4549">
        <v>2.4326460000000001E-3</v>
      </c>
      <c r="X4549">
        <v>0.99608220000000003</v>
      </c>
      <c r="Y4549">
        <v>-7.2179949999999996E-3</v>
      </c>
      <c r="Z4549">
        <v>-3.0040129999999999E-4</v>
      </c>
      <c r="AA4549">
        <v>0.99997389999999997</v>
      </c>
      <c r="AB4549">
        <v>33</v>
      </c>
      <c r="AC4549">
        <v>-35.302500000000002</v>
      </c>
      <c r="AD4549">
        <v>-1.110065584227</v>
      </c>
      <c r="AE4549">
        <v>-4.4499999999999297E-2</v>
      </c>
      <c r="AF4549">
        <v>-0.25691387102992003</v>
      </c>
      <c r="AG4549">
        <v>-1.110065584227</v>
      </c>
      <c r="AH4549">
        <v>35.266721436632899</v>
      </c>
      <c r="AI4549">
        <v>91.8028155776435</v>
      </c>
      <c r="AJ4549">
        <v>90.417385555597804</v>
      </c>
      <c r="AK4549">
        <v>35.2851228030664</v>
      </c>
      <c r="AL4549">
        <v>89.860619515571599</v>
      </c>
      <c r="AM4549">
        <v>84.928483085261107</v>
      </c>
      <c r="AN4549">
        <v>1.00000001357033</v>
      </c>
    </row>
    <row r="4550" spans="1:40" x14ac:dyDescent="0.25">
      <c r="A4550" t="str">
        <f>"20190312161102653"</f>
        <v>20190312161102653</v>
      </c>
      <c r="B4550" t="str">
        <f>"1552378262641898"</f>
        <v>1552378262641898</v>
      </c>
      <c r="C4550" t="s">
        <v>40</v>
      </c>
      <c r="D4550">
        <v>5.5887560000000001</v>
      </c>
      <c r="E4550">
        <v>0.47033269999999999</v>
      </c>
      <c r="F4550" t="s">
        <v>41</v>
      </c>
      <c r="G4550">
        <v>-398.71449999999999</v>
      </c>
      <c r="H4550" s="1">
        <v>-1.211217E-6</v>
      </c>
      <c r="I4550">
        <v>142.16210000000001</v>
      </c>
      <c r="J4550">
        <v>-362.67399999999998</v>
      </c>
      <c r="K4550">
        <v>1.1100650000000001</v>
      </c>
      <c r="L4550">
        <v>141.79140000000001</v>
      </c>
      <c r="M4550">
        <v>-0.99987760000000003</v>
      </c>
      <c r="N4550">
        <v>0</v>
      </c>
      <c r="O4550">
        <v>5.9716140000000001E-3</v>
      </c>
      <c r="P4550">
        <v>-0.99550760000000005</v>
      </c>
      <c r="Q4550">
        <v>-1.177654E-2</v>
      </c>
      <c r="R4550">
        <v>9.3947509999999998E-2</v>
      </c>
      <c r="S4550">
        <v>-3.0096440000000002</v>
      </c>
      <c r="T4550">
        <v>-9.1705079999999994E-2</v>
      </c>
      <c r="U4550">
        <v>3.0822749999999999E-2</v>
      </c>
      <c r="V4550">
        <v>8.8000320000000007E-2</v>
      </c>
      <c r="W4550">
        <v>2.6381629999999998E-3</v>
      </c>
      <c r="X4550">
        <v>0.99611689999999997</v>
      </c>
      <c r="Y4550">
        <v>4.2694769999999998E-3</v>
      </c>
      <c r="Z4550">
        <v>-1.168978E-4</v>
      </c>
      <c r="AA4550">
        <v>0.99999090000000002</v>
      </c>
      <c r="AB4550">
        <v>33</v>
      </c>
      <c r="AC4550">
        <v>-36.040499999999902</v>
      </c>
      <c r="AD4550">
        <v>-1.1100662112170001</v>
      </c>
      <c r="AE4550">
        <v>0.37069999999999897</v>
      </c>
      <c r="AF4550">
        <v>0.15530361050325101</v>
      </c>
      <c r="AG4550">
        <v>-1.1100662112170001</v>
      </c>
      <c r="AH4550">
        <v>36.007915070667899</v>
      </c>
      <c r="AI4550">
        <v>91.765761230612398</v>
      </c>
      <c r="AJ4550">
        <v>89.752882491747997</v>
      </c>
      <c r="AK4550">
        <v>36.0253565414855</v>
      </c>
      <c r="AL4550">
        <v>89.848844211134605</v>
      </c>
      <c r="AM4550">
        <v>84.951404754817702</v>
      </c>
      <c r="AN4550">
        <v>0.99999994734486197</v>
      </c>
    </row>
    <row r="4551" spans="1:40" x14ac:dyDescent="0.25">
      <c r="A4551" t="str">
        <f>"20190312161102675"</f>
        <v>20190312161102675</v>
      </c>
      <c r="B4551" t="str">
        <f>"1552378262661419"</f>
        <v>1552378262661419</v>
      </c>
      <c r="C4551" t="s">
        <v>40</v>
      </c>
      <c r="D4551">
        <v>5.480111</v>
      </c>
      <c r="E4551">
        <v>0.4711147</v>
      </c>
      <c r="F4551" t="s">
        <v>41</v>
      </c>
      <c r="G4551">
        <v>-398.94850000000002</v>
      </c>
      <c r="H4551" s="1">
        <v>-1.1599309999999999E-6</v>
      </c>
      <c r="I4551">
        <v>142.3466</v>
      </c>
      <c r="J4551">
        <v>-362.9907</v>
      </c>
      <c r="K4551">
        <v>1.1100719999999999</v>
      </c>
      <c r="L4551">
        <v>141.79320000000001</v>
      </c>
      <c r="M4551">
        <v>-0.99987780000000004</v>
      </c>
      <c r="N4551">
        <v>0</v>
      </c>
      <c r="O4551">
        <v>5.9299790000000002E-3</v>
      </c>
      <c r="P4551">
        <v>-0.99556880000000003</v>
      </c>
      <c r="Q4551">
        <v>-1.1718799999999901E-2</v>
      </c>
      <c r="R4551">
        <v>9.3303469999999999E-2</v>
      </c>
      <c r="S4551">
        <v>-3.0080870000000002</v>
      </c>
      <c r="T4551">
        <v>-9.2053170000000004E-2</v>
      </c>
      <c r="U4551">
        <v>4.605103E-2</v>
      </c>
      <c r="V4551">
        <v>8.7397450000000002E-2</v>
      </c>
      <c r="W4551">
        <v>2.6929979999999998E-3</v>
      </c>
      <c r="X4551">
        <v>0.99616990000000005</v>
      </c>
      <c r="Y4551">
        <v>9.3754949999999993E-3</v>
      </c>
      <c r="Z4551" s="1">
        <v>-3.8019670000000003E-5</v>
      </c>
      <c r="AA4551">
        <v>0.99995610000000001</v>
      </c>
      <c r="AB4551">
        <v>32</v>
      </c>
      <c r="AC4551">
        <v>-35.957799999999999</v>
      </c>
      <c r="AD4551">
        <v>-1.1100731599310001</v>
      </c>
      <c r="AE4551">
        <v>0.55339999999998202</v>
      </c>
      <c r="AF4551">
        <v>0.33981517437768299</v>
      </c>
      <c r="AG4551">
        <v>-1.1100731599310001</v>
      </c>
      <c r="AH4551">
        <v>35.9262181579982</v>
      </c>
      <c r="AI4551">
        <v>91.769722463116494</v>
      </c>
      <c r="AJ4551">
        <v>89.458072803203095</v>
      </c>
      <c r="AK4551">
        <v>35.944970272754702</v>
      </c>
      <c r="AL4551">
        <v>89.845702396652399</v>
      </c>
      <c r="AM4551">
        <v>84.986080009942896</v>
      </c>
      <c r="AN4551">
        <v>1.0000000180853701</v>
      </c>
    </row>
    <row r="4552" spans="1:40" x14ac:dyDescent="0.25">
      <c r="A4552" t="str">
        <f>"20190312161102693"</f>
        <v>20190312161102693</v>
      </c>
      <c r="B4552" t="str">
        <f>"1552378262681914"</f>
        <v>1552378262681914</v>
      </c>
      <c r="C4552" t="s">
        <v>40</v>
      </c>
      <c r="D4552">
        <v>5.4660789999999997</v>
      </c>
      <c r="E4552">
        <v>0.47146100000000002</v>
      </c>
      <c r="F4552" t="s">
        <v>41</v>
      </c>
      <c r="G4552">
        <v>-396.82889999999998</v>
      </c>
      <c r="H4552" s="1">
        <v>-2.0723909999999998E-6</v>
      </c>
      <c r="I4552">
        <v>142.3586</v>
      </c>
      <c r="J4552">
        <v>-363.25839999999999</v>
      </c>
      <c r="K4552">
        <v>1.110069</v>
      </c>
      <c r="L4552">
        <v>141.79480000000001</v>
      </c>
      <c r="M4552">
        <v>-0.99987800000000004</v>
      </c>
      <c r="N4552">
        <v>0</v>
      </c>
      <c r="O4552">
        <v>5.8945369999999896E-3</v>
      </c>
      <c r="P4552">
        <v>-0.99562850000000003</v>
      </c>
      <c r="Q4552">
        <v>-1.227199E-2</v>
      </c>
      <c r="R4552">
        <v>9.259154E-2</v>
      </c>
      <c r="S4552">
        <v>-3.0074770000000002</v>
      </c>
      <c r="T4552">
        <v>-9.8661180000000001E-2</v>
      </c>
      <c r="U4552">
        <v>5.026245E-2</v>
      </c>
      <c r="V4552">
        <v>8.6720480000000003E-2</v>
      </c>
      <c r="W4552">
        <v>2.1379609999999999E-3</v>
      </c>
      <c r="X4552">
        <v>0.99623039999999996</v>
      </c>
      <c r="Y4552">
        <v>1.08129E-2</v>
      </c>
      <c r="Z4552" s="1">
        <v>-1.6023420000000001E-5</v>
      </c>
      <c r="AA4552">
        <v>0.99994150000000004</v>
      </c>
      <c r="AB4552">
        <v>32</v>
      </c>
      <c r="AC4552">
        <v>-33.570499999999903</v>
      </c>
      <c r="AD4552">
        <v>-1.1100710723909999</v>
      </c>
      <c r="AE4552">
        <v>0.56379999999998598</v>
      </c>
      <c r="AF4552">
        <v>0.36548742545621998</v>
      </c>
      <c r="AG4552">
        <v>-1.1100710723909999</v>
      </c>
      <c r="AH4552">
        <v>33.536581208509801</v>
      </c>
      <c r="AI4552">
        <v>91.895703127127106</v>
      </c>
      <c r="AJ4552">
        <v>89.375605467299494</v>
      </c>
      <c r="AK4552">
        <v>33.556938447940901</v>
      </c>
      <c r="AL4552">
        <v>89.8775037659898</v>
      </c>
      <c r="AM4552">
        <v>85.025022159825099</v>
      </c>
      <c r="AN4552">
        <v>1.00000001120641</v>
      </c>
    </row>
    <row r="4553" spans="1:40" x14ac:dyDescent="0.25">
      <c r="A4553" t="str">
        <f>"20190312161102714"</f>
        <v>20190312161102714</v>
      </c>
      <c r="B4553" t="str">
        <f>"1552378262701435"</f>
        <v>1552378262701435</v>
      </c>
      <c r="C4553" t="s">
        <v>40</v>
      </c>
      <c r="D4553">
        <v>5.4772089999999896</v>
      </c>
      <c r="E4553">
        <v>0.47211740000000002</v>
      </c>
      <c r="F4553" t="s">
        <v>41</v>
      </c>
      <c r="G4553">
        <v>-392.93799999999999</v>
      </c>
      <c r="H4553" s="1">
        <v>-3.7249929999999999E-6</v>
      </c>
      <c r="I4553">
        <v>142.2963</v>
      </c>
      <c r="J4553">
        <v>-363.5598</v>
      </c>
      <c r="K4553">
        <v>1.1100650000000001</v>
      </c>
      <c r="L4553">
        <v>141.79650000000001</v>
      </c>
      <c r="M4553">
        <v>-0.99987859999999995</v>
      </c>
      <c r="N4553">
        <v>0</v>
      </c>
      <c r="O4553">
        <v>5.8545689999999996E-3</v>
      </c>
      <c r="P4553">
        <v>-0.99571620000000005</v>
      </c>
      <c r="Q4553">
        <v>-1.209386E-2</v>
      </c>
      <c r="R4553">
        <v>9.1669669999999995E-2</v>
      </c>
      <c r="S4553">
        <v>-3.00705</v>
      </c>
      <c r="T4553">
        <v>-0.11246929999999999</v>
      </c>
      <c r="U4553">
        <v>5.0827030000000002E-2</v>
      </c>
      <c r="V4553">
        <v>8.5837999999999998E-2</v>
      </c>
      <c r="W4553">
        <v>2.3139139999999998E-3</v>
      </c>
      <c r="X4553">
        <v>0.99630640000000004</v>
      </c>
      <c r="Y4553">
        <v>1.104195E-2</v>
      </c>
      <c r="Z4553" s="1">
        <v>-1.249094E-5</v>
      </c>
      <c r="AA4553">
        <v>0.99993900000000002</v>
      </c>
      <c r="AB4553">
        <v>32</v>
      </c>
      <c r="AC4553">
        <v>-29.3782</v>
      </c>
      <c r="AD4553">
        <v>-1.1100687249929999</v>
      </c>
      <c r="AE4553">
        <v>0.49979999999999303</v>
      </c>
      <c r="AF4553">
        <v>0.32730962123560597</v>
      </c>
      <c r="AG4553">
        <v>-1.1100687249929999</v>
      </c>
      <c r="AH4553">
        <v>29.338746820616802</v>
      </c>
      <c r="AI4553">
        <v>92.166690237968197</v>
      </c>
      <c r="AJ4553">
        <v>89.360821986134894</v>
      </c>
      <c r="AK4553">
        <v>29.361564147139902</v>
      </c>
      <c r="AL4553">
        <v>89.867422372625995</v>
      </c>
      <c r="AM4553">
        <v>85.075771820865697</v>
      </c>
      <c r="AN4553">
        <v>0.99999997956147901</v>
      </c>
    </row>
    <row r="4554" spans="1:40" x14ac:dyDescent="0.25">
      <c r="A4554" t="str">
        <f>"20190312161102736"</f>
        <v>20190312161102736</v>
      </c>
      <c r="B4554" t="str">
        <f>"1552378262721930"</f>
        <v>1552378262721930</v>
      </c>
      <c r="C4554" t="s">
        <v>40</v>
      </c>
      <c r="D4554">
        <v>5.4749569999999999</v>
      </c>
      <c r="E4554">
        <v>0.47210800000000003</v>
      </c>
      <c r="F4554" t="s">
        <v>41</v>
      </c>
      <c r="G4554">
        <v>-390.91730000000001</v>
      </c>
      <c r="H4554" s="1">
        <v>-4.4363549999999998E-6</v>
      </c>
      <c r="I4554">
        <v>142.27979999999999</v>
      </c>
      <c r="J4554">
        <v>-363.88830000000002</v>
      </c>
      <c r="K4554">
        <v>1.1100620000000001</v>
      </c>
      <c r="L4554">
        <v>141.79839999999999</v>
      </c>
      <c r="M4554">
        <v>-0.99987879999999996</v>
      </c>
      <c r="N4554">
        <v>0</v>
      </c>
      <c r="O4554">
        <v>5.8112069999999997E-3</v>
      </c>
      <c r="P4554">
        <v>-0.99573060000000002</v>
      </c>
      <c r="Q4554">
        <v>-1.1890980000000001E-2</v>
      </c>
      <c r="R4554">
        <v>9.1539780000000001E-2</v>
      </c>
      <c r="S4554">
        <v>-3.006561</v>
      </c>
      <c r="T4554">
        <v>-0.1219958</v>
      </c>
      <c r="U4554">
        <v>5.3131100000000001E-2</v>
      </c>
      <c r="V4554">
        <v>8.5751170000000002E-2</v>
      </c>
      <c r="W4554">
        <v>2.5137079999999999E-3</v>
      </c>
      <c r="X4554">
        <v>0.99631340000000002</v>
      </c>
      <c r="Y4554">
        <v>1.185279E-2</v>
      </c>
      <c r="Z4554" s="1">
        <v>4.6510250000000001E-6</v>
      </c>
      <c r="AA4554">
        <v>0.99992970000000003</v>
      </c>
      <c r="AB4554">
        <v>32</v>
      </c>
      <c r="AC4554">
        <v>-27.029</v>
      </c>
      <c r="AD4554">
        <v>-1.1100664363549999</v>
      </c>
      <c r="AE4554">
        <v>0.48140000000000699</v>
      </c>
      <c r="AF4554">
        <v>0.32375845908833201</v>
      </c>
      <c r="AG4554">
        <v>-1.1100664363549999</v>
      </c>
      <c r="AH4554">
        <v>26.9858387264469</v>
      </c>
      <c r="AI4554">
        <v>92.355372978316097</v>
      </c>
      <c r="AJ4554">
        <v>89.312635655079802</v>
      </c>
      <c r="AK4554">
        <v>27.010600859713399</v>
      </c>
      <c r="AL4554">
        <v>89.855974987044306</v>
      </c>
      <c r="AM4554">
        <v>85.080762894160401</v>
      </c>
      <c r="AN4554">
        <v>0.99999998645191801</v>
      </c>
    </row>
    <row r="4555" spans="1:40" x14ac:dyDescent="0.25">
      <c r="A4555" t="str">
        <f>"20190312161102760"</f>
        <v>20190312161102760</v>
      </c>
      <c r="B4555" t="str">
        <f>"1552378262751211"</f>
        <v>1552378262751211</v>
      </c>
      <c r="C4555" t="s">
        <v>40</v>
      </c>
      <c r="D4555">
        <v>5.4585869999999996</v>
      </c>
      <c r="E4555">
        <v>0.4724622</v>
      </c>
      <c r="F4555" t="s">
        <v>41</v>
      </c>
      <c r="G4555">
        <v>-391.26670000000001</v>
      </c>
      <c r="H4555" s="1">
        <v>-4.3172220000000001E-6</v>
      </c>
      <c r="I4555">
        <v>142.27860000000001</v>
      </c>
      <c r="J4555">
        <v>-364.23689999999999</v>
      </c>
      <c r="K4555">
        <v>1.1100650000000001</v>
      </c>
      <c r="L4555">
        <v>141.80029999999999</v>
      </c>
      <c r="M4555">
        <v>-0.99987899999999996</v>
      </c>
      <c r="N4555">
        <v>0</v>
      </c>
      <c r="O4555">
        <v>5.7653409999999898E-3</v>
      </c>
      <c r="P4555">
        <v>-0.99571180000000004</v>
      </c>
      <c r="Q4555">
        <v>-1.1996049999999999E-2</v>
      </c>
      <c r="R4555">
        <v>9.1729309999999994E-2</v>
      </c>
      <c r="S4555">
        <v>-3.006561</v>
      </c>
      <c r="T4555">
        <v>-0.1219021</v>
      </c>
      <c r="U4555">
        <v>5.2749629999999999E-2</v>
      </c>
      <c r="V4555">
        <v>8.5986409999999999E-2</v>
      </c>
      <c r="W4555">
        <v>2.404513E-3</v>
      </c>
      <c r="X4555">
        <v>0.9962934</v>
      </c>
      <c r="Y4555">
        <v>1.177186E-2</v>
      </c>
      <c r="Z4555" s="1">
        <v>4.8664809999999996E-6</v>
      </c>
      <c r="AA4555">
        <v>0.99993069999999895</v>
      </c>
      <c r="AB4555">
        <v>32</v>
      </c>
      <c r="AC4555">
        <v>-27.029800000000002</v>
      </c>
      <c r="AD4555">
        <v>-1.11006931722199</v>
      </c>
      <c r="AE4555">
        <v>0.47830000000001799</v>
      </c>
      <c r="AF4555">
        <v>0.32189702271402298</v>
      </c>
      <c r="AG4555">
        <v>-1.11006931722199</v>
      </c>
      <c r="AH4555">
        <v>26.9866069100418</v>
      </c>
      <c r="AI4555">
        <v>92.355314063540007</v>
      </c>
      <c r="AJ4555">
        <v>89.316606704859197</v>
      </c>
      <c r="AK4555">
        <v>27.011346210424001</v>
      </c>
      <c r="AL4555">
        <v>89.862231419407294</v>
      </c>
      <c r="AM4555">
        <v>85.067235978072702</v>
      </c>
      <c r="AN4555">
        <v>0.99999999163550701</v>
      </c>
    </row>
    <row r="4556" spans="1:40" x14ac:dyDescent="0.25">
      <c r="A4556" t="str">
        <f>"20190312161102781"</f>
        <v>20190312161102781</v>
      </c>
      <c r="B4556" t="str">
        <f>"1552378262771707"</f>
        <v>1552378262771707</v>
      </c>
      <c r="C4556" t="s">
        <v>40</v>
      </c>
      <c r="D4556">
        <v>5.4077219999999997</v>
      </c>
      <c r="E4556">
        <v>0.47267110000000001</v>
      </c>
      <c r="F4556" t="s">
        <v>41</v>
      </c>
      <c r="G4556">
        <v>-392.41050000000001</v>
      </c>
      <c r="H4556" s="1">
        <v>-3.9363750000000001E-6</v>
      </c>
      <c r="I4556">
        <v>142.32589999999999</v>
      </c>
      <c r="J4556">
        <v>-364.53649999999999</v>
      </c>
      <c r="K4556">
        <v>1.110066</v>
      </c>
      <c r="L4556">
        <v>141.80199999999999</v>
      </c>
      <c r="M4556">
        <v>-0.99987939999999997</v>
      </c>
      <c r="N4556">
        <v>0</v>
      </c>
      <c r="O4556">
        <v>5.7259099999999999E-3</v>
      </c>
      <c r="P4556">
        <v>-0.99573710000000004</v>
      </c>
      <c r="Q4556">
        <v>-1.1696120000000001E-2</v>
      </c>
      <c r="R4556">
        <v>9.1492660000000003E-2</v>
      </c>
      <c r="S4556">
        <v>-3.0063170000000001</v>
      </c>
      <c r="T4556">
        <v>-0.11845219999999999</v>
      </c>
      <c r="U4556">
        <v>5.6091309999999998E-2</v>
      </c>
      <c r="V4556">
        <v>8.5788959999999997E-2</v>
      </c>
      <c r="W4556">
        <v>2.7011050000000001E-3</v>
      </c>
      <c r="X4556">
        <v>0.99630969999999996</v>
      </c>
      <c r="Y4556">
        <v>1.2923169999999999E-2</v>
      </c>
      <c r="Z4556" s="1">
        <v>2.8953099999999999E-5</v>
      </c>
      <c r="AA4556">
        <v>0.99991649999999999</v>
      </c>
      <c r="AB4556">
        <v>32</v>
      </c>
      <c r="AC4556">
        <v>-27.873999999999999</v>
      </c>
      <c r="AD4556">
        <v>-1.110069936375</v>
      </c>
      <c r="AE4556">
        <v>0.52389999999996895</v>
      </c>
      <c r="AF4556">
        <v>0.36369414743310702</v>
      </c>
      <c r="AG4556">
        <v>-1.110069936375</v>
      </c>
      <c r="AH4556">
        <v>27.832416565401701</v>
      </c>
      <c r="AI4556">
        <v>92.283783320523995</v>
      </c>
      <c r="AJ4556">
        <v>89.251342272451197</v>
      </c>
      <c r="AK4556">
        <v>27.856919078867399</v>
      </c>
      <c r="AL4556">
        <v>89.845237899926204</v>
      </c>
      <c r="AM4556">
        <v>85.078587475366504</v>
      </c>
      <c r="AN4556">
        <v>1.00000002997009</v>
      </c>
    </row>
    <row r="4557" spans="1:40" x14ac:dyDescent="0.25">
      <c r="A4557" t="str">
        <f>"20190312161102802"</f>
        <v>20190312161102802</v>
      </c>
      <c r="B4557" t="str">
        <f>"1552378262791227"</f>
        <v>1552378262791227</v>
      </c>
      <c r="C4557" t="s">
        <v>40</v>
      </c>
      <c r="D4557">
        <v>5.4498519999999999</v>
      </c>
      <c r="E4557">
        <v>0.47293790000000002</v>
      </c>
      <c r="F4557" t="s">
        <v>41</v>
      </c>
      <c r="G4557">
        <v>-393.59089999999998</v>
      </c>
      <c r="H4557" s="1">
        <v>-3.4602879999999998E-6</v>
      </c>
      <c r="I4557">
        <v>142.35399999999899</v>
      </c>
      <c r="J4557">
        <v>-364.8426</v>
      </c>
      <c r="K4557">
        <v>1.1100749999999999</v>
      </c>
      <c r="L4557">
        <v>141.80369999999999</v>
      </c>
      <c r="M4557">
        <v>-0.99987950000000003</v>
      </c>
      <c r="N4557">
        <v>0</v>
      </c>
      <c r="O4557">
        <v>5.6852309999999998E-3</v>
      </c>
      <c r="P4557">
        <v>-0.99575849999999999</v>
      </c>
      <c r="Q4557">
        <v>-1.1612519999999999E-2</v>
      </c>
      <c r="R4557">
        <v>9.1269790000000003E-2</v>
      </c>
      <c r="S4557">
        <v>-3.006256</v>
      </c>
      <c r="T4557">
        <v>-0.114859</v>
      </c>
      <c r="U4557">
        <v>5.7128909999999998E-2</v>
      </c>
      <c r="V4557">
        <v>8.5606489999999993E-2</v>
      </c>
      <c r="W4557">
        <v>2.7812129999999998E-3</v>
      </c>
      <c r="X4557">
        <v>0.99632509999999996</v>
      </c>
      <c r="Y4557">
        <v>1.330924E-2</v>
      </c>
      <c r="Z4557" s="1">
        <v>3.7001490000000001E-5</v>
      </c>
      <c r="AA4557">
        <v>0.99991140000000001</v>
      </c>
      <c r="AB4557">
        <v>32</v>
      </c>
      <c r="AC4557">
        <v>-28.748299999999901</v>
      </c>
      <c r="AD4557">
        <v>-1.1100784602879901</v>
      </c>
      <c r="AE4557">
        <v>0.55029999999999202</v>
      </c>
      <c r="AF4557">
        <v>0.38625761733810099</v>
      </c>
      <c r="AG4557">
        <v>-1.1100784602879901</v>
      </c>
      <c r="AH4557">
        <v>28.7081754686544</v>
      </c>
      <c r="AI4557">
        <v>92.214191293133595</v>
      </c>
      <c r="AJ4557">
        <v>89.229153520511304</v>
      </c>
      <c r="AK4557">
        <v>28.732225947079002</v>
      </c>
      <c r="AL4557">
        <v>89.840648020659501</v>
      </c>
      <c r="AM4557">
        <v>85.089079430431397</v>
      </c>
      <c r="AN4557">
        <v>0.99999995558293897</v>
      </c>
    </row>
    <row r="4558" spans="1:40" x14ac:dyDescent="0.25">
      <c r="A4558" t="str">
        <f>"20190312161102826"</f>
        <v>20190312161102826</v>
      </c>
      <c r="B4558" t="str">
        <f>"1552378262821483"</f>
        <v>1552378262821483</v>
      </c>
      <c r="C4558" t="s">
        <v>40</v>
      </c>
      <c r="D4558">
        <v>5.3997669999999998</v>
      </c>
      <c r="E4558">
        <v>0.4732944</v>
      </c>
      <c r="F4558" t="s">
        <v>41</v>
      </c>
      <c r="G4558">
        <v>-394.43819999999999</v>
      </c>
      <c r="H4558" s="1">
        <v>-3.1038010000000001E-6</v>
      </c>
      <c r="I4558">
        <v>142.38030000000001</v>
      </c>
      <c r="J4558">
        <v>-365.1728</v>
      </c>
      <c r="K4558">
        <v>1.1100749999999999</v>
      </c>
      <c r="L4558">
        <v>141.80549999999999</v>
      </c>
      <c r="M4558">
        <v>-0.99987990000000004</v>
      </c>
      <c r="N4558">
        <v>0</v>
      </c>
      <c r="O4558">
        <v>5.6415719999999897E-3</v>
      </c>
      <c r="P4558">
        <v>-0.99579390000000001</v>
      </c>
      <c r="Q4558">
        <v>-1.205939E-2</v>
      </c>
      <c r="R4558">
        <v>9.0825299999999998E-2</v>
      </c>
      <c r="S4558">
        <v>-3.0061339999999999</v>
      </c>
      <c r="T4558">
        <v>-0.11275490000000001</v>
      </c>
      <c r="U4558">
        <v>5.8578489999999997E-2</v>
      </c>
      <c r="V4558">
        <v>8.5205439999999993E-2</v>
      </c>
      <c r="W4558">
        <v>2.3315570000000002E-3</v>
      </c>
      <c r="X4558">
        <v>0.99636069999999999</v>
      </c>
      <c r="Y4558">
        <v>1.3835470000000001E-2</v>
      </c>
      <c r="Z4558" s="1">
        <v>4.7826939999999997E-5</v>
      </c>
      <c r="AA4558">
        <v>0.99990429999999997</v>
      </c>
      <c r="AB4558">
        <v>32</v>
      </c>
      <c r="AC4558">
        <v>-29.2654</v>
      </c>
      <c r="AD4558">
        <v>-1.1100781038009999</v>
      </c>
      <c r="AE4558">
        <v>0.57480000000000997</v>
      </c>
      <c r="AF4558">
        <v>0.40908242894419999</v>
      </c>
      <c r="AG4558">
        <v>-1.1100781038009999</v>
      </c>
      <c r="AH4558">
        <v>29.226143154740701</v>
      </c>
      <c r="AI4558">
        <v>92.174970881773305</v>
      </c>
      <c r="AJ4558">
        <v>89.198075298385703</v>
      </c>
      <c r="AK4558">
        <v>29.2500780431712</v>
      </c>
      <c r="AL4558">
        <v>89.866411506354893</v>
      </c>
      <c r="AM4558">
        <v>85.112148226342697</v>
      </c>
      <c r="AN4558">
        <v>1.0000000238340601</v>
      </c>
    </row>
    <row r="4559" spans="1:40" x14ac:dyDescent="0.25">
      <c r="A4559" t="str">
        <f>"20190312161102850"</f>
        <v>20190312161102850</v>
      </c>
      <c r="B4559" t="str">
        <f>"1552378262841004"</f>
        <v>1552378262841004</v>
      </c>
      <c r="C4559" t="s">
        <v>40</v>
      </c>
      <c r="D4559">
        <v>5.417313</v>
      </c>
      <c r="E4559">
        <v>0.47341929999999999</v>
      </c>
      <c r="F4559" t="s">
        <v>41</v>
      </c>
      <c r="G4559">
        <v>-395.05309999999997</v>
      </c>
      <c r="H4559" s="1">
        <v>-2.845933E-6</v>
      </c>
      <c r="I4559">
        <v>142.40260000000001</v>
      </c>
      <c r="J4559">
        <v>-365.51310000000001</v>
      </c>
      <c r="K4559">
        <v>1.1100779999999999</v>
      </c>
      <c r="L4559">
        <v>141.8074</v>
      </c>
      <c r="M4559">
        <v>-0.99988030000000006</v>
      </c>
      <c r="N4559">
        <v>0</v>
      </c>
      <c r="O4559">
        <v>5.5963609999999898E-3</v>
      </c>
      <c r="P4559">
        <v>-0.99581850000000005</v>
      </c>
      <c r="Q4559">
        <v>-1.1899679999999999E-2</v>
      </c>
      <c r="R4559">
        <v>9.0576859999999995E-2</v>
      </c>
      <c r="S4559">
        <v>-3.0058289999999999</v>
      </c>
      <c r="T4559">
        <v>-0.11166909999999999</v>
      </c>
      <c r="U4559">
        <v>6.0073849999999998E-2</v>
      </c>
      <c r="V4559">
        <v>8.5001770000000004E-2</v>
      </c>
      <c r="W4559">
        <v>2.4879590000000001E-3</v>
      </c>
      <c r="X4559">
        <v>0.99637770000000003</v>
      </c>
      <c r="Y4559">
        <v>1.4379599999999999E-2</v>
      </c>
      <c r="Z4559" s="1">
        <v>5.915338E-5</v>
      </c>
      <c r="AA4559">
        <v>0.99989660000000002</v>
      </c>
      <c r="AB4559">
        <v>32</v>
      </c>
      <c r="AC4559">
        <v>-29.5399999999999</v>
      </c>
      <c r="AD4559">
        <v>-1.110080845933</v>
      </c>
      <c r="AE4559">
        <v>0.59520000000000495</v>
      </c>
      <c r="AF4559">
        <v>0.429251041147521</v>
      </c>
      <c r="AG4559">
        <v>-1.110080845933</v>
      </c>
      <c r="AH4559">
        <v>29.5012246571386</v>
      </c>
      <c r="AI4559">
        <v>92.154698092997094</v>
      </c>
      <c r="AJ4559">
        <v>89.166389263742502</v>
      </c>
      <c r="AK4559">
        <v>29.5252229832697</v>
      </c>
      <c r="AL4559">
        <v>89.857450303484001</v>
      </c>
      <c r="AM4559">
        <v>85.123858249503797</v>
      </c>
      <c r="AN4559">
        <v>1.0000000059502001</v>
      </c>
    </row>
    <row r="4560" spans="1:40" x14ac:dyDescent="0.25">
      <c r="A4560" t="str">
        <f>"20190312161102896"</f>
        <v>20190312161102896</v>
      </c>
      <c r="B4560" t="str">
        <f>"1552378262891755"</f>
        <v>1552378262891755</v>
      </c>
      <c r="C4560" t="s">
        <v>40</v>
      </c>
      <c r="D4560">
        <v>5.326492</v>
      </c>
      <c r="E4560">
        <v>0.47364040000000002</v>
      </c>
      <c r="F4560" t="s">
        <v>41</v>
      </c>
      <c r="G4560">
        <v>-396.08229999999998</v>
      </c>
      <c r="H4560" s="1">
        <v>-2.4093220000000001E-6</v>
      </c>
      <c r="I4560">
        <v>142.4211</v>
      </c>
      <c r="J4560">
        <v>-366.17590000000001</v>
      </c>
      <c r="K4560">
        <v>1.110082</v>
      </c>
      <c r="L4560">
        <v>141.81100000000001</v>
      </c>
      <c r="M4560">
        <v>-0.99988069999999896</v>
      </c>
      <c r="N4560">
        <v>0</v>
      </c>
      <c r="O4560">
        <v>5.5086839999999998E-3</v>
      </c>
      <c r="P4560">
        <v>-0.99586629999999998</v>
      </c>
      <c r="Q4560">
        <v>-1.1554689999999999E-2</v>
      </c>
      <c r="R4560">
        <v>9.0093870000000006E-2</v>
      </c>
      <c r="S4560">
        <v>-3.0058289999999999</v>
      </c>
      <c r="T4560">
        <v>-0.1091529</v>
      </c>
      <c r="U4560">
        <v>6.0348510000000001E-2</v>
      </c>
      <c r="V4560">
        <v>8.4605990000000006E-2</v>
      </c>
      <c r="W4560">
        <v>2.8260350000000002E-3</v>
      </c>
      <c r="X4560">
        <v>0.99641049999999998</v>
      </c>
      <c r="Y4560">
        <v>1.4558700000000001E-2</v>
      </c>
      <c r="Z4560" s="1">
        <v>6.4254559999999997E-5</v>
      </c>
      <c r="AA4560">
        <v>0.99989399999999995</v>
      </c>
      <c r="AB4560">
        <v>32</v>
      </c>
      <c r="AC4560">
        <v>-29.906399999999898</v>
      </c>
      <c r="AD4560">
        <v>-1.1100844093219999</v>
      </c>
      <c r="AE4560">
        <v>0.61009999999998799</v>
      </c>
      <c r="AF4560">
        <v>0.444716206326772</v>
      </c>
      <c r="AG4560">
        <v>-1.1100844093219999</v>
      </c>
      <c r="AH4560">
        <v>29.868172319880401</v>
      </c>
      <c r="AI4560">
        <v>92.128247099413898</v>
      </c>
      <c r="AJ4560">
        <v>89.146968928782996</v>
      </c>
      <c r="AK4560">
        <v>29.892102261802599</v>
      </c>
      <c r="AL4560">
        <v>89.838079909819797</v>
      </c>
      <c r="AM4560">
        <v>85.146612537150901</v>
      </c>
      <c r="AN4560">
        <v>1.00000002226397</v>
      </c>
    </row>
    <row r="4561" spans="1:40" x14ac:dyDescent="0.25">
      <c r="A4561" t="str">
        <f>"20190312161102921"</f>
        <v>20190312161102921</v>
      </c>
      <c r="B4561" t="str">
        <f>"1552378262911276"</f>
        <v>1552378262911276</v>
      </c>
      <c r="C4561" t="s">
        <v>40</v>
      </c>
      <c r="D4561">
        <v>5.3337130000000004</v>
      </c>
      <c r="E4561">
        <v>0.47367930000000003</v>
      </c>
      <c r="F4561" t="s">
        <v>41</v>
      </c>
      <c r="G4561">
        <v>-397.83839999999998</v>
      </c>
      <c r="H4561" s="1">
        <v>-1.6637459999999901E-6</v>
      </c>
      <c r="I4561">
        <v>142.4503</v>
      </c>
      <c r="J4561">
        <v>-366.52629999999999</v>
      </c>
      <c r="K4561">
        <v>1.110082</v>
      </c>
      <c r="L4561">
        <v>141.81290000000001</v>
      </c>
      <c r="M4561">
        <v>-0.99988100000000002</v>
      </c>
      <c r="N4561">
        <v>0</v>
      </c>
      <c r="O4561">
        <v>5.4621060000000004E-3</v>
      </c>
      <c r="P4561">
        <v>-0.99587099999999995</v>
      </c>
      <c r="Q4561">
        <v>-1.171645E-2</v>
      </c>
      <c r="R4561">
        <v>9.0021009999999999E-2</v>
      </c>
      <c r="S4561">
        <v>-3.0057070000000001</v>
      </c>
      <c r="T4561">
        <v>-0.1053798</v>
      </c>
      <c r="U4561">
        <v>6.0699459999999997E-2</v>
      </c>
      <c r="V4561">
        <v>8.4579420000000002E-2</v>
      </c>
      <c r="W4561">
        <v>2.6605729999999998E-3</v>
      </c>
      <c r="X4561">
        <v>0.9964132</v>
      </c>
      <c r="Y4561">
        <v>1.472307E-2</v>
      </c>
      <c r="Z4561" s="1">
        <v>6.6550099999999998E-5</v>
      </c>
      <c r="AA4561">
        <v>0.99989159999999999</v>
      </c>
      <c r="AB4561">
        <v>32</v>
      </c>
      <c r="AC4561">
        <v>-31.312099999999901</v>
      </c>
      <c r="AD4561">
        <v>-1.1100836637459901</v>
      </c>
      <c r="AE4561">
        <v>0.63739999999998498</v>
      </c>
      <c r="AF4561">
        <v>0.46575752784239199</v>
      </c>
      <c r="AG4561">
        <v>-1.1100836637459901</v>
      </c>
      <c r="AH4561">
        <v>31.2758216575528</v>
      </c>
      <c r="AI4561">
        <v>92.03254061653</v>
      </c>
      <c r="AJ4561">
        <v>89.146817996823103</v>
      </c>
      <c r="AK4561">
        <v>31.298981391896898</v>
      </c>
      <c r="AL4561">
        <v>89.847560217850699</v>
      </c>
      <c r="AM4561">
        <v>85.148142521443802</v>
      </c>
      <c r="AN4561">
        <v>1.0000000110352301</v>
      </c>
    </row>
    <row r="4562" spans="1:40" x14ac:dyDescent="0.25">
      <c r="A4562" t="str">
        <f>"20190312161102942"</f>
        <v>20190312161102942</v>
      </c>
      <c r="B4562" t="str">
        <f>"1552378262931771"</f>
        <v>1552378262931771</v>
      </c>
      <c r="C4562" t="s">
        <v>40</v>
      </c>
      <c r="D4562">
        <v>5.3604089999999998</v>
      </c>
      <c r="E4562">
        <v>0.47363620000000001</v>
      </c>
      <c r="F4562" t="s">
        <v>41</v>
      </c>
      <c r="G4562">
        <v>-398.39780000000002</v>
      </c>
      <c r="H4562" s="1">
        <v>-1.4256569999999901E-6</v>
      </c>
      <c r="I4562">
        <v>142.45740000000001</v>
      </c>
      <c r="J4562">
        <v>-366.83960000000002</v>
      </c>
      <c r="K4562">
        <v>1.1100840000000001</v>
      </c>
      <c r="L4562">
        <v>141.81460000000001</v>
      </c>
      <c r="M4562">
        <v>-0.99988140000000003</v>
      </c>
      <c r="N4562">
        <v>0</v>
      </c>
      <c r="O4562">
        <v>5.4204709999999996E-3</v>
      </c>
      <c r="P4562">
        <v>-0.99581549999999996</v>
      </c>
      <c r="Q4562">
        <v>-1.245715E-2</v>
      </c>
      <c r="R4562">
        <v>9.0533920000000004E-2</v>
      </c>
      <c r="S4562">
        <v>-3.0056759999999998</v>
      </c>
      <c r="T4562">
        <v>-0.1046879</v>
      </c>
      <c r="U4562">
        <v>6.0791020000000001E-2</v>
      </c>
      <c r="V4562">
        <v>8.5133959999999995E-2</v>
      </c>
      <c r="W4562">
        <v>1.915279E-3</v>
      </c>
      <c r="X4562">
        <v>0.99636769999999997</v>
      </c>
      <c r="Y4562">
        <v>1.479536E-2</v>
      </c>
      <c r="Z4562" s="1">
        <v>6.8822129999999995E-5</v>
      </c>
      <c r="AA4562">
        <v>0.99989059999999996</v>
      </c>
      <c r="AB4562">
        <v>32</v>
      </c>
      <c r="AC4562">
        <v>-31.558199999999999</v>
      </c>
      <c r="AD4562">
        <v>-1.1100854256569901</v>
      </c>
      <c r="AE4562">
        <v>0.64279999999999404</v>
      </c>
      <c r="AF4562">
        <v>0.47112976551455199</v>
      </c>
      <c r="AG4562">
        <v>-1.1100854256569901</v>
      </c>
      <c r="AH4562">
        <v>31.5222334451466</v>
      </c>
      <c r="AI4562">
        <v>92.016666831611602</v>
      </c>
      <c r="AJ4562">
        <v>89.143723825415407</v>
      </c>
      <c r="AK4562">
        <v>31.545292109576799</v>
      </c>
      <c r="AL4562">
        <v>89.890262532528695</v>
      </c>
      <c r="AM4562">
        <v>85.116263015813203</v>
      </c>
      <c r="AN4562">
        <v>1.0000000265211</v>
      </c>
    </row>
    <row r="4563" spans="1:40" x14ac:dyDescent="0.25">
      <c r="A4563" t="str">
        <f>"20190312161102961"</f>
        <v>20190312161102961</v>
      </c>
      <c r="B4563" t="str">
        <f>"1552378262951291"</f>
        <v>1552378262951291</v>
      </c>
      <c r="C4563" t="s">
        <v>40</v>
      </c>
      <c r="D4563">
        <v>4.9958839999999904</v>
      </c>
      <c r="E4563">
        <v>0.43679760000000001</v>
      </c>
      <c r="F4563" t="s">
        <v>41</v>
      </c>
      <c r="G4563">
        <v>-398.07639999999998</v>
      </c>
      <c r="H4563" s="1">
        <v>-1.563655E-6</v>
      </c>
      <c r="I4563">
        <v>142.45779999999999</v>
      </c>
      <c r="J4563">
        <v>-367.11079999999998</v>
      </c>
      <c r="K4563">
        <v>1.110082</v>
      </c>
      <c r="L4563">
        <v>141.816</v>
      </c>
      <c r="M4563">
        <v>-0.99988160000000004</v>
      </c>
      <c r="N4563">
        <v>0</v>
      </c>
      <c r="O4563">
        <v>5.3844950000000004E-3</v>
      </c>
      <c r="P4563">
        <v>-0.99583849999999996</v>
      </c>
      <c r="Q4563">
        <v>-1.2455569999999999E-2</v>
      </c>
      <c r="R4563">
        <v>9.0281139999999996E-2</v>
      </c>
      <c r="S4563">
        <v>-3.0056759999999998</v>
      </c>
      <c r="T4563">
        <v>-0.1068152</v>
      </c>
      <c r="U4563">
        <v>6.190491E-2</v>
      </c>
      <c r="V4563">
        <v>8.4917140000000002E-2</v>
      </c>
      <c r="W4563">
        <v>1.9143249999999999E-3</v>
      </c>
      <c r="X4563">
        <v>0.9963862</v>
      </c>
      <c r="Y4563">
        <v>1.520123E-2</v>
      </c>
      <c r="Z4563" s="1">
        <v>7.8706319999999997E-5</v>
      </c>
      <c r="AA4563">
        <v>0.99988440000000001</v>
      </c>
      <c r="AB4563">
        <v>32</v>
      </c>
      <c r="AC4563">
        <v>-30.965599999999899</v>
      </c>
      <c r="AD4563">
        <v>-1.1100835636549999</v>
      </c>
      <c r="AE4563">
        <v>0.64179999999998905</v>
      </c>
      <c r="AF4563">
        <v>0.47442980045149202</v>
      </c>
      <c r="AG4563">
        <v>-1.1100835636549999</v>
      </c>
      <c r="AH4563">
        <v>30.928876099301402</v>
      </c>
      <c r="AI4563">
        <v>92.0553071821777</v>
      </c>
      <c r="AJ4563">
        <v>89.121187157074999</v>
      </c>
      <c r="AK4563">
        <v>30.952427141014201</v>
      </c>
      <c r="AL4563">
        <v>89.8903171923522</v>
      </c>
      <c r="AM4563">
        <v>85.128731047942097</v>
      </c>
      <c r="AN4563">
        <v>1.00000002242821</v>
      </c>
    </row>
    <row r="4564" spans="1:40" x14ac:dyDescent="0.25">
      <c r="A4564" t="str">
        <f>"20190312161102986"</f>
        <v>20190312161102986</v>
      </c>
      <c r="B4564" t="str">
        <f>"1552378262981548"</f>
        <v>1552378262981548</v>
      </c>
      <c r="C4564" t="s">
        <v>40</v>
      </c>
      <c r="D4564">
        <v>5.3636850000000003</v>
      </c>
      <c r="E4564">
        <v>0.4035395</v>
      </c>
      <c r="F4564" t="s">
        <v>41</v>
      </c>
      <c r="G4564">
        <v>-388.21260000000001</v>
      </c>
      <c r="H4564" s="1">
        <v>-9.0566579999999999E-7</v>
      </c>
      <c r="I4564">
        <v>140.2046</v>
      </c>
      <c r="J4564">
        <v>-367.45299999999997</v>
      </c>
      <c r="K4564">
        <v>1.1100829999999999</v>
      </c>
      <c r="L4564">
        <v>141.81780000000001</v>
      </c>
      <c r="M4564">
        <v>-0.99988200000000005</v>
      </c>
      <c r="N4564">
        <v>0</v>
      </c>
      <c r="O4564">
        <v>5.3391669999999997E-3</v>
      </c>
      <c r="P4564">
        <v>-0.99595319999999998</v>
      </c>
      <c r="Q4564">
        <v>-1.1942950000000001E-2</v>
      </c>
      <c r="R4564">
        <v>8.9079190000000003E-2</v>
      </c>
      <c r="S4564">
        <v>-3.031555</v>
      </c>
      <c r="T4564">
        <v>-0.159478799999999</v>
      </c>
      <c r="U4564">
        <v>-0.23149110000000001</v>
      </c>
      <c r="V4564">
        <v>8.3759840000000002E-2</v>
      </c>
      <c r="W4564">
        <v>2.4245400000000002E-3</v>
      </c>
      <c r="X4564">
        <v>0.99648300000000001</v>
      </c>
      <c r="Y4564">
        <v>-8.1342819999999996E-2</v>
      </c>
      <c r="Z4564">
        <v>-2.4153059999999999E-3</v>
      </c>
      <c r="AA4564">
        <v>0.99668319999999999</v>
      </c>
      <c r="AB4564">
        <v>32</v>
      </c>
      <c r="AC4564">
        <v>-20.759599999999899</v>
      </c>
      <c r="AD4564">
        <v>-1.1100839056657901</v>
      </c>
      <c r="AE4564">
        <v>-1.6132</v>
      </c>
      <c r="AF4564">
        <v>-1.7191412806269399</v>
      </c>
      <c r="AG4564">
        <v>-1.1100839056657901</v>
      </c>
      <c r="AH4564">
        <v>20.691878956287699</v>
      </c>
      <c r="AI4564">
        <v>93.060352528764795</v>
      </c>
      <c r="AJ4564">
        <v>94.749391498531097</v>
      </c>
      <c r="AK4564">
        <v>20.792825391515098</v>
      </c>
      <c r="AL4564">
        <v>89.861083951754594</v>
      </c>
      <c r="AM4564">
        <v>85.195271130712797</v>
      </c>
      <c r="AN4564">
        <v>0.99999997924001804</v>
      </c>
    </row>
    <row r="4565" spans="1:40" x14ac:dyDescent="0.25">
      <c r="A4565" t="str">
        <f>"20190312161103008"</f>
        <v>20190312161103008</v>
      </c>
      <c r="B4565" t="str">
        <f>"1552378263001067"</f>
        <v>1552378263001067</v>
      </c>
      <c r="C4565" t="s">
        <v>40</v>
      </c>
      <c r="D4565">
        <v>5.3144220000000004</v>
      </c>
      <c r="E4565">
        <v>0.39716630000000003</v>
      </c>
      <c r="F4565" t="s">
        <v>41</v>
      </c>
      <c r="G4565">
        <v>-392.63619999999997</v>
      </c>
      <c r="H4565" s="1">
        <v>-3.4805520000000001E-6</v>
      </c>
      <c r="I4565">
        <v>137.7038</v>
      </c>
      <c r="J4565">
        <v>-367.78149999999999</v>
      </c>
      <c r="K4565">
        <v>1.110085</v>
      </c>
      <c r="L4565">
        <v>141.81950000000001</v>
      </c>
      <c r="M4565">
        <v>-0.99988220000000005</v>
      </c>
      <c r="N4565">
        <v>0</v>
      </c>
      <c r="O4565">
        <v>5.295803E-3</v>
      </c>
      <c r="P4565">
        <v>-0.99601209999999996</v>
      </c>
      <c r="Q4565">
        <v>-1.266507E-2</v>
      </c>
      <c r="R4565">
        <v>8.8316459999999999E-2</v>
      </c>
      <c r="S4565">
        <v>-3.0551759999999999</v>
      </c>
      <c r="T4565">
        <v>-0.1346734</v>
      </c>
      <c r="U4565">
        <v>-0.49908449999999999</v>
      </c>
      <c r="V4565">
        <v>8.3040050000000004E-2</v>
      </c>
      <c r="W4565">
        <v>1.699749E-3</v>
      </c>
      <c r="X4565">
        <v>0.99654480000000001</v>
      </c>
      <c r="Y4565">
        <v>-0.1662826</v>
      </c>
      <c r="Z4565">
        <v>-3.8708829999999999E-3</v>
      </c>
      <c r="AA4565">
        <v>0.98607049999999996</v>
      </c>
      <c r="AB4565">
        <v>32</v>
      </c>
      <c r="AC4565">
        <v>-24.854699999999902</v>
      </c>
      <c r="AD4565">
        <v>-1.1100884805519999</v>
      </c>
      <c r="AE4565">
        <v>-4.1157000000000004</v>
      </c>
      <c r="AF4565">
        <v>-4.2390511722719104</v>
      </c>
      <c r="AG4565">
        <v>-1.1100884805519999</v>
      </c>
      <c r="AH4565">
        <v>24.784432816850298</v>
      </c>
      <c r="AI4565">
        <v>92.527889711820293</v>
      </c>
      <c r="AJ4565">
        <v>99.705773566212102</v>
      </c>
      <c r="AK4565">
        <v>25.168829160864099</v>
      </c>
      <c r="AL4565">
        <v>89.902611512945199</v>
      </c>
      <c r="AM4565">
        <v>85.236663783286502</v>
      </c>
      <c r="AN4565">
        <v>1.0000000387288499</v>
      </c>
    </row>
    <row r="4566" spans="1:40" x14ac:dyDescent="0.25">
      <c r="A4566" t="str">
        <f>"20190312161103028"</f>
        <v>20190312161103028</v>
      </c>
      <c r="B4566" t="str">
        <f>"1552378263021563"</f>
        <v>1552378263021563</v>
      </c>
      <c r="C4566" t="s">
        <v>40</v>
      </c>
      <c r="D4566">
        <v>5.3243210000000003</v>
      </c>
      <c r="E4566">
        <v>0.39409260000000002</v>
      </c>
      <c r="F4566" t="s">
        <v>41</v>
      </c>
      <c r="G4566">
        <v>-395.56290000000001</v>
      </c>
      <c r="H4566" s="1">
        <v>-2.3845490000000001E-6</v>
      </c>
      <c r="I4566">
        <v>136.80449999999999</v>
      </c>
      <c r="J4566">
        <v>-368.05489999999998</v>
      </c>
      <c r="K4566">
        <v>1.110077</v>
      </c>
      <c r="L4566">
        <v>141.82089999999999</v>
      </c>
      <c r="M4566">
        <v>-0.99988239999999995</v>
      </c>
      <c r="N4566">
        <v>0</v>
      </c>
      <c r="O4566">
        <v>5.2596479999999996E-3</v>
      </c>
      <c r="P4566">
        <v>-0.99599550000000003</v>
      </c>
      <c r="Q4566">
        <v>-1.360459E-2</v>
      </c>
      <c r="R4566">
        <v>8.8363449999999996E-2</v>
      </c>
      <c r="S4566">
        <v>-3.059418</v>
      </c>
      <c r="T4566">
        <v>-0.1222482</v>
      </c>
      <c r="U4566">
        <v>-0.55226140000000001</v>
      </c>
      <c r="V4566">
        <v>8.3123080000000002E-2</v>
      </c>
      <c r="W4566">
        <v>7.5704240000000001E-4</v>
      </c>
      <c r="X4566">
        <v>0.99653899999999995</v>
      </c>
      <c r="Y4566">
        <v>-0.18266979999999999</v>
      </c>
      <c r="Z4566">
        <v>-3.827338E-3</v>
      </c>
      <c r="AA4566">
        <v>0.98316689999999995</v>
      </c>
      <c r="AB4566">
        <v>32</v>
      </c>
      <c r="AC4566">
        <v>-27.507999999999999</v>
      </c>
      <c r="AD4566">
        <v>-1.110079384549</v>
      </c>
      <c r="AE4566">
        <v>-5.0164</v>
      </c>
      <c r="AF4566">
        <v>-5.1529065432876102</v>
      </c>
      <c r="AG4566">
        <v>-1.110079384549</v>
      </c>
      <c r="AH4566">
        <v>27.437987334478901</v>
      </c>
      <c r="AI4566">
        <v>92.277031141556193</v>
      </c>
      <c r="AJ4566">
        <v>100.636365278312</v>
      </c>
      <c r="AK4566">
        <v>27.939718521325101</v>
      </c>
      <c r="AL4566">
        <v>89.956624661382307</v>
      </c>
      <c r="AM4566">
        <v>85.231895348450195</v>
      </c>
      <c r="AN4566">
        <v>0.99999999903143999</v>
      </c>
    </row>
    <row r="4567" spans="1:40" x14ac:dyDescent="0.25">
      <c r="A4567" t="str">
        <f>"20190312161103053"</f>
        <v>20190312161103053</v>
      </c>
      <c r="B4567" t="str">
        <f>"1552378263041083"</f>
        <v>1552378263041083</v>
      </c>
      <c r="C4567" t="s">
        <v>40</v>
      </c>
      <c r="D4567">
        <v>5.3054779999999999</v>
      </c>
      <c r="E4567">
        <v>0.39198769999999999</v>
      </c>
      <c r="F4567" t="s">
        <v>41</v>
      </c>
      <c r="G4567">
        <v>-396.04640000000001</v>
      </c>
      <c r="H4567" s="1">
        <v>-2.2223310000000001E-6</v>
      </c>
      <c r="I4567">
        <v>136.5496</v>
      </c>
      <c r="J4567">
        <v>-368.41140000000001</v>
      </c>
      <c r="K4567">
        <v>1.1100779999999999</v>
      </c>
      <c r="L4567">
        <v>141.8227</v>
      </c>
      <c r="M4567">
        <v>-0.99988279999999996</v>
      </c>
      <c r="N4567">
        <v>0</v>
      </c>
      <c r="O4567">
        <v>5.2121199999999998E-3</v>
      </c>
      <c r="P4567">
        <v>-0.99597570000000002</v>
      </c>
      <c r="Q4567">
        <v>-1.3066940000000001E-2</v>
      </c>
      <c r="R4567">
        <v>8.8666040000000002E-2</v>
      </c>
      <c r="S4567">
        <v>-3.0615540000000001</v>
      </c>
      <c r="T4567">
        <v>-0.1214141</v>
      </c>
      <c r="U4567">
        <v>-0.57653809999999905</v>
      </c>
      <c r="V4567">
        <v>8.3473000000000006E-2</v>
      </c>
      <c r="W4567">
        <v>1.2906230000000001E-3</v>
      </c>
      <c r="X4567">
        <v>0.99650919999999998</v>
      </c>
      <c r="Y4567">
        <v>-0.1900345</v>
      </c>
      <c r="Z4567">
        <v>-3.9387720000000001E-3</v>
      </c>
      <c r="AA4567">
        <v>0.98176949999999996</v>
      </c>
      <c r="AB4567">
        <v>32</v>
      </c>
      <c r="AC4567">
        <v>-27.634999999999899</v>
      </c>
      <c r="AD4567">
        <v>-1.110080222331</v>
      </c>
      <c r="AE4567">
        <v>-5.2731000000000003</v>
      </c>
      <c r="AF4567">
        <v>-5.4086595235171497</v>
      </c>
      <c r="AG4567">
        <v>-1.110080222331</v>
      </c>
      <c r="AH4567">
        <v>27.5642231563954</v>
      </c>
      <c r="AI4567">
        <v>92.263088594664097</v>
      </c>
      <c r="AJ4567">
        <v>101.101549104361</v>
      </c>
      <c r="AK4567">
        <v>28.1117817677377</v>
      </c>
      <c r="AL4567">
        <v>89.926052728374003</v>
      </c>
      <c r="AM4567">
        <v>85.211773850105303</v>
      </c>
      <c r="AN4567">
        <v>0.99999999656068395</v>
      </c>
    </row>
    <row r="4568" spans="1:40" x14ac:dyDescent="0.25">
      <c r="A4568" t="str">
        <f>"20190312161103078"</f>
        <v>20190312161103078</v>
      </c>
      <c r="B4568" t="str">
        <f>"1552378263071339"</f>
        <v>1552378263071339</v>
      </c>
      <c r="C4568" t="s">
        <v>40</v>
      </c>
      <c r="D4568">
        <v>5.3412800000000002</v>
      </c>
      <c r="E4568">
        <v>0.39024789999999998</v>
      </c>
      <c r="F4568" t="s">
        <v>41</v>
      </c>
      <c r="G4568">
        <v>-397.27080000000001</v>
      </c>
      <c r="H4568" s="1">
        <v>-1.812522E-6</v>
      </c>
      <c r="I4568">
        <v>136.2422</v>
      </c>
      <c r="J4568">
        <v>-368.75540000000001</v>
      </c>
      <c r="K4568">
        <v>1.110077</v>
      </c>
      <c r="L4568">
        <v>141.8245</v>
      </c>
      <c r="M4568">
        <v>-0.99988299999999997</v>
      </c>
      <c r="N4568">
        <v>0</v>
      </c>
      <c r="O4568">
        <v>5.1664349999999996E-3</v>
      </c>
      <c r="P4568">
        <v>-0.99594150000000004</v>
      </c>
      <c r="Q4568">
        <v>-1.272067E-2</v>
      </c>
      <c r="R4568">
        <v>8.9100780000000004E-2</v>
      </c>
      <c r="S4568">
        <v>-3.0632929999999998</v>
      </c>
      <c r="T4568">
        <v>-0.11783</v>
      </c>
      <c r="U4568">
        <v>-0.59233089999999999</v>
      </c>
      <c r="V4568">
        <v>8.3953539999999993E-2</v>
      </c>
      <c r="W4568">
        <v>1.6320379999999999E-3</v>
      </c>
      <c r="X4568">
        <v>0.99646829999999997</v>
      </c>
      <c r="Y4568">
        <v>-0.19477539999999999</v>
      </c>
      <c r="Z4568">
        <v>-3.9071990000000001E-3</v>
      </c>
      <c r="AA4568">
        <v>0.98084009999999999</v>
      </c>
      <c r="AB4568">
        <v>32</v>
      </c>
      <c r="AC4568">
        <v>-28.5154</v>
      </c>
      <c r="AD4568">
        <v>-1.110078812522</v>
      </c>
      <c r="AE4568">
        <v>-5.5823</v>
      </c>
      <c r="AF4568">
        <v>-5.7212133768179703</v>
      </c>
      <c r="AG4568">
        <v>-1.110078812522</v>
      </c>
      <c r="AH4568">
        <v>28.444659660271</v>
      </c>
      <c r="AI4568">
        <v>92.191049705102202</v>
      </c>
      <c r="AJ4568">
        <v>101.372442052331</v>
      </c>
      <c r="AK4568">
        <v>29.035550979131401</v>
      </c>
      <c r="AL4568">
        <v>89.906491065967003</v>
      </c>
      <c r="AM4568">
        <v>85.184141375802895</v>
      </c>
      <c r="AN4568">
        <v>0.99999996666572599</v>
      </c>
    </row>
    <row r="4569" spans="1:40" x14ac:dyDescent="0.25">
      <c r="A4569" t="str">
        <f>"20190312161103095"</f>
        <v>20190312161103095</v>
      </c>
      <c r="B4569" t="str">
        <f>"1552378263091835"</f>
        <v>1552378263091835</v>
      </c>
      <c r="C4569" t="s">
        <v>40</v>
      </c>
      <c r="D4569">
        <v>5.3300809999999998</v>
      </c>
      <c r="E4569">
        <v>0.3894087</v>
      </c>
      <c r="F4569" t="s">
        <v>41</v>
      </c>
      <c r="G4569">
        <v>-397.68360000000001</v>
      </c>
      <c r="H4569" s="1">
        <v>-1.705683E-6</v>
      </c>
      <c r="I4569">
        <v>136.11590000000001</v>
      </c>
      <c r="J4569">
        <v>-369.01209999999998</v>
      </c>
      <c r="K4569">
        <v>1.1100779999999999</v>
      </c>
      <c r="L4569">
        <v>141.82579999999999</v>
      </c>
      <c r="M4569">
        <v>-0.99988339999999998</v>
      </c>
      <c r="N4569">
        <v>0</v>
      </c>
      <c r="O4569">
        <v>5.1324830000000002E-3</v>
      </c>
      <c r="P4569">
        <v>-0.99591229999999997</v>
      </c>
      <c r="Q4569">
        <v>-1.2512479999999999E-2</v>
      </c>
      <c r="R4569">
        <v>8.9456679999999997E-2</v>
      </c>
      <c r="S4569">
        <v>-3.0648499999999999</v>
      </c>
      <c r="T4569">
        <v>-0.1176097</v>
      </c>
      <c r="U4569">
        <v>-0.60479740000000004</v>
      </c>
      <c r="V4569">
        <v>8.4343370000000001E-2</v>
      </c>
      <c r="W4569">
        <v>1.837078E-3</v>
      </c>
      <c r="X4569">
        <v>0.99643499999999996</v>
      </c>
      <c r="Y4569">
        <v>-0.1984891</v>
      </c>
      <c r="Z4569">
        <v>-3.9657119999999997E-3</v>
      </c>
      <c r="AA4569">
        <v>0.9800951</v>
      </c>
      <c r="AB4569">
        <v>32</v>
      </c>
      <c r="AC4569">
        <v>-28.671500000000002</v>
      </c>
      <c r="AD4569">
        <v>-1.1100797056829901</v>
      </c>
      <c r="AE4569">
        <v>-5.70989999999997</v>
      </c>
      <c r="AF4569">
        <v>-5.8485633132909296</v>
      </c>
      <c r="AG4569">
        <v>-1.1100797056829901</v>
      </c>
      <c r="AH4569">
        <v>28.600575929894799</v>
      </c>
      <c r="AI4569">
        <v>92.1776956291814</v>
      </c>
      <c r="AJ4569">
        <v>101.557141697077</v>
      </c>
      <c r="AK4569">
        <v>29.213539896839301</v>
      </c>
      <c r="AL4569">
        <v>89.894743118872299</v>
      </c>
      <c r="AM4569">
        <v>85.161724395396902</v>
      </c>
      <c r="AN4569">
        <v>0.99999994407176596</v>
      </c>
    </row>
    <row r="4570" spans="1:40" x14ac:dyDescent="0.25">
      <c r="A4570" t="str">
        <f>"20190312161103117"</f>
        <v>20190312161103117</v>
      </c>
      <c r="B4570" t="str">
        <f>"1552378263111356"</f>
        <v>1552378263111356</v>
      </c>
      <c r="C4570" t="s">
        <v>40</v>
      </c>
      <c r="D4570">
        <v>5.3491</v>
      </c>
      <c r="E4570">
        <v>0.38859179999999999</v>
      </c>
      <c r="F4570" t="s">
        <v>41</v>
      </c>
      <c r="G4570">
        <v>-397.98509999999999</v>
      </c>
      <c r="H4570" s="1">
        <v>-1.6183410000000001E-6</v>
      </c>
      <c r="I4570">
        <v>136.05850000000001</v>
      </c>
      <c r="J4570">
        <v>-369.31229999999999</v>
      </c>
      <c r="K4570">
        <v>1.1100829999999999</v>
      </c>
      <c r="L4570">
        <v>141.82730000000001</v>
      </c>
      <c r="M4570">
        <v>-0.99988350000000004</v>
      </c>
      <c r="N4570">
        <v>0</v>
      </c>
      <c r="O4570">
        <v>5.0926349999999999E-3</v>
      </c>
      <c r="P4570">
        <v>-0.99591850000000004</v>
      </c>
      <c r="Q4570">
        <v>-1.227781E-2</v>
      </c>
      <c r="R4570">
        <v>8.9420970000000002E-2</v>
      </c>
      <c r="S4570">
        <v>-3.0656430000000001</v>
      </c>
      <c r="T4570">
        <v>-0.117458199999999</v>
      </c>
      <c r="U4570">
        <v>-0.61022949999999998</v>
      </c>
      <c r="V4570">
        <v>8.4347409999999998E-2</v>
      </c>
      <c r="W4570">
        <v>2.0688199999999999E-3</v>
      </c>
      <c r="X4570">
        <v>0.9964343</v>
      </c>
      <c r="Y4570">
        <v>-0.200072</v>
      </c>
      <c r="Z4570">
        <v>-3.9874339999999998E-3</v>
      </c>
      <c r="AA4570">
        <v>0.97977309999999995</v>
      </c>
      <c r="AB4570">
        <v>32</v>
      </c>
      <c r="AC4570">
        <v>-28.672799999999899</v>
      </c>
      <c r="AD4570">
        <v>-1.110084618341</v>
      </c>
      <c r="AE4570">
        <v>-5.7687999999999899</v>
      </c>
      <c r="AF4570">
        <v>-5.9062519489746101</v>
      </c>
      <c r="AG4570">
        <v>-1.110084618341</v>
      </c>
      <c r="AH4570">
        <v>28.601843313101099</v>
      </c>
      <c r="AI4570">
        <v>92.176747751053398</v>
      </c>
      <c r="AJ4570">
        <v>101.667524254516</v>
      </c>
      <c r="AK4570">
        <v>29.226384327381901</v>
      </c>
      <c r="AL4570">
        <v>89.881465265602401</v>
      </c>
      <c r="AM4570">
        <v>85.161490361993003</v>
      </c>
      <c r="AN4570">
        <v>1.0000000399031901</v>
      </c>
    </row>
    <row r="4571" spans="1:40" x14ac:dyDescent="0.25">
      <c r="A4571" t="str">
        <f>"20190312161103139"</f>
        <v>20190312161103139</v>
      </c>
      <c r="B4571" t="str">
        <f>"1552378263131852"</f>
        <v>1552378263131852</v>
      </c>
      <c r="C4571" t="s">
        <v>40</v>
      </c>
      <c r="D4571">
        <v>5.3394740000000001</v>
      </c>
      <c r="E4571">
        <v>0.38791110000000001</v>
      </c>
      <c r="F4571" t="s">
        <v>41</v>
      </c>
      <c r="G4571">
        <v>-398.75599999999997</v>
      </c>
      <c r="H4571" s="1">
        <v>-1.397133E-6</v>
      </c>
      <c r="I4571">
        <v>135.90389999999999</v>
      </c>
      <c r="J4571">
        <v>-369.64100000000002</v>
      </c>
      <c r="K4571">
        <v>1.110085</v>
      </c>
      <c r="L4571">
        <v>141.8289</v>
      </c>
      <c r="M4571">
        <v>-0.99988379999999999</v>
      </c>
      <c r="N4571">
        <v>0</v>
      </c>
      <c r="O4571">
        <v>5.0486180000000004E-3</v>
      </c>
      <c r="P4571">
        <v>-0.99593810000000005</v>
      </c>
      <c r="Q4571">
        <v>-1.1810650000000001E-2</v>
      </c>
      <c r="R4571">
        <v>8.9264940000000001E-2</v>
      </c>
      <c r="S4571">
        <v>-3.066284</v>
      </c>
      <c r="T4571">
        <v>-0.11560520000000001</v>
      </c>
      <c r="U4571">
        <v>-0.61685179999999995</v>
      </c>
      <c r="V4571">
        <v>8.4235210000000005E-2</v>
      </c>
      <c r="W4571">
        <v>2.5327819999999999E-3</v>
      </c>
      <c r="X4571">
        <v>0.99644270000000001</v>
      </c>
      <c r="Y4571">
        <v>-0.20202719999999999</v>
      </c>
      <c r="Z4571">
        <v>-3.9577830000000003E-3</v>
      </c>
      <c r="AA4571">
        <v>0.97937189999999996</v>
      </c>
      <c r="AB4571">
        <v>32</v>
      </c>
      <c r="AC4571">
        <v>-29.114999999999998</v>
      </c>
      <c r="AD4571">
        <v>-1.1100863971329999</v>
      </c>
      <c r="AE4571">
        <v>-5.9250000000000096</v>
      </c>
      <c r="AF4571">
        <v>-6.0634661560500698</v>
      </c>
      <c r="AG4571">
        <v>-1.1100863971329999</v>
      </c>
      <c r="AH4571">
        <v>29.0441697327588</v>
      </c>
      <c r="AI4571">
        <v>92.142665051124794</v>
      </c>
      <c r="AJ4571">
        <v>101.79210428873201</v>
      </c>
      <c r="AK4571">
        <v>29.691104881765</v>
      </c>
      <c r="AL4571">
        <v>89.854882128718501</v>
      </c>
      <c r="AM4571">
        <v>85.1679366552478</v>
      </c>
      <c r="AN4571">
        <v>1.0000000199858401</v>
      </c>
    </row>
    <row r="4572" spans="1:40" x14ac:dyDescent="0.25">
      <c r="A4572" t="str">
        <f>"20190312161103161"</f>
        <v>20190312161103161</v>
      </c>
      <c r="B4572" t="str">
        <f>"1552378263151371"</f>
        <v>1552378263151371</v>
      </c>
      <c r="C4572" t="s">
        <v>40</v>
      </c>
      <c r="D4572">
        <v>5.3334429999999999</v>
      </c>
      <c r="E4572">
        <v>0.38725029999999999</v>
      </c>
      <c r="F4572" t="s">
        <v>41</v>
      </c>
      <c r="G4572">
        <v>-399.90710000000001</v>
      </c>
      <c r="H4572" s="1">
        <v>-1.0644069999999999E-6</v>
      </c>
      <c r="I4572">
        <v>135.68209999999999</v>
      </c>
      <c r="J4572">
        <v>-369.94</v>
      </c>
      <c r="K4572">
        <v>1.1100920000000001</v>
      </c>
      <c r="L4572">
        <v>141.8304</v>
      </c>
      <c r="M4572">
        <v>-0.99988410000000005</v>
      </c>
      <c r="N4572">
        <v>0</v>
      </c>
      <c r="O4572">
        <v>5.0089459999999898E-3</v>
      </c>
      <c r="P4572">
        <v>-0.99599269999999995</v>
      </c>
      <c r="Q4572">
        <v>-1.141023E-2</v>
      </c>
      <c r="R4572">
        <v>8.8705939999999997E-2</v>
      </c>
      <c r="S4572">
        <v>-3.0667420000000001</v>
      </c>
      <c r="T4572">
        <v>-0.1124806</v>
      </c>
      <c r="U4572">
        <v>-0.62281799999999998</v>
      </c>
      <c r="V4572">
        <v>8.3715380000000006E-2</v>
      </c>
      <c r="W4572">
        <v>2.930462E-3</v>
      </c>
      <c r="X4572">
        <v>0.99648539999999997</v>
      </c>
      <c r="Y4572">
        <v>-0.2037968</v>
      </c>
      <c r="Z4572">
        <v>-3.88026E-3</v>
      </c>
      <c r="AA4572">
        <v>0.97900549999999997</v>
      </c>
      <c r="AB4572">
        <v>32</v>
      </c>
      <c r="AC4572">
        <v>-29.967099999999999</v>
      </c>
      <c r="AD4572">
        <v>-1.110093064407</v>
      </c>
      <c r="AE4572">
        <v>-6.1482999999999999</v>
      </c>
      <c r="AF4572">
        <v>-6.2900591559098098</v>
      </c>
      <c r="AG4572">
        <v>-1.110093064407</v>
      </c>
      <c r="AH4572">
        <v>29.896556281485601</v>
      </c>
      <c r="AI4572">
        <v>92.080962878492102</v>
      </c>
      <c r="AJ4572">
        <v>101.881404133073</v>
      </c>
      <c r="AK4572">
        <v>30.5712483927059</v>
      </c>
      <c r="AL4572">
        <v>89.832096655469996</v>
      </c>
      <c r="AM4572">
        <v>85.197821078264496</v>
      </c>
      <c r="AN4572">
        <v>1.0000000024346101</v>
      </c>
    </row>
    <row r="4573" spans="1:40" x14ac:dyDescent="0.25">
      <c r="A4573" t="str">
        <f>"20190312161103182"</f>
        <v>20190312161103182</v>
      </c>
      <c r="B4573" t="str">
        <f>"1552378263171868"</f>
        <v>1552378263171868</v>
      </c>
      <c r="C4573" t="s">
        <v>40</v>
      </c>
      <c r="D4573">
        <v>5.359394</v>
      </c>
      <c r="E4573">
        <v>0.38667639999999998</v>
      </c>
      <c r="F4573" t="s">
        <v>87</v>
      </c>
      <c r="G4573">
        <v>-400.9579</v>
      </c>
      <c r="H4573" s="1">
        <v>-3.7138969999999998E-6</v>
      </c>
      <c r="I4573">
        <v>135.46039999999999</v>
      </c>
      <c r="J4573">
        <v>-370.24250000000001</v>
      </c>
      <c r="K4573">
        <v>1.1100969999999999</v>
      </c>
      <c r="L4573">
        <v>141.83179999999999</v>
      </c>
      <c r="M4573">
        <v>-0.9998842</v>
      </c>
      <c r="N4573">
        <v>0</v>
      </c>
      <c r="O4573">
        <v>4.9687990000000003E-3</v>
      </c>
      <c r="P4573">
        <v>-0.99598180000000003</v>
      </c>
      <c r="Q4573">
        <v>-1.1232900000000001E-2</v>
      </c>
      <c r="R4573">
        <v>8.8850650000000003E-2</v>
      </c>
      <c r="S4573">
        <v>-3.0668639999999998</v>
      </c>
      <c r="T4573">
        <v>-0.1097598</v>
      </c>
      <c r="U4573">
        <v>-0.62982179999999999</v>
      </c>
      <c r="V4573">
        <v>8.3900180000000005E-2</v>
      </c>
      <c r="W4573">
        <v>3.1040310000000002E-3</v>
      </c>
      <c r="X4573">
        <v>0.9964693</v>
      </c>
      <c r="Y4573">
        <v>-0.205901</v>
      </c>
      <c r="Z4573">
        <v>-3.8212849999999998E-3</v>
      </c>
      <c r="AA4573">
        <v>0.97856540000000003</v>
      </c>
      <c r="AB4573">
        <v>32</v>
      </c>
      <c r="AC4573">
        <v>-30.715399999999899</v>
      </c>
      <c r="AD4573">
        <v>-1.1101007138969901</v>
      </c>
      <c r="AE4573">
        <v>-6.3713999999999897</v>
      </c>
      <c r="AF4573">
        <v>-6.51579589317722</v>
      </c>
      <c r="AG4573">
        <v>-1.1101007138969901</v>
      </c>
      <c r="AH4573">
        <v>30.644981871256299</v>
      </c>
      <c r="AI4573">
        <v>92.029282992235096</v>
      </c>
      <c r="AJ4573">
        <v>102.003584638745</v>
      </c>
      <c r="AK4573">
        <v>31.349686339837099</v>
      </c>
      <c r="AL4573">
        <v>89.822151833385007</v>
      </c>
      <c r="AM4573">
        <v>85.187192710261598</v>
      </c>
      <c r="AN4573">
        <v>0.99999997052748502</v>
      </c>
    </row>
    <row r="4574" spans="1:40" x14ac:dyDescent="0.25">
      <c r="A4574" t="str">
        <f>"20190312161103207"</f>
        <v>20190312161103207</v>
      </c>
      <c r="B4574" t="str">
        <f>"1552378263201147"</f>
        <v>1552378263201147</v>
      </c>
      <c r="C4574" t="s">
        <v>40</v>
      </c>
      <c r="D4574">
        <v>5.3867699999999896</v>
      </c>
      <c r="E4574">
        <v>0.38607950000000002</v>
      </c>
      <c r="F4574" t="s">
        <v>87</v>
      </c>
      <c r="G4574">
        <v>-401.26119999999997</v>
      </c>
      <c r="H4574" s="1">
        <v>-3.8660610000000001E-6</v>
      </c>
      <c r="I4574">
        <v>135.4213</v>
      </c>
      <c r="J4574">
        <v>-370.56849999999997</v>
      </c>
      <c r="K4574">
        <v>1.1101030000000001</v>
      </c>
      <c r="L4574">
        <v>141.83340000000001</v>
      </c>
      <c r="M4574">
        <v>-0.99988449999999995</v>
      </c>
      <c r="N4574">
        <v>0</v>
      </c>
      <c r="O4574">
        <v>4.925614E-3</v>
      </c>
      <c r="P4574">
        <v>-0.99593220000000005</v>
      </c>
      <c r="Q4574">
        <v>-1.1253569999999999E-2</v>
      </c>
      <c r="R4574">
        <v>8.9400839999999995E-2</v>
      </c>
      <c r="S4574">
        <v>-3.067383</v>
      </c>
      <c r="T4574">
        <v>-0.1097759</v>
      </c>
      <c r="U4574">
        <v>-0.6339264</v>
      </c>
      <c r="V4574">
        <v>8.4493550000000001E-2</v>
      </c>
      <c r="W4574">
        <v>3.0797120000000001E-3</v>
      </c>
      <c r="X4574">
        <v>0.99641930000000001</v>
      </c>
      <c r="Y4574">
        <v>-0.2070814</v>
      </c>
      <c r="Z4574">
        <v>-3.8400679999999999E-3</v>
      </c>
      <c r="AA4574">
        <v>0.97831619999999997</v>
      </c>
      <c r="AB4574">
        <v>32</v>
      </c>
      <c r="AC4574">
        <v>-30.692699999999999</v>
      </c>
      <c r="AD4574">
        <v>-1.1101068660609901</v>
      </c>
      <c r="AE4574">
        <v>-6.4120999999999997</v>
      </c>
      <c r="AF4574">
        <v>-6.5550018585960297</v>
      </c>
      <c r="AG4574">
        <v>-1.1101068660609901</v>
      </c>
      <c r="AH4574">
        <v>30.622357226539702</v>
      </c>
      <c r="AI4574">
        <v>92.030197216464799</v>
      </c>
      <c r="AJ4574">
        <v>102.08235614180499</v>
      </c>
      <c r="AK4574">
        <v>31.335748734154802</v>
      </c>
      <c r="AL4574">
        <v>89.823545227174506</v>
      </c>
      <c r="AM4574">
        <v>85.153074464516195</v>
      </c>
      <c r="AN4574">
        <v>1.00000003301504</v>
      </c>
    </row>
    <row r="4575" spans="1:40" x14ac:dyDescent="0.25">
      <c r="A4575" t="str">
        <f>"20190312161103229"</f>
        <v>20190312161103229</v>
      </c>
      <c r="B4575" t="str">
        <f>"1552378263221646"</f>
        <v>1552378263221646</v>
      </c>
      <c r="C4575" t="s">
        <v>40</v>
      </c>
      <c r="D4575">
        <v>5.4133170000000002</v>
      </c>
      <c r="E4575">
        <v>0.3856116</v>
      </c>
      <c r="F4575" t="s">
        <v>87</v>
      </c>
      <c r="G4575">
        <v>-400.83699999999999</v>
      </c>
      <c r="H4575" s="1">
        <v>-3.691312E-6</v>
      </c>
      <c r="I4575">
        <v>135.5478</v>
      </c>
      <c r="J4575">
        <v>-370.89679999999998</v>
      </c>
      <c r="K4575">
        <v>1.1101019999999999</v>
      </c>
      <c r="L4575">
        <v>141.83500000000001</v>
      </c>
      <c r="M4575">
        <v>-0.99988480000000002</v>
      </c>
      <c r="N4575">
        <v>0</v>
      </c>
      <c r="O4575">
        <v>4.8817729999999998E-3</v>
      </c>
      <c r="P4575">
        <v>-0.99597100000000005</v>
      </c>
      <c r="Q4575">
        <v>-1.079388E-2</v>
      </c>
      <c r="R4575">
        <v>8.9025670000000001E-2</v>
      </c>
      <c r="S4575">
        <v>-3.0681759999999998</v>
      </c>
      <c r="T4575">
        <v>-0.1125263</v>
      </c>
      <c r="U4575">
        <v>-0.63714599999999999</v>
      </c>
      <c r="V4575">
        <v>8.4161849999999996E-2</v>
      </c>
      <c r="W4575">
        <v>3.5360420000000001E-3</v>
      </c>
      <c r="X4575">
        <v>0.99644580000000005</v>
      </c>
      <c r="Y4575">
        <v>-0.2079656</v>
      </c>
      <c r="Z4575">
        <v>-3.9492549999999996E-3</v>
      </c>
      <c r="AA4575">
        <v>0.9781282</v>
      </c>
      <c r="AB4575">
        <v>31</v>
      </c>
      <c r="AC4575">
        <v>-29.940200000000001</v>
      </c>
      <c r="AD4575">
        <v>-1.110105691312</v>
      </c>
      <c r="AE4575">
        <v>-6.2872000000000101</v>
      </c>
      <c r="AF4575">
        <v>-6.4248419955470197</v>
      </c>
      <c r="AG4575">
        <v>-1.110105691312</v>
      </c>
      <c r="AH4575">
        <v>29.869818465156801</v>
      </c>
      <c r="AI4575">
        <v>92.080857642830793</v>
      </c>
      <c r="AJ4575">
        <v>102.139070564116</v>
      </c>
      <c r="AK4575">
        <v>30.5731415535769</v>
      </c>
      <c r="AL4575">
        <v>89.797399290242694</v>
      </c>
      <c r="AM4575">
        <v>85.172139922900996</v>
      </c>
      <c r="AN4575">
        <v>0.99999997646304295</v>
      </c>
    </row>
    <row r="4576" spans="1:40" x14ac:dyDescent="0.25">
      <c r="A4576" t="str">
        <f>"20190312161103252"</f>
        <v>20190312161103252</v>
      </c>
      <c r="B4576" t="str">
        <f>"1552378263241163"</f>
        <v>1552378263241163</v>
      </c>
      <c r="C4576" t="s">
        <v>40</v>
      </c>
      <c r="D4576">
        <v>5.4426370000000004</v>
      </c>
      <c r="E4576">
        <v>0.385264</v>
      </c>
      <c r="F4576" t="s">
        <v>87</v>
      </c>
      <c r="G4576">
        <v>-401.46080000000001</v>
      </c>
      <c r="H4576" s="1">
        <v>-3.9905010000000004E-6</v>
      </c>
      <c r="I4576">
        <v>135.44139999999999</v>
      </c>
      <c r="J4576">
        <v>-371.21710000000002</v>
      </c>
      <c r="K4576">
        <v>1.110101</v>
      </c>
      <c r="L4576">
        <v>141.8365</v>
      </c>
      <c r="M4576">
        <v>-0.99988520000000003</v>
      </c>
      <c r="N4576">
        <v>0</v>
      </c>
      <c r="O4576">
        <v>4.8388859999999997E-3</v>
      </c>
      <c r="P4576">
        <v>-0.99601600000000001</v>
      </c>
      <c r="Q4576">
        <v>-9.9937259999999997E-3</v>
      </c>
      <c r="R4576">
        <v>8.8614079999999998E-2</v>
      </c>
      <c r="S4576">
        <v>-3.068298</v>
      </c>
      <c r="T4576">
        <v>-0.111443</v>
      </c>
      <c r="U4576">
        <v>-0.64184569999999996</v>
      </c>
      <c r="V4576">
        <v>8.3792660000000005E-2</v>
      </c>
      <c r="W4576">
        <v>4.3333080000000001E-3</v>
      </c>
      <c r="X4576">
        <v>0.99647379999999997</v>
      </c>
      <c r="Y4576">
        <v>-0.2093534</v>
      </c>
      <c r="Z4576">
        <v>-3.9338890000000003E-3</v>
      </c>
      <c r="AA4576">
        <v>0.97783209999999998</v>
      </c>
      <c r="AB4576">
        <v>31</v>
      </c>
      <c r="AC4576">
        <v>-30.243699999999901</v>
      </c>
      <c r="AD4576">
        <v>-1.1101049905010001</v>
      </c>
      <c r="AE4576">
        <v>-6.39510000000001</v>
      </c>
      <c r="AF4576">
        <v>-6.5329609840694403</v>
      </c>
      <c r="AG4576">
        <v>-1.1101049905010001</v>
      </c>
      <c r="AH4576">
        <v>30.1734851788603</v>
      </c>
      <c r="AI4576">
        <v>92.059330746920395</v>
      </c>
      <c r="AJ4576">
        <v>102.21672940872701</v>
      </c>
      <c r="AK4576">
        <v>30.892573867326199</v>
      </c>
      <c r="AL4576">
        <v>89.751718965917803</v>
      </c>
      <c r="AM4576">
        <v>85.193353121513198</v>
      </c>
      <c r="AN4576">
        <v>1.00000001075726</v>
      </c>
    </row>
    <row r="4577" spans="1:40" x14ac:dyDescent="0.25">
      <c r="A4577" t="str">
        <f>"20190312161103294"</f>
        <v>20190312161103294</v>
      </c>
      <c r="B4577" t="str">
        <f>"1552378263291915"</f>
        <v>1552378263291915</v>
      </c>
      <c r="C4577" t="s">
        <v>40</v>
      </c>
      <c r="D4577">
        <v>5.6684159999999997</v>
      </c>
      <c r="E4577">
        <v>0.38459169999999998</v>
      </c>
      <c r="F4577" t="s">
        <v>87</v>
      </c>
      <c r="G4577">
        <v>-402.22719999999998</v>
      </c>
      <c r="H4577" s="1">
        <v>-4.3428619999999998E-6</v>
      </c>
      <c r="I4577">
        <v>135.30959999999999</v>
      </c>
      <c r="J4577">
        <v>-371.81270000000001</v>
      </c>
      <c r="K4577">
        <v>1.1100989999999999</v>
      </c>
      <c r="L4577">
        <v>141.83930000000001</v>
      </c>
      <c r="M4577">
        <v>-0.99988560000000004</v>
      </c>
      <c r="N4577">
        <v>0</v>
      </c>
      <c r="O4577">
        <v>4.7599039999999997E-3</v>
      </c>
      <c r="P4577">
        <v>-0.99600869999999997</v>
      </c>
      <c r="Q4577">
        <v>-9.9414880000000001E-3</v>
      </c>
      <c r="R4577">
        <v>8.870161E-2</v>
      </c>
      <c r="S4577">
        <v>-3.0684200000000001</v>
      </c>
      <c r="T4577">
        <v>-0.109843899999999</v>
      </c>
      <c r="U4577">
        <v>-0.64582819999999996</v>
      </c>
      <c r="V4577">
        <v>8.3959049999999993E-2</v>
      </c>
      <c r="W4577">
        <v>4.3795609999999997E-3</v>
      </c>
      <c r="X4577">
        <v>0.9964596</v>
      </c>
      <c r="Y4577">
        <v>-0.21048710000000001</v>
      </c>
      <c r="Z4577">
        <v>-3.8940820000000001E-3</v>
      </c>
      <c r="AA4577">
        <v>0.97758889999999998</v>
      </c>
      <c r="AB4577">
        <v>31</v>
      </c>
      <c r="AC4577">
        <v>-30.414499999999901</v>
      </c>
      <c r="AD4577">
        <v>-1.110103342862</v>
      </c>
      <c r="AE4577">
        <v>-6.5297000000000098</v>
      </c>
      <c r="AF4577">
        <v>-6.6659220506906198</v>
      </c>
      <c r="AG4577">
        <v>-1.110103342862</v>
      </c>
      <c r="AH4577">
        <v>30.3444281011713</v>
      </c>
      <c r="AI4577">
        <v>92.046390094324593</v>
      </c>
      <c r="AJ4577">
        <v>102.389673509475</v>
      </c>
      <c r="AK4577">
        <v>31.0877976544636</v>
      </c>
      <c r="AL4577">
        <v>89.749068841059298</v>
      </c>
      <c r="AM4577">
        <v>85.183784938519693</v>
      </c>
      <c r="AN4577">
        <v>1.0000000185318001</v>
      </c>
    </row>
    <row r="4578" spans="1:40" x14ac:dyDescent="0.25">
      <c r="A4578" t="str">
        <f>"20190312161103318"</f>
        <v>20190312161103318</v>
      </c>
      <c r="B4578" t="str">
        <f>"1552378263311437"</f>
        <v>1552378263311437</v>
      </c>
      <c r="C4578" t="s">
        <v>40</v>
      </c>
      <c r="D4578">
        <v>5.4327680000000003</v>
      </c>
      <c r="E4578">
        <v>0.42136299999999999</v>
      </c>
      <c r="F4578" t="s">
        <v>87</v>
      </c>
      <c r="G4578">
        <v>-402.54899999999998</v>
      </c>
      <c r="H4578" s="1">
        <v>-4.4893530000000003E-6</v>
      </c>
      <c r="I4578">
        <v>135.3177</v>
      </c>
      <c r="J4578">
        <v>-372.13529999999997</v>
      </c>
      <c r="K4578">
        <v>1.1101019999999999</v>
      </c>
      <c r="L4578">
        <v>141.8408</v>
      </c>
      <c r="M4578">
        <v>-0.99988580000000005</v>
      </c>
      <c r="N4578">
        <v>0</v>
      </c>
      <c r="O4578">
        <v>4.7168990000000001E-3</v>
      </c>
      <c r="P4578">
        <v>-0.996031</v>
      </c>
      <c r="Q4578">
        <v>-9.5143970000000008E-3</v>
      </c>
      <c r="R4578">
        <v>8.8497510000000001E-2</v>
      </c>
      <c r="S4578">
        <v>-3.0689700000000002</v>
      </c>
      <c r="T4578">
        <v>-0.1108418</v>
      </c>
      <c r="U4578">
        <v>-0.65116879999999999</v>
      </c>
      <c r="V4578">
        <v>8.37976E-2</v>
      </c>
      <c r="W4578">
        <v>4.8029869999999999E-3</v>
      </c>
      <c r="X4578">
        <v>0.9964712</v>
      </c>
      <c r="Y4578">
        <v>-0.2120348</v>
      </c>
      <c r="Z4578">
        <v>-3.9541460000000004E-3</v>
      </c>
      <c r="AA4578">
        <v>0.97725419999999996</v>
      </c>
      <c r="AB4578">
        <v>31</v>
      </c>
      <c r="AC4578">
        <v>-30.413699999999999</v>
      </c>
      <c r="AD4578">
        <v>-1.1101064893529999</v>
      </c>
      <c r="AE4578">
        <v>-6.5231000000000003</v>
      </c>
      <c r="AF4578">
        <v>-6.6580204044437998</v>
      </c>
      <c r="AG4578">
        <v>-1.1101064893529999</v>
      </c>
      <c r="AH4578">
        <v>30.343941299085301</v>
      </c>
      <c r="AI4578">
        <v>92.046538706119506</v>
      </c>
      <c r="AJ4578">
        <v>102.37563225269101</v>
      </c>
      <c r="AK4578">
        <v>31.0856292470658</v>
      </c>
      <c r="AL4578">
        <v>89.724808052126093</v>
      </c>
      <c r="AM4578">
        <v>85.193058589745704</v>
      </c>
      <c r="AN4578">
        <v>0.99999997943966001</v>
      </c>
    </row>
    <row r="4579" spans="1:40" x14ac:dyDescent="0.25">
      <c r="A4579" t="str">
        <f>"20190312161103340"</f>
        <v>20190312161103340</v>
      </c>
      <c r="B4579" t="str">
        <f>"1552378263331931"</f>
        <v>1552378263331931</v>
      </c>
      <c r="C4579" t="s">
        <v>40</v>
      </c>
      <c r="D4579">
        <v>5.4131419999999997</v>
      </c>
      <c r="E4579">
        <v>0.4276179</v>
      </c>
      <c r="F4579" t="s">
        <v>41</v>
      </c>
      <c r="G4579">
        <v>-387.08760000000001</v>
      </c>
      <c r="H4579" s="1">
        <v>-1.352487E-6</v>
      </c>
      <c r="I4579">
        <v>140.07</v>
      </c>
      <c r="J4579">
        <v>-372.44920000000002</v>
      </c>
      <c r="K4579">
        <v>1.1101030000000001</v>
      </c>
      <c r="L4579">
        <v>141.84219999999999</v>
      </c>
      <c r="M4579">
        <v>-0.99988600000000005</v>
      </c>
      <c r="N4579">
        <v>0</v>
      </c>
      <c r="O4579">
        <v>4.6750259999999997E-3</v>
      </c>
      <c r="P4579">
        <v>-0.99605160000000004</v>
      </c>
      <c r="Q4579">
        <v>-9.3170590000000008E-3</v>
      </c>
      <c r="R4579">
        <v>8.8287519999999994E-2</v>
      </c>
      <c r="S4579">
        <v>-3.041779</v>
      </c>
      <c r="T4579">
        <v>-0.22583139999999999</v>
      </c>
      <c r="U4579">
        <v>-0.36021419999999998</v>
      </c>
      <c r="V4579">
        <v>8.3629350000000005E-2</v>
      </c>
      <c r="W4579">
        <v>4.9970580000000004E-3</v>
      </c>
      <c r="X4579">
        <v>0.99648440000000005</v>
      </c>
      <c r="Y4579">
        <v>-0.1218987</v>
      </c>
      <c r="Z4579">
        <v>-4.8486559999999998E-3</v>
      </c>
      <c r="AA4579">
        <v>0.99253069999999999</v>
      </c>
      <c r="AB4579">
        <v>31</v>
      </c>
      <c r="AC4579">
        <v>-14.638399999999899</v>
      </c>
      <c r="AD4579">
        <v>-1.110104352487</v>
      </c>
      <c r="AE4579">
        <v>-1.77219999999999</v>
      </c>
      <c r="AF4579">
        <v>-1.8302489390205401</v>
      </c>
      <c r="AG4579">
        <v>-1.110104352487</v>
      </c>
      <c r="AH4579">
        <v>14.547500465261701</v>
      </c>
      <c r="AI4579">
        <v>94.329722352190601</v>
      </c>
      <c r="AJ4579">
        <v>97.170815566095897</v>
      </c>
      <c r="AK4579">
        <v>14.704146103701</v>
      </c>
      <c r="AL4579">
        <v>89.713688474792505</v>
      </c>
      <c r="AM4579">
        <v>85.202728195962294</v>
      </c>
      <c r="AN4579">
        <v>0.999999999106718</v>
      </c>
    </row>
    <row r="4580" spans="1:40" x14ac:dyDescent="0.25">
      <c r="A4580" t="str">
        <f>"20190312161103360"</f>
        <v>20190312161103360</v>
      </c>
      <c r="B4580" t="str">
        <f>"1552378263351031"</f>
        <v>1552378263351031</v>
      </c>
      <c r="C4580" t="s">
        <v>40</v>
      </c>
      <c r="D4580">
        <v>5.3927319999999996</v>
      </c>
      <c r="E4580">
        <v>0.42940410000000001</v>
      </c>
      <c r="F4580" t="s">
        <v>41</v>
      </c>
      <c r="G4580">
        <v>-387.63889999999998</v>
      </c>
      <c r="H4580" s="1">
        <v>-1.1734460000000001E-6</v>
      </c>
      <c r="I4580">
        <v>140.2859</v>
      </c>
      <c r="J4580">
        <v>-372.74310000000003</v>
      </c>
      <c r="K4580">
        <v>1.110109</v>
      </c>
      <c r="L4580">
        <v>141.84360000000001</v>
      </c>
      <c r="M4580">
        <v>-0.99988619999999995</v>
      </c>
      <c r="N4580">
        <v>0</v>
      </c>
      <c r="O4580">
        <v>4.635892E-3</v>
      </c>
      <c r="P4580">
        <v>-0.99607259999999997</v>
      </c>
      <c r="Q4580">
        <v>-9.1093349999999997E-3</v>
      </c>
      <c r="R4580">
        <v>8.8073189999999996E-2</v>
      </c>
      <c r="S4580">
        <v>-3.0374150000000002</v>
      </c>
      <c r="T4580">
        <v>-0.2219844</v>
      </c>
      <c r="U4580">
        <v>-0.31118770000000001</v>
      </c>
      <c r="V4580">
        <v>8.3453990000000006E-2</v>
      </c>
      <c r="W4580">
        <v>5.2016190000000002E-3</v>
      </c>
      <c r="X4580">
        <v>0.99649799999999999</v>
      </c>
      <c r="Y4580">
        <v>-0.1062365</v>
      </c>
      <c r="Z4580">
        <v>-4.2043380000000002E-3</v>
      </c>
      <c r="AA4580">
        <v>0.99433199999999999</v>
      </c>
      <c r="AB4580">
        <v>31</v>
      </c>
      <c r="AC4580">
        <v>-14.8957999999999</v>
      </c>
      <c r="AD4580">
        <v>-1.1101101734459999</v>
      </c>
      <c r="AE4580">
        <v>-1.5577000000000101</v>
      </c>
      <c r="AF4580">
        <v>-1.6178573426060801</v>
      </c>
      <c r="AG4580">
        <v>-1.1101101734459999</v>
      </c>
      <c r="AH4580">
        <v>14.8070692148638</v>
      </c>
      <c r="AI4580">
        <v>94.262264877163204</v>
      </c>
      <c r="AJ4580">
        <v>96.235544473539093</v>
      </c>
      <c r="AK4580">
        <v>14.936502459142799</v>
      </c>
      <c r="AL4580">
        <v>89.701967824188998</v>
      </c>
      <c r="AM4580">
        <v>85.2128056899124</v>
      </c>
      <c r="AN4580">
        <v>0.99999994464556896</v>
      </c>
    </row>
    <row r="4581" spans="1:40" x14ac:dyDescent="0.25">
      <c r="A4581" t="str">
        <f>"20190312161103384"</f>
        <v>20190312161103384</v>
      </c>
      <c r="B4581" t="str">
        <f>"1552378263381288"</f>
        <v>1552378263381288</v>
      </c>
      <c r="C4581" t="s">
        <v>40</v>
      </c>
      <c r="D4581">
        <v>5.3902850000000004</v>
      </c>
      <c r="E4581">
        <v>0.43035050000000002</v>
      </c>
      <c r="F4581" t="s">
        <v>41</v>
      </c>
      <c r="G4581">
        <v>-388.4812</v>
      </c>
      <c r="H4581" s="1">
        <v>-8.1594499999999997E-7</v>
      </c>
      <c r="I4581">
        <v>140.3004</v>
      </c>
      <c r="J4581">
        <v>-373.06009999999998</v>
      </c>
      <c r="K4581">
        <v>1.110114</v>
      </c>
      <c r="L4581">
        <v>141.845</v>
      </c>
      <c r="M4581">
        <v>-0.99988659999999996</v>
      </c>
      <c r="N4581">
        <v>0</v>
      </c>
      <c r="O4581">
        <v>4.5934829999999998E-3</v>
      </c>
      <c r="P4581">
        <v>-0.99610050000000006</v>
      </c>
      <c r="Q4581">
        <v>-9.4887389999999995E-3</v>
      </c>
      <c r="R4581">
        <v>8.7716119999999995E-2</v>
      </c>
      <c r="S4581">
        <v>-3.0361630000000002</v>
      </c>
      <c r="T4581">
        <v>-0.21416099999999999</v>
      </c>
      <c r="U4581">
        <v>-0.2976837</v>
      </c>
      <c r="V4581">
        <v>8.3139050000000006E-2</v>
      </c>
      <c r="W4581">
        <v>4.8192E-3</v>
      </c>
      <c r="X4581">
        <v>0.99652629999999998</v>
      </c>
      <c r="Y4581">
        <v>-0.10188700000000001</v>
      </c>
      <c r="Z4581">
        <v>-3.9032649999999999E-3</v>
      </c>
      <c r="AA4581">
        <v>0.99478829999999996</v>
      </c>
      <c r="AB4581">
        <v>31</v>
      </c>
      <c r="AC4581">
        <v>-15.421099999999999</v>
      </c>
      <c r="AD4581">
        <v>-1.1101148159450001</v>
      </c>
      <c r="AE4581">
        <v>-1.5446</v>
      </c>
      <c r="AF4581">
        <v>-1.60718170979844</v>
      </c>
      <c r="AG4581">
        <v>-1.1101148159450001</v>
      </c>
      <c r="AH4581">
        <v>15.335162562362999</v>
      </c>
      <c r="AI4581">
        <v>94.117952679598304</v>
      </c>
      <c r="AJ4581">
        <v>95.982967961684906</v>
      </c>
      <c r="AK4581">
        <v>15.4590620273997</v>
      </c>
      <c r="AL4581">
        <v>89.723879109581702</v>
      </c>
      <c r="AM4581">
        <v>85.230923005098006</v>
      </c>
      <c r="AN4581">
        <v>0.99999999645761595</v>
      </c>
    </row>
    <row r="4582" spans="1:40" x14ac:dyDescent="0.25">
      <c r="A4582" t="str">
        <f>"20190312161103407"</f>
        <v>20190312161103407</v>
      </c>
      <c r="B4582" t="str">
        <f>"1552378263401783"</f>
        <v>1552378263401783</v>
      </c>
      <c r="C4582" t="s">
        <v>40</v>
      </c>
      <c r="D4582">
        <v>5.4165859999999997</v>
      </c>
      <c r="E4582">
        <v>0.43073810000000001</v>
      </c>
      <c r="F4582" t="s">
        <v>41</v>
      </c>
      <c r="G4582">
        <v>-388.93860000000001</v>
      </c>
      <c r="H4582" s="1">
        <v>-6.2538289999999999E-7</v>
      </c>
      <c r="I4582">
        <v>140.32169999999999</v>
      </c>
      <c r="J4582">
        <v>-373.37329999999997</v>
      </c>
      <c r="K4582">
        <v>1.110115</v>
      </c>
      <c r="L4582">
        <v>141.84639999999999</v>
      </c>
      <c r="M4582">
        <v>-0.99988679999999996</v>
      </c>
      <c r="N4582">
        <v>0</v>
      </c>
      <c r="O4582">
        <v>4.5518470000000004E-3</v>
      </c>
      <c r="P4582">
        <v>-0.99614749999999996</v>
      </c>
      <c r="Q4582">
        <v>-9.2345540000000007E-3</v>
      </c>
      <c r="R4582">
        <v>8.7206450000000005E-2</v>
      </c>
      <c r="S4582">
        <v>-3.0353699999999999</v>
      </c>
      <c r="T4582">
        <v>-0.2122136</v>
      </c>
      <c r="U4582">
        <v>-0.29118349999999998</v>
      </c>
      <c r="V4582">
        <v>8.2670469999999996E-2</v>
      </c>
      <c r="W4582">
        <v>5.0704890000000001E-3</v>
      </c>
      <c r="X4582">
        <v>0.99656400000000001</v>
      </c>
      <c r="Y4582">
        <v>-9.9769930000000007E-2</v>
      </c>
      <c r="Z4582">
        <v>-3.7926090000000002E-3</v>
      </c>
      <c r="AA4582">
        <v>0.99500330000000003</v>
      </c>
      <c r="AB4582">
        <v>31</v>
      </c>
      <c r="AC4582">
        <v>-15.565300000000001</v>
      </c>
      <c r="AD4582">
        <v>-1.1101156253829001</v>
      </c>
      <c r="AE4582">
        <v>-1.52469999999999</v>
      </c>
      <c r="AF4582">
        <v>-1.58754401098088</v>
      </c>
      <c r="AG4582">
        <v>-1.1101156253829001</v>
      </c>
      <c r="AH4582">
        <v>15.4802056502272</v>
      </c>
      <c r="AI4582">
        <v>94.080441703175794</v>
      </c>
      <c r="AJ4582">
        <v>95.855393163630495</v>
      </c>
      <c r="AK4582">
        <v>15.600942909383599</v>
      </c>
      <c r="AL4582">
        <v>89.709481124108606</v>
      </c>
      <c r="AM4582">
        <v>85.257857646484695</v>
      </c>
      <c r="AN4582">
        <v>0.99999996128235902</v>
      </c>
    </row>
    <row r="4583" spans="1:40" x14ac:dyDescent="0.25">
      <c r="A4583" t="str">
        <f>"20190312161103430"</f>
        <v>20190312161103430</v>
      </c>
      <c r="B4583" t="str">
        <f>"1552378263421307"</f>
        <v>1552378263421307</v>
      </c>
      <c r="C4583" t="s">
        <v>40</v>
      </c>
      <c r="D4583">
        <v>5.4461209999999998</v>
      </c>
      <c r="E4583">
        <v>0.43110589999999999</v>
      </c>
      <c r="F4583" t="s">
        <v>41</v>
      </c>
      <c r="G4583">
        <v>-389.18970000000002</v>
      </c>
      <c r="H4583" s="1">
        <v>-5.2164899999999999E-7</v>
      </c>
      <c r="I4583">
        <v>140.33670000000001</v>
      </c>
      <c r="J4583">
        <v>-373.69470000000001</v>
      </c>
      <c r="K4583">
        <v>1.1101110000000001</v>
      </c>
      <c r="L4583">
        <v>141.84780000000001</v>
      </c>
      <c r="M4583">
        <v>-0.99988699999999997</v>
      </c>
      <c r="N4583">
        <v>0</v>
      </c>
      <c r="O4583">
        <v>4.50914E-3</v>
      </c>
      <c r="P4583">
        <v>-0.99620719999999996</v>
      </c>
      <c r="Q4583">
        <v>-9.3713730000000005E-3</v>
      </c>
      <c r="R4583">
        <v>8.6506719999999995E-2</v>
      </c>
      <c r="S4583">
        <v>-3.0349729999999999</v>
      </c>
      <c r="T4583">
        <v>-0.2130185</v>
      </c>
      <c r="U4583">
        <v>-0.28967290000000001</v>
      </c>
      <c r="V4583">
        <v>8.2013069999999993E-2</v>
      </c>
      <c r="W4583">
        <v>4.9312560000000002E-3</v>
      </c>
      <c r="X4583">
        <v>0.99661900000000003</v>
      </c>
      <c r="Y4583">
        <v>-9.9248420000000004E-2</v>
      </c>
      <c r="Z4583">
        <v>-3.7863179999999999E-3</v>
      </c>
      <c r="AA4583">
        <v>0.99505549999999998</v>
      </c>
      <c r="AB4583">
        <v>31</v>
      </c>
      <c r="AC4583">
        <v>-15.494999999999999</v>
      </c>
      <c r="AD4583">
        <v>-1.1101115216490001</v>
      </c>
      <c r="AE4583">
        <v>-1.5110999999999899</v>
      </c>
      <c r="AF4583">
        <v>-1.5729633785605399</v>
      </c>
      <c r="AG4583">
        <v>-1.1101115216490001</v>
      </c>
      <c r="AH4583">
        <v>15.409679095838699</v>
      </c>
      <c r="AI4583">
        <v>94.099235570903403</v>
      </c>
      <c r="AJ4583">
        <v>95.828355432577496</v>
      </c>
      <c r="AK4583">
        <v>15.529480713067001</v>
      </c>
      <c r="AL4583">
        <v>89.717458683143704</v>
      </c>
      <c r="AM4583">
        <v>85.295655939227998</v>
      </c>
      <c r="AN4583">
        <v>0.99999994604877895</v>
      </c>
    </row>
    <row r="4584" spans="1:40" x14ac:dyDescent="0.25">
      <c r="A4584" t="str">
        <f>"20190312161103452"</f>
        <v>20190312161103452</v>
      </c>
      <c r="B4584" t="str">
        <f>"1552378263441452"</f>
        <v>1552378263441452</v>
      </c>
      <c r="C4584" t="s">
        <v>40</v>
      </c>
      <c r="D4584">
        <v>5.5417839999999998</v>
      </c>
      <c r="E4584">
        <v>0.43116209999999999</v>
      </c>
      <c r="F4584" t="s">
        <v>41</v>
      </c>
      <c r="G4584">
        <v>-388.73160000000001</v>
      </c>
      <c r="H4584" s="1">
        <v>-7.3933499999999997E-7</v>
      </c>
      <c r="I4584">
        <v>140.41630000000001</v>
      </c>
      <c r="J4584">
        <v>-373.9973</v>
      </c>
      <c r="K4584">
        <v>1.1101019999999999</v>
      </c>
      <c r="L4584">
        <v>141.84909999999999</v>
      </c>
      <c r="M4584">
        <v>-0.99988719999999998</v>
      </c>
      <c r="N4584">
        <v>0</v>
      </c>
      <c r="O4584">
        <v>4.4686370000000001E-3</v>
      </c>
      <c r="P4584">
        <v>-0.99624489999999999</v>
      </c>
      <c r="Q4584">
        <v>-9.9268759999999994E-3</v>
      </c>
      <c r="R4584">
        <v>8.6010009999999998E-2</v>
      </c>
      <c r="S4584">
        <v>-3.034424</v>
      </c>
      <c r="T4584">
        <v>-0.22401889999999999</v>
      </c>
      <c r="U4584">
        <v>-0.28884890000000002</v>
      </c>
      <c r="V4584">
        <v>8.1556669999999998E-2</v>
      </c>
      <c r="W4584">
        <v>4.3724080000000004E-3</v>
      </c>
      <c r="X4584">
        <v>0.99665910000000002</v>
      </c>
      <c r="Y4584">
        <v>-9.8931450000000004E-2</v>
      </c>
      <c r="Z4584">
        <v>-3.9674589999999996E-3</v>
      </c>
      <c r="AA4584">
        <v>0.99508629999999998</v>
      </c>
      <c r="AB4584">
        <v>31</v>
      </c>
      <c r="AC4584">
        <v>-14.734299999999999</v>
      </c>
      <c r="AD4584">
        <v>-1.110102739335</v>
      </c>
      <c r="AE4584">
        <v>-1.4327999999999801</v>
      </c>
      <c r="AF4584">
        <v>-1.49025476931124</v>
      </c>
      <c r="AG4584">
        <v>-1.110102739335</v>
      </c>
      <c r="AH4584">
        <v>14.6453962322927</v>
      </c>
      <c r="AI4584">
        <v>94.312475589340707</v>
      </c>
      <c r="AJ4584">
        <v>95.810182556081202</v>
      </c>
      <c r="AK4584">
        <v>14.7628187745493</v>
      </c>
      <c r="AL4584">
        <v>89.749478673284401</v>
      </c>
      <c r="AM4584">
        <v>85.321906323380801</v>
      </c>
      <c r="AN4584">
        <v>0.99999998499300802</v>
      </c>
    </row>
    <row r="4585" spans="1:40" x14ac:dyDescent="0.25">
      <c r="A4585" t="str">
        <f>"20190312161103474"</f>
        <v>20190312161103474</v>
      </c>
      <c r="B4585" t="str">
        <f>"1552378263461947"</f>
        <v>1552378263461947</v>
      </c>
      <c r="C4585" t="s">
        <v>40</v>
      </c>
      <c r="D4585">
        <v>5.5397809999999996</v>
      </c>
      <c r="E4585">
        <v>0.43110520000000002</v>
      </c>
      <c r="F4585" t="s">
        <v>41</v>
      </c>
      <c r="G4585">
        <v>-389.01979999999998</v>
      </c>
      <c r="H4585" s="1">
        <v>-6.1512980000000005E-7</v>
      </c>
      <c r="I4585">
        <v>140.41419999999999</v>
      </c>
      <c r="J4585">
        <v>-374.30880000000002</v>
      </c>
      <c r="K4585">
        <v>1.110101</v>
      </c>
      <c r="L4585">
        <v>141.85040000000001</v>
      </c>
      <c r="M4585">
        <v>-0.99988750000000004</v>
      </c>
      <c r="N4585">
        <v>0</v>
      </c>
      <c r="O4585">
        <v>4.4269419999999997E-3</v>
      </c>
      <c r="P4585">
        <v>-0.99626740000000003</v>
      </c>
      <c r="Q4585">
        <v>-1.103991E-2</v>
      </c>
      <c r="R4585">
        <v>8.5612779999999999E-2</v>
      </c>
      <c r="S4585">
        <v>-3.034119</v>
      </c>
      <c r="T4585">
        <v>-0.22420909999999999</v>
      </c>
      <c r="U4585">
        <v>-0.28979490000000002</v>
      </c>
      <c r="V4585">
        <v>8.1200910000000001E-2</v>
      </c>
      <c r="W4585">
        <v>3.2566169999999998E-3</v>
      </c>
      <c r="X4585">
        <v>0.99669240000000003</v>
      </c>
      <c r="Y4585">
        <v>-9.9205740000000001E-2</v>
      </c>
      <c r="Z4585">
        <v>-3.9781829999999997E-3</v>
      </c>
      <c r="AA4585">
        <v>0.99505900000000003</v>
      </c>
      <c r="AB4585">
        <v>31</v>
      </c>
      <c r="AC4585">
        <v>-14.710999999999901</v>
      </c>
      <c r="AD4585">
        <v>-1.1101016151298</v>
      </c>
      <c r="AE4585">
        <v>-1.4362000000000099</v>
      </c>
      <c r="AF4585">
        <v>-1.4928966006428499</v>
      </c>
      <c r="AG4585">
        <v>-1.1101016151298</v>
      </c>
      <c r="AH4585">
        <v>14.6220209695588</v>
      </c>
      <c r="AI4585">
        <v>94.319190194917596</v>
      </c>
      <c r="AJ4585">
        <v>95.829652510652494</v>
      </c>
      <c r="AK4585">
        <v>14.739896983708601</v>
      </c>
      <c r="AL4585">
        <v>89.813409254393207</v>
      </c>
      <c r="AM4585">
        <v>85.342377682177499</v>
      </c>
      <c r="AN4585">
        <v>0.99999996677843594</v>
      </c>
    </row>
    <row r="4586" spans="1:40" x14ac:dyDescent="0.25">
      <c r="A4586" t="str">
        <f>"20190312161103496"</f>
        <v>20190312161103496</v>
      </c>
      <c r="B4586" t="str">
        <f>"1552378263491227"</f>
        <v>1552378263491227</v>
      </c>
      <c r="C4586" t="s">
        <v>40</v>
      </c>
      <c r="D4586">
        <v>6.0417620000000003</v>
      </c>
      <c r="E4586">
        <v>0.43105329999999897</v>
      </c>
      <c r="F4586" t="s">
        <v>41</v>
      </c>
      <c r="G4586">
        <v>-389.19260000000003</v>
      </c>
      <c r="H4586" s="1">
        <v>-5.4275159999999999E-7</v>
      </c>
      <c r="I4586">
        <v>140.42070000000001</v>
      </c>
      <c r="J4586">
        <v>-374.60660000000001</v>
      </c>
      <c r="K4586">
        <v>1.110096</v>
      </c>
      <c r="L4586">
        <v>141.85169999999999</v>
      </c>
      <c r="M4586">
        <v>-0.99988770000000005</v>
      </c>
      <c r="N4586">
        <v>0</v>
      </c>
      <c r="O4586">
        <v>4.3872729999999997E-3</v>
      </c>
      <c r="P4586">
        <v>-0.99632500000000002</v>
      </c>
      <c r="Q4586">
        <v>-1.1351E-2</v>
      </c>
      <c r="R4586">
        <v>8.489998E-2</v>
      </c>
      <c r="S4586">
        <v>-3.0338129999999999</v>
      </c>
      <c r="T4586">
        <v>-0.2262769</v>
      </c>
      <c r="U4586">
        <v>-0.29141240000000002</v>
      </c>
      <c r="V4586">
        <v>8.0527360000000006E-2</v>
      </c>
      <c r="W4586">
        <v>2.9428599999999998E-3</v>
      </c>
      <c r="X4586">
        <v>0.99674799999999997</v>
      </c>
      <c r="Y4586">
        <v>-9.9694939999999996E-2</v>
      </c>
      <c r="Z4586">
        <v>-4.0302999999999997E-3</v>
      </c>
      <c r="AA4586">
        <v>0.9950099</v>
      </c>
      <c r="AB4586">
        <v>31</v>
      </c>
      <c r="AC4586">
        <v>-14.586</v>
      </c>
      <c r="AD4586">
        <v>-1.1100965427516001</v>
      </c>
      <c r="AE4586">
        <v>-1.4309999999999801</v>
      </c>
      <c r="AF4586">
        <v>-1.48645767240863</v>
      </c>
      <c r="AG4586">
        <v>-1.1100965427516001</v>
      </c>
      <c r="AH4586">
        <v>14.4964140529933</v>
      </c>
      <c r="AI4586">
        <v>94.356257786371401</v>
      </c>
      <c r="AJ4586">
        <v>95.854628894612503</v>
      </c>
      <c r="AK4586">
        <v>14.614646459696299</v>
      </c>
      <c r="AL4586">
        <v>89.831386289788</v>
      </c>
      <c r="AM4586">
        <v>85.381100665635103</v>
      </c>
      <c r="AN4586">
        <v>0.99999994581877305</v>
      </c>
    </row>
    <row r="4587" spans="1:40" x14ac:dyDescent="0.25">
      <c r="A4587" t="str">
        <f>"20190312161103519"</f>
        <v>20190312161103519</v>
      </c>
      <c r="B4587" t="str">
        <f>"1552378263511726"</f>
        <v>1552378263511726</v>
      </c>
      <c r="C4587" t="s">
        <v>40</v>
      </c>
      <c r="D4587">
        <v>5.5716169999999998</v>
      </c>
      <c r="E4587">
        <v>0.43092320000000001</v>
      </c>
      <c r="F4587" t="s">
        <v>41</v>
      </c>
      <c r="G4587">
        <v>-389.6019</v>
      </c>
      <c r="H4587" s="1">
        <v>-3.613479E-7</v>
      </c>
      <c r="I4587">
        <v>140.3989</v>
      </c>
      <c r="J4587">
        <v>-374.93099999999998</v>
      </c>
      <c r="K4587">
        <v>1.1101030000000001</v>
      </c>
      <c r="L4587">
        <v>141.85310000000001</v>
      </c>
      <c r="M4587">
        <v>-0.999888</v>
      </c>
      <c r="N4587">
        <v>0</v>
      </c>
      <c r="O4587">
        <v>4.3440880000000003E-3</v>
      </c>
      <c r="P4587">
        <v>-0.99638930000000003</v>
      </c>
      <c r="Q4587">
        <v>-1.1212720000000001E-2</v>
      </c>
      <c r="R4587">
        <v>8.4159869999999998E-2</v>
      </c>
      <c r="S4587">
        <v>-3.0335079999999999</v>
      </c>
      <c r="T4587">
        <v>-0.2245702</v>
      </c>
      <c r="U4587">
        <v>-0.29388429999999999</v>
      </c>
      <c r="V4587">
        <v>7.9830090000000006E-2</v>
      </c>
      <c r="W4587">
        <v>3.078281E-3</v>
      </c>
      <c r="X4587">
        <v>0.99680380000000002</v>
      </c>
      <c r="Y4587">
        <v>-0.1004671</v>
      </c>
      <c r="Z4587">
        <v>-4.0255170000000002E-3</v>
      </c>
      <c r="AA4587">
        <v>0.99493220000000004</v>
      </c>
      <c r="AB4587">
        <v>31</v>
      </c>
      <c r="AC4587">
        <v>-14.6709</v>
      </c>
      <c r="AD4587">
        <v>-1.1101033613478899</v>
      </c>
      <c r="AE4587">
        <v>-1.4542000000000099</v>
      </c>
      <c r="AF4587">
        <v>-1.5093666974800799</v>
      </c>
      <c r="AG4587">
        <v>-1.1101033613478899</v>
      </c>
      <c r="AH4587">
        <v>14.581768119460101</v>
      </c>
      <c r="AI4587">
        <v>94.330455339080402</v>
      </c>
      <c r="AJ4587">
        <v>95.909670810880399</v>
      </c>
      <c r="AK4587">
        <v>14.701648845964201</v>
      </c>
      <c r="AL4587">
        <v>89.823627223883506</v>
      </c>
      <c r="AM4587">
        <v>85.421179194933998</v>
      </c>
      <c r="AN4587">
        <v>1.00000006738887</v>
      </c>
    </row>
    <row r="4588" spans="1:40" x14ac:dyDescent="0.25">
      <c r="A4588" t="str">
        <f>"20190312161103541"</f>
        <v>20190312161103541</v>
      </c>
      <c r="B4588" t="str">
        <f>"1552378263531243"</f>
        <v>1552378263531243</v>
      </c>
      <c r="C4588" t="s">
        <v>40</v>
      </c>
      <c r="D4588">
        <v>5.6128689999999999</v>
      </c>
      <c r="E4588">
        <v>0.43092839999999999</v>
      </c>
      <c r="F4588" t="s">
        <v>41</v>
      </c>
      <c r="G4588">
        <v>-390.0847</v>
      </c>
      <c r="H4588" s="1">
        <v>-4.3807560000000001E-6</v>
      </c>
      <c r="I4588">
        <v>140.3691</v>
      </c>
      <c r="J4588">
        <v>-375.23610000000002</v>
      </c>
      <c r="K4588">
        <v>1.110104</v>
      </c>
      <c r="L4588">
        <v>141.85429999999999</v>
      </c>
      <c r="M4588">
        <v>-0.9998882</v>
      </c>
      <c r="N4588">
        <v>0</v>
      </c>
      <c r="O4588">
        <v>4.3034060000000001E-3</v>
      </c>
      <c r="P4588">
        <v>-0.99646319999999999</v>
      </c>
      <c r="Q4588">
        <v>-1.105102E-2</v>
      </c>
      <c r="R4588">
        <v>8.3301899999999901E-2</v>
      </c>
      <c r="S4588">
        <v>-3.033417</v>
      </c>
      <c r="T4588">
        <v>-0.22221779999999999</v>
      </c>
      <c r="U4588">
        <v>-0.2970276</v>
      </c>
      <c r="V4588">
        <v>7.901242E-2</v>
      </c>
      <c r="W4588">
        <v>3.2375440000000002E-3</v>
      </c>
      <c r="X4588">
        <v>0.99686839999999999</v>
      </c>
      <c r="Y4588">
        <v>-0.10145410000000001</v>
      </c>
      <c r="Z4588">
        <v>-4.0164329999999998E-3</v>
      </c>
      <c r="AA4588">
        <v>0.9948321</v>
      </c>
      <c r="AB4588">
        <v>31</v>
      </c>
      <c r="AC4588">
        <v>-14.8485999999999</v>
      </c>
      <c r="AD4588">
        <v>-1.1101083807559999</v>
      </c>
      <c r="AE4588">
        <v>-1.4851999999999901</v>
      </c>
      <c r="AF4588">
        <v>-1.5405669086453599</v>
      </c>
      <c r="AG4588">
        <v>-1.1101083807559999</v>
      </c>
      <c r="AH4588">
        <v>14.760386940457501</v>
      </c>
      <c r="AI4588">
        <v>94.277889096233693</v>
      </c>
      <c r="AJ4588">
        <v>95.958485139261697</v>
      </c>
      <c r="AK4588">
        <v>14.8820263959269</v>
      </c>
      <c r="AL4588">
        <v>89.814502073497493</v>
      </c>
      <c r="AM4588">
        <v>85.468174441621201</v>
      </c>
      <c r="AN4588">
        <v>1.0000000255619801</v>
      </c>
    </row>
    <row r="4589" spans="1:40" x14ac:dyDescent="0.25">
      <c r="A4589" t="str">
        <f>"20190312161103563"</f>
        <v>20190312161103563</v>
      </c>
      <c r="B4589" t="str">
        <f>"1552378263551759"</f>
        <v>1552378263551759</v>
      </c>
      <c r="C4589" t="s">
        <v>40</v>
      </c>
      <c r="D4589">
        <v>5.6981299999999999</v>
      </c>
      <c r="E4589">
        <v>0.43119859999999999</v>
      </c>
      <c r="F4589" t="s">
        <v>41</v>
      </c>
      <c r="G4589">
        <v>-390.45280000000002</v>
      </c>
      <c r="H4589" s="1">
        <v>-4.2523750000000001E-6</v>
      </c>
      <c r="I4589">
        <v>140.35149999999999</v>
      </c>
      <c r="J4589">
        <v>-375.5301</v>
      </c>
      <c r="K4589">
        <v>1.110112</v>
      </c>
      <c r="L4589">
        <v>141.85550000000001</v>
      </c>
      <c r="M4589">
        <v>-0.99988829999999995</v>
      </c>
      <c r="N4589">
        <v>0</v>
      </c>
      <c r="O4589">
        <v>4.2642130000000002E-3</v>
      </c>
      <c r="P4589">
        <v>-0.99647799999999997</v>
      </c>
      <c r="Q4589">
        <v>-1.133904E-2</v>
      </c>
      <c r="R4589">
        <v>8.3085370000000006E-2</v>
      </c>
      <c r="S4589">
        <v>-3.0332340000000002</v>
      </c>
      <c r="T4589">
        <v>-0.22128490000000001</v>
      </c>
      <c r="U4589">
        <v>-0.29954530000000001</v>
      </c>
      <c r="V4589">
        <v>7.8834879999999996E-2</v>
      </c>
      <c r="W4589">
        <v>2.9466750000000002E-3</v>
      </c>
      <c r="X4589">
        <v>0.99688330000000003</v>
      </c>
      <c r="Y4589">
        <v>-0.1022392</v>
      </c>
      <c r="Z4589">
        <v>-4.0253729999999996E-3</v>
      </c>
      <c r="AA4589">
        <v>0.99475170000000002</v>
      </c>
      <c r="AB4589">
        <v>31</v>
      </c>
      <c r="AC4589">
        <v>-14.922700000000001</v>
      </c>
      <c r="AD4589">
        <v>-1.1101162523749999</v>
      </c>
      <c r="AE4589">
        <v>-1.50400000000001</v>
      </c>
      <c r="AF4589">
        <v>-1.55908514937022</v>
      </c>
      <c r="AG4589">
        <v>-1.1101162523749999</v>
      </c>
      <c r="AH4589">
        <v>14.8348790244968</v>
      </c>
      <c r="AI4589">
        <v>94.256199097793598</v>
      </c>
      <c r="AJ4589">
        <v>95.999528356096206</v>
      </c>
      <c r="AK4589">
        <v>14.957832071133501</v>
      </c>
      <c r="AL4589">
        <v>89.831167709091602</v>
      </c>
      <c r="AM4589">
        <v>85.478382430170001</v>
      </c>
      <c r="AN4589">
        <v>0.99999996750852904</v>
      </c>
    </row>
    <row r="4590" spans="1:40" x14ac:dyDescent="0.25">
      <c r="A4590" t="str">
        <f>"20190312161103586"</f>
        <v>20190312161103586</v>
      </c>
      <c r="B4590" t="str">
        <f>"1552378263581038"</f>
        <v>1552378263581038</v>
      </c>
      <c r="C4590" t="s">
        <v>40</v>
      </c>
      <c r="D4590">
        <v>5.6413460000000004</v>
      </c>
      <c r="E4590">
        <v>0.50085659999999999</v>
      </c>
      <c r="F4590" t="s">
        <v>41</v>
      </c>
      <c r="G4590">
        <v>-390.74079999999998</v>
      </c>
      <c r="H4590" s="1">
        <v>-4.1524740000000002E-6</v>
      </c>
      <c r="I4590">
        <v>140.3604</v>
      </c>
      <c r="J4590">
        <v>-375.86009999999999</v>
      </c>
      <c r="K4590">
        <v>1.110117</v>
      </c>
      <c r="L4590">
        <v>141.8569</v>
      </c>
      <c r="M4590">
        <v>-0.99988869999999996</v>
      </c>
      <c r="N4590">
        <v>0</v>
      </c>
      <c r="O4590">
        <v>4.2196589999999997E-3</v>
      </c>
      <c r="P4590">
        <v>-0.99652149999999995</v>
      </c>
      <c r="Q4590">
        <v>-1.125019E-2</v>
      </c>
      <c r="R4590">
        <v>8.2576629999999998E-2</v>
      </c>
      <c r="S4590">
        <v>-3.032867</v>
      </c>
      <c r="T4590">
        <v>-0.22134570000000001</v>
      </c>
      <c r="U4590">
        <v>-0.29809570000000002</v>
      </c>
      <c r="V4590">
        <v>7.8370350000000005E-2</v>
      </c>
      <c r="W4590">
        <v>3.032505E-3</v>
      </c>
      <c r="X4590">
        <v>0.99691969999999996</v>
      </c>
      <c r="Y4590">
        <v>-0.10173690000000001</v>
      </c>
      <c r="Z4590">
        <v>-4.0055519999999999E-3</v>
      </c>
      <c r="AA4590">
        <v>0.9948032</v>
      </c>
      <c r="AB4590">
        <v>31</v>
      </c>
      <c r="AC4590">
        <v>-14.8806999999999</v>
      </c>
      <c r="AD4590">
        <v>-1.110121152474</v>
      </c>
      <c r="AE4590">
        <v>-1.4964999999999899</v>
      </c>
      <c r="AF4590">
        <v>-1.55074055055983</v>
      </c>
      <c r="AG4590">
        <v>-1.110121152474</v>
      </c>
      <c r="AH4590">
        <v>14.7927492940824</v>
      </c>
      <c r="AI4590">
        <v>94.268411688322701</v>
      </c>
      <c r="AJ4590">
        <v>95.984522470106796</v>
      </c>
      <c r="AK4590">
        <v>14.915180082918701</v>
      </c>
      <c r="AL4590">
        <v>89.826249995504199</v>
      </c>
      <c r="AM4590">
        <v>85.505079741681101</v>
      </c>
      <c r="AN4590">
        <v>0.99999999804689299</v>
      </c>
    </row>
    <row r="4591" spans="1:40" x14ac:dyDescent="0.25">
      <c r="A4591" t="str">
        <f>"20190312161103610"</f>
        <v>20190312161103610</v>
      </c>
      <c r="B4591" t="str">
        <f>"1552378263601538"</f>
        <v>1552378263601538</v>
      </c>
      <c r="C4591" t="s">
        <v>40</v>
      </c>
      <c r="D4591">
        <v>5.6619479999999998</v>
      </c>
      <c r="E4591">
        <v>0.50705</v>
      </c>
      <c r="F4591" t="s">
        <v>42</v>
      </c>
      <c r="G4591">
        <v>-376.76729999999998</v>
      </c>
      <c r="H4591">
        <v>0.92304439999999999</v>
      </c>
      <c r="I4591">
        <v>141.93430000000001</v>
      </c>
      <c r="J4591">
        <v>-376.18</v>
      </c>
      <c r="K4591">
        <v>1.1101209999999999</v>
      </c>
      <c r="L4591">
        <v>141.85820000000001</v>
      </c>
      <c r="M4591">
        <v>-0.99988880000000002</v>
      </c>
      <c r="N4591">
        <v>0</v>
      </c>
      <c r="O4591">
        <v>4.1769529999999997E-3</v>
      </c>
      <c r="P4591">
        <v>-0.99654569999999998</v>
      </c>
      <c r="Q4591">
        <v>-1.108189E-2</v>
      </c>
      <c r="R4591">
        <v>8.2304680000000005E-2</v>
      </c>
      <c r="S4591">
        <v>-2.982513</v>
      </c>
      <c r="T4591">
        <v>-0.61498120000000001</v>
      </c>
      <c r="U4591">
        <v>0.25357059999999998</v>
      </c>
      <c r="V4591">
        <v>7.8140940000000006E-2</v>
      </c>
      <c r="W4591">
        <v>3.1974899999999999E-3</v>
      </c>
      <c r="X4591">
        <v>0.99693719999999997</v>
      </c>
      <c r="Y4591">
        <v>7.8987899999999903E-2</v>
      </c>
      <c r="Z4591">
        <v>7.1937819999999897E-3</v>
      </c>
      <c r="AA4591">
        <v>0.9968496</v>
      </c>
      <c r="AB4591">
        <v>31</v>
      </c>
      <c r="AC4591">
        <v>-0.58729999999996996</v>
      </c>
      <c r="AD4591">
        <v>-0.18707659999999901</v>
      </c>
      <c r="AE4591">
        <v>7.6099999999996698E-2</v>
      </c>
      <c r="AF4591">
        <v>6.6963647429958001E-2</v>
      </c>
      <c r="AG4591">
        <v>-0.18707659999999901</v>
      </c>
      <c r="AH4591">
        <v>0.53429535841545195</v>
      </c>
      <c r="AI4591">
        <v>109.158202708893</v>
      </c>
      <c r="AJ4591">
        <v>82.8563243831221</v>
      </c>
      <c r="AK4591">
        <v>0.57004676507193697</v>
      </c>
      <c r="AL4591">
        <v>89.816797006812706</v>
      </c>
      <c r="AM4591">
        <v>85.518262186453796</v>
      </c>
      <c r="AN4591">
        <v>1.0000000055951099</v>
      </c>
    </row>
    <row r="4592" spans="1:40" x14ac:dyDescent="0.25">
      <c r="A4592" t="str">
        <f>"20190312161103630"</f>
        <v>20190312161103630</v>
      </c>
      <c r="B4592" t="str">
        <f>"1552378263621055"</f>
        <v>1552378263621055</v>
      </c>
      <c r="C4592" t="s">
        <v>40</v>
      </c>
      <c r="D4592">
        <v>5.7381209999999996</v>
      </c>
      <c r="E4592">
        <v>0.5103531</v>
      </c>
      <c r="F4592" t="s">
        <v>42</v>
      </c>
      <c r="G4592">
        <v>-377.04360000000003</v>
      </c>
      <c r="H4592">
        <v>0.92682659999999994</v>
      </c>
      <c r="I4592">
        <v>141.94589999999999</v>
      </c>
      <c r="J4592">
        <v>-376.46069999999997</v>
      </c>
      <c r="K4592">
        <v>1.11012</v>
      </c>
      <c r="L4592">
        <v>141.85929999999999</v>
      </c>
      <c r="M4592">
        <v>-0.99988900000000003</v>
      </c>
      <c r="N4592">
        <v>0</v>
      </c>
      <c r="O4592">
        <v>4.1393070000000001E-3</v>
      </c>
      <c r="P4592">
        <v>-0.99656389999999995</v>
      </c>
      <c r="Q4592">
        <v>-1.0745029999999999E-2</v>
      </c>
      <c r="R4592">
        <v>8.2130529999999993E-2</v>
      </c>
      <c r="S4592">
        <v>-2.978424</v>
      </c>
      <c r="T4592">
        <v>-0.63210749999999905</v>
      </c>
      <c r="U4592">
        <v>0.30206300000000003</v>
      </c>
      <c r="V4592">
        <v>7.8004260000000006E-2</v>
      </c>
      <c r="W4592">
        <v>3.531274E-3</v>
      </c>
      <c r="X4592">
        <v>0.99694680000000002</v>
      </c>
      <c r="Y4592">
        <v>9.4781729999999995E-2</v>
      </c>
      <c r="Z4592">
        <v>9.0556170000000002E-3</v>
      </c>
      <c r="AA4592">
        <v>0.99545689999999998</v>
      </c>
      <c r="AB4592">
        <v>31</v>
      </c>
      <c r="AC4592">
        <v>-0.58290000000005104</v>
      </c>
      <c r="AD4592">
        <v>-0.1832934</v>
      </c>
      <c r="AE4592">
        <v>8.6600000000004201E-2</v>
      </c>
      <c r="AF4592">
        <v>7.6760128808386896E-2</v>
      </c>
      <c r="AG4592">
        <v>-0.1832934</v>
      </c>
      <c r="AH4592">
        <v>0.53180461416200298</v>
      </c>
      <c r="AI4592">
        <v>108.83593990527</v>
      </c>
      <c r="AJ4592">
        <v>81.786710721604294</v>
      </c>
      <c r="AK4592">
        <v>0.56771888774483903</v>
      </c>
      <c r="AL4592">
        <v>89.797672488709907</v>
      </c>
      <c r="AM4592">
        <v>85.526112457675197</v>
      </c>
      <c r="AN4592">
        <v>1.0000000282522199</v>
      </c>
    </row>
    <row r="4593" spans="1:40" x14ac:dyDescent="0.25">
      <c r="A4593" t="str">
        <f>"20190312161103653"</f>
        <v>20190312161103653</v>
      </c>
      <c r="B4593" t="str">
        <f>"1552378263641551"</f>
        <v>1552378263641551</v>
      </c>
      <c r="C4593" t="s">
        <v>40</v>
      </c>
      <c r="D4593">
        <v>5.6198410000000001</v>
      </c>
      <c r="E4593">
        <v>0.51248340000000003</v>
      </c>
      <c r="F4593" t="s">
        <v>42</v>
      </c>
      <c r="G4593">
        <v>-377.3175</v>
      </c>
      <c r="H4593">
        <v>0.92632559999999997</v>
      </c>
      <c r="I4593">
        <v>141.95400000000001</v>
      </c>
      <c r="J4593">
        <v>-376.7645</v>
      </c>
      <c r="K4593">
        <v>1.1101129999999999</v>
      </c>
      <c r="L4593">
        <v>141.8605</v>
      </c>
      <c r="M4593">
        <v>-0.99988920000000003</v>
      </c>
      <c r="N4593">
        <v>0</v>
      </c>
      <c r="O4593">
        <v>4.0988029999999998E-3</v>
      </c>
      <c r="P4593">
        <v>-0.99660780000000004</v>
      </c>
      <c r="Q4593">
        <v>-1.076701E-2</v>
      </c>
      <c r="R4593">
        <v>8.1591209999999997E-2</v>
      </c>
      <c r="S4593">
        <v>-2.9764710000000001</v>
      </c>
      <c r="T4593">
        <v>-0.63851869999999999</v>
      </c>
      <c r="U4593">
        <v>0.32775880000000002</v>
      </c>
      <c r="V4593">
        <v>7.7505160000000003E-2</v>
      </c>
      <c r="W4593">
        <v>3.5064789999999998E-3</v>
      </c>
      <c r="X4593">
        <v>0.99698580000000003</v>
      </c>
      <c r="Y4593">
        <v>0.1031528</v>
      </c>
      <c r="Z4593">
        <v>1.0041059999999999E-2</v>
      </c>
      <c r="AA4593">
        <v>0.99461480000000002</v>
      </c>
      <c r="AB4593">
        <v>31</v>
      </c>
      <c r="AC4593">
        <v>-0.55299999999999705</v>
      </c>
      <c r="AD4593">
        <v>-0.18378739999999999</v>
      </c>
      <c r="AE4593">
        <v>9.3500000000005898E-2</v>
      </c>
      <c r="AF4593">
        <v>8.2385454874029998E-2</v>
      </c>
      <c r="AG4593">
        <v>-0.18378739999999999</v>
      </c>
      <c r="AH4593">
        <v>0.49971696572666102</v>
      </c>
      <c r="AI4593">
        <v>109.94504549851401</v>
      </c>
      <c r="AJ4593">
        <v>80.638187710465203</v>
      </c>
      <c r="AK4593">
        <v>0.53877844928005603</v>
      </c>
      <c r="AL4593">
        <v>89.799093143718594</v>
      </c>
      <c r="AM4593">
        <v>85.554796129343799</v>
      </c>
      <c r="AN4593">
        <v>1.00000001531162</v>
      </c>
    </row>
    <row r="4594" spans="1:40" x14ac:dyDescent="0.25">
      <c r="A4594" t="str">
        <f>"20190312161103676"</f>
        <v>20190312161103676</v>
      </c>
      <c r="B4594" t="str">
        <f>"1552378263671807"</f>
        <v>1552378263671807</v>
      </c>
      <c r="C4594" t="s">
        <v>40</v>
      </c>
      <c r="D4594">
        <v>5.5559810000000001</v>
      </c>
      <c r="E4594">
        <v>0.51524409999999998</v>
      </c>
      <c r="F4594" t="s">
        <v>42</v>
      </c>
      <c r="G4594">
        <v>-377.59359999999998</v>
      </c>
      <c r="H4594">
        <v>0.93157959999999995</v>
      </c>
      <c r="I4594">
        <v>141.9562</v>
      </c>
      <c r="J4594">
        <v>-377.07350000000002</v>
      </c>
      <c r="K4594">
        <v>1.1101099999999999</v>
      </c>
      <c r="L4594">
        <v>141.86170000000001</v>
      </c>
      <c r="M4594">
        <v>-0.99988949999999999</v>
      </c>
      <c r="N4594">
        <v>0</v>
      </c>
      <c r="O4594">
        <v>4.0571089999999997E-3</v>
      </c>
      <c r="P4594">
        <v>-0.99665360000000003</v>
      </c>
      <c r="Q4594">
        <v>-1.093888E-2</v>
      </c>
      <c r="R4594">
        <v>8.1008490000000002E-2</v>
      </c>
      <c r="S4594">
        <v>-2.97525</v>
      </c>
      <c r="T4594">
        <v>-0.64064129999999997</v>
      </c>
      <c r="U4594">
        <v>0.34303280000000003</v>
      </c>
      <c r="V4594">
        <v>7.6963719999999999E-2</v>
      </c>
      <c r="W4594">
        <v>3.3314799999999999E-3</v>
      </c>
      <c r="X4594">
        <v>0.99702840000000004</v>
      </c>
      <c r="Y4594">
        <v>0.10815039999999999</v>
      </c>
      <c r="Z4594">
        <v>1.061403E-2</v>
      </c>
      <c r="AA4594">
        <v>0.99407789999999996</v>
      </c>
      <c r="AB4594">
        <v>31</v>
      </c>
      <c r="AC4594">
        <v>-0.52009999999995604</v>
      </c>
      <c r="AD4594">
        <v>-0.17853039999999901</v>
      </c>
      <c r="AE4594">
        <v>9.4499999999982195E-2</v>
      </c>
      <c r="AF4594">
        <v>8.2929695849572299E-2</v>
      </c>
      <c r="AG4594">
        <v>-0.17853039999999901</v>
      </c>
      <c r="AH4594">
        <v>0.46719006479262898</v>
      </c>
      <c r="AI4594">
        <v>110.61905217458801</v>
      </c>
      <c r="AJ4594">
        <v>79.934419354560106</v>
      </c>
      <c r="AK4594">
        <v>0.50696843572238603</v>
      </c>
      <c r="AL4594">
        <v>89.8091199170604</v>
      </c>
      <c r="AM4594">
        <v>85.585914386433203</v>
      </c>
      <c r="AN4594">
        <v>1.0000000716808899</v>
      </c>
    </row>
    <row r="4595" spans="1:40" x14ac:dyDescent="0.25">
      <c r="A4595" t="str">
        <f>"20190312161103720"</f>
        <v>20190312161103720</v>
      </c>
      <c r="B4595" t="str">
        <f>"1552378263711826"</f>
        <v>1552378263711826</v>
      </c>
      <c r="C4595" t="s">
        <v>40</v>
      </c>
      <c r="D4595">
        <v>5.686261</v>
      </c>
      <c r="E4595">
        <v>0.51684490000000005</v>
      </c>
      <c r="F4595" t="s">
        <v>42</v>
      </c>
      <c r="G4595">
        <v>-377.86829999999998</v>
      </c>
      <c r="H4595">
        <v>0.93435290000000004</v>
      </c>
      <c r="I4595">
        <v>141.95930000000001</v>
      </c>
      <c r="J4595">
        <v>-377.6918</v>
      </c>
      <c r="K4595">
        <v>1.110114</v>
      </c>
      <c r="L4595">
        <v>141.86420000000001</v>
      </c>
      <c r="M4595">
        <v>-0.9998899</v>
      </c>
      <c r="N4595">
        <v>0</v>
      </c>
      <c r="O4595">
        <v>3.9743729999999998E-3</v>
      </c>
      <c r="P4595">
        <v>-0.99674689999999999</v>
      </c>
      <c r="Q4595">
        <v>-1.146369E-2</v>
      </c>
      <c r="R4595">
        <v>7.9776219999999995E-2</v>
      </c>
      <c r="S4595">
        <v>-2.9732970000000001</v>
      </c>
      <c r="T4595">
        <v>-0.65753189999999995</v>
      </c>
      <c r="U4595">
        <v>0.36369319999999999</v>
      </c>
      <c r="V4595">
        <v>7.5813569999999997E-2</v>
      </c>
      <c r="W4595">
        <v>2.80124E-3</v>
      </c>
      <c r="X4595">
        <v>0.99711810000000001</v>
      </c>
      <c r="Y4595">
        <v>0.1148296</v>
      </c>
      <c r="Z4595">
        <v>1.163518E-2</v>
      </c>
      <c r="AA4595">
        <v>0.99331709999999995</v>
      </c>
      <c r="AB4595">
        <v>31</v>
      </c>
      <c r="AC4595">
        <v>-0.17649999999997501</v>
      </c>
      <c r="AD4595">
        <v>-0.1757611</v>
      </c>
      <c r="AE4595">
        <v>9.51000000000021E-2</v>
      </c>
      <c r="AF4595">
        <v>5.33764141743934E-2</v>
      </c>
      <c r="AG4595">
        <v>-0.1757611</v>
      </c>
      <c r="AH4595">
        <v>0.10001344337374</v>
      </c>
      <c r="AI4595">
        <v>147.17808443492399</v>
      </c>
      <c r="AJ4595">
        <v>61.911498608707802</v>
      </c>
      <c r="AK4595">
        <v>0.209149933585451</v>
      </c>
      <c r="AL4595">
        <v>89.839500564678801</v>
      </c>
      <c r="AM4595">
        <v>85.652013486731505</v>
      </c>
      <c r="AN4595">
        <v>1.0000000248446399</v>
      </c>
    </row>
    <row r="4596" spans="1:40" x14ac:dyDescent="0.25">
      <c r="A4596" t="str">
        <f>"20190312161103741"</f>
        <v>20190312161103741</v>
      </c>
      <c r="B4596" t="str">
        <f>"1552378263731353"</f>
        <v>1552378263731353</v>
      </c>
      <c r="C4596" t="s">
        <v>40</v>
      </c>
      <c r="D4596">
        <v>5.7159709999999997</v>
      </c>
      <c r="E4596">
        <v>0.51727529999999999</v>
      </c>
      <c r="F4596" t="s">
        <v>42</v>
      </c>
      <c r="G4596">
        <v>-378.41840000000002</v>
      </c>
      <c r="H4596">
        <v>0.94399239999999995</v>
      </c>
      <c r="I4596">
        <v>141.9555</v>
      </c>
      <c r="J4596">
        <v>-377.9683</v>
      </c>
      <c r="K4596">
        <v>1.1101080000000001</v>
      </c>
      <c r="L4596">
        <v>141.86519999999999</v>
      </c>
      <c r="M4596">
        <v>-0.99988999999999995</v>
      </c>
      <c r="N4596">
        <v>0</v>
      </c>
      <c r="O4596">
        <v>3.9373819999999997E-3</v>
      </c>
      <c r="P4596">
        <v>-0.99677139999999997</v>
      </c>
      <c r="Q4596">
        <v>-1.113337E-2</v>
      </c>
      <c r="R4596">
        <v>7.951648E-2</v>
      </c>
      <c r="S4596">
        <v>-2.972137</v>
      </c>
      <c r="T4596">
        <v>-0.67955969999999999</v>
      </c>
      <c r="U4596">
        <v>0.37263489999999999</v>
      </c>
      <c r="V4596">
        <v>7.5590599999999994E-2</v>
      </c>
      <c r="W4596">
        <v>3.129302E-3</v>
      </c>
      <c r="X4596">
        <v>0.99713399999999996</v>
      </c>
      <c r="Y4596">
        <v>0.1176059</v>
      </c>
      <c r="Z4596">
        <v>1.233832E-2</v>
      </c>
      <c r="AA4596">
        <v>0.99298370000000002</v>
      </c>
      <c r="AB4596">
        <v>31</v>
      </c>
      <c r="AC4596">
        <v>-0.45010000000001998</v>
      </c>
      <c r="AD4596">
        <v>-0.1661156</v>
      </c>
      <c r="AE4596">
        <v>9.03000000000133E-2</v>
      </c>
      <c r="AF4596">
        <v>7.8277420926989597E-2</v>
      </c>
      <c r="AG4596">
        <v>-0.1661156</v>
      </c>
      <c r="AH4596">
        <v>0.39829957704134999</v>
      </c>
      <c r="AI4596">
        <v>112.256035413265</v>
      </c>
      <c r="AJ4596">
        <v>78.881418742328705</v>
      </c>
      <c r="AK4596">
        <v>0.43859354790245098</v>
      </c>
      <c r="AL4596">
        <v>89.820703905046003</v>
      </c>
      <c r="AM4596">
        <v>85.664821089205702</v>
      </c>
      <c r="AN4596">
        <v>0.99999997264768303</v>
      </c>
    </row>
    <row r="4597" spans="1:40" x14ac:dyDescent="0.25">
      <c r="A4597" t="str">
        <f>"20190312161103763"</f>
        <v>20190312161103763</v>
      </c>
      <c r="B4597" t="str">
        <f>"1552378263751838"</f>
        <v>1552378263751838</v>
      </c>
      <c r="C4597" t="s">
        <v>40</v>
      </c>
      <c r="D4597">
        <v>5.6697290000000002</v>
      </c>
      <c r="E4597">
        <v>0.51760859999999997</v>
      </c>
      <c r="F4597" t="s">
        <v>42</v>
      </c>
      <c r="G4597">
        <v>-378.69130000000001</v>
      </c>
      <c r="H4597">
        <v>0.94525269999999995</v>
      </c>
      <c r="I4597">
        <v>141.95660000000001</v>
      </c>
      <c r="J4597">
        <v>-378.2747</v>
      </c>
      <c r="K4597">
        <v>1.110114</v>
      </c>
      <c r="L4597">
        <v>141.8664</v>
      </c>
      <c r="M4597">
        <v>-0.99989039999999996</v>
      </c>
      <c r="N4597">
        <v>0</v>
      </c>
      <c r="O4597">
        <v>3.8961629999999998E-3</v>
      </c>
      <c r="P4597">
        <v>-0.99677210000000005</v>
      </c>
      <c r="Q4597">
        <v>-1.1459779999999999E-2</v>
      </c>
      <c r="R4597">
        <v>7.9462619999999998E-2</v>
      </c>
      <c r="S4597">
        <v>-2.9721980000000001</v>
      </c>
      <c r="T4597">
        <v>-0.67763999999999902</v>
      </c>
      <c r="U4597">
        <v>0.37527470000000002</v>
      </c>
      <c r="V4597">
        <v>7.5577900000000003E-2</v>
      </c>
      <c r="W4597">
        <v>2.7988560000000002E-3</v>
      </c>
      <c r="X4597">
        <v>0.99713600000000002</v>
      </c>
      <c r="Y4597">
        <v>0.1185052</v>
      </c>
      <c r="Z4597">
        <v>1.2413510000000001E-2</v>
      </c>
      <c r="AA4597">
        <v>0.99287579999999998</v>
      </c>
      <c r="AB4597">
        <v>30</v>
      </c>
      <c r="AC4597">
        <v>-0.41660000000001601</v>
      </c>
      <c r="AD4597">
        <v>-0.16486129999999999</v>
      </c>
      <c r="AE4597">
        <v>9.0200000000009994E-2</v>
      </c>
      <c r="AF4597">
        <v>7.7050085140959804E-2</v>
      </c>
      <c r="AG4597">
        <v>-0.16486129999999999</v>
      </c>
      <c r="AH4597">
        <v>0.36269305013616598</v>
      </c>
      <c r="AI4597">
        <v>113.97114656967599</v>
      </c>
      <c r="AJ4597">
        <v>78.006454405809095</v>
      </c>
      <c r="AK4597">
        <v>0.40578591951297999</v>
      </c>
      <c r="AL4597">
        <v>89.839637158779794</v>
      </c>
      <c r="AM4597">
        <v>85.665555328657703</v>
      </c>
      <c r="AN4597">
        <v>1.0000000275296499</v>
      </c>
    </row>
    <row r="4598" spans="1:40" x14ac:dyDescent="0.25">
      <c r="A4598" t="str">
        <f>"20190312161103786"</f>
        <v>20190312161103786</v>
      </c>
      <c r="B4598" t="str">
        <f>"1552378263781119"</f>
        <v>1552378263781119</v>
      </c>
      <c r="C4598" t="s">
        <v>40</v>
      </c>
      <c r="D4598">
        <v>5.613721</v>
      </c>
      <c r="E4598">
        <v>0.51762849999999905</v>
      </c>
      <c r="F4598" t="s">
        <v>42</v>
      </c>
      <c r="G4598">
        <v>-378.96699999999998</v>
      </c>
      <c r="H4598">
        <v>0.95274040000000004</v>
      </c>
      <c r="I4598">
        <v>141.9547</v>
      </c>
      <c r="J4598">
        <v>-378.58409999999998</v>
      </c>
      <c r="K4598">
        <v>1.110114</v>
      </c>
      <c r="L4598">
        <v>141.86750000000001</v>
      </c>
      <c r="M4598">
        <v>-0.99989059999999996</v>
      </c>
      <c r="N4598">
        <v>0</v>
      </c>
      <c r="O4598">
        <v>3.854826E-3</v>
      </c>
      <c r="P4598">
        <v>-0.99675179999999997</v>
      </c>
      <c r="Q4598">
        <v>-1.180233E-2</v>
      </c>
      <c r="R4598">
        <v>7.9665739999999999E-2</v>
      </c>
      <c r="S4598">
        <v>-2.9717709999999999</v>
      </c>
      <c r="T4598">
        <v>-0.67555739999999997</v>
      </c>
      <c r="U4598">
        <v>0.37799070000000001</v>
      </c>
      <c r="V4598">
        <v>7.5822360000000005E-2</v>
      </c>
      <c r="W4598">
        <v>2.4526729999999998E-3</v>
      </c>
      <c r="X4598">
        <v>0.99711839999999996</v>
      </c>
      <c r="Y4598">
        <v>0.1194494</v>
      </c>
      <c r="Z4598">
        <v>1.249215E-2</v>
      </c>
      <c r="AA4598">
        <v>0.99276169999999997</v>
      </c>
      <c r="AB4598">
        <v>30</v>
      </c>
      <c r="AC4598">
        <v>-0.38290000000000601</v>
      </c>
      <c r="AD4598">
        <v>-0.1573736</v>
      </c>
      <c r="AE4598">
        <v>8.7199999999995698E-2</v>
      </c>
      <c r="AF4598">
        <v>7.3861377011455107E-2</v>
      </c>
      <c r="AG4598">
        <v>-0.1573736</v>
      </c>
      <c r="AH4598">
        <v>0.33020401959567602</v>
      </c>
      <c r="AI4598">
        <v>114.94320843425</v>
      </c>
      <c r="AJ4598">
        <v>77.391401208680705</v>
      </c>
      <c r="AK4598">
        <v>0.373171070084659</v>
      </c>
      <c r="AL4598">
        <v>89.859472058185005</v>
      </c>
      <c r="AM4598">
        <v>85.651512607957997</v>
      </c>
      <c r="AN4598">
        <v>1.00000007474968</v>
      </c>
    </row>
    <row r="4599" spans="1:40" x14ac:dyDescent="0.25">
      <c r="A4599" t="str">
        <f>"20190312161103809"</f>
        <v>20190312161103809</v>
      </c>
      <c r="B4599" t="str">
        <f>"1552378263801615"</f>
        <v>1552378263801615</v>
      </c>
      <c r="C4599" t="s">
        <v>40</v>
      </c>
      <c r="D4599">
        <v>5.6717089999999999</v>
      </c>
      <c r="E4599">
        <v>0.47981570000000001</v>
      </c>
      <c r="F4599" t="s">
        <v>42</v>
      </c>
      <c r="G4599">
        <v>-379.48849999999999</v>
      </c>
      <c r="H4599">
        <v>0.90571829999999998</v>
      </c>
      <c r="I4599">
        <v>141.9829</v>
      </c>
      <c r="J4599">
        <v>-378.89409999999998</v>
      </c>
      <c r="K4599">
        <v>1.1101160000000001</v>
      </c>
      <c r="L4599">
        <v>141.86869999999999</v>
      </c>
      <c r="M4599">
        <v>-0.99989070000000002</v>
      </c>
      <c r="N4599">
        <v>0</v>
      </c>
      <c r="O4599">
        <v>3.813964E-3</v>
      </c>
      <c r="P4599">
        <v>-0.99674240000000003</v>
      </c>
      <c r="Q4599">
        <v>-1.184647E-2</v>
      </c>
      <c r="R4599">
        <v>7.9777230000000005E-2</v>
      </c>
      <c r="S4599">
        <v>-2.9715579999999999</v>
      </c>
      <c r="T4599">
        <v>-0.67162619999999995</v>
      </c>
      <c r="U4599">
        <v>0.37823489999999999</v>
      </c>
      <c r="V4599">
        <v>7.5974719999999996E-2</v>
      </c>
      <c r="W4599">
        <v>2.4054670000000001E-3</v>
      </c>
      <c r="X4599">
        <v>0.99710690000000002</v>
      </c>
      <c r="Y4599">
        <v>0.119607199999999</v>
      </c>
      <c r="Z4599">
        <v>1.244865E-2</v>
      </c>
      <c r="AA4599">
        <v>0.9927433</v>
      </c>
      <c r="AB4599">
        <v>30</v>
      </c>
      <c r="AC4599">
        <v>-0.59440000000000703</v>
      </c>
      <c r="AD4599">
        <v>-0.20439769999999899</v>
      </c>
      <c r="AE4599">
        <v>0.11420000000001</v>
      </c>
      <c r="AF4599">
        <v>0.100473994070798</v>
      </c>
      <c r="AG4599">
        <v>-0.20439769999999899</v>
      </c>
      <c r="AH4599">
        <v>0.53394130312185994</v>
      </c>
      <c r="AI4599">
        <v>110.616630811185</v>
      </c>
      <c r="AJ4599">
        <v>79.343030682189905</v>
      </c>
      <c r="AK4599">
        <v>0.58048837923708496</v>
      </c>
      <c r="AL4599">
        <v>89.862176768110004</v>
      </c>
      <c r="AM4599">
        <v>85.642758168160995</v>
      </c>
      <c r="AN4599">
        <v>1.0000000571890799</v>
      </c>
    </row>
    <row r="4600" spans="1:40" x14ac:dyDescent="0.25">
      <c r="A4600" t="str">
        <f>"20190312161103830"</f>
        <v>20190312161103830</v>
      </c>
      <c r="B4600" t="str">
        <f>"1552378263821135"</f>
        <v>1552378263821135</v>
      </c>
      <c r="C4600" t="s">
        <v>40</v>
      </c>
      <c r="D4600">
        <v>5.5996350000000001</v>
      </c>
      <c r="E4600">
        <v>0.43034679999999997</v>
      </c>
      <c r="F4600" t="s">
        <v>42</v>
      </c>
      <c r="G4600">
        <v>-379.77409999999998</v>
      </c>
      <c r="H4600">
        <v>0.93606880000000003</v>
      </c>
      <c r="I4600">
        <v>141.89169999999999</v>
      </c>
      <c r="J4600">
        <v>-379.18950000000001</v>
      </c>
      <c r="K4600">
        <v>1.1101110000000001</v>
      </c>
      <c r="L4600">
        <v>141.86969999999999</v>
      </c>
      <c r="M4600">
        <v>-0.99989090000000003</v>
      </c>
      <c r="N4600">
        <v>0</v>
      </c>
      <c r="O4600">
        <v>3.7742959999999999E-3</v>
      </c>
      <c r="P4600">
        <v>-0.99679549999999995</v>
      </c>
      <c r="Q4600">
        <v>-1.1863459999999999E-2</v>
      </c>
      <c r="R4600">
        <v>7.9109059999999995E-2</v>
      </c>
      <c r="S4600">
        <v>-2.9964900000000001</v>
      </c>
      <c r="T4600">
        <v>-0.59264740000000005</v>
      </c>
      <c r="U4600">
        <v>7.8369140000000004E-2</v>
      </c>
      <c r="V4600">
        <v>7.5345809999999999E-2</v>
      </c>
      <c r="W4600">
        <v>2.3859160000000001E-3</v>
      </c>
      <c r="X4600">
        <v>0.9971546</v>
      </c>
      <c r="Y4600">
        <v>2.2017979999999999E-2</v>
      </c>
      <c r="Z4600">
        <v>1.4168550000000001E-3</v>
      </c>
      <c r="AA4600">
        <v>0.9997566</v>
      </c>
      <c r="AB4600">
        <v>30</v>
      </c>
      <c r="AC4600">
        <v>-0.58459999999996604</v>
      </c>
      <c r="AD4600">
        <v>-0.17404220000000001</v>
      </c>
      <c r="AE4600">
        <v>2.1999999999991301E-2</v>
      </c>
      <c r="AF4600">
        <v>1.81837760399058E-2</v>
      </c>
      <c r="AG4600">
        <v>-0.17404220000000001</v>
      </c>
      <c r="AH4600">
        <v>0.53713844578288605</v>
      </c>
      <c r="AI4600">
        <v>107.943606841136</v>
      </c>
      <c r="AJ4600">
        <v>88.061103415502004</v>
      </c>
      <c r="AK4600">
        <v>0.56492393030386301</v>
      </c>
      <c r="AL4600">
        <v>89.863296951859496</v>
      </c>
      <c r="AM4600">
        <v>85.678895654880293</v>
      </c>
      <c r="AN4600">
        <v>0.99999998999043704</v>
      </c>
    </row>
    <row r="4601" spans="1:40" x14ac:dyDescent="0.25">
      <c r="A4601" t="str">
        <f>"20190312161103853"</f>
        <v>20190312161103853</v>
      </c>
      <c r="B4601" t="str">
        <f>"1552378263841631"</f>
        <v>1552378263841631</v>
      </c>
      <c r="C4601" t="s">
        <v>40</v>
      </c>
      <c r="D4601">
        <v>5.5778549999999996</v>
      </c>
      <c r="E4601">
        <v>0.42574010000000001</v>
      </c>
      <c r="F4601" t="s">
        <v>41</v>
      </c>
      <c r="G4601">
        <v>-390.43889999999999</v>
      </c>
      <c r="H4601" s="1">
        <v>-4.3181950000000001E-6</v>
      </c>
      <c r="I4601">
        <v>140.696</v>
      </c>
      <c r="J4601">
        <v>-379.49040000000002</v>
      </c>
      <c r="K4601">
        <v>1.1101160000000001</v>
      </c>
      <c r="L4601">
        <v>141.8708</v>
      </c>
      <c r="M4601">
        <v>-0.99989119999999998</v>
      </c>
      <c r="N4601">
        <v>0</v>
      </c>
      <c r="O4601">
        <v>3.7336140000000001E-3</v>
      </c>
      <c r="P4601">
        <v>-0.99680659999999999</v>
      </c>
      <c r="Q4601">
        <v>-1.248586E-2</v>
      </c>
      <c r="R4601">
        <v>7.8874830000000007E-2</v>
      </c>
      <c r="S4601">
        <v>-3.0312190000000001</v>
      </c>
      <c r="T4601">
        <v>-0.299126</v>
      </c>
      <c r="U4601">
        <v>-0.31623839999999998</v>
      </c>
      <c r="V4601">
        <v>7.5152170000000004E-2</v>
      </c>
      <c r="W4601">
        <v>1.75983E-3</v>
      </c>
      <c r="X4601">
        <v>0.99717049999999996</v>
      </c>
      <c r="Y4601">
        <v>-0.1069452</v>
      </c>
      <c r="Z4601">
        <v>-5.6164550000000002E-3</v>
      </c>
      <c r="AA4601">
        <v>0.99424900000000005</v>
      </c>
      <c r="AB4601">
        <v>30</v>
      </c>
      <c r="AC4601">
        <v>-10.9484999999999</v>
      </c>
      <c r="AD4601">
        <v>-1.1101203181949999</v>
      </c>
      <c r="AE4601">
        <v>-1.1748000000000001</v>
      </c>
      <c r="AF4601">
        <v>-1.20344182119496</v>
      </c>
      <c r="AG4601">
        <v>-1.1101203181949999</v>
      </c>
      <c r="AH4601">
        <v>10.8339224125383</v>
      </c>
      <c r="AI4601">
        <v>95.814993841392806</v>
      </c>
      <c r="AJ4601">
        <v>96.338481718930893</v>
      </c>
      <c r="AK4601">
        <v>10.956939088028699</v>
      </c>
      <c r="AL4601">
        <v>89.899169113860196</v>
      </c>
      <c r="AM4601">
        <v>85.690027530233493</v>
      </c>
      <c r="AN4601">
        <v>0.99999997586379297</v>
      </c>
    </row>
    <row r="4602" spans="1:40" x14ac:dyDescent="0.25">
      <c r="A4602" t="str">
        <f>"20190312161103876"</f>
        <v>20190312161103876</v>
      </c>
      <c r="B4602" t="str">
        <f>"1552378263861151"</f>
        <v>1552378263861151</v>
      </c>
      <c r="C4602" t="s">
        <v>40</v>
      </c>
      <c r="D4602">
        <v>5.5561930000000004</v>
      </c>
      <c r="E4602">
        <v>0.4251605</v>
      </c>
      <c r="F4602" t="s">
        <v>41</v>
      </c>
      <c r="G4602">
        <v>-392.68709999999999</v>
      </c>
      <c r="H4602" s="1">
        <v>-3.3101030000000002E-6</v>
      </c>
      <c r="I4602">
        <v>140.33250000000001</v>
      </c>
      <c r="J4602">
        <v>-379.80810000000002</v>
      </c>
      <c r="K4602">
        <v>1.11012</v>
      </c>
      <c r="L4602">
        <v>141.87200000000001</v>
      </c>
      <c r="M4602">
        <v>-0.99989130000000004</v>
      </c>
      <c r="N4602">
        <v>0</v>
      </c>
      <c r="O4602">
        <v>3.6909059999999999E-3</v>
      </c>
      <c r="P4602">
        <v>-0.99681470000000005</v>
      </c>
      <c r="Q4602">
        <v>-1.329878E-2</v>
      </c>
      <c r="R4602">
        <v>7.8638009999999994E-2</v>
      </c>
      <c r="S4602">
        <v>-3.0343629999999999</v>
      </c>
      <c r="T4602">
        <v>-0.25525409999999998</v>
      </c>
      <c r="U4602">
        <v>-0.35369869999999998</v>
      </c>
      <c r="V4602">
        <v>7.4957979999999994E-2</v>
      </c>
      <c r="W4602">
        <v>9.4396270000000003E-4</v>
      </c>
      <c r="X4602">
        <v>0.99718620000000002</v>
      </c>
      <c r="Y4602">
        <v>-0.1190185</v>
      </c>
      <c r="Z4602">
        <v>-5.289335E-3</v>
      </c>
      <c r="AA4602">
        <v>0.99287800000000004</v>
      </c>
      <c r="AB4602">
        <v>30</v>
      </c>
      <c r="AC4602">
        <v>-12.8789999999999</v>
      </c>
      <c r="AD4602">
        <v>-1.1101233101029999</v>
      </c>
      <c r="AE4602">
        <v>-1.5395000000000001</v>
      </c>
      <c r="AF4602">
        <v>-1.57548884134154</v>
      </c>
      <c r="AG4602">
        <v>-1.1101233101029999</v>
      </c>
      <c r="AH4602">
        <v>12.779616915123199</v>
      </c>
      <c r="AI4602">
        <v>94.927515642175706</v>
      </c>
      <c r="AJ4602">
        <v>97.028041316596301</v>
      </c>
      <c r="AK4602">
        <v>12.924130429167301</v>
      </c>
      <c r="AL4602">
        <v>89.945914910733194</v>
      </c>
      <c r="AM4602">
        <v>85.701189941663102</v>
      </c>
      <c r="AN4602">
        <v>0.99999995365084804</v>
      </c>
    </row>
    <row r="4603" spans="1:40" x14ac:dyDescent="0.25">
      <c r="A4603" t="str">
        <f>"20190312161103921"</f>
        <v>20190312161103921</v>
      </c>
      <c r="B4603" t="str">
        <f>"1552378263911903"</f>
        <v>1552378263911903</v>
      </c>
      <c r="C4603" t="s">
        <v>40</v>
      </c>
      <c r="D4603">
        <v>5.5029690000000002</v>
      </c>
      <c r="E4603">
        <v>0.42554570000000003</v>
      </c>
      <c r="F4603" t="s">
        <v>41</v>
      </c>
      <c r="G4603">
        <v>-393.56849999999997</v>
      </c>
      <c r="H4603" s="1">
        <v>-2.9079799999999998E-6</v>
      </c>
      <c r="I4603">
        <v>140.2422</v>
      </c>
      <c r="J4603">
        <v>-380.4092</v>
      </c>
      <c r="K4603">
        <v>1.1101270000000001</v>
      </c>
      <c r="L4603">
        <v>141.8741</v>
      </c>
      <c r="M4603">
        <v>-0.99989170000000005</v>
      </c>
      <c r="N4603">
        <v>0</v>
      </c>
      <c r="O4603">
        <v>3.610491E-3</v>
      </c>
      <c r="P4603">
        <v>-0.99688480000000002</v>
      </c>
      <c r="Q4603">
        <v>-1.278936E-2</v>
      </c>
      <c r="R4603">
        <v>7.7829529999999994E-2</v>
      </c>
      <c r="S4603">
        <v>-3.0346679999999999</v>
      </c>
      <c r="T4603">
        <v>-0.2448235</v>
      </c>
      <c r="U4603">
        <v>-0.35940549999999999</v>
      </c>
      <c r="V4603">
        <v>7.4229340000000005E-2</v>
      </c>
      <c r="W4603">
        <v>1.4479789999999901E-3</v>
      </c>
      <c r="X4603">
        <v>0.99724009999999996</v>
      </c>
      <c r="Y4603">
        <v>-0.1207976</v>
      </c>
      <c r="Z4603">
        <v>-5.1377879999999999E-3</v>
      </c>
      <c r="AA4603">
        <v>0.99266390000000004</v>
      </c>
      <c r="AB4603">
        <v>30</v>
      </c>
      <c r="AC4603">
        <v>-13.159299999999901</v>
      </c>
      <c r="AD4603">
        <v>-1.11012990798</v>
      </c>
      <c r="AE4603">
        <v>-1.6318999999999999</v>
      </c>
      <c r="AF4603">
        <v>-1.66771676179073</v>
      </c>
      <c r="AG4603">
        <v>-1.11012990798</v>
      </c>
      <c r="AH4603">
        <v>13.061772135486599</v>
      </c>
      <c r="AI4603">
        <v>94.819002778524606</v>
      </c>
      <c r="AJ4603">
        <v>97.276112009504303</v>
      </c>
      <c r="AK4603">
        <v>13.2145207604938</v>
      </c>
      <c r="AL4603">
        <v>89.9170368816946</v>
      </c>
      <c r="AM4603">
        <v>85.743052026468405</v>
      </c>
      <c r="AN4603">
        <v>0.99999995430401301</v>
      </c>
    </row>
    <row r="4604" spans="1:40" x14ac:dyDescent="0.25">
      <c r="A4604" t="str">
        <f>"20190312161103966"</f>
        <v>20190312161103966</v>
      </c>
      <c r="B4604" t="str">
        <f>"1552378263961679"</f>
        <v>1552378263961679</v>
      </c>
      <c r="C4604" t="s">
        <v>40</v>
      </c>
      <c r="D4604">
        <v>5.429805</v>
      </c>
      <c r="E4604">
        <v>0.42532559999999903</v>
      </c>
      <c r="F4604" t="s">
        <v>41</v>
      </c>
      <c r="G4604">
        <v>-394.54160000000002</v>
      </c>
      <c r="H4604" s="1">
        <v>-2.4803670000000002E-6</v>
      </c>
      <c r="I4604">
        <v>140.20410000000001</v>
      </c>
      <c r="J4604">
        <v>-381.00150000000002</v>
      </c>
      <c r="K4604">
        <v>1.1101289999999999</v>
      </c>
      <c r="L4604">
        <v>141.87610000000001</v>
      </c>
      <c r="M4604">
        <v>-0.99989209999999995</v>
      </c>
      <c r="N4604">
        <v>0</v>
      </c>
      <c r="O4604">
        <v>3.530793E-3</v>
      </c>
      <c r="P4604">
        <v>-0.99696390000000001</v>
      </c>
      <c r="Q4604">
        <v>-1.267214E-2</v>
      </c>
      <c r="R4604">
        <v>7.6827270000000003E-2</v>
      </c>
      <c r="S4604">
        <v>-3.0343019999999998</v>
      </c>
      <c r="T4604">
        <v>-0.2383507</v>
      </c>
      <c r="U4604">
        <v>-0.35853580000000002</v>
      </c>
      <c r="V4604">
        <v>7.3306099999999999E-2</v>
      </c>
      <c r="W4604">
        <v>1.5600360000000001E-3</v>
      </c>
      <c r="X4604">
        <v>0.99730830000000004</v>
      </c>
      <c r="Y4604">
        <v>-0.12047380000000001</v>
      </c>
      <c r="Z4604">
        <v>-4.9841659999999999E-3</v>
      </c>
      <c r="AA4604">
        <v>0.99270400000000003</v>
      </c>
      <c r="AB4604">
        <v>30</v>
      </c>
      <c r="AC4604">
        <v>-13.540099999999899</v>
      </c>
      <c r="AD4604">
        <v>-1.1101314803669999</v>
      </c>
      <c r="AE4604">
        <v>-1.6719999999999899</v>
      </c>
      <c r="AF4604">
        <v>-1.7084895798875099</v>
      </c>
      <c r="AG4604">
        <v>-1.1101314803669999</v>
      </c>
      <c r="AH4604">
        <v>13.4450896887098</v>
      </c>
      <c r="AI4604">
        <v>94.682595070043902</v>
      </c>
      <c r="AJ4604">
        <v>97.241856458406104</v>
      </c>
      <c r="AK4604">
        <v>13.5985942393225</v>
      </c>
      <c r="AL4604">
        <v>89.910616487883004</v>
      </c>
      <c r="AM4604">
        <v>85.796093974405295</v>
      </c>
      <c r="AN4604">
        <v>1.0000000316292099</v>
      </c>
    </row>
    <row r="4605" spans="1:40" x14ac:dyDescent="0.25">
      <c r="A4605" t="str">
        <f>"20190312161103989"</f>
        <v>20190312161103989</v>
      </c>
      <c r="B4605" t="str">
        <f>"1552378263981200"</f>
        <v>1552378263981200</v>
      </c>
      <c r="C4605" t="s">
        <v>40</v>
      </c>
      <c r="D4605">
        <v>5.4374219999999998</v>
      </c>
      <c r="E4605">
        <v>0.42597740000000001</v>
      </c>
      <c r="F4605" t="s">
        <v>41</v>
      </c>
      <c r="G4605">
        <v>-395.29730000000001</v>
      </c>
      <c r="H4605" s="1">
        <v>-2.1456880000000001E-6</v>
      </c>
      <c r="I4605">
        <v>140.16470000000001</v>
      </c>
      <c r="J4605">
        <v>-381.30669999999998</v>
      </c>
      <c r="K4605">
        <v>1.1101259999999999</v>
      </c>
      <c r="L4605">
        <v>141.87710000000001</v>
      </c>
      <c r="M4605">
        <v>-0.99989229999999996</v>
      </c>
      <c r="N4605">
        <v>0</v>
      </c>
      <c r="O4605">
        <v>3.489753E-3</v>
      </c>
      <c r="P4605">
        <v>-0.99704280000000001</v>
      </c>
      <c r="Q4605">
        <v>-1.2814300000000001E-2</v>
      </c>
      <c r="R4605">
        <v>7.5774040000000001E-2</v>
      </c>
      <c r="S4605">
        <v>-3.034119</v>
      </c>
      <c r="T4605">
        <v>-0.23561289999999999</v>
      </c>
      <c r="U4605">
        <v>-0.363205</v>
      </c>
      <c r="V4605">
        <v>7.2293659999999996E-2</v>
      </c>
      <c r="W4605">
        <v>1.4155540000000001E-3</v>
      </c>
      <c r="X4605">
        <v>0.9973824</v>
      </c>
      <c r="Y4605">
        <v>-0.12195060000000001</v>
      </c>
      <c r="Z4605">
        <v>-4.9808170000000002E-3</v>
      </c>
      <c r="AA4605">
        <v>0.99252370000000001</v>
      </c>
      <c r="AB4605">
        <v>30</v>
      </c>
      <c r="AC4605">
        <v>-13.990600000000001</v>
      </c>
      <c r="AD4605">
        <v>-1.1101281456879999</v>
      </c>
      <c r="AE4605">
        <v>-1.7123999999999999</v>
      </c>
      <c r="AF4605">
        <v>-1.7503604372702299</v>
      </c>
      <c r="AG4605">
        <v>-1.1101281456879999</v>
      </c>
      <c r="AH4605">
        <v>13.8983242662561</v>
      </c>
      <c r="AI4605">
        <v>94.531160545919406</v>
      </c>
      <c r="AJ4605">
        <v>97.178061882213896</v>
      </c>
      <c r="AK4605">
        <v>14.0520305853002</v>
      </c>
      <c r="AL4605">
        <v>89.918894704212605</v>
      </c>
      <c r="AM4605">
        <v>85.854257737835397</v>
      </c>
      <c r="AN4605">
        <v>1.00000001444954</v>
      </c>
    </row>
    <row r="4606" spans="1:40" x14ac:dyDescent="0.25">
      <c r="A4606" t="str">
        <f>"20190312161104009"</f>
        <v>20190312161104009</v>
      </c>
      <c r="B4606" t="str">
        <f>"1552378264001695"</f>
        <v>1552378264001695</v>
      </c>
      <c r="C4606" t="s">
        <v>40</v>
      </c>
      <c r="D4606">
        <v>5.4603099999999998</v>
      </c>
      <c r="E4606">
        <v>0.42657669999999998</v>
      </c>
      <c r="F4606" t="s">
        <v>41</v>
      </c>
      <c r="G4606">
        <v>-395.46359999999999</v>
      </c>
      <c r="H4606" s="1">
        <v>-2.0815509999999998E-6</v>
      </c>
      <c r="I4606">
        <v>140.19159999999999</v>
      </c>
      <c r="J4606">
        <v>-381.59989999999999</v>
      </c>
      <c r="K4606">
        <v>1.1101240000000001</v>
      </c>
      <c r="L4606">
        <v>141.87809999999999</v>
      </c>
      <c r="M4606">
        <v>-0.99989240000000001</v>
      </c>
      <c r="N4606">
        <v>0</v>
      </c>
      <c r="O4606">
        <v>3.4505579999999998E-3</v>
      </c>
      <c r="P4606">
        <v>-0.99714080000000005</v>
      </c>
      <c r="Q4606">
        <v>-1.253521E-2</v>
      </c>
      <c r="R4606">
        <v>7.4519459999999996E-2</v>
      </c>
      <c r="S4606">
        <v>-3.033264</v>
      </c>
      <c r="T4606">
        <v>-0.23785719999999999</v>
      </c>
      <c r="U4606">
        <v>-0.3611145</v>
      </c>
      <c r="V4606">
        <v>7.1077730000000006E-2</v>
      </c>
      <c r="W4606">
        <v>1.692596E-3</v>
      </c>
      <c r="X4606">
        <v>0.99746939999999995</v>
      </c>
      <c r="Y4606">
        <v>-0.1212651</v>
      </c>
      <c r="Z4606">
        <v>-4.9999240000000002E-3</v>
      </c>
      <c r="AA4606">
        <v>0.99260760000000003</v>
      </c>
      <c r="AB4606">
        <v>30</v>
      </c>
      <c r="AC4606">
        <v>-13.8636999999999</v>
      </c>
      <c r="AD4606">
        <v>-1.1101260815509999</v>
      </c>
      <c r="AE4606">
        <v>-1.6864999999999899</v>
      </c>
      <c r="AF4606">
        <v>-1.7234429344525699</v>
      </c>
      <c r="AG4606">
        <v>-1.1101260815509999</v>
      </c>
      <c r="AH4606">
        <v>13.7707882592305</v>
      </c>
      <c r="AI4606">
        <v>94.573383226904099</v>
      </c>
      <c r="AJ4606">
        <v>97.133596251755307</v>
      </c>
      <c r="AK4606">
        <v>13.922544478141001</v>
      </c>
      <c r="AL4606">
        <v>89.903021351929794</v>
      </c>
      <c r="AM4606">
        <v>85.924103579927504</v>
      </c>
      <c r="AN4606">
        <v>1.00000005625976</v>
      </c>
    </row>
    <row r="4607" spans="1:40" x14ac:dyDescent="0.25">
      <c r="A4607" t="str">
        <f>"20190312161104031"</f>
        <v>20190312161104031</v>
      </c>
      <c r="B4607" t="str">
        <f>"1552378264021215"</f>
        <v>1552378264021215</v>
      </c>
      <c r="C4607" t="s">
        <v>40</v>
      </c>
      <c r="D4607">
        <v>5.4639769999999999</v>
      </c>
      <c r="E4607">
        <v>0.42653239999999998</v>
      </c>
      <c r="F4607" t="s">
        <v>41</v>
      </c>
      <c r="G4607">
        <v>-395.39499999999998</v>
      </c>
      <c r="H4607" s="1">
        <v>-2.1237140000000001E-6</v>
      </c>
      <c r="I4607">
        <v>140.2396</v>
      </c>
      <c r="J4607">
        <v>-381.89400000000001</v>
      </c>
      <c r="K4607">
        <v>1.1101190000000001</v>
      </c>
      <c r="L4607">
        <v>141.87899999999999</v>
      </c>
      <c r="M4607">
        <v>-0.99989260000000002</v>
      </c>
      <c r="N4607">
        <v>0</v>
      </c>
      <c r="O4607">
        <v>3.4111839999999998E-3</v>
      </c>
      <c r="P4607">
        <v>-0.99720929999999997</v>
      </c>
      <c r="Q4607">
        <v>-1.3212130000000001E-2</v>
      </c>
      <c r="R4607">
        <v>7.3480169999999997E-2</v>
      </c>
      <c r="S4607">
        <v>-3.0324399999999998</v>
      </c>
      <c r="T4607">
        <v>-0.24402740000000001</v>
      </c>
      <c r="U4607">
        <v>-0.36015320000000001</v>
      </c>
      <c r="V4607">
        <v>7.0077739999999999E-2</v>
      </c>
      <c r="W4607">
        <v>1.0135809999999999E-3</v>
      </c>
      <c r="X4607">
        <v>0.99754100000000001</v>
      </c>
      <c r="Y4607">
        <v>-0.12092849999999999</v>
      </c>
      <c r="Z4607">
        <v>-5.1140650000000001E-3</v>
      </c>
      <c r="AA4607">
        <v>0.99264810000000003</v>
      </c>
      <c r="AB4607">
        <v>30</v>
      </c>
      <c r="AC4607">
        <v>-13.5009999999999</v>
      </c>
      <c r="AD4607">
        <v>-1.1101211237140001</v>
      </c>
      <c r="AE4607">
        <v>-1.63939999999999</v>
      </c>
      <c r="AF4607">
        <v>-1.6742941683478501</v>
      </c>
      <c r="AG4607">
        <v>-1.1101211237140001</v>
      </c>
      <c r="AH4607">
        <v>13.406007995378401</v>
      </c>
      <c r="AI4607">
        <v>94.697405625556001</v>
      </c>
      <c r="AJ4607">
        <v>97.118885723517394</v>
      </c>
      <c r="AK4607">
        <v>13.5556881139848</v>
      </c>
      <c r="AL4607">
        <v>89.9419260755068</v>
      </c>
      <c r="AM4607">
        <v>85.981545502158497</v>
      </c>
      <c r="AN4607">
        <v>0.999999981835475</v>
      </c>
    </row>
    <row r="4608" spans="1:40" x14ac:dyDescent="0.25">
      <c r="A4608" t="str">
        <f>"20190312161104054"</f>
        <v>20190312161104054</v>
      </c>
      <c r="B4608" t="str">
        <f>"1552378264041712"</f>
        <v>1552378264041712</v>
      </c>
      <c r="C4608" t="s">
        <v>40</v>
      </c>
      <c r="D4608">
        <v>5.4877359999999999</v>
      </c>
      <c r="E4608">
        <v>0.42651220000000001</v>
      </c>
      <c r="F4608" t="s">
        <v>41</v>
      </c>
      <c r="G4608">
        <v>-395.61349999999999</v>
      </c>
      <c r="H4608" s="1">
        <v>-2.0286200000000001E-6</v>
      </c>
      <c r="I4608">
        <v>140.2345</v>
      </c>
      <c r="J4608">
        <v>-382.19119999999998</v>
      </c>
      <c r="K4608">
        <v>1.1101190000000001</v>
      </c>
      <c r="L4608">
        <v>141.88</v>
      </c>
      <c r="M4608">
        <v>-0.99989289999999997</v>
      </c>
      <c r="N4608">
        <v>0</v>
      </c>
      <c r="O4608">
        <v>3.3711570000000001E-3</v>
      </c>
      <c r="P4608">
        <v>-0.99725900000000001</v>
      </c>
      <c r="Q4608">
        <v>-1.330488E-2</v>
      </c>
      <c r="R4608">
        <v>7.2788190000000003E-2</v>
      </c>
      <c r="S4608">
        <v>-3.0319820000000002</v>
      </c>
      <c r="T4608">
        <v>-0.24533440000000001</v>
      </c>
      <c r="U4608">
        <v>-0.36343379999999997</v>
      </c>
      <c r="V4608">
        <v>6.9425600000000004E-2</v>
      </c>
      <c r="W4608">
        <v>9.1821350000000003E-4</v>
      </c>
      <c r="X4608">
        <v>0.99758670000000005</v>
      </c>
      <c r="Y4608">
        <v>-0.12195780000000001</v>
      </c>
      <c r="Z4608">
        <v>-5.1800120000000003E-3</v>
      </c>
      <c r="AA4608">
        <v>0.99252180000000001</v>
      </c>
      <c r="AB4608">
        <v>30</v>
      </c>
      <c r="AC4608">
        <v>-13.4223</v>
      </c>
      <c r="AD4608">
        <v>-1.1101210286200001</v>
      </c>
      <c r="AE4608">
        <v>-1.64549999999999</v>
      </c>
      <c r="AF4608">
        <v>-1.67942593562868</v>
      </c>
      <c r="AG4608">
        <v>-1.1101210286200001</v>
      </c>
      <c r="AH4608">
        <v>13.326863553987</v>
      </c>
      <c r="AI4608">
        <v>94.724521260821703</v>
      </c>
      <c r="AJ4608">
        <v>97.18244416444</v>
      </c>
      <c r="AK4608">
        <v>13.4780611498106</v>
      </c>
      <c r="AL4608">
        <v>89.947390233867296</v>
      </c>
      <c r="AM4608">
        <v>86.019002023083502</v>
      </c>
      <c r="AN4608">
        <v>0.99999999053414002</v>
      </c>
    </row>
    <row r="4609" spans="1:40" x14ac:dyDescent="0.25">
      <c r="A4609" t="str">
        <f>"20190312161104077"</f>
        <v>20190312161104077</v>
      </c>
      <c r="B4609" t="str">
        <f>"1552378264071967"</f>
        <v>1552378264071967</v>
      </c>
      <c r="C4609" t="s">
        <v>40</v>
      </c>
      <c r="D4609">
        <v>5.4549139999999996</v>
      </c>
      <c r="E4609">
        <v>0.42666419999999999</v>
      </c>
      <c r="F4609" t="s">
        <v>41</v>
      </c>
      <c r="G4609">
        <v>-395.94290000000001</v>
      </c>
      <c r="H4609" s="1">
        <v>-1.8838019999999999E-6</v>
      </c>
      <c r="I4609">
        <v>140.22120000000001</v>
      </c>
      <c r="J4609">
        <v>-382.4991</v>
      </c>
      <c r="K4609">
        <v>1.1101209999999999</v>
      </c>
      <c r="L4609">
        <v>141.881</v>
      </c>
      <c r="M4609">
        <v>-0.99989289999999997</v>
      </c>
      <c r="N4609">
        <v>0</v>
      </c>
      <c r="O4609">
        <v>3.3299969999999999E-3</v>
      </c>
      <c r="P4609">
        <v>-0.99726369999999998</v>
      </c>
      <c r="Q4609">
        <v>-1.315903E-2</v>
      </c>
      <c r="R4609">
        <v>7.2743550000000004E-2</v>
      </c>
      <c r="S4609">
        <v>-3.0316770000000002</v>
      </c>
      <c r="T4609">
        <v>-0.24473710000000001</v>
      </c>
      <c r="U4609">
        <v>-0.36567690000000003</v>
      </c>
      <c r="V4609">
        <v>6.9421869999999997E-2</v>
      </c>
      <c r="W4609">
        <v>1.061265E-3</v>
      </c>
      <c r="X4609">
        <v>0.9975868</v>
      </c>
      <c r="Y4609">
        <v>-0.12265239999999999</v>
      </c>
      <c r="Z4609">
        <v>-5.1923179999999996E-3</v>
      </c>
      <c r="AA4609">
        <v>0.99243610000000004</v>
      </c>
      <c r="AB4609">
        <v>30</v>
      </c>
      <c r="AC4609">
        <v>-13.4438</v>
      </c>
      <c r="AD4609">
        <v>-1.1101228838020001</v>
      </c>
      <c r="AE4609">
        <v>-1.65979999999999</v>
      </c>
      <c r="AF4609">
        <v>-1.69319122863273</v>
      </c>
      <c r="AG4609">
        <v>-1.1101228838020001</v>
      </c>
      <c r="AH4609">
        <v>13.3485453380201</v>
      </c>
      <c r="AI4609">
        <v>94.716406869578506</v>
      </c>
      <c r="AJ4609">
        <v>97.229055857485406</v>
      </c>
      <c r="AK4609">
        <v>13.501219648425799</v>
      </c>
      <c r="AL4609">
        <v>89.939193981494597</v>
      </c>
      <c r="AM4609">
        <v>86.019215618584397</v>
      </c>
      <c r="AN4609">
        <v>0.99999997292596798</v>
      </c>
    </row>
    <row r="4610" spans="1:40" x14ac:dyDescent="0.25">
      <c r="A4610" t="str">
        <f>"20190312161104100"</f>
        <v>20190312161104100</v>
      </c>
      <c r="B4610" t="str">
        <f>"1552378264091486"</f>
        <v>1552378264091486</v>
      </c>
      <c r="C4610" t="s">
        <v>40</v>
      </c>
      <c r="D4610">
        <v>5.4478689999999999</v>
      </c>
      <c r="E4610">
        <v>0.42662169999999999</v>
      </c>
      <c r="F4610" t="s">
        <v>41</v>
      </c>
      <c r="G4610">
        <v>-396.16649999999998</v>
      </c>
      <c r="H4610" s="1">
        <v>-1.7921589999999999E-6</v>
      </c>
      <c r="I4610">
        <v>140.23740000000001</v>
      </c>
      <c r="J4610">
        <v>-382.80419999999998</v>
      </c>
      <c r="K4610">
        <v>1.1101319999999999</v>
      </c>
      <c r="L4610">
        <v>141.88200000000001</v>
      </c>
      <c r="M4610">
        <v>-0.99989309999999998</v>
      </c>
      <c r="N4610">
        <v>0</v>
      </c>
      <c r="O4610">
        <v>3.2886009999999999E-3</v>
      </c>
      <c r="P4610">
        <v>-0.99729040000000002</v>
      </c>
      <c r="Q4610">
        <v>-1.252372E-2</v>
      </c>
      <c r="R4610">
        <v>7.2492039999999994E-2</v>
      </c>
      <c r="S4610">
        <v>-3.031555</v>
      </c>
      <c r="T4610">
        <v>-0.24623490000000001</v>
      </c>
      <c r="U4610">
        <v>-0.36453249999999998</v>
      </c>
      <c r="V4610">
        <v>6.9211590000000003E-2</v>
      </c>
      <c r="W4610">
        <v>1.69307299999999E-3</v>
      </c>
      <c r="X4610">
        <v>0.99760059999999995</v>
      </c>
      <c r="Y4610">
        <v>-0.1222432</v>
      </c>
      <c r="Z4610">
        <v>-5.2044370000000001E-3</v>
      </c>
      <c r="AA4610">
        <v>0.99248650000000005</v>
      </c>
      <c r="AB4610">
        <v>30</v>
      </c>
      <c r="AC4610">
        <v>-13.362299999999999</v>
      </c>
      <c r="AD4610">
        <v>-1.110133792159</v>
      </c>
      <c r="AE4610">
        <v>-1.6445999999999901</v>
      </c>
      <c r="AF4610">
        <v>-1.6771356320498101</v>
      </c>
      <c r="AG4610">
        <v>-1.110133792159</v>
      </c>
      <c r="AH4610">
        <v>13.2666161652956</v>
      </c>
      <c r="AI4610">
        <v>94.745698596898393</v>
      </c>
      <c r="AJ4610">
        <v>97.204983157325302</v>
      </c>
      <c r="AK4610">
        <v>13.4182072365151</v>
      </c>
      <c r="AL4610">
        <v>89.902994019636694</v>
      </c>
      <c r="AM4610">
        <v>86.031289615206603</v>
      </c>
      <c r="AN4610">
        <v>1.0000000339034301</v>
      </c>
    </row>
    <row r="4611" spans="1:40" x14ac:dyDescent="0.25">
      <c r="A4611" t="str">
        <f>"20190312161104144"</f>
        <v>20190312161104144</v>
      </c>
      <c r="B4611" t="str">
        <f>"1552378264141263"</f>
        <v>1552378264141263</v>
      </c>
      <c r="C4611" t="s">
        <v>40</v>
      </c>
      <c r="D4611">
        <v>5.5154319999999997</v>
      </c>
      <c r="E4611">
        <v>0.42674889999999999</v>
      </c>
      <c r="F4611" t="s">
        <v>41</v>
      </c>
      <c r="G4611">
        <v>-396.50110000000001</v>
      </c>
      <c r="H4611" s="1">
        <v>-1.6469240000000001E-6</v>
      </c>
      <c r="I4611">
        <v>140.23099999999999</v>
      </c>
      <c r="J4611">
        <v>-383.38510000000002</v>
      </c>
      <c r="K4611">
        <v>1.1101510000000001</v>
      </c>
      <c r="L4611">
        <v>141.88380000000001</v>
      </c>
      <c r="M4611">
        <v>-0.99989349999999999</v>
      </c>
      <c r="N4611">
        <v>0</v>
      </c>
      <c r="O4611">
        <v>3.210568E-3</v>
      </c>
      <c r="P4611">
        <v>-0.99727880000000002</v>
      </c>
      <c r="Q4611">
        <v>-1.122425E-2</v>
      </c>
      <c r="R4611">
        <v>7.2864250000000005E-2</v>
      </c>
      <c r="S4611">
        <v>-3.031647</v>
      </c>
      <c r="T4611">
        <v>-0.24571509999999999</v>
      </c>
      <c r="U4611">
        <v>-0.36540220000000001</v>
      </c>
      <c r="V4611">
        <v>6.9661630000000002E-2</v>
      </c>
      <c r="W4611">
        <v>2.985775E-3</v>
      </c>
      <c r="X4611">
        <v>0.99756619999999996</v>
      </c>
      <c r="Y4611">
        <v>-0.1224442</v>
      </c>
      <c r="Z4611">
        <v>-5.1950549999999996E-3</v>
      </c>
      <c r="AA4611">
        <v>0.99246179999999995</v>
      </c>
      <c r="AB4611">
        <v>30</v>
      </c>
      <c r="AC4611">
        <v>-13.1159999999999</v>
      </c>
      <c r="AD4611">
        <v>-1.110152646924</v>
      </c>
      <c r="AE4611">
        <v>-1.65280000000001</v>
      </c>
      <c r="AF4611">
        <v>-1.6830365636048299</v>
      </c>
      <c r="AG4611">
        <v>-1.110152646924</v>
      </c>
      <c r="AH4611">
        <v>13.018815034479699</v>
      </c>
      <c r="AI4611">
        <v>94.833955126035505</v>
      </c>
      <c r="AJ4611">
        <v>97.366185871797796</v>
      </c>
      <c r="AK4611">
        <v>13.174012140418601</v>
      </c>
      <c r="AL4611">
        <v>89.828927438111293</v>
      </c>
      <c r="AM4611">
        <v>86.005429525183402</v>
      </c>
      <c r="AN4611">
        <v>0.99999999046452304</v>
      </c>
    </row>
    <row r="4612" spans="1:40" x14ac:dyDescent="0.25">
      <c r="A4612" t="str">
        <f>"20190312161104166"</f>
        <v>20190312161104166</v>
      </c>
      <c r="B4612" t="str">
        <f>"1552378264161759"</f>
        <v>1552378264161759</v>
      </c>
      <c r="C4612" t="s">
        <v>40</v>
      </c>
      <c r="D4612">
        <v>5.4214710000000004</v>
      </c>
      <c r="E4612">
        <v>0.42715370000000003</v>
      </c>
      <c r="F4612" t="s">
        <v>41</v>
      </c>
      <c r="G4612">
        <v>-397.80040000000002</v>
      </c>
      <c r="H4612" s="1">
        <v>-1.0695699999999999E-6</v>
      </c>
      <c r="I4612">
        <v>140.15600000000001</v>
      </c>
      <c r="J4612">
        <v>-383.68090000000001</v>
      </c>
      <c r="K4612">
        <v>1.110155</v>
      </c>
      <c r="L4612">
        <v>141.88470000000001</v>
      </c>
      <c r="M4612">
        <v>-0.9998937</v>
      </c>
      <c r="N4612">
        <v>0</v>
      </c>
      <c r="O4612">
        <v>3.170661E-3</v>
      </c>
      <c r="P4612">
        <v>-0.99727540000000003</v>
      </c>
      <c r="Q4612">
        <v>-1.116293E-2</v>
      </c>
      <c r="R4612">
        <v>7.2919739999999997E-2</v>
      </c>
      <c r="S4612">
        <v>-3.0320740000000002</v>
      </c>
      <c r="T4612">
        <v>-0.23350689999999999</v>
      </c>
      <c r="U4612">
        <v>-0.36338809999999999</v>
      </c>
      <c r="V4612">
        <v>6.9756840000000001E-2</v>
      </c>
      <c r="W4612">
        <v>3.0439489999999998E-3</v>
      </c>
      <c r="X4612">
        <v>0.99755939999999999</v>
      </c>
      <c r="Y4612">
        <v>-0.1217795</v>
      </c>
      <c r="Z4612">
        <v>-4.9086959999999997E-3</v>
      </c>
      <c r="AA4612">
        <v>0.99254500000000001</v>
      </c>
      <c r="AB4612">
        <v>30</v>
      </c>
      <c r="AC4612">
        <v>-14.1195</v>
      </c>
      <c r="AD4612">
        <v>-1.1101560695699999</v>
      </c>
      <c r="AE4612">
        <v>-1.7286999999999999</v>
      </c>
      <c r="AF4612">
        <v>-1.7627277333429501</v>
      </c>
      <c r="AG4612">
        <v>-1.1101560695699999</v>
      </c>
      <c r="AH4612">
        <v>14.0285038330742</v>
      </c>
      <c r="AI4612">
        <v>94.489557079198804</v>
      </c>
      <c r="AJ4612">
        <v>97.161868575970004</v>
      </c>
      <c r="AK4612">
        <v>14.182333212672599</v>
      </c>
      <c r="AL4612">
        <v>89.825594303307099</v>
      </c>
      <c r="AM4612">
        <v>85.999960480086898</v>
      </c>
      <c r="AN4612">
        <v>1.00000001944032</v>
      </c>
    </row>
    <row r="4613" spans="1:40" x14ac:dyDescent="0.25">
      <c r="A4613" t="str">
        <f>"20190312161104190"</f>
        <v>20190312161104190</v>
      </c>
      <c r="B4613" t="str">
        <f>"1552378264181279"</f>
        <v>1552378264181279</v>
      </c>
      <c r="C4613" t="s">
        <v>40</v>
      </c>
      <c r="D4613">
        <v>5.5042759999999999</v>
      </c>
      <c r="E4613">
        <v>0.42721019999999998</v>
      </c>
      <c r="F4613" t="s">
        <v>41</v>
      </c>
      <c r="G4613">
        <v>-398.1071</v>
      </c>
      <c r="H4613" s="1">
        <v>-9.4241689999999997E-7</v>
      </c>
      <c r="I4613">
        <v>140.17259999999999</v>
      </c>
      <c r="J4613">
        <v>-384</v>
      </c>
      <c r="K4613">
        <v>1.110155</v>
      </c>
      <c r="L4613">
        <v>141.88560000000001</v>
      </c>
      <c r="M4613">
        <v>-0.99989380000000005</v>
      </c>
      <c r="N4613">
        <v>0</v>
      </c>
      <c r="O4613">
        <v>3.1277750000000002E-3</v>
      </c>
      <c r="P4613">
        <v>-0.99726159999999997</v>
      </c>
      <c r="Q4613">
        <v>-1.1067469999999999E-2</v>
      </c>
      <c r="R4613">
        <v>7.3122899999999894E-2</v>
      </c>
      <c r="S4613">
        <v>-3.0318909999999999</v>
      </c>
      <c r="T4613">
        <v>-0.23331730000000001</v>
      </c>
      <c r="U4613">
        <v>-0.35980220000000002</v>
      </c>
      <c r="V4613">
        <v>7.0002850000000005E-2</v>
      </c>
      <c r="W4613">
        <v>3.1355020000000001E-3</v>
      </c>
      <c r="X4613">
        <v>0.99754180000000003</v>
      </c>
      <c r="Y4613">
        <v>-0.12059060000000001</v>
      </c>
      <c r="Z4613">
        <v>-4.8565509999999998E-3</v>
      </c>
      <c r="AA4613">
        <v>0.99269039999999997</v>
      </c>
      <c r="AB4613">
        <v>30</v>
      </c>
      <c r="AC4613">
        <v>-14.107100000000001</v>
      </c>
      <c r="AD4613">
        <v>-1.1101559424168901</v>
      </c>
      <c r="AE4613">
        <v>-1.7130000000000201</v>
      </c>
      <c r="AF4613">
        <v>-1.74646145967705</v>
      </c>
      <c r="AG4613">
        <v>-1.1101559424168901</v>
      </c>
      <c r="AH4613">
        <v>14.016133617466</v>
      </c>
      <c r="AI4613">
        <v>94.4940814293507</v>
      </c>
      <c r="AJ4613">
        <v>97.102655658593605</v>
      </c>
      <c r="AK4613">
        <v>14.1680829835684</v>
      </c>
      <c r="AL4613">
        <v>89.820348662978105</v>
      </c>
      <c r="AM4613">
        <v>85.985829067547598</v>
      </c>
      <c r="AN4613">
        <v>0.99999993656407504</v>
      </c>
    </row>
    <row r="4614" spans="1:40" x14ac:dyDescent="0.25">
      <c r="A4614" t="str">
        <f>"20190312161104210"</f>
        <v>20190312161104210</v>
      </c>
      <c r="B4614" t="str">
        <f>"1552378264201775"</f>
        <v>1552378264201775</v>
      </c>
      <c r="C4614" t="s">
        <v>40</v>
      </c>
      <c r="D4614">
        <v>5.5293869999999998</v>
      </c>
      <c r="E4614">
        <v>0.42721340000000002</v>
      </c>
      <c r="F4614" t="s">
        <v>41</v>
      </c>
      <c r="G4614">
        <v>-398.70760000000001</v>
      </c>
      <c r="H4614" s="1">
        <v>-6.775057E-7</v>
      </c>
      <c r="I4614">
        <v>140.14510000000001</v>
      </c>
      <c r="J4614">
        <v>-384.27359999999999</v>
      </c>
      <c r="K4614">
        <v>1.1101570000000001</v>
      </c>
      <c r="L4614">
        <v>141.88650000000001</v>
      </c>
      <c r="M4614">
        <v>-0.99989399999999995</v>
      </c>
      <c r="N4614">
        <v>0</v>
      </c>
      <c r="O4614">
        <v>3.0907859999999999E-3</v>
      </c>
      <c r="P4614">
        <v>-0.99729840000000003</v>
      </c>
      <c r="Q4614">
        <v>-1.066189E-2</v>
      </c>
      <c r="R4614">
        <v>7.2679999999999995E-2</v>
      </c>
      <c r="S4614">
        <v>-3.0320429999999998</v>
      </c>
      <c r="T4614">
        <v>-0.22886429999999999</v>
      </c>
      <c r="U4614">
        <v>-0.35879519999999998</v>
      </c>
      <c r="V4614">
        <v>6.9596820000000004E-2</v>
      </c>
      <c r="W4614">
        <v>3.5389029999999999E-3</v>
      </c>
      <c r="X4614">
        <v>0.99756889999999998</v>
      </c>
      <c r="Y4614">
        <v>-0.1202376</v>
      </c>
      <c r="Z4614">
        <v>-4.7479419999999998E-3</v>
      </c>
      <c r="AA4614">
        <v>0.9927338</v>
      </c>
      <c r="AB4614">
        <v>30</v>
      </c>
      <c r="AC4614">
        <v>-14.433999999999999</v>
      </c>
      <c r="AD4614">
        <v>-1.1101576775057</v>
      </c>
      <c r="AE4614">
        <v>-1.7413999999999901</v>
      </c>
      <c r="AF4614">
        <v>-1.77565530107809</v>
      </c>
      <c r="AG4614">
        <v>-1.1101576775057</v>
      </c>
      <c r="AH4614">
        <v>14.344907451858401</v>
      </c>
      <c r="AI4614">
        <v>94.391934211666594</v>
      </c>
      <c r="AJ4614">
        <v>97.056348399067005</v>
      </c>
      <c r="AK4614">
        <v>14.496957322816201</v>
      </c>
      <c r="AL4614">
        <v>89.797235365836897</v>
      </c>
      <c r="AM4614">
        <v>86.009144643636901</v>
      </c>
      <c r="AN4614">
        <v>0.99999997571788202</v>
      </c>
    </row>
    <row r="4615" spans="1:40" x14ac:dyDescent="0.25">
      <c r="A4615" t="str">
        <f>"20190312161104233"</f>
        <v>20190312161104233</v>
      </c>
      <c r="B4615" t="str">
        <f>"1552378264221296"</f>
        <v>1552378264221296</v>
      </c>
      <c r="C4615" t="s">
        <v>40</v>
      </c>
      <c r="D4615">
        <v>5.5174019999999997</v>
      </c>
      <c r="E4615">
        <v>0.42718430000000002</v>
      </c>
      <c r="F4615" t="s">
        <v>41</v>
      </c>
      <c r="G4615">
        <v>-399.30110000000002</v>
      </c>
      <c r="H4615" s="1">
        <v>-4.1139269999999998E-7</v>
      </c>
      <c r="I4615">
        <v>140.102</v>
      </c>
      <c r="J4615">
        <v>-384.56380000000001</v>
      </c>
      <c r="K4615">
        <v>1.1101559999999999</v>
      </c>
      <c r="L4615">
        <v>141.88730000000001</v>
      </c>
      <c r="M4615">
        <v>-0.99989419999999996</v>
      </c>
      <c r="N4615">
        <v>0</v>
      </c>
      <c r="O4615">
        <v>3.051949E-3</v>
      </c>
      <c r="P4615">
        <v>-0.997332</v>
      </c>
      <c r="Q4615">
        <v>-1.027318E-2</v>
      </c>
      <c r="R4615">
        <v>7.2276060000000003E-2</v>
      </c>
      <c r="S4615">
        <v>-3.0319820000000002</v>
      </c>
      <c r="T4615">
        <v>-0.22398750000000001</v>
      </c>
      <c r="U4615">
        <v>-0.3600159</v>
      </c>
      <c r="V4615">
        <v>6.9231710000000002E-2</v>
      </c>
      <c r="W4615">
        <v>3.9246619999999998E-3</v>
      </c>
      <c r="X4615">
        <v>0.9975929</v>
      </c>
      <c r="Y4615">
        <v>-0.1206092</v>
      </c>
      <c r="Z4615">
        <v>-4.6578309999999899E-3</v>
      </c>
      <c r="AA4615">
        <v>0.99268909999999999</v>
      </c>
      <c r="AB4615">
        <v>30</v>
      </c>
      <c r="AC4615">
        <v>-14.737299999999999</v>
      </c>
      <c r="AD4615">
        <v>-1.1101564113926901</v>
      </c>
      <c r="AE4615">
        <v>-1.7853000000000001</v>
      </c>
      <c r="AF4615">
        <v>-1.8200948545345501</v>
      </c>
      <c r="AG4615">
        <v>-1.1101564113926901</v>
      </c>
      <c r="AH4615">
        <v>14.649852962671501</v>
      </c>
      <c r="AI4615">
        <v>94.300616166252496</v>
      </c>
      <c r="AJ4615">
        <v>97.082126390479203</v>
      </c>
      <c r="AK4615">
        <v>14.8041678038705</v>
      </c>
      <c r="AL4615">
        <v>89.775132857121704</v>
      </c>
      <c r="AM4615">
        <v>86.030109044804803</v>
      </c>
      <c r="AN4615">
        <v>1.00000001338587</v>
      </c>
    </row>
    <row r="4616" spans="1:40" x14ac:dyDescent="0.25">
      <c r="A4616" t="str">
        <f>"20190312161104256"</f>
        <v>20190312161104256</v>
      </c>
      <c r="B4616" t="str">
        <f>"1552378264251551"</f>
        <v>1552378264251551</v>
      </c>
      <c r="C4616" t="s">
        <v>40</v>
      </c>
      <c r="D4616">
        <v>5.5193919999999999</v>
      </c>
      <c r="E4616">
        <v>0.42724889999999999</v>
      </c>
      <c r="F4616" t="s">
        <v>41</v>
      </c>
      <c r="G4616">
        <v>-399.92649999999998</v>
      </c>
      <c r="H4616" s="1">
        <v>-1.3057799999999999E-7</v>
      </c>
      <c r="I4616">
        <v>140.0549</v>
      </c>
      <c r="J4616">
        <v>-384.86700000000002</v>
      </c>
      <c r="K4616">
        <v>1.1101529999999999</v>
      </c>
      <c r="L4616">
        <v>141.88820000000001</v>
      </c>
      <c r="M4616">
        <v>-0.99989430000000001</v>
      </c>
      <c r="N4616">
        <v>0</v>
      </c>
      <c r="O4616">
        <v>3.0113840000000002E-3</v>
      </c>
      <c r="P4616">
        <v>-0.99734250000000002</v>
      </c>
      <c r="Q4616">
        <v>-1.106093E-2</v>
      </c>
      <c r="R4616">
        <v>7.2012800000000002E-2</v>
      </c>
      <c r="S4616">
        <v>-3.0319820000000002</v>
      </c>
      <c r="T4616">
        <v>-0.2190995</v>
      </c>
      <c r="U4616">
        <v>-0.36161799999999999</v>
      </c>
      <c r="V4616">
        <v>6.9008730000000004E-2</v>
      </c>
      <c r="W4616">
        <v>3.133594E-3</v>
      </c>
      <c r="X4616">
        <v>0.99761109999999997</v>
      </c>
      <c r="Y4616">
        <v>-0.1210994</v>
      </c>
      <c r="Z4616">
        <v>-4.5710150000000003E-3</v>
      </c>
      <c r="AA4616">
        <v>0.99262989999999995</v>
      </c>
      <c r="AB4616">
        <v>30</v>
      </c>
      <c r="AC4616">
        <v>-15.0595</v>
      </c>
      <c r="AD4616">
        <v>-1.1101531305779999</v>
      </c>
      <c r="AE4616">
        <v>-1.8332999999999999</v>
      </c>
      <c r="AF4616">
        <v>-1.8686397329265401</v>
      </c>
      <c r="AG4616">
        <v>-1.1101531305779999</v>
      </c>
      <c r="AH4616">
        <v>14.9737267670411</v>
      </c>
      <c r="AI4616">
        <v>94.2076363184282</v>
      </c>
      <c r="AJ4616">
        <v>97.113426638098304</v>
      </c>
      <c r="AK4616">
        <v>15.130655891890701</v>
      </c>
      <c r="AL4616">
        <v>89.820457989071002</v>
      </c>
      <c r="AM4616">
        <v>86.042926460744596</v>
      </c>
      <c r="AN4616">
        <v>0.99999996553538895</v>
      </c>
    </row>
    <row r="4617" spans="1:40" x14ac:dyDescent="0.25">
      <c r="A4617" t="str">
        <f>"20190312161104278"</f>
        <v>20190312161104278</v>
      </c>
      <c r="B4617" t="str">
        <f>"1552378264272049"</f>
        <v>1552378264272049</v>
      </c>
      <c r="C4617" t="s">
        <v>40</v>
      </c>
      <c r="D4617">
        <v>5.4739360000000001</v>
      </c>
      <c r="E4617">
        <v>0.42726560000000002</v>
      </c>
      <c r="F4617" t="s">
        <v>87</v>
      </c>
      <c r="G4617">
        <v>-400.3741</v>
      </c>
      <c r="H4617" s="1">
        <v>-5.7046119999999999E-6</v>
      </c>
      <c r="I4617">
        <v>140.03649999999999</v>
      </c>
      <c r="J4617">
        <v>-385.16660000000002</v>
      </c>
      <c r="K4617">
        <v>1.1101510000000001</v>
      </c>
      <c r="L4617">
        <v>141.88910000000001</v>
      </c>
      <c r="M4617">
        <v>-0.99989459999999997</v>
      </c>
      <c r="N4617">
        <v>0</v>
      </c>
      <c r="O4617">
        <v>2.9711780000000001E-3</v>
      </c>
      <c r="P4617">
        <v>-0.99733269999999996</v>
      </c>
      <c r="Q4617">
        <v>-1.118364E-2</v>
      </c>
      <c r="R4617">
        <v>7.2128949999999997E-2</v>
      </c>
      <c r="S4617">
        <v>-3.0316770000000002</v>
      </c>
      <c r="T4617">
        <v>-0.2170388</v>
      </c>
      <c r="U4617">
        <v>-0.36201480000000003</v>
      </c>
      <c r="V4617">
        <v>6.9164929999999999E-2</v>
      </c>
      <c r="W4617">
        <v>3.0072330000000002E-3</v>
      </c>
      <c r="X4617">
        <v>0.99760070000000001</v>
      </c>
      <c r="Y4617">
        <v>-0.12120499999999999</v>
      </c>
      <c r="Z4617">
        <v>-4.5294480000000002E-3</v>
      </c>
      <c r="AA4617">
        <v>0.99261710000000003</v>
      </c>
      <c r="AB4617">
        <v>30</v>
      </c>
      <c r="AC4617">
        <v>-15.2074999999999</v>
      </c>
      <c r="AD4617">
        <v>-1.110156704612</v>
      </c>
      <c r="AE4617">
        <v>-1.85260000000002</v>
      </c>
      <c r="AF4617">
        <v>-1.88786708422473</v>
      </c>
      <c r="AG4617">
        <v>-1.110156704612</v>
      </c>
      <c r="AH4617">
        <v>15.122517163248</v>
      </c>
      <c r="AI4617">
        <v>94.166375030051</v>
      </c>
      <c r="AJ4617">
        <v>97.115885579647696</v>
      </c>
      <c r="AK4617">
        <v>15.280281914586</v>
      </c>
      <c r="AL4617">
        <v>89.827697980320593</v>
      </c>
      <c r="AM4617">
        <v>86.033957034036803</v>
      </c>
      <c r="AN4617">
        <v>0.99999999381635496</v>
      </c>
    </row>
    <row r="4618" spans="1:40" x14ac:dyDescent="0.25">
      <c r="A4618" t="str">
        <f>"20190312161104301"</f>
        <v>20190312161104301</v>
      </c>
      <c r="B4618" t="str">
        <f>"1552378264291567"</f>
        <v>1552378264291567</v>
      </c>
      <c r="C4618" t="s">
        <v>40</v>
      </c>
      <c r="D4618">
        <v>5.4004699999999897</v>
      </c>
      <c r="E4618">
        <v>0.4272957</v>
      </c>
      <c r="F4618" t="s">
        <v>87</v>
      </c>
      <c r="G4618">
        <v>-400.74459999999999</v>
      </c>
      <c r="H4618" s="1">
        <v>-5.8666260000000002E-6</v>
      </c>
      <c r="I4618">
        <v>140.0309</v>
      </c>
      <c r="J4618">
        <v>-385.46350000000001</v>
      </c>
      <c r="K4618">
        <v>1.1101430000000001</v>
      </c>
      <c r="L4618">
        <v>141.88990000000001</v>
      </c>
      <c r="M4618">
        <v>-0.99989470000000003</v>
      </c>
      <c r="N4618">
        <v>0</v>
      </c>
      <c r="O4618">
        <v>2.9311509999999999E-3</v>
      </c>
      <c r="P4618">
        <v>-0.99730589999999997</v>
      </c>
      <c r="Q4618">
        <v>-1.108598E-2</v>
      </c>
      <c r="R4618">
        <v>7.2515280000000001E-2</v>
      </c>
      <c r="S4618">
        <v>-3.0317989999999999</v>
      </c>
      <c r="T4618">
        <v>-0.21605869999999999</v>
      </c>
      <c r="U4618">
        <v>-0.36163329999999999</v>
      </c>
      <c r="V4618">
        <v>6.9591319999999998E-2</v>
      </c>
      <c r="W4618">
        <v>3.101169E-3</v>
      </c>
      <c r="X4618">
        <v>0.99757079999999998</v>
      </c>
      <c r="Y4618">
        <v>-0.1210408</v>
      </c>
      <c r="Z4618">
        <v>-4.5002369999999998E-3</v>
      </c>
      <c r="AA4618">
        <v>0.99263729999999994</v>
      </c>
      <c r="AB4618">
        <v>30</v>
      </c>
      <c r="AC4618">
        <v>-15.281099999999901</v>
      </c>
      <c r="AD4618">
        <v>-1.110148866626</v>
      </c>
      <c r="AE4618">
        <v>-1.859</v>
      </c>
      <c r="AF4618">
        <v>-1.8939376945266699</v>
      </c>
      <c r="AG4618">
        <v>-1.110148866626</v>
      </c>
      <c r="AH4618">
        <v>15.1965500598843</v>
      </c>
      <c r="AI4618">
        <v>94.146225432657005</v>
      </c>
      <c r="AJ4618">
        <v>97.104111144638196</v>
      </c>
      <c r="AK4618">
        <v>15.3543011634978</v>
      </c>
      <c r="AL4618">
        <v>89.822315826163006</v>
      </c>
      <c r="AM4618">
        <v>86.009466584327797</v>
      </c>
      <c r="AN4618">
        <v>1.00000003504057</v>
      </c>
    </row>
    <row r="4619" spans="1:40" x14ac:dyDescent="0.25">
      <c r="A4619" t="str">
        <f>"20190312161104345"</f>
        <v>20190312161104345</v>
      </c>
      <c r="B4619" t="str">
        <f>"1552378264341343"</f>
        <v>1552378264341343</v>
      </c>
      <c r="C4619" t="s">
        <v>40</v>
      </c>
      <c r="D4619">
        <v>5.4009260000000001</v>
      </c>
      <c r="E4619">
        <v>0.42736370000000001</v>
      </c>
      <c r="F4619" t="s">
        <v>87</v>
      </c>
      <c r="G4619">
        <v>-401.13799999999998</v>
      </c>
      <c r="H4619" s="1">
        <v>-6.0398579999999997E-6</v>
      </c>
      <c r="I4619">
        <v>140.02799999999999</v>
      </c>
      <c r="J4619">
        <v>-386.03930000000003</v>
      </c>
      <c r="K4619">
        <v>1.110139</v>
      </c>
      <c r="L4619">
        <v>141.89150000000001</v>
      </c>
      <c r="M4619">
        <v>-0.99989490000000003</v>
      </c>
      <c r="N4619">
        <v>0</v>
      </c>
      <c r="O4619">
        <v>2.8537789999999999E-3</v>
      </c>
      <c r="P4619">
        <v>-0.99731449999999999</v>
      </c>
      <c r="Q4619">
        <v>-1.0174910000000001E-2</v>
      </c>
      <c r="R4619">
        <v>7.2529220000000005E-2</v>
      </c>
      <c r="S4619">
        <v>-3.0319210000000001</v>
      </c>
      <c r="T4619">
        <v>-0.21473600000000001</v>
      </c>
      <c r="U4619">
        <v>-0.36015320000000001</v>
      </c>
      <c r="V4619">
        <v>6.9682469999999996E-2</v>
      </c>
      <c r="W4619">
        <v>4.0061999999999997E-3</v>
      </c>
      <c r="X4619">
        <v>0.99756120000000004</v>
      </c>
      <c r="Y4619">
        <v>-0.12048680000000001</v>
      </c>
      <c r="Z4619">
        <v>-4.4477220000000003E-3</v>
      </c>
      <c r="AA4619">
        <v>0.99270499999999995</v>
      </c>
      <c r="AB4619">
        <v>29</v>
      </c>
      <c r="AC4619">
        <v>-15.098699999999999</v>
      </c>
      <c r="AD4619">
        <v>-1.1101450398579999</v>
      </c>
      <c r="AE4619">
        <v>-1.8635000000000099</v>
      </c>
      <c r="AF4619">
        <v>-1.89648644083244</v>
      </c>
      <c r="AG4619">
        <v>-1.1101450398579999</v>
      </c>
      <c r="AH4619">
        <v>15.0133746360577</v>
      </c>
      <c r="AI4619">
        <v>94.195745634564304</v>
      </c>
      <c r="AJ4619">
        <v>97.199459663465902</v>
      </c>
      <c r="AK4619">
        <v>15.1733483711541</v>
      </c>
      <c r="AL4619">
        <v>89.770461039159898</v>
      </c>
      <c r="AM4619">
        <v>86.004218415513407</v>
      </c>
      <c r="AN4619">
        <v>1.0000000220045899</v>
      </c>
    </row>
    <row r="4620" spans="1:40" x14ac:dyDescent="0.25">
      <c r="A4620" t="str">
        <f>"20190312161104367"</f>
        <v>20190312161104367</v>
      </c>
      <c r="B4620" t="str">
        <f>"1552378264361840"</f>
        <v>1552378264361840</v>
      </c>
      <c r="C4620" t="s">
        <v>40</v>
      </c>
      <c r="D4620">
        <v>5.3609609999999996</v>
      </c>
      <c r="E4620">
        <v>0.42732520000000002</v>
      </c>
      <c r="F4620" t="s">
        <v>87</v>
      </c>
      <c r="G4620">
        <v>-402.21249999999998</v>
      </c>
      <c r="H4620" s="1">
        <v>-6.494152E-6</v>
      </c>
      <c r="I4620">
        <v>139.97399999999999</v>
      </c>
      <c r="J4620">
        <v>-386.33769999999998</v>
      </c>
      <c r="K4620">
        <v>1.110142</v>
      </c>
      <c r="L4620">
        <v>141.89230000000001</v>
      </c>
      <c r="M4620">
        <v>-0.99989519999999998</v>
      </c>
      <c r="N4620">
        <v>0</v>
      </c>
      <c r="O4620">
        <v>2.8137489999999999E-3</v>
      </c>
      <c r="P4620">
        <v>-0.99732229999999999</v>
      </c>
      <c r="Q4620">
        <v>-1.064728E-2</v>
      </c>
      <c r="R4620">
        <v>7.2355260000000005E-2</v>
      </c>
      <c r="S4620">
        <v>-3.0321039999999999</v>
      </c>
      <c r="T4620">
        <v>-0.20812739999999999</v>
      </c>
      <c r="U4620">
        <v>-0.35949710000000001</v>
      </c>
      <c r="V4620">
        <v>6.9548529999999997E-2</v>
      </c>
      <c r="W4620">
        <v>3.53032E-3</v>
      </c>
      <c r="X4620">
        <v>0.99757229999999997</v>
      </c>
      <c r="Y4620">
        <v>-0.1202473</v>
      </c>
      <c r="Z4620">
        <v>-4.3000449999999997E-3</v>
      </c>
      <c r="AA4620">
        <v>0.99273469999999997</v>
      </c>
      <c r="AB4620">
        <v>29</v>
      </c>
      <c r="AC4620">
        <v>-15.874799999999899</v>
      </c>
      <c r="AD4620">
        <v>-1.1101484941519999</v>
      </c>
      <c r="AE4620">
        <v>-1.9183000000000101</v>
      </c>
      <c r="AF4620">
        <v>-1.9535484476420799</v>
      </c>
      <c r="AG4620">
        <v>-1.1101484941519999</v>
      </c>
      <c r="AH4620">
        <v>15.793215196358201</v>
      </c>
      <c r="AI4620">
        <v>93.990550477430702</v>
      </c>
      <c r="AJ4620">
        <v>97.051407812373398</v>
      </c>
      <c r="AK4620">
        <v>15.9522546197969</v>
      </c>
      <c r="AL4620">
        <v>89.797727138948005</v>
      </c>
      <c r="AM4620">
        <v>86.011918323067704</v>
      </c>
      <c r="AN4620">
        <v>0.99999997745587599</v>
      </c>
    </row>
    <row r="4621" spans="1:40" x14ac:dyDescent="0.25">
      <c r="A4621" t="str">
        <f>"20190312161104390"</f>
        <v>20190312161104390</v>
      </c>
      <c r="B4621" t="str">
        <f>"1552378264381363"</f>
        <v>1552378264381363</v>
      </c>
      <c r="C4621" t="s">
        <v>40</v>
      </c>
      <c r="D4621">
        <v>5.3265659999999997</v>
      </c>
      <c r="E4621">
        <v>0.4272668</v>
      </c>
      <c r="F4621" t="s">
        <v>87</v>
      </c>
      <c r="G4621">
        <v>-402.51159999999999</v>
      </c>
      <c r="H4621" s="1">
        <v>-6.6252160000000001E-6</v>
      </c>
      <c r="I4621">
        <v>139.9701</v>
      </c>
      <c r="J4621">
        <v>-386.63709999999998</v>
      </c>
      <c r="K4621">
        <v>1.110147</v>
      </c>
      <c r="L4621">
        <v>141.8931</v>
      </c>
      <c r="M4621">
        <v>-0.99989530000000004</v>
      </c>
      <c r="N4621">
        <v>0</v>
      </c>
      <c r="O4621">
        <v>2.7735429999999998E-3</v>
      </c>
      <c r="P4621">
        <v>-0.99735549999999995</v>
      </c>
      <c r="Q4621">
        <v>-1.059818E-2</v>
      </c>
      <c r="R4621">
        <v>7.1900169999999999E-2</v>
      </c>
      <c r="S4621">
        <v>-3.0319820000000002</v>
      </c>
      <c r="T4621">
        <v>-0.20811060000000001</v>
      </c>
      <c r="U4621">
        <v>-0.3603363</v>
      </c>
      <c r="V4621">
        <v>6.9133249999999993E-2</v>
      </c>
      <c r="W4621">
        <v>3.576573E-3</v>
      </c>
      <c r="X4621">
        <v>0.99760099999999996</v>
      </c>
      <c r="Y4621">
        <v>-0.1204826</v>
      </c>
      <c r="Z4621">
        <v>-4.3050919999999999E-3</v>
      </c>
      <c r="AA4621">
        <v>0.99270610000000004</v>
      </c>
      <c r="AB4621">
        <v>29</v>
      </c>
      <c r="AC4621">
        <v>-15.874499999999999</v>
      </c>
      <c r="AD4621">
        <v>-1.110153625216</v>
      </c>
      <c r="AE4621">
        <v>-1.923</v>
      </c>
      <c r="AF4621">
        <v>-1.95759023288372</v>
      </c>
      <c r="AG4621">
        <v>-1.110153625216</v>
      </c>
      <c r="AH4621">
        <v>15.7929840286846</v>
      </c>
      <c r="AI4621">
        <v>93.990502059597205</v>
      </c>
      <c r="AJ4621">
        <v>97.065951853071695</v>
      </c>
      <c r="AK4621">
        <v>15.9525215913268</v>
      </c>
      <c r="AL4621">
        <v>89.795077020304603</v>
      </c>
      <c r="AM4621">
        <v>86.035769017983696</v>
      </c>
      <c r="AN4621">
        <v>0.99999997666549301</v>
      </c>
    </row>
    <row r="4622" spans="1:40" x14ac:dyDescent="0.25">
      <c r="A4622" t="str">
        <f>"20190312161104411"</f>
        <v>20190312161104411</v>
      </c>
      <c r="B4622" t="str">
        <f>"1552378264401855"</f>
        <v>1552378264401855</v>
      </c>
      <c r="C4622" t="s">
        <v>40</v>
      </c>
      <c r="D4622">
        <v>5.3045859999999996</v>
      </c>
      <c r="E4622">
        <v>0.4271855</v>
      </c>
      <c r="F4622" t="s">
        <v>87</v>
      </c>
      <c r="G4622">
        <v>-402.98360000000002</v>
      </c>
      <c r="H4622" s="1">
        <v>-6.8223839999999997E-6</v>
      </c>
      <c r="I4622">
        <v>139.94059999999999</v>
      </c>
      <c r="J4622">
        <v>-386.91140000000001</v>
      </c>
      <c r="K4622">
        <v>1.11015</v>
      </c>
      <c r="L4622">
        <v>141.8938</v>
      </c>
      <c r="M4622">
        <v>-0.99989550000000005</v>
      </c>
      <c r="N4622">
        <v>0</v>
      </c>
      <c r="O4622">
        <v>2.736315E-3</v>
      </c>
      <c r="P4622">
        <v>-0.99745839999999997</v>
      </c>
      <c r="Q4622">
        <v>-1.015401E-2</v>
      </c>
      <c r="R4622">
        <v>7.0526179999999994E-2</v>
      </c>
      <c r="S4622">
        <v>-3.0318299999999998</v>
      </c>
      <c r="T4622">
        <v>-0.20590410000000001</v>
      </c>
      <c r="U4622">
        <v>-0.36213679999999998</v>
      </c>
      <c r="V4622">
        <v>6.7796190000000006E-2</v>
      </c>
      <c r="W4622">
        <v>4.018598E-3</v>
      </c>
      <c r="X4622">
        <v>0.99769110000000005</v>
      </c>
      <c r="Y4622">
        <v>-0.1210376</v>
      </c>
      <c r="Z4622">
        <v>-4.2758559999999998E-3</v>
      </c>
      <c r="AA4622">
        <v>0.99263869999999998</v>
      </c>
      <c r="AB4622">
        <v>29</v>
      </c>
      <c r="AC4622">
        <v>-16.072199999999999</v>
      </c>
      <c r="AD4622">
        <v>-1.1101568223839999</v>
      </c>
      <c r="AE4622">
        <v>-1.9532</v>
      </c>
      <c r="AF4622">
        <v>-1.98782962682277</v>
      </c>
      <c r="AG4622">
        <v>-1.1101568223839999</v>
      </c>
      <c r="AH4622">
        <v>15.991607655911199</v>
      </c>
      <c r="AI4622">
        <v>93.940937785388797</v>
      </c>
      <c r="AJ4622">
        <v>97.085779785290796</v>
      </c>
      <c r="AK4622">
        <v>16.152876840246002</v>
      </c>
      <c r="AL4622">
        <v>89.769750675722506</v>
      </c>
      <c r="AM4622">
        <v>86.112551156328095</v>
      </c>
      <c r="AN4622">
        <v>1.0000000017638</v>
      </c>
    </row>
    <row r="4623" spans="1:40" x14ac:dyDescent="0.25">
      <c r="A4623" t="str">
        <f>"20190312161104434"</f>
        <v>20190312161104434</v>
      </c>
      <c r="B4623" t="str">
        <f>"1552378264421376"</f>
        <v>1552378264421376</v>
      </c>
      <c r="C4623" t="s">
        <v>40</v>
      </c>
      <c r="D4623">
        <v>5.3705309999999997</v>
      </c>
      <c r="E4623">
        <v>0.42708190000000001</v>
      </c>
      <c r="F4623" t="s">
        <v>87</v>
      </c>
      <c r="G4623">
        <v>-403.48579999999998</v>
      </c>
      <c r="H4623" s="1">
        <v>-7.0235639999999998E-6</v>
      </c>
      <c r="I4623">
        <v>139.88820000000001</v>
      </c>
      <c r="J4623">
        <v>-387.20269999999999</v>
      </c>
      <c r="K4623">
        <v>1.1101559999999999</v>
      </c>
      <c r="L4623">
        <v>141.8946</v>
      </c>
      <c r="M4623">
        <v>-0.9998956</v>
      </c>
      <c r="N4623">
        <v>0</v>
      </c>
      <c r="O4623">
        <v>2.6971220000000001E-3</v>
      </c>
      <c r="P4623">
        <v>-0.99755850000000001</v>
      </c>
      <c r="Q4623">
        <v>-9.3592759999999997E-3</v>
      </c>
      <c r="R4623">
        <v>6.9209779999999999E-2</v>
      </c>
      <c r="S4623">
        <v>-3.0315249999999998</v>
      </c>
      <c r="T4623">
        <v>-0.2030526</v>
      </c>
      <c r="U4623">
        <v>-0.36683650000000001</v>
      </c>
      <c r="V4623">
        <v>6.6518720000000003E-2</v>
      </c>
      <c r="W4623">
        <v>4.8120480000000002E-3</v>
      </c>
      <c r="X4623">
        <v>0.99777360000000004</v>
      </c>
      <c r="Y4623">
        <v>-0.1225318</v>
      </c>
      <c r="Z4623">
        <v>-4.2639979999999997E-3</v>
      </c>
      <c r="AA4623">
        <v>0.99245539999999999</v>
      </c>
      <c r="AB4623">
        <v>29</v>
      </c>
      <c r="AC4623">
        <v>-16.283099999999902</v>
      </c>
      <c r="AD4623">
        <v>-1.1101630235640001</v>
      </c>
      <c r="AE4623">
        <v>-2.0063999999999802</v>
      </c>
      <c r="AF4623">
        <v>-2.0409693726184899</v>
      </c>
      <c r="AG4623">
        <v>-1.1101630235640001</v>
      </c>
      <c r="AH4623">
        <v>16.203435859738601</v>
      </c>
      <c r="AI4623">
        <v>93.888808245779998</v>
      </c>
      <c r="AJ4623">
        <v>97.179114035198396</v>
      </c>
      <c r="AK4623">
        <v>16.3691585483041</v>
      </c>
      <c r="AL4623">
        <v>89.724288902001604</v>
      </c>
      <c r="AM4623">
        <v>86.185897724330999</v>
      </c>
      <c r="AN4623">
        <v>1.00000002638667</v>
      </c>
    </row>
    <row r="4624" spans="1:40" x14ac:dyDescent="0.25">
      <c r="A4624" t="str">
        <f>"20190312161104456"</f>
        <v>20190312161104456</v>
      </c>
      <c r="B4624" t="str">
        <f>"1552378264451631"</f>
        <v>1552378264451631</v>
      </c>
      <c r="C4624" t="s">
        <v>40</v>
      </c>
      <c r="D4624">
        <v>5.2661600000000002</v>
      </c>
      <c r="E4624">
        <v>0.4269558</v>
      </c>
      <c r="F4624" t="s">
        <v>87</v>
      </c>
      <c r="G4624">
        <v>-404.12310000000002</v>
      </c>
      <c r="H4624" s="1">
        <v>-7.2782019999999997E-6</v>
      </c>
      <c r="I4624">
        <v>139.8201</v>
      </c>
      <c r="J4624">
        <v>-387.4975</v>
      </c>
      <c r="K4624">
        <v>1.1101529999999999</v>
      </c>
      <c r="L4624">
        <v>141.89529999999999</v>
      </c>
      <c r="M4624">
        <v>-0.9998958</v>
      </c>
      <c r="N4624">
        <v>0</v>
      </c>
      <c r="O4624">
        <v>2.6574519999999998E-3</v>
      </c>
      <c r="P4624">
        <v>-0.99770029999999998</v>
      </c>
      <c r="Q4624">
        <v>-9.2354140000000008E-3</v>
      </c>
      <c r="R4624">
        <v>6.7148239999999998E-2</v>
      </c>
      <c r="S4624">
        <v>-3.0312190000000001</v>
      </c>
      <c r="T4624">
        <v>-0.198881</v>
      </c>
      <c r="U4624">
        <v>-0.37162780000000001</v>
      </c>
      <c r="V4624">
        <v>6.4496230000000002E-2</v>
      </c>
      <c r="W4624">
        <v>4.9341159999999997E-3</v>
      </c>
      <c r="X4624">
        <v>0.99790570000000001</v>
      </c>
      <c r="Y4624">
        <v>-0.1240581</v>
      </c>
      <c r="Z4624">
        <v>-4.2238429999999997E-3</v>
      </c>
      <c r="AA4624">
        <v>0.99226599999999998</v>
      </c>
      <c r="AB4624">
        <v>29</v>
      </c>
      <c r="AC4624">
        <v>-16.625599999999999</v>
      </c>
      <c r="AD4624">
        <v>-1.1101602782019999</v>
      </c>
      <c r="AE4624">
        <v>-2.0751999999999899</v>
      </c>
      <c r="AF4624">
        <v>-2.1101146373794299</v>
      </c>
      <c r="AG4624">
        <v>-1.1101602782019999</v>
      </c>
      <c r="AH4624">
        <v>16.547376628685299</v>
      </c>
      <c r="AI4624">
        <v>93.807470467441604</v>
      </c>
      <c r="AJ4624">
        <v>97.2671127577253</v>
      </c>
      <c r="AK4624">
        <v>16.718274818824501</v>
      </c>
      <c r="AL4624">
        <v>89.717294815661305</v>
      </c>
      <c r="AM4624">
        <v>86.302026175599806</v>
      </c>
      <c r="AN4624">
        <v>0.99999994763870004</v>
      </c>
    </row>
    <row r="4625" spans="1:40" x14ac:dyDescent="0.25">
      <c r="A4625" t="str">
        <f>"20190312161104479"</f>
        <v>20190312161104479</v>
      </c>
      <c r="B4625" t="str">
        <f>"1552378264471151"</f>
        <v>1552378264471151</v>
      </c>
      <c r="C4625" t="s">
        <v>40</v>
      </c>
      <c r="D4625">
        <v>5.3353320000000002</v>
      </c>
      <c r="E4625">
        <v>0.42688009999999899</v>
      </c>
      <c r="F4625" t="s">
        <v>87</v>
      </c>
      <c r="G4625">
        <v>-404.35489999999999</v>
      </c>
      <c r="H4625" s="1">
        <v>-7.3682169999999999E-6</v>
      </c>
      <c r="I4625">
        <v>139.78909999999999</v>
      </c>
      <c r="J4625">
        <v>-387.80259999999998</v>
      </c>
      <c r="K4625">
        <v>1.110152</v>
      </c>
      <c r="L4625">
        <v>141.89609999999999</v>
      </c>
      <c r="M4625">
        <v>-0.99989589999999995</v>
      </c>
      <c r="N4625">
        <v>0</v>
      </c>
      <c r="O4625">
        <v>2.6155089999999998E-3</v>
      </c>
      <c r="P4625">
        <v>-0.99782559999999998</v>
      </c>
      <c r="Q4625">
        <v>-9.577927E-3</v>
      </c>
      <c r="R4625">
        <v>6.5210409999999996E-2</v>
      </c>
      <c r="S4625">
        <v>-3.030548</v>
      </c>
      <c r="T4625">
        <v>-0.19958000000000001</v>
      </c>
      <c r="U4625">
        <v>-0.37864690000000001</v>
      </c>
      <c r="V4625">
        <v>6.25999E-2</v>
      </c>
      <c r="W4625">
        <v>4.5903209999999996E-3</v>
      </c>
      <c r="X4625">
        <v>0.99802820000000003</v>
      </c>
      <c r="Y4625">
        <v>-0.12629960000000001</v>
      </c>
      <c r="Z4625">
        <v>-4.3096810000000001E-3</v>
      </c>
      <c r="AA4625">
        <v>0.99198280000000005</v>
      </c>
      <c r="AB4625">
        <v>29</v>
      </c>
      <c r="AC4625">
        <v>-16.552299999999999</v>
      </c>
      <c r="AD4625">
        <v>-1.1101593682169999</v>
      </c>
      <c r="AE4625">
        <v>-2.10699999999999</v>
      </c>
      <c r="AF4625">
        <v>-2.1408132523934702</v>
      </c>
      <c r="AG4625">
        <v>-1.1101593682169999</v>
      </c>
      <c r="AH4625">
        <v>16.4738084863612</v>
      </c>
      <c r="AI4625">
        <v>93.823245623334202</v>
      </c>
      <c r="AJ4625">
        <v>97.404238033012305</v>
      </c>
      <c r="AK4625">
        <v>16.649381407420801</v>
      </c>
      <c r="AL4625">
        <v>89.736993070453707</v>
      </c>
      <c r="AM4625">
        <v>86.410905551607598</v>
      </c>
      <c r="AN4625">
        <v>1.00000005326106</v>
      </c>
    </row>
    <row r="4626" spans="1:40" x14ac:dyDescent="0.25">
      <c r="A4626" t="str">
        <f>"20190312161104502"</f>
        <v>20190312161104502</v>
      </c>
      <c r="B4626" t="str">
        <f>"1552378264491647"</f>
        <v>1552378264491647</v>
      </c>
      <c r="C4626" t="s">
        <v>40</v>
      </c>
      <c r="D4626">
        <v>5.3344639999999997</v>
      </c>
      <c r="E4626">
        <v>0.42678749999999999</v>
      </c>
      <c r="F4626" t="s">
        <v>87</v>
      </c>
      <c r="G4626">
        <v>-404.63240000000002</v>
      </c>
      <c r="H4626" s="1">
        <v>-7.4782239999999996E-6</v>
      </c>
      <c r="I4626">
        <v>139.75720000000001</v>
      </c>
      <c r="J4626">
        <v>-388.09300000000002</v>
      </c>
      <c r="K4626">
        <v>1.11016</v>
      </c>
      <c r="L4626">
        <v>141.89680000000001</v>
      </c>
      <c r="M4626">
        <v>-0.99989609999999995</v>
      </c>
      <c r="N4626">
        <v>0</v>
      </c>
      <c r="O4626">
        <v>2.5686860000000001E-3</v>
      </c>
      <c r="P4626">
        <v>-0.99792579999999997</v>
      </c>
      <c r="Q4626">
        <v>-1.029941E-2</v>
      </c>
      <c r="R4626">
        <v>6.3547909999999999E-2</v>
      </c>
      <c r="S4626">
        <v>-3.0297239999999999</v>
      </c>
      <c r="T4626">
        <v>-0.19985220000000001</v>
      </c>
      <c r="U4626">
        <v>-0.3850403</v>
      </c>
      <c r="V4626">
        <v>6.0983889999999999E-2</v>
      </c>
      <c r="W4626">
        <v>3.867442E-3</v>
      </c>
      <c r="X4626">
        <v>0.99813130000000005</v>
      </c>
      <c r="Y4626">
        <v>-0.1283416</v>
      </c>
      <c r="Z4626">
        <v>-4.3800779999999999E-3</v>
      </c>
      <c r="AA4626">
        <v>0.99172039999999995</v>
      </c>
      <c r="AB4626">
        <v>29</v>
      </c>
      <c r="AC4626">
        <v>-16.539400000000001</v>
      </c>
      <c r="AD4626">
        <v>-1.1101674782240001</v>
      </c>
      <c r="AE4626">
        <v>-2.1396000000000002</v>
      </c>
      <c r="AF4626">
        <v>-2.1724549713870398</v>
      </c>
      <c r="AG4626">
        <v>-1.1101674782240001</v>
      </c>
      <c r="AH4626">
        <v>16.460905937706499</v>
      </c>
      <c r="AI4626">
        <v>93.825267278786299</v>
      </c>
      <c r="AJ4626">
        <v>97.518254520261806</v>
      </c>
      <c r="AK4626">
        <v>16.640716833190599</v>
      </c>
      <c r="AL4626">
        <v>89.778411352803701</v>
      </c>
      <c r="AM4626">
        <v>86.503685027060499</v>
      </c>
      <c r="AN4626">
        <v>1.0000000419934201</v>
      </c>
    </row>
    <row r="4627" spans="1:40" x14ac:dyDescent="0.25">
      <c r="A4627" t="str">
        <f>"20190312161104523"</f>
        <v>20190312161104523</v>
      </c>
      <c r="B4627" t="str">
        <f>"1552378264511167"</f>
        <v>1552378264511167</v>
      </c>
      <c r="C4627" t="s">
        <v>40</v>
      </c>
      <c r="D4627">
        <v>5.4361550000000003</v>
      </c>
      <c r="E4627">
        <v>0.4267377</v>
      </c>
      <c r="F4627" t="s">
        <v>87</v>
      </c>
      <c r="G4627">
        <v>-404.79300000000001</v>
      </c>
      <c r="H4627" s="1">
        <v>-7.5432699999999999E-6</v>
      </c>
      <c r="I4627">
        <v>139.7422</v>
      </c>
      <c r="J4627">
        <v>-388.37950000000001</v>
      </c>
      <c r="K4627">
        <v>1.1101780000000001</v>
      </c>
      <c r="L4627">
        <v>141.89750000000001</v>
      </c>
      <c r="M4627">
        <v>-0.99989620000000001</v>
      </c>
      <c r="N4627">
        <v>0</v>
      </c>
      <c r="O4627">
        <v>2.503857E-3</v>
      </c>
      <c r="P4627">
        <v>-0.99811459999999996</v>
      </c>
      <c r="Q4627">
        <v>-9.9049340000000007E-3</v>
      </c>
      <c r="R4627">
        <v>6.0573229999999999E-2</v>
      </c>
      <c r="S4627">
        <v>-3.0290530000000002</v>
      </c>
      <c r="T4627">
        <v>-0.20136190000000001</v>
      </c>
      <c r="U4627">
        <v>-0.3907928</v>
      </c>
      <c r="V4627">
        <v>5.8073420000000001E-2</v>
      </c>
      <c r="W4627">
        <v>4.2627369999999999E-3</v>
      </c>
      <c r="X4627">
        <v>0.99830319999999995</v>
      </c>
      <c r="Y4627">
        <v>-0.1301495</v>
      </c>
      <c r="Z4627">
        <v>-4.4690249999999997E-3</v>
      </c>
      <c r="AA4627">
        <v>0.99148429999999999</v>
      </c>
      <c r="AB4627">
        <v>29</v>
      </c>
      <c r="AC4627">
        <v>-16.413499999999999</v>
      </c>
      <c r="AD4627">
        <v>-1.1101855432700001</v>
      </c>
      <c r="AE4627">
        <v>-2.1553000000000102</v>
      </c>
      <c r="AF4627">
        <v>-2.18656054269068</v>
      </c>
      <c r="AG4627">
        <v>-1.1101855432700001</v>
      </c>
      <c r="AH4627">
        <v>16.3345878333085</v>
      </c>
      <c r="AI4627">
        <v>93.853876750990494</v>
      </c>
      <c r="AJ4627">
        <v>97.624333480873204</v>
      </c>
      <c r="AK4627">
        <v>16.517636593393402</v>
      </c>
      <c r="AL4627">
        <v>89.755762417652505</v>
      </c>
      <c r="AM4627">
        <v>86.670734692576801</v>
      </c>
      <c r="AN4627">
        <v>0.99999998608373297</v>
      </c>
    </row>
    <row r="4628" spans="1:40" x14ac:dyDescent="0.25">
      <c r="A4628" t="str">
        <f>"20190312161104546"</f>
        <v>20190312161104546</v>
      </c>
      <c r="B4628" t="str">
        <f>"1552378264541424"</f>
        <v>1552378264541424</v>
      </c>
      <c r="C4628" t="s">
        <v>40</v>
      </c>
      <c r="D4628">
        <v>5.3842689999999997</v>
      </c>
      <c r="E4628">
        <v>0.42672270000000001</v>
      </c>
      <c r="F4628" t="s">
        <v>87</v>
      </c>
      <c r="G4628">
        <v>-405.30630000000002</v>
      </c>
      <c r="H4628" s="1">
        <v>-7.7992190000000001E-6</v>
      </c>
      <c r="I4628">
        <v>139.6593</v>
      </c>
      <c r="J4628">
        <v>-388.66719999999998</v>
      </c>
      <c r="K4628">
        <v>1.110206</v>
      </c>
      <c r="L4628">
        <v>141.8981</v>
      </c>
      <c r="M4628">
        <v>-0.99989649999999997</v>
      </c>
      <c r="N4628">
        <v>0</v>
      </c>
      <c r="O4628">
        <v>2.3980809999999998E-3</v>
      </c>
      <c r="P4628">
        <v>-0.99826150000000002</v>
      </c>
      <c r="Q4628">
        <v>-9.8548439999999998E-3</v>
      </c>
      <c r="R4628">
        <v>5.8112770000000001E-2</v>
      </c>
      <c r="S4628">
        <v>-3.0279539999999998</v>
      </c>
      <c r="T4628">
        <v>-0.1985962</v>
      </c>
      <c r="U4628">
        <v>-0.40037539999999999</v>
      </c>
      <c r="V4628">
        <v>5.5718040000000003E-2</v>
      </c>
      <c r="W4628">
        <v>4.3147109999999997E-3</v>
      </c>
      <c r="X4628">
        <v>0.99843720000000002</v>
      </c>
      <c r="Y4628">
        <v>-0.1331763</v>
      </c>
      <c r="Z4628">
        <v>-4.500286E-3</v>
      </c>
      <c r="AA4628">
        <v>0.99108209999999997</v>
      </c>
      <c r="AB4628">
        <v>29</v>
      </c>
      <c r="AC4628">
        <v>-16.639099999999999</v>
      </c>
      <c r="AD4628">
        <v>-1.110213799219</v>
      </c>
      <c r="AE4628">
        <v>-2.2387999999999901</v>
      </c>
      <c r="AF4628">
        <v>-2.2687785285336699</v>
      </c>
      <c r="AG4628">
        <v>-1.110213799219</v>
      </c>
      <c r="AH4628">
        <v>16.561263375541099</v>
      </c>
      <c r="AI4628">
        <v>93.799802038861699</v>
      </c>
      <c r="AJ4628">
        <v>97.800569286687903</v>
      </c>
      <c r="AK4628">
        <v>16.752772167183299</v>
      </c>
      <c r="AL4628">
        <v>89.752784497758896</v>
      </c>
      <c r="AM4628">
        <v>86.805907519785293</v>
      </c>
      <c r="AN4628">
        <v>0.99999997952814701</v>
      </c>
    </row>
    <row r="4629" spans="1:40" x14ac:dyDescent="0.25">
      <c r="A4629" t="str">
        <f>"20190312161104568"</f>
        <v>20190312161104568</v>
      </c>
      <c r="B4629" t="str">
        <f>"1552378264561920"</f>
        <v>1552378264561920</v>
      </c>
      <c r="C4629" t="s">
        <v>40</v>
      </c>
      <c r="D4629">
        <v>5.5417589999999999</v>
      </c>
      <c r="E4629">
        <v>0.426703</v>
      </c>
      <c r="F4629" t="s">
        <v>87</v>
      </c>
      <c r="G4629">
        <v>-405.76249999999999</v>
      </c>
      <c r="H4629" s="1">
        <v>-8.0553859999999992E-6</v>
      </c>
      <c r="I4629">
        <v>139.59299999999999</v>
      </c>
      <c r="J4629">
        <v>-388.9579</v>
      </c>
      <c r="K4629">
        <v>1.110239</v>
      </c>
      <c r="L4629">
        <v>141.89859999999999</v>
      </c>
      <c r="M4629">
        <v>-0.99989709999999998</v>
      </c>
      <c r="N4629">
        <v>0</v>
      </c>
      <c r="O4629">
        <v>2.2335609999999998E-3</v>
      </c>
      <c r="P4629">
        <v>-0.99838919999999998</v>
      </c>
      <c r="Q4629">
        <v>-9.5170040000000008E-3</v>
      </c>
      <c r="R4629">
        <v>5.5934490000000003E-2</v>
      </c>
      <c r="S4629">
        <v>-3.0270389999999998</v>
      </c>
      <c r="T4629">
        <v>-0.1965829</v>
      </c>
      <c r="U4629">
        <v>-0.4081573</v>
      </c>
      <c r="V4629">
        <v>5.370312E-2</v>
      </c>
      <c r="W4629">
        <v>4.6561229999999999E-3</v>
      </c>
      <c r="X4629">
        <v>0.99854609999999999</v>
      </c>
      <c r="Y4629">
        <v>-0.13555619999999999</v>
      </c>
      <c r="Z4629">
        <v>-4.5215619999999998E-3</v>
      </c>
      <c r="AA4629">
        <v>0.99075930000000001</v>
      </c>
      <c r="AB4629">
        <v>29</v>
      </c>
      <c r="AC4629">
        <v>-16.804599999999901</v>
      </c>
      <c r="AD4629">
        <v>-1.110247055386</v>
      </c>
      <c r="AE4629">
        <v>-2.3055999999999899</v>
      </c>
      <c r="AF4629">
        <v>-2.3331361716385302</v>
      </c>
      <c r="AG4629">
        <v>-1.110247055386</v>
      </c>
      <c r="AH4629">
        <v>16.7277405618423</v>
      </c>
      <c r="AI4629">
        <v>93.760943538234102</v>
      </c>
      <c r="AJ4629">
        <v>97.940222330931505</v>
      </c>
      <c r="AK4629">
        <v>16.926118197144401</v>
      </c>
      <c r="AL4629">
        <v>89.733222841723403</v>
      </c>
      <c r="AM4629">
        <v>86.921523574686304</v>
      </c>
      <c r="AN4629">
        <v>1.0000000092021599</v>
      </c>
    </row>
    <row r="4630" spans="1:40" x14ac:dyDescent="0.25">
      <c r="A4630" t="str">
        <f>"20190312161104590"</f>
        <v>20190312161104590</v>
      </c>
      <c r="B4630" t="str">
        <f>"1552378264581439"</f>
        <v>1552378264581439</v>
      </c>
      <c r="C4630" t="s">
        <v>40</v>
      </c>
      <c r="D4630">
        <v>5.4340039999999998</v>
      </c>
      <c r="E4630">
        <v>0.42673129999999998</v>
      </c>
      <c r="F4630" t="s">
        <v>87</v>
      </c>
      <c r="G4630">
        <v>-406.3766</v>
      </c>
      <c r="H4630" s="1">
        <v>-8.4015670000000007E-6</v>
      </c>
      <c r="I4630">
        <v>139.51050000000001</v>
      </c>
      <c r="J4630">
        <v>-389.24349999999998</v>
      </c>
      <c r="K4630">
        <v>1.110285</v>
      </c>
      <c r="L4630">
        <v>141.899</v>
      </c>
      <c r="M4630">
        <v>-0.99989749999999999</v>
      </c>
      <c r="N4630">
        <v>0</v>
      </c>
      <c r="O4630">
        <v>2.015869E-3</v>
      </c>
      <c r="P4630">
        <v>-0.99850340000000004</v>
      </c>
      <c r="Q4630">
        <v>-9.1416480000000005E-3</v>
      </c>
      <c r="R4630">
        <v>5.3922230000000002E-2</v>
      </c>
      <c r="S4630">
        <v>-3.0262449999999999</v>
      </c>
      <c r="T4630">
        <v>-0.19289039999999999</v>
      </c>
      <c r="U4630">
        <v>-0.41490169999999998</v>
      </c>
      <c r="V4630">
        <v>5.1907370000000001E-2</v>
      </c>
      <c r="W4630">
        <v>5.0356810000000002E-3</v>
      </c>
      <c r="X4630">
        <v>0.99863919999999995</v>
      </c>
      <c r="Y4630">
        <v>-0.1375497</v>
      </c>
      <c r="Z4630">
        <v>-4.4866639999999996E-3</v>
      </c>
      <c r="AA4630">
        <v>0.9904847</v>
      </c>
      <c r="AB4630">
        <v>29</v>
      </c>
      <c r="AC4630">
        <v>-17.133099999999999</v>
      </c>
      <c r="AD4630">
        <v>-1.1102934015670001</v>
      </c>
      <c r="AE4630">
        <v>-2.3884999999999899</v>
      </c>
      <c r="AF4630">
        <v>-2.4130959598107902</v>
      </c>
      <c r="AG4630">
        <v>-1.1102934015670001</v>
      </c>
      <c r="AH4630">
        <v>17.057979498450099</v>
      </c>
      <c r="AI4630">
        <v>93.687482142330396</v>
      </c>
      <c r="AJ4630">
        <v>98.0518819478079</v>
      </c>
      <c r="AK4630">
        <v>17.2635583851755</v>
      </c>
      <c r="AL4630">
        <v>89.711475510136793</v>
      </c>
      <c r="AM4630">
        <v>87.024551824204096</v>
      </c>
      <c r="AN4630">
        <v>0.99999999246004501</v>
      </c>
    </row>
    <row r="4631" spans="1:40" x14ac:dyDescent="0.25">
      <c r="A4631" t="str">
        <f>"20190312161104612"</f>
        <v>20190312161104612</v>
      </c>
      <c r="B4631" t="str">
        <f>"1552378264601936"</f>
        <v>1552378264601936</v>
      </c>
      <c r="C4631" t="s">
        <v>40</v>
      </c>
      <c r="D4631">
        <v>5.4731800000000002</v>
      </c>
      <c r="E4631">
        <v>0.4267686</v>
      </c>
      <c r="F4631" t="s">
        <v>87</v>
      </c>
      <c r="G4631">
        <v>-406.83659999999998</v>
      </c>
      <c r="H4631" s="1">
        <v>-8.6621059999999994E-6</v>
      </c>
      <c r="I4631">
        <v>139.45140000000001</v>
      </c>
      <c r="J4631">
        <v>-389.5283</v>
      </c>
      <c r="K4631">
        <v>1.1103479999999999</v>
      </c>
      <c r="L4631">
        <v>141.89930000000001</v>
      </c>
      <c r="M4631">
        <v>-0.99989810000000001</v>
      </c>
      <c r="N4631">
        <v>0</v>
      </c>
      <c r="O4631">
        <v>1.7166239999999999E-3</v>
      </c>
      <c r="P4631">
        <v>-0.99865559999999998</v>
      </c>
      <c r="Q4631">
        <v>-8.4586060000000005E-3</v>
      </c>
      <c r="R4631">
        <v>5.1143180000000003E-2</v>
      </c>
      <c r="S4631">
        <v>-3.025452</v>
      </c>
      <c r="T4631">
        <v>-0.19093589999999999</v>
      </c>
      <c r="U4631">
        <v>-0.4209137</v>
      </c>
      <c r="V4631">
        <v>4.942589E-2</v>
      </c>
      <c r="W4631">
        <v>5.724224E-3</v>
      </c>
      <c r="X4631">
        <v>0.99876140000000002</v>
      </c>
      <c r="Y4631">
        <v>-0.13922219999999999</v>
      </c>
      <c r="Z4631">
        <v>-4.4755350000000001E-3</v>
      </c>
      <c r="AA4631">
        <v>0.99025110000000005</v>
      </c>
      <c r="AB4631">
        <v>29</v>
      </c>
      <c r="AC4631">
        <v>-17.3082999999999</v>
      </c>
      <c r="AD4631">
        <v>-1.1103566621059999</v>
      </c>
      <c r="AE4631">
        <v>-2.4479000000000002</v>
      </c>
      <c r="AF4631">
        <v>-2.46765488546222</v>
      </c>
      <c r="AG4631">
        <v>-1.1103566621059999</v>
      </c>
      <c r="AH4631">
        <v>17.234535158553498</v>
      </c>
      <c r="AI4631">
        <v>93.649145010992797</v>
      </c>
      <c r="AJ4631">
        <v>98.148275987320403</v>
      </c>
      <c r="AK4631">
        <v>17.445670370675</v>
      </c>
      <c r="AL4631">
        <v>89.672024335873601</v>
      </c>
      <c r="AM4631">
        <v>87.166904393872102</v>
      </c>
      <c r="AN4631">
        <v>1.00000000973632</v>
      </c>
    </row>
    <row r="4632" spans="1:40" x14ac:dyDescent="0.25">
      <c r="A4632" t="str">
        <f>"20190312161104635"</f>
        <v>20190312161104635</v>
      </c>
      <c r="B4632" t="str">
        <f>"1552378264631217"</f>
        <v>1552378264631217</v>
      </c>
      <c r="C4632" t="s">
        <v>40</v>
      </c>
      <c r="D4632">
        <v>5.4838990000000001</v>
      </c>
      <c r="E4632">
        <v>0.42681550000000001</v>
      </c>
      <c r="F4632" t="s">
        <v>87</v>
      </c>
      <c r="G4632">
        <v>-407.28609999999998</v>
      </c>
      <c r="H4632" s="1">
        <v>-8.9114659999999996E-6</v>
      </c>
      <c r="I4632">
        <v>139.38159999999999</v>
      </c>
      <c r="J4632">
        <v>-389.81560000000002</v>
      </c>
      <c r="K4632">
        <v>1.1104339999999999</v>
      </c>
      <c r="L4632">
        <v>141.89940000000001</v>
      </c>
      <c r="M4632">
        <v>-0.99989870000000003</v>
      </c>
      <c r="N4632">
        <v>0</v>
      </c>
      <c r="O4632">
        <v>1.295963E-3</v>
      </c>
      <c r="P4632">
        <v>-0.99879569999999995</v>
      </c>
      <c r="Q4632">
        <v>-8.0488119999999903E-3</v>
      </c>
      <c r="R4632">
        <v>4.8400110000000003E-2</v>
      </c>
      <c r="S4632">
        <v>-3.0244140000000002</v>
      </c>
      <c r="T4632">
        <v>-0.1891091</v>
      </c>
      <c r="U4632">
        <v>-0.42880249999999998</v>
      </c>
      <c r="V4632">
        <v>4.7101629999999998E-2</v>
      </c>
      <c r="W4632">
        <v>6.1414490000000002E-3</v>
      </c>
      <c r="X4632">
        <v>0.99887119999999996</v>
      </c>
      <c r="Y4632">
        <v>-0.1413864</v>
      </c>
      <c r="Z4632">
        <v>-4.474614E-3</v>
      </c>
      <c r="AA4632">
        <v>0.9899443</v>
      </c>
      <c r="AB4632">
        <v>29</v>
      </c>
      <c r="AC4632">
        <v>-17.470499999999902</v>
      </c>
      <c r="AD4632">
        <v>-1.1104429114659999</v>
      </c>
      <c r="AE4632">
        <v>-2.5178000000000198</v>
      </c>
      <c r="AF4632">
        <v>-2.5304263565235701</v>
      </c>
      <c r="AG4632">
        <v>-1.1104429114659999</v>
      </c>
      <c r="AH4632">
        <v>17.398362757535399</v>
      </c>
      <c r="AI4632">
        <v>93.614003701187997</v>
      </c>
      <c r="AJ4632">
        <v>98.275104037184207</v>
      </c>
      <c r="AK4632">
        <v>17.616445942590399</v>
      </c>
      <c r="AL4632">
        <v>89.648118672279793</v>
      </c>
      <c r="AM4632">
        <v>87.300225500213401</v>
      </c>
      <c r="AN4632">
        <v>0.99999997756695702</v>
      </c>
    </row>
    <row r="4633" spans="1:40" x14ac:dyDescent="0.25">
      <c r="A4633" t="str">
        <f>"20190312161104658"</f>
        <v>20190312161104658</v>
      </c>
      <c r="B4633" t="str">
        <f>"1552378264651715"</f>
        <v>1552378264651715</v>
      </c>
      <c r="C4633" t="s">
        <v>40</v>
      </c>
      <c r="D4633">
        <v>5.498926</v>
      </c>
      <c r="E4633">
        <v>0.42686390000000002</v>
      </c>
      <c r="F4633" t="s">
        <v>87</v>
      </c>
      <c r="G4633">
        <v>-407.78</v>
      </c>
      <c r="H4633" s="1">
        <v>-9.1846729999999998E-6</v>
      </c>
      <c r="I4633">
        <v>139.30330000000001</v>
      </c>
      <c r="J4633">
        <v>-390.11329999999998</v>
      </c>
      <c r="K4633">
        <v>1.1105400000000001</v>
      </c>
      <c r="L4633">
        <v>141.8991</v>
      </c>
      <c r="M4633">
        <v>-0.99989939999999999</v>
      </c>
      <c r="N4633">
        <v>0</v>
      </c>
      <c r="O4633">
        <v>7.0061449999999996E-4</v>
      </c>
      <c r="P4633">
        <v>-0.99891300000000005</v>
      </c>
      <c r="Q4633">
        <v>-8.5705799999999995E-3</v>
      </c>
      <c r="R4633">
        <v>4.5821960000000002E-2</v>
      </c>
      <c r="S4633">
        <v>-3.023285</v>
      </c>
      <c r="T4633">
        <v>-0.1868795</v>
      </c>
      <c r="U4633">
        <v>-0.43690489999999998</v>
      </c>
      <c r="V4633">
        <v>4.511685E-2</v>
      </c>
      <c r="W4633">
        <v>5.6288579999999996E-3</v>
      </c>
      <c r="X4633">
        <v>0.99896589999999996</v>
      </c>
      <c r="Y4633">
        <v>-0.14345150000000001</v>
      </c>
      <c r="Z4633">
        <v>-4.4496099999999997E-3</v>
      </c>
      <c r="AA4633">
        <v>0.98964730000000001</v>
      </c>
      <c r="AB4633">
        <v>29</v>
      </c>
      <c r="AC4633">
        <v>-17.666699999999899</v>
      </c>
      <c r="AD4633">
        <v>-1.11054918467299</v>
      </c>
      <c r="AE4633">
        <v>-2.5957999999999899</v>
      </c>
      <c r="AF4633">
        <v>-2.5981285420679701</v>
      </c>
      <c r="AG4633">
        <v>-1.11054918467299</v>
      </c>
      <c r="AH4633">
        <v>17.5968120317028</v>
      </c>
      <c r="AI4633">
        <v>93.572565318291296</v>
      </c>
      <c r="AJ4633">
        <v>98.398908331627993</v>
      </c>
      <c r="AK4633">
        <v>17.822216054457598</v>
      </c>
      <c r="AL4633">
        <v>89.677488503502701</v>
      </c>
      <c r="AM4633">
        <v>87.414076243524804</v>
      </c>
      <c r="AN4633">
        <v>1.00000004177955</v>
      </c>
    </row>
    <row r="4634" spans="1:40" x14ac:dyDescent="0.25">
      <c r="A4634" t="str">
        <f>"20190312161104680"</f>
        <v>20190312161104680</v>
      </c>
      <c r="B4634" t="str">
        <f>"1552378264671232"</f>
        <v>1552378264671232</v>
      </c>
      <c r="C4634" t="s">
        <v>40</v>
      </c>
      <c r="D4634">
        <v>5.5539149999999999</v>
      </c>
      <c r="E4634">
        <v>0.42691960000000001</v>
      </c>
      <c r="F4634" t="s">
        <v>87</v>
      </c>
      <c r="G4634">
        <v>-407.93360000000001</v>
      </c>
      <c r="H4634" s="1">
        <v>-9.2695169999999998E-6</v>
      </c>
      <c r="I4634">
        <v>139.27860000000001</v>
      </c>
      <c r="J4634">
        <v>-390.40219999999999</v>
      </c>
      <c r="K4634">
        <v>1.1106739999999999</v>
      </c>
      <c r="L4634">
        <v>141.89859999999999</v>
      </c>
      <c r="M4634">
        <v>-0.9998996</v>
      </c>
      <c r="N4634">
        <v>0</v>
      </c>
      <c r="O4634" s="1">
        <v>-6.5761070000000001E-5</v>
      </c>
      <c r="P4634">
        <v>-0.99906680000000003</v>
      </c>
      <c r="Q4634">
        <v>-9.0976600000000005E-3</v>
      </c>
      <c r="R4634">
        <v>4.2222620000000002E-2</v>
      </c>
      <c r="S4634">
        <v>-3.0220340000000001</v>
      </c>
      <c r="T4634">
        <v>-0.1883312</v>
      </c>
      <c r="U4634">
        <v>-0.44439699999999999</v>
      </c>
      <c r="V4634">
        <v>4.2281989999999998E-2</v>
      </c>
      <c r="W4634">
        <v>5.1138820000000001E-3</v>
      </c>
      <c r="X4634">
        <v>0.9990926</v>
      </c>
      <c r="Y4634">
        <v>-0.1451471</v>
      </c>
      <c r="Z4634">
        <v>-4.4901860000000002E-3</v>
      </c>
      <c r="AA4634">
        <v>0.9893999</v>
      </c>
      <c r="AB4634">
        <v>29</v>
      </c>
      <c r="AC4634">
        <v>-17.531400000000001</v>
      </c>
      <c r="AD4634">
        <v>-1.1106832695169999</v>
      </c>
      <c r="AE4634">
        <v>-2.6199999999999699</v>
      </c>
      <c r="AF4634">
        <v>-2.6086055130241101</v>
      </c>
      <c r="AG4634">
        <v>-1.1106832695169999</v>
      </c>
      <c r="AH4634">
        <v>17.463011841656201</v>
      </c>
      <c r="AI4634">
        <v>93.599396617318902</v>
      </c>
      <c r="AJ4634">
        <v>98.495959152293096</v>
      </c>
      <c r="AK4634">
        <v>17.691670995968401</v>
      </c>
      <c r="AL4634">
        <v>89.706994858840801</v>
      </c>
      <c r="AM4634">
        <v>87.576666230864603</v>
      </c>
      <c r="AN4634">
        <v>0.99999997092111403</v>
      </c>
    </row>
    <row r="4635" spans="1:40" x14ac:dyDescent="0.25">
      <c r="A4635" t="str">
        <f>"20190312161104702"</f>
        <v>20190312161104702</v>
      </c>
      <c r="B4635" t="str">
        <f>"1552378264691727"</f>
        <v>1552378264691727</v>
      </c>
      <c r="C4635" t="s">
        <v>40</v>
      </c>
      <c r="D4635">
        <v>5.5092189999999999</v>
      </c>
      <c r="E4635">
        <v>0.42702639999999997</v>
      </c>
      <c r="F4635" t="s">
        <v>87</v>
      </c>
      <c r="G4635">
        <v>-408.12369999999999</v>
      </c>
      <c r="H4635" s="1">
        <v>-9.3660550000000002E-6</v>
      </c>
      <c r="I4635">
        <v>139.2286</v>
      </c>
      <c r="J4635">
        <v>-390.68450000000001</v>
      </c>
      <c r="K4635">
        <v>1.11084</v>
      </c>
      <c r="L4635">
        <v>141.89760000000001</v>
      </c>
      <c r="M4635">
        <v>-0.99989910000000004</v>
      </c>
      <c r="N4635">
        <v>0</v>
      </c>
      <c r="O4635">
        <v>-1.036244E-3</v>
      </c>
      <c r="P4635">
        <v>-0.99923390000000001</v>
      </c>
      <c r="Q4635">
        <v>-8.4211489999999993E-3</v>
      </c>
      <c r="R4635">
        <v>3.8221610000000003E-2</v>
      </c>
      <c r="S4635">
        <v>-3.0202640000000001</v>
      </c>
      <c r="T4635">
        <v>-0.1892923</v>
      </c>
      <c r="U4635">
        <v>-0.4550323</v>
      </c>
      <c r="V4635">
        <v>3.9247539999999997E-2</v>
      </c>
      <c r="W4635">
        <v>5.8033769999999898E-3</v>
      </c>
      <c r="X4635">
        <v>0.99921269999999995</v>
      </c>
      <c r="Y4635">
        <v>-0.14767230000000001</v>
      </c>
      <c r="Z4635">
        <v>-4.5326910000000002E-3</v>
      </c>
      <c r="AA4635">
        <v>0.98902599999999996</v>
      </c>
      <c r="AB4635">
        <v>29</v>
      </c>
      <c r="AC4635">
        <v>-17.4391999999999</v>
      </c>
      <c r="AD4635">
        <v>-1.1108493660550001</v>
      </c>
      <c r="AE4635">
        <v>-2.6690000000000098</v>
      </c>
      <c r="AF4635">
        <v>-2.64045706671588</v>
      </c>
      <c r="AG4635">
        <v>-1.1108493660550001</v>
      </c>
      <c r="AH4635">
        <v>17.373078920119099</v>
      </c>
      <c r="AI4635">
        <v>93.617133628256099</v>
      </c>
      <c r="AJ4635">
        <v>98.641993711191006</v>
      </c>
      <c r="AK4635">
        <v>17.607665120620599</v>
      </c>
      <c r="AL4635">
        <v>89.667489135885305</v>
      </c>
      <c r="AM4635">
        <v>87.7506660710267</v>
      </c>
      <c r="AN4635">
        <v>1.0000000342109701</v>
      </c>
    </row>
    <row r="4636" spans="1:40" x14ac:dyDescent="0.25">
      <c r="A4636" t="str">
        <f>"20190312161104725"</f>
        <v>20190312161104725</v>
      </c>
      <c r="B4636" t="str">
        <f>"1552378264721983"</f>
        <v>1552378264721983</v>
      </c>
      <c r="C4636" t="s">
        <v>40</v>
      </c>
      <c r="D4636">
        <v>5.5985329999999998</v>
      </c>
      <c r="E4636">
        <v>0.42716660000000001</v>
      </c>
      <c r="F4636" t="s">
        <v>87</v>
      </c>
      <c r="G4636">
        <v>-408.50920000000002</v>
      </c>
      <c r="H4636" s="1">
        <v>-9.5691079999999998E-6</v>
      </c>
      <c r="I4636">
        <v>139.14410000000001</v>
      </c>
      <c r="J4636">
        <v>-390.97910000000002</v>
      </c>
      <c r="K4636">
        <v>1.1110549999999999</v>
      </c>
      <c r="L4636">
        <v>141.89590000000001</v>
      </c>
      <c r="M4636">
        <v>-0.99989709999999998</v>
      </c>
      <c r="N4636">
        <v>0</v>
      </c>
      <c r="O4636">
        <v>-2.3388839999999998E-3</v>
      </c>
      <c r="P4636">
        <v>-0.99939180000000005</v>
      </c>
      <c r="Q4636">
        <v>-8.7087580000000005E-3</v>
      </c>
      <c r="R4636">
        <v>3.3769239999999999E-2</v>
      </c>
      <c r="S4636">
        <v>-3.0185240000000002</v>
      </c>
      <c r="T4636">
        <v>-0.18811620000000001</v>
      </c>
      <c r="U4636">
        <v>-0.46627809999999997</v>
      </c>
      <c r="V4636">
        <v>3.6094939999999999E-2</v>
      </c>
      <c r="W4636">
        <v>5.5315850000000003E-3</v>
      </c>
      <c r="X4636">
        <v>0.99933309999999997</v>
      </c>
      <c r="Y4636">
        <v>-0.15006949999999999</v>
      </c>
      <c r="Z4636">
        <v>-4.4994459999999998E-3</v>
      </c>
      <c r="AA4636">
        <v>0.98866520000000002</v>
      </c>
      <c r="AB4636">
        <v>29</v>
      </c>
      <c r="AC4636">
        <v>-17.530100000000001</v>
      </c>
      <c r="AD4636">
        <v>-1.1110645691080001</v>
      </c>
      <c r="AE4636">
        <v>-2.7517999999999998</v>
      </c>
      <c r="AF4636">
        <v>-2.70020144060409</v>
      </c>
      <c r="AG4636">
        <v>-1.1110645691080001</v>
      </c>
      <c r="AH4636">
        <v>17.468006067876399</v>
      </c>
      <c r="AI4636">
        <v>93.596829687089794</v>
      </c>
      <c r="AJ4636">
        <v>98.787222435087301</v>
      </c>
      <c r="AK4636">
        <v>17.710358220090701</v>
      </c>
      <c r="AL4636">
        <v>89.683061923093305</v>
      </c>
      <c r="AM4636">
        <v>87.931431376010494</v>
      </c>
      <c r="AN4636">
        <v>1.00000004394091</v>
      </c>
    </row>
    <row r="4637" spans="1:40" x14ac:dyDescent="0.25">
      <c r="A4637" t="str">
        <f>"20190312161104747"</f>
        <v>20190312161104747</v>
      </c>
      <c r="B4637" t="str">
        <f>"1552378264741504"</f>
        <v>1552378264741504</v>
      </c>
      <c r="C4637" t="s">
        <v>40</v>
      </c>
      <c r="D4637">
        <v>5.5817649999999999</v>
      </c>
      <c r="E4637">
        <v>0.42729630000000002</v>
      </c>
      <c r="F4637" t="s">
        <v>87</v>
      </c>
      <c r="G4637">
        <v>-408.64109999999999</v>
      </c>
      <c r="H4637" s="1">
        <v>-9.6291019999999995E-6</v>
      </c>
      <c r="I4637">
        <v>139.09370000000001</v>
      </c>
      <c r="J4637">
        <v>-391.26049999999998</v>
      </c>
      <c r="K4637">
        <v>1.111278</v>
      </c>
      <c r="L4637">
        <v>141.89359999999999</v>
      </c>
      <c r="M4637">
        <v>-0.99989209999999995</v>
      </c>
      <c r="N4637">
        <v>0</v>
      </c>
      <c r="O4637">
        <v>-3.897508E-3</v>
      </c>
      <c r="P4637">
        <v>-0.99953389999999998</v>
      </c>
      <c r="Q4637">
        <v>-8.6739179999999992E-3</v>
      </c>
      <c r="R4637">
        <v>2.9276259999999998E-2</v>
      </c>
      <c r="S4637">
        <v>-3.0163570000000002</v>
      </c>
      <c r="T4637">
        <v>-0.1897508</v>
      </c>
      <c r="U4637">
        <v>-0.47857670000000002</v>
      </c>
      <c r="V4637">
        <v>3.315717E-2</v>
      </c>
      <c r="W4637">
        <v>5.5816520000000003E-3</v>
      </c>
      <c r="X4637">
        <v>0.99943459999999995</v>
      </c>
      <c r="Y4637">
        <v>-0.1525629</v>
      </c>
      <c r="Z4637">
        <v>-4.5207820000000001E-3</v>
      </c>
      <c r="AA4637">
        <v>0.98828349999999998</v>
      </c>
      <c r="AB4637">
        <v>29</v>
      </c>
      <c r="AC4637">
        <v>-17.380600000000001</v>
      </c>
      <c r="AD4637">
        <v>-1.111287629102</v>
      </c>
      <c r="AE4637">
        <v>-2.7998999999999801</v>
      </c>
      <c r="AF4637">
        <v>-2.7212873643401001</v>
      </c>
      <c r="AG4637">
        <v>-1.111287629102</v>
      </c>
      <c r="AH4637">
        <v>17.322357111332</v>
      </c>
      <c r="AI4637">
        <v>93.6263329521597</v>
      </c>
      <c r="AJ4637">
        <v>98.928016389746503</v>
      </c>
      <c r="AK4637">
        <v>17.569986368988101</v>
      </c>
      <c r="AL4637">
        <v>89.680193248669795</v>
      </c>
      <c r="AM4637">
        <v>88.099856284719195</v>
      </c>
      <c r="AN4637">
        <v>1.0000000362193</v>
      </c>
    </row>
    <row r="4638" spans="1:40" x14ac:dyDescent="0.25">
      <c r="A4638" t="str">
        <f>"20190312161104770"</f>
        <v>20190312161104770</v>
      </c>
      <c r="B4638" t="str">
        <f>"1552378264762000"</f>
        <v>1552378264762000</v>
      </c>
      <c r="C4638" t="s">
        <v>40</v>
      </c>
      <c r="D4638">
        <v>5.5668329999999999</v>
      </c>
      <c r="E4638">
        <v>0.42745699999999998</v>
      </c>
      <c r="F4638" t="s">
        <v>87</v>
      </c>
      <c r="G4638">
        <v>-408.88749999999999</v>
      </c>
      <c r="H4638" s="1">
        <v>-9.7505990000000001E-6</v>
      </c>
      <c r="I4638">
        <v>139.02070000000001</v>
      </c>
      <c r="J4638">
        <v>-391.5557</v>
      </c>
      <c r="K4638">
        <v>1.1114930000000001</v>
      </c>
      <c r="L4638">
        <v>141.8904</v>
      </c>
      <c r="M4638">
        <v>-0.99988259999999995</v>
      </c>
      <c r="N4638">
        <v>0</v>
      </c>
      <c r="O4638">
        <v>-5.8160349999999998E-3</v>
      </c>
      <c r="P4638">
        <v>-0.99970669999999995</v>
      </c>
      <c r="Q4638">
        <v>-7.9142199999999996E-3</v>
      </c>
      <c r="R4638">
        <v>2.2891169999999999E-2</v>
      </c>
      <c r="S4638">
        <v>-3.0141300000000002</v>
      </c>
      <c r="T4638">
        <v>-0.190025</v>
      </c>
      <c r="U4638">
        <v>-0.49125669999999999</v>
      </c>
      <c r="V4638">
        <v>2.86854E-2</v>
      </c>
      <c r="W4638">
        <v>6.3493469999999896E-3</v>
      </c>
      <c r="X4638">
        <v>0.99956829999999997</v>
      </c>
      <c r="Y4638">
        <v>-0.154830299999999</v>
      </c>
      <c r="Z4638">
        <v>-4.4800090000000001E-3</v>
      </c>
      <c r="AA4638">
        <v>0.98793089999999995</v>
      </c>
      <c r="AB4638">
        <v>29</v>
      </c>
      <c r="AC4638">
        <v>-17.331799999999902</v>
      </c>
      <c r="AD4638">
        <v>-1.1115027505990001</v>
      </c>
      <c r="AE4638">
        <v>-2.8696999999999901</v>
      </c>
      <c r="AF4638">
        <v>-2.7577994384636999</v>
      </c>
      <c r="AG4638">
        <v>-1.1115027505990001</v>
      </c>
      <c r="AH4638">
        <v>17.279030427761199</v>
      </c>
      <c r="AI4638">
        <v>93.634699256039596</v>
      </c>
      <c r="AJ4638">
        <v>99.068143282754804</v>
      </c>
      <c r="AK4638">
        <v>17.532991434175699</v>
      </c>
      <c r="AL4638">
        <v>89.636206761273101</v>
      </c>
      <c r="AM4638">
        <v>88.356188980000894</v>
      </c>
      <c r="AN4638">
        <v>0.99999997637268701</v>
      </c>
    </row>
    <row r="4639" spans="1:40" x14ac:dyDescent="0.25">
      <c r="A4639" t="str">
        <f>"20190312161104791"</f>
        <v>20190312161104791</v>
      </c>
      <c r="B4639" t="str">
        <f>"1552378264781520"</f>
        <v>1552378264781520</v>
      </c>
      <c r="C4639" t="s">
        <v>40</v>
      </c>
      <c r="D4639">
        <v>5.6476309999999996</v>
      </c>
      <c r="E4639">
        <v>0.42761880000000002</v>
      </c>
      <c r="F4639" t="s">
        <v>87</v>
      </c>
      <c r="G4639">
        <v>-409.16660000000002</v>
      </c>
      <c r="H4639" s="1">
        <v>-9.8772769999999999E-6</v>
      </c>
      <c r="I4639">
        <v>138.91290000000001</v>
      </c>
      <c r="J4639">
        <v>-391.82850000000002</v>
      </c>
      <c r="K4639">
        <v>1.1116919999999999</v>
      </c>
      <c r="L4639">
        <v>141.88669999999999</v>
      </c>
      <c r="M4639">
        <v>-0.9998686</v>
      </c>
      <c r="N4639">
        <v>0</v>
      </c>
      <c r="O4639">
        <v>-7.8554030000000004E-3</v>
      </c>
      <c r="P4639">
        <v>-0.99984200000000001</v>
      </c>
      <c r="Q4639">
        <v>-7.30736699999999E-3</v>
      </c>
      <c r="R4639">
        <v>1.6212629999999999E-2</v>
      </c>
      <c r="S4639">
        <v>-3.0110169999999998</v>
      </c>
      <c r="T4639">
        <v>-0.1900387</v>
      </c>
      <c r="U4639">
        <v>-0.50907899999999995</v>
      </c>
      <c r="V4639">
        <v>2.4041590000000002E-2</v>
      </c>
      <c r="W4639">
        <v>6.9573009999999999E-3</v>
      </c>
      <c r="X4639">
        <v>0.99968679999999999</v>
      </c>
      <c r="Y4639">
        <v>-0.1586632</v>
      </c>
      <c r="Z4639">
        <v>-4.4750720000000001E-3</v>
      </c>
      <c r="AA4639">
        <v>0.98732260000000005</v>
      </c>
      <c r="AB4639">
        <v>29</v>
      </c>
      <c r="AC4639">
        <v>-17.338099999999901</v>
      </c>
      <c r="AD4639">
        <v>-1.111701877277</v>
      </c>
      <c r="AE4639">
        <v>-2.9737999999999798</v>
      </c>
      <c r="AF4639">
        <v>-2.8262095736492601</v>
      </c>
      <c r="AG4639">
        <v>-1.111701877277</v>
      </c>
      <c r="AH4639">
        <v>17.291868156395999</v>
      </c>
      <c r="AI4639">
        <v>93.630468957404403</v>
      </c>
      <c r="AJ4639">
        <v>99.282436834594407</v>
      </c>
      <c r="AK4639">
        <v>17.556538552810199</v>
      </c>
      <c r="AL4639">
        <v>89.601372819960503</v>
      </c>
      <c r="AM4639">
        <v>88.622352349077403</v>
      </c>
      <c r="AN4639">
        <v>1.0000000500905799</v>
      </c>
    </row>
    <row r="4640" spans="1:40" x14ac:dyDescent="0.25">
      <c r="A4640" t="str">
        <f>"20190312161104813"</f>
        <v>20190312161104813</v>
      </c>
      <c r="B4640" t="str">
        <f>"1552378264802016"</f>
        <v>1552378264802016</v>
      </c>
      <c r="C4640" t="s">
        <v>40</v>
      </c>
      <c r="D4640">
        <v>5.6273600000000004</v>
      </c>
      <c r="E4640">
        <v>0.42779909999999999</v>
      </c>
      <c r="F4640" t="s">
        <v>87</v>
      </c>
      <c r="G4640">
        <v>-409.40159999999997</v>
      </c>
      <c r="H4640" s="1">
        <v>-9.9760140000000007E-6</v>
      </c>
      <c r="I4640">
        <v>138.80410000000001</v>
      </c>
      <c r="J4640">
        <v>-392.10629999999998</v>
      </c>
      <c r="K4640">
        <v>1.1118889999999999</v>
      </c>
      <c r="L4640">
        <v>141.88200000000001</v>
      </c>
      <c r="M4640">
        <v>-0.99984740000000005</v>
      </c>
      <c r="N4640">
        <v>0</v>
      </c>
      <c r="O4640">
        <v>-1.0208200000000001E-2</v>
      </c>
      <c r="P4640">
        <v>-0.99993189999999998</v>
      </c>
      <c r="Q4640">
        <v>-7.2500239999999999E-3</v>
      </c>
      <c r="R4640">
        <v>9.1558830000000001E-3</v>
      </c>
      <c r="S4640">
        <v>-3.0076290000000001</v>
      </c>
      <c r="T4640">
        <v>-0.19026709999999999</v>
      </c>
      <c r="U4640">
        <v>-0.5275879</v>
      </c>
      <c r="V4640">
        <v>1.9334879999999999E-2</v>
      </c>
      <c r="W4640">
        <v>7.0116589999999999E-3</v>
      </c>
      <c r="X4640">
        <v>0.99978849999999997</v>
      </c>
      <c r="Y4640">
        <v>-0.1624186</v>
      </c>
      <c r="Z4640">
        <v>-4.4533400000000001E-3</v>
      </c>
      <c r="AA4640">
        <v>0.98671189999999998</v>
      </c>
      <c r="AB4640">
        <v>29</v>
      </c>
      <c r="AC4640">
        <v>-17.295299999999902</v>
      </c>
      <c r="AD4640">
        <v>-1.1118989760139999</v>
      </c>
      <c r="AE4640">
        <v>-3.0779000000000001</v>
      </c>
      <c r="AF4640">
        <v>-2.88959166282506</v>
      </c>
      <c r="AG4640">
        <v>-1.1118989760139999</v>
      </c>
      <c r="AH4640">
        <v>17.256687739529301</v>
      </c>
      <c r="AI4640">
        <v>93.636153376046806</v>
      </c>
      <c r="AJ4640">
        <v>99.505853884304003</v>
      </c>
      <c r="AK4640">
        <v>17.532236909486201</v>
      </c>
      <c r="AL4640">
        <v>89.598258249215604</v>
      </c>
      <c r="AM4640">
        <v>88.892096731130493</v>
      </c>
      <c r="AN4640">
        <v>1.0000000228393899</v>
      </c>
    </row>
    <row r="4641" spans="1:40" x14ac:dyDescent="0.25">
      <c r="A4641" t="str">
        <f>"20190312161104838"</f>
        <v>20190312161104838</v>
      </c>
      <c r="B4641" t="str">
        <f>"1552378264831296"</f>
        <v>1552378264831296</v>
      </c>
      <c r="C4641" t="s">
        <v>40</v>
      </c>
      <c r="D4641">
        <v>5.6325830000000003</v>
      </c>
      <c r="E4641">
        <v>0.42801919999999999</v>
      </c>
      <c r="F4641" t="s">
        <v>87</v>
      </c>
      <c r="G4641">
        <v>-409.52949999999998</v>
      </c>
      <c r="H4641" s="1">
        <v>-1.001454E-5</v>
      </c>
      <c r="I4641">
        <v>138.71010000000001</v>
      </c>
      <c r="J4641">
        <v>-392.39170000000001</v>
      </c>
      <c r="K4641">
        <v>1.112087</v>
      </c>
      <c r="L4641">
        <v>141.87629999999999</v>
      </c>
      <c r="M4641">
        <v>-0.99981620000000004</v>
      </c>
      <c r="N4641">
        <v>0</v>
      </c>
      <c r="O4641">
        <v>-1.2903410000000001E-2</v>
      </c>
      <c r="P4641">
        <v>-0.99996790000000002</v>
      </c>
      <c r="Q4641">
        <v>-7.6263800000000003E-3</v>
      </c>
      <c r="R4641">
        <v>2.559609E-3</v>
      </c>
      <c r="S4641">
        <v>-3.0038149999999999</v>
      </c>
      <c r="T4641">
        <v>-0.1916949</v>
      </c>
      <c r="U4641">
        <v>-0.54685969999999995</v>
      </c>
      <c r="V4641">
        <v>1.543282E-2</v>
      </c>
      <c r="W4641">
        <v>6.6316279999999997E-3</v>
      </c>
      <c r="X4641">
        <v>0.99985889999999999</v>
      </c>
      <c r="Y4641">
        <v>-0.16609869999999999</v>
      </c>
      <c r="Z4641">
        <v>-4.4357909999999997E-3</v>
      </c>
      <c r="AA4641">
        <v>0.98609919999999995</v>
      </c>
      <c r="AB4641">
        <v>29</v>
      </c>
      <c r="AC4641">
        <v>-17.137799999999899</v>
      </c>
      <c r="AD4641">
        <v>-1.11209701454</v>
      </c>
      <c r="AE4641">
        <v>-3.1661999999999701</v>
      </c>
      <c r="AF4641">
        <v>-2.9328357898669002</v>
      </c>
      <c r="AG4641">
        <v>-1.11209701454</v>
      </c>
      <c r="AH4641">
        <v>17.1075711986242</v>
      </c>
      <c r="AI4641">
        <v>93.666011000009206</v>
      </c>
      <c r="AJ4641">
        <v>99.727934157917602</v>
      </c>
      <c r="AK4641">
        <v>17.392736353319101</v>
      </c>
      <c r="AL4641">
        <v>89.620032913564899</v>
      </c>
      <c r="AM4641">
        <v>89.115709984494899</v>
      </c>
      <c r="AN4641">
        <v>0.99999998516614597</v>
      </c>
    </row>
    <row r="4642" spans="1:40" x14ac:dyDescent="0.25">
      <c r="A4642" t="str">
        <f>"20190312161104858"</f>
        <v>20190312161104858</v>
      </c>
      <c r="B4642" t="str">
        <f>"1552378264851836"</f>
        <v>1552378264851836</v>
      </c>
      <c r="C4642" t="s">
        <v>40</v>
      </c>
      <c r="D4642">
        <v>5.6237409999999999</v>
      </c>
      <c r="E4642">
        <v>0.4282185</v>
      </c>
      <c r="F4642" t="s">
        <v>87</v>
      </c>
      <c r="G4642">
        <v>-409.55380000000002</v>
      </c>
      <c r="H4642" s="1">
        <v>-1.0001840000000001E-5</v>
      </c>
      <c r="I4642">
        <v>138.6464</v>
      </c>
      <c r="J4642">
        <v>-392.67829999999998</v>
      </c>
      <c r="K4642">
        <v>1.1122879999999999</v>
      </c>
      <c r="L4642">
        <v>141.86949999999999</v>
      </c>
      <c r="M4642">
        <v>-0.99977340000000003</v>
      </c>
      <c r="N4642">
        <v>0</v>
      </c>
      <c r="O4642">
        <v>-1.5869680000000001E-2</v>
      </c>
      <c r="P4642">
        <v>-0.99994859999999997</v>
      </c>
      <c r="Q4642">
        <v>-9.1782259999999994E-3</v>
      </c>
      <c r="R4642">
        <v>-4.3265959999999899E-3</v>
      </c>
      <c r="S4642">
        <v>-3.000092</v>
      </c>
      <c r="T4642">
        <v>-0.19440360000000001</v>
      </c>
      <c r="U4642">
        <v>-0.56462100000000004</v>
      </c>
      <c r="V4642">
        <v>1.151832E-2</v>
      </c>
      <c r="W4642">
        <v>5.0738270000000004E-3</v>
      </c>
      <c r="X4642">
        <v>0.99992080000000005</v>
      </c>
      <c r="Y4642">
        <v>-0.16902349999999999</v>
      </c>
      <c r="Z4642">
        <v>-4.4050549999999997E-3</v>
      </c>
      <c r="AA4642">
        <v>0.98560219999999998</v>
      </c>
      <c r="AB4642">
        <v>29</v>
      </c>
      <c r="AC4642">
        <v>-16.875499999999999</v>
      </c>
      <c r="AD4642">
        <v>-1.1122980018399999</v>
      </c>
      <c r="AE4642">
        <v>-3.2230999999999801</v>
      </c>
      <c r="AF4642">
        <v>-2.94252471131886</v>
      </c>
      <c r="AG4642">
        <v>-1.1122980018399999</v>
      </c>
      <c r="AH4642">
        <v>16.853886176089901</v>
      </c>
      <c r="AI4642">
        <v>93.719741986232805</v>
      </c>
      <c r="AJ4642">
        <v>99.903466277834994</v>
      </c>
      <c r="AK4642">
        <v>17.144944962239201</v>
      </c>
      <c r="AL4642">
        <v>89.709289882737295</v>
      </c>
      <c r="AM4642">
        <v>89.3400257948731</v>
      </c>
      <c r="AN4642">
        <v>1.0000000108443401</v>
      </c>
    </row>
    <row r="4643" spans="1:40" x14ac:dyDescent="0.25">
      <c r="A4643" t="str">
        <f>"20190312161104882"</f>
        <v>20190312161104882</v>
      </c>
      <c r="B4643" t="str">
        <f>"1552378264871353"</f>
        <v>1552378264871353</v>
      </c>
      <c r="C4643" t="s">
        <v>40</v>
      </c>
      <c r="D4643">
        <v>5.6239429999999997</v>
      </c>
      <c r="E4643">
        <v>0.42833100000000002</v>
      </c>
      <c r="F4643" t="s">
        <v>87</v>
      </c>
      <c r="G4643">
        <v>-409.267</v>
      </c>
      <c r="H4643" s="1">
        <v>-9.8198390000000004E-6</v>
      </c>
      <c r="I4643">
        <v>138.63849999999999</v>
      </c>
      <c r="J4643">
        <v>-392.9701</v>
      </c>
      <c r="K4643">
        <v>1.1124750000000001</v>
      </c>
      <c r="L4643">
        <v>141.8614</v>
      </c>
      <c r="M4643">
        <v>-0.99971620000000005</v>
      </c>
      <c r="N4643">
        <v>0</v>
      </c>
      <c r="O4643">
        <v>-1.913165E-2</v>
      </c>
      <c r="P4643">
        <v>-0.99988100000000002</v>
      </c>
      <c r="Q4643">
        <v>-1.030989E-2</v>
      </c>
      <c r="R4643">
        <v>-1.148801E-2</v>
      </c>
      <c r="S4643">
        <v>-2.9957889999999998</v>
      </c>
      <c r="T4643">
        <v>-0.20087160000000001</v>
      </c>
      <c r="U4643">
        <v>-0.58349609999999996</v>
      </c>
      <c r="V4643">
        <v>7.62335599999999E-3</v>
      </c>
      <c r="W4643">
        <v>3.9322920000000004E-3</v>
      </c>
      <c r="X4643">
        <v>0.99996320000000005</v>
      </c>
      <c r="Y4643">
        <v>-0.172033399999999</v>
      </c>
      <c r="Z4643">
        <v>-4.438656E-3</v>
      </c>
      <c r="AA4643">
        <v>0.98508110000000004</v>
      </c>
      <c r="AB4643">
        <v>29</v>
      </c>
      <c r="AC4643">
        <v>-16.296899999999901</v>
      </c>
      <c r="AD4643">
        <v>-1.112484819839</v>
      </c>
      <c r="AE4643">
        <v>-3.2229000000000001</v>
      </c>
      <c r="AF4643">
        <v>-2.89749808646688</v>
      </c>
      <c r="AG4643">
        <v>-1.112484819839</v>
      </c>
      <c r="AH4643">
        <v>16.2825626167044</v>
      </c>
      <c r="AI4643">
        <v>93.848314317151804</v>
      </c>
      <c r="AJ4643">
        <v>100.09021780755</v>
      </c>
      <c r="AK4643">
        <v>16.575734161790599</v>
      </c>
      <c r="AL4643">
        <v>89.774695681668504</v>
      </c>
      <c r="AM4643">
        <v>89.5632062631487</v>
      </c>
      <c r="AN4643">
        <v>0.99999998991565797</v>
      </c>
    </row>
    <row r="4644" spans="1:40" x14ac:dyDescent="0.25">
      <c r="A4644" t="str">
        <f>"20190312161104908"</f>
        <v>20190312161104908</v>
      </c>
      <c r="B4644" t="str">
        <f>"1552378264901609"</f>
        <v>1552378264901609</v>
      </c>
      <c r="C4644" t="s">
        <v>40</v>
      </c>
      <c r="D4644">
        <v>5.6675909999999998</v>
      </c>
      <c r="E4644">
        <v>0.44163380000000002</v>
      </c>
      <c r="F4644" t="s">
        <v>87</v>
      </c>
      <c r="G4644">
        <v>-409.1318</v>
      </c>
      <c r="H4644" s="1">
        <v>-9.7187599999999998E-6</v>
      </c>
      <c r="I4644">
        <v>138.59979999999999</v>
      </c>
      <c r="J4644">
        <v>-393.29140000000001</v>
      </c>
      <c r="K4644">
        <v>1.112662</v>
      </c>
      <c r="L4644">
        <v>141.8511</v>
      </c>
      <c r="M4644">
        <v>-0.99963480000000005</v>
      </c>
      <c r="N4644">
        <v>0</v>
      </c>
      <c r="O4644">
        <v>-2.2991029999999999E-2</v>
      </c>
      <c r="P4644">
        <v>-0.99976670000000001</v>
      </c>
      <c r="Q4644">
        <v>-1.002282E-2</v>
      </c>
      <c r="R4644">
        <v>-1.9142780000000002E-2</v>
      </c>
      <c r="S4644">
        <v>-2.9913020000000001</v>
      </c>
      <c r="T4644">
        <v>-0.20590420000000001</v>
      </c>
      <c r="U4644">
        <v>-0.60368350000000004</v>
      </c>
      <c r="V4644">
        <v>3.8248650000000002E-3</v>
      </c>
      <c r="W4644">
        <v>4.2069480000000003E-3</v>
      </c>
      <c r="X4644">
        <v>0.99998379999999998</v>
      </c>
      <c r="Y4644">
        <v>-0.1748884</v>
      </c>
      <c r="Z4644">
        <v>-4.3881160000000001E-3</v>
      </c>
      <c r="AA4644">
        <v>0.98457850000000002</v>
      </c>
      <c r="AB4644">
        <v>28</v>
      </c>
      <c r="AC4644">
        <v>-15.840399999999899</v>
      </c>
      <c r="AD4644">
        <v>-1.1126717187599999</v>
      </c>
      <c r="AE4644">
        <v>-3.2513000000000098</v>
      </c>
      <c r="AF4644">
        <v>-2.8726159792258299</v>
      </c>
      <c r="AG4644">
        <v>-1.1126717187599999</v>
      </c>
      <c r="AH4644">
        <v>15.8359937784676</v>
      </c>
      <c r="AI4644">
        <v>93.954792051853204</v>
      </c>
      <c r="AJ4644">
        <v>100.281534815093</v>
      </c>
      <c r="AK4644">
        <v>16.132844134544101</v>
      </c>
      <c r="AL4644">
        <v>89.758958915312604</v>
      </c>
      <c r="AM4644">
        <v>89.780848896755003</v>
      </c>
      <c r="AN4644">
        <v>0.99999996413309</v>
      </c>
    </row>
    <row r="4645" spans="1:40" x14ac:dyDescent="0.25">
      <c r="A4645" t="str">
        <f>"20190312161104927"</f>
        <v>20190312161104927</v>
      </c>
      <c r="B4645" t="str">
        <f>"1552378264922104"</f>
        <v>1552378264922104</v>
      </c>
      <c r="C4645" t="s">
        <v>40</v>
      </c>
      <c r="D4645">
        <v>5.6247350000000003</v>
      </c>
      <c r="E4645">
        <v>0.4427468</v>
      </c>
      <c r="F4645" t="s">
        <v>87</v>
      </c>
      <c r="G4645">
        <v>-406.42680000000001</v>
      </c>
      <c r="H4645" s="1">
        <v>-8.4580960000000003E-6</v>
      </c>
      <c r="I4645">
        <v>139.56819999999999</v>
      </c>
      <c r="J4645">
        <v>-393.54450000000003</v>
      </c>
      <c r="K4645">
        <v>1.1127940000000001</v>
      </c>
      <c r="L4645">
        <v>141.84190000000001</v>
      </c>
      <c r="M4645">
        <v>-0.99955590000000005</v>
      </c>
      <c r="N4645">
        <v>0</v>
      </c>
      <c r="O4645">
        <v>-2.6195449999999999E-2</v>
      </c>
      <c r="P4645">
        <v>-0.99960850000000001</v>
      </c>
      <c r="Q4645">
        <v>-9.8076199999999995E-3</v>
      </c>
      <c r="R4645">
        <v>-2.6213549999999999E-2</v>
      </c>
      <c r="S4645">
        <v>-2.9881899999999999</v>
      </c>
      <c r="T4645">
        <v>-0.25312279999999998</v>
      </c>
      <c r="U4645">
        <v>-0.51933289999999999</v>
      </c>
      <c r="V4645" s="1">
        <v>-4.4868270000000003E-5</v>
      </c>
      <c r="W4645">
        <v>4.4029259999999997E-3</v>
      </c>
      <c r="X4645">
        <v>0.9999903</v>
      </c>
      <c r="Y4645">
        <v>-0.14494609999999999</v>
      </c>
      <c r="Z4645">
        <v>-3.885313E-3</v>
      </c>
      <c r="AA4645">
        <v>0.98943190000000003</v>
      </c>
      <c r="AB4645">
        <v>28</v>
      </c>
      <c r="AC4645">
        <v>-12.882299999999899</v>
      </c>
      <c r="AD4645">
        <v>-1.1128024580959901</v>
      </c>
      <c r="AE4645">
        <v>-2.2737000000000198</v>
      </c>
      <c r="AF4645">
        <v>-1.92152285506455</v>
      </c>
      <c r="AG4645">
        <v>-1.1128024580959901</v>
      </c>
      <c r="AH4645">
        <v>12.8444961994421</v>
      </c>
      <c r="AI4645">
        <v>94.897315220789096</v>
      </c>
      <c r="AJ4645">
        <v>98.508290191474003</v>
      </c>
      <c r="AK4645">
        <v>13.0350167629644</v>
      </c>
      <c r="AL4645">
        <v>89.7477301060825</v>
      </c>
      <c r="AM4645">
        <v>90.002570787439893</v>
      </c>
      <c r="AN4645">
        <v>0.99999999393230599</v>
      </c>
    </row>
    <row r="4646" spans="1:40" x14ac:dyDescent="0.25">
      <c r="A4646" t="str">
        <f>"20190312161104951"</f>
        <v>20190312161104951</v>
      </c>
      <c r="B4646" t="str">
        <f>"1552378264941625"</f>
        <v>1552378264941625</v>
      </c>
      <c r="C4646" t="s">
        <v>40</v>
      </c>
      <c r="D4646">
        <v>5.5987330000000002</v>
      </c>
      <c r="E4646">
        <v>0.44349230000000001</v>
      </c>
      <c r="F4646" t="s">
        <v>87</v>
      </c>
      <c r="G4646">
        <v>-406.68430000000001</v>
      </c>
      <c r="H4646" s="1">
        <v>-8.5908010000000002E-6</v>
      </c>
      <c r="I4646">
        <v>139.5051</v>
      </c>
      <c r="J4646">
        <v>-393.83800000000002</v>
      </c>
      <c r="K4646">
        <v>1.1129100000000001</v>
      </c>
      <c r="L4646">
        <v>141.83000000000001</v>
      </c>
      <c r="M4646">
        <v>-0.99944719999999998</v>
      </c>
      <c r="N4646">
        <v>0</v>
      </c>
      <c r="O4646">
        <v>-3.0054540000000001E-2</v>
      </c>
      <c r="P4646">
        <v>-0.99936060000000004</v>
      </c>
      <c r="Q4646">
        <v>-1.069289E-2</v>
      </c>
      <c r="R4646">
        <v>-3.4120009999999999E-2</v>
      </c>
      <c r="S4646">
        <v>-2.9848020000000002</v>
      </c>
      <c r="T4646">
        <v>-0.2527797</v>
      </c>
      <c r="U4646">
        <v>-0.53082280000000004</v>
      </c>
      <c r="V4646">
        <v>-4.0896200000000004E-3</v>
      </c>
      <c r="W4646">
        <v>3.4950350000000001E-3</v>
      </c>
      <c r="X4646">
        <v>0.99998549999999997</v>
      </c>
      <c r="Y4646">
        <v>-0.14502370000000001</v>
      </c>
      <c r="Z4646">
        <v>-3.563143E-3</v>
      </c>
      <c r="AA4646">
        <v>0.98942180000000002</v>
      </c>
      <c r="AB4646">
        <v>28</v>
      </c>
      <c r="AC4646">
        <v>-12.8462999999999</v>
      </c>
      <c r="AD4646">
        <v>-1.112918590801</v>
      </c>
      <c r="AE4646">
        <v>-2.3249000000000102</v>
      </c>
      <c r="AF4646">
        <v>-1.9237404624566199</v>
      </c>
      <c r="AG4646">
        <v>-1.112918590801</v>
      </c>
      <c r="AH4646">
        <v>12.817229618193201</v>
      </c>
      <c r="AI4646">
        <v>94.907840667789401</v>
      </c>
      <c r="AJ4646">
        <v>98.535819486729295</v>
      </c>
      <c r="AK4646">
        <v>13.0084872388043</v>
      </c>
      <c r="AL4646">
        <v>89.799748831600695</v>
      </c>
      <c r="AM4646">
        <v>90.234320057106302</v>
      </c>
      <c r="AN4646">
        <v>0.99999997023582199</v>
      </c>
    </row>
    <row r="4647" spans="1:40" x14ac:dyDescent="0.25">
      <c r="A4647" t="str">
        <f>"20190312161104973"</f>
        <v>20190312161104973</v>
      </c>
      <c r="B4647" t="str">
        <f>"1552378264961145"</f>
        <v>1552378264961145</v>
      </c>
      <c r="C4647" t="s">
        <v>40</v>
      </c>
      <c r="D4647">
        <v>5.6232959999999999</v>
      </c>
      <c r="E4647">
        <v>0.44454070000000001</v>
      </c>
      <c r="F4647" t="s">
        <v>87</v>
      </c>
      <c r="G4647">
        <v>-406.5806</v>
      </c>
      <c r="H4647" s="1">
        <v>-8.5188069999999996E-6</v>
      </c>
      <c r="I4647">
        <v>139.4881</v>
      </c>
      <c r="J4647">
        <v>-394.12029999999999</v>
      </c>
      <c r="K4647">
        <v>1.112997</v>
      </c>
      <c r="L4647">
        <v>141.81739999999999</v>
      </c>
      <c r="M4647">
        <v>-0.99932480000000001</v>
      </c>
      <c r="N4647">
        <v>0</v>
      </c>
      <c r="O4647">
        <v>-3.3881359999999999E-2</v>
      </c>
      <c r="P4647">
        <v>-0.99904440000000005</v>
      </c>
      <c r="Q4647">
        <v>-1.082754E-2</v>
      </c>
      <c r="R4647">
        <v>-4.235059E-2</v>
      </c>
      <c r="S4647">
        <v>-2.9804080000000002</v>
      </c>
      <c r="T4647">
        <v>-0.26030370000000003</v>
      </c>
      <c r="U4647">
        <v>-0.54776000000000002</v>
      </c>
      <c r="V4647">
        <v>-8.4969139999999995E-3</v>
      </c>
      <c r="W4647">
        <v>3.331957E-3</v>
      </c>
      <c r="X4647">
        <v>0.99995829999999997</v>
      </c>
      <c r="Y4647">
        <v>-0.1469134</v>
      </c>
      <c r="Z4647">
        <v>-3.4237669999999999E-3</v>
      </c>
      <c r="AA4647">
        <v>0.98914340000000001</v>
      </c>
      <c r="AB4647">
        <v>28</v>
      </c>
      <c r="AC4647">
        <v>-12.4603</v>
      </c>
      <c r="AD4647">
        <v>-1.113005518807</v>
      </c>
      <c r="AE4647">
        <v>-2.3292999999999799</v>
      </c>
      <c r="AF4647">
        <v>-1.89116808045888</v>
      </c>
      <c r="AG4647">
        <v>-1.113005518807</v>
      </c>
      <c r="AH4647">
        <v>12.4361969409862</v>
      </c>
      <c r="AI4647">
        <v>95.056365698101999</v>
      </c>
      <c r="AJ4647">
        <v>98.646702912058501</v>
      </c>
      <c r="AK4647">
        <v>12.628313123629599</v>
      </c>
      <c r="AL4647">
        <v>89.809092563710806</v>
      </c>
      <c r="AM4647">
        <v>90.486845895936497</v>
      </c>
      <c r="AN4647">
        <v>0.99999995061193003</v>
      </c>
    </row>
    <row r="4648" spans="1:40" x14ac:dyDescent="0.25">
      <c r="A4648" t="str">
        <f>"20190312161105015"</f>
        <v>20190312161105015</v>
      </c>
      <c r="B4648" t="str">
        <f>"1552378265011896"</f>
        <v>1552378265011896</v>
      </c>
      <c r="C4648" t="s">
        <v>40</v>
      </c>
      <c r="D4648">
        <v>5.5145429999999998</v>
      </c>
      <c r="E4648">
        <v>0.45239960000000001</v>
      </c>
      <c r="F4648" t="s">
        <v>87</v>
      </c>
      <c r="G4648">
        <v>-406.69029999999998</v>
      </c>
      <c r="H4648" s="1">
        <v>-8.565594E-6</v>
      </c>
      <c r="I4648">
        <v>139.43879999999999</v>
      </c>
      <c r="J4648">
        <v>-394.64960000000002</v>
      </c>
      <c r="K4648">
        <v>1.1131409999999999</v>
      </c>
      <c r="L4648">
        <v>141.79050000000001</v>
      </c>
      <c r="M4648">
        <v>-0.99904479999999996</v>
      </c>
      <c r="N4648">
        <v>0</v>
      </c>
      <c r="O4648">
        <v>-4.1321400000000001E-2</v>
      </c>
      <c r="P4648">
        <v>-0.99830529999999995</v>
      </c>
      <c r="Q4648">
        <v>-9.7493370000000003E-3</v>
      </c>
      <c r="R4648">
        <v>-5.7370850000000001E-2</v>
      </c>
      <c r="S4648">
        <v>-2.976105</v>
      </c>
      <c r="T4648">
        <v>-0.26351639999999998</v>
      </c>
      <c r="U4648">
        <v>-0.56314090000000006</v>
      </c>
      <c r="V4648">
        <v>-1.609843E-2</v>
      </c>
      <c r="W4648">
        <v>4.3581030000000003E-3</v>
      </c>
      <c r="X4648">
        <v>0.99986090000000005</v>
      </c>
      <c r="Y4648">
        <v>-0.1447677</v>
      </c>
      <c r="Z4648">
        <v>-2.7249269999999998E-3</v>
      </c>
      <c r="AA4648">
        <v>0.98946190000000001</v>
      </c>
      <c r="AB4648">
        <v>28</v>
      </c>
      <c r="AC4648">
        <v>-12.0406999999999</v>
      </c>
      <c r="AD4648">
        <v>-1.113149565594</v>
      </c>
      <c r="AE4648">
        <v>-2.3517000000000201</v>
      </c>
      <c r="AF4648">
        <v>-1.8369787943884499</v>
      </c>
      <c r="AG4648">
        <v>-1.113149565594</v>
      </c>
      <c r="AH4648">
        <v>12.028571216093599</v>
      </c>
      <c r="AI4648">
        <v>95.226953597678403</v>
      </c>
      <c r="AJ4648">
        <v>98.683005122089796</v>
      </c>
      <c r="AK4648">
        <v>12.218842766279</v>
      </c>
      <c r="AL4648">
        <v>89.750298297465704</v>
      </c>
      <c r="AM4648">
        <v>90.922420714249697</v>
      </c>
      <c r="AN4648">
        <v>0.999999985929516</v>
      </c>
    </row>
    <row r="4649" spans="1:40" x14ac:dyDescent="0.25">
      <c r="A4649" t="str">
        <f>"20190312161105039"</f>
        <v>20190312161105039</v>
      </c>
      <c r="B4649" t="str">
        <f>"1552378265031418"</f>
        <v>1552378265031418</v>
      </c>
      <c r="C4649" t="s">
        <v>40</v>
      </c>
      <c r="D4649">
        <v>5.5282090000000004</v>
      </c>
      <c r="E4649">
        <v>0.45895999999999998</v>
      </c>
      <c r="F4649" t="s">
        <v>87</v>
      </c>
      <c r="G4649">
        <v>-407.54629999999997</v>
      </c>
      <c r="H4649" s="1">
        <v>-9.0928399999999998E-6</v>
      </c>
      <c r="I4649">
        <v>139.42599999999999</v>
      </c>
      <c r="J4649">
        <v>-394.94499999999999</v>
      </c>
      <c r="K4649">
        <v>1.11321</v>
      </c>
      <c r="L4649">
        <v>141.77359999999999</v>
      </c>
      <c r="M4649">
        <v>-0.99885869999999999</v>
      </c>
      <c r="N4649">
        <v>0</v>
      </c>
      <c r="O4649">
        <v>-4.5595749999999997E-2</v>
      </c>
      <c r="P4649">
        <v>-0.99784329999999999</v>
      </c>
      <c r="Q4649">
        <v>-9.4937100000000007E-3</v>
      </c>
      <c r="R4649">
        <v>-6.4950729999999998E-2</v>
      </c>
      <c r="S4649">
        <v>-2.9712830000000001</v>
      </c>
      <c r="T4649">
        <v>-0.25646079999999999</v>
      </c>
      <c r="U4649">
        <v>-0.54475399999999996</v>
      </c>
      <c r="V4649">
        <v>-1.9415689999999999E-2</v>
      </c>
      <c r="W4649">
        <v>4.5888889999999996E-3</v>
      </c>
      <c r="X4649">
        <v>0.99980100000000005</v>
      </c>
      <c r="Y4649">
        <v>-0.1349726</v>
      </c>
      <c r="Z4649">
        <v>-1.8750780000000001E-3</v>
      </c>
      <c r="AA4649">
        <v>0.99084749999999999</v>
      </c>
      <c r="AB4649">
        <v>28</v>
      </c>
      <c r="AC4649">
        <v>-12.601299999999901</v>
      </c>
      <c r="AD4649">
        <v>-1.1132190928399901</v>
      </c>
      <c r="AE4649">
        <v>-2.3475999999999702</v>
      </c>
      <c r="AF4649">
        <v>-1.7572798620065599</v>
      </c>
      <c r="AG4649">
        <v>-1.1132190928399901</v>
      </c>
      <c r="AH4649">
        <v>12.600206475277799</v>
      </c>
      <c r="AI4649">
        <v>95.000780928677202</v>
      </c>
      <c r="AJ4649">
        <v>97.939508811005993</v>
      </c>
      <c r="AK4649">
        <v>12.770767106235599</v>
      </c>
      <c r="AL4649">
        <v>89.737075113611098</v>
      </c>
      <c r="AM4649">
        <v>91.112518675760299</v>
      </c>
      <c r="AN4649">
        <v>1.00000003326071</v>
      </c>
    </row>
    <row r="4650" spans="1:40" x14ac:dyDescent="0.25">
      <c r="A4650" t="str">
        <f>"20190312161105059"</f>
        <v>20190312161105059</v>
      </c>
      <c r="B4650" t="str">
        <f>"1552378265051913"</f>
        <v>1552378265051913</v>
      </c>
      <c r="C4650" t="s">
        <v>40</v>
      </c>
      <c r="D4650">
        <v>5.4691890000000001</v>
      </c>
      <c r="E4650">
        <v>0.46001550000000002</v>
      </c>
      <c r="F4650" t="s">
        <v>87</v>
      </c>
      <c r="G4650">
        <v>-405.62299999999999</v>
      </c>
      <c r="H4650" s="1">
        <v>-8.1071179999999999E-6</v>
      </c>
      <c r="I4650">
        <v>139.92869999999999</v>
      </c>
      <c r="J4650">
        <v>-395.20740000000001</v>
      </c>
      <c r="K4650">
        <v>1.1132759999999999</v>
      </c>
      <c r="L4650">
        <v>141.75749999999999</v>
      </c>
      <c r="M4650">
        <v>-0.99867430000000001</v>
      </c>
      <c r="N4650">
        <v>0</v>
      </c>
      <c r="O4650">
        <v>-4.9469619999999999E-2</v>
      </c>
      <c r="P4650">
        <v>-0.99734460000000003</v>
      </c>
      <c r="Q4650">
        <v>-8.9445700000000006E-3</v>
      </c>
      <c r="R4650">
        <v>-7.2275300000000001E-2</v>
      </c>
      <c r="S4650">
        <v>-2.970062</v>
      </c>
      <c r="T4650">
        <v>-0.30963970000000002</v>
      </c>
      <c r="U4650">
        <v>-0.51315310000000003</v>
      </c>
      <c r="V4650">
        <v>-2.288285E-2</v>
      </c>
      <c r="W4650">
        <v>5.1105439999999999E-3</v>
      </c>
      <c r="X4650">
        <v>0.99972510000000003</v>
      </c>
      <c r="Y4650">
        <v>-0.1209166</v>
      </c>
      <c r="Z4650">
        <v>-1.1406189999999901E-3</v>
      </c>
      <c r="AA4650">
        <v>0.99266200000000004</v>
      </c>
      <c r="AB4650">
        <v>28</v>
      </c>
      <c r="AC4650">
        <v>-10.4156</v>
      </c>
      <c r="AD4650">
        <v>-1.113284107118</v>
      </c>
      <c r="AE4650">
        <v>-1.8288</v>
      </c>
      <c r="AF4650">
        <v>-1.2968792003918801</v>
      </c>
      <c r="AG4650">
        <v>-1.113284107118</v>
      </c>
      <c r="AH4650">
        <v>10.3783015133269</v>
      </c>
      <c r="AI4650">
        <v>96.075829532555503</v>
      </c>
      <c r="AJ4650">
        <v>97.122795877442201</v>
      </c>
      <c r="AK4650">
        <v>10.5181005635568</v>
      </c>
      <c r="AL4650">
        <v>89.707186125815696</v>
      </c>
      <c r="AM4650">
        <v>91.311222289434099</v>
      </c>
      <c r="AN4650">
        <v>1.00000000902705</v>
      </c>
    </row>
    <row r="4651" spans="1:40" x14ac:dyDescent="0.25">
      <c r="A4651" t="str">
        <f>"20190312161105082"</f>
        <v>20190312161105082</v>
      </c>
      <c r="B4651" t="str">
        <f>"1552378265071433"</f>
        <v>1552378265071433</v>
      </c>
      <c r="C4651" t="s">
        <v>40</v>
      </c>
      <c r="D4651">
        <v>5.8691820000000003</v>
      </c>
      <c r="E4651">
        <v>0.46001550000000002</v>
      </c>
      <c r="F4651" t="s">
        <v>87</v>
      </c>
      <c r="G4651">
        <v>-405.81130000000002</v>
      </c>
      <c r="H4651" s="1">
        <v>-8.2031469999999997E-6</v>
      </c>
      <c r="I4651">
        <v>139.87719999999999</v>
      </c>
      <c r="J4651">
        <v>-395.48320000000001</v>
      </c>
      <c r="K4651">
        <v>1.1133550000000001</v>
      </c>
      <c r="L4651">
        <v>141.73929999999999</v>
      </c>
      <c r="M4651">
        <v>-0.99845910000000004</v>
      </c>
      <c r="N4651">
        <v>0</v>
      </c>
      <c r="O4651">
        <v>-5.3638180000000001E-2</v>
      </c>
      <c r="P4651">
        <v>-0.99683140000000003</v>
      </c>
      <c r="Q4651">
        <v>-7.6269399999999996E-3</v>
      </c>
      <c r="R4651">
        <v>-7.9179009999999994E-2</v>
      </c>
      <c r="S4651">
        <v>-2.9671020000000001</v>
      </c>
      <c r="T4651">
        <v>-0.31151010000000001</v>
      </c>
      <c r="U4651">
        <v>-0.52613829999999995</v>
      </c>
      <c r="V4651">
        <v>-2.5641259999999999E-2</v>
      </c>
      <c r="W4651">
        <v>6.4060879999999999E-3</v>
      </c>
      <c r="X4651">
        <v>0.9996507</v>
      </c>
      <c r="Y4651">
        <v>-0.12117</v>
      </c>
      <c r="Z4651">
        <v>-7.297397E-4</v>
      </c>
      <c r="AA4651">
        <v>0.9926315</v>
      </c>
      <c r="AB4651">
        <v>28</v>
      </c>
      <c r="AC4651">
        <v>-10.328099999999999</v>
      </c>
      <c r="AD4651">
        <v>-1.11336320314699</v>
      </c>
      <c r="AE4651">
        <v>-1.8620999999999901</v>
      </c>
      <c r="AF4651">
        <v>-1.2908539115614699</v>
      </c>
      <c r="AG4651">
        <v>-1.11336320314699</v>
      </c>
      <c r="AH4651">
        <v>10.2972249380283</v>
      </c>
      <c r="AI4651">
        <v>96.123439478400996</v>
      </c>
      <c r="AJ4651">
        <v>97.145290597589593</v>
      </c>
      <c r="AK4651">
        <v>10.4373714539374</v>
      </c>
      <c r="AL4651">
        <v>89.632955690197207</v>
      </c>
      <c r="AM4651">
        <v>91.469327144444193</v>
      </c>
      <c r="AN4651">
        <v>1.0000000170941701</v>
      </c>
    </row>
    <row r="4652" spans="1:40" x14ac:dyDescent="0.25">
      <c r="A4652" t="str">
        <f>"20190312161105106"</f>
        <v>20190312161105106</v>
      </c>
      <c r="B4652" t="str">
        <f>"1552378265101689"</f>
        <v>1552378265101689</v>
      </c>
      <c r="C4652" t="s">
        <v>40</v>
      </c>
      <c r="D4652">
        <v>5.5830260000000003</v>
      </c>
      <c r="E4652">
        <v>0.38519170000000003</v>
      </c>
      <c r="F4652" t="s">
        <v>87</v>
      </c>
      <c r="G4652">
        <v>-406.20299999999997</v>
      </c>
      <c r="H4652" s="1">
        <v>-8.3999930000000001E-6</v>
      </c>
      <c r="I4652">
        <v>139.7628</v>
      </c>
      <c r="J4652">
        <v>-395.7747</v>
      </c>
      <c r="K4652">
        <v>1.113442</v>
      </c>
      <c r="L4652">
        <v>141.71879999999999</v>
      </c>
      <c r="M4652">
        <v>-0.99820600000000004</v>
      </c>
      <c r="N4652">
        <v>0</v>
      </c>
      <c r="O4652">
        <v>-5.8155320000000003E-2</v>
      </c>
      <c r="P4652">
        <v>-0.9962375</v>
      </c>
      <c r="Q4652">
        <v>-5.9749979999999996E-3</v>
      </c>
      <c r="R4652">
        <v>-8.6462209999999998E-2</v>
      </c>
      <c r="S4652">
        <v>-2.9637449999999999</v>
      </c>
      <c r="T4652">
        <v>-0.30781560000000002</v>
      </c>
      <c r="U4652">
        <v>-0.54646300000000003</v>
      </c>
      <c r="V4652">
        <v>-2.843793E-2</v>
      </c>
      <c r="W4652">
        <v>8.0339690000000002E-3</v>
      </c>
      <c r="X4652">
        <v>0.99956330000000004</v>
      </c>
      <c r="Y4652">
        <v>-0.12348290000000001</v>
      </c>
      <c r="Z4652">
        <v>-3.7820779999999998E-4</v>
      </c>
      <c r="AA4652">
        <v>0.99234659999999997</v>
      </c>
      <c r="AB4652">
        <v>28</v>
      </c>
      <c r="AC4652">
        <v>-10.4283</v>
      </c>
      <c r="AD4652">
        <v>-1.1134503999930001</v>
      </c>
      <c r="AE4652">
        <v>-1.95599999999998</v>
      </c>
      <c r="AF4652">
        <v>-1.3315026877510201</v>
      </c>
      <c r="AG4652">
        <v>-1.1134503999930001</v>
      </c>
      <c r="AH4652">
        <v>10.4097694859722</v>
      </c>
      <c r="AI4652">
        <v>96.056291660058903</v>
      </c>
      <c r="AJ4652">
        <v>97.2890635794773</v>
      </c>
      <c r="AK4652">
        <v>10.553481508573901</v>
      </c>
      <c r="AL4652">
        <v>89.539682543422202</v>
      </c>
      <c r="AM4652">
        <v>91.629645629472606</v>
      </c>
      <c r="AN4652">
        <v>1.00000002561373</v>
      </c>
    </row>
    <row r="4653" spans="1:40" x14ac:dyDescent="0.25">
      <c r="A4653" t="str">
        <f>"20190312161105129"</f>
        <v>20190312161105129</v>
      </c>
      <c r="B4653" t="str">
        <f>"1552378265121209"</f>
        <v>1552378265121209</v>
      </c>
      <c r="C4653" t="s">
        <v>40</v>
      </c>
      <c r="D4653">
        <v>5.2737699999999998</v>
      </c>
      <c r="E4653">
        <v>0.37178899999999998</v>
      </c>
      <c r="F4653" t="s">
        <v>87</v>
      </c>
      <c r="G4653">
        <v>-413.76150000000001</v>
      </c>
      <c r="H4653" s="1">
        <v>-8.1085149999999997E-6</v>
      </c>
      <c r="I4653">
        <v>134.50399999999999</v>
      </c>
      <c r="J4653">
        <v>-396.0779</v>
      </c>
      <c r="K4653">
        <v>1.113515</v>
      </c>
      <c r="L4653">
        <v>141.69569999999999</v>
      </c>
      <c r="M4653">
        <v>-0.99791339999999995</v>
      </c>
      <c r="N4653">
        <v>0</v>
      </c>
      <c r="O4653">
        <v>-6.2976000000000004E-2</v>
      </c>
      <c r="P4653">
        <v>-0.99557499999999999</v>
      </c>
      <c r="Q4653">
        <v>-4.8552839999999996E-3</v>
      </c>
      <c r="R4653">
        <v>-9.3845780000000004E-2</v>
      </c>
      <c r="S4653">
        <v>-2.9089659999999999</v>
      </c>
      <c r="T4653">
        <v>-0.18007590000000001</v>
      </c>
      <c r="U4653">
        <v>-1.1668240000000001</v>
      </c>
      <c r="V4653">
        <v>-3.10304E-2</v>
      </c>
      <c r="W4653">
        <v>9.1316079999999994E-3</v>
      </c>
      <c r="X4653">
        <v>0.9994767</v>
      </c>
      <c r="Y4653">
        <v>-0.31267739999999999</v>
      </c>
      <c r="Z4653">
        <v>-5.5720939999999997E-3</v>
      </c>
      <c r="AA4653">
        <v>0.94984299999999999</v>
      </c>
      <c r="AB4653">
        <v>28</v>
      </c>
      <c r="AC4653">
        <v>-17.683599999999998</v>
      </c>
      <c r="AD4653">
        <v>-1.1135231085149999</v>
      </c>
      <c r="AE4653">
        <v>-7.1916999999999902</v>
      </c>
      <c r="AF4653">
        <v>-6.0431055037301498</v>
      </c>
      <c r="AG4653">
        <v>-1.1135231085149999</v>
      </c>
      <c r="AH4653">
        <v>18.0400627863397</v>
      </c>
      <c r="AI4653">
        <v>93.349612852582595</v>
      </c>
      <c r="AJ4653">
        <v>108.51994845741299</v>
      </c>
      <c r="AK4653">
        <v>19.057883491549902</v>
      </c>
      <c r="AL4653">
        <v>89.476790115669701</v>
      </c>
      <c r="AM4653">
        <v>91.778270616361894</v>
      </c>
      <c r="AN4653">
        <v>0.99999997291585696</v>
      </c>
    </row>
    <row r="4654" spans="1:40" x14ac:dyDescent="0.25">
      <c r="A4654" t="str">
        <f>"20190312161105153"</f>
        <v>20190312161105153</v>
      </c>
      <c r="B4654" t="str">
        <f>"1552378265141705"</f>
        <v>1552378265141705</v>
      </c>
      <c r="C4654" t="s">
        <v>40</v>
      </c>
      <c r="D4654">
        <v>5.6205280000000002</v>
      </c>
      <c r="E4654">
        <v>0.36534169999999999</v>
      </c>
      <c r="F4654" t="s">
        <v>87</v>
      </c>
      <c r="G4654">
        <v>-418.07909999999998</v>
      </c>
      <c r="H4654" s="1">
        <v>-6.7373529999999998E-6</v>
      </c>
      <c r="I4654">
        <v>131.8321</v>
      </c>
      <c r="J4654">
        <v>-396.3646</v>
      </c>
      <c r="K4654">
        <v>1.113583</v>
      </c>
      <c r="L4654">
        <v>141.67250000000001</v>
      </c>
      <c r="M4654">
        <v>-0.99760930000000003</v>
      </c>
      <c r="N4654">
        <v>0</v>
      </c>
      <c r="O4654">
        <v>-6.7621619999999993E-2</v>
      </c>
      <c r="P4654">
        <v>-0.99489320000000003</v>
      </c>
      <c r="Q4654">
        <v>-4.8360809999999999E-3</v>
      </c>
      <c r="R4654">
        <v>-0.1008183</v>
      </c>
      <c r="S4654">
        <v>-2.8904719999999999</v>
      </c>
      <c r="T4654">
        <v>-0.146291899999999</v>
      </c>
      <c r="U4654">
        <v>-1.2958529999999999</v>
      </c>
      <c r="V4654">
        <v>-3.3380369999999999E-2</v>
      </c>
      <c r="W4654">
        <v>9.1296989999999998E-3</v>
      </c>
      <c r="X4654">
        <v>0.99940099999999998</v>
      </c>
      <c r="Y4654">
        <v>-0.34614650000000002</v>
      </c>
      <c r="Z4654">
        <v>-5.1033119999999996E-3</v>
      </c>
      <c r="AA4654">
        <v>0.93816659999999996</v>
      </c>
      <c r="AB4654">
        <v>28</v>
      </c>
      <c r="AC4654">
        <v>-21.714499999999902</v>
      </c>
      <c r="AD4654">
        <v>-1.1135897373529999</v>
      </c>
      <c r="AE4654">
        <v>-9.8404000000000096</v>
      </c>
      <c r="AF4654">
        <v>-8.3311747113974999</v>
      </c>
      <c r="AG4654">
        <v>-1.1135897373529999</v>
      </c>
      <c r="AH4654">
        <v>22.281661512097202</v>
      </c>
      <c r="AI4654">
        <v>92.6802073292438</v>
      </c>
      <c r="AJ4654">
        <v>110.50090882186799</v>
      </c>
      <c r="AK4654">
        <v>23.8143022974565</v>
      </c>
      <c r="AL4654">
        <v>89.4768995013997</v>
      </c>
      <c r="AM4654">
        <v>91.912989470198497</v>
      </c>
      <c r="AN4654">
        <v>0.99999997965308296</v>
      </c>
    </row>
    <row r="4655" spans="1:40" x14ac:dyDescent="0.25">
      <c r="A4655" t="str">
        <f>"20190312161105194"</f>
        <v>20190312161105194</v>
      </c>
      <c r="B4655" t="str">
        <f>"1552378265181721"</f>
        <v>1552378265181721</v>
      </c>
      <c r="C4655" t="s">
        <v>40</v>
      </c>
      <c r="D4655">
        <v>5.2515419999999997</v>
      </c>
      <c r="E4655">
        <v>0.36121429999999999</v>
      </c>
      <c r="F4655" t="s">
        <v>87</v>
      </c>
      <c r="G4655">
        <v>-420.36680000000001</v>
      </c>
      <c r="H4655" s="1">
        <v>-6.0470599999999998E-6</v>
      </c>
      <c r="I4655">
        <v>130.26079999999999</v>
      </c>
      <c r="J4655">
        <v>-396.86320000000001</v>
      </c>
      <c r="K4655">
        <v>1.1136680000000001</v>
      </c>
      <c r="L4655">
        <v>141.62870000000001</v>
      </c>
      <c r="M4655">
        <v>-0.99701240000000002</v>
      </c>
      <c r="N4655">
        <v>0</v>
      </c>
      <c r="O4655">
        <v>-7.5915689999999994E-2</v>
      </c>
      <c r="P4655">
        <v>-0.99377420000000005</v>
      </c>
      <c r="Q4655">
        <v>-3.5210200000000001E-3</v>
      </c>
      <c r="R4655">
        <v>-0.1113596</v>
      </c>
      <c r="S4655">
        <v>-2.87616</v>
      </c>
      <c r="T4655">
        <v>-0.13344</v>
      </c>
      <c r="U4655">
        <v>-1.3674470000000001</v>
      </c>
      <c r="V4655">
        <v>-3.5676329999999999E-2</v>
      </c>
      <c r="W4655">
        <v>1.042234E-2</v>
      </c>
      <c r="X4655">
        <v>0.99930909999999995</v>
      </c>
      <c r="Y4655">
        <v>-0.3593285</v>
      </c>
      <c r="Z4655">
        <v>-4.5825639999999999E-3</v>
      </c>
      <c r="AA4655">
        <v>0.93319989999999997</v>
      </c>
      <c r="AB4655">
        <v>28</v>
      </c>
      <c r="AC4655">
        <v>-23.503599999999999</v>
      </c>
      <c r="AD4655">
        <v>-1.1136740470599999</v>
      </c>
      <c r="AE4655">
        <v>-11.367900000000001</v>
      </c>
      <c r="AF4655">
        <v>-9.5332691472925202</v>
      </c>
      <c r="AG4655">
        <v>-1.1136740470599999</v>
      </c>
      <c r="AH4655">
        <v>24.254718234881899</v>
      </c>
      <c r="AI4655">
        <v>92.446954357136804</v>
      </c>
      <c r="AJ4655">
        <v>111.457210290817</v>
      </c>
      <c r="AK4655">
        <v>26.084762739410301</v>
      </c>
      <c r="AL4655">
        <v>89.402833124556594</v>
      </c>
      <c r="AM4655">
        <v>92.044648003566294</v>
      </c>
      <c r="AN4655">
        <v>1.00000005151807</v>
      </c>
    </row>
    <row r="4656" spans="1:40" x14ac:dyDescent="0.25">
      <c r="A4656" t="str">
        <f>"20190312161105215"</f>
        <v>20190312161105215</v>
      </c>
      <c r="B4656" t="str">
        <f>"1552378265211977"</f>
        <v>1552378265211977</v>
      </c>
      <c r="C4656" t="s">
        <v>40</v>
      </c>
      <c r="D4656">
        <v>5.5932969999999997</v>
      </c>
      <c r="E4656">
        <v>0.36031400000000002</v>
      </c>
      <c r="F4656" t="s">
        <v>87</v>
      </c>
      <c r="G4656">
        <v>-423.33460000000002</v>
      </c>
      <c r="H4656" s="1">
        <v>-5.7829470000000004E-6</v>
      </c>
      <c r="I4656">
        <v>128.37370000000001</v>
      </c>
      <c r="J4656">
        <v>-397.13499999999999</v>
      </c>
      <c r="K4656">
        <v>1.113723</v>
      </c>
      <c r="L4656">
        <v>141.60299999999901</v>
      </c>
      <c r="M4656">
        <v>-0.99664900000000001</v>
      </c>
      <c r="N4656">
        <v>0</v>
      </c>
      <c r="O4656">
        <v>-8.0546190000000004E-2</v>
      </c>
      <c r="P4656">
        <v>-0.99325160000000001</v>
      </c>
      <c r="Q4656">
        <v>-3.1590580000000002E-3</v>
      </c>
      <c r="R4656">
        <v>-0.11593879999999999</v>
      </c>
      <c r="S4656">
        <v>-2.8580019999999999</v>
      </c>
      <c r="T4656">
        <v>-0.1202385</v>
      </c>
      <c r="U4656">
        <v>-1.4310909999999999</v>
      </c>
      <c r="V4656">
        <v>-3.5644740000000001E-2</v>
      </c>
      <c r="W4656">
        <v>1.078424E-2</v>
      </c>
      <c r="X4656">
        <v>0.99930629999999998</v>
      </c>
      <c r="Y4656">
        <v>-0.37404710000000002</v>
      </c>
      <c r="Z4656">
        <v>-4.2450769999999999E-3</v>
      </c>
      <c r="AA4656">
        <v>0.9274</v>
      </c>
      <c r="AB4656">
        <v>28</v>
      </c>
      <c r="AC4656">
        <v>-26.1996</v>
      </c>
      <c r="AD4656">
        <v>-1.113728782947</v>
      </c>
      <c r="AE4656">
        <v>-13.229299999999901</v>
      </c>
      <c r="AF4656">
        <v>-11.059890049918099</v>
      </c>
      <c r="AG4656">
        <v>-1.113728782947</v>
      </c>
      <c r="AH4656">
        <v>27.1410540517745</v>
      </c>
      <c r="AI4656">
        <v>92.176242045197895</v>
      </c>
      <c r="AJ4656">
        <v>112.17073364527</v>
      </c>
      <c r="AK4656">
        <v>29.329138663786001</v>
      </c>
      <c r="AL4656">
        <v>89.382096563260504</v>
      </c>
      <c r="AM4656">
        <v>92.042844801126606</v>
      </c>
      <c r="AN4656">
        <v>0.99999996427086602</v>
      </c>
    </row>
    <row r="4657" spans="1:40" x14ac:dyDescent="0.25">
      <c r="A4657" t="str">
        <f>"20190312161105238"</f>
        <v>20190312161105238</v>
      </c>
      <c r="B4657" t="str">
        <f>"1552378265231497"</f>
        <v>1552378265231497</v>
      </c>
      <c r="C4657" t="s">
        <v>40</v>
      </c>
      <c r="D4657">
        <v>5.3068119999999999</v>
      </c>
      <c r="E4657">
        <v>0.36004219999999998</v>
      </c>
      <c r="F4657" t="s">
        <v>87</v>
      </c>
      <c r="G4657">
        <v>-423.23349999999999</v>
      </c>
      <c r="H4657" s="1">
        <v>-5.7451609999999996E-6</v>
      </c>
      <c r="I4657">
        <v>128.31549999999999</v>
      </c>
      <c r="J4657">
        <v>-397.41660000000002</v>
      </c>
      <c r="K4657">
        <v>1.1137709999999901</v>
      </c>
      <c r="L4657">
        <v>141.57490000000001</v>
      </c>
      <c r="M4657">
        <v>-0.99624310000000005</v>
      </c>
      <c r="N4657">
        <v>0</v>
      </c>
      <c r="O4657">
        <v>-8.5418910000000001E-2</v>
      </c>
      <c r="P4657">
        <v>-0.99264459999999999</v>
      </c>
      <c r="Q4657">
        <v>-2.5728309999999998E-3</v>
      </c>
      <c r="R4657">
        <v>-0.1210386</v>
      </c>
      <c r="S4657">
        <v>-2.8505549999999999</v>
      </c>
      <c r="T4657">
        <v>-0.12164460000000001</v>
      </c>
      <c r="U4657">
        <v>-1.4512940000000001</v>
      </c>
      <c r="V4657">
        <v>-3.5897060000000001E-2</v>
      </c>
      <c r="W4657">
        <v>1.1366899999999999E-2</v>
      </c>
      <c r="X4657">
        <v>0.99929080000000003</v>
      </c>
      <c r="Y4657">
        <v>-0.37571329999999997</v>
      </c>
      <c r="Z4657">
        <v>-4.1384539999999997E-3</v>
      </c>
      <c r="AA4657">
        <v>0.92672670000000001</v>
      </c>
      <c r="AB4657">
        <v>28</v>
      </c>
      <c r="AC4657">
        <v>-25.816899999999901</v>
      </c>
      <c r="AD4657">
        <v>-1.1137767451609999</v>
      </c>
      <c r="AE4657">
        <v>-13.259399999999999</v>
      </c>
      <c r="AF4657">
        <v>-10.9892690373539</v>
      </c>
      <c r="AG4657">
        <v>-1.1137767451609999</v>
      </c>
      <c r="AH4657">
        <v>26.815750085705599</v>
      </c>
      <c r="AI4657">
        <v>92.200931966032798</v>
      </c>
      <c r="AJ4657">
        <v>112.284137901536</v>
      </c>
      <c r="AK4657">
        <v>29.001534188253402</v>
      </c>
      <c r="AL4657">
        <v>89.348710548346702</v>
      </c>
      <c r="AM4657">
        <v>92.057325077860895</v>
      </c>
      <c r="AN4657">
        <v>0.999999954148445</v>
      </c>
    </row>
    <row r="4658" spans="1:40" x14ac:dyDescent="0.25">
      <c r="A4658" t="str">
        <f>"20190312161105260"</f>
        <v>20190312161105260</v>
      </c>
      <c r="B4658" t="str">
        <f>"1552378265251992"</f>
        <v>1552378265251992</v>
      </c>
      <c r="C4658" t="s">
        <v>40</v>
      </c>
      <c r="D4658">
        <v>5.56168</v>
      </c>
      <c r="E4658">
        <v>0.36005340000000002</v>
      </c>
      <c r="F4658" t="s">
        <v>87</v>
      </c>
      <c r="G4658">
        <v>-423.23970000000003</v>
      </c>
      <c r="H4658" s="1">
        <v>-5.718042E-6</v>
      </c>
      <c r="I4658">
        <v>128.2413</v>
      </c>
      <c r="J4658">
        <v>-397.68509999999998</v>
      </c>
      <c r="K4658">
        <v>1.113829</v>
      </c>
      <c r="L4658">
        <v>141.54679999999999</v>
      </c>
      <c r="M4658">
        <v>-0.9958264</v>
      </c>
      <c r="N4658">
        <v>0</v>
      </c>
      <c r="O4658">
        <v>-9.0148370000000005E-2</v>
      </c>
      <c r="P4658">
        <v>-0.9921702</v>
      </c>
      <c r="Q4658">
        <v>-1.318006E-3</v>
      </c>
      <c r="R4658">
        <v>-0.1248865</v>
      </c>
      <c r="S4658">
        <v>-2.8429259999999998</v>
      </c>
      <c r="T4658">
        <v>-0.122618</v>
      </c>
      <c r="U4658">
        <v>-1.4679260000000001</v>
      </c>
      <c r="V4658">
        <v>-3.5038819999999998E-2</v>
      </c>
      <c r="W4658">
        <v>1.262804E-2</v>
      </c>
      <c r="X4658">
        <v>0.99930609999999997</v>
      </c>
      <c r="Y4658">
        <v>-0.376608</v>
      </c>
      <c r="Z4658">
        <v>-4.0053040000000003E-3</v>
      </c>
      <c r="AA4658">
        <v>0.92636410000000002</v>
      </c>
      <c r="AB4658">
        <v>28</v>
      </c>
      <c r="AC4658">
        <v>-25.554600000000001</v>
      </c>
      <c r="AD4658">
        <v>-1.1138347180419901</v>
      </c>
      <c r="AE4658">
        <v>-13.305499999999901</v>
      </c>
      <c r="AF4658">
        <v>-10.9310366129399</v>
      </c>
      <c r="AG4658">
        <v>-1.1138347180419901</v>
      </c>
      <c r="AH4658">
        <v>26.610348477187699</v>
      </c>
      <c r="AI4658">
        <v>92.217260604052996</v>
      </c>
      <c r="AJ4658">
        <v>112.331947389258</v>
      </c>
      <c r="AK4658">
        <v>28.789561220864702</v>
      </c>
      <c r="AL4658">
        <v>89.276447325269999</v>
      </c>
      <c r="AM4658">
        <v>92.008147844005293</v>
      </c>
      <c r="AN4658">
        <v>0.99999993389921904</v>
      </c>
    </row>
    <row r="4659" spans="1:40" x14ac:dyDescent="0.25">
      <c r="A4659" t="str">
        <f>"20190312161105282"</f>
        <v>20190312161105282</v>
      </c>
      <c r="B4659" t="str">
        <f>"1552378265271513"</f>
        <v>1552378265271513</v>
      </c>
      <c r="C4659" t="s">
        <v>40</v>
      </c>
      <c r="D4659">
        <v>5.5803609999999999</v>
      </c>
      <c r="E4659">
        <v>0.36013909999999999</v>
      </c>
      <c r="F4659" t="s">
        <v>87</v>
      </c>
      <c r="G4659">
        <v>-423.30059999999997</v>
      </c>
      <c r="H4659" s="1">
        <v>-5.7105970000000001E-6</v>
      </c>
      <c r="I4659">
        <v>128.19649999999999</v>
      </c>
      <c r="J4659">
        <v>-397.95769999999999</v>
      </c>
      <c r="K4659">
        <v>1.1138950000000001</v>
      </c>
      <c r="L4659">
        <v>141.51679999999999</v>
      </c>
      <c r="M4659">
        <v>-0.99537149999999996</v>
      </c>
      <c r="N4659">
        <v>0</v>
      </c>
      <c r="O4659">
        <v>-9.5038159999999997E-2</v>
      </c>
      <c r="P4659">
        <v>-0.99155230000000005</v>
      </c>
      <c r="Q4659">
        <v>-6.2814350000000001E-4</v>
      </c>
      <c r="R4659">
        <v>-0.1297063</v>
      </c>
      <c r="S4659">
        <v>-2.8373409999999999</v>
      </c>
      <c r="T4659">
        <v>-0.12337529999999999</v>
      </c>
      <c r="U4659">
        <v>-1.4787600000000001</v>
      </c>
      <c r="V4659">
        <v>-3.499418E-2</v>
      </c>
      <c r="W4659">
        <v>1.3317020000000001E-2</v>
      </c>
      <c r="X4659">
        <v>0.99929880000000004</v>
      </c>
      <c r="Y4659">
        <v>-0.3755889</v>
      </c>
      <c r="Z4659">
        <v>-3.8161419999999998E-3</v>
      </c>
      <c r="AA4659">
        <v>0.92677860000000001</v>
      </c>
      <c r="AB4659">
        <v>28</v>
      </c>
      <c r="AC4659">
        <v>-25.342899999999901</v>
      </c>
      <c r="AD4659">
        <v>-1.113900710597</v>
      </c>
      <c r="AE4659">
        <v>-13.3203</v>
      </c>
      <c r="AF4659">
        <v>-10.834806903629399</v>
      </c>
      <c r="AG4659">
        <v>-1.113900710597</v>
      </c>
      <c r="AH4659">
        <v>26.4541869168566</v>
      </c>
      <c r="AI4659">
        <v>92.231417085444406</v>
      </c>
      <c r="AJ4659">
        <v>112.27247044044</v>
      </c>
      <c r="AK4659">
        <v>28.608701838146899</v>
      </c>
      <c r="AL4659">
        <v>89.236968414550603</v>
      </c>
      <c r="AM4659">
        <v>92.005606162326401</v>
      </c>
      <c r="AN4659">
        <v>1.0000000136684899</v>
      </c>
    </row>
    <row r="4660" spans="1:40" x14ac:dyDescent="0.25">
      <c r="A4660" t="str">
        <f>"20190312161105305"</f>
        <v>20190312161105305</v>
      </c>
      <c r="B4660" t="str">
        <f>"1552378265301769"</f>
        <v>1552378265301769</v>
      </c>
      <c r="C4660" t="s">
        <v>40</v>
      </c>
      <c r="D4660">
        <v>5.3038439999999998</v>
      </c>
      <c r="E4660">
        <v>0.3602051</v>
      </c>
      <c r="F4660" t="s">
        <v>87</v>
      </c>
      <c r="G4660">
        <v>-423.14929999999998</v>
      </c>
      <c r="H4660" s="1">
        <v>-5.70322599999999E-6</v>
      </c>
      <c r="I4660">
        <v>128.23949999999999</v>
      </c>
      <c r="J4660">
        <v>-398.23320000000001</v>
      </c>
      <c r="K4660">
        <v>1.11396299999999</v>
      </c>
      <c r="L4660">
        <v>141.48500000000001</v>
      </c>
      <c r="M4660">
        <v>-0.99487749999999997</v>
      </c>
      <c r="N4660">
        <v>0</v>
      </c>
      <c r="O4660">
        <v>-0.1000766</v>
      </c>
      <c r="P4660">
        <v>-0.99080089999999998</v>
      </c>
      <c r="Q4660">
        <v>-7.4797500000000001E-4</v>
      </c>
      <c r="R4660">
        <v>-0.13532720000000001</v>
      </c>
      <c r="S4660">
        <v>-2.8303530000000001</v>
      </c>
      <c r="T4660">
        <v>-0.12515009999999999</v>
      </c>
      <c r="U4660">
        <v>-1.4917450000000001</v>
      </c>
      <c r="V4660">
        <v>-3.5602740000000001E-2</v>
      </c>
      <c r="W4660">
        <v>1.3190189999999999E-2</v>
      </c>
      <c r="X4660">
        <v>0.99927900000000003</v>
      </c>
      <c r="Y4660">
        <v>-0.3751661</v>
      </c>
      <c r="Z4660">
        <v>-3.6611790000000001E-3</v>
      </c>
      <c r="AA4660">
        <v>0.92695039999999995</v>
      </c>
      <c r="AB4660">
        <v>28</v>
      </c>
      <c r="AC4660">
        <v>-24.916099999999901</v>
      </c>
      <c r="AD4660">
        <v>-1.11396870322599</v>
      </c>
      <c r="AE4660">
        <v>-13.2455</v>
      </c>
      <c r="AF4660">
        <v>-10.6685917811604</v>
      </c>
      <c r="AG4660">
        <v>-1.11396870322599</v>
      </c>
      <c r="AH4660">
        <v>26.076050238983601</v>
      </c>
      <c r="AI4660">
        <v>92.264225057055697</v>
      </c>
      <c r="AJ4660">
        <v>112.251125505074</v>
      </c>
      <c r="AK4660">
        <v>28.196102087537</v>
      </c>
      <c r="AL4660">
        <v>89.244235887344203</v>
      </c>
      <c r="AM4660">
        <v>92.040495461321896</v>
      </c>
      <c r="AN4660">
        <v>1.0000000280243699</v>
      </c>
    </row>
    <row r="4661" spans="1:40" x14ac:dyDescent="0.25">
      <c r="A4661" t="str">
        <f>"20190312161105350"</f>
        <v>20190312161105350</v>
      </c>
      <c r="B4661" t="str">
        <f>"1552378265341785"</f>
        <v>1552378265341785</v>
      </c>
      <c r="C4661" t="s">
        <v>40</v>
      </c>
      <c r="D4661">
        <v>5.5051730000000001</v>
      </c>
      <c r="E4661">
        <v>0.36040909999999998</v>
      </c>
      <c r="F4661" t="s">
        <v>87</v>
      </c>
      <c r="G4661">
        <v>-422.62090000000001</v>
      </c>
      <c r="H4661" s="1">
        <v>-5.7050420000000003E-6</v>
      </c>
      <c r="I4661">
        <v>128.4624</v>
      </c>
      <c r="J4661">
        <v>-398.7833</v>
      </c>
      <c r="K4661">
        <v>1.114085</v>
      </c>
      <c r="L4661">
        <v>141.41669999999999</v>
      </c>
      <c r="M4661">
        <v>-0.99378169999999999</v>
      </c>
      <c r="N4661">
        <v>0</v>
      </c>
      <c r="O4661">
        <v>-0.11042730000000001</v>
      </c>
      <c r="P4661">
        <v>-0.98942859999999999</v>
      </c>
      <c r="Q4661">
        <v>-7.5297899999999997E-4</v>
      </c>
      <c r="R4661">
        <v>-0.14502019999999999</v>
      </c>
      <c r="S4661">
        <v>-2.82193</v>
      </c>
      <c r="T4661">
        <v>-0.12889890000000001</v>
      </c>
      <c r="U4661">
        <v>-1.506866</v>
      </c>
      <c r="V4661">
        <v>-3.4987579999999997E-2</v>
      </c>
      <c r="W4661">
        <v>1.318924E-2</v>
      </c>
      <c r="X4661">
        <v>0.99930070000000004</v>
      </c>
      <c r="Y4661">
        <v>-0.37052620000000003</v>
      </c>
      <c r="Z4661">
        <v>-3.241804E-3</v>
      </c>
      <c r="AA4661">
        <v>0.92881630000000004</v>
      </c>
      <c r="AB4661">
        <v>28</v>
      </c>
      <c r="AC4661">
        <v>-23.837599999999998</v>
      </c>
      <c r="AD4661">
        <v>-1.1140907050419999</v>
      </c>
      <c r="AE4661">
        <v>-12.9542999999999</v>
      </c>
      <c r="AF4661">
        <v>-10.225225073679001</v>
      </c>
      <c r="AG4661">
        <v>-1.1140907050419999</v>
      </c>
      <c r="AH4661">
        <v>25.080145599259701</v>
      </c>
      <c r="AI4661">
        <v>92.355472054222105</v>
      </c>
      <c r="AJ4661">
        <v>112.180819604799</v>
      </c>
      <c r="AK4661">
        <v>27.107381452042201</v>
      </c>
      <c r="AL4661">
        <v>89.2442902927543</v>
      </c>
      <c r="AM4661">
        <v>92.005224398750101</v>
      </c>
      <c r="AN4661">
        <v>0.99999998791326195</v>
      </c>
    </row>
    <row r="4662" spans="1:40" x14ac:dyDescent="0.25">
      <c r="A4662" t="str">
        <f>"20190312161105373"</f>
        <v>20190312161105373</v>
      </c>
      <c r="B4662" t="str">
        <f>"1552378265361306"</f>
        <v>1552378265361306</v>
      </c>
      <c r="C4662" t="s">
        <v>40</v>
      </c>
      <c r="D4662">
        <v>5.5047839999999999</v>
      </c>
      <c r="E4662">
        <v>0.3605312</v>
      </c>
      <c r="F4662" t="s">
        <v>87</v>
      </c>
      <c r="G4662">
        <v>-422.75400000000002</v>
      </c>
      <c r="H4662" s="1">
        <v>-5.6748619999999999E-6</v>
      </c>
      <c r="I4662">
        <v>128.32769999999999</v>
      </c>
      <c r="J4662">
        <v>-399.06400000000002</v>
      </c>
      <c r="K4662">
        <v>1.1141399999999999</v>
      </c>
      <c r="L4662">
        <v>141.37950000000001</v>
      </c>
      <c r="M4662">
        <v>-0.99316479999999996</v>
      </c>
      <c r="N4662">
        <v>0</v>
      </c>
      <c r="O4662">
        <v>-0.1158435</v>
      </c>
      <c r="P4662">
        <v>-0.98877479999999995</v>
      </c>
      <c r="Q4662">
        <v>-2.2049710000000001E-4</v>
      </c>
      <c r="R4662">
        <v>-0.14941389999999999</v>
      </c>
      <c r="S4662">
        <v>-2.8072810000000001</v>
      </c>
      <c r="T4662">
        <v>-0.13047439999999999</v>
      </c>
      <c r="U4662">
        <v>-1.5328980000000001</v>
      </c>
      <c r="V4662">
        <v>-3.3985229999999998E-2</v>
      </c>
      <c r="W4662">
        <v>1.3730869999999999E-2</v>
      </c>
      <c r="X4662">
        <v>0.99932799999999999</v>
      </c>
      <c r="Y4662">
        <v>-0.37412770000000001</v>
      </c>
      <c r="Z4662">
        <v>-3.1377359999999999E-3</v>
      </c>
      <c r="AA4662">
        <v>0.92737190000000003</v>
      </c>
      <c r="AB4662">
        <v>28</v>
      </c>
      <c r="AC4662">
        <v>-23.69</v>
      </c>
      <c r="AD4662">
        <v>-1.114145674862</v>
      </c>
      <c r="AE4662">
        <v>-13.0518</v>
      </c>
      <c r="AF4662">
        <v>-10.2019873234066</v>
      </c>
      <c r="AG4662">
        <v>-1.114145674862</v>
      </c>
      <c r="AH4662">
        <v>25.000174024930601</v>
      </c>
      <c r="AI4662">
        <v>92.362805510444204</v>
      </c>
      <c r="AJ4662">
        <v>112.19922452822701</v>
      </c>
      <c r="AK4662">
        <v>27.024628900478501</v>
      </c>
      <c r="AL4662">
        <v>89.213254370684595</v>
      </c>
      <c r="AM4662">
        <v>91.947768984196003</v>
      </c>
      <c r="AN4662">
        <v>0.99999999211655399</v>
      </c>
    </row>
    <row r="4663" spans="1:40" x14ac:dyDescent="0.25">
      <c r="A4663" t="str">
        <f>"20190312161105396"</f>
        <v>20190312161105396</v>
      </c>
      <c r="B4663" t="str">
        <f>"1552378265391562"</f>
        <v>1552378265391562</v>
      </c>
      <c r="C4663" t="s">
        <v>40</v>
      </c>
      <c r="D4663">
        <v>5.4588809999999999</v>
      </c>
      <c r="E4663">
        <v>0.36108889999999999</v>
      </c>
      <c r="F4663" t="s">
        <v>87</v>
      </c>
      <c r="G4663">
        <v>-422.96469999999999</v>
      </c>
      <c r="H4663" s="1">
        <v>-5.6590179999999996E-6</v>
      </c>
      <c r="I4663">
        <v>128.19890000000001</v>
      </c>
      <c r="J4663">
        <v>-399.34109999999998</v>
      </c>
      <c r="K4663">
        <v>1.114196</v>
      </c>
      <c r="L4663">
        <v>141.34119999999999</v>
      </c>
      <c r="M4663">
        <v>-0.9925138</v>
      </c>
      <c r="N4663">
        <v>0</v>
      </c>
      <c r="O4663">
        <v>-0.121293899999999</v>
      </c>
      <c r="P4663">
        <v>-0.98803039999999998</v>
      </c>
      <c r="Q4663">
        <v>1.3244989999999999E-4</v>
      </c>
      <c r="R4663">
        <v>-0.1542596</v>
      </c>
      <c r="S4663">
        <v>-2.800659</v>
      </c>
      <c r="T4663">
        <v>-0.13055419999999901</v>
      </c>
      <c r="U4663">
        <v>-1.544495</v>
      </c>
      <c r="V4663">
        <v>-3.3403699999999897E-2</v>
      </c>
      <c r="W4663">
        <v>1.408942E-2</v>
      </c>
      <c r="X4663">
        <v>0.99934259999999997</v>
      </c>
      <c r="Y4663">
        <v>-0.37291340000000001</v>
      </c>
      <c r="Z4663">
        <v>-2.884789E-3</v>
      </c>
      <c r="AA4663">
        <v>0.92786170000000001</v>
      </c>
      <c r="AB4663">
        <v>28</v>
      </c>
      <c r="AC4663">
        <v>-23.6236</v>
      </c>
      <c r="AD4663">
        <v>-1.1142016590179999</v>
      </c>
      <c r="AE4663">
        <v>-13.142299999999899</v>
      </c>
      <c r="AF4663">
        <v>-10.162291346081201</v>
      </c>
      <c r="AG4663">
        <v>-1.1142016590179999</v>
      </c>
      <c r="AH4663">
        <v>25.000915635849601</v>
      </c>
      <c r="AI4663">
        <v>92.364173537638393</v>
      </c>
      <c r="AJ4663">
        <v>112.120599672297</v>
      </c>
      <c r="AK4663">
        <v>27.010357149998299</v>
      </c>
      <c r="AL4663">
        <v>89.192708967513099</v>
      </c>
      <c r="AM4663">
        <v>91.9144372773263</v>
      </c>
      <c r="AN4663">
        <v>0.999999975552192</v>
      </c>
    </row>
    <row r="4664" spans="1:40" x14ac:dyDescent="0.25">
      <c r="A4664" t="str">
        <f>"20190312161105441"</f>
        <v>20190312161105441</v>
      </c>
      <c r="B4664" t="str">
        <f>"1552378265431577"</f>
        <v>1552378265431577</v>
      </c>
      <c r="C4664" t="s">
        <v>40</v>
      </c>
      <c r="D4664">
        <v>5.9383520000000001</v>
      </c>
      <c r="E4664">
        <v>0.36149730000000002</v>
      </c>
      <c r="F4664" t="s">
        <v>87</v>
      </c>
      <c r="G4664">
        <v>-422.52330000000001</v>
      </c>
      <c r="H4664" s="1">
        <v>-5.6847489999999998E-6</v>
      </c>
      <c r="I4664">
        <v>128.44899999999899</v>
      </c>
      <c r="J4664">
        <v>-399.8725</v>
      </c>
      <c r="K4664">
        <v>1.114387</v>
      </c>
      <c r="L4664">
        <v>141.26300000000001</v>
      </c>
      <c r="M4664">
        <v>-0.99112639999999996</v>
      </c>
      <c r="N4664">
        <v>0</v>
      </c>
      <c r="O4664">
        <v>-0.1321514</v>
      </c>
      <c r="P4664">
        <v>-0.9862841</v>
      </c>
      <c r="Q4664">
        <v>-4.1673889999999998E-4</v>
      </c>
      <c r="R4664">
        <v>-0.16505539999999999</v>
      </c>
      <c r="S4664">
        <v>-2.7937620000000001</v>
      </c>
      <c r="T4664">
        <v>-0.13427620000000001</v>
      </c>
      <c r="U4664">
        <v>-1.5536799999999999</v>
      </c>
      <c r="V4664">
        <v>-3.3392999999999999E-2</v>
      </c>
      <c r="W4664">
        <v>1.353968E-2</v>
      </c>
      <c r="X4664">
        <v>0.99935059999999998</v>
      </c>
      <c r="Y4664">
        <v>-0.36605140000000003</v>
      </c>
      <c r="Z4664">
        <v>-2.3419249999999999E-3</v>
      </c>
      <c r="AA4664">
        <v>0.93059170000000002</v>
      </c>
      <c r="AB4664">
        <v>28</v>
      </c>
      <c r="AC4664">
        <v>-22.6508</v>
      </c>
      <c r="AD4664">
        <v>-1.114392684749</v>
      </c>
      <c r="AE4664">
        <v>-12.814</v>
      </c>
      <c r="AF4664">
        <v>-9.6901826226842598</v>
      </c>
      <c r="AG4664">
        <v>-1.114392684749</v>
      </c>
      <c r="AH4664">
        <v>24.1014682161364</v>
      </c>
      <c r="AI4664">
        <v>92.456481163022104</v>
      </c>
      <c r="AJ4664">
        <v>111.902976684343</v>
      </c>
      <c r="AK4664">
        <v>26.000428467435501</v>
      </c>
      <c r="AL4664">
        <v>89.224209789847507</v>
      </c>
      <c r="AM4664">
        <v>91.913809184468604</v>
      </c>
      <c r="AN4664">
        <v>1.00000001855193</v>
      </c>
    </row>
    <row r="4665" spans="1:40" x14ac:dyDescent="0.25">
      <c r="A4665" t="str">
        <f>"20190312161105462"</f>
        <v>20190312161105462</v>
      </c>
      <c r="B4665" t="str">
        <f>"1552378265452074"</f>
        <v>1552378265452074</v>
      </c>
      <c r="C4665" t="s">
        <v>40</v>
      </c>
      <c r="D4665">
        <v>5.4170829999999999</v>
      </c>
      <c r="E4665">
        <v>0.3616664</v>
      </c>
      <c r="F4665" t="s">
        <v>87</v>
      </c>
      <c r="G4665">
        <v>-422.6266</v>
      </c>
      <c r="H4665" s="1">
        <v>-5.6464639999999999E-6</v>
      </c>
      <c r="I4665">
        <v>128.30520000000001</v>
      </c>
      <c r="J4665">
        <v>-400.13459999999998</v>
      </c>
      <c r="K4665">
        <v>1.114501</v>
      </c>
      <c r="L4665">
        <v>141.22190000000001</v>
      </c>
      <c r="M4665">
        <v>-0.99036539999999995</v>
      </c>
      <c r="N4665">
        <v>0</v>
      </c>
      <c r="O4665">
        <v>-0.13773850000000001</v>
      </c>
      <c r="P4665">
        <v>-0.98533769999999998</v>
      </c>
      <c r="Q4665">
        <v>7.3264909999999996E-4</v>
      </c>
      <c r="R4665">
        <v>-0.17061560000000001</v>
      </c>
      <c r="S4665">
        <v>-2.7770079999999999</v>
      </c>
      <c r="T4665">
        <v>-0.1360054</v>
      </c>
      <c r="U4665">
        <v>-1.581421</v>
      </c>
      <c r="V4665">
        <v>-3.3409609999999999E-2</v>
      </c>
      <c r="W4665">
        <v>1.4689219999999999E-2</v>
      </c>
      <c r="X4665">
        <v>0.99933380000000005</v>
      </c>
      <c r="Y4665">
        <v>-0.37022670000000002</v>
      </c>
      <c r="Z4665">
        <v>-2.2270100000000002E-3</v>
      </c>
      <c r="AA4665">
        <v>0.92893870000000001</v>
      </c>
      <c r="AB4665">
        <v>28</v>
      </c>
      <c r="AC4665">
        <v>-22.492000000000001</v>
      </c>
      <c r="AD4665">
        <v>-1.1145066464640001</v>
      </c>
      <c r="AE4665">
        <v>-12.916699999999899</v>
      </c>
      <c r="AF4665">
        <v>-9.6773615151660604</v>
      </c>
      <c r="AG4665">
        <v>-1.1145066464640001</v>
      </c>
      <c r="AH4665">
        <v>24.0125486009341</v>
      </c>
      <c r="AI4665">
        <v>92.465003738087702</v>
      </c>
      <c r="AJ4665">
        <v>111.95005966573</v>
      </c>
      <c r="AK4665">
        <v>25.9132387260345</v>
      </c>
      <c r="AL4665">
        <v>89.158339427862401</v>
      </c>
      <c r="AM4665">
        <v>91.914792588622205</v>
      </c>
      <c r="AN4665">
        <v>1.0000000095235</v>
      </c>
    </row>
    <row r="4666" spans="1:40" x14ac:dyDescent="0.25">
      <c r="A4666" t="str">
        <f>"20190312161105486"</f>
        <v>20190312161105486</v>
      </c>
      <c r="B4666" t="str">
        <f>"1552378265481355"</f>
        <v>1552378265481355</v>
      </c>
      <c r="C4666" t="s">
        <v>40</v>
      </c>
      <c r="D4666">
        <v>5.3141350000000003</v>
      </c>
      <c r="E4666">
        <v>0.34005970000000002</v>
      </c>
      <c r="F4666" t="s">
        <v>87</v>
      </c>
      <c r="G4666">
        <v>-423.45400000000001</v>
      </c>
      <c r="H4666" s="1">
        <v>-5.5639079999999996E-6</v>
      </c>
      <c r="I4666">
        <v>127.7771</v>
      </c>
      <c r="J4666">
        <v>-400.40249999999997</v>
      </c>
      <c r="K4666">
        <v>1.1146309999999999</v>
      </c>
      <c r="L4666">
        <v>141.1782</v>
      </c>
      <c r="M4666">
        <v>-0.98952790000000002</v>
      </c>
      <c r="N4666">
        <v>0</v>
      </c>
      <c r="O4666">
        <v>-0.14363099999999901</v>
      </c>
      <c r="P4666">
        <v>-0.98417399999999999</v>
      </c>
      <c r="Q4666">
        <v>5.9342569999999999E-4</v>
      </c>
      <c r="R4666">
        <v>-0.177205</v>
      </c>
      <c r="S4666">
        <v>-2.7683409999999999</v>
      </c>
      <c r="T4666">
        <v>-0.13230739999999999</v>
      </c>
      <c r="U4666">
        <v>-1.596085</v>
      </c>
      <c r="V4666">
        <v>-3.4151609999999999E-2</v>
      </c>
      <c r="W4666">
        <v>1.4542370000000001E-2</v>
      </c>
      <c r="X4666">
        <v>0.9993109</v>
      </c>
      <c r="Y4666">
        <v>-0.36966500000000002</v>
      </c>
      <c r="Z4666">
        <v>-1.9032649999999999E-3</v>
      </c>
      <c r="AA4666">
        <v>0.92916319999999997</v>
      </c>
      <c r="AB4666">
        <v>27</v>
      </c>
      <c r="AC4666">
        <v>-23.051500000000001</v>
      </c>
      <c r="AD4666">
        <v>-1.114636563908</v>
      </c>
      <c r="AE4666">
        <v>-13.4011</v>
      </c>
      <c r="AF4666">
        <v>-9.9335117706551497</v>
      </c>
      <c r="AG4666">
        <v>-1.114636563908</v>
      </c>
      <c r="AH4666">
        <v>24.694293800219501</v>
      </c>
      <c r="AI4666">
        <v>92.397936015303102</v>
      </c>
      <c r="AJ4666">
        <v>111.912920741479</v>
      </c>
      <c r="AK4666">
        <v>26.6406684799557</v>
      </c>
      <c r="AL4666">
        <v>89.166754240515303</v>
      </c>
      <c r="AM4666">
        <v>91.957330659314906</v>
      </c>
      <c r="AN4666">
        <v>1.0000000439248</v>
      </c>
    </row>
    <row r="4667" spans="1:40" x14ac:dyDescent="0.25">
      <c r="A4667" t="str">
        <f>"20190312161105506"</f>
        <v>20190312161105506</v>
      </c>
      <c r="B4667" t="str">
        <f>"1552378265501850"</f>
        <v>1552378265501850</v>
      </c>
      <c r="C4667" t="s">
        <v>40</v>
      </c>
      <c r="D4667">
        <v>5.3206509999999998</v>
      </c>
      <c r="E4667">
        <v>0.3338103</v>
      </c>
      <c r="F4667" t="s">
        <v>42</v>
      </c>
      <c r="G4667">
        <v>-401.30840000000001</v>
      </c>
      <c r="H4667">
        <v>1.0727549999999999</v>
      </c>
      <c r="I4667">
        <v>140.5855</v>
      </c>
      <c r="J4667">
        <v>-400.6694</v>
      </c>
      <c r="K4667">
        <v>1.114752</v>
      </c>
      <c r="L4667">
        <v>141.1327</v>
      </c>
      <c r="M4667">
        <v>-0.98862559999999999</v>
      </c>
      <c r="N4667">
        <v>0</v>
      </c>
      <c r="O4667">
        <v>-0.14971319999999999</v>
      </c>
      <c r="P4667">
        <v>-0.98307049999999996</v>
      </c>
      <c r="Q4667">
        <v>-4.487149E-4</v>
      </c>
      <c r="R4667">
        <v>-0.18322620000000001</v>
      </c>
      <c r="S4667">
        <v>-2.72702</v>
      </c>
      <c r="T4667">
        <v>-0.1260492</v>
      </c>
      <c r="U4667">
        <v>-1.7843169999999999</v>
      </c>
      <c r="V4667">
        <v>-3.4117799999999997E-2</v>
      </c>
      <c r="W4667">
        <v>1.350201E-2</v>
      </c>
      <c r="X4667">
        <v>0.99932659999999995</v>
      </c>
      <c r="Y4667">
        <v>-0.41586260000000003</v>
      </c>
      <c r="Z4667">
        <v>-2.5368550000000002E-3</v>
      </c>
      <c r="AA4667">
        <v>0.90942389999999995</v>
      </c>
      <c r="AB4667">
        <v>27</v>
      </c>
      <c r="AC4667">
        <v>-0.63900000000001</v>
      </c>
      <c r="AD4667">
        <v>-4.1997E-2</v>
      </c>
      <c r="AE4667">
        <v>-0.54720000000000302</v>
      </c>
      <c r="AF4667">
        <v>-0.444247840130779</v>
      </c>
      <c r="AG4667">
        <v>-4.1997E-2</v>
      </c>
      <c r="AH4667">
        <v>0.71195389099776296</v>
      </c>
      <c r="AI4667">
        <v>92.864970056090996</v>
      </c>
      <c r="AJ4667">
        <v>121.963503606768</v>
      </c>
      <c r="AK4667">
        <v>0.84023701083486901</v>
      </c>
      <c r="AL4667">
        <v>89.226368297825502</v>
      </c>
      <c r="AM4667">
        <v>91.955363715838601</v>
      </c>
      <c r="AN4667">
        <v>0.99999999100921999</v>
      </c>
    </row>
    <row r="4668" spans="1:40" x14ac:dyDescent="0.25">
      <c r="A4668" t="str">
        <f>"20190312161105532"</f>
        <v>20190312161105532</v>
      </c>
      <c r="B4668" t="str">
        <f>"1552378265521370"</f>
        <v>1552378265521370</v>
      </c>
      <c r="C4668" t="s">
        <v>40</v>
      </c>
      <c r="D4668">
        <v>5.2991929999999998</v>
      </c>
      <c r="E4668">
        <v>0.33332440000000002</v>
      </c>
      <c r="F4668" t="s">
        <v>87</v>
      </c>
      <c r="G4668">
        <v>-429.2894</v>
      </c>
      <c r="H4668" s="1">
        <v>-3.5791780000000002E-6</v>
      </c>
      <c r="I4668">
        <v>121.5665</v>
      </c>
      <c r="J4668">
        <v>-400.96769999999998</v>
      </c>
      <c r="K4668">
        <v>1.1148819999999999</v>
      </c>
      <c r="L4668">
        <v>141.0795</v>
      </c>
      <c r="M4668">
        <v>-0.98753880000000005</v>
      </c>
      <c r="N4668">
        <v>0</v>
      </c>
      <c r="O4668">
        <v>-0.15672030000000001</v>
      </c>
      <c r="P4668">
        <v>-0.98184070000000001</v>
      </c>
      <c r="Q4668">
        <v>-1.242478E-3</v>
      </c>
      <c r="R4668">
        <v>-0.1897036</v>
      </c>
      <c r="S4668">
        <v>-2.7067260000000002</v>
      </c>
      <c r="T4668">
        <v>-0.10542749999999999</v>
      </c>
      <c r="U4668">
        <v>-1.8504640000000001</v>
      </c>
      <c r="V4668">
        <v>-3.3614480000000002E-2</v>
      </c>
      <c r="W4668">
        <v>1.271721E-2</v>
      </c>
      <c r="X4668">
        <v>0.99935390000000002</v>
      </c>
      <c r="Y4668">
        <v>-0.42786930000000001</v>
      </c>
      <c r="Z4668">
        <v>-2.096798E-3</v>
      </c>
      <c r="AA4668">
        <v>0.90383820000000004</v>
      </c>
      <c r="AB4668">
        <v>27</v>
      </c>
      <c r="AC4668">
        <v>-28.3217</v>
      </c>
      <c r="AD4668">
        <v>-1.1148855791779999</v>
      </c>
      <c r="AE4668">
        <v>-19.512999999999899</v>
      </c>
      <c r="AF4668">
        <v>-14.817216166501501</v>
      </c>
      <c r="AG4668">
        <v>-1.1148855791779999</v>
      </c>
      <c r="AH4668">
        <v>30.997482770761</v>
      </c>
      <c r="AI4668">
        <v>91.858604972618096</v>
      </c>
      <c r="AJ4668">
        <v>115.54843063924901</v>
      </c>
      <c r="AK4668">
        <v>34.374944405818603</v>
      </c>
      <c r="AL4668">
        <v>89.2713378537441</v>
      </c>
      <c r="AM4668">
        <v>91.926486686926594</v>
      </c>
      <c r="AN4668">
        <v>0.99999993907052998</v>
      </c>
    </row>
    <row r="4669" spans="1:40" x14ac:dyDescent="0.25">
      <c r="A4669" t="str">
        <f>"20190312161105556"</f>
        <v>20190312161105556</v>
      </c>
      <c r="B4669" t="str">
        <f>"1552378265551627"</f>
        <v>1552378265551627</v>
      </c>
      <c r="C4669" t="s">
        <v>40</v>
      </c>
      <c r="D4669">
        <v>5.2913680000000003</v>
      </c>
      <c r="E4669">
        <v>0.33404909999999999</v>
      </c>
      <c r="F4669" t="s">
        <v>87</v>
      </c>
      <c r="G4669">
        <v>-429.95780000000002</v>
      </c>
      <c r="H4669">
        <v>4.2062519999999999E-2</v>
      </c>
      <c r="I4669">
        <v>120.9259</v>
      </c>
      <c r="J4669">
        <v>-401.25200000000001</v>
      </c>
      <c r="K4669">
        <v>1.115</v>
      </c>
      <c r="L4669">
        <v>141.02670000000001</v>
      </c>
      <c r="M4669">
        <v>-0.98642269999999999</v>
      </c>
      <c r="N4669">
        <v>0</v>
      </c>
      <c r="O4669">
        <v>-0.16359749999999901</v>
      </c>
      <c r="P4669">
        <v>-0.98053509999999999</v>
      </c>
      <c r="Q4669">
        <v>-4.4722199999999999E-4</v>
      </c>
      <c r="R4669">
        <v>-0.19634270000000001</v>
      </c>
      <c r="S4669">
        <v>-2.6935419999999999</v>
      </c>
      <c r="T4669">
        <v>-9.9678639999999999E-2</v>
      </c>
      <c r="U4669">
        <v>-1.872528</v>
      </c>
      <c r="V4669">
        <v>-3.3426360000000002E-2</v>
      </c>
      <c r="W4669">
        <v>1.351775E-2</v>
      </c>
      <c r="X4669">
        <v>0.99934979999999995</v>
      </c>
      <c r="Y4669">
        <v>-0.42865710000000001</v>
      </c>
      <c r="Z4669">
        <v>-1.778661E-3</v>
      </c>
      <c r="AA4669">
        <v>0.90346550000000003</v>
      </c>
      <c r="AB4669">
        <v>27</v>
      </c>
      <c r="AC4669">
        <v>-28.7058</v>
      </c>
      <c r="AD4669">
        <v>-1.07293748</v>
      </c>
      <c r="AE4669">
        <v>-20.1008</v>
      </c>
      <c r="AF4669">
        <v>-15.1190752647361</v>
      </c>
      <c r="AG4669">
        <v>-1.07293748</v>
      </c>
      <c r="AH4669">
        <v>31.578149425106002</v>
      </c>
      <c r="AI4669">
        <v>91.7553243129192</v>
      </c>
      <c r="AJ4669">
        <v>115.584298502249</v>
      </c>
      <c r="AK4669">
        <v>35.027377190007698</v>
      </c>
      <c r="AL4669">
        <v>89.225466415508905</v>
      </c>
      <c r="AM4669">
        <v>91.915721210885906</v>
      </c>
      <c r="AN4669">
        <v>1.0000000369339701</v>
      </c>
    </row>
    <row r="4670" spans="1:40" x14ac:dyDescent="0.25">
      <c r="A4670" t="str">
        <f>"20190312161105596"</f>
        <v>20190312161105596</v>
      </c>
      <c r="B4670" t="str">
        <f>"1552378265591642"</f>
        <v>1552378265591642</v>
      </c>
      <c r="C4670" t="s">
        <v>40</v>
      </c>
      <c r="D4670">
        <v>5.2749119999999996</v>
      </c>
      <c r="E4670">
        <v>0.33503460000000002</v>
      </c>
      <c r="F4670" t="s">
        <v>87</v>
      </c>
      <c r="G4670">
        <v>-431.03390000000002</v>
      </c>
      <c r="H4670">
        <v>7.9989729999999995E-2</v>
      </c>
      <c r="I4670">
        <v>120.0903</v>
      </c>
      <c r="J4670">
        <v>-401.72289999999998</v>
      </c>
      <c r="K4670">
        <v>1.1152059999999999</v>
      </c>
      <c r="L4670">
        <v>140.9342</v>
      </c>
      <c r="M4670">
        <v>-0.98437889999999995</v>
      </c>
      <c r="N4670">
        <v>0</v>
      </c>
      <c r="O4670">
        <v>-0.17547470000000001</v>
      </c>
      <c r="P4670">
        <v>-0.97798879999999999</v>
      </c>
      <c r="Q4670" s="1">
        <v>-8.2679089999999897E-5</v>
      </c>
      <c r="R4670">
        <v>-0.20865819999999999</v>
      </c>
      <c r="S4670">
        <v>-2.6819760000000001</v>
      </c>
      <c r="T4670">
        <v>-9.3206999999999998E-2</v>
      </c>
      <c r="U4670">
        <v>-1.8854059999999999</v>
      </c>
      <c r="V4670">
        <v>-3.3959900000000001E-2</v>
      </c>
      <c r="W4670">
        <v>1.388202E-2</v>
      </c>
      <c r="X4670">
        <v>0.99932679999999996</v>
      </c>
      <c r="Y4670">
        <v>-0.42251379999999999</v>
      </c>
      <c r="Z4670">
        <v>-1.2138190000000001E-3</v>
      </c>
      <c r="AA4670">
        <v>0.90635569999999999</v>
      </c>
      <c r="AB4670">
        <v>27</v>
      </c>
      <c r="AC4670">
        <v>-29.311</v>
      </c>
      <c r="AD4670">
        <v>-1.0352162699999901</v>
      </c>
      <c r="AE4670">
        <v>-20.843900000000001</v>
      </c>
      <c r="AF4670">
        <v>-15.363818516941899</v>
      </c>
      <c r="AG4670">
        <v>-1.0352162699999901</v>
      </c>
      <c r="AH4670">
        <v>32.487155674953797</v>
      </c>
      <c r="AI4670">
        <v>91.650033594820002</v>
      </c>
      <c r="AJ4670">
        <v>115.310393172738</v>
      </c>
      <c r="AK4670">
        <v>35.9518271579607</v>
      </c>
      <c r="AL4670">
        <v>89.204593309594301</v>
      </c>
      <c r="AM4670">
        <v>91.946320717970806</v>
      </c>
      <c r="AN4670">
        <v>1.0000000192427601</v>
      </c>
    </row>
    <row r="4671" spans="1:40" x14ac:dyDescent="0.25">
      <c r="A4671" t="str">
        <f>"20190312161105620"</f>
        <v>20190312161105620</v>
      </c>
      <c r="B4671" t="str">
        <f>"1552378265611162"</f>
        <v>1552378265611162</v>
      </c>
      <c r="C4671" t="s">
        <v>40</v>
      </c>
      <c r="D4671">
        <v>5.313739</v>
      </c>
      <c r="E4671">
        <v>0.33552569999999998</v>
      </c>
      <c r="F4671" t="s">
        <v>41</v>
      </c>
      <c r="G4671">
        <v>-431.54160000000002</v>
      </c>
      <c r="H4671">
        <v>7.998545E-2</v>
      </c>
      <c r="I4671">
        <v>119.50539999999999</v>
      </c>
      <c r="J4671">
        <v>-402.01170000000002</v>
      </c>
      <c r="K4671">
        <v>1.115332</v>
      </c>
      <c r="L4671">
        <v>140.8742</v>
      </c>
      <c r="M4671">
        <v>-0.98299959999999997</v>
      </c>
      <c r="N4671">
        <v>0</v>
      </c>
      <c r="O4671">
        <v>-0.1830427</v>
      </c>
      <c r="P4671">
        <v>-0.97647490000000003</v>
      </c>
      <c r="Q4671">
        <v>-1.029667E-3</v>
      </c>
      <c r="R4671">
        <v>-0.21562899999999999</v>
      </c>
      <c r="S4671">
        <v>-2.6597599999999999</v>
      </c>
      <c r="T4671">
        <v>-9.2339160000000003E-2</v>
      </c>
      <c r="U4671">
        <v>-1.911392</v>
      </c>
      <c r="V4671">
        <v>-3.3393260000000001E-2</v>
      </c>
      <c r="W4671">
        <v>1.294846E-2</v>
      </c>
      <c r="X4671">
        <v>0.99935839999999998</v>
      </c>
      <c r="Y4671">
        <v>-0.42496109999999998</v>
      </c>
      <c r="Z4671">
        <v>-1.020967E-3</v>
      </c>
      <c r="AA4671">
        <v>0.90521099999999999</v>
      </c>
      <c r="AB4671">
        <v>27</v>
      </c>
      <c r="AC4671">
        <v>-29.529900000000001</v>
      </c>
      <c r="AD4671">
        <v>-1.0353465500000001</v>
      </c>
      <c r="AE4671">
        <v>-21.3688</v>
      </c>
      <c r="AF4671">
        <v>-15.589327912669599</v>
      </c>
      <c r="AG4671">
        <v>-1.0353465500000001</v>
      </c>
      <c r="AH4671">
        <v>32.916138434724097</v>
      </c>
      <c r="AI4671">
        <v>91.628313092505707</v>
      </c>
      <c r="AJ4671">
        <v>115.342583083655</v>
      </c>
      <c r="AK4671">
        <v>36.435851255339998</v>
      </c>
      <c r="AL4671">
        <v>89.258087152073898</v>
      </c>
      <c r="AM4671">
        <v>91.913809148122695</v>
      </c>
      <c r="AN4671">
        <v>0.99999999204017898</v>
      </c>
    </row>
    <row r="4672" spans="1:40" x14ac:dyDescent="0.25">
      <c r="A4672" t="str">
        <f>"20190312161105641"</f>
        <v>20190312161105641</v>
      </c>
      <c r="B4672" t="str">
        <f>"1552378265631658"</f>
        <v>1552378265631658</v>
      </c>
      <c r="C4672" t="s">
        <v>40</v>
      </c>
      <c r="D4672">
        <v>5.2989699999999997</v>
      </c>
      <c r="E4672">
        <v>0.33597739999999998</v>
      </c>
      <c r="F4672" t="s">
        <v>41</v>
      </c>
      <c r="G4672">
        <v>-431.61689999999999</v>
      </c>
      <c r="H4672">
        <v>7.9985509999999996E-2</v>
      </c>
      <c r="I4672">
        <v>119.32389999999999</v>
      </c>
      <c r="J4672">
        <v>-402.2595</v>
      </c>
      <c r="K4672">
        <v>1.1154539999999999</v>
      </c>
      <c r="L4672">
        <v>140.82069999999999</v>
      </c>
      <c r="M4672">
        <v>-0.98173299999999997</v>
      </c>
      <c r="N4672">
        <v>0</v>
      </c>
      <c r="O4672">
        <v>-0.18971750000000001</v>
      </c>
      <c r="P4672">
        <v>-0.97511720000000002</v>
      </c>
      <c r="Q4672">
        <v>-1.2174740000000001E-3</v>
      </c>
      <c r="R4672">
        <v>-0.2216871</v>
      </c>
      <c r="S4672">
        <v>-2.6467589999999999</v>
      </c>
      <c r="T4672">
        <v>-9.2561840000000006E-2</v>
      </c>
      <c r="U4672">
        <v>-1.926636</v>
      </c>
      <c r="V4672">
        <v>-3.2809100000000001E-2</v>
      </c>
      <c r="W4672">
        <v>1.277347E-2</v>
      </c>
      <c r="X4672">
        <v>0.99938000000000005</v>
      </c>
      <c r="Y4672">
        <v>-0.42433359999999898</v>
      </c>
      <c r="Z4672">
        <v>-8.1713499999999998E-4</v>
      </c>
      <c r="AA4672">
        <v>0.90550560000000002</v>
      </c>
      <c r="AB4672">
        <v>27</v>
      </c>
      <c r="AC4672">
        <v>-29.357399999999899</v>
      </c>
      <c r="AD4672">
        <v>-1.03546849</v>
      </c>
      <c r="AE4672">
        <v>-21.4968</v>
      </c>
      <c r="AF4672">
        <v>-15.523546559770899</v>
      </c>
      <c r="AG4672">
        <v>-1.03546849</v>
      </c>
      <c r="AH4672">
        <v>32.876238521280101</v>
      </c>
      <c r="AI4672">
        <v>91.631378502105306</v>
      </c>
      <c r="AJ4672">
        <v>115.275807208637</v>
      </c>
      <c r="AK4672">
        <v>36.371688881536201</v>
      </c>
      <c r="AL4672">
        <v>89.268114169511094</v>
      </c>
      <c r="AM4672">
        <v>91.880313849739807</v>
      </c>
      <c r="AN4672">
        <v>0.99999999148932495</v>
      </c>
    </row>
    <row r="4673" spans="1:40" x14ac:dyDescent="0.25">
      <c r="A4673" t="str">
        <f>"20190312161105663"</f>
        <v>20190312161105663</v>
      </c>
      <c r="B4673" t="str">
        <f>"1552378265652154"</f>
        <v>1552378265652154</v>
      </c>
      <c r="C4673" t="s">
        <v>40</v>
      </c>
      <c r="D4673">
        <v>5.2992730000000003</v>
      </c>
      <c r="E4673">
        <v>0.33642179999999999</v>
      </c>
      <c r="F4673" t="s">
        <v>41</v>
      </c>
      <c r="G4673">
        <v>-431.56869999999998</v>
      </c>
      <c r="H4673">
        <v>7.9985529999999999E-2</v>
      </c>
      <c r="I4673">
        <v>119.2497</v>
      </c>
      <c r="J4673">
        <v>-402.51839999999999</v>
      </c>
      <c r="K4673">
        <v>1.115591</v>
      </c>
      <c r="L4673">
        <v>140.7627</v>
      </c>
      <c r="M4673">
        <v>-0.98031820000000003</v>
      </c>
      <c r="N4673">
        <v>0</v>
      </c>
      <c r="O4673">
        <v>-0.19689619999999999</v>
      </c>
      <c r="P4673">
        <v>-0.97349330000000001</v>
      </c>
      <c r="Q4673">
        <v>-1.4471219999999999E-3</v>
      </c>
      <c r="R4673">
        <v>-0.22871079999999999</v>
      </c>
      <c r="S4673">
        <v>-2.6354679999999999</v>
      </c>
      <c r="T4673">
        <v>-9.3108769999999993E-2</v>
      </c>
      <c r="U4673">
        <v>-1.939651</v>
      </c>
      <c r="V4673">
        <v>-3.2701969999999997E-2</v>
      </c>
      <c r="W4673">
        <v>1.2550800000000001E-2</v>
      </c>
      <c r="X4673">
        <v>0.99938640000000001</v>
      </c>
      <c r="Y4673">
        <v>-0.4224598</v>
      </c>
      <c r="Z4673">
        <v>-5.788449E-4</v>
      </c>
      <c r="AA4673">
        <v>0.90638149999999995</v>
      </c>
      <c r="AB4673">
        <v>27</v>
      </c>
      <c r="AC4673">
        <v>-29.0503</v>
      </c>
      <c r="AD4673">
        <v>-1.0356054699999999</v>
      </c>
      <c r="AE4673">
        <v>-21.512999999999899</v>
      </c>
      <c r="AF4673">
        <v>-15.358685909508599</v>
      </c>
      <c r="AG4673">
        <v>-1.0356054699999999</v>
      </c>
      <c r="AH4673">
        <v>32.690939824676903</v>
      </c>
      <c r="AI4673">
        <v>91.642334118536297</v>
      </c>
      <c r="AJ4673">
        <v>115.164830553185</v>
      </c>
      <c r="AK4673">
        <v>36.133907319539702</v>
      </c>
      <c r="AL4673">
        <v>89.280873292265497</v>
      </c>
      <c r="AM4673">
        <v>91.874166542259999</v>
      </c>
      <c r="AN4673">
        <v>1.0000000589637299</v>
      </c>
    </row>
    <row r="4674" spans="1:40" x14ac:dyDescent="0.25">
      <c r="A4674" t="str">
        <f>"20190312161105688"</f>
        <v>20190312161105688</v>
      </c>
      <c r="B4674" t="str">
        <f>"1552378265681434"</f>
        <v>1552378265681434</v>
      </c>
      <c r="C4674" t="s">
        <v>40</v>
      </c>
      <c r="D4674">
        <v>5.3178320000000001</v>
      </c>
      <c r="E4674">
        <v>0.33705420000000003</v>
      </c>
      <c r="F4674" t="s">
        <v>41</v>
      </c>
      <c r="G4674">
        <v>-431.45420000000001</v>
      </c>
      <c r="H4674">
        <v>7.9985539999999994E-2</v>
      </c>
      <c r="I4674">
        <v>119.185</v>
      </c>
      <c r="J4674">
        <v>-402.80149999999998</v>
      </c>
      <c r="K4674">
        <v>1.1157520000000001</v>
      </c>
      <c r="L4674">
        <v>140.69649999999999</v>
      </c>
      <c r="M4674">
        <v>-0.97865190000000002</v>
      </c>
      <c r="N4674">
        <v>0</v>
      </c>
      <c r="O4674">
        <v>-0.20501620000000001</v>
      </c>
      <c r="P4674">
        <v>-0.97165639999999998</v>
      </c>
      <c r="Q4674">
        <v>-7.5727279999999997E-4</v>
      </c>
      <c r="R4674">
        <v>-0.23639650000000001</v>
      </c>
      <c r="S4674">
        <v>-2.622131</v>
      </c>
      <c r="T4674">
        <v>-9.3845609999999996E-2</v>
      </c>
      <c r="U4674">
        <v>-1.9553529999999999</v>
      </c>
      <c r="V4674">
        <v>-3.2328549999999998E-2</v>
      </c>
      <c r="W4674">
        <v>1.325408E-2</v>
      </c>
      <c r="X4674">
        <v>0.99938939999999998</v>
      </c>
      <c r="Y4674">
        <v>-0.42064240000000003</v>
      </c>
      <c r="Z4674">
        <v>-3.106184E-4</v>
      </c>
      <c r="AA4674">
        <v>0.90722650000000005</v>
      </c>
      <c r="AB4674">
        <v>27</v>
      </c>
      <c r="AC4674">
        <v>-28.652699999999999</v>
      </c>
      <c r="AD4674">
        <v>-1.0357664600000001</v>
      </c>
      <c r="AE4674">
        <v>-21.511499999999899</v>
      </c>
      <c r="AF4674">
        <v>-15.1669125715229</v>
      </c>
      <c r="AG4674">
        <v>-1.0357664600000001</v>
      </c>
      <c r="AH4674">
        <v>32.427514165234697</v>
      </c>
      <c r="AI4674">
        <v>91.657260047905993</v>
      </c>
      <c r="AJ4674">
        <v>115.06630993639899</v>
      </c>
      <c r="AK4674">
        <v>35.8141274366468</v>
      </c>
      <c r="AL4674">
        <v>89.240574910662204</v>
      </c>
      <c r="AM4674">
        <v>91.852775096223397</v>
      </c>
      <c r="AN4674">
        <v>0.99999998930705403</v>
      </c>
    </row>
    <row r="4675" spans="1:40" x14ac:dyDescent="0.25">
      <c r="A4675" t="str">
        <f>"20190312161105709"</f>
        <v>20190312161105709</v>
      </c>
      <c r="B4675" t="str">
        <f>"1552378265701929"</f>
        <v>1552378265701929</v>
      </c>
      <c r="C4675" t="s">
        <v>40</v>
      </c>
      <c r="D4675">
        <v>5.3444469999999997</v>
      </c>
      <c r="E4675">
        <v>0.33751029999999999</v>
      </c>
      <c r="F4675" t="s">
        <v>41</v>
      </c>
      <c r="G4675">
        <v>-432.33170000000001</v>
      </c>
      <c r="H4675">
        <v>7.9985810000000004E-2</v>
      </c>
      <c r="I4675">
        <v>118.377</v>
      </c>
      <c r="J4675">
        <v>-403.05020000000002</v>
      </c>
      <c r="K4675">
        <v>1.1158920000000001</v>
      </c>
      <c r="L4675">
        <v>140.6361</v>
      </c>
      <c r="M4675">
        <v>-0.97708629999999996</v>
      </c>
      <c r="N4675">
        <v>0</v>
      </c>
      <c r="O4675">
        <v>-0.2123515</v>
      </c>
      <c r="P4675">
        <v>-0.97006479999999995</v>
      </c>
      <c r="Q4675">
        <v>-1.1181139999999999E-3</v>
      </c>
      <c r="R4675">
        <v>-0.2428447</v>
      </c>
      <c r="S4675">
        <v>-2.6078800000000002</v>
      </c>
      <c r="T4675">
        <v>-9.1470960000000004E-2</v>
      </c>
      <c r="U4675">
        <v>-1.971085</v>
      </c>
      <c r="V4675">
        <v>-3.1468980000000001E-2</v>
      </c>
      <c r="W4675">
        <v>1.29146E-2</v>
      </c>
      <c r="X4675">
        <v>0.99942129999999996</v>
      </c>
      <c r="Y4675">
        <v>-0.41970849999999998</v>
      </c>
      <c r="Z4675" s="1">
        <v>-7.3291830000000004E-5</v>
      </c>
      <c r="AA4675">
        <v>0.90765890000000005</v>
      </c>
      <c r="AB4675">
        <v>27</v>
      </c>
      <c r="AC4675">
        <v>-29.281499999999902</v>
      </c>
      <c r="AD4675">
        <v>-1.0359061899999999</v>
      </c>
      <c r="AE4675">
        <v>-22.259099999999901</v>
      </c>
      <c r="AF4675">
        <v>-15.5204052317433</v>
      </c>
      <c r="AG4675">
        <v>-1.0359061899999999</v>
      </c>
      <c r="AH4675">
        <v>33.314368433054803</v>
      </c>
      <c r="AI4675">
        <v>91.614521369558801</v>
      </c>
      <c r="AJ4675">
        <v>114.97973903915</v>
      </c>
      <c r="AK4675">
        <v>36.766876727365897</v>
      </c>
      <c r="AL4675">
        <v>89.260027362146204</v>
      </c>
      <c r="AM4675">
        <v>91.803487901345306</v>
      </c>
      <c r="AN4675">
        <v>1.00000000924454</v>
      </c>
    </row>
    <row r="4676" spans="1:40" x14ac:dyDescent="0.25">
      <c r="A4676" t="str">
        <f>"20190312161105738"</f>
        <v>20190312161105738</v>
      </c>
      <c r="B4676" t="str">
        <f>"1552378265732186"</f>
        <v>1552378265732186</v>
      </c>
      <c r="C4676" t="s">
        <v>40</v>
      </c>
      <c r="D4676">
        <v>5.3345789999999997</v>
      </c>
      <c r="E4676">
        <v>0.33798089999999997</v>
      </c>
      <c r="F4676" t="s">
        <v>41</v>
      </c>
      <c r="G4676">
        <v>-432.14280000000002</v>
      </c>
      <c r="H4676">
        <v>7.9985799999999996E-2</v>
      </c>
      <c r="I4676">
        <v>118.3869</v>
      </c>
      <c r="J4676">
        <v>-403.37110000000001</v>
      </c>
      <c r="K4676">
        <v>1.116055</v>
      </c>
      <c r="L4676">
        <v>140.55500000000001</v>
      </c>
      <c r="M4676">
        <v>-0.9749234</v>
      </c>
      <c r="N4676">
        <v>0</v>
      </c>
      <c r="O4676">
        <v>-0.2220693</v>
      </c>
      <c r="P4676">
        <v>-0.96773240000000005</v>
      </c>
      <c r="Q4676">
        <v>-1.4017890000000001E-3</v>
      </c>
      <c r="R4676">
        <v>-0.25197720000000001</v>
      </c>
      <c r="S4676">
        <v>-2.5955810000000001</v>
      </c>
      <c r="T4676">
        <v>-9.2421409999999996E-2</v>
      </c>
      <c r="U4676">
        <v>-1.985031</v>
      </c>
      <c r="V4676">
        <v>-3.094009E-2</v>
      </c>
      <c r="W4676">
        <v>1.265141E-2</v>
      </c>
      <c r="X4676">
        <v>0.99944109999999997</v>
      </c>
      <c r="Y4676">
        <v>-0.41582160000000001</v>
      </c>
      <c r="Z4676">
        <v>2.7601280000000001E-4</v>
      </c>
      <c r="AA4676">
        <v>0.90944619999999998</v>
      </c>
      <c r="AB4676">
        <v>27</v>
      </c>
      <c r="AC4676">
        <v>-28.771699999999999</v>
      </c>
      <c r="AD4676">
        <v>-1.03606919999999</v>
      </c>
      <c r="AE4676">
        <v>-22.168099999999999</v>
      </c>
      <c r="AF4676">
        <v>-15.212105847323899</v>
      </c>
      <c r="AG4676">
        <v>-1.03606919999999</v>
      </c>
      <c r="AH4676">
        <v>32.949703380965701</v>
      </c>
      <c r="AI4676">
        <v>91.635255213897906</v>
      </c>
      <c r="AJ4676">
        <v>114.781663376997</v>
      </c>
      <c r="AK4676">
        <v>36.306536003741797</v>
      </c>
      <c r="AL4676">
        <v>89.275108212909601</v>
      </c>
      <c r="AM4676">
        <v>91.773161613511704</v>
      </c>
      <c r="AN4676">
        <v>0.99999992985670005</v>
      </c>
    </row>
    <row r="4677" spans="1:40" x14ac:dyDescent="0.25">
      <c r="A4677" t="str">
        <f>"20190312161105760"</f>
        <v>20190312161105760</v>
      </c>
      <c r="B4677" t="str">
        <f>"1552378265751705"</f>
        <v>1552378265751705</v>
      </c>
      <c r="C4677" t="s">
        <v>40</v>
      </c>
      <c r="D4677">
        <v>5.3754780000000002</v>
      </c>
      <c r="E4677">
        <v>0.34510829999999998</v>
      </c>
      <c r="F4677" t="s">
        <v>41</v>
      </c>
      <c r="G4677">
        <v>-431.75200000000001</v>
      </c>
      <c r="H4677">
        <v>7.9985760000000003E-2</v>
      </c>
      <c r="I4677">
        <v>118.47190000000001</v>
      </c>
      <c r="J4677">
        <v>-403.62700000000001</v>
      </c>
      <c r="K4677">
        <v>1.116166</v>
      </c>
      <c r="L4677">
        <v>140.48769999999999</v>
      </c>
      <c r="M4677">
        <v>-0.97307849999999996</v>
      </c>
      <c r="N4677">
        <v>0</v>
      </c>
      <c r="O4677">
        <v>-0.2300171</v>
      </c>
      <c r="P4677">
        <v>-0.9656901</v>
      </c>
      <c r="Q4677">
        <v>-4.8612759999999998E-4</v>
      </c>
      <c r="R4677">
        <v>-0.25969740000000002</v>
      </c>
      <c r="S4677">
        <v>-2.5776669999999999</v>
      </c>
      <c r="T4677">
        <v>-9.4100119999999995E-2</v>
      </c>
      <c r="U4677">
        <v>-2.0056759999999998</v>
      </c>
      <c r="V4677">
        <v>-3.078293E-2</v>
      </c>
      <c r="W4677">
        <v>1.357878E-2</v>
      </c>
      <c r="X4677">
        <v>0.99943389999999999</v>
      </c>
      <c r="Y4677">
        <v>-0.41599740000000002</v>
      </c>
      <c r="Z4677">
        <v>5.1886169999999896E-4</v>
      </c>
      <c r="AA4677">
        <v>0.90936570000000005</v>
      </c>
      <c r="AB4677">
        <v>27</v>
      </c>
      <c r="AC4677">
        <v>-28.125</v>
      </c>
      <c r="AD4677">
        <v>-1.03618024</v>
      </c>
      <c r="AE4677">
        <v>-22.015799999999899</v>
      </c>
      <c r="AF4677">
        <v>-14.94286756703</v>
      </c>
      <c r="AG4677">
        <v>-1.03618024</v>
      </c>
      <c r="AH4677">
        <v>32.407979763862599</v>
      </c>
      <c r="AI4677">
        <v>91.663125936465804</v>
      </c>
      <c r="AJ4677">
        <v>114.7537679231</v>
      </c>
      <c r="AK4677">
        <v>35.7021023609324</v>
      </c>
      <c r="AL4677">
        <v>89.2219693404992</v>
      </c>
      <c r="AM4677">
        <v>91.764173256946904</v>
      </c>
      <c r="AN4677">
        <v>1.0000000462574401</v>
      </c>
    </row>
    <row r="4678" spans="1:40" x14ac:dyDescent="0.25">
      <c r="A4678" t="str">
        <f>"20190312161105780"</f>
        <v>20190312161105780</v>
      </c>
      <c r="B4678" t="str">
        <f>"1552378265771225"</f>
        <v>1552378265771225</v>
      </c>
      <c r="C4678" t="s">
        <v>40</v>
      </c>
      <c r="D4678">
        <v>5.25143</v>
      </c>
      <c r="E4678">
        <v>0.34603699999999998</v>
      </c>
      <c r="F4678" t="s">
        <v>87</v>
      </c>
      <c r="G4678">
        <v>-425.12419999999997</v>
      </c>
      <c r="H4678" s="1">
        <v>-4.0089389999999999E-6</v>
      </c>
      <c r="I4678">
        <v>124.0408</v>
      </c>
      <c r="J4678">
        <v>-403.86799999999999</v>
      </c>
      <c r="K4678">
        <v>1.116271</v>
      </c>
      <c r="L4678">
        <v>140.422</v>
      </c>
      <c r="M4678">
        <v>-0.97123530000000002</v>
      </c>
      <c r="N4678">
        <v>0</v>
      </c>
      <c r="O4678">
        <v>-0.23767830000000001</v>
      </c>
      <c r="P4678">
        <v>-0.96363929999999998</v>
      </c>
      <c r="Q4678">
        <v>-4.3105960000000001E-4</v>
      </c>
      <c r="R4678">
        <v>-0.26720640000000001</v>
      </c>
      <c r="S4678">
        <v>-2.5764469999999999</v>
      </c>
      <c r="T4678">
        <v>-0.13377359999999999</v>
      </c>
      <c r="U4678">
        <v>-1.9711609999999999</v>
      </c>
      <c r="V4678">
        <v>-3.0690930000000002E-2</v>
      </c>
      <c r="W4678">
        <v>1.364458E-2</v>
      </c>
      <c r="X4678">
        <v>0.99943579999999999</v>
      </c>
      <c r="Y4678">
        <v>-0.40129169999999997</v>
      </c>
      <c r="Z4678">
        <v>1.41214799999999E-3</v>
      </c>
      <c r="AA4678">
        <v>0.91594920000000002</v>
      </c>
      <c r="AB4678">
        <v>27</v>
      </c>
      <c r="AC4678">
        <v>-21.2561999999999</v>
      </c>
      <c r="AD4678">
        <v>-1.1162750089389999</v>
      </c>
      <c r="AE4678">
        <v>-16.3811999999999</v>
      </c>
      <c r="AF4678">
        <v>-10.840251709970699</v>
      </c>
      <c r="AG4678">
        <v>-1.1162750089389999</v>
      </c>
      <c r="AH4678">
        <v>24.4984286859655</v>
      </c>
      <c r="AI4678">
        <v>92.386030689200595</v>
      </c>
      <c r="AJ4678">
        <v>113.868797487926</v>
      </c>
      <c r="AK4678">
        <v>26.812872563610998</v>
      </c>
      <c r="AL4678">
        <v>89.218198903102802</v>
      </c>
      <c r="AM4678">
        <v>91.758900701585702</v>
      </c>
      <c r="AN4678">
        <v>1.00000001303464</v>
      </c>
    </row>
    <row r="4679" spans="1:40" x14ac:dyDescent="0.25">
      <c r="A4679" t="str">
        <f>"20190312161105912"</f>
        <v>20190312161105912</v>
      </c>
      <c r="B4679" t="str">
        <f>"1552378265902009"</f>
        <v>1552378265902009</v>
      </c>
      <c r="C4679" t="s">
        <v>40</v>
      </c>
      <c r="D4679">
        <v>4.8749949999999904</v>
      </c>
      <c r="E4679">
        <v>0.34464040000000001</v>
      </c>
      <c r="F4679" t="s">
        <v>87</v>
      </c>
      <c r="G4679">
        <v>-422.22280000000001</v>
      </c>
      <c r="H4679" s="1">
        <v>-4.4935649999999997E-6</v>
      </c>
      <c r="I4679">
        <v>126.2123</v>
      </c>
      <c r="J4679">
        <v>-405.35059999999999</v>
      </c>
      <c r="K4679">
        <v>1.116916</v>
      </c>
      <c r="L4679">
        <v>139.9666</v>
      </c>
      <c r="M4679">
        <v>-0.95741399999999999</v>
      </c>
      <c r="N4679">
        <v>0</v>
      </c>
      <c r="O4679">
        <v>-0.28834680000000001</v>
      </c>
      <c r="P4679">
        <v>-0.94795600000000002</v>
      </c>
      <c r="Q4679">
        <v>7.0923399999999999E-4</v>
      </c>
      <c r="R4679">
        <v>-0.31840180000000001</v>
      </c>
      <c r="S4679">
        <v>-2.5629580000000001</v>
      </c>
      <c r="T4679">
        <v>-0.1558697</v>
      </c>
      <c r="U4679">
        <v>-1.9841610000000001</v>
      </c>
      <c r="V4679">
        <v>-3.1750250000000001E-2</v>
      </c>
      <c r="W4679">
        <v>1.4840839999999999E-2</v>
      </c>
      <c r="X4679">
        <v>0.99938570000000004</v>
      </c>
      <c r="Y4679">
        <v>-0.35804059999999999</v>
      </c>
      <c r="Z4679">
        <v>5.3388669999999997E-3</v>
      </c>
      <c r="AA4679">
        <v>0.93369080000000004</v>
      </c>
      <c r="AB4679">
        <v>27</v>
      </c>
      <c r="AC4679">
        <v>-16.872199999999999</v>
      </c>
      <c r="AD4679">
        <v>-1.1169204935649999</v>
      </c>
      <c r="AE4679">
        <v>-13.754300000000001</v>
      </c>
      <c r="AF4679">
        <v>-8.2825998005906101</v>
      </c>
      <c r="AG4679">
        <v>-1.1169204935649999</v>
      </c>
      <c r="AH4679">
        <v>20.069011874122001</v>
      </c>
      <c r="AI4679">
        <v>92.944982718630001</v>
      </c>
      <c r="AJ4679">
        <v>112.426228949661</v>
      </c>
      <c r="AK4679">
        <v>21.739692004472801</v>
      </c>
      <c r="AL4679">
        <v>89.149651331850706</v>
      </c>
      <c r="AM4679">
        <v>91.819661476476298</v>
      </c>
      <c r="AN4679">
        <v>1.00000005313572</v>
      </c>
    </row>
    <row r="4680" spans="1:40" x14ac:dyDescent="0.25">
      <c r="A4680" t="str">
        <f>"20190312161105937"</f>
        <v>20190312161105937</v>
      </c>
      <c r="B4680" t="str">
        <f>"1552378265931289"</f>
        <v>1552378265931289</v>
      </c>
      <c r="C4680" t="s">
        <v>40</v>
      </c>
      <c r="D4680">
        <v>5.3366069999999999</v>
      </c>
      <c r="E4680">
        <v>0.36523990000000001</v>
      </c>
      <c r="F4680" t="s">
        <v>87</v>
      </c>
      <c r="G4680">
        <v>-424.2937</v>
      </c>
      <c r="H4680" s="1">
        <v>-3.5258440000000001E-6</v>
      </c>
      <c r="I4680">
        <v>123.4943</v>
      </c>
      <c r="J4680">
        <v>-405.62450000000001</v>
      </c>
      <c r="K4680">
        <v>1.117003</v>
      </c>
      <c r="L4680">
        <v>139.87209999999999</v>
      </c>
      <c r="M4680">
        <v>-0.9543526</v>
      </c>
      <c r="N4680">
        <v>0</v>
      </c>
      <c r="O4680">
        <v>-0.29832150000000002</v>
      </c>
      <c r="P4680">
        <v>-0.9445692</v>
      </c>
      <c r="Q4680">
        <v>7.3192789999999895E-4</v>
      </c>
      <c r="R4680">
        <v>-0.32831080000000001</v>
      </c>
      <c r="S4680">
        <v>-2.4494319999999998</v>
      </c>
      <c r="T4680">
        <v>-0.14442289999999999</v>
      </c>
      <c r="U4680">
        <v>-2.1299440000000001</v>
      </c>
      <c r="V4680">
        <v>-3.1791220000000002E-2</v>
      </c>
      <c r="W4680">
        <v>1.4877069999999999E-2</v>
      </c>
      <c r="X4680">
        <v>0.99938380000000004</v>
      </c>
      <c r="Y4680">
        <v>-0.40105180000000001</v>
      </c>
      <c r="Z4680">
        <v>4.3836689999999998E-3</v>
      </c>
      <c r="AA4680">
        <v>0.91604479999999999</v>
      </c>
      <c r="AB4680">
        <v>27</v>
      </c>
      <c r="AC4680">
        <v>-18.669199999999901</v>
      </c>
      <c r="AD4680">
        <v>-1.1170065258440001</v>
      </c>
      <c r="AE4680">
        <v>-16.377799999999901</v>
      </c>
      <c r="AF4680">
        <v>-10.041542337214301</v>
      </c>
      <c r="AG4680">
        <v>-1.1170065258440001</v>
      </c>
      <c r="AH4680">
        <v>22.6594557216551</v>
      </c>
      <c r="AI4680">
        <v>92.580477844256507</v>
      </c>
      <c r="AJ4680">
        <v>113.900536211313</v>
      </c>
      <c r="AK4680">
        <v>24.809901444594601</v>
      </c>
      <c r="AL4680">
        <v>89.147575226507996</v>
      </c>
      <c r="AM4680">
        <v>91.822011417675398</v>
      </c>
      <c r="AN4680">
        <v>0.99999999429165598</v>
      </c>
    </row>
    <row r="4681" spans="1:40" x14ac:dyDescent="0.25">
      <c r="A4681" t="str">
        <f>"20190312161105977"</f>
        <v>20190312161105977</v>
      </c>
      <c r="B4681" t="str">
        <f>"1552378265971306"</f>
        <v>1552378265971306</v>
      </c>
      <c r="C4681" t="s">
        <v>40</v>
      </c>
      <c r="D4681">
        <v>5.4732399999999997</v>
      </c>
      <c r="E4681">
        <v>0.36898890000000001</v>
      </c>
      <c r="F4681" t="s">
        <v>87</v>
      </c>
      <c r="G4681">
        <v>-419.1644</v>
      </c>
      <c r="H4681" s="1">
        <v>-5.4339910000000004E-6</v>
      </c>
      <c r="I4681">
        <v>128.95320000000001</v>
      </c>
      <c r="J4681">
        <v>-406.05279999999999</v>
      </c>
      <c r="K4681">
        <v>1.117167</v>
      </c>
      <c r="L4681">
        <v>139.7174</v>
      </c>
      <c r="M4681">
        <v>-0.94920400000000005</v>
      </c>
      <c r="N4681">
        <v>0</v>
      </c>
      <c r="O4681">
        <v>-0.31431759999999997</v>
      </c>
      <c r="P4681">
        <v>-0.93884889999999999</v>
      </c>
      <c r="Q4681">
        <v>1.1159659999999999E-3</v>
      </c>
      <c r="R4681">
        <v>-0.34432790000000002</v>
      </c>
      <c r="S4681">
        <v>-2.4808650000000001</v>
      </c>
      <c r="T4681">
        <v>-0.2046646</v>
      </c>
      <c r="U4681">
        <v>-2.00061</v>
      </c>
      <c r="V4681">
        <v>-3.2006420000000001E-2</v>
      </c>
      <c r="W4681">
        <v>1.527995E-2</v>
      </c>
      <c r="X4681">
        <v>0.99937089999999995</v>
      </c>
      <c r="Y4681">
        <v>-0.35112589999999999</v>
      </c>
      <c r="Z4681">
        <v>9.1223199999999997E-3</v>
      </c>
      <c r="AA4681">
        <v>0.9362838</v>
      </c>
      <c r="AB4681">
        <v>27</v>
      </c>
      <c r="AC4681">
        <v>-13.111599999999999</v>
      </c>
      <c r="AD4681">
        <v>-1.1171724339910001</v>
      </c>
      <c r="AE4681">
        <v>-10.764199999999899</v>
      </c>
      <c r="AF4681">
        <v>-6.0705470073424204</v>
      </c>
      <c r="AG4681">
        <v>-1.1171724339910001</v>
      </c>
      <c r="AH4681">
        <v>15.762313014427299</v>
      </c>
      <c r="AI4681">
        <v>93.784062567066499</v>
      </c>
      <c r="AJ4681">
        <v>111.063215646662</v>
      </c>
      <c r="AK4681">
        <v>16.927791550595401</v>
      </c>
      <c r="AL4681">
        <v>89.124489319572803</v>
      </c>
      <c r="AM4681">
        <v>91.834360176817299</v>
      </c>
      <c r="AN4681">
        <v>1.0000000417800099</v>
      </c>
    </row>
    <row r="4682" spans="1:40" x14ac:dyDescent="0.25">
      <c r="A4682" t="str">
        <f>"20190312161106004"</f>
        <v>20190312161106004</v>
      </c>
      <c r="B4682" t="str">
        <f>"1552378265991801"</f>
        <v>1552378265991801</v>
      </c>
      <c r="C4682" t="s">
        <v>40</v>
      </c>
      <c r="D4682">
        <v>5.3873569999999997</v>
      </c>
      <c r="E4682">
        <v>0.36972569999999999</v>
      </c>
      <c r="F4682" t="s">
        <v>87</v>
      </c>
      <c r="G4682">
        <v>-419.53390000000002</v>
      </c>
      <c r="H4682" s="1">
        <v>-5.2641470000000004E-6</v>
      </c>
      <c r="I4682">
        <v>128.66200000000001</v>
      </c>
      <c r="J4682">
        <v>-406.35579999999999</v>
      </c>
      <c r="K4682">
        <v>1.1172839999999999</v>
      </c>
      <c r="L4682">
        <v>139.60290000000001</v>
      </c>
      <c r="M4682">
        <v>-0.94528690000000004</v>
      </c>
      <c r="N4682">
        <v>0</v>
      </c>
      <c r="O4682">
        <v>-0.32590730000000001</v>
      </c>
      <c r="P4682">
        <v>-0.93433219999999995</v>
      </c>
      <c r="Q4682">
        <v>1.5181089999999999E-3</v>
      </c>
      <c r="R4682">
        <v>-0.35640050000000001</v>
      </c>
      <c r="S4682">
        <v>-2.4567260000000002</v>
      </c>
      <c r="T4682">
        <v>-0.20358770000000001</v>
      </c>
      <c r="U4682">
        <v>-2.0146790000000001</v>
      </c>
      <c r="V4682">
        <v>-3.2671930000000002E-2</v>
      </c>
      <c r="W4682">
        <v>1.568808E-2</v>
      </c>
      <c r="X4682">
        <v>0.99934299999999998</v>
      </c>
      <c r="Y4682">
        <v>-0.34738839999999999</v>
      </c>
      <c r="Z4682">
        <v>1.001438E-2</v>
      </c>
      <c r="AA4682">
        <v>0.93766780000000005</v>
      </c>
      <c r="AB4682">
        <v>27</v>
      </c>
      <c r="AC4682">
        <v>-13.178100000000001</v>
      </c>
      <c r="AD4682">
        <v>-1.117289264147</v>
      </c>
      <c r="AE4682">
        <v>-10.940899999999999</v>
      </c>
      <c r="AF4682">
        <v>-6.0224800582231302</v>
      </c>
      <c r="AG4682">
        <v>-1.117289264147</v>
      </c>
      <c r="AH4682">
        <v>15.956645062741</v>
      </c>
      <c r="AI4682">
        <v>93.748069589303896</v>
      </c>
      <c r="AJ4682">
        <v>110.67789647191699</v>
      </c>
      <c r="AK4682">
        <v>17.091902264223499</v>
      </c>
      <c r="AL4682">
        <v>89.101102353734007</v>
      </c>
      <c r="AM4682">
        <v>91.872527420364094</v>
      </c>
      <c r="AN4682">
        <v>1.0000000012565</v>
      </c>
    </row>
    <row r="4683" spans="1:40" x14ac:dyDescent="0.25">
      <c r="A4683" t="str">
        <f>"20190312161106139"</f>
        <v>20190312161106139</v>
      </c>
      <c r="B4683" t="str">
        <f>"1552378266131374"</f>
        <v>1552378266131374</v>
      </c>
      <c r="C4683" t="s">
        <v>40</v>
      </c>
      <c r="D4683">
        <v>5.3701569999999998</v>
      </c>
      <c r="E4683">
        <v>0.3368217</v>
      </c>
      <c r="F4683" t="s">
        <v>87</v>
      </c>
      <c r="G4683">
        <v>-419.81420000000003</v>
      </c>
      <c r="H4683" s="1">
        <v>-5.0683810000000002E-6</v>
      </c>
      <c r="I4683">
        <v>128.30969999999999</v>
      </c>
      <c r="J4683">
        <v>-407.79349999999999</v>
      </c>
      <c r="K4683">
        <v>1.1178189999999999</v>
      </c>
      <c r="L4683">
        <v>138.99250000000001</v>
      </c>
      <c r="M4683">
        <v>-0.92301109999999997</v>
      </c>
      <c r="N4683">
        <v>0</v>
      </c>
      <c r="O4683">
        <v>-0.3844862</v>
      </c>
      <c r="P4683">
        <v>-0.90889719999999996</v>
      </c>
      <c r="Q4683">
        <v>-3.2341150000000002E-4</v>
      </c>
      <c r="R4683">
        <v>-0.41702040000000001</v>
      </c>
      <c r="S4683">
        <v>-2.4325559999999999</v>
      </c>
      <c r="T4683">
        <v>-0.20194599999999999</v>
      </c>
      <c r="U4683">
        <v>-2.0411990000000002</v>
      </c>
      <c r="V4683">
        <v>-3.5722009999999998E-2</v>
      </c>
      <c r="W4683">
        <v>1.38782E-2</v>
      </c>
      <c r="X4683">
        <v>0.99926539999999997</v>
      </c>
      <c r="Y4683">
        <v>-0.29893910000000001</v>
      </c>
      <c r="Z4683">
        <v>1.545625E-2</v>
      </c>
      <c r="AA4683">
        <v>0.95414699999999997</v>
      </c>
      <c r="AB4683">
        <v>26</v>
      </c>
      <c r="AC4683">
        <v>-12.0207</v>
      </c>
      <c r="AD4683">
        <v>-1.1178240683809999</v>
      </c>
      <c r="AE4683">
        <v>-10.6828</v>
      </c>
      <c r="AF4683">
        <v>-5.2139369788985199</v>
      </c>
      <c r="AG4683">
        <v>-1.1178240683809999</v>
      </c>
      <c r="AH4683">
        <v>15.131200868350099</v>
      </c>
      <c r="AI4683">
        <v>93.995342700966503</v>
      </c>
      <c r="AJ4683">
        <v>109.013020972766</v>
      </c>
      <c r="AK4683">
        <v>16.043313535119101</v>
      </c>
      <c r="AL4683">
        <v>89.204812187665596</v>
      </c>
      <c r="AM4683">
        <v>92.047353201107597</v>
      </c>
      <c r="AN4683">
        <v>1.0000000030354199</v>
      </c>
    </row>
    <row r="4684" spans="1:40" x14ac:dyDescent="0.25">
      <c r="A4684" t="str">
        <f>"20190312161106161"</f>
        <v>20190312161106161</v>
      </c>
      <c r="B4684" t="str">
        <f>"1552378266151870"</f>
        <v>1552378266151870</v>
      </c>
      <c r="C4684" t="s">
        <v>40</v>
      </c>
      <c r="D4684">
        <v>5.4704899999999999</v>
      </c>
      <c r="E4684">
        <v>0.34379870000000001</v>
      </c>
      <c r="F4684" t="s">
        <v>87</v>
      </c>
      <c r="G4684">
        <v>-421.7638</v>
      </c>
      <c r="H4684" s="1">
        <v>-2.8904950000000002E-6</v>
      </c>
      <c r="I4684">
        <v>123.40779999999999</v>
      </c>
      <c r="J4684">
        <v>-408.03089999999997</v>
      </c>
      <c r="K4684">
        <v>1.117893</v>
      </c>
      <c r="L4684">
        <v>138.88059999999999</v>
      </c>
      <c r="M4684">
        <v>-0.91869820000000002</v>
      </c>
      <c r="N4684">
        <v>0</v>
      </c>
      <c r="O4684">
        <v>-0.39467989999999997</v>
      </c>
      <c r="P4684">
        <v>-0.90410089999999999</v>
      </c>
      <c r="Q4684">
        <v>-2.8909319999999999E-4</v>
      </c>
      <c r="R4684">
        <v>-0.42731950000000002</v>
      </c>
      <c r="S4684">
        <v>-2.1831969999999998</v>
      </c>
      <c r="T4684">
        <v>-0.17468629999999999</v>
      </c>
      <c r="U4684">
        <v>-2.435486</v>
      </c>
      <c r="V4684">
        <v>-3.6016930000000003E-2</v>
      </c>
      <c r="W4684">
        <v>1.3921589999999999E-2</v>
      </c>
      <c r="X4684">
        <v>0.99925419999999998</v>
      </c>
      <c r="Y4684">
        <v>-0.42062769999999999</v>
      </c>
      <c r="Z4684">
        <v>1.025096E-2</v>
      </c>
      <c r="AA4684">
        <v>0.90717539999999997</v>
      </c>
      <c r="AB4684">
        <v>26</v>
      </c>
      <c r="AC4684">
        <v>-13.732900000000001</v>
      </c>
      <c r="AD4684">
        <v>-1.117895890495</v>
      </c>
      <c r="AE4684">
        <v>-15.4727999999999</v>
      </c>
      <c r="AF4684">
        <v>-8.7701003431869999</v>
      </c>
      <c r="AG4684">
        <v>-1.117895890495</v>
      </c>
      <c r="AH4684">
        <v>18.670751029490901</v>
      </c>
      <c r="AI4684">
        <v>93.102013375980505</v>
      </c>
      <c r="AJ4684">
        <v>115.160571930833</v>
      </c>
      <c r="AK4684">
        <v>20.6582016462418</v>
      </c>
      <c r="AL4684">
        <v>89.202325875649805</v>
      </c>
      <c r="AM4684">
        <v>92.064264650371896</v>
      </c>
      <c r="AN4684">
        <v>0.99999999306619602</v>
      </c>
    </row>
    <row r="4685" spans="1:40" x14ac:dyDescent="0.25">
      <c r="A4685" t="str">
        <f>"20190312161106222"</f>
        <v>20190312161106222</v>
      </c>
      <c r="B4685" t="str">
        <f>"1552378266211406"</f>
        <v>1552378266211406</v>
      </c>
      <c r="C4685" t="s">
        <v>40</v>
      </c>
      <c r="D4685">
        <v>5.5160809999999998</v>
      </c>
      <c r="E4685">
        <v>0.34426440000000003</v>
      </c>
      <c r="F4685" t="s">
        <v>87</v>
      </c>
      <c r="G4685">
        <v>-419.7362</v>
      </c>
      <c r="H4685" s="1">
        <v>-3.8620030000000003E-6</v>
      </c>
      <c r="I4685">
        <v>125.9332</v>
      </c>
      <c r="J4685">
        <v>-408.649</v>
      </c>
      <c r="K4685">
        <v>1.1181099999999999</v>
      </c>
      <c r="L4685">
        <v>138.5727</v>
      </c>
      <c r="M4685">
        <v>-0.9065164</v>
      </c>
      <c r="N4685">
        <v>0</v>
      </c>
      <c r="O4685">
        <v>-0.42190630000000001</v>
      </c>
      <c r="P4685">
        <v>-0.89015809999999995</v>
      </c>
      <c r="Q4685">
        <v>-6.2466509999999998E-4</v>
      </c>
      <c r="R4685">
        <v>-0.45565159999999899</v>
      </c>
      <c r="S4685">
        <v>-2.1789860000000001</v>
      </c>
      <c r="T4685">
        <v>-0.2081017</v>
      </c>
      <c r="U4685">
        <v>-2.4102169999999998</v>
      </c>
      <c r="V4685">
        <v>-3.7763829999999998E-2</v>
      </c>
      <c r="W4685">
        <v>1.359117E-2</v>
      </c>
      <c r="X4685">
        <v>0.99919429999999998</v>
      </c>
      <c r="Y4685">
        <v>-0.38956770000000002</v>
      </c>
      <c r="Z4685">
        <v>1.5231420000000001E-2</v>
      </c>
      <c r="AA4685">
        <v>0.92087189999999997</v>
      </c>
      <c r="AB4685">
        <v>26</v>
      </c>
      <c r="AC4685">
        <v>-11.0871999999999</v>
      </c>
      <c r="AD4685">
        <v>-1.118113862003</v>
      </c>
      <c r="AE4685">
        <v>-12.6394999999999</v>
      </c>
      <c r="AF4685">
        <v>-6.7510540773154197</v>
      </c>
      <c r="AG4685">
        <v>-1.118113862003</v>
      </c>
      <c r="AH4685">
        <v>15.3173876809151</v>
      </c>
      <c r="AI4685">
        <v>93.821471628568901</v>
      </c>
      <c r="AJ4685">
        <v>113.785221609682</v>
      </c>
      <c r="AK4685">
        <v>16.776450015742</v>
      </c>
      <c r="AL4685">
        <v>89.221259373843196</v>
      </c>
      <c r="AM4685">
        <v>92.164422615527101</v>
      </c>
      <c r="AN4685">
        <v>1.00000003795536</v>
      </c>
    </row>
    <row r="4686" spans="1:40" x14ac:dyDescent="0.25">
      <c r="A4686" t="str">
        <f>"20190312161106245"</f>
        <v>20190312161106245</v>
      </c>
      <c r="B4686" t="str">
        <f>"1552378266241663"</f>
        <v>1552378266241663</v>
      </c>
      <c r="C4686" t="s">
        <v>40</v>
      </c>
      <c r="D4686">
        <v>5.5352739999999896</v>
      </c>
      <c r="E4686">
        <v>0.3437287</v>
      </c>
      <c r="F4686" t="s">
        <v>87</v>
      </c>
      <c r="G4686">
        <v>-421.04790000000003</v>
      </c>
      <c r="H4686" s="1">
        <v>-3.0682340000000002E-6</v>
      </c>
      <c r="I4686">
        <v>123.9871</v>
      </c>
      <c r="J4686">
        <v>-408.89010000000002</v>
      </c>
      <c r="K4686">
        <v>1.1181829999999999</v>
      </c>
      <c r="L4686">
        <v>138.446</v>
      </c>
      <c r="M4686">
        <v>-0.90138160000000001</v>
      </c>
      <c r="N4686">
        <v>0</v>
      </c>
      <c r="O4686">
        <v>-0.43276720000000002</v>
      </c>
      <c r="P4686">
        <v>-0.88417880000000004</v>
      </c>
      <c r="Q4686">
        <v>-3.9792620000000001E-4</v>
      </c>
      <c r="R4686">
        <v>-0.46714879999999998</v>
      </c>
      <c r="S4686">
        <v>-2.1034549999999999</v>
      </c>
      <c r="T4686">
        <v>-0.1896853</v>
      </c>
      <c r="U4686">
        <v>-2.4744259999999998</v>
      </c>
      <c r="V4686">
        <v>-3.8714209999999999E-2</v>
      </c>
      <c r="W4686">
        <v>1.3813840000000001E-2</v>
      </c>
      <c r="X4686">
        <v>0.99915489999999996</v>
      </c>
      <c r="Y4686">
        <v>-0.40652349999999998</v>
      </c>
      <c r="Z4686">
        <v>1.408012E-2</v>
      </c>
      <c r="AA4686">
        <v>0.9135318</v>
      </c>
      <c r="AB4686">
        <v>26</v>
      </c>
      <c r="AC4686">
        <v>-12.1578</v>
      </c>
      <c r="AD4686">
        <v>-1.1181860682339999</v>
      </c>
      <c r="AE4686">
        <v>-14.4589</v>
      </c>
      <c r="AF4686">
        <v>-7.7452227358789196</v>
      </c>
      <c r="AG4686">
        <v>-1.1181860682339999</v>
      </c>
      <c r="AH4686">
        <v>17.157966535799002</v>
      </c>
      <c r="AI4686">
        <v>93.399300026193202</v>
      </c>
      <c r="AJ4686">
        <v>114.294740033598</v>
      </c>
      <c r="AK4686">
        <v>18.8582775182456</v>
      </c>
      <c r="AL4686">
        <v>89.208500145183606</v>
      </c>
      <c r="AM4686">
        <v>92.218926993016595</v>
      </c>
      <c r="AN4686">
        <v>1.0000000632127299</v>
      </c>
    </row>
    <row r="4687" spans="1:40" x14ac:dyDescent="0.25">
      <c r="A4687" t="str">
        <f>"20190312161106268"</f>
        <v>20190312161106268</v>
      </c>
      <c r="B4687" t="str">
        <f>"1552378266261183"</f>
        <v>1552378266261183</v>
      </c>
      <c r="C4687" t="s">
        <v>40</v>
      </c>
      <c r="D4687">
        <v>5.5637179999999997</v>
      </c>
      <c r="E4687">
        <v>0.3438254</v>
      </c>
      <c r="F4687" t="s">
        <v>42</v>
      </c>
      <c r="G4687">
        <v>-409.56020000000001</v>
      </c>
      <c r="H4687">
        <v>1.061955</v>
      </c>
      <c r="I4687">
        <v>137.63460000000001</v>
      </c>
      <c r="J4687">
        <v>-409.11869999999999</v>
      </c>
      <c r="K4687">
        <v>1.1182299999999901</v>
      </c>
      <c r="L4687">
        <v>138.322</v>
      </c>
      <c r="M4687">
        <v>-0.89629809999999999</v>
      </c>
      <c r="N4687">
        <v>0</v>
      </c>
      <c r="O4687">
        <v>-0.44319890000000001</v>
      </c>
      <c r="P4687">
        <v>-0.87849840000000001</v>
      </c>
      <c r="Q4687">
        <v>-1.1447059999999999E-3</v>
      </c>
      <c r="R4687">
        <v>-0.4777438</v>
      </c>
      <c r="S4687">
        <v>-2.069061</v>
      </c>
      <c r="T4687">
        <v>-0.1736145</v>
      </c>
      <c r="U4687">
        <v>-2.5056609999999999</v>
      </c>
      <c r="V4687">
        <v>-3.9117659999999999E-2</v>
      </c>
      <c r="W4687">
        <v>1.307242E-2</v>
      </c>
      <c r="X4687">
        <v>0.99914910000000001</v>
      </c>
      <c r="Y4687">
        <v>-0.40898190000000001</v>
      </c>
      <c r="Z4687">
        <v>1.3429079999999999E-2</v>
      </c>
      <c r="AA4687">
        <v>0.91244369999999997</v>
      </c>
      <c r="AB4687">
        <v>26</v>
      </c>
      <c r="AC4687">
        <v>-0.44150000000001899</v>
      </c>
      <c r="AD4687">
        <v>-5.6274999999999797E-2</v>
      </c>
      <c r="AE4687">
        <v>-0.68739999999999601</v>
      </c>
      <c r="AF4687">
        <v>-0.418504470987552</v>
      </c>
      <c r="AG4687">
        <v>-5.6274999999999797E-2</v>
      </c>
      <c r="AH4687">
        <v>0.69714134980359199</v>
      </c>
      <c r="AI4687">
        <v>93.959090973773201</v>
      </c>
      <c r="AJ4687">
        <v>120.977029121836</v>
      </c>
      <c r="AK4687">
        <v>0.81505762340312204</v>
      </c>
      <c r="AL4687">
        <v>89.250984173272599</v>
      </c>
      <c r="AM4687">
        <v>92.242040484597993</v>
      </c>
      <c r="AN4687">
        <v>1.00000000175967</v>
      </c>
    </row>
    <row r="4688" spans="1:40" x14ac:dyDescent="0.25">
      <c r="A4688" t="str">
        <f>"20190312161106289"</f>
        <v>20190312161106289</v>
      </c>
      <c r="B4688" t="str">
        <f>"1552378266281678"</f>
        <v>1552378266281678</v>
      </c>
      <c r="C4688" t="s">
        <v>40</v>
      </c>
      <c r="D4688">
        <v>5.5570719999999998</v>
      </c>
      <c r="E4688">
        <v>0.34416930000000001</v>
      </c>
      <c r="F4688" t="s">
        <v>42</v>
      </c>
      <c r="G4688">
        <v>-409.79180000000002</v>
      </c>
      <c r="H4688">
        <v>1.062549</v>
      </c>
      <c r="I4688">
        <v>137.48759999999999</v>
      </c>
      <c r="J4688">
        <v>-409.33580000000001</v>
      </c>
      <c r="K4688">
        <v>1.1182719999999999</v>
      </c>
      <c r="L4688">
        <v>138.20099999999999</v>
      </c>
      <c r="M4688">
        <v>-0.89128300000000005</v>
      </c>
      <c r="N4688">
        <v>0</v>
      </c>
      <c r="O4688">
        <v>-0.45319959999999998</v>
      </c>
      <c r="P4688">
        <v>-0.87283899999999903</v>
      </c>
      <c r="Q4688">
        <v>-2.3911729999999999E-3</v>
      </c>
      <c r="R4688">
        <v>-0.48800280000000001</v>
      </c>
      <c r="S4688">
        <v>-2.0390630000000001</v>
      </c>
      <c r="T4688">
        <v>-0.16869239999999999</v>
      </c>
      <c r="U4688">
        <v>-2.5296020000000001</v>
      </c>
      <c r="V4688">
        <v>-3.9621860000000002E-2</v>
      </c>
      <c r="W4688">
        <v>1.182797E-2</v>
      </c>
      <c r="X4688">
        <v>0.9991447</v>
      </c>
      <c r="Y4688">
        <v>-0.40955789999999997</v>
      </c>
      <c r="Z4688">
        <v>1.360978E-2</v>
      </c>
      <c r="AA4688">
        <v>0.91218259999999995</v>
      </c>
      <c r="AB4688">
        <v>26</v>
      </c>
      <c r="AC4688">
        <v>-0.456000000000017</v>
      </c>
      <c r="AD4688">
        <v>-5.5722999999999898E-2</v>
      </c>
      <c r="AE4688">
        <v>-0.71340000000000703</v>
      </c>
      <c r="AF4688">
        <v>-0.42737937133448101</v>
      </c>
      <c r="AG4688">
        <v>-5.5722999999999898E-2</v>
      </c>
      <c r="AH4688">
        <v>0.72667217032965203</v>
      </c>
      <c r="AI4688">
        <v>93.781646968663296</v>
      </c>
      <c r="AJ4688">
        <v>120.461160385602</v>
      </c>
      <c r="AK4688">
        <v>0.844873140123927</v>
      </c>
      <c r="AL4688">
        <v>89.322291410477206</v>
      </c>
      <c r="AM4688">
        <v>92.270918786794098</v>
      </c>
      <c r="AN4688">
        <v>0.99999996210113395</v>
      </c>
    </row>
    <row r="4689" spans="1:40" x14ac:dyDescent="0.25">
      <c r="A4689" t="str">
        <f>"20190312161106312"</f>
        <v>20190312161106312</v>
      </c>
      <c r="B4689" t="str">
        <f>"1552378266301199"</f>
        <v>1552378266301199</v>
      </c>
      <c r="C4689" t="s">
        <v>40</v>
      </c>
      <c r="D4689">
        <v>5.569407</v>
      </c>
      <c r="E4689">
        <v>0.34479029999999999</v>
      </c>
      <c r="F4689" t="s">
        <v>42</v>
      </c>
      <c r="G4689">
        <v>-410.00670000000002</v>
      </c>
      <c r="H4689">
        <v>1.062276</v>
      </c>
      <c r="I4689">
        <v>137.34960000000001</v>
      </c>
      <c r="J4689">
        <v>-409.56490000000002</v>
      </c>
      <c r="K4689">
        <v>1.1183160000000001</v>
      </c>
      <c r="L4689">
        <v>138.06960000000001</v>
      </c>
      <c r="M4689">
        <v>-0.88578060000000003</v>
      </c>
      <c r="N4689">
        <v>0</v>
      </c>
      <c r="O4689">
        <v>-0.46386110000000003</v>
      </c>
      <c r="P4689">
        <v>-0.866905699999999</v>
      </c>
      <c r="Q4689">
        <v>-2.7468530000000001E-3</v>
      </c>
      <c r="R4689">
        <v>-0.49846509999999999</v>
      </c>
      <c r="S4689">
        <v>-2.0104679999999999</v>
      </c>
      <c r="T4689">
        <v>-0.16778709999999999</v>
      </c>
      <c r="U4689">
        <v>-2.5508120000000001</v>
      </c>
      <c r="V4689">
        <v>-3.9644890000000002E-2</v>
      </c>
      <c r="W4689">
        <v>1.14842E-2</v>
      </c>
      <c r="X4689">
        <v>0.99914780000000003</v>
      </c>
      <c r="Y4689">
        <v>-0.40861399999999998</v>
      </c>
      <c r="Z4689">
        <v>1.417787E-2</v>
      </c>
      <c r="AA4689">
        <v>0.91259710000000005</v>
      </c>
      <c r="AB4689">
        <v>26</v>
      </c>
      <c r="AC4689">
        <v>-0.44180000000000003</v>
      </c>
      <c r="AD4689">
        <v>-5.604E-2</v>
      </c>
      <c r="AE4689">
        <v>-0.71999999999999797</v>
      </c>
      <c r="AF4689">
        <v>-0.43098029644261998</v>
      </c>
      <c r="AG4689">
        <v>-5.604E-2</v>
      </c>
      <c r="AH4689">
        <v>0.72222121436030395</v>
      </c>
      <c r="AI4689">
        <v>93.812087445213507</v>
      </c>
      <c r="AJ4689">
        <v>120.826335155656</v>
      </c>
      <c r="AK4689">
        <v>0.84290449043402405</v>
      </c>
      <c r="AL4689">
        <v>89.341989321649294</v>
      </c>
      <c r="AM4689">
        <v>92.272230320821606</v>
      </c>
      <c r="AN4689">
        <v>0.99999996519879497</v>
      </c>
    </row>
    <row r="4690" spans="1:40" x14ac:dyDescent="0.25">
      <c r="A4690" t="str">
        <f>"20190312161106358"</f>
        <v>20190312161106358</v>
      </c>
      <c r="B4690" t="str">
        <f>"1552378266351950"</f>
        <v>1552378266351950</v>
      </c>
      <c r="C4690" t="s">
        <v>40</v>
      </c>
      <c r="D4690">
        <v>5.6241149999999998</v>
      </c>
      <c r="E4690">
        <v>0.34713260000000001</v>
      </c>
      <c r="F4690" t="s">
        <v>87</v>
      </c>
      <c r="G4690">
        <v>-422.851</v>
      </c>
      <c r="H4690" s="1">
        <v>-1.547055E-6</v>
      </c>
      <c r="I4690">
        <v>120.8391</v>
      </c>
      <c r="J4690">
        <v>-409.96890000000002</v>
      </c>
      <c r="K4690">
        <v>1.118393</v>
      </c>
      <c r="L4690">
        <v>137.8287</v>
      </c>
      <c r="M4690">
        <v>-0.87553749999999997</v>
      </c>
      <c r="N4690">
        <v>0</v>
      </c>
      <c r="O4690">
        <v>-0.4829157</v>
      </c>
      <c r="P4690">
        <v>-0.85589490000000001</v>
      </c>
      <c r="Q4690">
        <v>-2.6124960000000002E-3</v>
      </c>
      <c r="R4690">
        <v>-0.51714359999999904</v>
      </c>
      <c r="S4690">
        <v>-1.982056</v>
      </c>
      <c r="T4690">
        <v>-0.16683480000000001</v>
      </c>
      <c r="U4690">
        <v>-2.5705110000000002</v>
      </c>
      <c r="V4690">
        <v>-3.969723E-2</v>
      </c>
      <c r="W4690">
        <v>1.163964E-2</v>
      </c>
      <c r="X4690">
        <v>0.99914400000000003</v>
      </c>
      <c r="Y4690">
        <v>-0.39857340000000002</v>
      </c>
      <c r="Z4690">
        <v>1.545447E-2</v>
      </c>
      <c r="AA4690">
        <v>0.91700630000000005</v>
      </c>
      <c r="AB4690">
        <v>26</v>
      </c>
      <c r="AC4690">
        <v>-12.8820999999999</v>
      </c>
      <c r="AD4690">
        <v>-1.1183945470550001</v>
      </c>
      <c r="AE4690">
        <v>-16.9895999999999</v>
      </c>
      <c r="AF4690">
        <v>-8.6312950812889309</v>
      </c>
      <c r="AG4690">
        <v>-1.1183945470550001</v>
      </c>
      <c r="AH4690">
        <v>19.432046418224299</v>
      </c>
      <c r="AI4690">
        <v>93.010915855691493</v>
      </c>
      <c r="AJ4690">
        <v>113.949758334172</v>
      </c>
      <c r="AK4690">
        <v>21.292122701675101</v>
      </c>
      <c r="AL4690">
        <v>89.333082721262002</v>
      </c>
      <c r="AM4690">
        <v>92.275235659680007</v>
      </c>
      <c r="AN4690">
        <v>1.0000000420124999</v>
      </c>
    </row>
    <row r="4691" spans="1:40" x14ac:dyDescent="0.25">
      <c r="A4691" t="str">
        <f>"20190312161106380"</f>
        <v>20190312161106380</v>
      </c>
      <c r="B4691" t="str">
        <f>"1552378266371471"</f>
        <v>1552378266371471</v>
      </c>
      <c r="C4691" t="s">
        <v>40</v>
      </c>
      <c r="D4691">
        <v>5.9126839999999996</v>
      </c>
      <c r="E4691">
        <v>0.34698859999999998</v>
      </c>
      <c r="F4691" t="s">
        <v>87</v>
      </c>
      <c r="G4691">
        <v>-423.08969999999999</v>
      </c>
      <c r="H4691" s="1">
        <v>-1.220239E-6</v>
      </c>
      <c r="I4691">
        <v>120.22499999999999</v>
      </c>
      <c r="J4691">
        <v>-410.21460000000002</v>
      </c>
      <c r="K4691">
        <v>1.1184419999999999</v>
      </c>
      <c r="L4691">
        <v>137.67619999999999</v>
      </c>
      <c r="M4691">
        <v>-0.86895440000000002</v>
      </c>
      <c r="N4691">
        <v>0</v>
      </c>
      <c r="O4691">
        <v>-0.49466290000000002</v>
      </c>
      <c r="P4691">
        <v>-0.84843449999999998</v>
      </c>
      <c r="Q4691">
        <v>-2.617192E-3</v>
      </c>
      <c r="R4691">
        <v>-0.5292943</v>
      </c>
      <c r="S4691">
        <v>-1.9355469999999999</v>
      </c>
      <c r="T4691">
        <v>-0.1649833</v>
      </c>
      <c r="U4691">
        <v>-2.5968629999999999</v>
      </c>
      <c r="V4691">
        <v>-4.048856E-2</v>
      </c>
      <c r="W4691">
        <v>1.163201E-2</v>
      </c>
      <c r="X4691">
        <v>0.99911229999999995</v>
      </c>
      <c r="Y4691">
        <v>-0.40121220000000002</v>
      </c>
      <c r="Z4691">
        <v>1.591774E-2</v>
      </c>
      <c r="AA4691">
        <v>0.91584679999999996</v>
      </c>
      <c r="AB4691">
        <v>26</v>
      </c>
      <c r="AC4691">
        <v>-12.8750999999999</v>
      </c>
      <c r="AD4691">
        <v>-1.118443220239</v>
      </c>
      <c r="AE4691">
        <v>-17.4512</v>
      </c>
      <c r="AF4691">
        <v>-8.7731262397043501</v>
      </c>
      <c r="AG4691">
        <v>-1.118443220239</v>
      </c>
      <c r="AH4691">
        <v>19.7700013417946</v>
      </c>
      <c r="AI4691">
        <v>92.960126125861706</v>
      </c>
      <c r="AJ4691">
        <v>113.929710324171</v>
      </c>
      <c r="AK4691">
        <v>21.6580611391982</v>
      </c>
      <c r="AL4691">
        <v>89.333519894688806</v>
      </c>
      <c r="AM4691">
        <v>92.320614965596604</v>
      </c>
      <c r="AN4691">
        <v>1.0000000075794</v>
      </c>
    </row>
    <row r="4692" spans="1:40" x14ac:dyDescent="0.25">
      <c r="A4692" t="str">
        <f>"20190312161106400"</f>
        <v>20190312161106400</v>
      </c>
      <c r="B4692" t="str">
        <f>"1552378266391967"</f>
        <v>1552378266391967</v>
      </c>
      <c r="C4692" t="s">
        <v>40</v>
      </c>
      <c r="D4692">
        <v>5.9999219999999998</v>
      </c>
      <c r="E4692">
        <v>0.26398300000000002</v>
      </c>
      <c r="F4692" t="s">
        <v>87</v>
      </c>
      <c r="G4692">
        <v>-423.19940000000003</v>
      </c>
      <c r="H4692" s="1">
        <v>-9.2654810000000004E-7</v>
      </c>
      <c r="I4692">
        <v>119.717</v>
      </c>
      <c r="J4692">
        <v>-410.41309999999999</v>
      </c>
      <c r="K4692">
        <v>1.1184730000000001</v>
      </c>
      <c r="L4692">
        <v>137.54949999999999</v>
      </c>
      <c r="M4692">
        <v>-0.86343400000000003</v>
      </c>
      <c r="N4692">
        <v>0</v>
      </c>
      <c r="O4692">
        <v>-0.50423649999999998</v>
      </c>
      <c r="P4692">
        <v>-0.84161739999999996</v>
      </c>
      <c r="Q4692">
        <v>-2.8821749999999998E-3</v>
      </c>
      <c r="R4692">
        <v>-0.54006679999999996</v>
      </c>
      <c r="S4692">
        <v>-1.897858</v>
      </c>
      <c r="T4692">
        <v>-0.16347149999999999</v>
      </c>
      <c r="U4692">
        <v>-2.624908</v>
      </c>
      <c r="V4692">
        <v>-4.2178960000000001E-2</v>
      </c>
      <c r="W4692">
        <v>1.1342110000000001E-2</v>
      </c>
      <c r="X4692">
        <v>0.99904570000000004</v>
      </c>
      <c r="Y4692">
        <v>-0.40437410000000001</v>
      </c>
      <c r="Z4692">
        <v>1.62331E-2</v>
      </c>
      <c r="AA4692">
        <v>0.91444959999999997</v>
      </c>
      <c r="AB4692">
        <v>26</v>
      </c>
      <c r="AC4692">
        <v>-12.786300000000001</v>
      </c>
      <c r="AD4692">
        <v>-1.1184739265481001</v>
      </c>
      <c r="AE4692">
        <v>-17.8324999999999</v>
      </c>
      <c r="AF4692">
        <v>-8.9276892723294807</v>
      </c>
      <c r="AG4692">
        <v>-1.1184739265481001</v>
      </c>
      <c r="AH4692">
        <v>19.982283089416701</v>
      </c>
      <c r="AI4692">
        <v>92.925534542486503</v>
      </c>
      <c r="AJ4692">
        <v>114.074148100388</v>
      </c>
      <c r="AK4692">
        <v>21.9145216040238</v>
      </c>
      <c r="AL4692">
        <v>89.350131038267307</v>
      </c>
      <c r="AM4692">
        <v>92.417549112653703</v>
      </c>
      <c r="AN4692">
        <v>1.0000000094072099</v>
      </c>
    </row>
    <row r="4693" spans="1:40" x14ac:dyDescent="0.25">
      <c r="A4693" t="str">
        <f>"20190312161106423"</f>
        <v>20190312161106423</v>
      </c>
      <c r="B4693" t="str">
        <f>"1552378266411487"</f>
        <v>1552378266411487</v>
      </c>
      <c r="C4693" t="s">
        <v>40</v>
      </c>
      <c r="D4693">
        <v>5.7708740000000001</v>
      </c>
      <c r="E4693">
        <v>0.2664822</v>
      </c>
      <c r="F4693" t="s">
        <v>79</v>
      </c>
      <c r="G4693">
        <v>-444.41370000000001</v>
      </c>
      <c r="H4693">
        <v>11.849399999999999</v>
      </c>
      <c r="I4693">
        <v>65.675460000000001</v>
      </c>
      <c r="J4693">
        <v>-410.61810000000003</v>
      </c>
      <c r="K4693">
        <v>1.1185179999999999</v>
      </c>
      <c r="L4693">
        <v>137.4151</v>
      </c>
      <c r="M4693">
        <v>-0.85752839999999997</v>
      </c>
      <c r="N4693">
        <v>0</v>
      </c>
      <c r="O4693">
        <v>-0.51421490000000003</v>
      </c>
      <c r="P4693">
        <v>-0.8342908</v>
      </c>
      <c r="Q4693">
        <v>-3.4170490000000001E-3</v>
      </c>
      <c r="R4693">
        <v>-0.55131390000000002</v>
      </c>
      <c r="S4693">
        <v>-1.5133669999999999</v>
      </c>
      <c r="T4693">
        <v>0.4776318</v>
      </c>
      <c r="U4693">
        <v>-3.1990970000000001</v>
      </c>
      <c r="V4693">
        <v>-4.3994180000000001E-2</v>
      </c>
      <c r="W4693">
        <v>1.0779469999999999E-2</v>
      </c>
      <c r="X4693">
        <v>0.99897360000000002</v>
      </c>
      <c r="Y4693">
        <v>-0.55467519999999904</v>
      </c>
      <c r="Z4693">
        <v>-3.417659E-2</v>
      </c>
      <c r="AA4693">
        <v>0.83136480000000001</v>
      </c>
      <c r="AB4693">
        <v>26</v>
      </c>
      <c r="AC4693">
        <v>-33.795599999999901</v>
      </c>
      <c r="AD4693">
        <v>10.730881999999999</v>
      </c>
      <c r="AE4693">
        <v>-71.739639999999994</v>
      </c>
      <c r="AF4693">
        <v>-43.351803584173297</v>
      </c>
      <c r="AG4693">
        <v>10.730881999999999</v>
      </c>
      <c r="AH4693">
        <v>64.693203698225005</v>
      </c>
      <c r="AI4693">
        <v>82.154313116160907</v>
      </c>
      <c r="AJ4693">
        <v>123.82658208153499</v>
      </c>
      <c r="AK4693">
        <v>78.611330654293695</v>
      </c>
      <c r="AL4693">
        <v>89.382369883052604</v>
      </c>
      <c r="AM4693">
        <v>92.521641350947505</v>
      </c>
      <c r="AN4693">
        <v>0.99999996917215594</v>
      </c>
    </row>
    <row r="4694" spans="1:40" x14ac:dyDescent="0.25">
      <c r="A4694" t="str">
        <f>"20190312161106448"</f>
        <v>20190312161106448</v>
      </c>
      <c r="B4694" t="str">
        <f>"1552378266441742"</f>
        <v>1552378266441742</v>
      </c>
      <c r="C4694" t="s">
        <v>40</v>
      </c>
      <c r="D4694">
        <v>5.6992539999999998</v>
      </c>
      <c r="E4694">
        <v>0.29728520000000003</v>
      </c>
      <c r="F4694" t="s">
        <v>79</v>
      </c>
      <c r="G4694">
        <v>-443.82310000000001</v>
      </c>
      <c r="H4694">
        <v>12.162330000000001</v>
      </c>
      <c r="I4694">
        <v>65.675449999999998</v>
      </c>
      <c r="J4694">
        <v>-410.84550000000002</v>
      </c>
      <c r="K4694">
        <v>1.1185590000000001</v>
      </c>
      <c r="L4694">
        <v>137.26169999999999</v>
      </c>
      <c r="M4694">
        <v>-0.85073149999999997</v>
      </c>
      <c r="N4694">
        <v>0</v>
      </c>
      <c r="O4694">
        <v>-0.52538339999999994</v>
      </c>
      <c r="P4694">
        <v>-0.82616069999999997</v>
      </c>
      <c r="Q4694">
        <v>-3.1761620000000002E-3</v>
      </c>
      <c r="R4694">
        <v>-0.56342569999999903</v>
      </c>
      <c r="S4694">
        <v>-1.4820249999999999</v>
      </c>
      <c r="T4694">
        <v>0.49291360000000001</v>
      </c>
      <c r="U4694">
        <v>-3.2019199999999999</v>
      </c>
      <c r="V4694">
        <v>-4.551024E-2</v>
      </c>
      <c r="W4694">
        <v>1.0999760000000001E-2</v>
      </c>
      <c r="X4694">
        <v>0.99890330000000005</v>
      </c>
      <c r="Y4694">
        <v>-0.55080459999999998</v>
      </c>
      <c r="Z4694">
        <v>-3.7496599999999998E-2</v>
      </c>
      <c r="AA4694">
        <v>0.83379150000000002</v>
      </c>
      <c r="AB4694">
        <v>26</v>
      </c>
      <c r="AC4694">
        <v>-32.977599999999903</v>
      </c>
      <c r="AD4694">
        <v>11.043771</v>
      </c>
      <c r="AE4694">
        <v>-71.586249999999893</v>
      </c>
      <c r="AF4694">
        <v>-42.740623352159297</v>
      </c>
      <c r="AG4694">
        <v>11.043771</v>
      </c>
      <c r="AH4694">
        <v>64.408251475897401</v>
      </c>
      <c r="AI4694">
        <v>81.869162503140501</v>
      </c>
      <c r="AJ4694">
        <v>123.5678243614</v>
      </c>
      <c r="AK4694">
        <v>78.0842405393945</v>
      </c>
      <c r="AL4694">
        <v>89.369747459882404</v>
      </c>
      <c r="AM4694">
        <v>92.608603587574805</v>
      </c>
      <c r="AN4694">
        <v>0.99999998970790205</v>
      </c>
    </row>
    <row r="4695" spans="1:40" x14ac:dyDescent="0.25">
      <c r="A4695" t="str">
        <f>"20190312161106488"</f>
        <v>20190312161106488</v>
      </c>
      <c r="B4695" t="str">
        <f>"1552378266481510"</f>
        <v>1552378266481510</v>
      </c>
      <c r="C4695" t="s">
        <v>40</v>
      </c>
      <c r="D4695">
        <v>5.7424559999999998</v>
      </c>
      <c r="E4695">
        <v>0.30015140000000001</v>
      </c>
      <c r="F4695" t="s">
        <v>41</v>
      </c>
      <c r="G4695">
        <v>-430.07240000000002</v>
      </c>
      <c r="H4695">
        <v>7.9986650000000006E-2</v>
      </c>
      <c r="I4695">
        <v>100.11920000000001</v>
      </c>
      <c r="J4695">
        <v>-411.2242</v>
      </c>
      <c r="K4695">
        <v>1.1185940000000001</v>
      </c>
      <c r="L4695">
        <v>136.99639999999999</v>
      </c>
      <c r="M4695">
        <v>-0.83884789999999998</v>
      </c>
      <c r="N4695">
        <v>0</v>
      </c>
      <c r="O4695">
        <v>-0.54415550000000001</v>
      </c>
      <c r="P4695">
        <v>-0.8129729</v>
      </c>
      <c r="Q4695">
        <v>-4.1563599999999996E-3</v>
      </c>
      <c r="R4695">
        <v>-0.58228690000000005</v>
      </c>
      <c r="S4695">
        <v>-1.5667719999999901</v>
      </c>
      <c r="T4695">
        <v>-8.4631680000000001E-2</v>
      </c>
      <c r="U4695">
        <v>-3.026688</v>
      </c>
      <c r="V4695">
        <v>-4.6285189999999997E-2</v>
      </c>
      <c r="W4695">
        <v>1.0020390000000001E-2</v>
      </c>
      <c r="X4695">
        <v>0.99887800000000004</v>
      </c>
      <c r="Y4695">
        <v>-0.49485499999999999</v>
      </c>
      <c r="Z4695">
        <v>7.9965069999999999E-3</v>
      </c>
      <c r="AA4695">
        <v>0.86893880000000001</v>
      </c>
      <c r="AB4695">
        <v>26</v>
      </c>
      <c r="AC4695">
        <v>-18.848199999999999</v>
      </c>
      <c r="AD4695">
        <v>-1.0386073499999999</v>
      </c>
      <c r="AE4695">
        <v>-36.877199999999903</v>
      </c>
      <c r="AF4695">
        <v>-20.667380004045</v>
      </c>
      <c r="AG4695">
        <v>-1.0386073499999999</v>
      </c>
      <c r="AH4695">
        <v>35.859260309327396</v>
      </c>
      <c r="AI4695">
        <v>91.437476544257507</v>
      </c>
      <c r="AJ4695">
        <v>119.95687243436301</v>
      </c>
      <c r="AK4695">
        <v>41.401761452759203</v>
      </c>
      <c r="AL4695">
        <v>89.425864331617902</v>
      </c>
      <c r="AM4695">
        <v>92.653027150789001</v>
      </c>
      <c r="AN4695">
        <v>0.99999999295654396</v>
      </c>
    </row>
    <row r="4696" spans="1:40" x14ac:dyDescent="0.25">
      <c r="A4696" t="str">
        <f>"20190312161106510"</f>
        <v>20190312161106510</v>
      </c>
      <c r="B4696" t="str">
        <f>"1552378266502004"</f>
        <v>1552378266502004</v>
      </c>
      <c r="C4696" t="s">
        <v>40</v>
      </c>
      <c r="D4696">
        <v>5.756526</v>
      </c>
      <c r="E4696">
        <v>0.30246810000000002</v>
      </c>
      <c r="F4696" t="s">
        <v>41</v>
      </c>
      <c r="G4696">
        <v>-429.95780000000002</v>
      </c>
      <c r="H4696">
        <v>1.7580120000000001E-2</v>
      </c>
      <c r="I4696">
        <v>99.228080000000006</v>
      </c>
      <c r="J4696">
        <v>-411.42540000000002</v>
      </c>
      <c r="K4696">
        <v>1.118587</v>
      </c>
      <c r="L4696">
        <v>136.85</v>
      </c>
      <c r="M4696">
        <v>-0.83224909999999996</v>
      </c>
      <c r="N4696">
        <v>0</v>
      </c>
      <c r="O4696">
        <v>-0.554195199999999</v>
      </c>
      <c r="P4696">
        <v>-0.80580050000000003</v>
      </c>
      <c r="Q4696">
        <v>-4.4254389999999998E-3</v>
      </c>
      <c r="R4696">
        <v>-0.592171</v>
      </c>
      <c r="S4696">
        <v>-1.5097050000000001</v>
      </c>
      <c r="T4696">
        <v>-8.8729020000000006E-2</v>
      </c>
      <c r="U4696">
        <v>-3.0436860000000001</v>
      </c>
      <c r="V4696">
        <v>-4.6476780000000002E-2</v>
      </c>
      <c r="W4696">
        <v>9.7543290000000008E-3</v>
      </c>
      <c r="X4696">
        <v>0.99887170000000003</v>
      </c>
      <c r="Y4696">
        <v>-0.49936900000000001</v>
      </c>
      <c r="Z4696">
        <v>8.6569539999999997E-3</v>
      </c>
      <c r="AA4696">
        <v>0.86634619999999996</v>
      </c>
      <c r="AB4696">
        <v>26</v>
      </c>
      <c r="AC4696">
        <v>-18.532399999999999</v>
      </c>
      <c r="AD4696">
        <v>-1.1010068799999999</v>
      </c>
      <c r="AE4696">
        <v>-37.621919999999903</v>
      </c>
      <c r="AF4696">
        <v>-21.028159940429301</v>
      </c>
      <c r="AG4696">
        <v>-1.1010068799999999</v>
      </c>
      <c r="AH4696">
        <v>36.2526312916116</v>
      </c>
      <c r="AI4696">
        <v>91.504861469346494</v>
      </c>
      <c r="AJ4696">
        <v>120.115665273734</v>
      </c>
      <c r="AK4696">
        <v>41.924324707687497</v>
      </c>
      <c r="AL4696">
        <v>89.441109228438094</v>
      </c>
      <c r="AM4696">
        <v>92.664009914418102</v>
      </c>
      <c r="AN4696">
        <v>0.99999995553714804</v>
      </c>
    </row>
    <row r="4697" spans="1:40" x14ac:dyDescent="0.25">
      <c r="A4697" t="str">
        <f>"20190312161106535"</f>
        <v>20190312161106535</v>
      </c>
      <c r="B4697" t="str">
        <f>"1552378266531283"</f>
        <v>1552378266531283</v>
      </c>
      <c r="C4697" t="s">
        <v>40</v>
      </c>
      <c r="D4697">
        <v>5.7313099999999997</v>
      </c>
      <c r="E4697">
        <v>0.30548750000000002</v>
      </c>
      <c r="F4697" t="s">
        <v>41</v>
      </c>
      <c r="G4697">
        <v>-427.85969999999998</v>
      </c>
      <c r="H4697" s="1">
        <v>-3.622728E-6</v>
      </c>
      <c r="I4697">
        <v>103.0894</v>
      </c>
      <c r="J4697">
        <v>-411.64089999999999</v>
      </c>
      <c r="K4697">
        <v>1.118568</v>
      </c>
      <c r="L4697">
        <v>136.6891</v>
      </c>
      <c r="M4697">
        <v>-0.82496349999999996</v>
      </c>
      <c r="N4697">
        <v>0</v>
      </c>
      <c r="O4697">
        <v>-0.56498309999999996</v>
      </c>
      <c r="P4697">
        <v>-0.79801759999999999</v>
      </c>
      <c r="Q4697">
        <v>-5.4797780000000003E-3</v>
      </c>
      <c r="R4697">
        <v>-0.60260930000000001</v>
      </c>
      <c r="S4697">
        <v>-1.4832459999999901</v>
      </c>
      <c r="T4697">
        <v>-0.10095609999999999</v>
      </c>
      <c r="U4697">
        <v>-3.0469970000000002</v>
      </c>
      <c r="V4697">
        <v>-4.6456270000000001E-2</v>
      </c>
      <c r="W4697">
        <v>8.7072399999999998E-3</v>
      </c>
      <c r="X4697">
        <v>0.99888239999999995</v>
      </c>
      <c r="Y4697">
        <v>-0.49452119999999999</v>
      </c>
      <c r="Z4697">
        <v>1.0327360000000001E-2</v>
      </c>
      <c r="AA4697">
        <v>0.86910419999999999</v>
      </c>
      <c r="AB4697">
        <v>26</v>
      </c>
      <c r="AC4697">
        <v>-16.218799999999899</v>
      </c>
      <c r="AD4697">
        <v>-1.118571622728</v>
      </c>
      <c r="AE4697">
        <v>-33.599699999999999</v>
      </c>
      <c r="AF4697">
        <v>-18.540640688487098</v>
      </c>
      <c r="AG4697">
        <v>-1.118571622728</v>
      </c>
      <c r="AH4697">
        <v>32.337824932511197</v>
      </c>
      <c r="AI4697">
        <v>91.718811960652999</v>
      </c>
      <c r="AJ4697">
        <v>119.82746832680699</v>
      </c>
      <c r="AK4697">
        <v>37.292646473272796</v>
      </c>
      <c r="AL4697">
        <v>89.501105605117701</v>
      </c>
      <c r="AM4697">
        <v>92.662807507799997</v>
      </c>
      <c r="AN4697">
        <v>1.0000000250402401</v>
      </c>
    </row>
    <row r="4698" spans="1:40" x14ac:dyDescent="0.25">
      <c r="A4698" t="str">
        <f>"20190312161106560"</f>
        <v>20190312161106560</v>
      </c>
      <c r="B4698" t="str">
        <f>"1552378266551780"</f>
        <v>1552378266551780</v>
      </c>
      <c r="C4698" t="s">
        <v>40</v>
      </c>
      <c r="D4698">
        <v>5.7218</v>
      </c>
      <c r="E4698">
        <v>0.307137099999999</v>
      </c>
      <c r="F4698" t="s">
        <v>41</v>
      </c>
      <c r="G4698">
        <v>-426.05399999999997</v>
      </c>
      <c r="H4698" s="1">
        <v>-4.6393770000000004E-6</v>
      </c>
      <c r="I4698">
        <v>106.57089999999999</v>
      </c>
      <c r="J4698">
        <v>-411.86739999999998</v>
      </c>
      <c r="K4698">
        <v>1.1185430000000001</v>
      </c>
      <c r="L4698">
        <v>136.5154</v>
      </c>
      <c r="M4698">
        <v>-0.81706939999999995</v>
      </c>
      <c r="N4698">
        <v>0</v>
      </c>
      <c r="O4698">
        <v>-0.57634059999999998</v>
      </c>
      <c r="P4698">
        <v>-0.78986190000000001</v>
      </c>
      <c r="Q4698">
        <v>-5.8062690000000002E-3</v>
      </c>
      <c r="R4698">
        <v>-0.61325779999999996</v>
      </c>
      <c r="S4698">
        <v>-1.4579470000000001</v>
      </c>
      <c r="T4698">
        <v>-0.113149</v>
      </c>
      <c r="U4698">
        <v>-3.0466000000000002</v>
      </c>
      <c r="V4698">
        <v>-4.602962E-2</v>
      </c>
      <c r="W4698">
        <v>8.3963519999999993E-3</v>
      </c>
      <c r="X4698">
        <v>0.99890480000000004</v>
      </c>
      <c r="Y4698">
        <v>-0.48830079999999998</v>
      </c>
      <c r="Z4698">
        <v>1.216741E-2</v>
      </c>
      <c r="AA4698">
        <v>0.87259059999999899</v>
      </c>
      <c r="AB4698">
        <v>25</v>
      </c>
      <c r="AC4698">
        <v>-14.1866</v>
      </c>
      <c r="AD4698">
        <v>-1.118547639377</v>
      </c>
      <c r="AE4698">
        <v>-29.944500000000001</v>
      </c>
      <c r="AF4698">
        <v>-16.273742811124801</v>
      </c>
      <c r="AG4698">
        <v>-1.118547639377</v>
      </c>
      <c r="AH4698">
        <v>28.820131294517999</v>
      </c>
      <c r="AI4698">
        <v>91.935613378964106</v>
      </c>
      <c r="AJ4698">
        <v>119.451931904802</v>
      </c>
      <c r="AK4698">
        <v>33.116247096213201</v>
      </c>
      <c r="AL4698">
        <v>89.518918820177902</v>
      </c>
      <c r="AM4698">
        <v>92.638328169635201</v>
      </c>
      <c r="AN4698">
        <v>1.0000000120536401</v>
      </c>
    </row>
    <row r="4699" spans="1:40" x14ac:dyDescent="0.25">
      <c r="A4699" t="str">
        <f>"20190312161106600"</f>
        <v>20190312161106600</v>
      </c>
      <c r="B4699" t="str">
        <f>"1552378266591796"</f>
        <v>1552378266591796</v>
      </c>
      <c r="C4699" t="s">
        <v>40</v>
      </c>
      <c r="D4699">
        <v>5.711201</v>
      </c>
      <c r="E4699">
        <v>0.3230943</v>
      </c>
      <c r="F4699" t="s">
        <v>41</v>
      </c>
      <c r="G4699">
        <v>-425.52</v>
      </c>
      <c r="H4699" s="1">
        <v>-4.8016580000000002E-6</v>
      </c>
      <c r="I4699">
        <v>107.2401</v>
      </c>
      <c r="J4699">
        <v>-412.21510000000001</v>
      </c>
      <c r="K4699">
        <v>1.118501</v>
      </c>
      <c r="L4699">
        <v>136.23849999999999</v>
      </c>
      <c r="M4699">
        <v>-0.80446269999999998</v>
      </c>
      <c r="N4699">
        <v>0</v>
      </c>
      <c r="O4699">
        <v>-0.59381010000000001</v>
      </c>
      <c r="P4699">
        <v>-0.77727659999999998</v>
      </c>
      <c r="Q4699">
        <v>-6.7283280000000004E-3</v>
      </c>
      <c r="R4699">
        <v>-0.6291234</v>
      </c>
      <c r="S4699">
        <v>-1.424957</v>
      </c>
      <c r="T4699">
        <v>-0.11674619999999999</v>
      </c>
      <c r="U4699">
        <v>-3.055542</v>
      </c>
      <c r="V4699">
        <v>-4.4717659999999999E-2</v>
      </c>
      <c r="W4699">
        <v>7.5080329999999999E-3</v>
      </c>
      <c r="X4699">
        <v>0.99897150000000001</v>
      </c>
      <c r="Y4699">
        <v>-0.47817720000000002</v>
      </c>
      <c r="Z4699">
        <v>1.346641E-2</v>
      </c>
      <c r="AA4699">
        <v>0.8781601</v>
      </c>
      <c r="AB4699">
        <v>25</v>
      </c>
      <c r="AC4699">
        <v>-13.3048999999999</v>
      </c>
      <c r="AD4699">
        <v>-1.1185058016580001</v>
      </c>
      <c r="AE4699">
        <v>-28.998399999999901</v>
      </c>
      <c r="AF4699">
        <v>-15.4103767700595</v>
      </c>
      <c r="AG4699">
        <v>-1.1185058016580001</v>
      </c>
      <c r="AH4699">
        <v>27.891761312142499</v>
      </c>
      <c r="AI4699">
        <v>92.010284868754795</v>
      </c>
      <c r="AJ4699">
        <v>118.920931493935</v>
      </c>
      <c r="AK4699">
        <v>31.885437373777101</v>
      </c>
      <c r="AL4699">
        <v>89.569817375953505</v>
      </c>
      <c r="AM4699">
        <v>92.563060024889595</v>
      </c>
      <c r="AN4699">
        <v>1.0000000487438201</v>
      </c>
    </row>
    <row r="4700" spans="1:40" x14ac:dyDescent="0.25">
      <c r="A4700" t="str">
        <f>"20190312161106645"</f>
        <v>20190312161106645</v>
      </c>
      <c r="B4700" t="str">
        <f>"1552378266641571"</f>
        <v>1552378266641571</v>
      </c>
      <c r="C4700" t="s">
        <v>40</v>
      </c>
      <c r="D4700">
        <v>5.6494439999999999</v>
      </c>
      <c r="E4700">
        <v>0.33009480000000002</v>
      </c>
      <c r="F4700" t="s">
        <v>42</v>
      </c>
      <c r="G4700">
        <v>-412.62240000000003</v>
      </c>
      <c r="H4700">
        <v>1.070465</v>
      </c>
      <c r="I4700">
        <v>135.3955</v>
      </c>
      <c r="J4700">
        <v>-412.59109999999998</v>
      </c>
      <c r="K4700">
        <v>1.1184559999999999</v>
      </c>
      <c r="L4700">
        <v>135.92500000000001</v>
      </c>
      <c r="M4700">
        <v>-0.79015040000000003</v>
      </c>
      <c r="N4700">
        <v>0</v>
      </c>
      <c r="O4700">
        <v>-0.61272599999999999</v>
      </c>
      <c r="P4700">
        <v>-0.76258079999999995</v>
      </c>
      <c r="Q4700">
        <v>-6.5826189999999996E-3</v>
      </c>
      <c r="R4700">
        <v>-0.64685950000000003</v>
      </c>
      <c r="S4700">
        <v>-1.4419249999999999</v>
      </c>
      <c r="T4700">
        <v>-0.17005379999999901</v>
      </c>
      <c r="U4700">
        <v>-2.9852750000000001</v>
      </c>
      <c r="V4700">
        <v>-4.4031170000000001E-2</v>
      </c>
      <c r="W4700">
        <v>7.6711069999999999E-3</v>
      </c>
      <c r="X4700">
        <v>0.99900069999999996</v>
      </c>
      <c r="Y4700">
        <v>-0.4451425</v>
      </c>
      <c r="Z4700">
        <v>2.1893280000000001E-2</v>
      </c>
      <c r="AA4700">
        <v>0.89519210000000005</v>
      </c>
      <c r="AB4700">
        <v>25</v>
      </c>
      <c r="AC4700">
        <v>-3.1300000000044202E-2</v>
      </c>
      <c r="AD4700">
        <v>-4.7990999999999798E-2</v>
      </c>
      <c r="AE4700">
        <v>-0.52950000000001296</v>
      </c>
      <c r="AF4700">
        <v>-0.39601032058527702</v>
      </c>
      <c r="AG4700">
        <v>-4.7990999999999798E-2</v>
      </c>
      <c r="AH4700">
        <v>0.34637471514632301</v>
      </c>
      <c r="AI4700">
        <v>95.211940888925596</v>
      </c>
      <c r="AJ4700">
        <v>138.82508303544299</v>
      </c>
      <c r="AK4700">
        <v>0.52830176356297598</v>
      </c>
      <c r="AL4700">
        <v>89.560473631369206</v>
      </c>
      <c r="AM4700">
        <v>92.523690415472103</v>
      </c>
      <c r="AN4700">
        <v>0.99999999420733199</v>
      </c>
    </row>
    <row r="4701" spans="1:40" x14ac:dyDescent="0.25">
      <c r="A4701" t="str">
        <f>"20190312161106667"</f>
        <v>20190312161106667</v>
      </c>
      <c r="B4701" t="str">
        <f>"1552378266661600"</f>
        <v>1552378266661600</v>
      </c>
      <c r="C4701" t="s">
        <v>40</v>
      </c>
      <c r="D4701">
        <v>5.6445049999999997</v>
      </c>
      <c r="E4701">
        <v>0.33204980000000001</v>
      </c>
      <c r="F4701" t="s">
        <v>42</v>
      </c>
      <c r="G4701">
        <v>-413.0403</v>
      </c>
      <c r="H4701">
        <v>1.054594</v>
      </c>
      <c r="I4701">
        <v>134.97579999999999</v>
      </c>
      <c r="J4701">
        <v>-412.7833</v>
      </c>
      <c r="K4701">
        <v>1.1184320000000001</v>
      </c>
      <c r="L4701">
        <v>135.7585</v>
      </c>
      <c r="M4701">
        <v>-0.78254380000000001</v>
      </c>
      <c r="N4701">
        <v>0</v>
      </c>
      <c r="O4701">
        <v>-0.6224113</v>
      </c>
      <c r="P4701">
        <v>-0.75495249999999903</v>
      </c>
      <c r="Q4701">
        <v>-5.853993E-3</v>
      </c>
      <c r="R4701">
        <v>-0.65575329999999998</v>
      </c>
      <c r="S4701">
        <v>-1.408325</v>
      </c>
      <c r="T4701">
        <v>-0.20022000000000001</v>
      </c>
      <c r="U4701">
        <v>-2.9755099999999999</v>
      </c>
      <c r="V4701">
        <v>-4.3446409999999998E-2</v>
      </c>
      <c r="W4701">
        <v>8.4116109999999994E-3</v>
      </c>
      <c r="X4701">
        <v>0.99902029999999997</v>
      </c>
      <c r="Y4701">
        <v>-0.44123040000000002</v>
      </c>
      <c r="Z4701">
        <v>2.6755689999999999E-2</v>
      </c>
      <c r="AA4701">
        <v>0.89699490000000004</v>
      </c>
      <c r="AB4701">
        <v>25</v>
      </c>
      <c r="AC4701">
        <v>-0.257000000000005</v>
      </c>
      <c r="AD4701">
        <v>-6.3837999999999798E-2</v>
      </c>
      <c r="AE4701">
        <v>-0.78270000000000495</v>
      </c>
      <c r="AF4701">
        <v>-0.449887736343213</v>
      </c>
      <c r="AG4701">
        <v>-6.3837999999999798E-2</v>
      </c>
      <c r="AH4701">
        <v>0.68424525216744603</v>
      </c>
      <c r="AI4701">
        <v>94.457545056412599</v>
      </c>
      <c r="AJ4701">
        <v>123.32471415182</v>
      </c>
      <c r="AK4701">
        <v>0.82138044210323902</v>
      </c>
      <c r="AL4701">
        <v>89.518044484444005</v>
      </c>
      <c r="AM4701">
        <v>92.4901679934257</v>
      </c>
      <c r="AN4701">
        <v>0.99999995277679499</v>
      </c>
    </row>
    <row r="4702" spans="1:40" x14ac:dyDescent="0.25">
      <c r="A4702" t="str">
        <f>"20190312161106689"</f>
        <v>20190312161106689</v>
      </c>
      <c r="B4702" t="str">
        <f>"1552378266682096"</f>
        <v>1552378266682096</v>
      </c>
      <c r="C4702" t="s">
        <v>40</v>
      </c>
      <c r="D4702">
        <v>5.6386469999999997</v>
      </c>
      <c r="E4702">
        <v>0.33278479999999999</v>
      </c>
      <c r="F4702" t="s">
        <v>42</v>
      </c>
      <c r="G4702">
        <v>-413.21080000000001</v>
      </c>
      <c r="H4702">
        <v>1.0550029999999999</v>
      </c>
      <c r="I4702">
        <v>134.8374</v>
      </c>
      <c r="J4702">
        <v>-412.96730000000002</v>
      </c>
      <c r="K4702">
        <v>1.118403</v>
      </c>
      <c r="L4702">
        <v>135.59520000000001</v>
      </c>
      <c r="M4702">
        <v>-0.77507000000000004</v>
      </c>
      <c r="N4702">
        <v>0</v>
      </c>
      <c r="O4702">
        <v>-0.63169390000000003</v>
      </c>
      <c r="P4702">
        <v>-0.74748130000000002</v>
      </c>
      <c r="Q4702">
        <v>-5.5770960000000001E-3</v>
      </c>
      <c r="R4702">
        <v>-0.66425940000000006</v>
      </c>
      <c r="S4702">
        <v>-1.383087</v>
      </c>
      <c r="T4702">
        <v>-0.2052081</v>
      </c>
      <c r="U4702">
        <v>-2.9807130000000002</v>
      </c>
      <c r="V4702">
        <v>-4.2855119999999997E-2</v>
      </c>
      <c r="W4702">
        <v>8.7005629999999997E-3</v>
      </c>
      <c r="X4702">
        <v>0.99904340000000003</v>
      </c>
      <c r="Y4702">
        <v>-0.43738690000000002</v>
      </c>
      <c r="Z4702">
        <v>2.8266289999999999E-2</v>
      </c>
      <c r="AA4702">
        <v>0.89882899999999999</v>
      </c>
      <c r="AB4702">
        <v>25</v>
      </c>
      <c r="AC4702">
        <v>-0.24349999999998301</v>
      </c>
      <c r="AD4702">
        <v>-6.3399999999999901E-2</v>
      </c>
      <c r="AE4702">
        <v>-0.75780000000000303</v>
      </c>
      <c r="AF4702">
        <v>-0.43084680116493201</v>
      </c>
      <c r="AG4702">
        <v>-6.3399999999999901E-2</v>
      </c>
      <c r="AH4702">
        <v>0.66329546040493403</v>
      </c>
      <c r="AI4702">
        <v>94.582890503059005</v>
      </c>
      <c r="AJ4702">
        <v>123.005935141264</v>
      </c>
      <c r="AK4702">
        <v>0.79347929643302495</v>
      </c>
      <c r="AL4702">
        <v>89.501488165101804</v>
      </c>
      <c r="AM4702">
        <v>92.456262773133005</v>
      </c>
      <c r="AN4702">
        <v>0.99999998809514501</v>
      </c>
    </row>
    <row r="4703" spans="1:40" x14ac:dyDescent="0.25">
      <c r="A4703" t="str">
        <f>"20190312161106712"</f>
        <v>20190312161106712</v>
      </c>
      <c r="B4703" t="str">
        <f>"1552378266701616"</f>
        <v>1552378266701616</v>
      </c>
      <c r="C4703" t="s">
        <v>40</v>
      </c>
      <c r="D4703">
        <v>5.5785179999999999</v>
      </c>
      <c r="E4703">
        <v>0.33371220000000001</v>
      </c>
      <c r="F4703" t="s">
        <v>42</v>
      </c>
      <c r="G4703">
        <v>-413.37520000000001</v>
      </c>
      <c r="H4703">
        <v>1.0577000000000001</v>
      </c>
      <c r="I4703">
        <v>134.6934</v>
      </c>
      <c r="J4703">
        <v>-413.14940000000001</v>
      </c>
      <c r="K4703">
        <v>1.1183799999999999</v>
      </c>
      <c r="L4703">
        <v>135.4297</v>
      </c>
      <c r="M4703">
        <v>-0.76748719999999904</v>
      </c>
      <c r="N4703">
        <v>0</v>
      </c>
      <c r="O4703">
        <v>-0.6408857</v>
      </c>
      <c r="P4703">
        <v>-0.73947309999999999</v>
      </c>
      <c r="Q4703">
        <v>-5.5587049999999997E-3</v>
      </c>
      <c r="R4703">
        <v>-0.67316350000000003</v>
      </c>
      <c r="S4703">
        <v>-1.3533329999999999</v>
      </c>
      <c r="T4703">
        <v>-0.2013857</v>
      </c>
      <c r="U4703">
        <v>-2.9916839999999998</v>
      </c>
      <c r="V4703">
        <v>-4.2913239999999998E-2</v>
      </c>
      <c r="W4703">
        <v>8.7162980000000008E-3</v>
      </c>
      <c r="X4703">
        <v>0.99904079999999995</v>
      </c>
      <c r="Y4703">
        <v>-0.43532799999999999</v>
      </c>
      <c r="Z4703">
        <v>2.8487849999999999E-2</v>
      </c>
      <c r="AA4703">
        <v>0.89982109999999904</v>
      </c>
      <c r="AB4703">
        <v>25</v>
      </c>
      <c r="AC4703">
        <v>-0.22579999999999201</v>
      </c>
      <c r="AD4703">
        <v>-6.0679999999999797E-2</v>
      </c>
      <c r="AE4703">
        <v>-0.73629999999999995</v>
      </c>
      <c r="AF4703">
        <v>-0.41784302350075098</v>
      </c>
      <c r="AG4703">
        <v>-6.0679999999999797E-2</v>
      </c>
      <c r="AH4703">
        <v>0.64127562212581501</v>
      </c>
      <c r="AI4703">
        <v>94.532898767234499</v>
      </c>
      <c r="AJ4703">
        <v>123.087502212787</v>
      </c>
      <c r="AK4703">
        <v>0.76779507566869698</v>
      </c>
      <c r="AL4703">
        <v>89.500586597768006</v>
      </c>
      <c r="AM4703">
        <v>92.459596255191897</v>
      </c>
      <c r="AN4703">
        <v>1.0000000200413801</v>
      </c>
    </row>
    <row r="4704" spans="1:40" x14ac:dyDescent="0.25">
      <c r="A4704" t="str">
        <f>"20190312161106738"</f>
        <v>20190312161106738</v>
      </c>
      <c r="B4704" t="str">
        <f>"1552378266731872"</f>
        <v>1552378266731872</v>
      </c>
      <c r="C4704" t="s">
        <v>40</v>
      </c>
      <c r="D4704">
        <v>5.5479050000000001</v>
      </c>
      <c r="E4704">
        <v>0.33531030000000001</v>
      </c>
      <c r="F4704" t="s">
        <v>42</v>
      </c>
      <c r="G4704">
        <v>-413.54610000000002</v>
      </c>
      <c r="H4704">
        <v>1.0569809999999999</v>
      </c>
      <c r="I4704">
        <v>134.52930000000001</v>
      </c>
      <c r="J4704">
        <v>-413.36430000000001</v>
      </c>
      <c r="K4704">
        <v>1.1183529999999999</v>
      </c>
      <c r="L4704">
        <v>135.22919999999999</v>
      </c>
      <c r="M4704">
        <v>-0.75828359999999995</v>
      </c>
      <c r="N4704">
        <v>0</v>
      </c>
      <c r="O4704">
        <v>-0.65174940000000003</v>
      </c>
      <c r="P4704">
        <v>-0.73015490000000005</v>
      </c>
      <c r="Q4704">
        <v>-6.722184E-3</v>
      </c>
      <c r="R4704">
        <v>-0.68324890000000005</v>
      </c>
      <c r="S4704">
        <v>-1.3226009999999999</v>
      </c>
      <c r="T4704">
        <v>-0.20468990000000001</v>
      </c>
      <c r="U4704">
        <v>-3.0020449999999999</v>
      </c>
      <c r="V4704">
        <v>-4.2381509999999997E-2</v>
      </c>
      <c r="W4704">
        <v>7.5623909999999999E-3</v>
      </c>
      <c r="X4704">
        <v>0.99907279999999998</v>
      </c>
      <c r="Y4704">
        <v>-0.4313765</v>
      </c>
      <c r="Z4704">
        <v>2.9897799999999999E-2</v>
      </c>
      <c r="AA4704">
        <v>0.90167640000000004</v>
      </c>
      <c r="AB4704">
        <v>25</v>
      </c>
      <c r="AC4704">
        <v>-0.18180000000000901</v>
      </c>
      <c r="AD4704">
        <v>-6.1372000000000197E-2</v>
      </c>
      <c r="AE4704">
        <v>-0.69989999999998498</v>
      </c>
      <c r="AF4704">
        <v>-0.40933337561203997</v>
      </c>
      <c r="AG4704">
        <v>-6.1372000000000197E-2</v>
      </c>
      <c r="AH4704">
        <v>0.58983473004651599</v>
      </c>
      <c r="AI4704">
        <v>94.885864747135102</v>
      </c>
      <c r="AJ4704">
        <v>124.75986603737</v>
      </c>
      <c r="AK4704">
        <v>0.72057292728980205</v>
      </c>
      <c r="AL4704">
        <v>89.566702748314</v>
      </c>
      <c r="AM4704">
        <v>92.429078878159203</v>
      </c>
      <c r="AN4704">
        <v>0.99999992092367496</v>
      </c>
    </row>
    <row r="4705" spans="1:40" x14ac:dyDescent="0.25">
      <c r="A4705" t="str">
        <f>"20190312161106779"</f>
        <v>20190312161106779</v>
      </c>
      <c r="B4705" t="str">
        <f>"1552378266771888"</f>
        <v>1552378266771888</v>
      </c>
      <c r="C4705" t="s">
        <v>40</v>
      </c>
      <c r="D4705">
        <v>5.5571479999999998</v>
      </c>
      <c r="E4705">
        <v>0.34712959999999998</v>
      </c>
      <c r="F4705" t="s">
        <v>41</v>
      </c>
      <c r="G4705">
        <v>-420.12259999999998</v>
      </c>
      <c r="H4705" s="1">
        <v>-4.2615359999999999E-6</v>
      </c>
      <c r="I4705">
        <v>119.4468</v>
      </c>
      <c r="J4705">
        <v>-413.68520000000001</v>
      </c>
      <c r="K4705">
        <v>1.1183080000000001</v>
      </c>
      <c r="L4705">
        <v>134.91890000000001</v>
      </c>
      <c r="M4705">
        <v>-0.74400619999999995</v>
      </c>
      <c r="N4705">
        <v>0</v>
      </c>
      <c r="O4705">
        <v>-0.66800150000000003</v>
      </c>
      <c r="P4705">
        <v>-0.71569680000000002</v>
      </c>
      <c r="Q4705">
        <v>-6.9622599999999996E-3</v>
      </c>
      <c r="R4705">
        <v>-0.69837649999999996</v>
      </c>
      <c r="S4705">
        <v>-1.289307</v>
      </c>
      <c r="T4705">
        <v>-0.21335409999999999</v>
      </c>
      <c r="U4705">
        <v>-3.0108799999999998</v>
      </c>
      <c r="V4705">
        <v>-4.1667450000000002E-2</v>
      </c>
      <c r="W4705">
        <v>7.3330380000000001E-3</v>
      </c>
      <c r="X4705">
        <v>0.99910460000000001</v>
      </c>
      <c r="Y4705">
        <v>-0.4212436</v>
      </c>
      <c r="Z4705">
        <v>3.2759959999999998E-2</v>
      </c>
      <c r="AA4705">
        <v>0.90635569999999999</v>
      </c>
      <c r="AB4705">
        <v>25</v>
      </c>
      <c r="AC4705">
        <v>-6.4373999999999603</v>
      </c>
      <c r="AD4705">
        <v>-1.1183122615359999</v>
      </c>
      <c r="AE4705">
        <v>-15.472099999999999</v>
      </c>
      <c r="AF4705">
        <v>-7.1799952788477004</v>
      </c>
      <c r="AG4705">
        <v>-1.1183122615359999</v>
      </c>
      <c r="AH4705">
        <v>15.0595162647901</v>
      </c>
      <c r="AI4705">
        <v>93.834843644142495</v>
      </c>
      <c r="AJ4705">
        <v>115.490621764454</v>
      </c>
      <c r="AK4705">
        <v>16.721004295437901</v>
      </c>
      <c r="AL4705">
        <v>89.579844095822295</v>
      </c>
      <c r="AM4705">
        <v>92.388124688747496</v>
      </c>
      <c r="AN4705">
        <v>0.99999997578848498</v>
      </c>
    </row>
    <row r="4706" spans="1:40" x14ac:dyDescent="0.25">
      <c r="A4706" t="str">
        <f>"20190312161106805"</f>
        <v>20190312161106805</v>
      </c>
      <c r="B4706" t="str">
        <f>"1552378266802146"</f>
        <v>1552378266802146</v>
      </c>
      <c r="C4706" t="s">
        <v>40</v>
      </c>
      <c r="D4706">
        <v>3.7051210000000001</v>
      </c>
      <c r="E4706">
        <v>0.34741729999999998</v>
      </c>
      <c r="F4706" t="s">
        <v>87</v>
      </c>
      <c r="G4706">
        <v>-419.11900000000003</v>
      </c>
      <c r="H4706" s="1">
        <v>-1.8962440000000001E-6</v>
      </c>
      <c r="I4706">
        <v>122.4158</v>
      </c>
      <c r="J4706">
        <v>-413.88369999999998</v>
      </c>
      <c r="K4706">
        <v>1.1182840000000001</v>
      </c>
      <c r="L4706">
        <v>134.72030000000001</v>
      </c>
      <c r="M4706">
        <v>-0.73485</v>
      </c>
      <c r="N4706">
        <v>0</v>
      </c>
      <c r="O4706">
        <v>-0.67806089999999997</v>
      </c>
      <c r="P4706">
        <v>-0.70554490000000003</v>
      </c>
      <c r="Q4706">
        <v>-6.6511649999999997E-3</v>
      </c>
      <c r="R4706">
        <v>-0.70863379999999998</v>
      </c>
      <c r="S4706">
        <v>-1.2908329999999999</v>
      </c>
      <c r="T4706">
        <v>-0.26566289999999998</v>
      </c>
      <c r="U4706">
        <v>-2.9701840000000002</v>
      </c>
      <c r="V4706">
        <v>-4.2500110000000001E-2</v>
      </c>
      <c r="W4706">
        <v>7.6253319999999899E-3</v>
      </c>
      <c r="X4706">
        <v>0.99906740000000005</v>
      </c>
      <c r="Y4706">
        <v>-0.4041285</v>
      </c>
      <c r="Z4706">
        <v>4.2795880000000001E-2</v>
      </c>
      <c r="AA4706">
        <v>0.91370050000000003</v>
      </c>
      <c r="AB4706">
        <v>25</v>
      </c>
      <c r="AC4706">
        <v>-5.2353000000000502</v>
      </c>
      <c r="AD4706">
        <v>-1.1182858962440001</v>
      </c>
      <c r="AE4706">
        <v>-12.304500000000001</v>
      </c>
      <c r="AF4706">
        <v>-5.4545896926049799</v>
      </c>
      <c r="AG4706">
        <v>-1.1182858962440001</v>
      </c>
      <c r="AH4706">
        <v>12.1070808670201</v>
      </c>
      <c r="AI4706">
        <v>94.813754878634498</v>
      </c>
      <c r="AJ4706">
        <v>114.252940421288</v>
      </c>
      <c r="AK4706">
        <v>13.326084165311901</v>
      </c>
      <c r="AL4706">
        <v>89.563096441270702</v>
      </c>
      <c r="AM4706">
        <v>92.435881362330605</v>
      </c>
      <c r="AN4706">
        <v>1.0000000373904401</v>
      </c>
    </row>
    <row r="4707" spans="1:40" x14ac:dyDescent="0.25">
      <c r="A4707" t="str">
        <f>"20190312161106826"</f>
        <v>20190312161106826</v>
      </c>
      <c r="B4707" t="str">
        <f>"1552378266821665"</f>
        <v>1552378266821665</v>
      </c>
      <c r="C4707" t="s">
        <v>40</v>
      </c>
      <c r="D4707">
        <v>5.567939</v>
      </c>
      <c r="E4707">
        <v>0.33957399999999999</v>
      </c>
      <c r="F4707" t="s">
        <v>42</v>
      </c>
      <c r="G4707">
        <v>-414.30200000000002</v>
      </c>
      <c r="H4707">
        <v>1.031031</v>
      </c>
      <c r="I4707">
        <v>133.72040000000001</v>
      </c>
      <c r="J4707">
        <v>-414.04770000000002</v>
      </c>
      <c r="K4707">
        <v>1.1182589999999999</v>
      </c>
      <c r="L4707">
        <v>134.55170000000001</v>
      </c>
      <c r="M4707">
        <v>-0.72707409999999995</v>
      </c>
      <c r="N4707">
        <v>0</v>
      </c>
      <c r="O4707">
        <v>-0.68639249999999996</v>
      </c>
      <c r="P4707">
        <v>-0.69671430000000001</v>
      </c>
      <c r="Q4707">
        <v>-7.3107900000000002E-3</v>
      </c>
      <c r="R4707">
        <v>-0.71731160000000005</v>
      </c>
      <c r="S4707">
        <v>-1.249878</v>
      </c>
      <c r="T4707">
        <v>-0.26063249999999999</v>
      </c>
      <c r="U4707">
        <v>-2.9866329999999999</v>
      </c>
      <c r="V4707">
        <v>-4.3468340000000001E-2</v>
      </c>
      <c r="W4707">
        <v>6.9434730000000004E-3</v>
      </c>
      <c r="X4707">
        <v>0.99903059999999999</v>
      </c>
      <c r="Y4707">
        <v>-0.40614909999999999</v>
      </c>
      <c r="Z4707">
        <v>4.2734229999999998E-2</v>
      </c>
      <c r="AA4707">
        <v>0.91280700000000004</v>
      </c>
      <c r="AB4707">
        <v>25</v>
      </c>
      <c r="AC4707">
        <v>-0.25429999999994302</v>
      </c>
      <c r="AD4707">
        <v>-8.7228E-2</v>
      </c>
      <c r="AE4707">
        <v>-0.83129999999999804</v>
      </c>
      <c r="AF4707">
        <v>-0.42563094444840599</v>
      </c>
      <c r="AG4707">
        <v>-8.7228E-2</v>
      </c>
      <c r="AH4707">
        <v>0.74804799307772096</v>
      </c>
      <c r="AI4707">
        <v>95.787166270332904</v>
      </c>
      <c r="AJ4707">
        <v>119.63939228600999</v>
      </c>
      <c r="AK4707">
        <v>0.86507006930285602</v>
      </c>
      <c r="AL4707">
        <v>89.602165074960496</v>
      </c>
      <c r="AM4707">
        <v>92.491397692431207</v>
      </c>
      <c r="AN4707">
        <v>0.99999992406800498</v>
      </c>
    </row>
    <row r="4708" spans="1:40" x14ac:dyDescent="0.25">
      <c r="A4708" t="str">
        <f>"20190312161106848"</f>
        <v>20190312161106848</v>
      </c>
      <c r="B4708" t="str">
        <f>"1552378266842160"</f>
        <v>1552378266842160</v>
      </c>
      <c r="C4708" t="s">
        <v>40</v>
      </c>
      <c r="D4708">
        <v>5.614141</v>
      </c>
      <c r="E4708">
        <v>0.33887499999999998</v>
      </c>
      <c r="F4708" t="s">
        <v>42</v>
      </c>
      <c r="G4708">
        <v>-414.41430000000003</v>
      </c>
      <c r="H4708">
        <v>1.0636239999999999</v>
      </c>
      <c r="I4708">
        <v>133.59719999999999</v>
      </c>
      <c r="J4708">
        <v>-414.2174</v>
      </c>
      <c r="K4708">
        <v>1.1182270000000001</v>
      </c>
      <c r="L4708">
        <v>134.37299999999999</v>
      </c>
      <c r="M4708">
        <v>-0.7188331</v>
      </c>
      <c r="N4708">
        <v>0</v>
      </c>
      <c r="O4708">
        <v>-0.69501849999999998</v>
      </c>
      <c r="P4708">
        <v>-0.68797739999999996</v>
      </c>
      <c r="Q4708">
        <v>-7.5173380000000001E-3</v>
      </c>
      <c r="R4708">
        <v>-0.72569359999999905</v>
      </c>
      <c r="S4708">
        <v>-1.1689449999999999</v>
      </c>
      <c r="T4708">
        <v>-0.17425309999999999</v>
      </c>
      <c r="U4708">
        <v>-3.0450900000000001</v>
      </c>
      <c r="V4708">
        <v>-4.3639890000000001E-2</v>
      </c>
      <c r="W4708">
        <v>6.730331E-3</v>
      </c>
      <c r="X4708">
        <v>0.99902460000000004</v>
      </c>
      <c r="Y4708">
        <v>-0.42219820000000002</v>
      </c>
      <c r="Z4708">
        <v>2.8597939999999999E-2</v>
      </c>
      <c r="AA4708">
        <v>0.90605239999999998</v>
      </c>
      <c r="AB4708">
        <v>25</v>
      </c>
      <c r="AC4708">
        <v>-0.196900000000027</v>
      </c>
      <c r="AD4708">
        <v>-5.4603000000000103E-2</v>
      </c>
      <c r="AE4708">
        <v>-0.77580000000000304</v>
      </c>
      <c r="AF4708">
        <v>-0.41891997799445702</v>
      </c>
      <c r="AG4708">
        <v>-5.4603000000000103E-2</v>
      </c>
      <c r="AH4708">
        <v>0.67765750725056995</v>
      </c>
      <c r="AI4708">
        <v>93.920771972474995</v>
      </c>
      <c r="AJ4708">
        <v>121.723873833103</v>
      </c>
      <c r="AK4708">
        <v>0.79855815862398605</v>
      </c>
      <c r="AL4708">
        <v>89.6143775062081</v>
      </c>
      <c r="AM4708">
        <v>92.501232659572395</v>
      </c>
      <c r="AN4708">
        <v>0.99999994437986905</v>
      </c>
    </row>
    <row r="4709" spans="1:40" x14ac:dyDescent="0.25">
      <c r="A4709" t="str">
        <f>"20190312161106871"</f>
        <v>20190312161106871</v>
      </c>
      <c r="B4709" t="str">
        <f>"1552378266861681"</f>
        <v>1552378266861681</v>
      </c>
      <c r="C4709" t="s">
        <v>40</v>
      </c>
      <c r="D4709">
        <v>5.5813009999999998</v>
      </c>
      <c r="E4709">
        <v>0.3189689</v>
      </c>
      <c r="F4709" t="s">
        <v>42</v>
      </c>
      <c r="G4709">
        <v>-414.56639999999999</v>
      </c>
      <c r="H4709">
        <v>1.0650379999999999</v>
      </c>
      <c r="I4709">
        <v>133.42519999999999</v>
      </c>
      <c r="J4709">
        <v>-414.38580000000002</v>
      </c>
      <c r="K4709">
        <v>1.1181939999999999</v>
      </c>
      <c r="L4709">
        <v>134.19149999999999</v>
      </c>
      <c r="M4709">
        <v>-0.71045700000000001</v>
      </c>
      <c r="N4709">
        <v>0</v>
      </c>
      <c r="O4709">
        <v>-0.7035785</v>
      </c>
      <c r="P4709">
        <v>-0.679129599999999</v>
      </c>
      <c r="Q4709">
        <v>-7.9234459999999902E-3</v>
      </c>
      <c r="R4709">
        <v>-0.73397559999999995</v>
      </c>
      <c r="S4709">
        <v>-1.127899</v>
      </c>
      <c r="T4709">
        <v>-0.17188989999999901</v>
      </c>
      <c r="U4709">
        <v>-3.0628510000000002</v>
      </c>
      <c r="V4709">
        <v>-4.377292E-2</v>
      </c>
      <c r="W4709">
        <v>6.3178749999999997E-3</v>
      </c>
      <c r="X4709">
        <v>0.99902150000000001</v>
      </c>
      <c r="Y4709">
        <v>-0.42374509999999999</v>
      </c>
      <c r="Z4709">
        <v>2.8706349999999999E-2</v>
      </c>
      <c r="AA4709">
        <v>0.90532650000000003</v>
      </c>
      <c r="AB4709">
        <v>25</v>
      </c>
      <c r="AC4709">
        <v>-0.18059999999996901</v>
      </c>
      <c r="AD4709">
        <v>-5.3156000000000203E-2</v>
      </c>
      <c r="AE4709">
        <v>-0.76630000000000098</v>
      </c>
      <c r="AF4709">
        <v>-0.41551039755285701</v>
      </c>
      <c r="AG4709">
        <v>-5.3156000000000203E-2</v>
      </c>
      <c r="AH4709">
        <v>0.66450767266515598</v>
      </c>
      <c r="AI4709">
        <v>93.880150334654004</v>
      </c>
      <c r="AJ4709">
        <v>122.017354553361</v>
      </c>
      <c r="AK4709">
        <v>0.78552205433163702</v>
      </c>
      <c r="AL4709">
        <v>89.638010008227795</v>
      </c>
      <c r="AM4709">
        <v>92.5088553591943</v>
      </c>
      <c r="AN4709">
        <v>0.99999997076604497</v>
      </c>
    </row>
    <row r="4710" spans="1:40" x14ac:dyDescent="0.25">
      <c r="A4710" t="str">
        <f>"20190312161106914"</f>
        <v>20190312161106914</v>
      </c>
      <c r="B4710" t="str">
        <f>"1552378266901696"</f>
        <v>1552378266901696</v>
      </c>
      <c r="C4710" t="s">
        <v>40</v>
      </c>
      <c r="D4710">
        <v>5.5657030000000001</v>
      </c>
      <c r="E4710">
        <v>0.3213415</v>
      </c>
      <c r="F4710" t="s">
        <v>41</v>
      </c>
      <c r="G4710">
        <v>-427.65899999999999</v>
      </c>
      <c r="H4710" s="1">
        <v>-2.6013730000000001E-6</v>
      </c>
      <c r="I4710">
        <v>90.902649999999994</v>
      </c>
      <c r="J4710">
        <v>-414.68770000000001</v>
      </c>
      <c r="K4710">
        <v>1.1181270000000001</v>
      </c>
      <c r="L4710">
        <v>133.85499999999999</v>
      </c>
      <c r="M4710">
        <v>-0.69493729999999998</v>
      </c>
      <c r="N4710">
        <v>0</v>
      </c>
      <c r="O4710">
        <v>-0.718912199999999</v>
      </c>
      <c r="P4710">
        <v>-0.66296829999999995</v>
      </c>
      <c r="Q4710">
        <v>-8.1651799999999993E-3</v>
      </c>
      <c r="R4710">
        <v>-0.74860329999999997</v>
      </c>
      <c r="S4710">
        <v>-0.9760742</v>
      </c>
      <c r="T4710">
        <v>-8.2229259999999998E-2</v>
      </c>
      <c r="U4710">
        <v>-3.1833499999999999</v>
      </c>
      <c r="V4710">
        <v>-4.3746309999999997E-2</v>
      </c>
      <c r="W4710">
        <v>6.0699259999999998E-3</v>
      </c>
      <c r="X4710">
        <v>0.99902420000000003</v>
      </c>
      <c r="Y4710">
        <v>-0.45373340000000001</v>
      </c>
      <c r="Z4710">
        <v>1.3635009999999999E-2</v>
      </c>
      <c r="AA4710">
        <v>0.89103319999999997</v>
      </c>
      <c r="AB4710">
        <v>25</v>
      </c>
      <c r="AC4710">
        <v>-12.9712999999999</v>
      </c>
      <c r="AD4710">
        <v>-1.118129601373</v>
      </c>
      <c r="AE4710">
        <v>-42.952350000000003</v>
      </c>
      <c r="AF4710">
        <v>-20.513558918837099</v>
      </c>
      <c r="AG4710">
        <v>-1.118129601373</v>
      </c>
      <c r="AH4710">
        <v>39.8729832641664</v>
      </c>
      <c r="AI4710">
        <v>91.428418191544395</v>
      </c>
      <c r="AJ4710">
        <v>117.22458072373099</v>
      </c>
      <c r="AK4710">
        <v>44.854332095200803</v>
      </c>
      <c r="AL4710">
        <v>89.652216711440204</v>
      </c>
      <c r="AM4710">
        <v>92.507325379938393</v>
      </c>
      <c r="AN4710">
        <v>0.99999996791294998</v>
      </c>
    </row>
    <row r="4711" spans="1:40" x14ac:dyDescent="0.25">
      <c r="A4711" t="str">
        <f>"20190312161106940"</f>
        <v>20190312161106940</v>
      </c>
      <c r="B4711" t="str">
        <f>"1552378266931953"</f>
        <v>1552378266931953</v>
      </c>
      <c r="C4711" t="s">
        <v>40</v>
      </c>
      <c r="D4711">
        <v>5.5406440000000003</v>
      </c>
      <c r="E4711">
        <v>0.32830679999999901</v>
      </c>
      <c r="F4711" t="s">
        <v>41</v>
      </c>
      <c r="G4711">
        <v>-427.17989999999998</v>
      </c>
      <c r="H4711" s="1">
        <v>-2.3230020000000001E-6</v>
      </c>
      <c r="I4711">
        <v>90.550899999999999</v>
      </c>
      <c r="J4711">
        <v>-414.88369999999998</v>
      </c>
      <c r="K4711">
        <v>1.118077</v>
      </c>
      <c r="L4711">
        <v>133.62880000000001</v>
      </c>
      <c r="M4711">
        <v>-0.68451779999999995</v>
      </c>
      <c r="N4711">
        <v>0</v>
      </c>
      <c r="O4711">
        <v>-0.7288403</v>
      </c>
      <c r="P4711">
        <v>-0.6525377</v>
      </c>
      <c r="Q4711">
        <v>-8.6442979999999999E-3</v>
      </c>
      <c r="R4711">
        <v>-0.75770689999999996</v>
      </c>
      <c r="S4711">
        <v>-0.92059329999999995</v>
      </c>
      <c r="T4711">
        <v>-8.2399009999999995E-2</v>
      </c>
      <c r="U4711">
        <v>-3.1912379999999998</v>
      </c>
      <c r="V4711">
        <v>-4.3187629999999998E-2</v>
      </c>
      <c r="W4711">
        <v>5.595956E-3</v>
      </c>
      <c r="X4711">
        <v>0.99905129999999998</v>
      </c>
      <c r="Y4711">
        <v>-0.45575779999999999</v>
      </c>
      <c r="Z4711">
        <v>1.398494E-2</v>
      </c>
      <c r="AA4711">
        <v>0.88999399999999995</v>
      </c>
      <c r="AB4711">
        <v>25</v>
      </c>
      <c r="AC4711">
        <v>-12.296200000000001</v>
      </c>
      <c r="AD4711">
        <v>-1.1180793230020001</v>
      </c>
      <c r="AE4711">
        <v>-43.0779</v>
      </c>
      <c r="AF4711">
        <v>-20.5151764083666</v>
      </c>
      <c r="AG4711">
        <v>-1.1180793230020001</v>
      </c>
      <c r="AH4711">
        <v>39.793613446987401</v>
      </c>
      <c r="AI4711">
        <v>91.430580633051406</v>
      </c>
      <c r="AJ4711">
        <v>117.272889739299</v>
      </c>
      <c r="AK4711">
        <v>44.784531208969703</v>
      </c>
      <c r="AL4711">
        <v>89.679373663234799</v>
      </c>
      <c r="AM4711">
        <v>92.475277588535107</v>
      </c>
      <c r="AN4711">
        <v>0.99999999307012999</v>
      </c>
    </row>
    <row r="4712" spans="1:40" x14ac:dyDescent="0.25">
      <c r="A4712" t="str">
        <f>"20190312161106967"</f>
        <v>20190312161106967</v>
      </c>
      <c r="B4712" t="str">
        <f>"1552378266962209"</f>
        <v>1552378266962209</v>
      </c>
      <c r="C4712" t="s">
        <v>40</v>
      </c>
      <c r="D4712">
        <v>5.5968589999999896</v>
      </c>
      <c r="E4712">
        <v>0.33532990000000001</v>
      </c>
      <c r="F4712" t="s">
        <v>41</v>
      </c>
      <c r="G4712">
        <v>-425.91609999999997</v>
      </c>
      <c r="H4712" s="1">
        <v>-3.9679590000000003E-6</v>
      </c>
      <c r="I4712">
        <v>95.563050000000004</v>
      </c>
      <c r="J4712">
        <v>-415.06259999999997</v>
      </c>
      <c r="K4712">
        <v>1.118012</v>
      </c>
      <c r="L4712">
        <v>133.41630000000001</v>
      </c>
      <c r="M4712">
        <v>-0.67477100000000001</v>
      </c>
      <c r="N4712">
        <v>0</v>
      </c>
      <c r="O4712">
        <v>-0.73787369999999997</v>
      </c>
      <c r="P4712">
        <v>-0.642266</v>
      </c>
      <c r="Q4712">
        <v>-8.5076949999999991E-3</v>
      </c>
      <c r="R4712">
        <v>-0.76643490000000003</v>
      </c>
      <c r="S4712">
        <v>-0.91806030000000005</v>
      </c>
      <c r="T4712">
        <v>-9.3040940000000003E-2</v>
      </c>
      <c r="U4712">
        <v>-3.1676329999999999</v>
      </c>
      <c r="V4712">
        <v>-4.3378159999999999E-2</v>
      </c>
      <c r="W4712">
        <v>5.7227939999999998E-3</v>
      </c>
      <c r="X4712">
        <v>0.99904230000000005</v>
      </c>
      <c r="Y4712">
        <v>-0.44278129999999999</v>
      </c>
      <c r="Z4712">
        <v>1.6368959999999998E-2</v>
      </c>
      <c r="AA4712">
        <v>0.89648019999999995</v>
      </c>
      <c r="AB4712">
        <v>25</v>
      </c>
      <c r="AC4712">
        <v>-10.853499999999899</v>
      </c>
      <c r="AD4712">
        <v>-1.118015967959</v>
      </c>
      <c r="AE4712">
        <v>-37.853250000000003</v>
      </c>
      <c r="AF4712">
        <v>-17.521625382667199</v>
      </c>
      <c r="AG4712">
        <v>-1.118015967959</v>
      </c>
      <c r="AH4712">
        <v>35.2301396790468</v>
      </c>
      <c r="AI4712">
        <v>91.627587935882303</v>
      </c>
      <c r="AJ4712">
        <v>116.443345129454</v>
      </c>
      <c r="AK4712">
        <v>39.362673404639203</v>
      </c>
      <c r="AL4712">
        <v>89.672106255891805</v>
      </c>
      <c r="AM4712">
        <v>92.486206417670999</v>
      </c>
      <c r="AN4712">
        <v>0.99999996616272002</v>
      </c>
    </row>
    <row r="4713" spans="1:40" x14ac:dyDescent="0.25">
      <c r="A4713" t="str">
        <f>"20190312161106989"</f>
        <v>20190312161106989</v>
      </c>
      <c r="B4713" t="str">
        <f>"1552378266981729"</f>
        <v>1552378266981729</v>
      </c>
      <c r="C4713" t="s">
        <v>40</v>
      </c>
      <c r="D4713">
        <v>5.5674799999999998</v>
      </c>
      <c r="E4713">
        <v>0.33621329999999999</v>
      </c>
      <c r="F4713" t="s">
        <v>42</v>
      </c>
      <c r="G4713">
        <v>-415.35309999999998</v>
      </c>
      <c r="H4713">
        <v>1.078946</v>
      </c>
      <c r="I4713">
        <v>132.4211</v>
      </c>
      <c r="J4713">
        <v>-415.21769999999998</v>
      </c>
      <c r="K4713">
        <v>1.1179460000000001</v>
      </c>
      <c r="L4713">
        <v>133.22720000000001</v>
      </c>
      <c r="M4713">
        <v>-0.66615019999999903</v>
      </c>
      <c r="N4713">
        <v>0</v>
      </c>
      <c r="O4713">
        <v>-0.74566580000000005</v>
      </c>
      <c r="P4713">
        <v>-0.63325859999999901</v>
      </c>
      <c r="Q4713">
        <v>-8.5483060000000003E-3</v>
      </c>
      <c r="R4713">
        <v>-0.7738931</v>
      </c>
      <c r="S4713">
        <v>-0.91781619999999997</v>
      </c>
      <c r="T4713">
        <v>-0.1234119</v>
      </c>
      <c r="U4713">
        <v>-3.1437680000000001</v>
      </c>
      <c r="V4713">
        <v>-4.3449149999999999E-2</v>
      </c>
      <c r="W4713">
        <v>5.6741569999999896E-3</v>
      </c>
      <c r="X4713">
        <v>0.99903949999999997</v>
      </c>
      <c r="Y4713">
        <v>-0.43059779999999998</v>
      </c>
      <c r="Z4713">
        <v>2.240721E-2</v>
      </c>
      <c r="AA4713">
        <v>0.90226580000000001</v>
      </c>
      <c r="AB4713">
        <v>25</v>
      </c>
      <c r="AC4713">
        <v>-0.13540000000000399</v>
      </c>
      <c r="AD4713">
        <v>-3.8999999999999903E-2</v>
      </c>
      <c r="AE4713">
        <v>-0.80610000000001403</v>
      </c>
      <c r="AF4713">
        <v>-0.43507943928864701</v>
      </c>
      <c r="AG4713">
        <v>-3.8999999999999903E-2</v>
      </c>
      <c r="AH4713">
        <v>0.68978591442959403</v>
      </c>
      <c r="AI4713">
        <v>92.737873948823093</v>
      </c>
      <c r="AJ4713">
        <v>122.241499776783</v>
      </c>
      <c r="AK4713">
        <v>0.81646783539659096</v>
      </c>
      <c r="AL4713">
        <v>89.674892998488005</v>
      </c>
      <c r="AM4713">
        <v>92.490277041197601</v>
      </c>
      <c r="AN4713">
        <v>0.99999997362681603</v>
      </c>
    </row>
    <row r="4714" spans="1:40" x14ac:dyDescent="0.25">
      <c r="A4714" t="str">
        <f>"20190312161107026"</f>
        <v>20190312161107026</v>
      </c>
      <c r="B4714" t="str">
        <f>"1552378267021745"</f>
        <v>1552378267021745</v>
      </c>
      <c r="C4714" t="s">
        <v>40</v>
      </c>
      <c r="D4714">
        <v>5.6049100000000003</v>
      </c>
      <c r="E4714">
        <v>0.33443630000000002</v>
      </c>
      <c r="F4714" t="s">
        <v>42</v>
      </c>
      <c r="G4714">
        <v>-415.488</v>
      </c>
      <c r="H4714">
        <v>1.078619</v>
      </c>
      <c r="I4714">
        <v>132.26769999999999</v>
      </c>
      <c r="J4714">
        <v>-415.46480000000003</v>
      </c>
      <c r="K4714">
        <v>1.1178060000000001</v>
      </c>
      <c r="L4714">
        <v>132.91720000000001</v>
      </c>
      <c r="M4714">
        <v>-0.65210970000000001</v>
      </c>
      <c r="N4714">
        <v>0</v>
      </c>
      <c r="O4714">
        <v>-0.75797579999999998</v>
      </c>
      <c r="P4714">
        <v>-0.61911380000000005</v>
      </c>
      <c r="Q4714">
        <v>-8.6066059999999993E-3</v>
      </c>
      <c r="R4714">
        <v>-0.78525419999999901</v>
      </c>
      <c r="S4714">
        <v>-0.88635249999999999</v>
      </c>
      <c r="T4714">
        <v>-0.1290451</v>
      </c>
      <c r="U4714">
        <v>-3.1498110000000001</v>
      </c>
      <c r="V4714">
        <v>-4.2914189999999998E-2</v>
      </c>
      <c r="W4714">
        <v>5.6131230000000002E-3</v>
      </c>
      <c r="X4714">
        <v>0.99906300000000003</v>
      </c>
      <c r="Y4714">
        <v>-0.42253299999999999</v>
      </c>
      <c r="Z4714">
        <v>2.4179849999999999E-2</v>
      </c>
      <c r="AA4714">
        <v>0.90602490000000002</v>
      </c>
      <c r="AB4714">
        <v>25</v>
      </c>
      <c r="AC4714">
        <v>-2.3200000000031199E-2</v>
      </c>
      <c r="AD4714">
        <v>-3.9186999999999798E-2</v>
      </c>
      <c r="AE4714">
        <v>-0.64950000000001695</v>
      </c>
      <c r="AF4714">
        <v>-0.40453530234788398</v>
      </c>
      <c r="AG4714">
        <v>-3.9186999999999798E-2</v>
      </c>
      <c r="AH4714">
        <v>0.50565314687805496</v>
      </c>
      <c r="AI4714">
        <v>93.463022857667397</v>
      </c>
      <c r="AJ4714">
        <v>128.66069157029</v>
      </c>
      <c r="AK4714">
        <v>0.64874458515071498</v>
      </c>
      <c r="AL4714">
        <v>89.678390055423506</v>
      </c>
      <c r="AM4714">
        <v>92.459596049765906</v>
      </c>
      <c r="AN4714">
        <v>1.0000000064110799</v>
      </c>
    </row>
    <row r="4715" spans="1:40" x14ac:dyDescent="0.25">
      <c r="A4715" t="str">
        <f>"20190312161107071"</f>
        <v>20190312161107071</v>
      </c>
      <c r="B4715" t="str">
        <f>"1552378267061760"</f>
        <v>1552378267061760</v>
      </c>
      <c r="C4715" t="s">
        <v>40</v>
      </c>
      <c r="D4715">
        <v>5.6165830000000003</v>
      </c>
      <c r="E4715">
        <v>0.33573009999999998</v>
      </c>
      <c r="F4715" t="s">
        <v>41</v>
      </c>
      <c r="G4715">
        <v>-425.11700000000002</v>
      </c>
      <c r="H4715" s="1">
        <v>-3.800168E-6</v>
      </c>
      <c r="I4715">
        <v>95.486530000000002</v>
      </c>
      <c r="J4715">
        <v>-415.7663</v>
      </c>
      <c r="K4715">
        <v>1.117626</v>
      </c>
      <c r="L4715">
        <v>132.52209999999999</v>
      </c>
      <c r="M4715">
        <v>-0.63447790000000004</v>
      </c>
      <c r="N4715">
        <v>0</v>
      </c>
      <c r="O4715">
        <v>-0.77279580000000003</v>
      </c>
      <c r="P4715">
        <v>-0.60203339999999905</v>
      </c>
      <c r="Q4715">
        <v>-9.4956280000000007E-3</v>
      </c>
      <c r="R4715">
        <v>-0.79841450000000003</v>
      </c>
      <c r="S4715">
        <v>-0.81848140000000003</v>
      </c>
      <c r="T4715">
        <v>-9.4787479999999993E-2</v>
      </c>
      <c r="U4715">
        <v>-3.174026</v>
      </c>
      <c r="V4715">
        <v>-4.1424179999999998E-2</v>
      </c>
      <c r="W4715">
        <v>4.731463E-3</v>
      </c>
      <c r="X4715">
        <v>0.99913039999999997</v>
      </c>
      <c r="Y4715">
        <v>-0.4214987</v>
      </c>
      <c r="Z4715">
        <v>1.8287370000000001E-2</v>
      </c>
      <c r="AA4715">
        <v>0.90664460000000002</v>
      </c>
      <c r="AB4715">
        <v>25</v>
      </c>
      <c r="AC4715">
        <v>-9.3506999999999607</v>
      </c>
      <c r="AD4715">
        <v>-1.1176298001680001</v>
      </c>
      <c r="AE4715">
        <v>-37.0355699999999</v>
      </c>
      <c r="AF4715">
        <v>-16.259975374839499</v>
      </c>
      <c r="AG4715">
        <v>-1.1176298001680001</v>
      </c>
      <c r="AH4715">
        <v>34.528064645269801</v>
      </c>
      <c r="AI4715">
        <v>91.677375223180903</v>
      </c>
      <c r="AJ4715">
        <v>115.21671007336801</v>
      </c>
      <c r="AK4715">
        <v>38.181450256748199</v>
      </c>
      <c r="AL4715">
        <v>89.728906114895494</v>
      </c>
      <c r="AM4715">
        <v>92.374136696934499</v>
      </c>
      <c r="AN4715">
        <v>0.999999952817475</v>
      </c>
    </row>
    <row r="4716" spans="1:40" x14ac:dyDescent="0.25">
      <c r="A4716" t="str">
        <f>"20190312161107095"</f>
        <v>20190312161107095</v>
      </c>
      <c r="B4716" t="str">
        <f>"1552378267092016"</f>
        <v>1552378267092016</v>
      </c>
      <c r="C4716" t="s">
        <v>40</v>
      </c>
      <c r="D4716">
        <v>5.5311309999999896</v>
      </c>
      <c r="E4716">
        <v>0.33399879999999998</v>
      </c>
      <c r="F4716" t="s">
        <v>41</v>
      </c>
      <c r="G4716">
        <v>-424.2217</v>
      </c>
      <c r="H4716" s="1">
        <v>-4.1504500000000002E-6</v>
      </c>
      <c r="I4716">
        <v>96.982519999999994</v>
      </c>
      <c r="J4716">
        <v>-415.92360000000002</v>
      </c>
      <c r="K4716">
        <v>1.1175269999999999</v>
      </c>
      <c r="L4716">
        <v>132.30889999999999</v>
      </c>
      <c r="M4716">
        <v>-0.62508219999999903</v>
      </c>
      <c r="N4716">
        <v>0</v>
      </c>
      <c r="O4716">
        <v>-0.78041549999999904</v>
      </c>
      <c r="P4716">
        <v>-0.5934431</v>
      </c>
      <c r="Q4716">
        <v>-9.0023080000000005E-3</v>
      </c>
      <c r="R4716">
        <v>-0.80482580000000004</v>
      </c>
      <c r="S4716">
        <v>-0.75772090000000003</v>
      </c>
      <c r="T4716">
        <v>-0.1001557</v>
      </c>
      <c r="U4716">
        <v>-3.18486</v>
      </c>
      <c r="V4716">
        <v>-4.0053850000000002E-2</v>
      </c>
      <c r="W4716">
        <v>5.2378570000000003E-3</v>
      </c>
      <c r="X4716">
        <v>0.99918379999999996</v>
      </c>
      <c r="Y4716">
        <v>-0.42756680000000002</v>
      </c>
      <c r="Z4716">
        <v>1.9575740000000001E-2</v>
      </c>
      <c r="AA4716">
        <v>0.90377180000000001</v>
      </c>
      <c r="AB4716">
        <v>25</v>
      </c>
      <c r="AC4716">
        <v>-8.2980999999999696</v>
      </c>
      <c r="AD4716">
        <v>-1.1175311504499901</v>
      </c>
      <c r="AE4716">
        <v>-35.32638</v>
      </c>
      <c r="AF4716">
        <v>-15.592884340531601</v>
      </c>
      <c r="AG4716">
        <v>-1.1175311504499901</v>
      </c>
      <c r="AH4716">
        <v>32.7288762801263</v>
      </c>
      <c r="AI4716">
        <v>91.765609446114894</v>
      </c>
      <c r="AJ4716">
        <v>115.474339544701</v>
      </c>
      <c r="AK4716">
        <v>36.270735593440001</v>
      </c>
      <c r="AL4716">
        <v>89.699891529777901</v>
      </c>
      <c r="AM4716">
        <v>92.2955621208568</v>
      </c>
      <c r="AN4716">
        <v>1.0000000061140999</v>
      </c>
    </row>
    <row r="4717" spans="1:40" x14ac:dyDescent="0.25">
      <c r="A4717" t="str">
        <f>"20190312161107116"</f>
        <v>20190312161107116</v>
      </c>
      <c r="B4717" t="str">
        <f>"1552378267111539"</f>
        <v>1552378267111539</v>
      </c>
      <c r="C4717" t="s">
        <v>40</v>
      </c>
      <c r="D4717">
        <v>5.4932689999999997</v>
      </c>
      <c r="E4717">
        <v>0.334144</v>
      </c>
      <c r="F4717" t="s">
        <v>41</v>
      </c>
      <c r="G4717">
        <v>-426.09289999999999</v>
      </c>
      <c r="H4717" s="1">
        <v>-4.3805839999999996E-6</v>
      </c>
      <c r="I4717">
        <v>86.683419999999998</v>
      </c>
      <c r="J4717">
        <v>-416.04969999999997</v>
      </c>
      <c r="K4717">
        <v>1.1174409999999999</v>
      </c>
      <c r="L4717">
        <v>132.13409999999999</v>
      </c>
      <c r="M4717">
        <v>-0.61746129999999999</v>
      </c>
      <c r="N4717">
        <v>0</v>
      </c>
      <c r="O4717">
        <v>-0.78645969999999998</v>
      </c>
      <c r="P4717">
        <v>-0.586157699999999</v>
      </c>
      <c r="Q4717">
        <v>-9.1060080000000005E-3</v>
      </c>
      <c r="R4717">
        <v>-0.81014619999999904</v>
      </c>
      <c r="S4717">
        <v>-0.71337890000000004</v>
      </c>
      <c r="T4717">
        <v>-7.8395129999999993E-2</v>
      </c>
      <c r="U4717">
        <v>-3.2006380000000001</v>
      </c>
      <c r="V4717">
        <v>-3.9344900000000002E-2</v>
      </c>
      <c r="W4717">
        <v>5.1358159999999996E-3</v>
      </c>
      <c r="X4717">
        <v>0.99921249999999995</v>
      </c>
      <c r="Y4717">
        <v>-0.4316506</v>
      </c>
      <c r="Z4717">
        <v>1.5449849999999999E-2</v>
      </c>
      <c r="AA4717">
        <v>0.90190859999999995</v>
      </c>
      <c r="AB4717">
        <v>25</v>
      </c>
      <c r="AC4717">
        <v>-10.043200000000001</v>
      </c>
      <c r="AD4717">
        <v>-1.1174453805839999</v>
      </c>
      <c r="AE4717">
        <v>-45.450679999999899</v>
      </c>
      <c r="AF4717">
        <v>-20.156093060487201</v>
      </c>
      <c r="AG4717">
        <v>-1.1174453805839999</v>
      </c>
      <c r="AH4717">
        <v>41.9269230944737</v>
      </c>
      <c r="AI4717">
        <v>91.376015287055196</v>
      </c>
      <c r="AJ4717">
        <v>115.675615201357</v>
      </c>
      <c r="AK4717">
        <v>46.5336829813794</v>
      </c>
      <c r="AL4717">
        <v>89.705738127865999</v>
      </c>
      <c r="AM4717">
        <v>92.254908471161201</v>
      </c>
      <c r="AN4717">
        <v>1.0000000089591199</v>
      </c>
    </row>
    <row r="4718" spans="1:40" x14ac:dyDescent="0.25">
      <c r="A4718" t="str">
        <f>"20190312161107136"</f>
        <v>20190312161107136</v>
      </c>
      <c r="B4718" t="str">
        <f>"1552378267132033"</f>
        <v>1552378267132033</v>
      </c>
      <c r="C4718" t="s">
        <v>40</v>
      </c>
      <c r="D4718">
        <v>5.5206939999999998</v>
      </c>
      <c r="E4718">
        <v>0.335252299999999</v>
      </c>
      <c r="F4718" t="s">
        <v>41</v>
      </c>
      <c r="G4718">
        <v>-425.93450000000001</v>
      </c>
      <c r="H4718" s="1">
        <v>-4.0793299999999996E-6</v>
      </c>
      <c r="I4718">
        <v>85.880700000000004</v>
      </c>
      <c r="J4718">
        <v>-416.17450000000002</v>
      </c>
      <c r="K4718">
        <v>1.1173409999999999</v>
      </c>
      <c r="L4718">
        <v>131.95760000000001</v>
      </c>
      <c r="M4718">
        <v>-0.60984950000000004</v>
      </c>
      <c r="N4718">
        <v>0</v>
      </c>
      <c r="O4718">
        <v>-0.79237709999999995</v>
      </c>
      <c r="P4718">
        <v>-0.57840469999999999</v>
      </c>
      <c r="Q4718">
        <v>-8.7750520000000002E-3</v>
      </c>
      <c r="R4718">
        <v>-0.81570319999999996</v>
      </c>
      <c r="S4718">
        <v>-0.68524169999999995</v>
      </c>
      <c r="T4718">
        <v>-7.7463870000000004E-2</v>
      </c>
      <c r="U4718">
        <v>-3.2063899999999999</v>
      </c>
      <c r="V4718">
        <v>-3.9246690000000001E-2</v>
      </c>
      <c r="W4718">
        <v>5.4562459999999997E-3</v>
      </c>
      <c r="X4718">
        <v>0.99921459999999995</v>
      </c>
      <c r="Y4718">
        <v>-0.4308515</v>
      </c>
      <c r="Z4718">
        <v>1.5455450000000001E-2</v>
      </c>
      <c r="AA4718">
        <v>0.9022905</v>
      </c>
      <c r="AB4718">
        <v>24</v>
      </c>
      <c r="AC4718">
        <v>-9.7599999999999891</v>
      </c>
      <c r="AD4718">
        <v>-1.1173450793299999</v>
      </c>
      <c r="AE4718">
        <v>-46.076900000000002</v>
      </c>
      <c r="AF4718">
        <v>-20.357179354257401</v>
      </c>
      <c r="AG4718">
        <v>-1.1173450793299999</v>
      </c>
      <c r="AH4718">
        <v>42.443241494732902</v>
      </c>
      <c r="AI4718">
        <v>91.359749372623398</v>
      </c>
      <c r="AJ4718">
        <v>115.623913482163</v>
      </c>
      <c r="AK4718">
        <v>47.086005987638401</v>
      </c>
      <c r="AL4718">
        <v>89.6873785638752</v>
      </c>
      <c r="AM4718">
        <v>92.249280991657798</v>
      </c>
      <c r="AN4718">
        <v>0.99999994507476198</v>
      </c>
    </row>
    <row r="4719" spans="1:40" x14ac:dyDescent="0.25">
      <c r="A4719" t="str">
        <f>"20190312161107161"</f>
        <v>20190312161107161</v>
      </c>
      <c r="B4719" t="str">
        <f>"1552378267151553"</f>
        <v>1552378267151553</v>
      </c>
      <c r="C4719" t="s">
        <v>40</v>
      </c>
      <c r="D4719">
        <v>5.1275709999999997</v>
      </c>
      <c r="E4719">
        <v>0.33519280000000001</v>
      </c>
      <c r="F4719" t="s">
        <v>41</v>
      </c>
      <c r="G4719">
        <v>-425.0378</v>
      </c>
      <c r="H4719" s="1">
        <v>-4.9814310000000001E-6</v>
      </c>
      <c r="I4719">
        <v>88.998980000000003</v>
      </c>
      <c r="J4719">
        <v>-416.32319999999999</v>
      </c>
      <c r="K4719">
        <v>1.11721</v>
      </c>
      <c r="L4719">
        <v>131.74299999999999</v>
      </c>
      <c r="M4719">
        <v>-0.60071289999999999</v>
      </c>
      <c r="N4719">
        <v>0</v>
      </c>
      <c r="O4719">
        <v>-0.79932619999999999</v>
      </c>
      <c r="P4719">
        <v>-0.56864939999999997</v>
      </c>
      <c r="Q4719">
        <v>-8.8746680000000005E-3</v>
      </c>
      <c r="R4719">
        <v>-0.8225325</v>
      </c>
      <c r="S4719">
        <v>-0.66180419999999995</v>
      </c>
      <c r="T4719">
        <v>-8.3429459999999997E-2</v>
      </c>
      <c r="U4719">
        <v>-3.207611</v>
      </c>
      <c r="V4719">
        <v>-3.9670280000000002E-2</v>
      </c>
      <c r="W4719">
        <v>5.3327460000000002E-3</v>
      </c>
      <c r="X4719">
        <v>0.99919860000000005</v>
      </c>
      <c r="Y4719">
        <v>-0.42687619999999998</v>
      </c>
      <c r="Z4719">
        <v>1.6928490000000001E-2</v>
      </c>
      <c r="AA4719">
        <v>0.90415160000000006</v>
      </c>
      <c r="AB4719">
        <v>24</v>
      </c>
      <c r="AC4719">
        <v>-8.7146000000000097</v>
      </c>
      <c r="AD4719">
        <v>-1.117214981431</v>
      </c>
      <c r="AE4719">
        <v>-42.7440199999999</v>
      </c>
      <c r="AF4719">
        <v>-18.7008841381321</v>
      </c>
      <c r="AG4719">
        <v>-1.117214981431</v>
      </c>
      <c r="AH4719">
        <v>39.379925680593402</v>
      </c>
      <c r="AI4719">
        <v>91.468014054362499</v>
      </c>
      <c r="AJ4719">
        <v>115.402280245513</v>
      </c>
      <c r="AK4719">
        <v>43.609056209365903</v>
      </c>
      <c r="AL4719">
        <v>89.694454714543596</v>
      </c>
      <c r="AM4719">
        <v>92.273568536818004</v>
      </c>
      <c r="AN4719">
        <v>1.0000000057685601</v>
      </c>
    </row>
    <row r="4720" spans="1:40" x14ac:dyDescent="0.25">
      <c r="A4720" t="str">
        <f>"20190312161107204"</f>
        <v>20190312161107204</v>
      </c>
      <c r="B4720" t="str">
        <f>"1552378267191569"</f>
        <v>1552378267191569</v>
      </c>
      <c r="C4720" t="s">
        <v>40</v>
      </c>
      <c r="D4720">
        <v>5.5841310000000002</v>
      </c>
      <c r="E4720">
        <v>0.33649380000000001</v>
      </c>
      <c r="F4720" t="s">
        <v>41</v>
      </c>
      <c r="G4720">
        <v>-424.91419999999999</v>
      </c>
      <c r="H4720" s="1">
        <v>-4.4283529999999996E-6</v>
      </c>
      <c r="I4720">
        <v>87.438199999999995</v>
      </c>
      <c r="J4720">
        <v>-416.57920000000001</v>
      </c>
      <c r="K4720">
        <v>1.11697</v>
      </c>
      <c r="L4720">
        <v>131.36160000000001</v>
      </c>
      <c r="M4720">
        <v>-0.58479569999999903</v>
      </c>
      <c r="N4720">
        <v>0</v>
      </c>
      <c r="O4720">
        <v>-0.81104489999999996</v>
      </c>
      <c r="P4720">
        <v>-0.5520003</v>
      </c>
      <c r="Q4720">
        <v>-8.6430309999999903E-3</v>
      </c>
      <c r="R4720">
        <v>-0.83379910000000002</v>
      </c>
      <c r="S4720">
        <v>-0.62347410000000003</v>
      </c>
      <c r="T4720">
        <v>-8.1080079999999999E-2</v>
      </c>
      <c r="U4720">
        <v>-3.215347</v>
      </c>
      <c r="V4720">
        <v>-4.0005190000000003E-2</v>
      </c>
      <c r="W4720">
        <v>5.5277700000000004E-3</v>
      </c>
      <c r="X4720">
        <v>0.99918419999999997</v>
      </c>
      <c r="Y4720">
        <v>-0.41978179999999998</v>
      </c>
      <c r="Z4720">
        <v>1.6889500000000002E-2</v>
      </c>
      <c r="AA4720">
        <v>0.90746789999999999</v>
      </c>
      <c r="AB4720">
        <v>24</v>
      </c>
      <c r="AC4720">
        <v>-8.3349999999999795</v>
      </c>
      <c r="AD4720">
        <v>-1.1169744283530001</v>
      </c>
      <c r="AE4720">
        <v>-43.923400000000001</v>
      </c>
      <c r="AF4720">
        <v>-18.916432111245399</v>
      </c>
      <c r="AG4720">
        <v>-1.1169744283530001</v>
      </c>
      <c r="AH4720">
        <v>40.477314132776598</v>
      </c>
      <c r="AI4720">
        <v>91.432084220983498</v>
      </c>
      <c r="AJ4720">
        <v>115.04829123547201</v>
      </c>
      <c r="AK4720">
        <v>44.6933104065522</v>
      </c>
      <c r="AL4720">
        <v>89.683280501766404</v>
      </c>
      <c r="AM4720">
        <v>92.292775385099105</v>
      </c>
      <c r="AN4720">
        <v>1.00000001849887</v>
      </c>
    </row>
    <row r="4721" spans="1:40" x14ac:dyDescent="0.25">
      <c r="A4721" t="str">
        <f>"20190312161107225"</f>
        <v>20190312161107225</v>
      </c>
      <c r="B4721" t="str">
        <f>"1552378267221825"</f>
        <v>1552378267221825</v>
      </c>
      <c r="C4721" t="s">
        <v>40</v>
      </c>
      <c r="D4721">
        <v>5.5770900000000001</v>
      </c>
      <c r="E4721">
        <v>0.33809660000000002</v>
      </c>
      <c r="F4721" t="s">
        <v>41</v>
      </c>
      <c r="G4721">
        <v>-424.87520000000001</v>
      </c>
      <c r="H4721" s="1">
        <v>-3.3046219999999999E-6</v>
      </c>
      <c r="I4721">
        <v>84.268559999999994</v>
      </c>
      <c r="J4721">
        <v>-416.70780000000002</v>
      </c>
      <c r="K4721">
        <v>1.11687</v>
      </c>
      <c r="L4721">
        <v>131.16399999999999</v>
      </c>
      <c r="M4721">
        <v>-0.57669649999999995</v>
      </c>
      <c r="N4721">
        <v>0</v>
      </c>
      <c r="O4721">
        <v>-0.81682429999999995</v>
      </c>
      <c r="P4721">
        <v>-0.54318669999999902</v>
      </c>
      <c r="Q4721">
        <v>-7.8360169999999903E-3</v>
      </c>
      <c r="R4721">
        <v>-0.83957569999999904</v>
      </c>
      <c r="S4721">
        <v>-0.56750489999999998</v>
      </c>
      <c r="T4721">
        <v>-7.640922E-2</v>
      </c>
      <c r="U4721">
        <v>-3.2215120000000002</v>
      </c>
      <c r="V4721">
        <v>-4.0603889999999997E-2</v>
      </c>
      <c r="W4721">
        <v>6.3088160000000001E-3</v>
      </c>
      <c r="X4721">
        <v>0.99915540000000003</v>
      </c>
      <c r="Y4721">
        <v>-0.42630610000000002</v>
      </c>
      <c r="Z4721">
        <v>1.6062739999999999E-2</v>
      </c>
      <c r="AA4721">
        <v>0.90443629999999997</v>
      </c>
      <c r="AB4721">
        <v>24</v>
      </c>
      <c r="AC4721">
        <v>-8.1673999999999793</v>
      </c>
      <c r="AD4721">
        <v>-1.1168733046220001</v>
      </c>
      <c r="AE4721">
        <v>-46.895440000000001</v>
      </c>
      <c r="AF4721">
        <v>-20.364127925522499</v>
      </c>
      <c r="AG4721">
        <v>-1.1168733046220001</v>
      </c>
      <c r="AH4721">
        <v>42.996491206443402</v>
      </c>
      <c r="AI4721">
        <v>91.344827281317293</v>
      </c>
      <c r="AJ4721">
        <v>115.34331231303401</v>
      </c>
      <c r="AK4721">
        <v>47.588269228995799</v>
      </c>
      <c r="AL4721">
        <v>89.638529069884697</v>
      </c>
      <c r="AM4721">
        <v>92.327117606923096</v>
      </c>
      <c r="AN4721">
        <v>0.99999999519580696</v>
      </c>
    </row>
    <row r="4722" spans="1:40" x14ac:dyDescent="0.25">
      <c r="A4722" t="str">
        <f>"20190312161107248"</f>
        <v>20190312161107248</v>
      </c>
      <c r="B4722" t="str">
        <f>"1552378267241345"</f>
        <v>1552378267241345</v>
      </c>
      <c r="C4722" t="s">
        <v>40</v>
      </c>
      <c r="D4722">
        <v>5.581162</v>
      </c>
      <c r="E4722">
        <v>0.33874110000000002</v>
      </c>
      <c r="F4722" t="s">
        <v>41</v>
      </c>
      <c r="G4722">
        <v>-424.48419999999999</v>
      </c>
      <c r="H4722" s="1">
        <v>-3.5653329999999998E-6</v>
      </c>
      <c r="I4722">
        <v>85.126289999999997</v>
      </c>
      <c r="J4722">
        <v>-416.83749999999998</v>
      </c>
      <c r="K4722">
        <v>1.1167659999999999</v>
      </c>
      <c r="L4722">
        <v>130.96019999999999</v>
      </c>
      <c r="M4722">
        <v>-0.56845639999999997</v>
      </c>
      <c r="N4722">
        <v>0</v>
      </c>
      <c r="O4722">
        <v>-0.8225806</v>
      </c>
      <c r="P4722">
        <v>-0.53461190000000003</v>
      </c>
      <c r="Q4722">
        <v>-8.5242410000000001E-3</v>
      </c>
      <c r="R4722">
        <v>-0.84505469999999905</v>
      </c>
      <c r="S4722">
        <v>-0.54400630000000005</v>
      </c>
      <c r="T4722">
        <v>-7.8131679999999995E-2</v>
      </c>
      <c r="U4722">
        <v>-3.220596</v>
      </c>
      <c r="V4722">
        <v>-4.0713640000000002E-2</v>
      </c>
      <c r="W4722">
        <v>5.6021550000000002E-3</v>
      </c>
      <c r="X4722">
        <v>0.99915520000000002</v>
      </c>
      <c r="Y4722">
        <v>-0.42357650000000002</v>
      </c>
      <c r="Z4722">
        <v>1.665256E-2</v>
      </c>
      <c r="AA4722">
        <v>0.90570720000000005</v>
      </c>
      <c r="AB4722">
        <v>24</v>
      </c>
      <c r="AC4722">
        <v>-7.6467000000000098</v>
      </c>
      <c r="AD4722">
        <v>-1.1167695653330001</v>
      </c>
      <c r="AE4722">
        <v>-45.833909999999896</v>
      </c>
      <c r="AF4722">
        <v>-19.755301068460401</v>
      </c>
      <c r="AG4722">
        <v>-1.1167695653330001</v>
      </c>
      <c r="AH4722">
        <v>42.029218615205998</v>
      </c>
      <c r="AI4722">
        <v>91.377542188308794</v>
      </c>
      <c r="AJ4722">
        <v>115.175275658911</v>
      </c>
      <c r="AK4722">
        <v>46.4540021093161</v>
      </c>
      <c r="AL4722">
        <v>89.679018499129995</v>
      </c>
      <c r="AM4722">
        <v>92.333401196370801</v>
      </c>
      <c r="AN4722">
        <v>1.00000004915486</v>
      </c>
    </row>
    <row r="4723" spans="1:40" x14ac:dyDescent="0.25">
      <c r="A4723" t="str">
        <f>"20190312161107271"</f>
        <v>20190312161107271</v>
      </c>
      <c r="B4723" t="str">
        <f>"1552378267261841"</f>
        <v>1552378267261841</v>
      </c>
      <c r="C4723" t="s">
        <v>40</v>
      </c>
      <c r="D4723">
        <v>5.5762039999999997</v>
      </c>
      <c r="E4723">
        <v>0.35715059999999998</v>
      </c>
      <c r="F4723" t="s">
        <v>41</v>
      </c>
      <c r="G4723">
        <v>-423.7398</v>
      </c>
      <c r="H4723" s="1">
        <v>-4.3495660000000002E-6</v>
      </c>
      <c r="I4723">
        <v>87.818790000000007</v>
      </c>
      <c r="J4723">
        <v>-416.96820000000002</v>
      </c>
      <c r="K4723">
        <v>1.1166670000000001</v>
      </c>
      <c r="L4723">
        <v>130.75049999999999</v>
      </c>
      <c r="M4723">
        <v>-0.56007180000000001</v>
      </c>
      <c r="N4723">
        <v>0</v>
      </c>
      <c r="O4723">
        <v>-0.82831279999999996</v>
      </c>
      <c r="P4723">
        <v>-0.52649690000000005</v>
      </c>
      <c r="Q4723">
        <v>-9.1055240000000003E-3</v>
      </c>
      <c r="R4723">
        <v>-0.85012829999999995</v>
      </c>
      <c r="S4723">
        <v>-0.51565550000000004</v>
      </c>
      <c r="T4723">
        <v>-8.3430889999999994E-2</v>
      </c>
      <c r="U4723">
        <v>-3.2229770000000002</v>
      </c>
      <c r="V4723">
        <v>-4.0116300000000001E-2</v>
      </c>
      <c r="W4723">
        <v>5.0132700000000002E-3</v>
      </c>
      <c r="X4723">
        <v>0.99918249999999997</v>
      </c>
      <c r="Y4723">
        <v>-0.42224479999999998</v>
      </c>
      <c r="Z4723">
        <v>1.7998750000000001E-2</v>
      </c>
      <c r="AA4723">
        <v>0.90630319999999998</v>
      </c>
      <c r="AB4723">
        <v>24</v>
      </c>
      <c r="AC4723">
        <v>-6.7715999999999701</v>
      </c>
      <c r="AD4723">
        <v>-1.1166713495659999</v>
      </c>
      <c r="AE4723">
        <v>-42.931709999999903</v>
      </c>
      <c r="AF4723">
        <v>-18.425679086333101</v>
      </c>
      <c r="AG4723">
        <v>-1.1166713495659999</v>
      </c>
      <c r="AH4723">
        <v>39.331783556409</v>
      </c>
      <c r="AI4723">
        <v>91.472734747256595</v>
      </c>
      <c r="AJ4723">
        <v>115.101583247478</v>
      </c>
      <c r="AK4723">
        <v>43.448150736523601</v>
      </c>
      <c r="AL4723">
        <v>89.712759601284603</v>
      </c>
      <c r="AM4723">
        <v>92.299140399035807</v>
      </c>
      <c r="AN4723">
        <v>1.0000000593540099</v>
      </c>
    </row>
    <row r="4724" spans="1:40" x14ac:dyDescent="0.25">
      <c r="A4724" t="str">
        <f>"20190312161107293"</f>
        <v>20190312161107293</v>
      </c>
      <c r="B4724" t="str">
        <f>"1552378267282337"</f>
        <v>1552378267282337</v>
      </c>
      <c r="C4724" t="s">
        <v>40</v>
      </c>
      <c r="D4724">
        <v>5.5948820000000001</v>
      </c>
      <c r="E4724">
        <v>0.35838140000000002</v>
      </c>
      <c r="F4724" t="s">
        <v>41</v>
      </c>
      <c r="G4724">
        <v>-421.65030000000002</v>
      </c>
      <c r="H4724" s="1">
        <v>-3.7058620000000002E-6</v>
      </c>
      <c r="I4724">
        <v>106.50230000000001</v>
      </c>
      <c r="J4724">
        <v>-417.089</v>
      </c>
      <c r="K4724">
        <v>1.1165889999999901</v>
      </c>
      <c r="L4724">
        <v>130.55269999999999</v>
      </c>
      <c r="M4724">
        <v>-0.55223769999999905</v>
      </c>
      <c r="N4724">
        <v>0</v>
      </c>
      <c r="O4724">
        <v>-0.83355669999999904</v>
      </c>
      <c r="P4724">
        <v>-0.5196134</v>
      </c>
      <c r="Q4724">
        <v>-9.3728590000000007E-3</v>
      </c>
      <c r="R4724">
        <v>-0.85435030000000001</v>
      </c>
      <c r="S4724">
        <v>-0.60833740000000003</v>
      </c>
      <c r="T4724">
        <v>-0.14508650000000001</v>
      </c>
      <c r="U4724">
        <v>-3.1505130000000001</v>
      </c>
      <c r="V4724">
        <v>-3.8759870000000002E-2</v>
      </c>
      <c r="W4724">
        <v>4.7514890000000002E-3</v>
      </c>
      <c r="X4724">
        <v>0.99923720000000005</v>
      </c>
      <c r="Y4724">
        <v>-0.38432660000000002</v>
      </c>
      <c r="Z4724">
        <v>3.2674700000000001E-2</v>
      </c>
      <c r="AA4724">
        <v>0.92261879999999996</v>
      </c>
      <c r="AB4724">
        <v>24</v>
      </c>
      <c r="AC4724">
        <v>-4.5613000000000099</v>
      </c>
      <c r="AD4724">
        <v>-1.11659270586199</v>
      </c>
      <c r="AE4724">
        <v>-24.0503999999999</v>
      </c>
      <c r="AF4724">
        <v>-9.4607783836245307</v>
      </c>
      <c r="AG4724">
        <v>-1.11659270586199</v>
      </c>
      <c r="AH4724">
        <v>22.521879860862601</v>
      </c>
      <c r="AI4724">
        <v>92.617111036953204</v>
      </c>
      <c r="AJ4724">
        <v>112.785841569195</v>
      </c>
      <c r="AK4724">
        <v>24.453796829162801</v>
      </c>
      <c r="AL4724">
        <v>89.727758693994701</v>
      </c>
      <c r="AM4724">
        <v>92.221358612231001</v>
      </c>
      <c r="AN4724">
        <v>0.99999994301698503</v>
      </c>
    </row>
    <row r="4725" spans="1:40" x14ac:dyDescent="0.25">
      <c r="A4725" t="str">
        <f>"20190312161107315"</f>
        <v>20190312161107315</v>
      </c>
      <c r="B4725" t="str">
        <f>"1552378267311617"</f>
        <v>1552378267311617</v>
      </c>
      <c r="C4725" t="s">
        <v>40</v>
      </c>
      <c r="D4725">
        <v>5.6138320000000004</v>
      </c>
      <c r="E4725">
        <v>0.36044100000000001</v>
      </c>
      <c r="F4725" t="s">
        <v>41</v>
      </c>
      <c r="G4725">
        <v>-421.60939999999999</v>
      </c>
      <c r="H4725" s="1">
        <v>-3.6805850000000002E-6</v>
      </c>
      <c r="I4725">
        <v>106.47190000000001</v>
      </c>
      <c r="J4725">
        <v>-417.21069999999997</v>
      </c>
      <c r="K4725">
        <v>1.116501</v>
      </c>
      <c r="L4725">
        <v>130.3494</v>
      </c>
      <c r="M4725">
        <v>-0.54426090000000005</v>
      </c>
      <c r="N4725">
        <v>0</v>
      </c>
      <c r="O4725">
        <v>-0.83878699999999995</v>
      </c>
      <c r="P4725">
        <v>-0.51226110000000002</v>
      </c>
      <c r="Q4725">
        <v>-9.1367210000000004E-3</v>
      </c>
      <c r="R4725">
        <v>-0.85878140000000003</v>
      </c>
      <c r="S4725">
        <v>-0.59133910000000001</v>
      </c>
      <c r="T4725">
        <v>-0.14606769999999999</v>
      </c>
      <c r="U4725">
        <v>-3.1501459999999999</v>
      </c>
      <c r="V4725">
        <v>-3.7807350000000003E-2</v>
      </c>
      <c r="W4725">
        <v>4.9860900000000003E-3</v>
      </c>
      <c r="X4725">
        <v>0.99927259999999996</v>
      </c>
      <c r="Y4725">
        <v>-0.38030409999999998</v>
      </c>
      <c r="Z4725">
        <v>3.3298210000000002E-2</v>
      </c>
      <c r="AA4725">
        <v>0.92426189999999997</v>
      </c>
      <c r="AB4725">
        <v>24</v>
      </c>
      <c r="AC4725">
        <v>-4.3987000000000096</v>
      </c>
      <c r="AD4725">
        <v>-1.1165046805850001</v>
      </c>
      <c r="AE4725">
        <v>-23.877500000000001</v>
      </c>
      <c r="AF4725">
        <v>-9.2873844695828698</v>
      </c>
      <c r="AG4725">
        <v>-1.1165046805850001</v>
      </c>
      <c r="AH4725">
        <v>22.377282642613999</v>
      </c>
      <c r="AI4725">
        <v>92.638503135785697</v>
      </c>
      <c r="AJ4725">
        <v>112.540224014697</v>
      </c>
      <c r="AK4725">
        <v>24.253759944698299</v>
      </c>
      <c r="AL4725">
        <v>89.714316900975405</v>
      </c>
      <c r="AM4725">
        <v>92.166744943780401</v>
      </c>
      <c r="AN4725">
        <v>0.999999992959135</v>
      </c>
    </row>
    <row r="4726" spans="1:40" x14ac:dyDescent="0.25">
      <c r="A4726" t="str">
        <f>"20190312161107337"</f>
        <v>20190312161107337</v>
      </c>
      <c r="B4726" t="str">
        <f>"1552378267332112"</f>
        <v>1552378267332112</v>
      </c>
      <c r="C4726" t="s">
        <v>40</v>
      </c>
      <c r="D4726">
        <v>5.619097</v>
      </c>
      <c r="E4726">
        <v>0.36169669999999998</v>
      </c>
      <c r="F4726" t="s">
        <v>41</v>
      </c>
      <c r="G4726">
        <v>-421.50119999999998</v>
      </c>
      <c r="H4726" s="1">
        <v>-3.9017679999999996E-6</v>
      </c>
      <c r="I4726">
        <v>107.00069999999999</v>
      </c>
      <c r="J4726">
        <v>-417.32920000000001</v>
      </c>
      <c r="K4726">
        <v>1.1164149999999999</v>
      </c>
      <c r="L4726">
        <v>130.1472</v>
      </c>
      <c r="M4726">
        <v>-0.53640359999999998</v>
      </c>
      <c r="N4726">
        <v>0</v>
      </c>
      <c r="O4726">
        <v>-0.84383410000000003</v>
      </c>
      <c r="P4726">
        <v>-0.50430699999999995</v>
      </c>
      <c r="Q4726">
        <v>-9.3057980000000005E-3</v>
      </c>
      <c r="R4726">
        <v>-0.86347450000000003</v>
      </c>
      <c r="S4726">
        <v>-0.57824709999999901</v>
      </c>
      <c r="T4726">
        <v>-0.15047559999999999</v>
      </c>
      <c r="U4726">
        <v>-3.1467900000000002</v>
      </c>
      <c r="V4726">
        <v>-3.7700169999999998E-2</v>
      </c>
      <c r="W4726">
        <v>4.8029869999999999E-3</v>
      </c>
      <c r="X4726">
        <v>0.99927750000000004</v>
      </c>
      <c r="Y4726">
        <v>-0.37520769999999998</v>
      </c>
      <c r="Z4726">
        <v>3.4743990000000002E-2</v>
      </c>
      <c r="AA4726">
        <v>0.92628940000000004</v>
      </c>
      <c r="AB4726">
        <v>24</v>
      </c>
      <c r="AC4726">
        <v>-4.1719999999999597</v>
      </c>
      <c r="AD4726">
        <v>-1.116418901768</v>
      </c>
      <c r="AE4726">
        <v>-23.1465</v>
      </c>
      <c r="AF4726">
        <v>-8.8763471701549292</v>
      </c>
      <c r="AG4726">
        <v>-1.116418901768</v>
      </c>
      <c r="AH4726">
        <v>21.7230781586013</v>
      </c>
      <c r="AI4726">
        <v>92.723780906476904</v>
      </c>
      <c r="AJ4726">
        <v>112.225597122246</v>
      </c>
      <c r="AK4726">
        <v>23.493149106368101</v>
      </c>
      <c r="AL4726">
        <v>89.724808043131205</v>
      </c>
      <c r="AM4726">
        <v>92.160597686979102</v>
      </c>
      <c r="AN4726">
        <v>0.99999994675419901</v>
      </c>
    </row>
    <row r="4727" spans="1:40" x14ac:dyDescent="0.25">
      <c r="A4727" t="str">
        <f>"20190312161107363"</f>
        <v>20190312161107363</v>
      </c>
      <c r="B4727" t="str">
        <f>"1552378267351633"</f>
        <v>1552378267351633</v>
      </c>
      <c r="C4727" t="s">
        <v>40</v>
      </c>
      <c r="D4727">
        <v>5.624466</v>
      </c>
      <c r="E4727">
        <v>0.36316029999999999</v>
      </c>
      <c r="F4727" t="s">
        <v>41</v>
      </c>
      <c r="G4727">
        <v>-421.3707</v>
      </c>
      <c r="H4727" s="1">
        <v>-4.0260099999999999E-6</v>
      </c>
      <c r="I4727">
        <v>107.337</v>
      </c>
      <c r="J4727">
        <v>-417.46609999999998</v>
      </c>
      <c r="K4727">
        <v>1.116317</v>
      </c>
      <c r="L4727">
        <v>129.90870000000001</v>
      </c>
      <c r="M4727">
        <v>-0.52722569999999902</v>
      </c>
      <c r="N4727">
        <v>0</v>
      </c>
      <c r="O4727">
        <v>-0.84959889999999905</v>
      </c>
      <c r="P4727">
        <v>-0.49542459999999999</v>
      </c>
      <c r="Q4727">
        <v>-9.8632430000000007E-3</v>
      </c>
      <c r="R4727">
        <v>-0.86859509999999995</v>
      </c>
      <c r="S4727">
        <v>-0.55758669999999899</v>
      </c>
      <c r="T4727">
        <v>-0.154025</v>
      </c>
      <c r="U4727">
        <v>-3.146973</v>
      </c>
      <c r="V4727">
        <v>-3.7104159999999997E-2</v>
      </c>
      <c r="W4727">
        <v>4.2365110000000001E-3</v>
      </c>
      <c r="X4727">
        <v>0.99930240000000004</v>
      </c>
      <c r="Y4727">
        <v>-0.37106329999999998</v>
      </c>
      <c r="Z4727">
        <v>3.6022819999999997E-2</v>
      </c>
      <c r="AA4727">
        <v>0.92790859999999997</v>
      </c>
      <c r="AB4727">
        <v>24</v>
      </c>
      <c r="AC4727">
        <v>-3.9046000000000101</v>
      </c>
      <c r="AD4727">
        <v>-1.1163210260100001</v>
      </c>
      <c r="AE4727">
        <v>-22.5717</v>
      </c>
      <c r="AF4727">
        <v>-8.5636206104497994</v>
      </c>
      <c r="AG4727">
        <v>-1.1163210260100001</v>
      </c>
      <c r="AH4727">
        <v>21.187459719823998</v>
      </c>
      <c r="AI4727">
        <v>92.796597135567893</v>
      </c>
      <c r="AJ4727">
        <v>112.007743827817</v>
      </c>
      <c r="AK4727">
        <v>22.879908653051899</v>
      </c>
      <c r="AL4727">
        <v>89.757265068072897</v>
      </c>
      <c r="AM4727">
        <v>92.126419010879005</v>
      </c>
      <c r="AN4727">
        <v>0.99999997668025897</v>
      </c>
    </row>
    <row r="4728" spans="1:40" x14ac:dyDescent="0.25">
      <c r="A4728" t="str">
        <f>"20190312161107388"</f>
        <v>20190312161107388</v>
      </c>
      <c r="B4728" t="str">
        <f>"1552378267381888"</f>
        <v>1552378267381888</v>
      </c>
      <c r="C4728" t="s">
        <v>40</v>
      </c>
      <c r="D4728">
        <v>9.1188839999999995</v>
      </c>
      <c r="E4728">
        <v>0.3642977</v>
      </c>
      <c r="F4728" t="s">
        <v>41</v>
      </c>
      <c r="G4728">
        <v>-421.15910000000002</v>
      </c>
      <c r="H4728" s="1">
        <v>-4.3816980000000003E-6</v>
      </c>
      <c r="I4728">
        <v>108.2086</v>
      </c>
      <c r="J4728">
        <v>-417.58550000000002</v>
      </c>
      <c r="K4728">
        <v>1.116225</v>
      </c>
      <c r="L4728">
        <v>129.69550000000001</v>
      </c>
      <c r="M4728">
        <v>-0.51912429999999998</v>
      </c>
      <c r="N4728">
        <v>0</v>
      </c>
      <c r="O4728">
        <v>-0.85457369999999899</v>
      </c>
      <c r="P4728">
        <v>-0.48756319999999997</v>
      </c>
      <c r="Q4728">
        <v>-1.0098559999999999E-2</v>
      </c>
      <c r="R4728">
        <v>-0.87302939999999996</v>
      </c>
      <c r="S4728">
        <v>-0.53549190000000002</v>
      </c>
      <c r="T4728">
        <v>-0.1618704</v>
      </c>
      <c r="U4728">
        <v>-3.1465909999999999</v>
      </c>
      <c r="V4728">
        <v>-3.6618159999999997E-2</v>
      </c>
      <c r="W4728">
        <v>3.9928489999999997E-3</v>
      </c>
      <c r="X4728">
        <v>0.99932129999999997</v>
      </c>
      <c r="Y4728">
        <v>-0.36855179999999998</v>
      </c>
      <c r="Z4728">
        <v>3.8270400000000003E-2</v>
      </c>
      <c r="AA4728">
        <v>0.92881910000000001</v>
      </c>
      <c r="AB4728">
        <v>24</v>
      </c>
      <c r="AC4728">
        <v>-3.5735999999999901</v>
      </c>
      <c r="AD4728">
        <v>-1.116229381698</v>
      </c>
      <c r="AE4728">
        <v>-21.486899999999999</v>
      </c>
      <c r="AF4728">
        <v>-8.0801141270710204</v>
      </c>
      <c r="AG4728">
        <v>-1.116229381698</v>
      </c>
      <c r="AH4728">
        <v>20.1664843245578</v>
      </c>
      <c r="AI4728">
        <v>92.941268708973396</v>
      </c>
      <c r="AJ4728">
        <v>111.834516763357</v>
      </c>
      <c r="AK4728">
        <v>21.753650322456</v>
      </c>
      <c r="AL4728">
        <v>89.771225983953599</v>
      </c>
      <c r="AM4728">
        <v>92.098552032041795</v>
      </c>
      <c r="AN4728">
        <v>0.99999994655930402</v>
      </c>
    </row>
    <row r="4729" spans="1:40" x14ac:dyDescent="0.25">
      <c r="A4729" t="str">
        <f>"20190312161107409"</f>
        <v>20190312161107409</v>
      </c>
      <c r="B4729" t="str">
        <f>"1552378267401409"</f>
        <v>1552378267401409</v>
      </c>
      <c r="C4729" t="s">
        <v>40</v>
      </c>
      <c r="D4729">
        <v>5.6951640000000001</v>
      </c>
      <c r="E4729">
        <v>0.3649308</v>
      </c>
      <c r="F4729" t="s">
        <v>41</v>
      </c>
      <c r="G4729">
        <v>-421.0994</v>
      </c>
      <c r="H4729" s="1">
        <v>-4.3690619999999996E-6</v>
      </c>
      <c r="I4729">
        <v>108.2154</v>
      </c>
      <c r="J4729">
        <v>-417.69889999999998</v>
      </c>
      <c r="K4729">
        <v>1.116142</v>
      </c>
      <c r="L4729">
        <v>129.48869999999999</v>
      </c>
      <c r="M4729">
        <v>-0.51134880000000005</v>
      </c>
      <c r="N4729">
        <v>0</v>
      </c>
      <c r="O4729">
        <v>-0.85924920000000005</v>
      </c>
      <c r="P4729">
        <v>-0.48033870000000001</v>
      </c>
      <c r="Q4729">
        <v>-9.9834339999999994E-3</v>
      </c>
      <c r="R4729">
        <v>-0.87702669999999905</v>
      </c>
      <c r="S4729">
        <v>-0.51480099999999995</v>
      </c>
      <c r="T4729">
        <v>-0.16353290000000001</v>
      </c>
      <c r="U4729">
        <v>-3.1469269999999998</v>
      </c>
      <c r="V4729">
        <v>-3.5802340000000002E-2</v>
      </c>
      <c r="W4729">
        <v>4.1044280000000002E-3</v>
      </c>
      <c r="X4729">
        <v>0.99935050000000003</v>
      </c>
      <c r="Y4729">
        <v>-0.36607780000000001</v>
      </c>
      <c r="Z4729">
        <v>3.9051229999999999E-2</v>
      </c>
      <c r="AA4729">
        <v>0.92976449999999999</v>
      </c>
      <c r="AB4729">
        <v>24</v>
      </c>
      <c r="AC4729">
        <v>-3.4005000000000201</v>
      </c>
      <c r="AD4729">
        <v>-1.1161463690619999</v>
      </c>
      <c r="AE4729">
        <v>-21.2732999999999</v>
      </c>
      <c r="AF4729">
        <v>-7.9357467136322599</v>
      </c>
      <c r="AG4729">
        <v>-1.1161463690619999</v>
      </c>
      <c r="AH4729">
        <v>19.966448052047799</v>
      </c>
      <c r="AI4729">
        <v>92.973747911523404</v>
      </c>
      <c r="AJ4729">
        <v>111.67554995933</v>
      </c>
      <c r="AK4729">
        <v>21.5146672397046</v>
      </c>
      <c r="AL4729">
        <v>89.764832946902402</v>
      </c>
      <c r="AM4729">
        <v>92.051778677421296</v>
      </c>
      <c r="AN4729">
        <v>1.00000003786446</v>
      </c>
    </row>
    <row r="4730" spans="1:40" x14ac:dyDescent="0.25">
      <c r="A4730" t="str">
        <f>"20190312161107427"</f>
        <v>20190312161107427</v>
      </c>
      <c r="B4730" t="str">
        <f>"1552378267421905"</f>
        <v>1552378267421905</v>
      </c>
      <c r="C4730" t="s">
        <v>40</v>
      </c>
      <c r="D4730">
        <v>5.7050809999999998</v>
      </c>
      <c r="E4730">
        <v>0.3786891</v>
      </c>
      <c r="F4730" t="s">
        <v>41</v>
      </c>
      <c r="G4730">
        <v>-421.05119999999999</v>
      </c>
      <c r="H4730" s="1">
        <v>-4.2934089999999999E-6</v>
      </c>
      <c r="I4730">
        <v>108.0825</v>
      </c>
      <c r="J4730">
        <v>-417.79500000000002</v>
      </c>
      <c r="K4730">
        <v>1.1160749999999999</v>
      </c>
      <c r="L4730">
        <v>129.31030000000001</v>
      </c>
      <c r="M4730">
        <v>-0.50469240000000004</v>
      </c>
      <c r="N4730">
        <v>0</v>
      </c>
      <c r="O4730">
        <v>-0.8631759</v>
      </c>
      <c r="P4730">
        <v>-0.47345110000000001</v>
      </c>
      <c r="Q4730">
        <v>-9.2441369999999995E-3</v>
      </c>
      <c r="R4730">
        <v>-0.88077179999999999</v>
      </c>
      <c r="S4730">
        <v>-0.49310300000000001</v>
      </c>
      <c r="T4730">
        <v>-0.16417799999999999</v>
      </c>
      <c r="U4730">
        <v>-3.1487120000000002</v>
      </c>
      <c r="V4730">
        <v>-3.5923259999999999E-2</v>
      </c>
      <c r="W4730">
        <v>4.8292129999999997E-3</v>
      </c>
      <c r="X4730">
        <v>0.99934290000000003</v>
      </c>
      <c r="Y4730">
        <v>-0.3652186</v>
      </c>
      <c r="Z4730">
        <v>3.9504640000000001E-2</v>
      </c>
      <c r="AA4730">
        <v>0.9300832</v>
      </c>
      <c r="AB4730">
        <v>24</v>
      </c>
      <c r="AC4730">
        <v>-3.25619999999997</v>
      </c>
      <c r="AD4730">
        <v>-1.116079293409</v>
      </c>
      <c r="AE4730">
        <v>-21.227799999999998</v>
      </c>
      <c r="AF4730">
        <v>-7.8823894031064503</v>
      </c>
      <c r="AG4730">
        <v>-1.116079293409</v>
      </c>
      <c r="AH4730">
        <v>19.915046038169798</v>
      </c>
      <c r="AI4730">
        <v>92.982917382040696</v>
      </c>
      <c r="AJ4730">
        <v>111.59369455327599</v>
      </c>
      <c r="AK4730">
        <v>21.447301797517699</v>
      </c>
      <c r="AL4730">
        <v>89.723305405904199</v>
      </c>
      <c r="AM4730">
        <v>92.0587181122728</v>
      </c>
      <c r="AN4730">
        <v>1.0000000168438099</v>
      </c>
    </row>
    <row r="4731" spans="1:40" x14ac:dyDescent="0.25">
      <c r="A4731" t="str">
        <f>"20190312161107471"</f>
        <v>20190312161107471</v>
      </c>
      <c r="B4731" t="str">
        <f>"1552378267462137"</f>
        <v>1552378267462137</v>
      </c>
      <c r="C4731" t="s">
        <v>40</v>
      </c>
      <c r="D4731">
        <v>5.6915559999999896</v>
      </c>
      <c r="E4731">
        <v>0.38097589999999998</v>
      </c>
      <c r="F4731" t="s">
        <v>41</v>
      </c>
      <c r="G4731">
        <v>-420.89659999999998</v>
      </c>
      <c r="H4731" s="1">
        <v>-1.3908929999999999E-6</v>
      </c>
      <c r="I4731">
        <v>112.2752</v>
      </c>
      <c r="J4731">
        <v>-418.00650000000002</v>
      </c>
      <c r="K4731">
        <v>1.115953</v>
      </c>
      <c r="L4731">
        <v>128.9059</v>
      </c>
      <c r="M4731">
        <v>-0.48979010000000001</v>
      </c>
      <c r="N4731">
        <v>0</v>
      </c>
      <c r="O4731">
        <v>-0.87171880000000002</v>
      </c>
      <c r="P4731">
        <v>-0.45972600000000002</v>
      </c>
      <c r="Q4731">
        <v>-8.4336919999999996E-3</v>
      </c>
      <c r="R4731">
        <v>-0.88802080000000005</v>
      </c>
      <c r="S4731">
        <v>-0.56451419999999997</v>
      </c>
      <c r="T4731">
        <v>-0.20313490000000001</v>
      </c>
      <c r="U4731">
        <v>-3.1005250000000002</v>
      </c>
      <c r="V4731">
        <v>-3.4277160000000001E-2</v>
      </c>
      <c r="W4731">
        <v>5.6360109999999998E-3</v>
      </c>
      <c r="X4731">
        <v>0.99939650000000002</v>
      </c>
      <c r="Y4731">
        <v>-0.32599020000000001</v>
      </c>
      <c r="Z4731">
        <v>5.0807400000000003E-2</v>
      </c>
      <c r="AA4731">
        <v>0.94400689999999998</v>
      </c>
      <c r="AB4731">
        <v>24</v>
      </c>
      <c r="AC4731">
        <v>-2.8900999999999599</v>
      </c>
      <c r="AD4731">
        <v>-1.1159543908930001</v>
      </c>
      <c r="AE4731">
        <v>-16.630700000000001</v>
      </c>
      <c r="AF4731">
        <v>-5.6023081885347699</v>
      </c>
      <c r="AG4731">
        <v>-1.1159543908930001</v>
      </c>
      <c r="AH4731">
        <v>15.8452683662191</v>
      </c>
      <c r="AI4731">
        <v>93.798873142195205</v>
      </c>
      <c r="AJ4731">
        <v>109.471734364618</v>
      </c>
      <c r="AK4731">
        <v>16.843507379384501</v>
      </c>
      <c r="AL4731">
        <v>89.677078655297905</v>
      </c>
      <c r="AM4731">
        <v>91.964352543764093</v>
      </c>
      <c r="AN4731">
        <v>1.00000002626495</v>
      </c>
    </row>
    <row r="4732" spans="1:40" x14ac:dyDescent="0.25">
      <c r="A4732" t="str">
        <f>"20190312161107493"</f>
        <v>20190312161107493</v>
      </c>
      <c r="B4732" t="str">
        <f>"1552378267481657"</f>
        <v>1552378267481657</v>
      </c>
      <c r="C4732" t="s">
        <v>40</v>
      </c>
      <c r="D4732">
        <v>5.7247159999999999</v>
      </c>
      <c r="E4732">
        <v>0.3818088</v>
      </c>
      <c r="F4732" t="s">
        <v>41</v>
      </c>
      <c r="G4732">
        <v>-420.8596</v>
      </c>
      <c r="H4732" s="1">
        <v>-1.3816E-6</v>
      </c>
      <c r="I4732">
        <v>112.2765</v>
      </c>
      <c r="J4732">
        <v>-418.11239999999998</v>
      </c>
      <c r="K4732">
        <v>1.1158950000000001</v>
      </c>
      <c r="L4732">
        <v>128.69710000000001</v>
      </c>
      <c r="M4732">
        <v>-0.48218090000000002</v>
      </c>
      <c r="N4732">
        <v>0</v>
      </c>
      <c r="O4732">
        <v>-0.87595129999999999</v>
      </c>
      <c r="P4732">
        <v>-0.45262580000000002</v>
      </c>
      <c r="Q4732">
        <v>-8.9241749999999995E-3</v>
      </c>
      <c r="R4732">
        <v>-0.89165640000000002</v>
      </c>
      <c r="S4732">
        <v>-0.53201290000000001</v>
      </c>
      <c r="T4732">
        <v>-0.20808989999999999</v>
      </c>
      <c r="U4732">
        <v>-3.1008610000000001</v>
      </c>
      <c r="V4732">
        <v>-3.3539069999999997E-2</v>
      </c>
      <c r="W4732">
        <v>5.1420149999999998E-3</v>
      </c>
      <c r="X4732">
        <v>0.99942419999999998</v>
      </c>
      <c r="Y4732">
        <v>-0.32738319999999999</v>
      </c>
      <c r="Z4732">
        <v>5.2468720000000003E-2</v>
      </c>
      <c r="AA4732">
        <v>0.94343379999999999</v>
      </c>
      <c r="AB4732">
        <v>24</v>
      </c>
      <c r="AC4732">
        <v>-2.7472000000000198</v>
      </c>
      <c r="AD4732">
        <v>-1.1158963816</v>
      </c>
      <c r="AE4732">
        <v>-16.4206</v>
      </c>
      <c r="AF4732">
        <v>-5.4872166234430404</v>
      </c>
      <c r="AG4732">
        <v>-1.1158963816</v>
      </c>
      <c r="AH4732">
        <v>15.6396898540681</v>
      </c>
      <c r="AI4732">
        <v>93.851720720558802</v>
      </c>
      <c r="AJ4732">
        <v>109.333523823845</v>
      </c>
      <c r="AK4732">
        <v>16.611883389263799</v>
      </c>
      <c r="AL4732">
        <v>89.705382950054002</v>
      </c>
      <c r="AM4732">
        <v>91.922032989026903</v>
      </c>
      <c r="AN4732">
        <v>1.00000002054018</v>
      </c>
    </row>
    <row r="4733" spans="1:40" x14ac:dyDescent="0.25">
      <c r="A4733" t="str">
        <f>"20190312161107516"</f>
        <v>20190312161107516</v>
      </c>
      <c r="B4733" t="str">
        <f>"1552378267511914"</f>
        <v>1552378267511914</v>
      </c>
      <c r="C4733" t="s">
        <v>40</v>
      </c>
      <c r="D4733">
        <v>5.7473580000000002</v>
      </c>
      <c r="E4733">
        <v>0.38296920000000001</v>
      </c>
      <c r="F4733" t="s">
        <v>41</v>
      </c>
      <c r="G4733">
        <v>-420.8356</v>
      </c>
      <c r="H4733" s="1">
        <v>-1.362634E-6</v>
      </c>
      <c r="I4733">
        <v>112.24720000000001</v>
      </c>
      <c r="J4733">
        <v>-418.2199</v>
      </c>
      <c r="K4733">
        <v>1.1158380000000001</v>
      </c>
      <c r="L4733">
        <v>128.48050000000001</v>
      </c>
      <c r="M4733">
        <v>-0.47434229999999999</v>
      </c>
      <c r="N4733">
        <v>0</v>
      </c>
      <c r="O4733">
        <v>-0.88022080000000003</v>
      </c>
      <c r="P4733">
        <v>-0.44473069999999998</v>
      </c>
      <c r="Q4733">
        <v>-9.3276269999999998E-3</v>
      </c>
      <c r="R4733">
        <v>-0.89561599999999997</v>
      </c>
      <c r="S4733">
        <v>-0.51348879999999997</v>
      </c>
      <c r="T4733">
        <v>-0.2104115</v>
      </c>
      <c r="U4733">
        <v>-3.1017760000000001</v>
      </c>
      <c r="V4733">
        <v>-3.3438580000000002E-2</v>
      </c>
      <c r="W4733">
        <v>4.7262179999999999E-3</v>
      </c>
      <c r="X4733">
        <v>0.99942960000000003</v>
      </c>
      <c r="Y4733">
        <v>-0.32448050000000001</v>
      </c>
      <c r="Z4733">
        <v>5.3511219999999998E-2</v>
      </c>
      <c r="AA4733">
        <v>0.94437749999999998</v>
      </c>
      <c r="AB4733">
        <v>24</v>
      </c>
      <c r="AC4733">
        <v>-2.6156999999999999</v>
      </c>
      <c r="AD4733">
        <v>-1.115839362634</v>
      </c>
      <c r="AE4733">
        <v>-16.2333</v>
      </c>
      <c r="AF4733">
        <v>-5.3735692304166998</v>
      </c>
      <c r="AG4733">
        <v>-1.115839362634</v>
      </c>
      <c r="AH4733">
        <v>15.460063753269599</v>
      </c>
      <c r="AI4733">
        <v>93.900098078400205</v>
      </c>
      <c r="AJ4733">
        <v>109.16629768075801</v>
      </c>
      <c r="AK4733">
        <v>16.405301430100099</v>
      </c>
      <c r="AL4733">
        <v>89.729206647562506</v>
      </c>
      <c r="AM4733">
        <v>91.916268134020001</v>
      </c>
      <c r="AN4733">
        <v>1.00000000056258</v>
      </c>
    </row>
    <row r="4734" spans="1:40" x14ac:dyDescent="0.25">
      <c r="A4734" t="str">
        <f>"20190312161107538"</f>
        <v>20190312161107538</v>
      </c>
      <c r="B4734" t="str">
        <f>"1552378267531434"</f>
        <v>1552378267531434</v>
      </c>
      <c r="C4734" t="s">
        <v>40</v>
      </c>
      <c r="D4734">
        <v>5.7428739999999996</v>
      </c>
      <c r="E4734">
        <v>0.3838201</v>
      </c>
      <c r="F4734" t="s">
        <v>41</v>
      </c>
      <c r="G4734">
        <v>-420.77839999999998</v>
      </c>
      <c r="H4734" s="1">
        <v>-1.4220999999999999E-6</v>
      </c>
      <c r="I4734">
        <v>112.4213</v>
      </c>
      <c r="J4734">
        <v>-418.32229999999998</v>
      </c>
      <c r="K4734">
        <v>1.115783</v>
      </c>
      <c r="L4734">
        <v>128.27000000000001</v>
      </c>
      <c r="M4734">
        <v>-0.46677580000000002</v>
      </c>
      <c r="N4734">
        <v>0</v>
      </c>
      <c r="O4734">
        <v>-0.88425689999999901</v>
      </c>
      <c r="P4734">
        <v>-0.43700050000000001</v>
      </c>
      <c r="Q4734">
        <v>-8.8681819999999901E-3</v>
      </c>
      <c r="R4734">
        <v>-0.89941789999999999</v>
      </c>
      <c r="S4734">
        <v>-0.49420170000000002</v>
      </c>
      <c r="T4734">
        <v>-0.21553649999999999</v>
      </c>
      <c r="U4734">
        <v>-3.10202</v>
      </c>
      <c r="V4734">
        <v>-3.3481869999999997E-2</v>
      </c>
      <c r="W4734">
        <v>5.1720539999999997E-3</v>
      </c>
      <c r="X4734">
        <v>0.99942589999999998</v>
      </c>
      <c r="Y4734">
        <v>-0.32211440000000002</v>
      </c>
      <c r="Z4734">
        <v>5.526201E-2</v>
      </c>
      <c r="AA4734">
        <v>0.94508650000000005</v>
      </c>
      <c r="AB4734">
        <v>24</v>
      </c>
      <c r="AC4734">
        <v>-2.45609999999999</v>
      </c>
      <c r="AD4734">
        <v>-1.1157844221</v>
      </c>
      <c r="AE4734">
        <v>-15.848699999999999</v>
      </c>
      <c r="AF4734">
        <v>-5.2013395840006398</v>
      </c>
      <c r="AG4734">
        <v>-1.1157844221</v>
      </c>
      <c r="AH4734">
        <v>15.089327275442599</v>
      </c>
      <c r="AI4734">
        <v>93.998958313086405</v>
      </c>
      <c r="AJ4734">
        <v>109.019236986042</v>
      </c>
      <c r="AK4734">
        <v>15.999584556172399</v>
      </c>
      <c r="AL4734">
        <v>89.703661800652398</v>
      </c>
      <c r="AM4734">
        <v>91.918754203445403</v>
      </c>
      <c r="AN4734">
        <v>0.999999957676041</v>
      </c>
    </row>
    <row r="4735" spans="1:40" x14ac:dyDescent="0.25">
      <c r="A4735" t="str">
        <f>"20190312161107561"</f>
        <v>20190312161107561</v>
      </c>
      <c r="B4735" t="str">
        <f>"1552378267551929"</f>
        <v>1552378267551929</v>
      </c>
      <c r="C4735" t="s">
        <v>40</v>
      </c>
      <c r="D4735">
        <v>5.762168</v>
      </c>
      <c r="E4735">
        <v>0.3847817</v>
      </c>
      <c r="F4735" t="s">
        <v>41</v>
      </c>
      <c r="G4735">
        <v>-420.76330000000002</v>
      </c>
      <c r="H4735" s="1">
        <v>-1.3554430000000001E-6</v>
      </c>
      <c r="I4735">
        <v>112.2752</v>
      </c>
      <c r="J4735">
        <v>-418.42570000000001</v>
      </c>
      <c r="K4735">
        <v>1.115723</v>
      </c>
      <c r="L4735">
        <v>128.05260000000001</v>
      </c>
      <c r="M4735">
        <v>-0.45902609999999999</v>
      </c>
      <c r="N4735">
        <v>0</v>
      </c>
      <c r="O4735">
        <v>-0.88830489999999995</v>
      </c>
      <c r="P4735">
        <v>-0.42868299999999998</v>
      </c>
      <c r="Q4735">
        <v>-8.6277160000000006E-3</v>
      </c>
      <c r="R4735">
        <v>-0.90341400000000005</v>
      </c>
      <c r="S4735">
        <v>-0.47360229999999998</v>
      </c>
      <c r="T4735">
        <v>-0.2164826</v>
      </c>
      <c r="U4735">
        <v>-3.1032709999999999</v>
      </c>
      <c r="V4735">
        <v>-3.3967440000000002E-2</v>
      </c>
      <c r="W4735">
        <v>5.3933039999999998E-3</v>
      </c>
      <c r="X4735">
        <v>0.99940839999999997</v>
      </c>
      <c r="Y4735">
        <v>-0.32002429999999998</v>
      </c>
      <c r="Z4735">
        <v>5.5939839999999998E-2</v>
      </c>
      <c r="AA4735">
        <v>0.94575640000000005</v>
      </c>
      <c r="AB4735">
        <v>24</v>
      </c>
      <c r="AC4735">
        <v>-2.3376000000000001</v>
      </c>
      <c r="AD4735">
        <v>-1.1157243554430001</v>
      </c>
      <c r="AE4735">
        <v>-15.7774</v>
      </c>
      <c r="AF4735">
        <v>-5.1411202433647896</v>
      </c>
      <c r="AG4735">
        <v>-1.1157243554430001</v>
      </c>
      <c r="AH4735">
        <v>15.0162605721187</v>
      </c>
      <c r="AI4735">
        <v>94.021009457984505</v>
      </c>
      <c r="AJ4735">
        <v>108.89967595863899</v>
      </c>
      <c r="AK4735">
        <v>15.911129430805</v>
      </c>
      <c r="AL4735">
        <v>89.690984948881805</v>
      </c>
      <c r="AM4735">
        <v>91.946593693654407</v>
      </c>
      <c r="AN4735">
        <v>1.00000001234937</v>
      </c>
    </row>
    <row r="4736" spans="1:40" x14ac:dyDescent="0.25">
      <c r="A4736" t="str">
        <f>"20190312161107586"</f>
        <v>20190312161107586</v>
      </c>
      <c r="B4736" t="str">
        <f>"1552378267581209"</f>
        <v>1552378267581209</v>
      </c>
      <c r="C4736" t="s">
        <v>40</v>
      </c>
      <c r="D4736">
        <v>5.7809080000000002</v>
      </c>
      <c r="E4736">
        <v>0.3934821</v>
      </c>
      <c r="F4736" t="s">
        <v>41</v>
      </c>
      <c r="G4736">
        <v>-420.72739999999999</v>
      </c>
      <c r="H4736" s="1">
        <v>-1.324814E-6</v>
      </c>
      <c r="I4736">
        <v>112.2261</v>
      </c>
      <c r="J4736">
        <v>-418.53109999999998</v>
      </c>
      <c r="K4736">
        <v>1.115664</v>
      </c>
      <c r="L4736">
        <v>127.8261</v>
      </c>
      <c r="M4736">
        <v>-0.45101609999999998</v>
      </c>
      <c r="N4736">
        <v>0</v>
      </c>
      <c r="O4736">
        <v>-0.89239880000000005</v>
      </c>
      <c r="P4736">
        <v>-0.41995480000000002</v>
      </c>
      <c r="Q4736">
        <v>-8.2162109999999993E-3</v>
      </c>
      <c r="R4736">
        <v>-0.90750819999999999</v>
      </c>
      <c r="S4736">
        <v>-0.45147710000000002</v>
      </c>
      <c r="T4736">
        <v>-0.21885299999999999</v>
      </c>
      <c r="U4736">
        <v>-3.1044160000000001</v>
      </c>
      <c r="V4736">
        <v>-3.4616429999999997E-2</v>
      </c>
      <c r="W4736">
        <v>5.7833519999999899E-3</v>
      </c>
      <c r="X4736">
        <v>0.99938389999999999</v>
      </c>
      <c r="Y4736">
        <v>-0.318154299999999</v>
      </c>
      <c r="Z4736">
        <v>5.6995799999999999E-2</v>
      </c>
      <c r="AA4736">
        <v>0.9463241</v>
      </c>
      <c r="AB4736">
        <v>24</v>
      </c>
      <c r="AC4736">
        <v>-2.1962999999999999</v>
      </c>
      <c r="AD4736">
        <v>-1.115665324814</v>
      </c>
      <c r="AE4736">
        <v>-15.5999999999999</v>
      </c>
      <c r="AF4736">
        <v>-5.0510733201365197</v>
      </c>
      <c r="AG4736">
        <v>-1.115665324814</v>
      </c>
      <c r="AH4736">
        <v>14.8391231879007</v>
      </c>
      <c r="AI4736">
        <v>94.071091291770998</v>
      </c>
      <c r="AJ4736">
        <v>108.798005992222</v>
      </c>
      <c r="AK4736">
        <v>15.7148855480426</v>
      </c>
      <c r="AL4736">
        <v>89.668636479151502</v>
      </c>
      <c r="AM4736">
        <v>91.983804932066406</v>
      </c>
      <c r="AN4736">
        <v>0.99999996198275398</v>
      </c>
    </row>
    <row r="4737" spans="1:40" x14ac:dyDescent="0.25">
      <c r="A4737" t="str">
        <f>"20190312161107607"</f>
        <v>20190312161107607</v>
      </c>
      <c r="B4737" t="str">
        <f>"1552378267601705"</f>
        <v>1552378267601705</v>
      </c>
      <c r="C4737" t="s">
        <v>40</v>
      </c>
      <c r="D4737">
        <v>5.790559</v>
      </c>
      <c r="E4737">
        <v>0.39395059999999998</v>
      </c>
      <c r="F4737" t="s">
        <v>41</v>
      </c>
      <c r="G4737">
        <v>-420.67259999999999</v>
      </c>
      <c r="H4737" s="1">
        <v>-2.1534360000000001E-6</v>
      </c>
      <c r="I4737">
        <v>114.19159999999999</v>
      </c>
      <c r="J4737">
        <v>-418.62529999999998</v>
      </c>
      <c r="K4737">
        <v>1.1156010000000001</v>
      </c>
      <c r="L4737">
        <v>127.6191</v>
      </c>
      <c r="M4737">
        <v>-0.44375969999999998</v>
      </c>
      <c r="N4737">
        <v>0</v>
      </c>
      <c r="O4737">
        <v>-0.89602950000000003</v>
      </c>
      <c r="P4737">
        <v>-0.41236889999999998</v>
      </c>
      <c r="Q4737">
        <v>-8.7792449999999998E-3</v>
      </c>
      <c r="R4737">
        <v>-0.91097490000000003</v>
      </c>
      <c r="S4737">
        <v>-0.48370360000000001</v>
      </c>
      <c r="T4737">
        <v>-0.25199769999999999</v>
      </c>
      <c r="U4737">
        <v>-3.0796510000000001</v>
      </c>
      <c r="V4737">
        <v>-3.4833370000000002E-2</v>
      </c>
      <c r="W4737">
        <v>5.2059100000000002E-3</v>
      </c>
      <c r="X4737">
        <v>0.99937960000000003</v>
      </c>
      <c r="Y4737">
        <v>-0.29973660000000002</v>
      </c>
      <c r="Z4737">
        <v>6.6733849999999997E-2</v>
      </c>
      <c r="AA4737">
        <v>0.95168509999999995</v>
      </c>
      <c r="AB4737">
        <v>24</v>
      </c>
      <c r="AC4737">
        <v>-2.0472999999999999</v>
      </c>
      <c r="AD4737">
        <v>-1.115603153436</v>
      </c>
      <c r="AE4737">
        <v>-13.4275</v>
      </c>
      <c r="AF4737">
        <v>-4.0969340538166401</v>
      </c>
      <c r="AG4737">
        <v>-1.115603153436</v>
      </c>
      <c r="AH4737">
        <v>12.8545768965169</v>
      </c>
      <c r="AI4737">
        <v>94.726938350347893</v>
      </c>
      <c r="AJ4737">
        <v>107.67781030078</v>
      </c>
      <c r="AK4737">
        <v>13.5377097851056</v>
      </c>
      <c r="AL4737">
        <v>89.701721988633807</v>
      </c>
      <c r="AM4737">
        <v>91.996235925620198</v>
      </c>
      <c r="AN4737">
        <v>1.00000002503032</v>
      </c>
    </row>
    <row r="4738" spans="1:40" x14ac:dyDescent="0.25">
      <c r="A4738" t="str">
        <f>"20190312161107628"</f>
        <v>20190312161107628</v>
      </c>
      <c r="B4738" t="str">
        <f>"1552378267621225"</f>
        <v>1552378267621225</v>
      </c>
      <c r="C4738" t="s">
        <v>40</v>
      </c>
      <c r="D4738">
        <v>5.7935739999999996</v>
      </c>
      <c r="E4738">
        <v>0.39472800000000002</v>
      </c>
      <c r="F4738" t="s">
        <v>41</v>
      </c>
      <c r="G4738">
        <v>-420.65769999999998</v>
      </c>
      <c r="H4738" s="1">
        <v>-2.0851749999999999E-6</v>
      </c>
      <c r="I4738">
        <v>114.04170000000001</v>
      </c>
      <c r="J4738">
        <v>-418.7149</v>
      </c>
      <c r="K4738">
        <v>1.1155459999999999</v>
      </c>
      <c r="L4738">
        <v>127.4182</v>
      </c>
      <c r="M4738">
        <v>-0.43677129999999997</v>
      </c>
      <c r="N4738">
        <v>0</v>
      </c>
      <c r="O4738">
        <v>-0.8994569</v>
      </c>
      <c r="P4738">
        <v>-0.405144</v>
      </c>
      <c r="Q4738">
        <v>-8.6725020000000003E-3</v>
      </c>
      <c r="R4738">
        <v>-0.91421180000000002</v>
      </c>
      <c r="S4738">
        <v>-0.46133420000000003</v>
      </c>
      <c r="T4738">
        <v>-0.25322889999999998</v>
      </c>
      <c r="U4738">
        <v>-3.0818940000000001</v>
      </c>
      <c r="V4738">
        <v>-3.4966780000000003E-2</v>
      </c>
      <c r="W4738">
        <v>5.3007990000000001E-3</v>
      </c>
      <c r="X4738">
        <v>0.9993744</v>
      </c>
      <c r="Y4738">
        <v>-0.29917129999999997</v>
      </c>
      <c r="Z4738">
        <v>6.7457680000000006E-2</v>
      </c>
      <c r="AA4738">
        <v>0.95181199999999999</v>
      </c>
      <c r="AB4738">
        <v>24</v>
      </c>
      <c r="AC4738">
        <v>-1.9427999999999701</v>
      </c>
      <c r="AD4738">
        <v>-1.1155480851749999</v>
      </c>
      <c r="AE4738">
        <v>-13.376499999999901</v>
      </c>
      <c r="AF4738">
        <v>-4.0677263898661797</v>
      </c>
      <c r="AG4738">
        <v>-1.1155480851749999</v>
      </c>
      <c r="AH4738">
        <v>12.7943397923638</v>
      </c>
      <c r="AI4738">
        <v>94.749927377168007</v>
      </c>
      <c r="AJ4738">
        <v>107.637110791336</v>
      </c>
      <c r="AK4738">
        <v>13.471673104541001</v>
      </c>
      <c r="AL4738">
        <v>89.696285161689403</v>
      </c>
      <c r="AM4738">
        <v>92.003885602613394</v>
      </c>
      <c r="AN4738">
        <v>0.99999998277448299</v>
      </c>
    </row>
    <row r="4739" spans="1:40" x14ac:dyDescent="0.25">
      <c r="A4739" t="str">
        <f>"20190312161107651"</f>
        <v>20190312161107651</v>
      </c>
      <c r="B4739" t="str">
        <f>"1552378267641722"</f>
        <v>1552378267641722</v>
      </c>
      <c r="C4739" t="s">
        <v>40</v>
      </c>
      <c r="D4739">
        <v>5.8088879999999996</v>
      </c>
      <c r="E4739">
        <v>0.39545229999999998</v>
      </c>
      <c r="F4739" t="s">
        <v>41</v>
      </c>
      <c r="G4739">
        <v>-420.66550000000001</v>
      </c>
      <c r="H4739" s="1">
        <v>-2.0012450000000002E-6</v>
      </c>
      <c r="I4739">
        <v>113.8413</v>
      </c>
      <c r="J4739">
        <v>-418.81049999999999</v>
      </c>
      <c r="K4739">
        <v>1.1154850000000001</v>
      </c>
      <c r="L4739">
        <v>127.1991</v>
      </c>
      <c r="M4739">
        <v>-0.42921199999999998</v>
      </c>
      <c r="N4739">
        <v>0</v>
      </c>
      <c r="O4739">
        <v>-0.90308900000000003</v>
      </c>
      <c r="P4739">
        <v>-0.39785749999999998</v>
      </c>
      <c r="Q4739">
        <v>-8.5900549999999992E-3</v>
      </c>
      <c r="R4739">
        <v>-0.91740719999999998</v>
      </c>
      <c r="S4739">
        <v>-0.44290160000000001</v>
      </c>
      <c r="T4739">
        <v>-0.25330330000000001</v>
      </c>
      <c r="U4739">
        <v>-3.0828549999999999</v>
      </c>
      <c r="V4739">
        <v>-3.4535969999999999E-2</v>
      </c>
      <c r="W4739">
        <v>5.3775689999999996E-3</v>
      </c>
      <c r="X4739">
        <v>0.99938899999999997</v>
      </c>
      <c r="Y4739">
        <v>-0.29678559999999998</v>
      </c>
      <c r="Z4739">
        <v>6.7946690000000004E-2</v>
      </c>
      <c r="AA4739">
        <v>0.95252380000000003</v>
      </c>
      <c r="AB4739">
        <v>24</v>
      </c>
      <c r="AC4739">
        <v>-1.85500000000001</v>
      </c>
      <c r="AD4739">
        <v>-1.115487001245</v>
      </c>
      <c r="AE4739">
        <v>-13.3577999999999</v>
      </c>
      <c r="AF4739">
        <v>-4.0309402269808796</v>
      </c>
      <c r="AG4739">
        <v>-1.115487001245</v>
      </c>
      <c r="AH4739">
        <v>12.7734119486206</v>
      </c>
      <c r="AI4739">
        <v>94.760631539286905</v>
      </c>
      <c r="AJ4739">
        <v>107.514274251031</v>
      </c>
      <c r="AK4739">
        <v>13.4407158727726</v>
      </c>
      <c r="AL4739">
        <v>89.691886511049901</v>
      </c>
      <c r="AM4739">
        <v>91.979187494557394</v>
      </c>
      <c r="AN4739">
        <v>1.00000001239659</v>
      </c>
    </row>
    <row r="4740" spans="1:40" x14ac:dyDescent="0.25">
      <c r="A4740" t="str">
        <f>"20190312161107671"</f>
        <v>20190312161107671</v>
      </c>
      <c r="B4740" t="str">
        <f>"1552378267662218"</f>
        <v>1552378267662218</v>
      </c>
      <c r="C4740" t="s">
        <v>40</v>
      </c>
      <c r="D4740">
        <v>5.8088850000000001</v>
      </c>
      <c r="E4740">
        <v>0.39596140000000002</v>
      </c>
      <c r="F4740" t="s">
        <v>41</v>
      </c>
      <c r="G4740">
        <v>-420.65730000000002</v>
      </c>
      <c r="H4740" s="1">
        <v>-1.9648459999999998E-6</v>
      </c>
      <c r="I4740">
        <v>113.7616</v>
      </c>
      <c r="J4740">
        <v>-418.89729999999997</v>
      </c>
      <c r="K4740">
        <v>1.1154269999999999</v>
      </c>
      <c r="L4740">
        <v>126.9961</v>
      </c>
      <c r="M4740">
        <v>-0.42227609999999899</v>
      </c>
      <c r="N4740">
        <v>0</v>
      </c>
      <c r="O4740">
        <v>-0.90635290000000002</v>
      </c>
      <c r="P4740">
        <v>-0.3911152</v>
      </c>
      <c r="Q4740">
        <v>-8.6926659999999999E-3</v>
      </c>
      <c r="R4740">
        <v>-0.92030080000000003</v>
      </c>
      <c r="S4740">
        <v>-0.42382809999999999</v>
      </c>
      <c r="T4740">
        <v>-0.25600400000000001</v>
      </c>
      <c r="U4740">
        <v>-3.0839080000000001</v>
      </c>
      <c r="V4740">
        <v>-3.4204789999999999E-2</v>
      </c>
      <c r="W4740">
        <v>5.2693280000000002E-3</v>
      </c>
      <c r="X4740">
        <v>0.99940099999999998</v>
      </c>
      <c r="Y4740">
        <v>-0.29529719999999998</v>
      </c>
      <c r="Z4740">
        <v>6.9082859999999996E-2</v>
      </c>
      <c r="AA4740">
        <v>0.95290459999999999</v>
      </c>
      <c r="AB4740">
        <v>24</v>
      </c>
      <c r="AC4740">
        <v>-1.76000000000004</v>
      </c>
      <c r="AD4740">
        <v>-1.1154289648459901</v>
      </c>
      <c r="AE4740">
        <v>-13.234499999999899</v>
      </c>
      <c r="AF4740">
        <v>-3.96616215333023</v>
      </c>
      <c r="AG4740">
        <v>-1.1154289648459901</v>
      </c>
      <c r="AH4740">
        <v>12.6513476460403</v>
      </c>
      <c r="AI4740">
        <v>94.808943114090994</v>
      </c>
      <c r="AJ4740">
        <v>107.40606235495601</v>
      </c>
      <c r="AK4740">
        <v>13.305308010831499</v>
      </c>
      <c r="AL4740">
        <v>89.698088361511495</v>
      </c>
      <c r="AM4740">
        <v>91.960199589579602</v>
      </c>
      <c r="AN4740">
        <v>1.0000000461387499</v>
      </c>
    </row>
    <row r="4741" spans="1:40" x14ac:dyDescent="0.25">
      <c r="A4741" t="str">
        <f>"20190312161107694"</f>
        <v>20190312161107694</v>
      </c>
      <c r="B4741" t="str">
        <f>"1552378267681738"</f>
        <v>1552378267681738</v>
      </c>
      <c r="C4741" t="s">
        <v>40</v>
      </c>
      <c r="D4741">
        <v>5.835934</v>
      </c>
      <c r="E4741">
        <v>0.4007541</v>
      </c>
      <c r="F4741" t="s">
        <v>41</v>
      </c>
      <c r="G4741">
        <v>-420.63490000000002</v>
      </c>
      <c r="H4741" s="1">
        <v>-1.961016E-6</v>
      </c>
      <c r="I4741">
        <v>113.76649999999999</v>
      </c>
      <c r="J4741">
        <v>-418.98559999999998</v>
      </c>
      <c r="K4741">
        <v>1.115362</v>
      </c>
      <c r="L4741">
        <v>126.7852</v>
      </c>
      <c r="M4741">
        <v>-0.41514810000000002</v>
      </c>
      <c r="N4741">
        <v>0</v>
      </c>
      <c r="O4741">
        <v>-0.90964020000000001</v>
      </c>
      <c r="P4741">
        <v>-0.38515529999999998</v>
      </c>
      <c r="Q4741">
        <v>-9.2409050000000006E-3</v>
      </c>
      <c r="R4741">
        <v>-0.9228056</v>
      </c>
      <c r="S4741">
        <v>-0.40521239999999997</v>
      </c>
      <c r="T4741">
        <v>-0.26011659999999998</v>
      </c>
      <c r="U4741">
        <v>-3.0851289999999998</v>
      </c>
      <c r="V4741">
        <v>-3.2812359999999999E-2</v>
      </c>
      <c r="W4741">
        <v>4.7286029999999996E-3</v>
      </c>
      <c r="X4741">
        <v>0.99945030000000001</v>
      </c>
      <c r="Y4741">
        <v>-0.2935084</v>
      </c>
      <c r="Z4741">
        <v>7.0610039999999999E-2</v>
      </c>
      <c r="AA4741">
        <v>0.9533452</v>
      </c>
      <c r="AB4741">
        <v>24</v>
      </c>
      <c r="AC4741">
        <v>-1.64930000000003</v>
      </c>
      <c r="AD4741">
        <v>-1.115363961016</v>
      </c>
      <c r="AE4741">
        <v>-13.018700000000001</v>
      </c>
      <c r="AF4741">
        <v>-3.87681622789473</v>
      </c>
      <c r="AG4741">
        <v>-1.115363961016</v>
      </c>
      <c r="AH4741">
        <v>12.438475240651799</v>
      </c>
      <c r="AI4741">
        <v>94.893083950979104</v>
      </c>
      <c r="AJ4741">
        <v>107.311179575867</v>
      </c>
      <c r="AK4741">
        <v>13.0762917963278</v>
      </c>
      <c r="AL4741">
        <v>89.729069983639803</v>
      </c>
      <c r="AM4741">
        <v>91.8803683716812</v>
      </c>
      <c r="AN4741">
        <v>0.99999995641259398</v>
      </c>
    </row>
    <row r="4742" spans="1:40" x14ac:dyDescent="0.25">
      <c r="A4742" t="str">
        <f>"20190312161107717"</f>
        <v>20190312161107717</v>
      </c>
      <c r="B4742" t="str">
        <f>"1552378267711993"</f>
        <v>1552378267711993</v>
      </c>
      <c r="C4742" t="s">
        <v>40</v>
      </c>
      <c r="D4742">
        <v>5.8069889999999997</v>
      </c>
      <c r="E4742">
        <v>0.40225739999999999</v>
      </c>
      <c r="F4742" t="s">
        <v>41</v>
      </c>
      <c r="G4742">
        <v>-420.64510000000001</v>
      </c>
      <c r="H4742" s="1">
        <v>-2.3394539999999998E-6</v>
      </c>
      <c r="I4742">
        <v>114.64230000000001</v>
      </c>
      <c r="J4742">
        <v>-419.07780000000002</v>
      </c>
      <c r="K4742">
        <v>1.115275</v>
      </c>
      <c r="L4742">
        <v>126.5603</v>
      </c>
      <c r="M4742">
        <v>-0.40763830000000001</v>
      </c>
      <c r="N4742">
        <v>0</v>
      </c>
      <c r="O4742">
        <v>-0.91303049999999997</v>
      </c>
      <c r="P4742">
        <v>-0.37934679999999998</v>
      </c>
      <c r="Q4742">
        <v>-9.5762750000000004E-3</v>
      </c>
      <c r="R4742">
        <v>-0.92520519999999995</v>
      </c>
      <c r="S4742">
        <v>-0.4199524</v>
      </c>
      <c r="T4742">
        <v>-0.28224749999999998</v>
      </c>
      <c r="U4742">
        <v>-3.0728149999999999</v>
      </c>
      <c r="V4742">
        <v>-3.085268E-2</v>
      </c>
      <c r="W4742">
        <v>4.4057870000000004E-3</v>
      </c>
      <c r="X4742">
        <v>0.99951420000000002</v>
      </c>
      <c r="Y4742">
        <v>-0.28069070000000002</v>
      </c>
      <c r="Z4742">
        <v>7.7485990000000005E-2</v>
      </c>
      <c r="AA4742">
        <v>0.9566654</v>
      </c>
      <c r="AB4742">
        <v>24</v>
      </c>
      <c r="AC4742">
        <v>-1.5672999999999799</v>
      </c>
      <c r="AD4742">
        <v>-1.1152773394540001</v>
      </c>
      <c r="AE4742">
        <v>-11.9179999999999</v>
      </c>
      <c r="AF4742">
        <v>-3.3983405659393902</v>
      </c>
      <c r="AG4742">
        <v>-1.1152773394540001</v>
      </c>
      <c r="AH4742">
        <v>11.423244049615899</v>
      </c>
      <c r="AI4742">
        <v>95.346116758439905</v>
      </c>
      <c r="AJ4742">
        <v>106.56739817555599</v>
      </c>
      <c r="AK4742">
        <v>11.970090507723601</v>
      </c>
      <c r="AL4742">
        <v>89.747566174571702</v>
      </c>
      <c r="AM4742">
        <v>91.768026140100702</v>
      </c>
      <c r="AN4742">
        <v>0.99999996741195496</v>
      </c>
    </row>
    <row r="4743" spans="1:40" x14ac:dyDescent="0.25">
      <c r="A4743" t="str">
        <f>"20190312161107751"</f>
        <v>20190312161107751</v>
      </c>
      <c r="B4743" t="str">
        <f>"1552378267741277"</f>
        <v>1552378267741277</v>
      </c>
      <c r="C4743" t="s">
        <v>40</v>
      </c>
      <c r="D4743">
        <v>5.8522619999999996</v>
      </c>
      <c r="E4743">
        <v>0.40343649999999998</v>
      </c>
      <c r="F4743" t="s">
        <v>41</v>
      </c>
      <c r="G4743">
        <v>-420.68650000000002</v>
      </c>
      <c r="H4743" s="1">
        <v>-2.3107059999999999E-6</v>
      </c>
      <c r="I4743">
        <v>114.5496</v>
      </c>
      <c r="J4743">
        <v>-419.2038</v>
      </c>
      <c r="K4743">
        <v>1.11514</v>
      </c>
      <c r="L4743">
        <v>126.24460000000001</v>
      </c>
      <c r="M4743">
        <v>-0.39728849999999999</v>
      </c>
      <c r="N4743">
        <v>0</v>
      </c>
      <c r="O4743">
        <v>-0.91758200000000001</v>
      </c>
      <c r="P4743">
        <v>-0.36957190000000001</v>
      </c>
      <c r="Q4743">
        <v>-9.2356339999999995E-3</v>
      </c>
      <c r="R4743">
        <v>-0.92915650000000005</v>
      </c>
      <c r="S4743">
        <v>-0.41131590000000001</v>
      </c>
      <c r="T4743">
        <v>-0.28515990000000002</v>
      </c>
      <c r="U4743">
        <v>-3.0709379999999999</v>
      </c>
      <c r="V4743">
        <v>-3.0091960000000001E-2</v>
      </c>
      <c r="W4743">
        <v>4.7395689999999999E-3</v>
      </c>
      <c r="X4743">
        <v>0.99953590000000003</v>
      </c>
      <c r="Y4743">
        <v>-0.27240789999999998</v>
      </c>
      <c r="Z4743">
        <v>7.9067079999999998E-2</v>
      </c>
      <c r="AA4743">
        <v>0.95892770000000005</v>
      </c>
      <c r="AB4743">
        <v>24</v>
      </c>
      <c r="AC4743">
        <v>-1.4827000000000199</v>
      </c>
      <c r="AD4743">
        <v>-1.1151423107059999</v>
      </c>
      <c r="AE4743">
        <v>-11.695</v>
      </c>
      <c r="AF4743">
        <v>-3.25698312435809</v>
      </c>
      <c r="AG4743">
        <v>-1.1151423107059999</v>
      </c>
      <c r="AH4743">
        <v>11.220935297386699</v>
      </c>
      <c r="AI4743">
        <v>95.451870656590202</v>
      </c>
      <c r="AJ4743">
        <v>106.185873161465</v>
      </c>
      <c r="AK4743">
        <v>11.7371576795074</v>
      </c>
      <c r="AL4743">
        <v>89.728441683563503</v>
      </c>
      <c r="AM4743">
        <v>91.724421990632806</v>
      </c>
      <c r="AN4743">
        <v>1.0000000024798701</v>
      </c>
    </row>
    <row r="4744" spans="1:40" x14ac:dyDescent="0.25">
      <c r="A4744" t="str">
        <f>"20190312161107774"</f>
        <v>20190312161107774</v>
      </c>
      <c r="B4744" t="str">
        <f>"1552378267761408"</f>
        <v>1552378267761408</v>
      </c>
      <c r="C4744" t="s">
        <v>40</v>
      </c>
      <c r="D4744">
        <v>5.845059</v>
      </c>
      <c r="E4744">
        <v>0.40390100000000001</v>
      </c>
      <c r="F4744" t="s">
        <v>41</v>
      </c>
      <c r="G4744">
        <v>-420.7045</v>
      </c>
      <c r="H4744" s="1">
        <v>-2.2389229999999999E-6</v>
      </c>
      <c r="I4744">
        <v>114.3711</v>
      </c>
      <c r="J4744">
        <v>-419.2919</v>
      </c>
      <c r="K4744">
        <v>1.11504</v>
      </c>
      <c r="L4744">
        <v>126.018</v>
      </c>
      <c r="M4744">
        <v>-0.39000400000000002</v>
      </c>
      <c r="N4744">
        <v>0</v>
      </c>
      <c r="O4744">
        <v>-0.92070209999999997</v>
      </c>
      <c r="P4744">
        <v>-0.362292</v>
      </c>
      <c r="Q4744">
        <v>-8.7418949999999995E-3</v>
      </c>
      <c r="R4744">
        <v>-0.93202410000000002</v>
      </c>
      <c r="S4744">
        <v>-0.38821410000000001</v>
      </c>
      <c r="T4744">
        <v>-0.28846860000000002</v>
      </c>
      <c r="U4744">
        <v>-3.0714570000000001</v>
      </c>
      <c r="V4744">
        <v>-2.9995600000000001E-2</v>
      </c>
      <c r="W4744">
        <v>5.2221230000000004E-3</v>
      </c>
      <c r="X4744">
        <v>0.99953639999999999</v>
      </c>
      <c r="Y4744">
        <v>-0.27190819999999999</v>
      </c>
      <c r="Z4744">
        <v>8.0432379999999998E-2</v>
      </c>
      <c r="AA4744">
        <v>0.95895600000000003</v>
      </c>
      <c r="AB4744">
        <v>24</v>
      </c>
      <c r="AC4744">
        <v>-1.4125999999999901</v>
      </c>
      <c r="AD4744">
        <v>-1.1150422389229999</v>
      </c>
      <c r="AE4744">
        <v>-11.646899999999899</v>
      </c>
      <c r="AF4744">
        <v>-3.2130625716478698</v>
      </c>
      <c r="AG4744">
        <v>-1.1150422389229999</v>
      </c>
      <c r="AH4744">
        <v>11.174461929835299</v>
      </c>
      <c r="AI4744">
        <v>95.477870766035196</v>
      </c>
      <c r="AJ4744">
        <v>106.041860235599</v>
      </c>
      <c r="AK4744">
        <v>11.6805688947604</v>
      </c>
      <c r="AL4744">
        <v>89.700793035285699</v>
      </c>
      <c r="AM4744">
        <v>91.718902532365703</v>
      </c>
      <c r="AN4744">
        <v>1.0000000107564699</v>
      </c>
    </row>
    <row r="4745" spans="1:40" x14ac:dyDescent="0.25">
      <c r="A4745" t="str">
        <f>"20190312161107799"</f>
        <v>20190312161107799</v>
      </c>
      <c r="B4745" t="str">
        <f>"1552378267791644"</f>
        <v>1552378267791644</v>
      </c>
      <c r="C4745" t="s">
        <v>40</v>
      </c>
      <c r="D4745">
        <v>5.8320259999999999</v>
      </c>
      <c r="E4745">
        <v>0.40460459999999998</v>
      </c>
      <c r="F4745" t="s">
        <v>41</v>
      </c>
      <c r="G4745">
        <v>-420.72340000000003</v>
      </c>
      <c r="H4745" s="1">
        <v>-2.1158309999999999E-6</v>
      </c>
      <c r="I4745">
        <v>114.07250000000001</v>
      </c>
      <c r="J4745">
        <v>-419.38560000000001</v>
      </c>
      <c r="K4745">
        <v>1.1149389999999999</v>
      </c>
      <c r="L4745">
        <v>125.7715</v>
      </c>
      <c r="M4745">
        <v>-0.38219969999999998</v>
      </c>
      <c r="N4745">
        <v>0</v>
      </c>
      <c r="O4745">
        <v>-0.92396920000000005</v>
      </c>
      <c r="P4745">
        <v>-0.35455799999999998</v>
      </c>
      <c r="Q4745">
        <v>-8.4100609999999999E-3</v>
      </c>
      <c r="R4745">
        <v>-0.93499650000000001</v>
      </c>
      <c r="S4745">
        <v>-0.36825560000000002</v>
      </c>
      <c r="T4745">
        <v>-0.28684320000000002</v>
      </c>
      <c r="U4745">
        <v>-3.0729679999999999</v>
      </c>
      <c r="V4745">
        <v>-2.9822540000000002E-2</v>
      </c>
      <c r="W4745">
        <v>5.5425519999999897E-3</v>
      </c>
      <c r="X4745">
        <v>0.99953990000000004</v>
      </c>
      <c r="Y4745">
        <v>-0.26995819999999998</v>
      </c>
      <c r="Z4745">
        <v>8.0443870000000001E-2</v>
      </c>
      <c r="AA4745">
        <v>0.95950579999999996</v>
      </c>
      <c r="AB4745">
        <v>23</v>
      </c>
      <c r="AC4745">
        <v>-1.3378000000000101</v>
      </c>
      <c r="AD4745">
        <v>-1.1149411158310001</v>
      </c>
      <c r="AE4745">
        <v>-11.6989999999999</v>
      </c>
      <c r="AF4745">
        <v>-3.20684851961287</v>
      </c>
      <c r="AG4745">
        <v>-1.1149411158310001</v>
      </c>
      <c r="AH4745">
        <v>11.221376202395</v>
      </c>
      <c r="AI4745">
        <v>95.457137947731795</v>
      </c>
      <c r="AJ4745">
        <v>105.948893957409</v>
      </c>
      <c r="AK4745">
        <v>11.723747480869299</v>
      </c>
      <c r="AL4745">
        <v>89.682433555054303</v>
      </c>
      <c r="AM4745">
        <v>91.708985219539301</v>
      </c>
      <c r="AN4745">
        <v>1.0000000577333601</v>
      </c>
    </row>
    <row r="4746" spans="1:40" x14ac:dyDescent="0.25">
      <c r="A4746" t="str">
        <f>"20190312161107822"</f>
        <v>20190312161107822</v>
      </c>
      <c r="B4746" t="str">
        <f>"1552378267812141"</f>
        <v>1552378267812141</v>
      </c>
      <c r="C4746" t="s">
        <v>40</v>
      </c>
      <c r="D4746">
        <v>5.8463079999999996</v>
      </c>
      <c r="E4746">
        <v>0.40916390000000002</v>
      </c>
      <c r="F4746" t="s">
        <v>41</v>
      </c>
      <c r="G4746">
        <v>-420.74239999999998</v>
      </c>
      <c r="H4746" s="1">
        <v>-1.9942750000000001E-6</v>
      </c>
      <c r="I4746">
        <v>113.7774</v>
      </c>
      <c r="J4746">
        <v>-419.46420000000001</v>
      </c>
      <c r="K4746">
        <v>1.1148530000000001</v>
      </c>
      <c r="L4746">
        <v>125.56</v>
      </c>
      <c r="M4746">
        <v>-0.37561600000000001</v>
      </c>
      <c r="N4746">
        <v>0</v>
      </c>
      <c r="O4746">
        <v>-0.92666559999999998</v>
      </c>
      <c r="P4746">
        <v>-0.34791250000000001</v>
      </c>
      <c r="Q4746">
        <v>-8.5791819999999994E-3</v>
      </c>
      <c r="R4746">
        <v>-0.93748779999999998</v>
      </c>
      <c r="S4746">
        <v>-0.3477478</v>
      </c>
      <c r="T4746">
        <v>-0.28576390000000002</v>
      </c>
      <c r="U4746">
        <v>-3.0741420000000002</v>
      </c>
      <c r="V4746">
        <v>-2.9802080000000002E-2</v>
      </c>
      <c r="W4746">
        <v>5.3627869999999999E-3</v>
      </c>
      <c r="X4746">
        <v>0.99954149999999997</v>
      </c>
      <c r="Y4746">
        <v>-0.26946530000000002</v>
      </c>
      <c r="Z4746">
        <v>8.0514210000000003E-2</v>
      </c>
      <c r="AA4746">
        <v>0.9596384</v>
      </c>
      <c r="AB4746">
        <v>23</v>
      </c>
      <c r="AC4746">
        <v>-1.27819999999996</v>
      </c>
      <c r="AD4746">
        <v>-1.1148549942749999</v>
      </c>
      <c r="AE4746">
        <v>-11.7826</v>
      </c>
      <c r="AF4746">
        <v>-3.21316698499888</v>
      </c>
      <c r="AG4746">
        <v>-1.1148549942749999</v>
      </c>
      <c r="AH4746">
        <v>11.2998151019478</v>
      </c>
      <c r="AI4746">
        <v>95.421090423606699</v>
      </c>
      <c r="AJ4746">
        <v>105.873404397104</v>
      </c>
      <c r="AK4746">
        <v>11.8005578287619</v>
      </c>
      <c r="AL4746">
        <v>89.692733486193504</v>
      </c>
      <c r="AM4746">
        <v>91.7078107185405</v>
      </c>
      <c r="AN4746">
        <v>1.00000006683948</v>
      </c>
    </row>
    <row r="4747" spans="1:40" x14ac:dyDescent="0.25">
      <c r="A4747" t="str">
        <f>"20190312161107843"</f>
        <v>20190312161107843</v>
      </c>
      <c r="B4747" t="str">
        <f>"1552378267831661"</f>
        <v>1552378267831661</v>
      </c>
      <c r="C4747" t="s">
        <v>40</v>
      </c>
      <c r="D4747">
        <v>5.8239260000000002</v>
      </c>
      <c r="E4747">
        <v>0.4092092</v>
      </c>
      <c r="F4747" t="s">
        <v>41</v>
      </c>
      <c r="G4747">
        <v>-420.80650000000003</v>
      </c>
      <c r="H4747" s="1">
        <v>-2.1609649999999998E-6</v>
      </c>
      <c r="I4747">
        <v>114.1262</v>
      </c>
      <c r="J4747">
        <v>-419.54020000000003</v>
      </c>
      <c r="K4747">
        <v>1.1147739999999999</v>
      </c>
      <c r="L4747">
        <v>125.3516</v>
      </c>
      <c r="M4747">
        <v>-0.36923129999999998</v>
      </c>
      <c r="N4747">
        <v>0</v>
      </c>
      <c r="O4747">
        <v>-0.9292281</v>
      </c>
      <c r="P4747">
        <v>-0.34133540000000001</v>
      </c>
      <c r="Q4747">
        <v>-8.9985280000000004E-3</v>
      </c>
      <c r="R4747">
        <v>-0.93989840000000002</v>
      </c>
      <c r="S4747">
        <v>-0.35968020000000001</v>
      </c>
      <c r="T4747">
        <v>-0.29874230000000002</v>
      </c>
      <c r="U4747">
        <v>-3.0638580000000002</v>
      </c>
      <c r="V4747">
        <v>-2.9920820000000001E-2</v>
      </c>
      <c r="W4747">
        <v>4.9303009999999998E-3</v>
      </c>
      <c r="X4747">
        <v>0.99954010000000004</v>
      </c>
      <c r="Y4747">
        <v>-0.25881929999999997</v>
      </c>
      <c r="Z4747">
        <v>8.4909810000000002E-2</v>
      </c>
      <c r="AA4747">
        <v>0.96218649999999994</v>
      </c>
      <c r="AB4747">
        <v>23</v>
      </c>
      <c r="AC4747">
        <v>-1.2663</v>
      </c>
      <c r="AD4747">
        <v>-1.114776160965</v>
      </c>
      <c r="AE4747">
        <v>-11.2254</v>
      </c>
      <c r="AF4747">
        <v>-2.9397612997515501</v>
      </c>
      <c r="AG4747">
        <v>-1.114776160965</v>
      </c>
      <c r="AH4747">
        <v>10.794503818553</v>
      </c>
      <c r="AI4747">
        <v>95.690366551044306</v>
      </c>
      <c r="AJ4747">
        <v>105.23439521081301</v>
      </c>
      <c r="AK4747">
        <v>11.2430527472447</v>
      </c>
      <c r="AL4747">
        <v>89.717513412968898</v>
      </c>
      <c r="AM4747">
        <v>91.714613470782098</v>
      </c>
      <c r="AN4747">
        <v>0.99999998742271601</v>
      </c>
    </row>
    <row r="4748" spans="1:40" x14ac:dyDescent="0.25">
      <c r="A4748" t="str">
        <f>"20190312161107863"</f>
        <v>20190312161107863</v>
      </c>
      <c r="B4748" t="str">
        <f>"1552378267852156"</f>
        <v>1552378267852156</v>
      </c>
      <c r="C4748" t="s">
        <v>40</v>
      </c>
      <c r="D4748">
        <v>5.8194710000000001</v>
      </c>
      <c r="E4748">
        <v>0.39530140000000002</v>
      </c>
      <c r="F4748" t="s">
        <v>41</v>
      </c>
      <c r="G4748">
        <v>-420.8005</v>
      </c>
      <c r="H4748" s="1">
        <v>-2.0779909999999998E-6</v>
      </c>
      <c r="I4748">
        <v>113.9365</v>
      </c>
      <c r="J4748">
        <v>-419.61349999999999</v>
      </c>
      <c r="K4748">
        <v>1.1146969999999901</v>
      </c>
      <c r="L4748">
        <v>125.1464</v>
      </c>
      <c r="M4748">
        <v>-0.3630292</v>
      </c>
      <c r="N4748">
        <v>0</v>
      </c>
      <c r="O4748">
        <v>-0.93166890000000002</v>
      </c>
      <c r="P4748">
        <v>-0.33554899999999999</v>
      </c>
      <c r="Q4748">
        <v>-9.1895269999999994E-3</v>
      </c>
      <c r="R4748">
        <v>-0.94197819999999999</v>
      </c>
      <c r="S4748">
        <v>-0.338501</v>
      </c>
      <c r="T4748">
        <v>-0.29942390000000002</v>
      </c>
      <c r="U4748">
        <v>-3.066055</v>
      </c>
      <c r="V4748">
        <v>-2.9400849999999999E-2</v>
      </c>
      <c r="W4748">
        <v>4.7333699999999998E-3</v>
      </c>
      <c r="X4748">
        <v>0.99955649999999996</v>
      </c>
      <c r="Y4748">
        <v>-0.25902540000000002</v>
      </c>
      <c r="Z4748">
        <v>8.5417809999999997E-2</v>
      </c>
      <c r="AA4748">
        <v>0.96208610000000006</v>
      </c>
      <c r="AB4748">
        <v>23</v>
      </c>
      <c r="AC4748">
        <v>-1.18700000000001</v>
      </c>
      <c r="AD4748">
        <v>-1.11469907799099</v>
      </c>
      <c r="AE4748">
        <v>-11.209899999999999</v>
      </c>
      <c r="AF4748">
        <v>-2.9352287441995402</v>
      </c>
      <c r="AG4748">
        <v>-1.11469907799099</v>
      </c>
      <c r="AH4748">
        <v>10.7706142985594</v>
      </c>
      <c r="AI4748">
        <v>95.702249865550698</v>
      </c>
      <c r="AJ4748">
        <v>105.244168113743</v>
      </c>
      <c r="AK4748">
        <v>11.218923931624699</v>
      </c>
      <c r="AL4748">
        <v>89.728796864966</v>
      </c>
      <c r="AM4748">
        <v>91.684806272832006</v>
      </c>
      <c r="AN4748">
        <v>1.00000000573226</v>
      </c>
    </row>
    <row r="4749" spans="1:40" x14ac:dyDescent="0.25">
      <c r="A4749" t="str">
        <f>"20190312161107885"</f>
        <v>20190312161107885</v>
      </c>
      <c r="B4749" t="str">
        <f>"1552378267881436"</f>
        <v>1552378267881436</v>
      </c>
      <c r="C4749" t="s">
        <v>40</v>
      </c>
      <c r="D4749">
        <v>5.8381339999999904</v>
      </c>
      <c r="E4749">
        <v>0.39403640000000001</v>
      </c>
      <c r="F4749" t="s">
        <v>41</v>
      </c>
      <c r="G4749">
        <v>-420.6046</v>
      </c>
      <c r="H4749" s="1">
        <v>-7.3746109999999995E-7</v>
      </c>
      <c r="I4749">
        <v>110.9332</v>
      </c>
      <c r="J4749">
        <v>-419.68450000000001</v>
      </c>
      <c r="K4749">
        <v>1.114627</v>
      </c>
      <c r="L4749">
        <v>124.94329999999999</v>
      </c>
      <c r="M4749">
        <v>-0.35696660000000002</v>
      </c>
      <c r="N4749">
        <v>0</v>
      </c>
      <c r="O4749">
        <v>-0.93400899999999998</v>
      </c>
      <c r="P4749">
        <v>-0.32974750000000003</v>
      </c>
      <c r="Q4749">
        <v>-8.7594460000000006E-3</v>
      </c>
      <c r="R4749">
        <v>-0.9440288</v>
      </c>
      <c r="S4749">
        <v>-0.2165222</v>
      </c>
      <c r="T4749">
        <v>-0.24353929999999999</v>
      </c>
      <c r="U4749">
        <v>-3.1053009999999999</v>
      </c>
      <c r="V4749">
        <v>-2.9058569999999999E-2</v>
      </c>
      <c r="W4749">
        <v>5.1558419999999999E-3</v>
      </c>
      <c r="X4749">
        <v>0.99956440000000002</v>
      </c>
      <c r="Y4749">
        <v>-0.2913152</v>
      </c>
      <c r="Z4749">
        <v>6.8721679999999993E-2</v>
      </c>
      <c r="AA4749">
        <v>0.95415559999999999</v>
      </c>
      <c r="AB4749">
        <v>23</v>
      </c>
      <c r="AC4749">
        <v>-0.92009999999999004</v>
      </c>
      <c r="AD4749">
        <v>-1.1146277374611</v>
      </c>
      <c r="AE4749">
        <v>-14.0100999999999</v>
      </c>
      <c r="AF4749">
        <v>-4.1162322637581097</v>
      </c>
      <c r="AG4749">
        <v>-1.1146277374611</v>
      </c>
      <c r="AH4749">
        <v>13.331339859872299</v>
      </c>
      <c r="AI4749">
        <v>94.567555614891006</v>
      </c>
      <c r="AJ4749">
        <v>107.158783133825</v>
      </c>
      <c r="AK4749">
        <v>13.9967991162888</v>
      </c>
      <c r="AL4749">
        <v>89.704590700761102</v>
      </c>
      <c r="AM4749">
        <v>91.665189982072107</v>
      </c>
      <c r="AN4749">
        <v>0.99999998647226596</v>
      </c>
    </row>
    <row r="4750" spans="1:40" x14ac:dyDescent="0.25">
      <c r="A4750" t="str">
        <f>"20190312161107907"</f>
        <v>20190312161107907</v>
      </c>
      <c r="B4750" t="str">
        <f>"1552378267901933"</f>
        <v>1552378267901933</v>
      </c>
      <c r="C4750" t="s">
        <v>40</v>
      </c>
      <c r="D4750">
        <v>5.860989</v>
      </c>
      <c r="E4750">
        <v>0.39445849999999999</v>
      </c>
      <c r="F4750" t="s">
        <v>41</v>
      </c>
      <c r="G4750">
        <v>-420.59899999999999</v>
      </c>
      <c r="H4750" s="1">
        <v>-2.5501270000000001E-7</v>
      </c>
      <c r="I4750">
        <v>109.812</v>
      </c>
      <c r="J4750">
        <v>-419.76179999999999</v>
      </c>
      <c r="K4750">
        <v>1.114565</v>
      </c>
      <c r="L4750">
        <v>124.718</v>
      </c>
      <c r="M4750">
        <v>-0.35031210000000002</v>
      </c>
      <c r="N4750">
        <v>0</v>
      </c>
      <c r="O4750">
        <v>-0.93652519999999995</v>
      </c>
      <c r="P4750">
        <v>-0.3234609</v>
      </c>
      <c r="Q4750">
        <v>-8.74185699999999E-3</v>
      </c>
      <c r="R4750">
        <v>-0.94620110000000002</v>
      </c>
      <c r="S4750">
        <v>-0.18795780000000001</v>
      </c>
      <c r="T4750">
        <v>-0.22910130000000001</v>
      </c>
      <c r="U4750">
        <v>-3.1100919999999999</v>
      </c>
      <c r="V4750">
        <v>-2.8594809999999998E-2</v>
      </c>
      <c r="W4750">
        <v>5.1672860000000001E-3</v>
      </c>
      <c r="X4750">
        <v>0.99957770000000001</v>
      </c>
      <c r="Y4750">
        <v>-0.29332200000000003</v>
      </c>
      <c r="Z4750">
        <v>6.4838110000000004E-2</v>
      </c>
      <c r="AA4750">
        <v>0.95381249999999995</v>
      </c>
      <c r="AB4750">
        <v>23</v>
      </c>
      <c r="AC4750">
        <v>-0.83719999999999495</v>
      </c>
      <c r="AD4750">
        <v>-1.1145652550126901</v>
      </c>
      <c r="AE4750">
        <v>-14.905999999999899</v>
      </c>
      <c r="AF4750">
        <v>-4.4135430200413497</v>
      </c>
      <c r="AG4750">
        <v>-1.1145652550126901</v>
      </c>
      <c r="AH4750">
        <v>14.175559387506199</v>
      </c>
      <c r="AI4750">
        <v>94.293218657076906</v>
      </c>
      <c r="AJ4750">
        <v>107.293912868715</v>
      </c>
      <c r="AK4750">
        <v>14.888522480291799</v>
      </c>
      <c r="AL4750">
        <v>89.703934994586504</v>
      </c>
      <c r="AM4750">
        <v>91.638607212000096</v>
      </c>
      <c r="AN4750">
        <v>0.99999997117041495</v>
      </c>
    </row>
    <row r="4751" spans="1:40" x14ac:dyDescent="0.25">
      <c r="A4751" t="str">
        <f>"20190312161107952"</f>
        <v>20190312161107952</v>
      </c>
      <c r="B4751" t="str">
        <f>"1552378267941949"</f>
        <v>1552378267941949</v>
      </c>
      <c r="C4751" t="s">
        <v>40</v>
      </c>
      <c r="D4751">
        <v>5.8570449999999896</v>
      </c>
      <c r="E4751">
        <v>0.3954569</v>
      </c>
      <c r="F4751" t="s">
        <v>41</v>
      </c>
      <c r="G4751">
        <v>-420.61250000000001</v>
      </c>
      <c r="H4751" s="1">
        <v>-4.6739799999999999E-6</v>
      </c>
      <c r="I4751">
        <v>109.17449999999999</v>
      </c>
      <c r="J4751">
        <v>-419.90469999999999</v>
      </c>
      <c r="K4751">
        <v>1.11449</v>
      </c>
      <c r="L4751">
        <v>124.28700000000001</v>
      </c>
      <c r="M4751">
        <v>-0.33771990000000002</v>
      </c>
      <c r="N4751">
        <v>0</v>
      </c>
      <c r="O4751">
        <v>-0.94113990000000003</v>
      </c>
      <c r="P4751">
        <v>-0.31033250000000001</v>
      </c>
      <c r="Q4751">
        <v>-8.3872419999999996E-3</v>
      </c>
      <c r="R4751">
        <v>-0.95059159999999998</v>
      </c>
      <c r="S4751">
        <v>-0.17022709999999999</v>
      </c>
      <c r="T4751">
        <v>-0.2230299</v>
      </c>
      <c r="U4751">
        <v>-3.1103209999999999</v>
      </c>
      <c r="V4751">
        <v>-2.9028020000000002E-2</v>
      </c>
      <c r="W4751">
        <v>5.4963E-3</v>
      </c>
      <c r="X4751">
        <v>0.99956350000000005</v>
      </c>
      <c r="Y4751">
        <v>-0.28591179999999999</v>
      </c>
      <c r="Z4751">
        <v>6.3703689999999993E-2</v>
      </c>
      <c r="AA4751">
        <v>0.95613610000000004</v>
      </c>
      <c r="AB4751">
        <v>23</v>
      </c>
      <c r="AC4751">
        <v>-0.70780000000001997</v>
      </c>
      <c r="AD4751">
        <v>-1.1144946739799999</v>
      </c>
      <c r="AE4751">
        <v>-15.112500000000001</v>
      </c>
      <c r="AF4751">
        <v>-4.4141451074242299</v>
      </c>
      <c r="AG4751">
        <v>-1.1144946739799999</v>
      </c>
      <c r="AH4751">
        <v>14.385403688297901</v>
      </c>
      <c r="AI4751">
        <v>94.235909273214304</v>
      </c>
      <c r="AJ4751">
        <v>107.058573463103</v>
      </c>
      <c r="AK4751">
        <v>15.0886253410647</v>
      </c>
      <c r="AL4751">
        <v>89.685083625541793</v>
      </c>
      <c r="AM4751">
        <v>91.6634418072736</v>
      </c>
      <c r="AN4751">
        <v>1.00000001289553</v>
      </c>
    </row>
    <row r="4752" spans="1:40" x14ac:dyDescent="0.25">
      <c r="A4752" t="str">
        <f>"20190312161107976"</f>
        <v>20190312161107976</v>
      </c>
      <c r="B4752" t="str">
        <f>"1552378267972204"</f>
        <v>1552378267972204</v>
      </c>
      <c r="C4752" t="s">
        <v>40</v>
      </c>
      <c r="D4752">
        <v>5.8887780000000003</v>
      </c>
      <c r="E4752">
        <v>0.3965631</v>
      </c>
      <c r="F4752" t="s">
        <v>41</v>
      </c>
      <c r="G4752">
        <v>-420.57799999999997</v>
      </c>
      <c r="H4752" s="1">
        <v>-4.5064959999999999E-6</v>
      </c>
      <c r="I4752">
        <v>108.7997</v>
      </c>
      <c r="J4752">
        <v>-419.97629999999998</v>
      </c>
      <c r="K4752">
        <v>1.114457</v>
      </c>
      <c r="L4752">
        <v>124.0639</v>
      </c>
      <c r="M4752">
        <v>-0.331262</v>
      </c>
      <c r="N4752">
        <v>0</v>
      </c>
      <c r="O4752">
        <v>-0.94343250000000001</v>
      </c>
      <c r="P4752">
        <v>-0.30428820000000001</v>
      </c>
      <c r="Q4752">
        <v>-8.0406709999999992E-3</v>
      </c>
      <c r="R4752">
        <v>-0.95254629999999996</v>
      </c>
      <c r="S4752">
        <v>-0.13519289999999901</v>
      </c>
      <c r="T4752">
        <v>-0.22378680000000001</v>
      </c>
      <c r="U4752">
        <v>-3.1098180000000002</v>
      </c>
      <c r="V4752">
        <v>-2.8530839999999998E-2</v>
      </c>
      <c r="W4752">
        <v>5.8381860000000004E-3</v>
      </c>
      <c r="X4752">
        <v>0.99957589999999996</v>
      </c>
      <c r="Y4752">
        <v>-0.29007929999999998</v>
      </c>
      <c r="Z4752">
        <v>6.4143080000000005E-2</v>
      </c>
      <c r="AA4752">
        <v>0.95485059999999999</v>
      </c>
      <c r="AB4752">
        <v>23</v>
      </c>
      <c r="AC4752">
        <v>-0.60170000000004997</v>
      </c>
      <c r="AD4752">
        <v>-1.114461506496</v>
      </c>
      <c r="AE4752">
        <v>-15.264200000000001</v>
      </c>
      <c r="AF4752">
        <v>-4.46546936331477</v>
      </c>
      <c r="AG4752">
        <v>-1.114461506496</v>
      </c>
      <c r="AH4752">
        <v>14.524223588677801</v>
      </c>
      <c r="AI4752">
        <v>94.194739079463005</v>
      </c>
      <c r="AJ4752">
        <v>107.090034149491</v>
      </c>
      <c r="AK4752">
        <v>15.2359939596362</v>
      </c>
      <c r="AL4752">
        <v>89.665494694160401</v>
      </c>
      <c r="AM4752">
        <v>91.634946386618395</v>
      </c>
      <c r="AN4752">
        <v>1.00000003655384</v>
      </c>
    </row>
    <row r="4753" spans="1:40" x14ac:dyDescent="0.25">
      <c r="A4753" t="str">
        <f>"20190312161108009"</f>
        <v>20190312161108009</v>
      </c>
      <c r="B4753" t="str">
        <f>"1552378268001484"</f>
        <v>1552378268001484</v>
      </c>
      <c r="C4753" t="s">
        <v>40</v>
      </c>
      <c r="D4753">
        <v>5.8473769999999998</v>
      </c>
      <c r="E4753">
        <v>0.39728999999999998</v>
      </c>
      <c r="F4753" t="s">
        <v>41</v>
      </c>
      <c r="G4753">
        <v>-420.59050000000002</v>
      </c>
      <c r="H4753" s="1">
        <v>-4.4219430000000001E-6</v>
      </c>
      <c r="I4753">
        <v>108.61369999999999</v>
      </c>
      <c r="J4753">
        <v>-420.07600000000002</v>
      </c>
      <c r="K4753">
        <v>1.1144179999999999</v>
      </c>
      <c r="L4753">
        <v>123.7448</v>
      </c>
      <c r="M4753">
        <v>-0.32208530000000002</v>
      </c>
      <c r="N4753">
        <v>0</v>
      </c>
      <c r="O4753">
        <v>-0.94660500000000003</v>
      </c>
      <c r="P4753">
        <v>-0.29525319999999999</v>
      </c>
      <c r="Q4753">
        <v>-8.2488660000000005E-3</v>
      </c>
      <c r="R4753">
        <v>-0.95538369999999995</v>
      </c>
      <c r="S4753">
        <v>-0.1235657</v>
      </c>
      <c r="T4753">
        <v>-0.22419349999999999</v>
      </c>
      <c r="U4753">
        <v>-3.1080779999999999</v>
      </c>
      <c r="V4753">
        <v>-2.828779E-2</v>
      </c>
      <c r="W4753">
        <v>5.6188449999999999E-3</v>
      </c>
      <c r="X4753">
        <v>0.99958400000000003</v>
      </c>
      <c r="Y4753">
        <v>-0.28432580000000002</v>
      </c>
      <c r="Z4753">
        <v>6.4701300000000003E-2</v>
      </c>
      <c r="AA4753">
        <v>0.956542</v>
      </c>
      <c r="AB4753">
        <v>23</v>
      </c>
      <c r="AC4753">
        <v>-0.51450000000005502</v>
      </c>
      <c r="AD4753">
        <v>-1.1144224219429999</v>
      </c>
      <c r="AE4753">
        <v>-15.1311</v>
      </c>
      <c r="AF4753">
        <v>-4.36327420643679</v>
      </c>
      <c r="AG4753">
        <v>-1.1144224219429999</v>
      </c>
      <c r="AH4753">
        <v>14.412248381553599</v>
      </c>
      <c r="AI4753">
        <v>94.232595740762605</v>
      </c>
      <c r="AJ4753">
        <v>106.843564387608</v>
      </c>
      <c r="AK4753">
        <v>15.099437159930099</v>
      </c>
      <c r="AL4753">
        <v>89.678062192652405</v>
      </c>
      <c r="AM4753">
        <v>91.621012854840103</v>
      </c>
      <c r="AN4753">
        <v>0.99999997176910804</v>
      </c>
    </row>
    <row r="4754" spans="1:40" x14ac:dyDescent="0.25">
      <c r="A4754" t="str">
        <f>"20190312161108041"</f>
        <v>20190312161108041</v>
      </c>
      <c r="B4754" t="str">
        <f>"1552378268031744"</f>
        <v>1552378268031744</v>
      </c>
      <c r="C4754" t="s">
        <v>40</v>
      </c>
      <c r="D4754">
        <v>5.8621400000000001</v>
      </c>
      <c r="E4754">
        <v>0.39829100000000001</v>
      </c>
      <c r="F4754" t="s">
        <v>41</v>
      </c>
      <c r="G4754">
        <v>-420.56799999999998</v>
      </c>
      <c r="H4754" s="1">
        <v>-4.2942710000000004E-6</v>
      </c>
      <c r="I4754">
        <v>108.3563</v>
      </c>
      <c r="J4754">
        <v>-420.17430000000002</v>
      </c>
      <c r="K4754">
        <v>1.1143609999999999</v>
      </c>
      <c r="L4754">
        <v>123.4191</v>
      </c>
      <c r="M4754">
        <v>-0.31278129999999998</v>
      </c>
      <c r="N4754">
        <v>0</v>
      </c>
      <c r="O4754">
        <v>-0.94972000000000001</v>
      </c>
      <c r="P4754">
        <v>-0.28834949999999998</v>
      </c>
      <c r="Q4754">
        <v>-7.0145420000000003E-3</v>
      </c>
      <c r="R4754">
        <v>-0.95749989999999996</v>
      </c>
      <c r="S4754">
        <v>-9.9365229999999999E-2</v>
      </c>
      <c r="T4754">
        <v>-0.2250375</v>
      </c>
      <c r="U4754">
        <v>-3.107437</v>
      </c>
      <c r="V4754">
        <v>-2.570888E-2</v>
      </c>
      <c r="W4754">
        <v>6.867181E-3</v>
      </c>
      <c r="X4754">
        <v>0.99964589999999998</v>
      </c>
      <c r="Y4754">
        <v>-0.28235120000000002</v>
      </c>
      <c r="Z4754">
        <v>6.5320740000000002E-2</v>
      </c>
      <c r="AA4754">
        <v>0.95708470000000001</v>
      </c>
      <c r="AB4754">
        <v>23</v>
      </c>
      <c r="AC4754">
        <v>-0.39370000000002298</v>
      </c>
      <c r="AD4754">
        <v>-1.1143652942710001</v>
      </c>
      <c r="AE4754">
        <v>-15.0627999999999</v>
      </c>
      <c r="AF4754">
        <v>-4.3142937316035797</v>
      </c>
      <c r="AG4754">
        <v>-1.1143652942710001</v>
      </c>
      <c r="AH4754">
        <v>14.351530292580399</v>
      </c>
      <c r="AI4754">
        <v>94.252717563687398</v>
      </c>
      <c r="AJ4754">
        <v>106.731597143748</v>
      </c>
      <c r="AK4754">
        <v>15.027353797341799</v>
      </c>
      <c r="AL4754">
        <v>89.606536424918502</v>
      </c>
      <c r="AM4754">
        <v>91.473207354588496</v>
      </c>
      <c r="AN4754">
        <v>1.00000001503627</v>
      </c>
    </row>
    <row r="4755" spans="1:40" x14ac:dyDescent="0.25">
      <c r="A4755" t="str">
        <f>"20190312161108063"</f>
        <v>20190312161108063</v>
      </c>
      <c r="B4755" t="str">
        <f>"1552378268051261"</f>
        <v>1552378268051261</v>
      </c>
      <c r="C4755" t="s">
        <v>40</v>
      </c>
      <c r="D4755">
        <v>5.8576290000000002</v>
      </c>
      <c r="E4755">
        <v>0.3986227</v>
      </c>
      <c r="F4755" t="s">
        <v>41</v>
      </c>
      <c r="G4755">
        <v>-420.59469999999999</v>
      </c>
      <c r="H4755" s="1">
        <v>-4.1206890000000001E-6</v>
      </c>
      <c r="I4755">
        <v>107.97410000000001</v>
      </c>
      <c r="J4755">
        <v>-420.23750000000001</v>
      </c>
      <c r="K4755">
        <v>1.114336</v>
      </c>
      <c r="L4755">
        <v>123.20350000000001</v>
      </c>
      <c r="M4755">
        <v>-0.30666149999999998</v>
      </c>
      <c r="N4755">
        <v>0</v>
      </c>
      <c r="O4755">
        <v>-0.95171380000000005</v>
      </c>
      <c r="P4755">
        <v>-0.2834874</v>
      </c>
      <c r="Q4755">
        <v>-7.4927250000000004E-3</v>
      </c>
      <c r="R4755">
        <v>-0.95894690000000005</v>
      </c>
      <c r="S4755">
        <v>-8.4533689999999995E-2</v>
      </c>
      <c r="T4755">
        <v>-0.22410350000000001</v>
      </c>
      <c r="U4755">
        <v>-3.1060490000000001</v>
      </c>
      <c r="V4755">
        <v>-2.433946E-2</v>
      </c>
      <c r="W4755">
        <v>6.3951219999999996E-3</v>
      </c>
      <c r="X4755">
        <v>0.99968330000000005</v>
      </c>
      <c r="Y4755">
        <v>-0.280728599999999</v>
      </c>
      <c r="Z4755">
        <v>6.5314730000000001E-2</v>
      </c>
      <c r="AA4755">
        <v>0.95756229999999998</v>
      </c>
      <c r="AB4755">
        <v>23</v>
      </c>
      <c r="AC4755">
        <v>-0.35719999999997698</v>
      </c>
      <c r="AD4755">
        <v>-1.114340120689</v>
      </c>
      <c r="AE4755">
        <v>-15.229399999999901</v>
      </c>
      <c r="AF4755">
        <v>-4.3077003383687504</v>
      </c>
      <c r="AG4755">
        <v>-1.114340120689</v>
      </c>
      <c r="AH4755">
        <v>14.527292198150199</v>
      </c>
      <c r="AI4755">
        <v>94.206053209466603</v>
      </c>
      <c r="AJ4755">
        <v>106.51638877777999</v>
      </c>
      <c r="AK4755">
        <v>15.1934280108274</v>
      </c>
      <c r="AL4755">
        <v>89.633584003630105</v>
      </c>
      <c r="AM4755">
        <v>91.394714582051805</v>
      </c>
      <c r="AN4755">
        <v>1.00000000359868</v>
      </c>
    </row>
    <row r="4756" spans="1:40" x14ac:dyDescent="0.25">
      <c r="A4756" t="str">
        <f>"20190312161108086"</f>
        <v>20190312161108086</v>
      </c>
      <c r="B4756" t="str">
        <f>"1552378268081516"</f>
        <v>1552378268081516</v>
      </c>
      <c r="C4756" t="s">
        <v>40</v>
      </c>
      <c r="D4756">
        <v>5.8709879999999997</v>
      </c>
      <c r="E4756">
        <v>0.40564689999999998</v>
      </c>
      <c r="F4756" t="s">
        <v>41</v>
      </c>
      <c r="G4756">
        <v>-420.59010000000001</v>
      </c>
      <c r="H4756" s="1">
        <v>-4.0893960000000001E-6</v>
      </c>
      <c r="I4756">
        <v>107.9105</v>
      </c>
      <c r="J4756">
        <v>-420.30009999999999</v>
      </c>
      <c r="K4756">
        <v>1.1142920000000001</v>
      </c>
      <c r="L4756">
        <v>122.9846</v>
      </c>
      <c r="M4756">
        <v>-0.30049429999999999</v>
      </c>
      <c r="N4756">
        <v>0</v>
      </c>
      <c r="O4756">
        <v>-0.95367930000000001</v>
      </c>
      <c r="P4756">
        <v>-0.27796769999999998</v>
      </c>
      <c r="Q4756">
        <v>-7.5758249999999996E-3</v>
      </c>
      <c r="R4756">
        <v>-0.96056079999999999</v>
      </c>
      <c r="S4756">
        <v>-7.1594240000000003E-2</v>
      </c>
      <c r="T4756">
        <v>-0.22628709999999999</v>
      </c>
      <c r="U4756">
        <v>-3.1055299999999999</v>
      </c>
      <c r="V4756">
        <v>-2.3615859999999999E-2</v>
      </c>
      <c r="W4756">
        <v>6.3116769999999999E-3</v>
      </c>
      <c r="X4756">
        <v>0.99970119999999896</v>
      </c>
      <c r="Y4756">
        <v>-0.278499</v>
      </c>
      <c r="Z4756">
        <v>6.6198350000000003E-2</v>
      </c>
      <c r="AA4756">
        <v>0.95815249999999996</v>
      </c>
      <c r="AB4756">
        <v>23</v>
      </c>
      <c r="AC4756">
        <v>-0.29000000000002002</v>
      </c>
      <c r="AD4756">
        <v>-1.1142960893959999</v>
      </c>
      <c r="AE4756">
        <v>-15.0741</v>
      </c>
      <c r="AF4756">
        <v>-4.23042932182027</v>
      </c>
      <c r="AG4756">
        <v>-1.1142960893959999</v>
      </c>
      <c r="AH4756">
        <v>14.3858592659659</v>
      </c>
      <c r="AI4756">
        <v>94.249910529629801</v>
      </c>
      <c r="AJ4756">
        <v>106.386953219742</v>
      </c>
      <c r="AK4756">
        <v>15.0363271726156</v>
      </c>
      <c r="AL4756">
        <v>89.6383651515319</v>
      </c>
      <c r="AM4756">
        <v>91.353241846832006</v>
      </c>
      <c r="AN4756">
        <v>1.00000001769576</v>
      </c>
    </row>
    <row r="4757" spans="1:40" x14ac:dyDescent="0.25">
      <c r="A4757" t="str">
        <f>"20190312161108108"</f>
        <v>20190312161108108</v>
      </c>
      <c r="B4757" t="str">
        <f>"1552378268102013"</f>
        <v>1552378268102013</v>
      </c>
      <c r="C4757" t="s">
        <v>40</v>
      </c>
      <c r="D4757">
        <v>5.8579919999999897</v>
      </c>
      <c r="E4757">
        <v>0.40575600000000001</v>
      </c>
      <c r="F4757" t="s">
        <v>41</v>
      </c>
      <c r="G4757">
        <v>-420.77379999999999</v>
      </c>
      <c r="H4757" s="1">
        <v>-4.7675160000000001E-6</v>
      </c>
      <c r="I4757">
        <v>109.3436</v>
      </c>
      <c r="J4757">
        <v>-420.36320000000001</v>
      </c>
      <c r="K4757">
        <v>1.1142459999999901</v>
      </c>
      <c r="L4757">
        <v>122.759</v>
      </c>
      <c r="M4757">
        <v>-0.29419600000000001</v>
      </c>
      <c r="N4757">
        <v>0</v>
      </c>
      <c r="O4757">
        <v>-0.95564090000000002</v>
      </c>
      <c r="P4757">
        <v>-0.27231909999999998</v>
      </c>
      <c r="Q4757">
        <v>-7.5837680000000003E-3</v>
      </c>
      <c r="R4757">
        <v>-0.9621769</v>
      </c>
      <c r="S4757">
        <v>-0.1072998</v>
      </c>
      <c r="T4757">
        <v>-0.25242560000000003</v>
      </c>
      <c r="U4757">
        <v>-3.0901489999999998</v>
      </c>
      <c r="V4757">
        <v>-2.2893179999999999E-2</v>
      </c>
      <c r="W4757">
        <v>6.3030940000000004E-3</v>
      </c>
      <c r="X4757">
        <v>0.99971810000000005</v>
      </c>
      <c r="Y4757">
        <v>-0.26096570000000002</v>
      </c>
      <c r="Z4757">
        <v>7.4593209999999993E-2</v>
      </c>
      <c r="AA4757">
        <v>0.96246180000000003</v>
      </c>
      <c r="AB4757">
        <v>23</v>
      </c>
      <c r="AC4757">
        <v>-0.41059999999998797</v>
      </c>
      <c r="AD4757">
        <v>-1.1142507675159901</v>
      </c>
      <c r="AE4757">
        <v>-13.4154</v>
      </c>
      <c r="AF4757">
        <v>-3.53039305884545</v>
      </c>
      <c r="AG4757">
        <v>-1.1142507675159901</v>
      </c>
      <c r="AH4757">
        <v>12.8538010612656</v>
      </c>
      <c r="AI4757">
        <v>94.778296318400393</v>
      </c>
      <c r="AJ4757">
        <v>105.35800636045801</v>
      </c>
      <c r="AK4757">
        <v>13.3763011197209</v>
      </c>
      <c r="AL4757">
        <v>89.638856943758597</v>
      </c>
      <c r="AM4757">
        <v>91.311823189514101</v>
      </c>
      <c r="AN4757">
        <v>1.00000005307604</v>
      </c>
    </row>
    <row r="4758" spans="1:40" x14ac:dyDescent="0.25">
      <c r="A4758" t="str">
        <f>"20190312161108130"</f>
        <v>20190312161108130</v>
      </c>
      <c r="B4758" t="str">
        <f>"1552378268121533"</f>
        <v>1552378268121533</v>
      </c>
      <c r="C4758" t="s">
        <v>40</v>
      </c>
      <c r="D4758">
        <v>5.8775680000000001</v>
      </c>
      <c r="E4758">
        <v>0.40652199999999999</v>
      </c>
      <c r="F4758" t="s">
        <v>41</v>
      </c>
      <c r="G4758">
        <v>-420.76369999999997</v>
      </c>
      <c r="H4758" s="1">
        <v>-4.6008190000000004E-6</v>
      </c>
      <c r="I4758">
        <v>108.9141</v>
      </c>
      <c r="J4758">
        <v>-420.42169999999999</v>
      </c>
      <c r="K4758">
        <v>1.114214</v>
      </c>
      <c r="L4758">
        <v>122.5444</v>
      </c>
      <c r="M4758">
        <v>-0.28824169999999999</v>
      </c>
      <c r="N4758">
        <v>0</v>
      </c>
      <c r="O4758">
        <v>-0.95745409999999997</v>
      </c>
      <c r="P4758">
        <v>-0.26645419999999997</v>
      </c>
      <c r="Q4758">
        <v>-7.0844749999999998E-3</v>
      </c>
      <c r="R4758">
        <v>-0.96382179999999995</v>
      </c>
      <c r="S4758">
        <v>-8.9416499999999996E-2</v>
      </c>
      <c r="T4758">
        <v>-0.2487384</v>
      </c>
      <c r="U4758">
        <v>-3.090652</v>
      </c>
      <c r="V4758">
        <v>-2.276392E-2</v>
      </c>
      <c r="W4758">
        <v>6.7956559999999997E-3</v>
      </c>
      <c r="X4758">
        <v>0.99971779999999999</v>
      </c>
      <c r="Y4758">
        <v>-0.26052399999999998</v>
      </c>
      <c r="Z4758">
        <v>7.3725910000000006E-2</v>
      </c>
      <c r="AA4758">
        <v>0.96264830000000001</v>
      </c>
      <c r="AB4758">
        <v>23</v>
      </c>
      <c r="AC4758">
        <v>-0.34199999999998398</v>
      </c>
      <c r="AD4758">
        <v>-1.114218600819</v>
      </c>
      <c r="AE4758">
        <v>-13.630299999999901</v>
      </c>
      <c r="AF4758">
        <v>-3.5778354461772999</v>
      </c>
      <c r="AG4758">
        <v>-1.114218600819</v>
      </c>
      <c r="AH4758">
        <v>13.063032659074</v>
      </c>
      <c r="AI4758">
        <v>94.702889185255401</v>
      </c>
      <c r="AJ4758">
        <v>105.31711347740401</v>
      </c>
      <c r="AK4758">
        <v>13.589893738450201</v>
      </c>
      <c r="AL4758">
        <v>89.610634606286496</v>
      </c>
      <c r="AM4758">
        <v>91.304419300873406</v>
      </c>
      <c r="AN4758">
        <v>1.0000000283155299</v>
      </c>
    </row>
    <row r="4759" spans="1:40" x14ac:dyDescent="0.25">
      <c r="A4759" t="str">
        <f>"20190312161108152"</f>
        <v>20190312161108152</v>
      </c>
      <c r="B4759" t="str">
        <f>"1552378268142028"</f>
        <v>1552378268142028</v>
      </c>
      <c r="C4759" t="s">
        <v>40</v>
      </c>
      <c r="D4759">
        <v>5.8168139999999999</v>
      </c>
      <c r="E4759">
        <v>0.40698139999999999</v>
      </c>
      <c r="F4759" t="s">
        <v>41</v>
      </c>
      <c r="G4759">
        <v>-420.76049999999998</v>
      </c>
      <c r="H4759" s="1">
        <v>-4.5998929999999998E-6</v>
      </c>
      <c r="I4759">
        <v>108.9132</v>
      </c>
      <c r="J4759">
        <v>-420.4787</v>
      </c>
      <c r="K4759">
        <v>1.114171</v>
      </c>
      <c r="L4759">
        <v>122.3302</v>
      </c>
      <c r="M4759">
        <v>-0.28234300000000001</v>
      </c>
      <c r="N4759">
        <v>0</v>
      </c>
      <c r="O4759">
        <v>-0.95921029999999996</v>
      </c>
      <c r="P4759">
        <v>-0.25996520000000001</v>
      </c>
      <c r="Q4759">
        <v>-6.4829379999999997E-3</v>
      </c>
      <c r="R4759">
        <v>-0.96559669999999997</v>
      </c>
      <c r="S4759">
        <v>-7.6782230000000007E-2</v>
      </c>
      <c r="T4759">
        <v>-0.25253989999999998</v>
      </c>
      <c r="U4759">
        <v>-3.0895229999999998</v>
      </c>
      <c r="V4759">
        <v>-2.3341110000000002E-2</v>
      </c>
      <c r="W4759">
        <v>7.3845350000000002E-3</v>
      </c>
      <c r="X4759">
        <v>0.99970029999999999</v>
      </c>
      <c r="Y4759">
        <v>-0.25850689999999998</v>
      </c>
      <c r="Z4759">
        <v>7.5111600000000001E-2</v>
      </c>
      <c r="AA4759">
        <v>0.96308479999999996</v>
      </c>
      <c r="AB4759">
        <v>23</v>
      </c>
      <c r="AC4759">
        <v>-0.28179999999997501</v>
      </c>
      <c r="AD4759">
        <v>-1.1141755998930001</v>
      </c>
      <c r="AE4759">
        <v>-13.417</v>
      </c>
      <c r="AF4759">
        <v>-3.4941539293547299</v>
      </c>
      <c r="AG4759">
        <v>-1.1141755998930001</v>
      </c>
      <c r="AH4759">
        <v>12.8619147315089</v>
      </c>
      <c r="AI4759">
        <v>94.778590055765903</v>
      </c>
      <c r="AJ4759">
        <v>105.19854404372499</v>
      </c>
      <c r="AK4759">
        <v>13.3745784797139</v>
      </c>
      <c r="AL4759">
        <v>89.576893471394101</v>
      </c>
      <c r="AM4759">
        <v>91.337505010678598</v>
      </c>
      <c r="AN4759">
        <v>1.0000000142966401</v>
      </c>
    </row>
    <row r="4760" spans="1:40" x14ac:dyDescent="0.25">
      <c r="A4760" t="str">
        <f>"20190312161108176"</f>
        <v>20190312161108176</v>
      </c>
      <c r="B4760" t="str">
        <f>"1552378268172069"</f>
        <v>1552378268172069</v>
      </c>
      <c r="C4760" t="s">
        <v>40</v>
      </c>
      <c r="D4760">
        <v>5.9268229999999997</v>
      </c>
      <c r="E4760">
        <v>0.40817290000000001</v>
      </c>
      <c r="F4760" t="s">
        <v>41</v>
      </c>
      <c r="G4760">
        <v>-420.74419999999998</v>
      </c>
      <c r="H4760" s="1">
        <v>-4.4400069999999998E-6</v>
      </c>
      <c r="I4760">
        <v>108.5655</v>
      </c>
      <c r="J4760">
        <v>-420.53930000000003</v>
      </c>
      <c r="K4760">
        <v>1.1141319999999999</v>
      </c>
      <c r="L4760">
        <v>122.0971</v>
      </c>
      <c r="M4760">
        <v>-0.27597460000000001</v>
      </c>
      <c r="N4760">
        <v>0</v>
      </c>
      <c r="O4760">
        <v>-0.96106199999999997</v>
      </c>
      <c r="P4760">
        <v>-0.2531118</v>
      </c>
      <c r="Q4760">
        <v>-6.9433730000000001E-3</v>
      </c>
      <c r="R4760">
        <v>-0.96741259999999996</v>
      </c>
      <c r="S4760">
        <v>-5.9570310000000001E-2</v>
      </c>
      <c r="T4760">
        <v>-0.25005129999999998</v>
      </c>
      <c r="U4760">
        <v>-3.089172</v>
      </c>
      <c r="V4760">
        <v>-2.3793100000000001E-2</v>
      </c>
      <c r="W4760">
        <v>6.9120029999999999E-3</v>
      </c>
      <c r="X4760">
        <v>0.99969300000000005</v>
      </c>
      <c r="Y4760">
        <v>-0.25746000000000002</v>
      </c>
      <c r="Z4760">
        <v>7.4622519999999998E-2</v>
      </c>
      <c r="AA4760">
        <v>0.96340329999999996</v>
      </c>
      <c r="AB4760">
        <v>23</v>
      </c>
      <c r="AC4760">
        <v>-0.20489999999995201</v>
      </c>
      <c r="AD4760">
        <v>-1.114136440007</v>
      </c>
      <c r="AE4760">
        <v>-13.5315999999999</v>
      </c>
      <c r="AF4760">
        <v>-3.5139897138276699</v>
      </c>
      <c r="AG4760">
        <v>-1.114136440007</v>
      </c>
      <c r="AH4760">
        <v>12.9746087400161</v>
      </c>
      <c r="AI4760">
        <v>94.738098428337295</v>
      </c>
      <c r="AJ4760">
        <v>105.154204560097</v>
      </c>
      <c r="AK4760">
        <v>13.488139073732199</v>
      </c>
      <c r="AL4760">
        <v>89.603968242985601</v>
      </c>
      <c r="AM4760">
        <v>91.363405456977802</v>
      </c>
      <c r="AN4760">
        <v>0.99999999082104096</v>
      </c>
    </row>
    <row r="4761" spans="1:40" x14ac:dyDescent="0.25">
      <c r="A4761" t="str">
        <f>"20190312161108221"</f>
        <v>20190312161108221</v>
      </c>
      <c r="B4761" t="str">
        <f>"1552378268212085"</f>
        <v>1552378268212085</v>
      </c>
      <c r="C4761" t="s">
        <v>40</v>
      </c>
      <c r="D4761">
        <v>5.877103</v>
      </c>
      <c r="E4761">
        <v>0.40815319999999999</v>
      </c>
      <c r="F4761" t="s">
        <v>41</v>
      </c>
      <c r="G4761">
        <v>-420.74520000000001</v>
      </c>
      <c r="H4761" s="1">
        <v>-4.415757E-6</v>
      </c>
      <c r="I4761">
        <v>108.5136</v>
      </c>
      <c r="J4761">
        <v>-420.64920000000001</v>
      </c>
      <c r="K4761">
        <v>1.1140589999999999</v>
      </c>
      <c r="L4761">
        <v>121.6579</v>
      </c>
      <c r="M4761">
        <v>-0.26413809999999999</v>
      </c>
      <c r="N4761">
        <v>0</v>
      </c>
      <c r="O4761">
        <v>-0.96438259999999998</v>
      </c>
      <c r="P4761">
        <v>-0.24203430000000001</v>
      </c>
      <c r="Q4761">
        <v>-6.1752489999999998E-3</v>
      </c>
      <c r="R4761">
        <v>-0.97024829999999995</v>
      </c>
      <c r="S4761">
        <v>-4.6783449999999997E-2</v>
      </c>
      <c r="T4761">
        <v>-0.2531986</v>
      </c>
      <c r="U4761">
        <v>-3.0869749999999998</v>
      </c>
      <c r="V4761">
        <v>-2.2938730000000001E-2</v>
      </c>
      <c r="W4761">
        <v>7.6739679999999998E-3</v>
      </c>
      <c r="X4761">
        <v>0.99970740000000002</v>
      </c>
      <c r="Y4761">
        <v>-0.24954999999999999</v>
      </c>
      <c r="Z4761">
        <v>7.6101799999999997E-2</v>
      </c>
      <c r="AA4761">
        <v>0.96536690000000003</v>
      </c>
      <c r="AB4761">
        <v>23</v>
      </c>
      <c r="AC4761">
        <v>-9.6000000000003596E-2</v>
      </c>
      <c r="AD4761">
        <v>-1.114063415757</v>
      </c>
      <c r="AE4761">
        <v>-13.144299999999999</v>
      </c>
      <c r="AF4761">
        <v>-3.35555919678258</v>
      </c>
      <c r="AG4761">
        <v>-1.114063415757</v>
      </c>
      <c r="AH4761">
        <v>12.6121480619463</v>
      </c>
      <c r="AI4761">
        <v>94.879108085530405</v>
      </c>
      <c r="AJ4761">
        <v>104.898837839517</v>
      </c>
      <c r="AK4761">
        <v>13.0983660642805</v>
      </c>
      <c r="AL4761">
        <v>89.560309697232299</v>
      </c>
      <c r="AM4761">
        <v>91.314446440829897</v>
      </c>
      <c r="AN4761">
        <v>0.99999998036681803</v>
      </c>
    </row>
    <row r="4762" spans="1:40" x14ac:dyDescent="0.25">
      <c r="A4762" t="str">
        <f>"20190312161108248"</f>
        <v>20190312161108248</v>
      </c>
      <c r="B4762" t="str">
        <f>"1552378268242342"</f>
        <v>1552378268242342</v>
      </c>
      <c r="C4762" t="s">
        <v>40</v>
      </c>
      <c r="D4762">
        <v>5.905138</v>
      </c>
      <c r="E4762">
        <v>0.40863579999999999</v>
      </c>
      <c r="F4762" t="s">
        <v>41</v>
      </c>
      <c r="G4762">
        <v>-420.70100000000002</v>
      </c>
      <c r="H4762" s="1">
        <v>-3.9581399999999997E-6</v>
      </c>
      <c r="I4762">
        <v>107.57040000000001</v>
      </c>
      <c r="J4762">
        <v>-420.71010000000001</v>
      </c>
      <c r="K4762">
        <v>1.1140080000000001</v>
      </c>
      <c r="L4762">
        <v>121.404</v>
      </c>
      <c r="M4762">
        <v>-0.2574051</v>
      </c>
      <c r="N4762">
        <v>0</v>
      </c>
      <c r="O4762">
        <v>-0.96620150000000005</v>
      </c>
      <c r="P4762">
        <v>-0.2356704</v>
      </c>
      <c r="Q4762">
        <v>-5.5305650000000003E-3</v>
      </c>
      <c r="R4762">
        <v>-0.9718175</v>
      </c>
      <c r="S4762">
        <v>-1.135254E-2</v>
      </c>
      <c r="T4762">
        <v>-0.244173</v>
      </c>
      <c r="U4762">
        <v>-3.0876009999999998</v>
      </c>
      <c r="V4762">
        <v>-2.2523410000000001E-2</v>
      </c>
      <c r="W4762">
        <v>8.3143409999999994E-3</v>
      </c>
      <c r="X4762">
        <v>0.99971180000000004</v>
      </c>
      <c r="Y4762">
        <v>-0.25387280000000001</v>
      </c>
      <c r="Z4762">
        <v>7.3563240000000002E-2</v>
      </c>
      <c r="AA4762">
        <v>0.96443610000000002</v>
      </c>
      <c r="AB4762">
        <v>23</v>
      </c>
      <c r="AC4762">
        <v>9.1000000000462898E-3</v>
      </c>
      <c r="AD4762">
        <v>-1.1140119581400001</v>
      </c>
      <c r="AE4762">
        <v>-13.833599999999899</v>
      </c>
      <c r="AF4762">
        <v>-3.5469816494209399</v>
      </c>
      <c r="AG4762">
        <v>-1.1140119581400001</v>
      </c>
      <c r="AH4762">
        <v>13.278907508641399</v>
      </c>
      <c r="AI4762">
        <v>94.633788006711001</v>
      </c>
      <c r="AJ4762">
        <v>104.95534141093501</v>
      </c>
      <c r="AK4762">
        <v>13.7895426351733</v>
      </c>
      <c r="AL4762">
        <v>89.523617890051</v>
      </c>
      <c r="AM4762">
        <v>91.290650014564307</v>
      </c>
      <c r="AN4762">
        <v>1.00000005766176</v>
      </c>
    </row>
    <row r="4763" spans="1:40" x14ac:dyDescent="0.25">
      <c r="A4763" t="str">
        <f>"20190312161108266"</f>
        <v>20190312161108266</v>
      </c>
      <c r="B4763" t="str">
        <f>"1552378268261861"</f>
        <v>1552378268261861</v>
      </c>
      <c r="C4763" t="s">
        <v>40</v>
      </c>
      <c r="D4763">
        <v>5.817482</v>
      </c>
      <c r="E4763">
        <v>0.40908879999999997</v>
      </c>
      <c r="F4763" t="s">
        <v>41</v>
      </c>
      <c r="G4763">
        <v>-420.68639999999999</v>
      </c>
      <c r="H4763" s="1">
        <v>-3.6699490000000001E-6</v>
      </c>
      <c r="I4763">
        <v>106.9689</v>
      </c>
      <c r="J4763">
        <v>-420.75360000000001</v>
      </c>
      <c r="K4763">
        <v>1.1139600000000001</v>
      </c>
      <c r="L4763">
        <v>121.2189</v>
      </c>
      <c r="M4763">
        <v>-0.25254579999999999</v>
      </c>
      <c r="N4763">
        <v>0</v>
      </c>
      <c r="O4763">
        <v>-0.96748299999999998</v>
      </c>
      <c r="P4763">
        <v>-0.2315594</v>
      </c>
      <c r="Q4763">
        <v>-4.5112299999999998E-3</v>
      </c>
      <c r="R4763">
        <v>-0.97281039999999996</v>
      </c>
      <c r="S4763">
        <v>5.065918E-3</v>
      </c>
      <c r="T4763">
        <v>-0.2382253</v>
      </c>
      <c r="U4763">
        <v>-3.0868679999999999</v>
      </c>
      <c r="V4763">
        <v>-2.173522E-2</v>
      </c>
      <c r="W4763">
        <v>9.3347320000000001E-3</v>
      </c>
      <c r="X4763">
        <v>0.99972019999999995</v>
      </c>
      <c r="Y4763">
        <v>-0.25414140000000002</v>
      </c>
      <c r="Z4763">
        <v>7.1943140000000003E-2</v>
      </c>
      <c r="AA4763">
        <v>0.9644876</v>
      </c>
      <c r="AB4763">
        <v>23</v>
      </c>
      <c r="AC4763">
        <v>6.7200000000013901E-2</v>
      </c>
      <c r="AD4763">
        <v>-1.1139636699490001</v>
      </c>
      <c r="AE4763">
        <v>-14.25</v>
      </c>
      <c r="AF4763">
        <v>-3.6418987768853301</v>
      </c>
      <c r="AG4763">
        <v>-1.1139636699490001</v>
      </c>
      <c r="AH4763">
        <v>13.687378283085399</v>
      </c>
      <c r="AI4763">
        <v>94.497039615087004</v>
      </c>
      <c r="AJ4763">
        <v>104.899878853506</v>
      </c>
      <c r="AK4763">
        <v>14.2073454953177</v>
      </c>
      <c r="AL4763">
        <v>89.465151495226706</v>
      </c>
      <c r="AM4763">
        <v>91.245488699187206</v>
      </c>
      <c r="AN4763">
        <v>1.00000001764899</v>
      </c>
    </row>
    <row r="4764" spans="1:40" x14ac:dyDescent="0.25">
      <c r="A4764" t="str">
        <f>"20190312161108288"</f>
        <v>20190312161108288</v>
      </c>
      <c r="B4764" t="str">
        <f>"1552378268281381"</f>
        <v>1552378268281381</v>
      </c>
      <c r="C4764" t="s">
        <v>40</v>
      </c>
      <c r="D4764">
        <v>5.9689319999999997</v>
      </c>
      <c r="E4764">
        <v>0.4095626</v>
      </c>
      <c r="F4764" t="s">
        <v>41</v>
      </c>
      <c r="G4764">
        <v>-420.68430000000001</v>
      </c>
      <c r="H4764" s="1">
        <v>-3.4472549999999998E-6</v>
      </c>
      <c r="I4764">
        <v>106.499</v>
      </c>
      <c r="J4764">
        <v>-420.80149999999998</v>
      </c>
      <c r="K4764">
        <v>1.1139079999999999</v>
      </c>
      <c r="L4764">
        <v>121.0091</v>
      </c>
      <c r="M4764">
        <v>-0.2470948</v>
      </c>
      <c r="N4764">
        <v>0</v>
      </c>
      <c r="O4764">
        <v>-0.96888969999999996</v>
      </c>
      <c r="P4764">
        <v>-0.2278123</v>
      </c>
      <c r="Q4764">
        <v>-3.9620310000000004E-3</v>
      </c>
      <c r="R4764">
        <v>-0.97369720000000004</v>
      </c>
      <c r="S4764">
        <v>1.452637E-2</v>
      </c>
      <c r="T4764">
        <v>-0.2335576</v>
      </c>
      <c r="U4764">
        <v>-3.0862120000000002</v>
      </c>
      <c r="V4764">
        <v>-1.9959830000000001E-2</v>
      </c>
      <c r="W4764">
        <v>9.8935589999999997E-3</v>
      </c>
      <c r="X4764">
        <v>0.99975179999999997</v>
      </c>
      <c r="Y4764">
        <v>-0.25165359999999998</v>
      </c>
      <c r="Z4764">
        <v>7.0739189999999993E-2</v>
      </c>
      <c r="AA4764">
        <v>0.96522870000000005</v>
      </c>
      <c r="AB4764">
        <v>23</v>
      </c>
      <c r="AC4764">
        <v>0.117199999999968</v>
      </c>
      <c r="AD4764">
        <v>-1.11391144725499</v>
      </c>
      <c r="AE4764">
        <v>-14.5101</v>
      </c>
      <c r="AF4764">
        <v>-3.6776163787095699</v>
      </c>
      <c r="AG4764">
        <v>-1.11391144725499</v>
      </c>
      <c r="AH4764">
        <v>13.9489083073589</v>
      </c>
      <c r="AI4764">
        <v>94.415496410477004</v>
      </c>
      <c r="AJ4764">
        <v>104.769877992579</v>
      </c>
      <c r="AK4764">
        <v>14.468507314453101</v>
      </c>
      <c r="AL4764">
        <v>89.433131559618303</v>
      </c>
      <c r="AM4764">
        <v>91.143745987499997</v>
      </c>
      <c r="AN4764">
        <v>0.99999996946327696</v>
      </c>
    </row>
    <row r="4765" spans="1:40" x14ac:dyDescent="0.25">
      <c r="A4765" t="str">
        <f>"20190312161108309"</f>
        <v>20190312161108309</v>
      </c>
      <c r="B4765" t="str">
        <f>"1552378268301877"</f>
        <v>1552378268301877</v>
      </c>
      <c r="C4765" t="s">
        <v>40</v>
      </c>
      <c r="D4765">
        <v>5.9281389999999998</v>
      </c>
      <c r="E4765">
        <v>0.4169117</v>
      </c>
      <c r="F4765" t="s">
        <v>41</v>
      </c>
      <c r="G4765">
        <v>-420.69170000000003</v>
      </c>
      <c r="H4765" s="1">
        <v>-3.2718000000000002E-6</v>
      </c>
      <c r="I4765">
        <v>106.1237</v>
      </c>
      <c r="J4765">
        <v>-420.8503</v>
      </c>
      <c r="K4765">
        <v>1.1138629999999901</v>
      </c>
      <c r="L4765">
        <v>120.7906</v>
      </c>
      <c r="M4765">
        <v>-0.24148210000000001</v>
      </c>
      <c r="N4765">
        <v>0</v>
      </c>
      <c r="O4765">
        <v>-0.97030400000000006</v>
      </c>
      <c r="P4765">
        <v>-0.22372210000000001</v>
      </c>
      <c r="Q4765">
        <v>-3.8599649999999999E-3</v>
      </c>
      <c r="R4765">
        <v>-0.97464569999999995</v>
      </c>
      <c r="S4765">
        <v>2.2766109999999999E-2</v>
      </c>
      <c r="T4765">
        <v>-0.23089080000000001</v>
      </c>
      <c r="U4765">
        <v>-3.0854339999999998</v>
      </c>
      <c r="V4765">
        <v>-1.8369460000000001E-2</v>
      </c>
      <c r="W4765">
        <v>1.0002270000000001E-2</v>
      </c>
      <c r="X4765">
        <v>0.99978129999999998</v>
      </c>
      <c r="Y4765">
        <v>-0.24862980000000001</v>
      </c>
      <c r="Z4765">
        <v>7.0139859999999998E-2</v>
      </c>
      <c r="AA4765">
        <v>0.96605569999999996</v>
      </c>
      <c r="AB4765">
        <v>23</v>
      </c>
      <c r="AC4765">
        <v>0.15859999999997801</v>
      </c>
      <c r="AD4765">
        <v>-1.1138662718000001</v>
      </c>
      <c r="AE4765">
        <v>-14.666899999999901</v>
      </c>
      <c r="AF4765">
        <v>-3.6748549231531902</v>
      </c>
      <c r="AG4765">
        <v>-1.1138662718000001</v>
      </c>
      <c r="AH4765">
        <v>14.1130597538793</v>
      </c>
      <c r="AI4765">
        <v>94.367640818775797</v>
      </c>
      <c r="AJ4765">
        <v>104.594974692317</v>
      </c>
      <c r="AK4765">
        <v>14.6261311492221</v>
      </c>
      <c r="AL4765">
        <v>89.426902624555495</v>
      </c>
      <c r="AM4765">
        <v>91.052604323356803</v>
      </c>
      <c r="AN4765">
        <v>1.0000000651477601</v>
      </c>
    </row>
    <row r="4766" spans="1:40" x14ac:dyDescent="0.25">
      <c r="A4766" t="str">
        <f>"20190312161108332"</f>
        <v>20190312161108332</v>
      </c>
      <c r="B4766" t="str">
        <f>"1552378268321398"</f>
        <v>1552378268321398</v>
      </c>
      <c r="C4766" t="s">
        <v>40</v>
      </c>
      <c r="D4766">
        <v>5.9389649999999996</v>
      </c>
      <c r="E4766">
        <v>0.4173712</v>
      </c>
      <c r="F4766" t="s">
        <v>41</v>
      </c>
      <c r="G4766">
        <v>-420.9579</v>
      </c>
      <c r="H4766" s="1">
        <v>-3.1115519999999999E-6</v>
      </c>
      <c r="I4766">
        <v>105.6348</v>
      </c>
      <c r="J4766">
        <v>-420.89760000000001</v>
      </c>
      <c r="K4766">
        <v>1.1138159999999999</v>
      </c>
      <c r="L4766">
        <v>120.5729</v>
      </c>
      <c r="M4766">
        <v>-0.23596500000000001</v>
      </c>
      <c r="N4766">
        <v>0</v>
      </c>
      <c r="O4766">
        <v>-0.97166059999999999</v>
      </c>
      <c r="P4766">
        <v>-0.21927769999999999</v>
      </c>
      <c r="Q4766">
        <v>-3.1594380000000001E-3</v>
      </c>
      <c r="R4766">
        <v>-0.97565749999999996</v>
      </c>
      <c r="S4766">
        <v>-2.182007E-2</v>
      </c>
      <c r="T4766">
        <v>-0.2257866</v>
      </c>
      <c r="U4766">
        <v>-3.0721440000000002</v>
      </c>
      <c r="V4766">
        <v>-1.724995E-2</v>
      </c>
      <c r="W4766">
        <v>1.070462E-2</v>
      </c>
      <c r="X4766">
        <v>0.99979390000000001</v>
      </c>
      <c r="Y4766">
        <v>-0.2290895</v>
      </c>
      <c r="Z4766">
        <v>6.921998E-2</v>
      </c>
      <c r="AA4766">
        <v>0.9709411</v>
      </c>
      <c r="AB4766">
        <v>23</v>
      </c>
      <c r="AC4766">
        <v>-6.0299999999983797E-2</v>
      </c>
      <c r="AD4766">
        <v>-1.113819111552</v>
      </c>
      <c r="AE4766">
        <v>-14.9381</v>
      </c>
      <c r="AF4766">
        <v>-3.44745179662559</v>
      </c>
      <c r="AG4766">
        <v>-1.113819111552</v>
      </c>
      <c r="AH4766">
        <v>14.4500829235756</v>
      </c>
      <c r="AI4766">
        <v>94.287798194594203</v>
      </c>
      <c r="AJ4766">
        <v>103.418595849372</v>
      </c>
      <c r="AK4766">
        <v>14.897329069384501</v>
      </c>
      <c r="AL4766">
        <v>89.386658736235901</v>
      </c>
      <c r="AM4766">
        <v>90.988454998147603</v>
      </c>
      <c r="AN4766">
        <v>0.99999999607077805</v>
      </c>
    </row>
    <row r="4767" spans="1:40" x14ac:dyDescent="0.25">
      <c r="A4767" t="str">
        <f>"20190312161108354"</f>
        <v>20190312161108354</v>
      </c>
      <c r="B4767" t="str">
        <f>"1552378268341893"</f>
        <v>1552378268341893</v>
      </c>
      <c r="C4767" t="s">
        <v>40</v>
      </c>
      <c r="D4767">
        <v>5.9146710000000002</v>
      </c>
      <c r="E4767">
        <v>0.41830810000000002</v>
      </c>
      <c r="F4767" t="s">
        <v>41</v>
      </c>
      <c r="G4767">
        <v>-420.95069999999998</v>
      </c>
      <c r="H4767" s="1">
        <v>-3.028941E-6</v>
      </c>
      <c r="I4767">
        <v>105.4641</v>
      </c>
      <c r="J4767">
        <v>-420.94400000000002</v>
      </c>
      <c r="K4767">
        <v>1.113753</v>
      </c>
      <c r="L4767">
        <v>120.35420000000001</v>
      </c>
      <c r="M4767">
        <v>-0.2305007</v>
      </c>
      <c r="N4767">
        <v>0</v>
      </c>
      <c r="O4767">
        <v>-0.97297160000000005</v>
      </c>
      <c r="P4767">
        <v>-0.2148844</v>
      </c>
      <c r="Q4767">
        <v>-2.9994459999999998E-3</v>
      </c>
      <c r="R4767">
        <v>-0.97663500000000003</v>
      </c>
      <c r="S4767">
        <v>-1.0803220000000001E-2</v>
      </c>
      <c r="T4767">
        <v>-0.2264417</v>
      </c>
      <c r="U4767">
        <v>-3.0716549999999998</v>
      </c>
      <c r="V4767">
        <v>-1.613148E-2</v>
      </c>
      <c r="W4767">
        <v>1.0866249999999999E-2</v>
      </c>
      <c r="X4767">
        <v>0.9998108</v>
      </c>
      <c r="Y4767">
        <v>-0.2271</v>
      </c>
      <c r="Z4767">
        <v>6.9592459999999995E-2</v>
      </c>
      <c r="AA4767">
        <v>0.97138170000000001</v>
      </c>
      <c r="AB4767">
        <v>23</v>
      </c>
      <c r="AC4767">
        <v>-6.6999999999666198E-3</v>
      </c>
      <c r="AD4767">
        <v>-1.113756028941</v>
      </c>
      <c r="AE4767">
        <v>-14.8901</v>
      </c>
      <c r="AF4767">
        <v>-3.4069336775290302</v>
      </c>
      <c r="AG4767">
        <v>-1.113756028941</v>
      </c>
      <c r="AH4767">
        <v>14.409985664846699</v>
      </c>
      <c r="AI4767">
        <v>94.3015110650217</v>
      </c>
      <c r="AJ4767">
        <v>103.302099019087</v>
      </c>
      <c r="AK4767">
        <v>14.8490853737249</v>
      </c>
      <c r="AL4767">
        <v>89.377397463140795</v>
      </c>
      <c r="AM4767">
        <v>90.924360420229803</v>
      </c>
      <c r="AN4767">
        <v>0.99999996791634505</v>
      </c>
    </row>
    <row r="4768" spans="1:40" x14ac:dyDescent="0.25">
      <c r="A4768" t="str">
        <f>"20190312161108378"</f>
        <v>20190312161108378</v>
      </c>
      <c r="B4768" t="str">
        <f>"1552378268372150"</f>
        <v>1552378268372150</v>
      </c>
      <c r="C4768" t="s">
        <v>40</v>
      </c>
      <c r="D4768">
        <v>5.9099959999999996</v>
      </c>
      <c r="E4768">
        <v>0.4249889</v>
      </c>
      <c r="F4768" t="s">
        <v>41</v>
      </c>
      <c r="G4768">
        <v>-420.9658</v>
      </c>
      <c r="H4768" s="1">
        <v>-3.0228059999999998E-6</v>
      </c>
      <c r="I4768">
        <v>105.4427</v>
      </c>
      <c r="J4768">
        <v>-420.99020000000002</v>
      </c>
      <c r="K4768">
        <v>1.113683</v>
      </c>
      <c r="L4768">
        <v>120.1302</v>
      </c>
      <c r="M4768">
        <v>-0.2249987</v>
      </c>
      <c r="N4768">
        <v>0</v>
      </c>
      <c r="O4768">
        <v>-0.97425870000000003</v>
      </c>
      <c r="P4768">
        <v>-0.21102589999999999</v>
      </c>
      <c r="Q4768">
        <v>-3.027011E-3</v>
      </c>
      <c r="R4768">
        <v>-0.97747580000000001</v>
      </c>
      <c r="S4768">
        <v>-4.4860840000000004E-3</v>
      </c>
      <c r="T4768">
        <v>-0.22930809999999999</v>
      </c>
      <c r="U4768">
        <v>-3.070084</v>
      </c>
      <c r="V4768">
        <v>-1.442709E-2</v>
      </c>
      <c r="W4768">
        <v>1.0844319999999999E-2</v>
      </c>
      <c r="X4768">
        <v>0.99983710000000003</v>
      </c>
      <c r="Y4768">
        <v>-0.2235924</v>
      </c>
      <c r="Z4768">
        <v>7.0678290000000005E-2</v>
      </c>
      <c r="AA4768">
        <v>0.9721168</v>
      </c>
      <c r="AB4768">
        <v>23</v>
      </c>
      <c r="AC4768">
        <v>2.4400000000014101E-2</v>
      </c>
      <c r="AD4768">
        <v>-1.1136860228059999</v>
      </c>
      <c r="AE4768">
        <v>-14.6875</v>
      </c>
      <c r="AF4768">
        <v>-3.3097365738006501</v>
      </c>
      <c r="AG4768">
        <v>-1.1136860228059999</v>
      </c>
      <c r="AH4768">
        <v>14.223555556176599</v>
      </c>
      <c r="AI4768">
        <v>94.361008496445507</v>
      </c>
      <c r="AJ4768">
        <v>103.099279730904</v>
      </c>
      <c r="AK4768">
        <v>14.645961402550199</v>
      </c>
      <c r="AL4768">
        <v>89.378654043265399</v>
      </c>
      <c r="AM4768">
        <v>90.826688673164796</v>
      </c>
      <c r="AN4768">
        <v>0.99999998336926998</v>
      </c>
    </row>
    <row r="4769" spans="1:40" x14ac:dyDescent="0.25">
      <c r="A4769" t="str">
        <f>"20190312161108443"</f>
        <v>20190312161108443</v>
      </c>
      <c r="B4769" t="str">
        <f>"1552378268431686"</f>
        <v>1552378268431686</v>
      </c>
      <c r="C4769" t="s">
        <v>40</v>
      </c>
      <c r="D4769">
        <v>5.9121920000000001</v>
      </c>
      <c r="E4769">
        <v>0.40836210000000001</v>
      </c>
      <c r="F4769" t="s">
        <v>41</v>
      </c>
      <c r="G4769">
        <v>-421.15899999999999</v>
      </c>
      <c r="H4769" s="1">
        <v>-4.4103269999999996E-6</v>
      </c>
      <c r="I4769">
        <v>108.2692</v>
      </c>
      <c r="J4769">
        <v>-421.11709999999999</v>
      </c>
      <c r="K4769">
        <v>1.113432</v>
      </c>
      <c r="L4769">
        <v>119.4847</v>
      </c>
      <c r="M4769">
        <v>-0.20975940000000001</v>
      </c>
      <c r="N4769">
        <v>0</v>
      </c>
      <c r="O4769">
        <v>-0.97765340000000001</v>
      </c>
      <c r="P4769">
        <v>-0.19850190000000001</v>
      </c>
      <c r="Q4769">
        <v>-4.0115619999999998E-3</v>
      </c>
      <c r="R4769">
        <v>-0.98009230000000003</v>
      </c>
      <c r="S4769">
        <v>-4.3518069999999999E-2</v>
      </c>
      <c r="T4769">
        <v>-0.28720990000000002</v>
      </c>
      <c r="U4769">
        <v>-3.0588380000000002</v>
      </c>
      <c r="V4769">
        <v>-1.159378E-2</v>
      </c>
      <c r="W4769">
        <v>9.8554130000000004E-3</v>
      </c>
      <c r="X4769">
        <v>0.9998842</v>
      </c>
      <c r="Y4769">
        <v>-0.19589889999999999</v>
      </c>
      <c r="Z4769">
        <v>8.9459910000000004E-2</v>
      </c>
      <c r="AA4769">
        <v>0.97653500000000004</v>
      </c>
      <c r="AB4769">
        <v>23</v>
      </c>
      <c r="AC4769">
        <v>-4.1899999999998203E-2</v>
      </c>
      <c r="AD4769">
        <v>-1.113436410327</v>
      </c>
      <c r="AE4769">
        <v>-11.2155</v>
      </c>
      <c r="AF4769">
        <v>-2.2892558624119799</v>
      </c>
      <c r="AG4769">
        <v>-1.113436410327</v>
      </c>
      <c r="AH4769">
        <v>10.867621721925801</v>
      </c>
      <c r="AI4769">
        <v>95.725019628607001</v>
      </c>
      <c r="AJ4769">
        <v>101.895400013583</v>
      </c>
      <c r="AK4769">
        <v>11.1617935357317</v>
      </c>
      <c r="AL4769">
        <v>89.435317276525296</v>
      </c>
      <c r="AM4769">
        <v>90.664321823588296</v>
      </c>
      <c r="AN4769">
        <v>0.99999997915486405</v>
      </c>
    </row>
    <row r="4770" spans="1:40" x14ac:dyDescent="0.25">
      <c r="A4770" t="str">
        <f>"20190312161108466"</f>
        <v>20190312161108466</v>
      </c>
      <c r="B4770" t="str">
        <f>"1552378268461941"</f>
        <v>1552378268461941</v>
      </c>
      <c r="C4770" t="s">
        <v>40</v>
      </c>
      <c r="D4770">
        <v>5.907451</v>
      </c>
      <c r="E4770">
        <v>0.40647060000000002</v>
      </c>
      <c r="F4770" t="s">
        <v>41</v>
      </c>
      <c r="G4770">
        <v>-420.42910000000001</v>
      </c>
      <c r="H4770" s="1">
        <v>-1.4511109999999901E-6</v>
      </c>
      <c r="I4770">
        <v>102.4199</v>
      </c>
      <c r="J4770">
        <v>-421.15890000000002</v>
      </c>
      <c r="K4770">
        <v>1.113345</v>
      </c>
      <c r="L4770">
        <v>119.2606</v>
      </c>
      <c r="M4770">
        <v>-0.204707</v>
      </c>
      <c r="N4770">
        <v>0</v>
      </c>
      <c r="O4770">
        <v>-0.97872400000000004</v>
      </c>
      <c r="P4770">
        <v>-0.19476170000000001</v>
      </c>
      <c r="Q4770">
        <v>-4.4587949999999998E-3</v>
      </c>
      <c r="R4770">
        <v>-0.98084020000000005</v>
      </c>
      <c r="S4770">
        <v>0.1243896</v>
      </c>
      <c r="T4770">
        <v>-0.20130960000000001</v>
      </c>
      <c r="U4770">
        <v>-3.0853269999999999</v>
      </c>
      <c r="V4770">
        <v>-1.0237370000000001E-2</v>
      </c>
      <c r="W4770">
        <v>9.4076850000000007E-3</v>
      </c>
      <c r="X4770">
        <v>0.99990330000000005</v>
      </c>
      <c r="Y4770">
        <v>-0.2439055</v>
      </c>
      <c r="Z4770">
        <v>6.2030399999999999E-2</v>
      </c>
      <c r="AA4770">
        <v>0.96781320000000004</v>
      </c>
      <c r="AB4770">
        <v>23</v>
      </c>
      <c r="AC4770">
        <v>0.729800000000011</v>
      </c>
      <c r="AD4770">
        <v>-1.1133464511110001</v>
      </c>
      <c r="AE4770">
        <v>-16.840699999999998</v>
      </c>
      <c r="AF4770">
        <v>-4.1440086483315604</v>
      </c>
      <c r="AG4770">
        <v>-1.1133464511110001</v>
      </c>
      <c r="AH4770">
        <v>16.263641181549598</v>
      </c>
      <c r="AI4770">
        <v>93.795246803707698</v>
      </c>
      <c r="AJ4770">
        <v>104.29490056989999</v>
      </c>
      <c r="AK4770">
        <v>16.820177540081001</v>
      </c>
      <c r="AL4770">
        <v>89.460971381032707</v>
      </c>
      <c r="AM4770">
        <v>90.586594324148805</v>
      </c>
      <c r="AN4770">
        <v>0.99999995881623205</v>
      </c>
    </row>
    <row r="4771" spans="1:40" x14ac:dyDescent="0.25">
      <c r="A4771" t="str">
        <f>"20190312161108490"</f>
        <v>20190312161108490</v>
      </c>
      <c r="B4771" t="str">
        <f>"1552378268481463"</f>
        <v>1552378268481463</v>
      </c>
      <c r="C4771" t="s">
        <v>40</v>
      </c>
      <c r="D4771">
        <v>5.9145329999999996</v>
      </c>
      <c r="E4771">
        <v>0.4066246</v>
      </c>
      <c r="F4771" t="s">
        <v>41</v>
      </c>
      <c r="G4771">
        <v>-420.21699999999998</v>
      </c>
      <c r="H4771" s="1">
        <v>-2.3506240000000001E-7</v>
      </c>
      <c r="I4771">
        <v>99.966719999999995</v>
      </c>
      <c r="J4771">
        <v>-421.20049999999998</v>
      </c>
      <c r="K4771">
        <v>1.113256</v>
      </c>
      <c r="L4771">
        <v>119.0321</v>
      </c>
      <c r="M4771">
        <v>-0.19969110000000001</v>
      </c>
      <c r="N4771">
        <v>0</v>
      </c>
      <c r="O4771">
        <v>-0.97975990000000002</v>
      </c>
      <c r="P4771">
        <v>-0.19054750000000001</v>
      </c>
      <c r="Q4771">
        <v>-4.2654989999999999E-3</v>
      </c>
      <c r="R4771">
        <v>-0.98166880000000001</v>
      </c>
      <c r="S4771">
        <v>0.15072629999999901</v>
      </c>
      <c r="T4771">
        <v>-0.17817539999999901</v>
      </c>
      <c r="U4771">
        <v>-3.087723</v>
      </c>
      <c r="V4771">
        <v>-9.4091580000000008E-3</v>
      </c>
      <c r="W4771">
        <v>9.5960260000000006E-3</v>
      </c>
      <c r="X4771">
        <v>0.99990970000000001</v>
      </c>
      <c r="Y4771">
        <v>-0.2471671</v>
      </c>
      <c r="Z4771">
        <v>5.4939420000000003E-2</v>
      </c>
      <c r="AA4771">
        <v>0.96741410000000005</v>
      </c>
      <c r="AB4771">
        <v>22</v>
      </c>
      <c r="AC4771">
        <v>0.98349999999999205</v>
      </c>
      <c r="AD4771">
        <v>-1.1132562350624</v>
      </c>
      <c r="AE4771">
        <v>-19.065380000000001</v>
      </c>
      <c r="AF4771">
        <v>-4.7550736882208797</v>
      </c>
      <c r="AG4771">
        <v>-1.1132562350624</v>
      </c>
      <c r="AH4771">
        <v>18.422246557726201</v>
      </c>
      <c r="AI4771">
        <v>93.348687724361795</v>
      </c>
      <c r="AJ4771">
        <v>104.47305122247199</v>
      </c>
      <c r="AK4771">
        <v>19.058573751961902</v>
      </c>
      <c r="AL4771">
        <v>89.450179778265706</v>
      </c>
      <c r="AM4771">
        <v>90.539137814893195</v>
      </c>
      <c r="AN4771">
        <v>1.0000000120616701</v>
      </c>
    </row>
    <row r="4772" spans="1:40" x14ac:dyDescent="0.25">
      <c r="A4772" t="str">
        <f>"20190312161108510"</f>
        <v>20190312161108510</v>
      </c>
      <c r="B4772" t="str">
        <f>"1552378268501958"</f>
        <v>1552378268501958</v>
      </c>
      <c r="C4772" t="s">
        <v>40</v>
      </c>
      <c r="D4772">
        <v>5.9141050000000002</v>
      </c>
      <c r="E4772">
        <v>0.40726519999999999</v>
      </c>
      <c r="F4772" t="s">
        <v>41</v>
      </c>
      <c r="G4772">
        <v>-420.15800000000002</v>
      </c>
      <c r="H4772" s="1">
        <v>-4.1699199999999901E-6</v>
      </c>
      <c r="I4772">
        <v>99.211320000000001</v>
      </c>
      <c r="J4772">
        <v>-421.23750000000001</v>
      </c>
      <c r="K4772">
        <v>1.1131789999999999</v>
      </c>
      <c r="L4772">
        <v>118.82380000000001</v>
      </c>
      <c r="M4772">
        <v>-0.19522390000000001</v>
      </c>
      <c r="N4772">
        <v>0</v>
      </c>
      <c r="O4772">
        <v>-0.98065990000000003</v>
      </c>
      <c r="P4772">
        <v>-0.18635889999999999</v>
      </c>
      <c r="Q4772">
        <v>-4.563798E-3</v>
      </c>
      <c r="R4772">
        <v>-0.98247090000000004</v>
      </c>
      <c r="S4772">
        <v>0.16235350000000001</v>
      </c>
      <c r="T4772">
        <v>-0.17337350000000001</v>
      </c>
      <c r="U4772">
        <v>-3.086792</v>
      </c>
      <c r="V4772">
        <v>-9.1121410000000007E-3</v>
      </c>
      <c r="W4772">
        <v>9.2894339999999992E-3</v>
      </c>
      <c r="X4772">
        <v>0.99991540000000001</v>
      </c>
      <c r="Y4772">
        <v>-0.2464045</v>
      </c>
      <c r="Z4772">
        <v>5.3555419999999999E-2</v>
      </c>
      <c r="AA4772">
        <v>0.96768620000000005</v>
      </c>
      <c r="AB4772">
        <v>22</v>
      </c>
      <c r="AC4772">
        <v>1.0794999999999899</v>
      </c>
      <c r="AD4772">
        <v>-1.1131831699200001</v>
      </c>
      <c r="AE4772">
        <v>-19.612480000000001</v>
      </c>
      <c r="AF4772">
        <v>-4.8722718536759704</v>
      </c>
      <c r="AG4772">
        <v>-1.1131831699200001</v>
      </c>
      <c r="AH4772">
        <v>18.963364539160601</v>
      </c>
      <c r="AI4772">
        <v>93.254057589740299</v>
      </c>
      <c r="AJ4772">
        <v>104.409374514589</v>
      </c>
      <c r="AK4772">
        <v>19.610900143313401</v>
      </c>
      <c r="AL4772">
        <v>89.467747017635105</v>
      </c>
      <c r="AM4772">
        <v>90.522116941168306</v>
      </c>
      <c r="AN4772">
        <v>1.0000000659274</v>
      </c>
    </row>
    <row r="4773" spans="1:40" x14ac:dyDescent="0.25">
      <c r="A4773" t="str">
        <f>"20190312161108533"</f>
        <v>20190312161108533</v>
      </c>
      <c r="B4773" t="str">
        <f>"1552378268521478"</f>
        <v>1552378268521478</v>
      </c>
      <c r="C4773" t="s">
        <v>40</v>
      </c>
      <c r="D4773">
        <v>5.8827410000000002</v>
      </c>
      <c r="E4773">
        <v>0.40757110000000002</v>
      </c>
      <c r="F4773" t="s">
        <v>41</v>
      </c>
      <c r="G4773">
        <v>-420.15089999999998</v>
      </c>
      <c r="H4773" s="1">
        <v>-4.1626020000000002E-6</v>
      </c>
      <c r="I4773">
        <v>99.198629999999994</v>
      </c>
      <c r="J4773">
        <v>-421.27460000000002</v>
      </c>
      <c r="K4773">
        <v>1.1131040000000001</v>
      </c>
      <c r="L4773">
        <v>118.60939999999999</v>
      </c>
      <c r="M4773">
        <v>-0.19072919999999999</v>
      </c>
      <c r="N4773">
        <v>0</v>
      </c>
      <c r="O4773">
        <v>-0.98154439999999998</v>
      </c>
      <c r="P4773">
        <v>-0.18234790000000001</v>
      </c>
      <c r="Q4773">
        <v>-5.137483E-3</v>
      </c>
      <c r="R4773">
        <v>-0.98322089999999995</v>
      </c>
      <c r="S4773">
        <v>0.17080689999999901</v>
      </c>
      <c r="T4773">
        <v>-0.1749945</v>
      </c>
      <c r="U4773">
        <v>-3.0851139999999999</v>
      </c>
      <c r="V4773">
        <v>-8.6063029999999992E-3</v>
      </c>
      <c r="W4773">
        <v>8.70914699999999E-3</v>
      </c>
      <c r="X4773">
        <v>0.99992499999999995</v>
      </c>
      <c r="Y4773">
        <v>-0.24463389999999999</v>
      </c>
      <c r="Z4773">
        <v>5.4167609999999998E-2</v>
      </c>
      <c r="AA4773">
        <v>0.96810130000000005</v>
      </c>
      <c r="AB4773">
        <v>22</v>
      </c>
      <c r="AC4773">
        <v>1.1237000000000399</v>
      </c>
      <c r="AD4773">
        <v>-1.1131081626019901</v>
      </c>
      <c r="AE4773">
        <v>-19.4107699999999</v>
      </c>
      <c r="AF4773">
        <v>-4.7899270021620897</v>
      </c>
      <c r="AG4773">
        <v>-1.1131081626019901</v>
      </c>
      <c r="AH4773">
        <v>18.778482441226899</v>
      </c>
      <c r="AI4773">
        <v>93.287266259740306</v>
      </c>
      <c r="AJ4773">
        <v>104.309602617379</v>
      </c>
      <c r="AK4773">
        <v>19.4116926944345</v>
      </c>
      <c r="AL4773">
        <v>89.500996306297495</v>
      </c>
      <c r="AM4773">
        <v>90.493129648045198</v>
      </c>
      <c r="AN4773">
        <v>0.99999996165889704</v>
      </c>
    </row>
    <row r="4774" spans="1:40" x14ac:dyDescent="0.25">
      <c r="A4774" t="str">
        <f>"20190312161108555"</f>
        <v>20190312161108555</v>
      </c>
      <c r="B4774" t="str">
        <f>"1552378268551734"</f>
        <v>1552378268551734</v>
      </c>
      <c r="C4774" t="s">
        <v>40</v>
      </c>
      <c r="D4774">
        <v>5.8703019999999997</v>
      </c>
      <c r="E4774">
        <v>0.40817540000000002</v>
      </c>
      <c r="F4774" t="s">
        <v>41</v>
      </c>
      <c r="G4774">
        <v>-420.1266</v>
      </c>
      <c r="H4774" s="1">
        <v>-4.0726879999999997E-6</v>
      </c>
      <c r="I4774">
        <v>99.004099999999994</v>
      </c>
      <c r="J4774">
        <v>-421.31180000000001</v>
      </c>
      <c r="K4774">
        <v>1.113024</v>
      </c>
      <c r="L4774">
        <v>118.38979999999999</v>
      </c>
      <c r="M4774">
        <v>-0.1862386</v>
      </c>
      <c r="N4774">
        <v>0</v>
      </c>
      <c r="O4774">
        <v>-0.98240640000000001</v>
      </c>
      <c r="P4774">
        <v>-0.1786654</v>
      </c>
      <c r="Q4774">
        <v>-5.0531710000000004E-3</v>
      </c>
      <c r="R4774">
        <v>-0.98389720000000003</v>
      </c>
      <c r="S4774">
        <v>0.1805725</v>
      </c>
      <c r="T4774">
        <v>-0.17508319999999999</v>
      </c>
      <c r="U4774">
        <v>-3.083755</v>
      </c>
      <c r="V4774">
        <v>-7.7761840000000002E-3</v>
      </c>
      <c r="W4774">
        <v>8.7882989999999994E-3</v>
      </c>
      <c r="X4774">
        <v>0.99993120000000002</v>
      </c>
      <c r="Y4774">
        <v>-0.24327879999999999</v>
      </c>
      <c r="Z4774">
        <v>5.4296749999999998E-2</v>
      </c>
      <c r="AA4774">
        <v>0.9684355</v>
      </c>
      <c r="AB4774">
        <v>22</v>
      </c>
      <c r="AC4774">
        <v>1.1852</v>
      </c>
      <c r="AD4774">
        <v>-1.113028072688</v>
      </c>
      <c r="AE4774">
        <v>-19.3857</v>
      </c>
      <c r="AF4774">
        <v>-4.7595428914907796</v>
      </c>
      <c r="AG4774">
        <v>-1.113028072688</v>
      </c>
      <c r="AH4774">
        <v>18.764096154011799</v>
      </c>
      <c r="AI4774">
        <v>93.290661471654403</v>
      </c>
      <c r="AJ4774">
        <v>104.23298744050101</v>
      </c>
      <c r="AK4774">
        <v>19.3902909855301</v>
      </c>
      <c r="AL4774">
        <v>89.496461103505794</v>
      </c>
      <c r="AM4774">
        <v>90.445564197314695</v>
      </c>
      <c r="AN4774">
        <v>1.0000000539851699</v>
      </c>
    </row>
    <row r="4775" spans="1:40" x14ac:dyDescent="0.25">
      <c r="A4775" t="str">
        <f>"20190312161108578"</f>
        <v>20190312161108578</v>
      </c>
      <c r="B4775" t="str">
        <f>"1552378268571254"</f>
        <v>1552378268571254</v>
      </c>
      <c r="C4775" t="s">
        <v>40</v>
      </c>
      <c r="D4775">
        <v>5.8933359999999997</v>
      </c>
      <c r="E4775">
        <v>0.40847149999999999</v>
      </c>
      <c r="F4775" t="s">
        <v>41</v>
      </c>
      <c r="G4775">
        <v>-420.1053</v>
      </c>
      <c r="H4775" s="1">
        <v>-3.8734619999999996E-6</v>
      </c>
      <c r="I4775">
        <v>98.552959999999999</v>
      </c>
      <c r="J4775">
        <v>-421.34879999999998</v>
      </c>
      <c r="K4775">
        <v>1.1129420000000001</v>
      </c>
      <c r="L4775">
        <v>118.1658</v>
      </c>
      <c r="M4775">
        <v>-0.18176999999999999</v>
      </c>
      <c r="N4775">
        <v>0</v>
      </c>
      <c r="O4775">
        <v>-0.98324339999999999</v>
      </c>
      <c r="P4775">
        <v>-0.1746027</v>
      </c>
      <c r="Q4775">
        <v>-4.2092550000000003E-3</v>
      </c>
      <c r="R4775">
        <v>-0.98463029999999996</v>
      </c>
      <c r="S4775">
        <v>0.18746950000000001</v>
      </c>
      <c r="T4775">
        <v>-0.1729426</v>
      </c>
      <c r="U4775">
        <v>-3.0822600000000002</v>
      </c>
      <c r="V4775">
        <v>-7.3613069999999897E-3</v>
      </c>
      <c r="W4775">
        <v>9.6241590000000002E-3</v>
      </c>
      <c r="X4775">
        <v>0.9999266</v>
      </c>
      <c r="Y4775">
        <v>-0.24105699999999999</v>
      </c>
      <c r="Z4775">
        <v>5.3743159999999998E-2</v>
      </c>
      <c r="AA4775">
        <v>0.96902169999999999</v>
      </c>
      <c r="AB4775">
        <v>22</v>
      </c>
      <c r="AC4775">
        <v>1.2434999999999801</v>
      </c>
      <c r="AD4775">
        <v>-1.1129458734619999</v>
      </c>
      <c r="AE4775">
        <v>-19.612839999999998</v>
      </c>
      <c r="AF4775">
        <v>-4.7728415647438798</v>
      </c>
      <c r="AG4775">
        <v>-1.1129458734619999</v>
      </c>
      <c r="AH4775">
        <v>18.999061515400999</v>
      </c>
      <c r="AI4775">
        <v>93.251689412236203</v>
      </c>
      <c r="AJ4775">
        <v>104.101722354575</v>
      </c>
      <c r="AK4775">
        <v>19.620983756819999</v>
      </c>
      <c r="AL4775">
        <v>89.448567800177202</v>
      </c>
      <c r="AM4775">
        <v>90.421795163252199</v>
      </c>
      <c r="AN4775">
        <v>1.00000000933238</v>
      </c>
    </row>
    <row r="4776" spans="1:40" x14ac:dyDescent="0.25">
      <c r="A4776" t="str">
        <f>"20190312161108601"</f>
        <v>20190312161108601</v>
      </c>
      <c r="B4776" t="str">
        <f>"1552378268591750"</f>
        <v>1552378268591750</v>
      </c>
      <c r="C4776" t="s">
        <v>40</v>
      </c>
      <c r="D4776">
        <v>5.9082319999999999</v>
      </c>
      <c r="E4776">
        <v>0.40890460000000001</v>
      </c>
      <c r="F4776" t="s">
        <v>41</v>
      </c>
      <c r="G4776">
        <v>-420.03949999999998</v>
      </c>
      <c r="H4776" s="1">
        <v>-3.5224069999999999E-6</v>
      </c>
      <c r="I4776">
        <v>97.775440000000003</v>
      </c>
      <c r="J4776">
        <v>-421.3845</v>
      </c>
      <c r="K4776">
        <v>1.112859</v>
      </c>
      <c r="L4776">
        <v>117.9439</v>
      </c>
      <c r="M4776">
        <v>-0.17745939999999999</v>
      </c>
      <c r="N4776">
        <v>0</v>
      </c>
      <c r="O4776">
        <v>-0.98403039999999997</v>
      </c>
      <c r="P4776">
        <v>-0.17073350000000001</v>
      </c>
      <c r="Q4776">
        <v>-4.0303489999999999E-3</v>
      </c>
      <c r="R4776">
        <v>-0.98530899999999999</v>
      </c>
      <c r="S4776">
        <v>0.19784550000000001</v>
      </c>
      <c r="T4776">
        <v>-0.16817760000000001</v>
      </c>
      <c r="U4776">
        <v>-3.0811920000000002</v>
      </c>
      <c r="V4776">
        <v>-6.9069020000000004E-3</v>
      </c>
      <c r="W4776">
        <v>9.7948570000000006E-3</v>
      </c>
      <c r="X4776">
        <v>0.99992820000000004</v>
      </c>
      <c r="Y4776">
        <v>-0.24008009999999999</v>
      </c>
      <c r="Z4776">
        <v>5.2350269999999997E-2</v>
      </c>
      <c r="AA4776">
        <v>0.96934050000000005</v>
      </c>
      <c r="AB4776">
        <v>22</v>
      </c>
      <c r="AC4776">
        <v>1.34500000000002</v>
      </c>
      <c r="AD4776">
        <v>-1.1128625224069999</v>
      </c>
      <c r="AE4776">
        <v>-20.16846</v>
      </c>
      <c r="AF4776">
        <v>-4.88825808878312</v>
      </c>
      <c r="AG4776">
        <v>-1.1128625224069999</v>
      </c>
      <c r="AH4776">
        <v>19.550320388051599</v>
      </c>
      <c r="AI4776">
        <v>93.160831671489404</v>
      </c>
      <c r="AJ4776">
        <v>104.03811355011101</v>
      </c>
      <c r="AK4776">
        <v>20.182877827797501</v>
      </c>
      <c r="AL4776">
        <v>89.438787072938894</v>
      </c>
      <c r="AM4776">
        <v>90.395758455937795</v>
      </c>
      <c r="AN4776">
        <v>1.00000002483706</v>
      </c>
    </row>
    <row r="4777" spans="1:40" x14ac:dyDescent="0.25">
      <c r="A4777" t="str">
        <f>"20190312161108622"</f>
        <v>20190312161108622</v>
      </c>
      <c r="B4777" t="str">
        <f>"1552378268612247"</f>
        <v>1552378268612247</v>
      </c>
      <c r="C4777" t="s">
        <v>40</v>
      </c>
      <c r="D4777">
        <v>5.8875380000000002</v>
      </c>
      <c r="E4777">
        <v>0.40935090000000002</v>
      </c>
      <c r="F4777" t="s">
        <v>41</v>
      </c>
      <c r="G4777">
        <v>-419.99540000000002</v>
      </c>
      <c r="H4777" s="1">
        <v>-3.293711E-6</v>
      </c>
      <c r="I4777">
        <v>97.269679999999994</v>
      </c>
      <c r="J4777">
        <v>-421.41800000000001</v>
      </c>
      <c r="K4777">
        <v>1.1127739999999999</v>
      </c>
      <c r="L4777">
        <v>117.7313</v>
      </c>
      <c r="M4777">
        <v>-0.17344379999999901</v>
      </c>
      <c r="N4777">
        <v>0</v>
      </c>
      <c r="O4777">
        <v>-0.98474649999999997</v>
      </c>
      <c r="P4777">
        <v>-0.16691889999999901</v>
      </c>
      <c r="Q4777">
        <v>-4.4652709999999998E-3</v>
      </c>
      <c r="R4777">
        <v>-0.98596079999999997</v>
      </c>
      <c r="S4777">
        <v>0.2069397</v>
      </c>
      <c r="T4777">
        <v>-0.165787299999999</v>
      </c>
      <c r="U4777">
        <v>-3.0799099999999999</v>
      </c>
      <c r="V4777">
        <v>-6.6928459999999997E-3</v>
      </c>
      <c r="W4777">
        <v>9.3514210000000004E-3</v>
      </c>
      <c r="X4777">
        <v>0.99993390000000004</v>
      </c>
      <c r="Y4777">
        <v>-0.2389984</v>
      </c>
      <c r="Z4777">
        <v>5.1689600000000002E-2</v>
      </c>
      <c r="AA4777">
        <v>0.96964320000000004</v>
      </c>
      <c r="AB4777">
        <v>22</v>
      </c>
      <c r="AC4777">
        <v>1.4225999999999801</v>
      </c>
      <c r="AD4777">
        <v>-1.1127772937110001</v>
      </c>
      <c r="AE4777">
        <v>-20.46162</v>
      </c>
      <c r="AF4777">
        <v>-4.9357879455508504</v>
      </c>
      <c r="AG4777">
        <v>-1.1127772937110001</v>
      </c>
      <c r="AH4777">
        <v>19.8462597433697</v>
      </c>
      <c r="AI4777">
        <v>93.114527068885707</v>
      </c>
      <c r="AJ4777">
        <v>103.966181915159</v>
      </c>
      <c r="AK4777">
        <v>20.481071792026398</v>
      </c>
      <c r="AL4777">
        <v>89.464195247545604</v>
      </c>
      <c r="AM4777">
        <v>90.383491451143101</v>
      </c>
      <c r="AN4777">
        <v>1.00000002381575</v>
      </c>
    </row>
    <row r="4778" spans="1:40" x14ac:dyDescent="0.25">
      <c r="A4778" t="str">
        <f>"20190312161108645"</f>
        <v>20190312161108645</v>
      </c>
      <c r="B4778" t="str">
        <f>"1552378268641528"</f>
        <v>1552378268641528</v>
      </c>
      <c r="C4778" t="s">
        <v>40</v>
      </c>
      <c r="D4778">
        <v>5.8951570000000002</v>
      </c>
      <c r="E4778">
        <v>0.4101281</v>
      </c>
      <c r="F4778" t="s">
        <v>41</v>
      </c>
      <c r="G4778">
        <v>-419.97500000000002</v>
      </c>
      <c r="H4778" s="1">
        <v>-3.2003640000000002E-6</v>
      </c>
      <c r="I4778">
        <v>97.06474</v>
      </c>
      <c r="J4778">
        <v>-421.45100000000002</v>
      </c>
      <c r="K4778">
        <v>1.1126929999999999</v>
      </c>
      <c r="L4778">
        <v>117.5159</v>
      </c>
      <c r="M4778">
        <v>-0.1694909</v>
      </c>
      <c r="N4778">
        <v>0</v>
      </c>
      <c r="O4778">
        <v>-0.98543480000000006</v>
      </c>
      <c r="P4778">
        <v>-0.16310569999999999</v>
      </c>
      <c r="Q4778">
        <v>-4.8021219999999998E-3</v>
      </c>
      <c r="R4778">
        <v>-0.98659739999999996</v>
      </c>
      <c r="S4778">
        <v>0.2149353</v>
      </c>
      <c r="T4778">
        <v>-0.16575179999999901</v>
      </c>
      <c r="U4778">
        <v>-3.078354</v>
      </c>
      <c r="V4778">
        <v>-6.5421960000000001E-3</v>
      </c>
      <c r="W4778">
        <v>9.0047740000000001E-3</v>
      </c>
      <c r="X4778">
        <v>0.99993810000000005</v>
      </c>
      <c r="Y4778">
        <v>-0.2376412</v>
      </c>
      <c r="Z4778">
        <v>5.1764400000000002E-2</v>
      </c>
      <c r="AA4778">
        <v>0.96997270000000002</v>
      </c>
      <c r="AB4778">
        <v>22</v>
      </c>
      <c r="AC4778">
        <v>1.47599999999994</v>
      </c>
      <c r="AD4778">
        <v>-1.112696200364</v>
      </c>
      <c r="AE4778">
        <v>-20.451160000000002</v>
      </c>
      <c r="AF4778">
        <v>-4.9068077610017502</v>
      </c>
      <c r="AG4778">
        <v>-1.112696200364</v>
      </c>
      <c r="AH4778">
        <v>19.846573216125801</v>
      </c>
      <c r="AI4778">
        <v>93.115314704295102</v>
      </c>
      <c r="AJ4778">
        <v>103.887152352835</v>
      </c>
      <c r="AK4778">
        <v>20.474406552102401</v>
      </c>
      <c r="AL4778">
        <v>89.484057504803005</v>
      </c>
      <c r="AM4778">
        <v>90.374858074975904</v>
      </c>
      <c r="AN4778">
        <v>1.00000004505745</v>
      </c>
    </row>
    <row r="4779" spans="1:40" x14ac:dyDescent="0.25">
      <c r="A4779" t="str">
        <f>"20190312161108666"</f>
        <v>20190312161108666</v>
      </c>
      <c r="B4779" t="str">
        <f>"1552378268662022"</f>
        <v>1552378268662022</v>
      </c>
      <c r="C4779" t="s">
        <v>40</v>
      </c>
      <c r="D4779">
        <v>5.9033980000000001</v>
      </c>
      <c r="E4779">
        <v>0.41084860000000001</v>
      </c>
      <c r="F4779" t="s">
        <v>41</v>
      </c>
      <c r="G4779">
        <v>-419.98129999999998</v>
      </c>
      <c r="H4779" s="1">
        <v>-3.2082749999999998E-6</v>
      </c>
      <c r="I4779">
        <v>97.079250000000002</v>
      </c>
      <c r="J4779">
        <v>-421.48320000000001</v>
      </c>
      <c r="K4779">
        <v>1.112617</v>
      </c>
      <c r="L4779">
        <v>117.3021</v>
      </c>
      <c r="M4779">
        <v>-0.16568089999999999</v>
      </c>
      <c r="N4779">
        <v>0</v>
      </c>
      <c r="O4779">
        <v>-0.98608240000000003</v>
      </c>
      <c r="P4779">
        <v>-0.1592286</v>
      </c>
      <c r="Q4779">
        <v>-4.6473679999999998E-3</v>
      </c>
      <c r="R4779">
        <v>-0.98723099999999997</v>
      </c>
      <c r="S4779">
        <v>0.22125239999999999</v>
      </c>
      <c r="T4779">
        <v>-0.16750489999999901</v>
      </c>
      <c r="U4779">
        <v>-3.0765229999999999</v>
      </c>
      <c r="V4779">
        <v>-6.6041729999999996E-3</v>
      </c>
      <c r="W4779">
        <v>9.1487740000000001E-3</v>
      </c>
      <c r="X4779">
        <v>0.9999363</v>
      </c>
      <c r="Y4779">
        <v>-0.23590610000000001</v>
      </c>
      <c r="Z4779">
        <v>5.2401780000000002E-2</v>
      </c>
      <c r="AA4779">
        <v>0.9703619</v>
      </c>
      <c r="AB4779">
        <v>22</v>
      </c>
      <c r="AC4779">
        <v>1.50190000000003</v>
      </c>
      <c r="AD4779">
        <v>-1.1126202082750001</v>
      </c>
      <c r="AE4779">
        <v>-20.222849999999902</v>
      </c>
      <c r="AF4779">
        <v>-4.8174969806590502</v>
      </c>
      <c r="AG4779">
        <v>-1.1126202082750001</v>
      </c>
      <c r="AH4779">
        <v>19.635334890176001</v>
      </c>
      <c r="AI4779">
        <v>93.149926147569403</v>
      </c>
      <c r="AJ4779">
        <v>103.785127855783</v>
      </c>
      <c r="AK4779">
        <v>20.248273435922499</v>
      </c>
      <c r="AL4779">
        <v>89.475806528231502</v>
      </c>
      <c r="AM4779">
        <v>90.378409843033594</v>
      </c>
      <c r="AN4779">
        <v>0.99999995961220201</v>
      </c>
    </row>
    <row r="4780" spans="1:40" x14ac:dyDescent="0.25">
      <c r="A4780" t="str">
        <f>"20190312161108690"</f>
        <v>20190312161108690</v>
      </c>
      <c r="B4780" t="str">
        <f>"1552378268681542"</f>
        <v>1552378268681542</v>
      </c>
      <c r="C4780" t="s">
        <v>40</v>
      </c>
      <c r="D4780">
        <v>5.7247519999999996</v>
      </c>
      <c r="E4780">
        <v>0.41034920000000003</v>
      </c>
      <c r="F4780" t="s">
        <v>41</v>
      </c>
      <c r="G4780">
        <v>-419.96609999999998</v>
      </c>
      <c r="H4780" s="1">
        <v>-3.053611E-6</v>
      </c>
      <c r="I4780">
        <v>96.728179999999995</v>
      </c>
      <c r="J4780">
        <v>-421.51589999999999</v>
      </c>
      <c r="K4780">
        <v>1.112552</v>
      </c>
      <c r="L4780">
        <v>117.0792</v>
      </c>
      <c r="M4780">
        <v>-0.16180149999999999</v>
      </c>
      <c r="N4780">
        <v>0</v>
      </c>
      <c r="O4780">
        <v>-0.98672649999999995</v>
      </c>
      <c r="P4780">
        <v>-0.15592710000000001</v>
      </c>
      <c r="Q4780">
        <v>-5.5084720000000004E-3</v>
      </c>
      <c r="R4780">
        <v>-0.98775329999999995</v>
      </c>
      <c r="S4780">
        <v>0.2267151</v>
      </c>
      <c r="T4780">
        <v>-0.16627030000000001</v>
      </c>
      <c r="U4780">
        <v>-3.07457</v>
      </c>
      <c r="V4780">
        <v>-6.0077309999999997E-3</v>
      </c>
      <c r="W4780">
        <v>8.2814389999999998E-3</v>
      </c>
      <c r="X4780">
        <v>0.99994769999999999</v>
      </c>
      <c r="Y4780">
        <v>-0.2338442</v>
      </c>
      <c r="Z4780">
        <v>5.2111780000000003E-2</v>
      </c>
      <c r="AA4780">
        <v>0.97087650000000003</v>
      </c>
      <c r="AB4780">
        <v>22</v>
      </c>
      <c r="AC4780">
        <v>1.5498000000000001</v>
      </c>
      <c r="AD4780">
        <v>-1.112555053611</v>
      </c>
      <c r="AE4780">
        <v>-20.351019999999899</v>
      </c>
      <c r="AF4780">
        <v>-4.8082279694367296</v>
      </c>
      <c r="AG4780">
        <v>-1.112555053611</v>
      </c>
      <c r="AH4780">
        <v>19.7732716460565</v>
      </c>
      <c r="AI4780">
        <v>93.129382709113301</v>
      </c>
      <c r="AJ4780">
        <v>103.667239641823</v>
      </c>
      <c r="AK4780">
        <v>20.379870130649302</v>
      </c>
      <c r="AL4780">
        <v>89.525503091681202</v>
      </c>
      <c r="AM4780">
        <v>90.344231492450405</v>
      </c>
      <c r="AN4780">
        <v>1.0000000388994801</v>
      </c>
    </row>
    <row r="4781" spans="1:40" x14ac:dyDescent="0.25">
      <c r="A4781" t="str">
        <f>"20190312161108711"</f>
        <v>20190312161108711</v>
      </c>
      <c r="B4781" t="str">
        <f>"1552378268702038"</f>
        <v>1552378268702038</v>
      </c>
      <c r="C4781" t="s">
        <v>40</v>
      </c>
      <c r="D4781">
        <v>5.7395490000000002</v>
      </c>
      <c r="E4781">
        <v>0.40998679999999899</v>
      </c>
      <c r="F4781" t="s">
        <v>41</v>
      </c>
      <c r="G4781">
        <v>-419.8657</v>
      </c>
      <c r="H4781" s="1">
        <v>-2.7775300000000001E-6</v>
      </c>
      <c r="I4781">
        <v>96.05171</v>
      </c>
      <c r="J4781">
        <v>-421.54610000000002</v>
      </c>
      <c r="K4781">
        <v>1.1124989999999999</v>
      </c>
      <c r="L4781">
        <v>116.8677</v>
      </c>
      <c r="M4781">
        <v>-0.15820219999999999</v>
      </c>
      <c r="N4781">
        <v>0</v>
      </c>
      <c r="O4781">
        <v>-0.98731020000000003</v>
      </c>
      <c r="P4781">
        <v>-0.15301090000000001</v>
      </c>
      <c r="Q4781">
        <v>-6.0375050000000003E-3</v>
      </c>
      <c r="R4781">
        <v>-0.98820629999999998</v>
      </c>
      <c r="S4781">
        <v>0.24127199999999999</v>
      </c>
      <c r="T4781">
        <v>-0.1626639</v>
      </c>
      <c r="U4781">
        <v>-3.0743710000000002</v>
      </c>
      <c r="V4781">
        <v>-5.3087459999999996E-3</v>
      </c>
      <c r="W4781">
        <v>7.74692099999999E-3</v>
      </c>
      <c r="X4781">
        <v>0.99995590000000001</v>
      </c>
      <c r="Y4781">
        <v>-0.23487849999999999</v>
      </c>
      <c r="Z4781">
        <v>5.1018389999999997E-2</v>
      </c>
      <c r="AA4781">
        <v>0.97068489999999996</v>
      </c>
      <c r="AB4781">
        <v>22</v>
      </c>
      <c r="AC4781">
        <v>1.6804000000000101</v>
      </c>
      <c r="AD4781">
        <v>-1.1125017775299999</v>
      </c>
      <c r="AE4781">
        <v>-20.815989999999999</v>
      </c>
      <c r="AF4781">
        <v>-4.9386684695431402</v>
      </c>
      <c r="AG4781">
        <v>-1.1125017775299999</v>
      </c>
      <c r="AH4781">
        <v>20.2305193768108</v>
      </c>
      <c r="AI4781">
        <v>93.057974341134994</v>
      </c>
      <c r="AJ4781">
        <v>103.718710009125</v>
      </c>
      <c r="AK4781">
        <v>20.854304608703298</v>
      </c>
      <c r="AL4781">
        <v>89.556129682498394</v>
      </c>
      <c r="AM4781">
        <v>90.304179296969494</v>
      </c>
      <c r="AN4781">
        <v>0.99999999975694098</v>
      </c>
    </row>
    <row r="4782" spans="1:40" x14ac:dyDescent="0.25">
      <c r="A4782" t="str">
        <f>"20190312161108734"</f>
        <v>20190312161108734</v>
      </c>
      <c r="B4782" t="str">
        <f>"1552378268732294"</f>
        <v>1552378268732294</v>
      </c>
      <c r="C4782" t="s">
        <v>40</v>
      </c>
      <c r="D4782">
        <v>5.7368230000000002</v>
      </c>
      <c r="E4782">
        <v>0.40983199999999997</v>
      </c>
      <c r="F4782" t="s">
        <v>41</v>
      </c>
      <c r="G4782">
        <v>-419.78089999999997</v>
      </c>
      <c r="H4782" s="1">
        <v>-2.5317569999999999E-6</v>
      </c>
      <c r="I4782">
        <v>95.443740000000005</v>
      </c>
      <c r="J4782">
        <v>-421.57690000000002</v>
      </c>
      <c r="K4782">
        <v>1.1124459999999901</v>
      </c>
      <c r="L4782">
        <v>116.64790000000001</v>
      </c>
      <c r="M4782">
        <v>-0.1545424</v>
      </c>
      <c r="N4782">
        <v>0</v>
      </c>
      <c r="O4782">
        <v>-0.98788989999999999</v>
      </c>
      <c r="P4782">
        <v>-0.15026149999999999</v>
      </c>
      <c r="Q4782">
        <v>-5.8701519999999896E-3</v>
      </c>
      <c r="R4782">
        <v>-0.98862930000000004</v>
      </c>
      <c r="S4782">
        <v>0.25329590000000002</v>
      </c>
      <c r="T4782">
        <v>-0.1596282</v>
      </c>
      <c r="U4782">
        <v>-3.074036</v>
      </c>
      <c r="V4782">
        <v>-4.3846680000000004E-3</v>
      </c>
      <c r="W4782">
        <v>7.9099959999999903E-3</v>
      </c>
      <c r="X4782">
        <v>0.99995909999999999</v>
      </c>
      <c r="Y4782">
        <v>-0.2350611</v>
      </c>
      <c r="Z4782">
        <v>5.0110309999999998E-2</v>
      </c>
      <c r="AA4782">
        <v>0.970688</v>
      </c>
      <c r="AB4782">
        <v>22</v>
      </c>
      <c r="AC4782">
        <v>1.79600000000004</v>
      </c>
      <c r="AD4782">
        <v>-1.1124485317570001</v>
      </c>
      <c r="AE4782">
        <v>-21.204160000000002</v>
      </c>
      <c r="AF4782">
        <v>-5.0379047000448498</v>
      </c>
      <c r="AG4782">
        <v>-1.1124485317570001</v>
      </c>
      <c r="AH4782">
        <v>20.615444676483101</v>
      </c>
      <c r="AI4782">
        <v>93.000662331454805</v>
      </c>
      <c r="AJ4782">
        <v>103.73252789782801</v>
      </c>
      <c r="AK4782">
        <v>21.2512254872908</v>
      </c>
      <c r="AL4782">
        <v>89.546785885903404</v>
      </c>
      <c r="AM4782">
        <v>90.251231636280096</v>
      </c>
      <c r="AN4782">
        <v>0.99999999751150004</v>
      </c>
    </row>
    <row r="4783" spans="1:40" x14ac:dyDescent="0.25">
      <c r="A4783" t="str">
        <f>"20190312161108756"</f>
        <v>20190312161108756</v>
      </c>
      <c r="B4783" t="str">
        <f>"1552378268751814"</f>
        <v>1552378268751814</v>
      </c>
      <c r="C4783" t="s">
        <v>40</v>
      </c>
      <c r="D4783">
        <v>5.6273949999999999</v>
      </c>
      <c r="E4783">
        <v>0.40981220000000002</v>
      </c>
      <c r="F4783" t="s">
        <v>41</v>
      </c>
      <c r="G4783">
        <v>-419.72910000000002</v>
      </c>
      <c r="H4783" s="1">
        <v>-2.3756920000000002E-6</v>
      </c>
      <c r="I4783">
        <v>95.058570000000003</v>
      </c>
      <c r="J4783">
        <v>-421.60599999999999</v>
      </c>
      <c r="K4783">
        <v>1.1123940000000001</v>
      </c>
      <c r="L4783">
        <v>116.435</v>
      </c>
      <c r="M4783">
        <v>-0.1510744</v>
      </c>
      <c r="N4783">
        <v>0</v>
      </c>
      <c r="O4783">
        <v>-0.98842629999999998</v>
      </c>
      <c r="P4783">
        <v>-0.14803620000000001</v>
      </c>
      <c r="Q4783">
        <v>-5.936953E-3</v>
      </c>
      <c r="R4783">
        <v>-0.98896459999999997</v>
      </c>
      <c r="S4783">
        <v>0.2630615</v>
      </c>
      <c r="T4783">
        <v>-0.15837290000000001</v>
      </c>
      <c r="U4783">
        <v>-3.073547</v>
      </c>
      <c r="V4783">
        <v>-3.1244380000000002E-3</v>
      </c>
      <c r="W4783">
        <v>7.8413330000000007E-3</v>
      </c>
      <c r="X4783">
        <v>0.99996439999999998</v>
      </c>
      <c r="Y4783">
        <v>-0.23472699999999999</v>
      </c>
      <c r="Z4783">
        <v>4.9762019999999997E-2</v>
      </c>
      <c r="AA4783">
        <v>0.97078679999999995</v>
      </c>
      <c r="AB4783">
        <v>22</v>
      </c>
      <c r="AC4783">
        <v>1.87689999999997</v>
      </c>
      <c r="AD4783">
        <v>-1.1123963756919999</v>
      </c>
      <c r="AE4783">
        <v>-21.376429999999999</v>
      </c>
      <c r="AF4783">
        <v>-5.0714632413115703</v>
      </c>
      <c r="AG4783">
        <v>-1.1123963756919999</v>
      </c>
      <c r="AH4783">
        <v>20.7915815336668</v>
      </c>
      <c r="AI4783">
        <v>92.975460884938897</v>
      </c>
      <c r="AJ4783">
        <v>103.70786040802101</v>
      </c>
      <c r="AK4783">
        <v>21.430049644733501</v>
      </c>
      <c r="AL4783">
        <v>89.550720120360893</v>
      </c>
      <c r="AM4783">
        <v>90.179022901399094</v>
      </c>
      <c r="AN4783">
        <v>1.00000002494169</v>
      </c>
    </row>
    <row r="4784" spans="1:40" x14ac:dyDescent="0.25">
      <c r="A4784" t="str">
        <f>"20190312161108779"</f>
        <v>20190312161108779</v>
      </c>
      <c r="B4784" t="str">
        <f>"1552378268772310"</f>
        <v>1552378268772310</v>
      </c>
      <c r="C4784" t="s">
        <v>40</v>
      </c>
      <c r="D4784">
        <v>5.6596929999999999</v>
      </c>
      <c r="E4784">
        <v>0.40981000000000001</v>
      </c>
      <c r="F4784" t="s">
        <v>41</v>
      </c>
      <c r="G4784">
        <v>-419.67219999999998</v>
      </c>
      <c r="H4784" s="1">
        <v>-2.123365E-6</v>
      </c>
      <c r="I4784">
        <v>94.446849999999998</v>
      </c>
      <c r="J4784">
        <v>-421.63619999999997</v>
      </c>
      <c r="K4784">
        <v>1.112344</v>
      </c>
      <c r="L4784">
        <v>116.2093</v>
      </c>
      <c r="M4784">
        <v>-0.1474703</v>
      </c>
      <c r="N4784">
        <v>0</v>
      </c>
      <c r="O4784">
        <v>-0.98897049999999997</v>
      </c>
      <c r="P4784">
        <v>-0.14557139999999999</v>
      </c>
      <c r="Q4784">
        <v>-5.4181280000000004E-3</v>
      </c>
      <c r="R4784">
        <v>-0.98933300000000002</v>
      </c>
      <c r="S4784">
        <v>0.2702637</v>
      </c>
      <c r="T4784">
        <v>-0.15546499999999999</v>
      </c>
      <c r="U4784">
        <v>-3.0729980000000001</v>
      </c>
      <c r="V4784">
        <v>-1.9729069999999999E-3</v>
      </c>
      <c r="W4784">
        <v>8.3562989999999993E-3</v>
      </c>
      <c r="X4784">
        <v>0.99996320000000005</v>
      </c>
      <c r="Y4784">
        <v>-0.23346030000000001</v>
      </c>
      <c r="Z4784">
        <v>4.8903339999999997E-2</v>
      </c>
      <c r="AA4784">
        <v>0.97113579999999999</v>
      </c>
      <c r="AB4784">
        <v>22</v>
      </c>
      <c r="AC4784">
        <v>1.96399999999999</v>
      </c>
      <c r="AD4784">
        <v>-1.1123461233650001</v>
      </c>
      <c r="AE4784">
        <v>-21.762450000000001</v>
      </c>
      <c r="AF4784">
        <v>-5.1388252421766802</v>
      </c>
      <c r="AG4784">
        <v>-1.1123461233650001</v>
      </c>
      <c r="AH4784">
        <v>21.1799187790877</v>
      </c>
      <c r="AI4784">
        <v>92.921734231283594</v>
      </c>
      <c r="AJ4784">
        <v>103.637979666343</v>
      </c>
      <c r="AK4784">
        <v>21.822781634258899</v>
      </c>
      <c r="AL4784">
        <v>89.521213791822206</v>
      </c>
      <c r="AM4784">
        <v>90.113043257789997</v>
      </c>
      <c r="AN4784">
        <v>1.00000006072462</v>
      </c>
    </row>
    <row r="4785" spans="1:40" x14ac:dyDescent="0.25">
      <c r="A4785" t="str">
        <f>"20190312161108803"</f>
        <v>20190312161108803</v>
      </c>
      <c r="B4785" t="str">
        <f>"1552378268791831"</f>
        <v>1552378268791831</v>
      </c>
      <c r="C4785" t="s">
        <v>40</v>
      </c>
      <c r="D4785">
        <v>5.611828</v>
      </c>
      <c r="E4785">
        <v>0.40989249999999999</v>
      </c>
      <c r="F4785" t="s">
        <v>41</v>
      </c>
      <c r="G4785">
        <v>-419.59480000000002</v>
      </c>
      <c r="H4785" s="1">
        <v>-1.780634E-6</v>
      </c>
      <c r="I4785">
        <v>93.615949999999998</v>
      </c>
      <c r="J4785">
        <v>-421.66559999999998</v>
      </c>
      <c r="K4785">
        <v>1.1122939999999999</v>
      </c>
      <c r="L4785">
        <v>115.9833</v>
      </c>
      <c r="M4785">
        <v>-0.14393349999999999</v>
      </c>
      <c r="N4785">
        <v>0</v>
      </c>
      <c r="O4785">
        <v>-0.98949169999999997</v>
      </c>
      <c r="P4785">
        <v>-0.14203650000000001</v>
      </c>
      <c r="Q4785">
        <v>-4.9593959999999996E-3</v>
      </c>
      <c r="R4785">
        <v>-0.98984950000000005</v>
      </c>
      <c r="S4785">
        <v>0.2775879</v>
      </c>
      <c r="T4785">
        <v>-0.15126229999999999</v>
      </c>
      <c r="U4785">
        <v>-3.0723569999999998</v>
      </c>
      <c r="V4785">
        <v>-1.971469E-3</v>
      </c>
      <c r="W4785">
        <v>8.80641699999999E-3</v>
      </c>
      <c r="X4785">
        <v>0.9999593</v>
      </c>
      <c r="Y4785">
        <v>-0.23230410000000001</v>
      </c>
      <c r="Z4785">
        <v>4.7634599999999999E-2</v>
      </c>
      <c r="AA4785">
        <v>0.97147609999999995</v>
      </c>
      <c r="AB4785">
        <v>22</v>
      </c>
      <c r="AC4785">
        <v>2.0707999999999598</v>
      </c>
      <c r="AD4785">
        <v>-1.1122957806339999</v>
      </c>
      <c r="AE4785">
        <v>-22.367349999999998</v>
      </c>
      <c r="AF4785">
        <v>-5.2560617727621999</v>
      </c>
      <c r="AG4785">
        <v>-1.1122957806339999</v>
      </c>
      <c r="AH4785">
        <v>21.782907068767301</v>
      </c>
      <c r="AI4785">
        <v>92.841726772783801</v>
      </c>
      <c r="AJ4785">
        <v>103.565758300686</v>
      </c>
      <c r="AK4785">
        <v>22.4356508180453</v>
      </c>
      <c r="AL4785">
        <v>89.495422961641907</v>
      </c>
      <c r="AM4785">
        <v>90.112961304311597</v>
      </c>
      <c r="AN4785">
        <v>1.0000000206634401</v>
      </c>
    </row>
    <row r="4786" spans="1:40" x14ac:dyDescent="0.25">
      <c r="A4786" t="str">
        <f>"20190312161108825"</f>
        <v>20190312161108825</v>
      </c>
      <c r="B4786" t="str">
        <f>"1552378268822086"</f>
        <v>1552378268822086</v>
      </c>
      <c r="C4786" t="s">
        <v>40</v>
      </c>
      <c r="D4786">
        <v>5.5818750000000001</v>
      </c>
      <c r="E4786">
        <v>0.41026119999999999</v>
      </c>
      <c r="F4786" t="s">
        <v>41</v>
      </c>
      <c r="G4786">
        <v>-419.52730000000003</v>
      </c>
      <c r="H4786" s="1">
        <v>-1.6042729999999999E-6</v>
      </c>
      <c r="I4786">
        <v>93.176919999999996</v>
      </c>
      <c r="J4786">
        <v>-421.69159999999999</v>
      </c>
      <c r="K4786">
        <v>1.11225</v>
      </c>
      <c r="L4786">
        <v>115.7787</v>
      </c>
      <c r="M4786">
        <v>-0.1407996</v>
      </c>
      <c r="N4786">
        <v>0</v>
      </c>
      <c r="O4786">
        <v>-0.98994260000000001</v>
      </c>
      <c r="P4786">
        <v>-0.13882410000000001</v>
      </c>
      <c r="Q4786">
        <v>-4.4063740000000002E-3</v>
      </c>
      <c r="R4786">
        <v>-0.99030759999999995</v>
      </c>
      <c r="S4786">
        <v>0.28796389999999999</v>
      </c>
      <c r="T4786">
        <v>-0.14979289999999901</v>
      </c>
      <c r="U4786">
        <v>-3.0713349999999999</v>
      </c>
      <c r="V4786">
        <v>-2.051087E-3</v>
      </c>
      <c r="W4786">
        <v>9.3514199999999992E-3</v>
      </c>
      <c r="X4786">
        <v>0.99995420000000002</v>
      </c>
      <c r="Y4786">
        <v>-0.23250970000000001</v>
      </c>
      <c r="Z4786">
        <v>4.7212999999999998E-2</v>
      </c>
      <c r="AA4786">
        <v>0.97144750000000002</v>
      </c>
      <c r="AB4786">
        <v>22</v>
      </c>
      <c r="AC4786">
        <v>2.1642999999999599</v>
      </c>
      <c r="AD4786">
        <v>-1.112251604273</v>
      </c>
      <c r="AE4786">
        <v>-22.601780000000002</v>
      </c>
      <c r="AF4786">
        <v>-5.3126092862741698</v>
      </c>
      <c r="AG4786">
        <v>-1.112251604273</v>
      </c>
      <c r="AH4786">
        <v>22.018980598186602</v>
      </c>
      <c r="AI4786">
        <v>92.811209319808398</v>
      </c>
      <c r="AJ4786">
        <v>103.56473694129799</v>
      </c>
      <c r="AK4786">
        <v>22.6781045866522</v>
      </c>
      <c r="AL4786">
        <v>89.464195307651593</v>
      </c>
      <c r="AM4786">
        <v>90.117523846292897</v>
      </c>
      <c r="AN4786">
        <v>1.00000002905576</v>
      </c>
    </row>
    <row r="4787" spans="1:40" x14ac:dyDescent="0.25">
      <c r="A4787" t="str">
        <f>"20190312161108846"</f>
        <v>20190312161108846</v>
      </c>
      <c r="B4787" t="str">
        <f>"1552378268841607"</f>
        <v>1552378268841607</v>
      </c>
      <c r="C4787" t="s">
        <v>40</v>
      </c>
      <c r="D4787">
        <v>5.6712199999999999</v>
      </c>
      <c r="E4787">
        <v>0.42916070000000001</v>
      </c>
      <c r="F4787" t="s">
        <v>41</v>
      </c>
      <c r="G4787">
        <v>-419.44929999999999</v>
      </c>
      <c r="H4787" s="1">
        <v>-1.3088829999999901E-6</v>
      </c>
      <c r="I4787">
        <v>92.456109999999995</v>
      </c>
      <c r="J4787">
        <v>-421.71780000000001</v>
      </c>
      <c r="K4787">
        <v>1.1122050000000001</v>
      </c>
      <c r="L4787">
        <v>115.56699999999999</v>
      </c>
      <c r="M4787">
        <v>-0.13762629999999901</v>
      </c>
      <c r="N4787">
        <v>0</v>
      </c>
      <c r="O4787">
        <v>-0.99038890000000002</v>
      </c>
      <c r="P4787">
        <v>-0.135853799999999</v>
      </c>
      <c r="Q4787">
        <v>-4.8363729999999997E-3</v>
      </c>
      <c r="R4787">
        <v>-0.99071750000000003</v>
      </c>
      <c r="S4787">
        <v>0.29516599999999998</v>
      </c>
      <c r="T4787">
        <v>-0.14641270000000001</v>
      </c>
      <c r="U4787">
        <v>-3.0700989999999999</v>
      </c>
      <c r="V4787">
        <v>-1.8417730000000001E-3</v>
      </c>
      <c r="W4787">
        <v>8.9151330000000004E-3</v>
      </c>
      <c r="X4787">
        <v>0.99995860000000003</v>
      </c>
      <c r="Y4787">
        <v>-0.23169239999999999</v>
      </c>
      <c r="Z4787">
        <v>4.6199900000000002E-2</v>
      </c>
      <c r="AA4787">
        <v>0.97169139999999998</v>
      </c>
      <c r="AB4787">
        <v>22</v>
      </c>
      <c r="AC4787">
        <v>2.2685000000000102</v>
      </c>
      <c r="AD4787">
        <v>-1.1122063088830001</v>
      </c>
      <c r="AE4787">
        <v>-23.110890000000001</v>
      </c>
      <c r="AF4787">
        <v>-5.4154535249055904</v>
      </c>
      <c r="AG4787">
        <v>-1.1122063088830001</v>
      </c>
      <c r="AH4787">
        <v>22.5270209505696</v>
      </c>
      <c r="AI4787">
        <v>92.748343233205006</v>
      </c>
      <c r="AJ4787">
        <v>103.517299689344</v>
      </c>
      <c r="AK4787">
        <v>23.1954912140556</v>
      </c>
      <c r="AL4787">
        <v>89.489193757460697</v>
      </c>
      <c r="AM4787">
        <v>90.105530069337306</v>
      </c>
      <c r="AN4787">
        <v>1.00000003671907</v>
      </c>
    </row>
    <row r="4788" spans="1:40" x14ac:dyDescent="0.25">
      <c r="A4788" t="str">
        <f>"20190312161108868"</f>
        <v>20190312161108868</v>
      </c>
      <c r="B4788" t="str">
        <f>"1552378268862102"</f>
        <v>1552378268862102</v>
      </c>
      <c r="C4788" t="s">
        <v>40</v>
      </c>
      <c r="D4788">
        <v>5.6085699999999896</v>
      </c>
      <c r="E4788">
        <v>0.43100430000000001</v>
      </c>
      <c r="F4788" t="s">
        <v>41</v>
      </c>
      <c r="G4788">
        <v>-420.81700000000001</v>
      </c>
      <c r="H4788" s="1">
        <v>-3.810303E-6</v>
      </c>
      <c r="I4788">
        <v>97.964259999999996</v>
      </c>
      <c r="J4788">
        <v>-421.74419999999998</v>
      </c>
      <c r="K4788">
        <v>1.1121650000000001</v>
      </c>
      <c r="L4788">
        <v>115.34910000000001</v>
      </c>
      <c r="M4788">
        <v>-0.1344177</v>
      </c>
      <c r="N4788">
        <v>0</v>
      </c>
      <c r="O4788">
        <v>-0.99082950000000003</v>
      </c>
      <c r="P4788">
        <v>-0.13296559999999999</v>
      </c>
      <c r="Q4788">
        <v>-4.556722E-3</v>
      </c>
      <c r="R4788">
        <v>-0.9911103</v>
      </c>
      <c r="S4788">
        <v>0.1560059</v>
      </c>
      <c r="T4788">
        <v>-0.1926206</v>
      </c>
      <c r="U4788">
        <v>-3.0485690000000001</v>
      </c>
      <c r="V4788">
        <v>-1.51801E-3</v>
      </c>
      <c r="W4788">
        <v>9.1883469999999995E-3</v>
      </c>
      <c r="X4788">
        <v>0.99995659999999997</v>
      </c>
      <c r="Y4788">
        <v>-0.18479719999999999</v>
      </c>
      <c r="Z4788">
        <v>6.1615830000000003E-2</v>
      </c>
      <c r="AA4788">
        <v>0.98084320000000003</v>
      </c>
      <c r="AB4788">
        <v>22</v>
      </c>
      <c r="AC4788">
        <v>0.927200000000027</v>
      </c>
      <c r="AD4788">
        <v>-1.1121688103030001</v>
      </c>
      <c r="AE4788">
        <v>-17.384840000000001</v>
      </c>
      <c r="AF4788">
        <v>-3.2426016069060202</v>
      </c>
      <c r="AG4788">
        <v>-1.1121688103030001</v>
      </c>
      <c r="AH4788">
        <v>17.0328834662693</v>
      </c>
      <c r="AI4788">
        <v>93.670118094701195</v>
      </c>
      <c r="AJ4788">
        <v>100.77859394573601</v>
      </c>
      <c r="AK4788">
        <v>17.374420963566902</v>
      </c>
      <c r="AL4788">
        <v>89.473539070303005</v>
      </c>
      <c r="AM4788">
        <v>90.086979274345893</v>
      </c>
      <c r="AN4788">
        <v>0.999999965979255</v>
      </c>
    </row>
    <row r="4789" spans="1:40" x14ac:dyDescent="0.25">
      <c r="A4789" t="str">
        <f>"20190312161108891"</f>
        <v>20190312161108891</v>
      </c>
      <c r="B4789" t="str">
        <f>"1552378268881622"</f>
        <v>1552378268881622</v>
      </c>
      <c r="C4789" t="s">
        <v>40</v>
      </c>
      <c r="D4789">
        <v>5.576676</v>
      </c>
      <c r="E4789">
        <v>0.43189430000000001</v>
      </c>
      <c r="F4789" t="s">
        <v>41</v>
      </c>
      <c r="G4789">
        <v>-420.80119999999999</v>
      </c>
      <c r="H4789" s="1">
        <v>-3.0646179999999999E-6</v>
      </c>
      <c r="I4789">
        <v>96.235879999999995</v>
      </c>
      <c r="J4789">
        <v>-421.77019999999999</v>
      </c>
      <c r="K4789">
        <v>1.112139</v>
      </c>
      <c r="L4789">
        <v>115.1293</v>
      </c>
      <c r="M4789">
        <v>-0.13123299999999999</v>
      </c>
      <c r="N4789">
        <v>0</v>
      </c>
      <c r="O4789">
        <v>-0.99125629999999998</v>
      </c>
      <c r="P4789">
        <v>-0.1301764</v>
      </c>
      <c r="Q4789">
        <v>-3.8540290000000001E-3</v>
      </c>
      <c r="R4789">
        <v>-0.99148329999999996</v>
      </c>
      <c r="S4789">
        <v>0.15029909999999999</v>
      </c>
      <c r="T4789">
        <v>-0.17725669999999999</v>
      </c>
      <c r="U4789">
        <v>-3.046249</v>
      </c>
      <c r="V4789">
        <v>-1.1208139999999999E-3</v>
      </c>
      <c r="W4789">
        <v>9.8859289999999999E-3</v>
      </c>
      <c r="X4789">
        <v>0.99995049999999996</v>
      </c>
      <c r="Y4789">
        <v>-0.17985670000000001</v>
      </c>
      <c r="Z4789">
        <v>5.6827889999999999E-2</v>
      </c>
      <c r="AA4789">
        <v>0.98204999999999998</v>
      </c>
      <c r="AB4789">
        <v>22</v>
      </c>
      <c r="AC4789">
        <v>0.96899999999999398</v>
      </c>
      <c r="AD4789">
        <v>-1.112142064618</v>
      </c>
      <c r="AE4789">
        <v>-18.8934199999999</v>
      </c>
      <c r="AF4789">
        <v>-3.4284441149234302</v>
      </c>
      <c r="AG4789">
        <v>-1.112142064618</v>
      </c>
      <c r="AH4789">
        <v>18.538745798574499</v>
      </c>
      <c r="AI4789">
        <v>93.375959023488704</v>
      </c>
      <c r="AJ4789">
        <v>100.477560820905</v>
      </c>
      <c r="AK4789">
        <v>18.885872624933398</v>
      </c>
      <c r="AL4789">
        <v>89.433568762350603</v>
      </c>
      <c r="AM4789">
        <v>90.064221063868501</v>
      </c>
      <c r="AN4789">
        <v>0.99999999513323201</v>
      </c>
    </row>
    <row r="4790" spans="1:40" x14ac:dyDescent="0.25">
      <c r="A4790" t="str">
        <f>"20190312161108912"</f>
        <v>20190312161108912</v>
      </c>
      <c r="B4790" t="str">
        <f>"1552378268902119"</f>
        <v>1552378268902119</v>
      </c>
      <c r="C4790" t="s">
        <v>40</v>
      </c>
      <c r="D4790">
        <v>5.5688360000000001</v>
      </c>
      <c r="E4790">
        <v>0.43255949999999999</v>
      </c>
      <c r="F4790" t="s">
        <v>41</v>
      </c>
      <c r="G4790">
        <v>-420.81400000000002</v>
      </c>
      <c r="H4790" s="1">
        <v>-2.9264489999999999E-6</v>
      </c>
      <c r="I4790">
        <v>95.905850000000001</v>
      </c>
      <c r="J4790">
        <v>-421.79430000000002</v>
      </c>
      <c r="K4790">
        <v>1.112114</v>
      </c>
      <c r="L4790">
        <v>114.9205</v>
      </c>
      <c r="M4790">
        <v>-0.12825049999999999</v>
      </c>
      <c r="N4790">
        <v>0</v>
      </c>
      <c r="O4790">
        <v>-0.99164680000000005</v>
      </c>
      <c r="P4790">
        <v>-0.12806869999999901</v>
      </c>
      <c r="Q4790">
        <v>-3.5635660000000002E-3</v>
      </c>
      <c r="R4790">
        <v>-0.9917591</v>
      </c>
      <c r="S4790">
        <v>0.1514587</v>
      </c>
      <c r="T4790">
        <v>-0.17616129999999999</v>
      </c>
      <c r="U4790">
        <v>-3.0449679999999999</v>
      </c>
      <c r="V4790">
        <v>-2.3870820000000001E-4</v>
      </c>
      <c r="W4790">
        <v>1.01744E-2</v>
      </c>
      <c r="X4790">
        <v>0.99994819999999995</v>
      </c>
      <c r="Y4790">
        <v>-0.17729120000000001</v>
      </c>
      <c r="Z4790">
        <v>5.6548260000000003E-2</v>
      </c>
      <c r="AA4790">
        <v>0.98253250000000003</v>
      </c>
      <c r="AB4790">
        <v>22</v>
      </c>
      <c r="AC4790">
        <v>0.98029999999999895</v>
      </c>
      <c r="AD4790">
        <v>-1.1121169264489901</v>
      </c>
      <c r="AE4790">
        <v>-19.01465</v>
      </c>
      <c r="AF4790">
        <v>-3.3994731240247398</v>
      </c>
      <c r="AG4790">
        <v>-1.1121169264489901</v>
      </c>
      <c r="AH4790">
        <v>18.668167520315802</v>
      </c>
      <c r="AI4790">
        <v>93.354215677840898</v>
      </c>
      <c r="AJ4790">
        <v>100.320475442854</v>
      </c>
      <c r="AK4790">
        <v>19.007727379822001</v>
      </c>
      <c r="AL4790">
        <v>89.417039756384298</v>
      </c>
      <c r="AM4790">
        <v>90.013677680639205</v>
      </c>
      <c r="AN4790">
        <v>0.99999998904010201</v>
      </c>
    </row>
    <row r="4791" spans="1:40" x14ac:dyDescent="0.25">
      <c r="A4791" t="str">
        <f>"20190312161108935"</f>
        <v>20190312161108935</v>
      </c>
      <c r="B4791" t="str">
        <f>"1552378268931398"</f>
        <v>1552378268931398</v>
      </c>
      <c r="C4791" t="s">
        <v>40</v>
      </c>
      <c r="D4791">
        <v>5.5485980000000001</v>
      </c>
      <c r="E4791">
        <v>0.43369380000000002</v>
      </c>
      <c r="F4791" t="s">
        <v>41</v>
      </c>
      <c r="G4791">
        <v>-420.79199999999997</v>
      </c>
      <c r="H4791" s="1">
        <v>-2.5372290000000002E-6</v>
      </c>
      <c r="I4791">
        <v>95.012249999999995</v>
      </c>
      <c r="J4791">
        <v>-421.81849999999997</v>
      </c>
      <c r="K4791">
        <v>1.1120810000000001</v>
      </c>
      <c r="L4791">
        <v>114.7055</v>
      </c>
      <c r="M4791">
        <v>-0.1252199</v>
      </c>
      <c r="N4791">
        <v>0</v>
      </c>
      <c r="O4791">
        <v>-0.99203410000000003</v>
      </c>
      <c r="P4791">
        <v>-0.12570439999999999</v>
      </c>
      <c r="Q4791">
        <v>-3.5922319999999999E-3</v>
      </c>
      <c r="R4791">
        <v>-0.99206159999999999</v>
      </c>
      <c r="S4791">
        <v>0.15325929999999999</v>
      </c>
      <c r="T4791">
        <v>-0.17004939999999999</v>
      </c>
      <c r="U4791">
        <v>-3.044098</v>
      </c>
      <c r="V4791">
        <v>4.338341E-4</v>
      </c>
      <c r="W4791">
        <v>1.0142460000000001E-2</v>
      </c>
      <c r="X4791">
        <v>0.99994839999999996</v>
      </c>
      <c r="Y4791">
        <v>-0.17488290000000001</v>
      </c>
      <c r="Z4791">
        <v>5.4651659999999998E-2</v>
      </c>
      <c r="AA4791">
        <v>0.98307129999999998</v>
      </c>
      <c r="AB4791">
        <v>22</v>
      </c>
      <c r="AC4791">
        <v>1.02649999999999</v>
      </c>
      <c r="AD4791">
        <v>-1.1120835372290001</v>
      </c>
      <c r="AE4791">
        <v>-19.693249999999999</v>
      </c>
      <c r="AF4791">
        <v>-3.4735910317707899</v>
      </c>
      <c r="AG4791">
        <v>-1.1120835372290001</v>
      </c>
      <c r="AH4791">
        <v>19.3481330643273</v>
      </c>
      <c r="AI4791">
        <v>93.237947211183695</v>
      </c>
      <c r="AJ4791">
        <v>100.177947080701</v>
      </c>
      <c r="AK4791">
        <v>19.688900871422199</v>
      </c>
      <c r="AL4791">
        <v>89.418869843829199</v>
      </c>
      <c r="AM4791">
        <v>89.975141855940507</v>
      </c>
      <c r="AN4791">
        <v>0.999999930184716</v>
      </c>
    </row>
    <row r="4792" spans="1:40" x14ac:dyDescent="0.25">
      <c r="A4792" t="str">
        <f>"20190312161108958"</f>
        <v>20190312161108958</v>
      </c>
      <c r="B4792" t="str">
        <f>"1552378268951894"</f>
        <v>1552378268951894</v>
      </c>
      <c r="C4792" t="s">
        <v>40</v>
      </c>
      <c r="D4792">
        <v>5.5482550000000002</v>
      </c>
      <c r="E4792">
        <v>0.43442829999999899</v>
      </c>
      <c r="F4792" t="s">
        <v>41</v>
      </c>
      <c r="G4792">
        <v>-420.82859999999999</v>
      </c>
      <c r="H4792" s="1">
        <v>-2.4463359999999999E-6</v>
      </c>
      <c r="I4792">
        <v>94.777640000000005</v>
      </c>
      <c r="J4792">
        <v>-421.8426</v>
      </c>
      <c r="K4792">
        <v>1.112055</v>
      </c>
      <c r="L4792">
        <v>114.48480000000001</v>
      </c>
      <c r="M4792">
        <v>-0.12214559999999999</v>
      </c>
      <c r="N4792">
        <v>0</v>
      </c>
      <c r="O4792">
        <v>-0.99241729999999995</v>
      </c>
      <c r="P4792">
        <v>-0.122812</v>
      </c>
      <c r="Q4792">
        <v>-3.8943990000000002E-3</v>
      </c>
      <c r="R4792">
        <v>-0.99242240000000004</v>
      </c>
      <c r="S4792">
        <v>0.15112300000000001</v>
      </c>
      <c r="T4792">
        <v>-0.16978940000000001</v>
      </c>
      <c r="U4792">
        <v>-3.0425260000000001</v>
      </c>
      <c r="V4792">
        <v>6.1926859999999995E-4</v>
      </c>
      <c r="W4792">
        <v>9.834911E-3</v>
      </c>
      <c r="X4792">
        <v>0.99995140000000005</v>
      </c>
      <c r="Y4792">
        <v>-0.17116819999999999</v>
      </c>
      <c r="Z4792">
        <v>5.4647609999999999E-2</v>
      </c>
      <c r="AA4792">
        <v>0.98372510000000002</v>
      </c>
      <c r="AB4792">
        <v>22</v>
      </c>
      <c r="AC4792">
        <v>1.01400000000001</v>
      </c>
      <c r="AD4792">
        <v>-1.112057446336</v>
      </c>
      <c r="AE4792">
        <v>-19.707159999999998</v>
      </c>
      <c r="AF4792">
        <v>-3.4029682706851299</v>
      </c>
      <c r="AG4792">
        <v>-1.112057446336</v>
      </c>
      <c r="AH4792">
        <v>19.3741721730999</v>
      </c>
      <c r="AI4792">
        <v>93.235688559747004</v>
      </c>
      <c r="AJ4792">
        <v>99.962075686646003</v>
      </c>
      <c r="AK4792">
        <v>19.702167703279699</v>
      </c>
      <c r="AL4792">
        <v>89.436491998317507</v>
      </c>
      <c r="AM4792">
        <v>89.964516802887701</v>
      </c>
      <c r="AN4792">
        <v>0.99999995566496702</v>
      </c>
    </row>
    <row r="4793" spans="1:40" x14ac:dyDescent="0.25">
      <c r="A4793" t="str">
        <f>"20190312161108981"</f>
        <v>20190312161108981</v>
      </c>
      <c r="B4793" t="str">
        <f>"1552378268971414"</f>
        <v>1552378268971414</v>
      </c>
      <c r="C4793" t="s">
        <v>40</v>
      </c>
      <c r="D4793">
        <v>5.6118360000000003</v>
      </c>
      <c r="E4793">
        <v>0.43518810000000002</v>
      </c>
      <c r="F4793" t="s">
        <v>41</v>
      </c>
      <c r="G4793">
        <v>-420.87709999999998</v>
      </c>
      <c r="H4793" s="1">
        <v>-2.741762E-6</v>
      </c>
      <c r="I4793">
        <v>95.436199999999999</v>
      </c>
      <c r="J4793">
        <v>-421.86579999999998</v>
      </c>
      <c r="K4793">
        <v>1.1120239999999999</v>
      </c>
      <c r="L4793">
        <v>114.2675</v>
      </c>
      <c r="M4793">
        <v>-0.11915050000000001</v>
      </c>
      <c r="N4793">
        <v>0</v>
      </c>
      <c r="O4793">
        <v>-0.99278149999999998</v>
      </c>
      <c r="P4793">
        <v>-0.1195991</v>
      </c>
      <c r="Q4793">
        <v>-3.843403E-3</v>
      </c>
      <c r="R4793">
        <v>-0.9928148</v>
      </c>
      <c r="S4793">
        <v>0.15414430000000001</v>
      </c>
      <c r="T4793">
        <v>-0.1775506</v>
      </c>
      <c r="U4793">
        <v>-3.04129</v>
      </c>
      <c r="V4793">
        <v>4.0043650000000001E-4</v>
      </c>
      <c r="W4793">
        <v>9.8792540000000005E-3</v>
      </c>
      <c r="X4793">
        <v>0.99995109999999998</v>
      </c>
      <c r="Y4793">
        <v>-0.1691822</v>
      </c>
      <c r="Z4793">
        <v>5.7200819999999999E-2</v>
      </c>
      <c r="AA4793">
        <v>0.98392349999999995</v>
      </c>
      <c r="AB4793">
        <v>22</v>
      </c>
      <c r="AC4793">
        <v>0.98869999999999403</v>
      </c>
      <c r="AD4793">
        <v>-1.112026741762</v>
      </c>
      <c r="AE4793">
        <v>-18.831299999999999</v>
      </c>
      <c r="AF4793">
        <v>-3.2144467619003798</v>
      </c>
      <c r="AG4793">
        <v>-1.112026741762</v>
      </c>
      <c r="AH4793">
        <v>18.5149224671841</v>
      </c>
      <c r="AI4793">
        <v>93.386579696810301</v>
      </c>
      <c r="AJ4793">
        <v>99.849166215228394</v>
      </c>
      <c r="AK4793">
        <v>18.8247609659545</v>
      </c>
      <c r="AL4793">
        <v>89.433951222471094</v>
      </c>
      <c r="AM4793">
        <v>89.977055557830198</v>
      </c>
      <c r="AN4793">
        <v>0.99999998120009803</v>
      </c>
    </row>
    <row r="4794" spans="1:40" x14ac:dyDescent="0.25">
      <c r="A4794" t="str">
        <f>"20190312161109006"</f>
        <v>20190312161109006</v>
      </c>
      <c r="B4794" t="str">
        <f>"1552378269001671"</f>
        <v>1552378269001671</v>
      </c>
      <c r="C4794" t="s">
        <v>40</v>
      </c>
      <c r="D4794">
        <v>5.6552449999999999</v>
      </c>
      <c r="E4794">
        <v>0.43555389999999999</v>
      </c>
      <c r="F4794" t="s">
        <v>41</v>
      </c>
      <c r="G4794">
        <v>-420.8852</v>
      </c>
      <c r="H4794" s="1">
        <v>-2.7293010000000001E-6</v>
      </c>
      <c r="I4794">
        <v>95.402180000000001</v>
      </c>
      <c r="J4794">
        <v>-421.89010000000002</v>
      </c>
      <c r="K4794">
        <v>1.111993</v>
      </c>
      <c r="L4794">
        <v>114.0322</v>
      </c>
      <c r="M4794">
        <v>-0.1159428</v>
      </c>
      <c r="N4794">
        <v>0</v>
      </c>
      <c r="O4794">
        <v>-0.99316159999999998</v>
      </c>
      <c r="P4794">
        <v>-0.116614</v>
      </c>
      <c r="Q4794">
        <v>-3.596339E-3</v>
      </c>
      <c r="R4794">
        <v>-0.99317109999999997</v>
      </c>
      <c r="S4794">
        <v>0.15801999999999999</v>
      </c>
      <c r="T4794">
        <v>-0.179199</v>
      </c>
      <c r="U4794">
        <v>-3.0400700000000001</v>
      </c>
      <c r="V4794">
        <v>6.241784E-4</v>
      </c>
      <c r="W4794">
        <v>1.0121E-2</v>
      </c>
      <c r="X4794">
        <v>0.99994859999999997</v>
      </c>
      <c r="Y4794">
        <v>-0.16726740000000001</v>
      </c>
      <c r="Z4794">
        <v>5.7794369999999998E-2</v>
      </c>
      <c r="AA4794">
        <v>0.98421619999999999</v>
      </c>
      <c r="AB4794">
        <v>22</v>
      </c>
      <c r="AC4794">
        <v>1.0049000000000201</v>
      </c>
      <c r="AD4794">
        <v>-1.1119957293009901</v>
      </c>
      <c r="AE4794">
        <v>-18.630019999999998</v>
      </c>
      <c r="AF4794">
        <v>-3.1471607021391099</v>
      </c>
      <c r="AG4794">
        <v>-1.1119957293009901</v>
      </c>
      <c r="AH4794">
        <v>18.322742574576999</v>
      </c>
      <c r="AI4794">
        <v>93.422980932265304</v>
      </c>
      <c r="AJ4794">
        <v>99.746165915617894</v>
      </c>
      <c r="AK4794">
        <v>18.624286575364099</v>
      </c>
      <c r="AL4794">
        <v>89.420099522738994</v>
      </c>
      <c r="AM4794">
        <v>89.964235378360002</v>
      </c>
      <c r="AN4794">
        <v>1.00000001344081</v>
      </c>
    </row>
    <row r="4795" spans="1:40" x14ac:dyDescent="0.25">
      <c r="A4795" t="str">
        <f>"20190312161109027"</f>
        <v>20190312161109027</v>
      </c>
      <c r="B4795" t="str">
        <f>"1552378269022167"</f>
        <v>1552378269022167</v>
      </c>
      <c r="C4795" t="s">
        <v>40</v>
      </c>
      <c r="D4795">
        <v>5.5580660000000002</v>
      </c>
      <c r="E4795">
        <v>0.4363283</v>
      </c>
      <c r="F4795" t="s">
        <v>41</v>
      </c>
      <c r="G4795">
        <v>-420.88369999999998</v>
      </c>
      <c r="H4795" s="1">
        <v>-2.7230910000000002E-6</v>
      </c>
      <c r="I4795">
        <v>95.388580000000005</v>
      </c>
      <c r="J4795">
        <v>-421.90949999999998</v>
      </c>
      <c r="K4795">
        <v>1.111985</v>
      </c>
      <c r="L4795">
        <v>113.83929999999999</v>
      </c>
      <c r="M4795">
        <v>-0.113343899999999</v>
      </c>
      <c r="N4795">
        <v>0</v>
      </c>
      <c r="O4795">
        <v>-0.99346109999999999</v>
      </c>
      <c r="P4795">
        <v>-0.1143474</v>
      </c>
      <c r="Q4795">
        <v>-3.358031E-3</v>
      </c>
      <c r="R4795">
        <v>-0.99343499999999996</v>
      </c>
      <c r="S4795">
        <v>0.1640625</v>
      </c>
      <c r="T4795">
        <v>-0.18127579999999999</v>
      </c>
      <c r="U4795">
        <v>-3.0392459999999999</v>
      </c>
      <c r="V4795">
        <v>9.5816520000000004E-4</v>
      </c>
      <c r="W4795">
        <v>1.0356539999999999E-2</v>
      </c>
      <c r="X4795">
        <v>0.99994590000000005</v>
      </c>
      <c r="Y4795">
        <v>-0.16665079999999999</v>
      </c>
      <c r="Z4795">
        <v>5.8504420000000001E-2</v>
      </c>
      <c r="AA4795">
        <v>0.98427880000000001</v>
      </c>
      <c r="AB4795">
        <v>22</v>
      </c>
      <c r="AC4795">
        <v>1.0258</v>
      </c>
      <c r="AD4795">
        <v>-1.111987723091</v>
      </c>
      <c r="AE4795">
        <v>-18.450719999999901</v>
      </c>
      <c r="AF4795">
        <v>-3.0994385079962399</v>
      </c>
      <c r="AG4795">
        <v>-1.111987723091</v>
      </c>
      <c r="AH4795">
        <v>18.1497975074262</v>
      </c>
      <c r="AI4795">
        <v>93.456063607732005</v>
      </c>
      <c r="AJ4795">
        <v>99.6909110139121</v>
      </c>
      <c r="AK4795">
        <v>18.446088618504799</v>
      </c>
      <c r="AL4795">
        <v>89.406603353318602</v>
      </c>
      <c r="AM4795">
        <v>89.945098224579894</v>
      </c>
      <c r="AN4795">
        <v>0.99999998946406599</v>
      </c>
    </row>
    <row r="4796" spans="1:40" x14ac:dyDescent="0.25">
      <c r="A4796" t="str">
        <f>"20190312161109048"</f>
        <v>20190312161109048</v>
      </c>
      <c r="B4796" t="str">
        <f>"1552378269041687"</f>
        <v>1552378269041687</v>
      </c>
      <c r="C4796" t="s">
        <v>40</v>
      </c>
      <c r="D4796">
        <v>5.6031209999999998</v>
      </c>
      <c r="E4796">
        <v>0.4371968</v>
      </c>
      <c r="F4796" t="s">
        <v>41</v>
      </c>
      <c r="G4796">
        <v>-420.89569999999998</v>
      </c>
      <c r="H4796" s="1">
        <v>-2.6656689999999999E-6</v>
      </c>
      <c r="I4796">
        <v>95.247299999999996</v>
      </c>
      <c r="J4796">
        <v>-421.9307</v>
      </c>
      <c r="K4796">
        <v>1.1119669999999999</v>
      </c>
      <c r="L4796">
        <v>113.6238</v>
      </c>
      <c r="M4796">
        <v>-0.11046549999999999</v>
      </c>
      <c r="N4796">
        <v>0</v>
      </c>
      <c r="O4796">
        <v>-0.99378580000000005</v>
      </c>
      <c r="P4796">
        <v>-0.1115121</v>
      </c>
      <c r="Q4796">
        <v>-3.0161290000000002E-3</v>
      </c>
      <c r="R4796">
        <v>-0.99375899999999995</v>
      </c>
      <c r="S4796">
        <v>0.16567989999999999</v>
      </c>
      <c r="T4796">
        <v>-0.18172089999999999</v>
      </c>
      <c r="U4796">
        <v>-3.0383</v>
      </c>
      <c r="V4796">
        <v>1.000487E-3</v>
      </c>
      <c r="W4796">
        <v>1.069317E-2</v>
      </c>
      <c r="X4796">
        <v>0.99994229999999995</v>
      </c>
      <c r="Y4796">
        <v>-0.16433239999999999</v>
      </c>
      <c r="Z4796">
        <v>5.8705500000000001E-2</v>
      </c>
      <c r="AA4796">
        <v>0.98465659999999999</v>
      </c>
      <c r="AB4796">
        <v>22</v>
      </c>
      <c r="AC4796">
        <v>1.0350000000000199</v>
      </c>
      <c r="AD4796">
        <v>-1.1119696656689999</v>
      </c>
      <c r="AE4796">
        <v>-18.3765</v>
      </c>
      <c r="AF4796">
        <v>-3.0476999189127199</v>
      </c>
      <c r="AG4796">
        <v>-1.1119696656689999</v>
      </c>
      <c r="AH4796">
        <v>18.083667298323199</v>
      </c>
      <c r="AI4796">
        <v>93.469891520118395</v>
      </c>
      <c r="AJ4796">
        <v>99.566349632633901</v>
      </c>
      <c r="AK4796">
        <v>18.372369860460399</v>
      </c>
      <c r="AL4796">
        <v>89.387314796998893</v>
      </c>
      <c r="AM4796">
        <v>89.942673028804705</v>
      </c>
      <c r="AN4796">
        <v>0.99999997409408703</v>
      </c>
    </row>
    <row r="4797" spans="1:40" x14ac:dyDescent="0.25">
      <c r="A4797" t="str">
        <f>"20190312161109092"</f>
        <v>20190312161109092</v>
      </c>
      <c r="B4797" t="str">
        <f>"1552378269081702"</f>
        <v>1552378269081702</v>
      </c>
      <c r="C4797" t="s">
        <v>40</v>
      </c>
      <c r="D4797">
        <v>5.5820049999999997</v>
      </c>
      <c r="E4797">
        <v>0.43775330000000001</v>
      </c>
      <c r="F4797" t="s">
        <v>41</v>
      </c>
      <c r="G4797">
        <v>-420.91129999999998</v>
      </c>
      <c r="H4797" s="1">
        <v>-2.609278E-6</v>
      </c>
      <c r="I4797">
        <v>95.10615</v>
      </c>
      <c r="J4797">
        <v>-421.97030000000001</v>
      </c>
      <c r="K4797">
        <v>1.1119490000000001</v>
      </c>
      <c r="L4797">
        <v>113.2015</v>
      </c>
      <c r="M4797">
        <v>-0.1048936</v>
      </c>
      <c r="N4797">
        <v>0</v>
      </c>
      <c r="O4797">
        <v>-0.99438919999999997</v>
      </c>
      <c r="P4797">
        <v>-0.1061173</v>
      </c>
      <c r="Q4797">
        <v>-2.4895949999999998E-3</v>
      </c>
      <c r="R4797">
        <v>-0.99435039999999997</v>
      </c>
      <c r="S4797">
        <v>0.1671753</v>
      </c>
      <c r="T4797">
        <v>-0.18237220000000001</v>
      </c>
      <c r="U4797">
        <v>-3.037048</v>
      </c>
      <c r="V4797">
        <v>1.1770140000000001E-3</v>
      </c>
      <c r="W4797">
        <v>1.1210990000000001E-2</v>
      </c>
      <c r="X4797">
        <v>0.99993650000000001</v>
      </c>
      <c r="Y4797">
        <v>-0.15930620000000001</v>
      </c>
      <c r="Z4797">
        <v>5.9017500000000001E-2</v>
      </c>
      <c r="AA4797">
        <v>0.9854636</v>
      </c>
      <c r="AB4797">
        <v>22</v>
      </c>
      <c r="AC4797">
        <v>1.0590000000000199</v>
      </c>
      <c r="AD4797">
        <v>-1.111951609278</v>
      </c>
      <c r="AE4797">
        <v>-18.09535</v>
      </c>
      <c r="AF4797">
        <v>-2.9403561688174502</v>
      </c>
      <c r="AG4797">
        <v>-1.111951609278</v>
      </c>
      <c r="AH4797">
        <v>17.817364970165901</v>
      </c>
      <c r="AI4797">
        <v>93.523565505934698</v>
      </c>
      <c r="AJ4797">
        <v>99.370922004247205</v>
      </c>
      <c r="AK4797">
        <v>18.092557178601801</v>
      </c>
      <c r="AL4797">
        <v>89.357644156780296</v>
      </c>
      <c r="AM4797">
        <v>89.932557813939198</v>
      </c>
      <c r="AN4797">
        <v>1.0000000378454901</v>
      </c>
    </row>
    <row r="4798" spans="1:40" x14ac:dyDescent="0.25">
      <c r="A4798" t="str">
        <f>"20190312161109113"</f>
        <v>20190312161109113</v>
      </c>
      <c r="B4798" t="str">
        <f>"1552378269102198"</f>
        <v>1552378269102198</v>
      </c>
      <c r="C4798" t="s">
        <v>40</v>
      </c>
      <c r="D4798">
        <v>5.6904059999999896</v>
      </c>
      <c r="E4798">
        <v>0.40737410000000002</v>
      </c>
      <c r="F4798" t="s">
        <v>41</v>
      </c>
      <c r="G4798">
        <v>-420.8734</v>
      </c>
      <c r="H4798" s="1">
        <v>-2.3847249999999999E-6</v>
      </c>
      <c r="I4798">
        <v>94.606250000000003</v>
      </c>
      <c r="J4798">
        <v>-421.98869999999999</v>
      </c>
      <c r="K4798">
        <v>1.111944</v>
      </c>
      <c r="L4798">
        <v>112.997</v>
      </c>
      <c r="M4798">
        <v>-0.1022217</v>
      </c>
      <c r="N4798">
        <v>0</v>
      </c>
      <c r="O4798">
        <v>-0.99466759999999999</v>
      </c>
      <c r="P4798">
        <v>-0.1038978</v>
      </c>
      <c r="Q4798">
        <v>-1.5848500000000001E-3</v>
      </c>
      <c r="R4798">
        <v>-0.99458679999999999</v>
      </c>
      <c r="S4798">
        <v>0.17907709999999999</v>
      </c>
      <c r="T4798">
        <v>-0.1815271</v>
      </c>
      <c r="U4798">
        <v>-3.0356900000000002</v>
      </c>
      <c r="V4798">
        <v>1.6284019999999999E-3</v>
      </c>
      <c r="W4798">
        <v>1.2114049999999999E-2</v>
      </c>
      <c r="X4798">
        <v>0.99992530000000002</v>
      </c>
      <c r="Y4798">
        <v>-0.1605299</v>
      </c>
      <c r="Z4798">
        <v>5.8783580000000002E-2</v>
      </c>
      <c r="AA4798">
        <v>0.98527900000000002</v>
      </c>
      <c r="AB4798">
        <v>22</v>
      </c>
      <c r="AC4798">
        <v>1.11529999999999</v>
      </c>
      <c r="AD4798">
        <v>-1.111946384725</v>
      </c>
      <c r="AE4798">
        <v>-18.390750000000001</v>
      </c>
      <c r="AF4798">
        <v>-2.97871682478439</v>
      </c>
      <c r="AG4798">
        <v>-1.111946384725</v>
      </c>
      <c r="AH4798">
        <v>18.114398172279099</v>
      </c>
      <c r="AI4798">
        <v>93.466239428011406</v>
      </c>
      <c r="AJ4798">
        <v>99.338101420321394</v>
      </c>
      <c r="AK4798">
        <v>18.391318599508399</v>
      </c>
      <c r="AL4798">
        <v>89.305899087504301</v>
      </c>
      <c r="AM4798">
        <v>89.906692550463205</v>
      </c>
      <c r="AN4798">
        <v>1.0000000037402801</v>
      </c>
    </row>
    <row r="4799" spans="1:40" x14ac:dyDescent="0.25">
      <c r="A4799" t="str">
        <f>"20190312161109136"</f>
        <v>20190312161109136</v>
      </c>
      <c r="B4799" t="str">
        <f>"1552378269131478"</f>
        <v>1552378269131478</v>
      </c>
      <c r="C4799" t="s">
        <v>40</v>
      </c>
      <c r="D4799">
        <v>5.5584439999999997</v>
      </c>
      <c r="E4799">
        <v>0.4055474</v>
      </c>
      <c r="F4799" t="s">
        <v>41</v>
      </c>
      <c r="G4799">
        <v>-416.4169</v>
      </c>
      <c r="H4799" s="1">
        <v>-2.0558400000000001E-6</v>
      </c>
      <c r="I4799">
        <v>72.887690000000006</v>
      </c>
      <c r="J4799">
        <v>-422.00729999999999</v>
      </c>
      <c r="K4799">
        <v>1.111936</v>
      </c>
      <c r="L4799">
        <v>112.7846</v>
      </c>
      <c r="M4799">
        <v>-9.9459950000000005E-2</v>
      </c>
      <c r="N4799">
        <v>0</v>
      </c>
      <c r="O4799">
        <v>-0.99494740000000004</v>
      </c>
      <c r="P4799">
        <v>-0.1014313</v>
      </c>
      <c r="Q4799">
        <v>-6.1068690000000002E-4</v>
      </c>
      <c r="R4799">
        <v>-0.99484220000000001</v>
      </c>
      <c r="S4799">
        <v>0.42517090000000002</v>
      </c>
      <c r="T4799">
        <v>-8.4848880000000002E-2</v>
      </c>
      <c r="U4799">
        <v>-3.0606080000000002</v>
      </c>
      <c r="V4799">
        <v>1.921461E-3</v>
      </c>
      <c r="W4799">
        <v>1.308482E-2</v>
      </c>
      <c r="X4799">
        <v>0.99991260000000004</v>
      </c>
      <c r="Y4799">
        <v>-0.2353857</v>
      </c>
      <c r="Z4799">
        <v>2.6986799999999998E-2</v>
      </c>
      <c r="AA4799">
        <v>0.97152729999999998</v>
      </c>
      <c r="AB4799">
        <v>22</v>
      </c>
      <c r="AC4799">
        <v>5.5903999999999803</v>
      </c>
      <c r="AD4799">
        <v>-1.1119380558399901</v>
      </c>
      <c r="AE4799">
        <v>-39.896909999999899</v>
      </c>
      <c r="AF4799">
        <v>-9.5239363919321001</v>
      </c>
      <c r="AG4799">
        <v>-1.1119380558399901</v>
      </c>
      <c r="AH4799">
        <v>39.113177391118803</v>
      </c>
      <c r="AI4799">
        <v>91.582202734648106</v>
      </c>
      <c r="AJ4799">
        <v>103.685026470293</v>
      </c>
      <c r="AK4799">
        <v>40.271359751897101</v>
      </c>
      <c r="AL4799">
        <v>89.250273685567095</v>
      </c>
      <c r="AM4799">
        <v>89.889898906875302</v>
      </c>
      <c r="AN4799">
        <v>1.00000005608278</v>
      </c>
    </row>
    <row r="4800" spans="1:40" x14ac:dyDescent="0.25">
      <c r="A4800" t="str">
        <f>"20190312161109158"</f>
        <v>20190312161109158</v>
      </c>
      <c r="B4800" t="str">
        <f>"1552378269151974"</f>
        <v>1552378269151974</v>
      </c>
      <c r="C4800" t="s">
        <v>40</v>
      </c>
      <c r="D4800">
        <v>5.6065259999999997</v>
      </c>
      <c r="E4800">
        <v>0.40562239999999999</v>
      </c>
      <c r="F4800" t="s">
        <v>41</v>
      </c>
      <c r="G4800">
        <v>-415.19049999999999</v>
      </c>
      <c r="H4800" s="1">
        <v>-3.625683E-6</v>
      </c>
      <c r="I4800">
        <v>66.095659999999995</v>
      </c>
      <c r="J4800">
        <v>-422.0256</v>
      </c>
      <c r="K4800">
        <v>1.1119319999999999</v>
      </c>
      <c r="L4800">
        <v>112.5673</v>
      </c>
      <c r="M4800">
        <v>-9.6643759999999995E-2</v>
      </c>
      <c r="N4800">
        <v>0</v>
      </c>
      <c r="O4800">
        <v>-0.99522509999999997</v>
      </c>
      <c r="P4800">
        <v>-9.9214960000000005E-2</v>
      </c>
      <c r="Q4800">
        <v>-2.9552229999999999E-4</v>
      </c>
      <c r="R4800">
        <v>-0.99506589999999995</v>
      </c>
      <c r="S4800">
        <v>0.44692989999999999</v>
      </c>
      <c r="T4800">
        <v>-7.2902439999999999E-2</v>
      </c>
      <c r="U4800">
        <v>-3.0610810000000002</v>
      </c>
      <c r="V4800">
        <v>2.523015E-3</v>
      </c>
      <c r="W4800">
        <v>1.339855E-2</v>
      </c>
      <c r="X4800">
        <v>0.99990710000000005</v>
      </c>
      <c r="Y4800">
        <v>-0.23939530000000001</v>
      </c>
      <c r="Z4800">
        <v>2.3172620000000001E-2</v>
      </c>
      <c r="AA4800">
        <v>0.9706456</v>
      </c>
      <c r="AB4800">
        <v>22</v>
      </c>
      <c r="AC4800">
        <v>6.8351000000000104</v>
      </c>
      <c r="AD4800">
        <v>-1.111935625683</v>
      </c>
      <c r="AE4800">
        <v>-46.471640000000001</v>
      </c>
      <c r="AF4800">
        <v>-11.2883872474121</v>
      </c>
      <c r="AG4800">
        <v>-1.111935625683</v>
      </c>
      <c r="AH4800">
        <v>45.567899940851703</v>
      </c>
      <c r="AI4800">
        <v>91.356841014935299</v>
      </c>
      <c r="AJ4800">
        <v>103.91359144235</v>
      </c>
      <c r="AK4800">
        <v>46.958466675378901</v>
      </c>
      <c r="AL4800">
        <v>89.2322966990194</v>
      </c>
      <c r="AM4800">
        <v>89.855428764973098</v>
      </c>
      <c r="AN4800">
        <v>1.0000000476886</v>
      </c>
    </row>
    <row r="4801" spans="1:40" x14ac:dyDescent="0.25">
      <c r="A4801" t="str">
        <f>"20190312161109181"</f>
        <v>20190312161109181</v>
      </c>
      <c r="B4801" t="str">
        <f>"1552378269171494"</f>
        <v>1552378269171494</v>
      </c>
      <c r="C4801" t="s">
        <v>40</v>
      </c>
      <c r="D4801">
        <v>5.5528079999999997</v>
      </c>
      <c r="E4801">
        <v>0.40557860000000001</v>
      </c>
      <c r="F4801" t="s">
        <v>41</v>
      </c>
      <c r="G4801">
        <v>-414.5394</v>
      </c>
      <c r="H4801" s="1">
        <v>-2.2411940000000001E-6</v>
      </c>
      <c r="I4801">
        <v>61.964440000000003</v>
      </c>
      <c r="J4801">
        <v>-422.04309999999998</v>
      </c>
      <c r="K4801">
        <v>1.1119220000000001</v>
      </c>
      <c r="L4801">
        <v>112.35420000000001</v>
      </c>
      <c r="M4801">
        <v>-9.3889810000000004E-2</v>
      </c>
      <c r="N4801">
        <v>0</v>
      </c>
      <c r="O4801">
        <v>-0.9954887</v>
      </c>
      <c r="P4801">
        <v>-9.6966650000000001E-2</v>
      </c>
      <c r="Q4801" s="1">
        <v>-1.5486849999999999E-5</v>
      </c>
      <c r="R4801">
        <v>-0.9952879</v>
      </c>
      <c r="S4801">
        <v>0.45269779999999998</v>
      </c>
      <c r="T4801">
        <v>-6.7239640000000003E-2</v>
      </c>
      <c r="U4801">
        <v>-3.0599980000000002</v>
      </c>
      <c r="V4801">
        <v>3.0297980000000002E-3</v>
      </c>
      <c r="W4801">
        <v>1.3676519999999999E-2</v>
      </c>
      <c r="X4801">
        <v>0.99990190000000001</v>
      </c>
      <c r="Y4801">
        <v>-0.23855480000000001</v>
      </c>
      <c r="Z4801">
        <v>2.138905E-2</v>
      </c>
      <c r="AA4801">
        <v>0.97089340000000002</v>
      </c>
      <c r="AB4801">
        <v>21</v>
      </c>
      <c r="AC4801">
        <v>7.5036999999999798</v>
      </c>
      <c r="AD4801">
        <v>-1.11192424119399</v>
      </c>
      <c r="AE4801">
        <v>-50.389759999999903</v>
      </c>
      <c r="AF4801">
        <v>-12.1962643211565</v>
      </c>
      <c r="AG4801">
        <v>-1.11192424119399</v>
      </c>
      <c r="AH4801">
        <v>49.438988439276599</v>
      </c>
      <c r="AI4801">
        <v>91.250923367574998</v>
      </c>
      <c r="AJ4801">
        <v>103.857786796032</v>
      </c>
      <c r="AK4801">
        <v>50.933278088187102</v>
      </c>
      <c r="AL4801">
        <v>89.216368709240498</v>
      </c>
      <c r="AM4801">
        <v>89.826388861852294</v>
      </c>
      <c r="AN4801">
        <v>1.00000001824942</v>
      </c>
    </row>
    <row r="4802" spans="1:40" x14ac:dyDescent="0.25">
      <c r="A4802" t="str">
        <f>"20190312161109203"</f>
        <v>20190312161109203</v>
      </c>
      <c r="B4802" t="str">
        <f>"1552378269191989"</f>
        <v>1552378269191989</v>
      </c>
      <c r="C4802" t="s">
        <v>40</v>
      </c>
      <c r="D4802">
        <v>5.5815419999999998</v>
      </c>
      <c r="E4802">
        <v>0.40566859999999999</v>
      </c>
      <c r="F4802" t="s">
        <v>41</v>
      </c>
      <c r="G4802">
        <v>-414.13819999999998</v>
      </c>
      <c r="H4802" s="1">
        <v>-1.6087689999999999E-6</v>
      </c>
      <c r="I4802">
        <v>59.792340000000003</v>
      </c>
      <c r="J4802">
        <v>-422.05970000000002</v>
      </c>
      <c r="K4802">
        <v>1.1119129999999999</v>
      </c>
      <c r="L4802">
        <v>112.1444</v>
      </c>
      <c r="M4802">
        <v>-9.1185219999999997E-2</v>
      </c>
      <c r="N4802">
        <v>0</v>
      </c>
      <c r="O4802">
        <v>-0.99574039999999997</v>
      </c>
      <c r="P4802">
        <v>-9.4399880000000005E-2</v>
      </c>
      <c r="Q4802" s="1">
        <v>-5.7333729999999998E-5</v>
      </c>
      <c r="R4802">
        <v>-0.99553480000000005</v>
      </c>
      <c r="S4802">
        <v>0.46005249999999998</v>
      </c>
      <c r="T4802">
        <v>-6.4712640000000002E-2</v>
      </c>
      <c r="U4802">
        <v>-3.0590359999999999</v>
      </c>
      <c r="V4802">
        <v>3.168091E-3</v>
      </c>
      <c r="W4802">
        <v>1.36317E-2</v>
      </c>
      <c r="X4802">
        <v>0.99990210000000002</v>
      </c>
      <c r="Y4802">
        <v>-0.23824690000000001</v>
      </c>
      <c r="Z4802">
        <v>2.059708E-2</v>
      </c>
      <c r="AA4802">
        <v>0.97098620000000002</v>
      </c>
      <c r="AB4802">
        <v>21</v>
      </c>
      <c r="AC4802">
        <v>7.9215000000000302</v>
      </c>
      <c r="AD4802">
        <v>-1.1119146087689999</v>
      </c>
      <c r="AE4802">
        <v>-52.352059999999902</v>
      </c>
      <c r="AF4802">
        <v>-12.657089494993601</v>
      </c>
      <c r="AG4802">
        <v>-1.1119146087689999</v>
      </c>
      <c r="AH4802">
        <v>51.388864168912399</v>
      </c>
      <c r="AI4802">
        <v>91.203572590366505</v>
      </c>
      <c r="AJ4802">
        <v>103.836559172661</v>
      </c>
      <c r="AK4802">
        <v>52.936316732016799</v>
      </c>
      <c r="AL4802">
        <v>89.218936958386493</v>
      </c>
      <c r="AM4802">
        <v>89.818464591672793</v>
      </c>
      <c r="AN4802">
        <v>1.00000003481494</v>
      </c>
    </row>
    <row r="4803" spans="1:40" x14ac:dyDescent="0.25">
      <c r="A4803" t="str">
        <f>"20190312161109227"</f>
        <v>20190312161109227</v>
      </c>
      <c r="B4803" t="str">
        <f>"1552378269222247"</f>
        <v>1552378269222247</v>
      </c>
      <c r="C4803" t="s">
        <v>40</v>
      </c>
      <c r="D4803">
        <v>5.6008449999999996</v>
      </c>
      <c r="E4803">
        <v>0.40597509999999998</v>
      </c>
      <c r="F4803" t="s">
        <v>41</v>
      </c>
      <c r="G4803">
        <v>-413.95830000000001</v>
      </c>
      <c r="H4803" s="1">
        <v>-5.1554889999999999E-6</v>
      </c>
      <c r="I4803">
        <v>59.152180000000001</v>
      </c>
      <c r="J4803">
        <v>-422.07639999999998</v>
      </c>
      <c r="K4803">
        <v>1.111901</v>
      </c>
      <c r="L4803">
        <v>111.92400000000001</v>
      </c>
      <c r="M4803">
        <v>-8.8354810000000006E-2</v>
      </c>
      <c r="N4803">
        <v>0</v>
      </c>
      <c r="O4803">
        <v>-0.99599530000000003</v>
      </c>
      <c r="P4803">
        <v>-9.1175409999999998E-2</v>
      </c>
      <c r="Q4803">
        <v>-1.60641E-4</v>
      </c>
      <c r="R4803">
        <v>-0.99583500000000003</v>
      </c>
      <c r="S4803">
        <v>0.4674683</v>
      </c>
      <c r="T4803">
        <v>-6.4160229999999999E-2</v>
      </c>
      <c r="U4803">
        <v>-3.0577700000000001</v>
      </c>
      <c r="V4803">
        <v>2.7724500000000001E-3</v>
      </c>
      <c r="W4803">
        <v>1.3523469999999999E-2</v>
      </c>
      <c r="X4803">
        <v>0.99990469999999998</v>
      </c>
      <c r="Y4803">
        <v>-0.23784810000000001</v>
      </c>
      <c r="Z4803">
        <v>2.043503E-2</v>
      </c>
      <c r="AA4803">
        <v>0.97108740000000004</v>
      </c>
      <c r="AB4803">
        <v>21</v>
      </c>
      <c r="AC4803">
        <v>8.1180999999999699</v>
      </c>
      <c r="AD4803">
        <v>-1.111906155489</v>
      </c>
      <c r="AE4803">
        <v>-52.771819999999899</v>
      </c>
      <c r="AF4803">
        <v>-12.7438975259535</v>
      </c>
      <c r="AG4803">
        <v>-1.111906155489</v>
      </c>
      <c r="AH4803">
        <v>51.825578111425102</v>
      </c>
      <c r="AI4803">
        <v>91.193535304352693</v>
      </c>
      <c r="AJ4803">
        <v>103.814924122048</v>
      </c>
      <c r="AK4803">
        <v>53.381024775045702</v>
      </c>
      <c r="AL4803">
        <v>89.225138617255993</v>
      </c>
      <c r="AM4803">
        <v>89.841135583384002</v>
      </c>
      <c r="AN4803">
        <v>0.99999998990096595</v>
      </c>
    </row>
    <row r="4804" spans="1:40" x14ac:dyDescent="0.25">
      <c r="A4804" t="str">
        <f>"20190312161109249"</f>
        <v>20190312161109249</v>
      </c>
      <c r="B4804" t="str">
        <f>"1552378269241766"</f>
        <v>1552378269241766</v>
      </c>
      <c r="C4804" t="s">
        <v>40</v>
      </c>
      <c r="D4804">
        <v>5.6115839999999997</v>
      </c>
      <c r="E4804">
        <v>0.40613519999999997</v>
      </c>
      <c r="F4804" t="s">
        <v>41</v>
      </c>
      <c r="G4804">
        <v>-413.90559999999999</v>
      </c>
      <c r="H4804" s="1">
        <v>-5.2491799999999999E-6</v>
      </c>
      <c r="I4804">
        <v>59.348790000000001</v>
      </c>
      <c r="J4804">
        <v>-422.09210000000002</v>
      </c>
      <c r="K4804">
        <v>1.11189</v>
      </c>
      <c r="L4804">
        <v>111.71080000000001</v>
      </c>
      <c r="M4804">
        <v>-8.56267E-2</v>
      </c>
      <c r="N4804">
        <v>0</v>
      </c>
      <c r="O4804">
        <v>-0.99623349999999999</v>
      </c>
      <c r="P4804">
        <v>-8.8364730000000002E-2</v>
      </c>
      <c r="Q4804">
        <v>-4.1813210000000002E-4</v>
      </c>
      <c r="R4804">
        <v>-0.99608819999999998</v>
      </c>
      <c r="S4804">
        <v>0.47494510000000001</v>
      </c>
      <c r="T4804">
        <v>-6.4631579999999994E-2</v>
      </c>
      <c r="U4804">
        <v>-3.0560299999999998</v>
      </c>
      <c r="V4804">
        <v>2.690432E-3</v>
      </c>
      <c r="W4804">
        <v>1.326219E-2</v>
      </c>
      <c r="X4804">
        <v>0.99990840000000003</v>
      </c>
      <c r="Y4804">
        <v>-0.23759069999999999</v>
      </c>
      <c r="Z4804">
        <v>2.0601040000000001E-2</v>
      </c>
      <c r="AA4804">
        <v>0.97114690000000004</v>
      </c>
      <c r="AB4804">
        <v>21</v>
      </c>
      <c r="AC4804">
        <v>8.1865000000000201</v>
      </c>
      <c r="AD4804">
        <v>-1.11189524918</v>
      </c>
      <c r="AE4804">
        <v>-52.362009999999998</v>
      </c>
      <c r="AF4804">
        <v>-12.6348715368821</v>
      </c>
      <c r="AG4804">
        <v>-1.11189524918</v>
      </c>
      <c r="AH4804">
        <v>51.445970728519697</v>
      </c>
      <c r="AI4804">
        <v>91.202412654556696</v>
      </c>
      <c r="AJ4804">
        <v>103.798455084683</v>
      </c>
      <c r="AK4804">
        <v>52.986452929011698</v>
      </c>
      <c r="AL4804">
        <v>89.240110183518198</v>
      </c>
      <c r="AM4804">
        <v>89.845835851898897</v>
      </c>
      <c r="AN4804">
        <v>0.99999996624925003</v>
      </c>
    </row>
    <row r="4805" spans="1:40" x14ac:dyDescent="0.25">
      <c r="A4805" t="str">
        <f>"20190312161109271"</f>
        <v>20190312161109271</v>
      </c>
      <c r="B4805" t="str">
        <f>"1552378269262262"</f>
        <v>1552378269262262</v>
      </c>
      <c r="C4805" t="s">
        <v>40</v>
      </c>
      <c r="D4805">
        <v>5.6308610000000003</v>
      </c>
      <c r="E4805">
        <v>0.40627560000000001</v>
      </c>
      <c r="F4805" t="s">
        <v>41</v>
      </c>
      <c r="G4805">
        <v>-413.83030000000002</v>
      </c>
      <c r="H4805" s="1">
        <v>-5.2844949999999996E-6</v>
      </c>
      <c r="I4805">
        <v>59.399990000000003</v>
      </c>
      <c r="J4805">
        <v>-422.10660000000001</v>
      </c>
      <c r="K4805">
        <v>1.1118809999999999</v>
      </c>
      <c r="L4805">
        <v>111.5051</v>
      </c>
      <c r="M4805">
        <v>-8.3002049999999994E-2</v>
      </c>
      <c r="N4805">
        <v>0</v>
      </c>
      <c r="O4805">
        <v>-0.99645600000000001</v>
      </c>
      <c r="P4805">
        <v>-8.5601350000000007E-2</v>
      </c>
      <c r="Q4805">
        <v>-1.0790579999999999E-3</v>
      </c>
      <c r="R4805">
        <v>-0.99632909999999997</v>
      </c>
      <c r="S4805">
        <v>0.48242190000000001</v>
      </c>
      <c r="T4805">
        <v>-6.4925789999999997E-2</v>
      </c>
      <c r="U4805">
        <v>-3.054535</v>
      </c>
      <c r="V4805">
        <v>2.553666E-3</v>
      </c>
      <c r="W4805">
        <v>1.259801E-2</v>
      </c>
      <c r="X4805">
        <v>0.99991739999999996</v>
      </c>
      <c r="Y4805">
        <v>-0.23742389999999999</v>
      </c>
      <c r="Z4805">
        <v>2.0708379999999998E-2</v>
      </c>
      <c r="AA4805">
        <v>0.97118539999999998</v>
      </c>
      <c r="AB4805">
        <v>21</v>
      </c>
      <c r="AC4805">
        <v>8.2762999999999902</v>
      </c>
      <c r="AD4805">
        <v>-1.1118862844949999</v>
      </c>
      <c r="AE4805">
        <v>-52.105110000000003</v>
      </c>
      <c r="AF4805">
        <v>-12.5673877815598</v>
      </c>
      <c r="AG4805">
        <v>-1.1118862844949999</v>
      </c>
      <c r="AH4805">
        <v>51.215519701423901</v>
      </c>
      <c r="AI4805">
        <v>91.207871160731997</v>
      </c>
      <c r="AJ4805">
        <v>103.78696876846</v>
      </c>
      <c r="AK4805">
        <v>52.7466111238313</v>
      </c>
      <c r="AL4805">
        <v>89.278168115913601</v>
      </c>
      <c r="AM4805">
        <v>89.853673947481994</v>
      </c>
      <c r="AN4805">
        <v>1.0000000189443701</v>
      </c>
    </row>
    <row r="4806" spans="1:40" x14ac:dyDescent="0.25">
      <c r="A4806" t="str">
        <f>"20190312161109292"</f>
        <v>20190312161109292</v>
      </c>
      <c r="B4806" t="str">
        <f>"1552378269281782"</f>
        <v>1552378269281782</v>
      </c>
      <c r="C4806" t="s">
        <v>40</v>
      </c>
      <c r="D4806">
        <v>5.6167600000000002</v>
      </c>
      <c r="E4806">
        <v>0.40636929999999999</v>
      </c>
      <c r="F4806" t="s">
        <v>41</v>
      </c>
      <c r="G4806">
        <v>-413.79070000000002</v>
      </c>
      <c r="H4806" s="1">
        <v>-5.3841470000000001E-6</v>
      </c>
      <c r="I4806">
        <v>59.61589</v>
      </c>
      <c r="J4806">
        <v>-422.12040000000002</v>
      </c>
      <c r="K4806">
        <v>1.1118709999999901</v>
      </c>
      <c r="L4806">
        <v>111.304</v>
      </c>
      <c r="M4806">
        <v>-8.0449090000000001E-2</v>
      </c>
      <c r="N4806">
        <v>0</v>
      </c>
      <c r="O4806">
        <v>-0.99666509999999997</v>
      </c>
      <c r="P4806">
        <v>-8.2933430000000002E-2</v>
      </c>
      <c r="Q4806">
        <v>-1.5643670000000001E-3</v>
      </c>
      <c r="R4806">
        <v>-0.99655400000000005</v>
      </c>
      <c r="S4806">
        <v>0.48928830000000001</v>
      </c>
      <c r="T4806">
        <v>-6.5420510000000001E-2</v>
      </c>
      <c r="U4806">
        <v>-3.0530240000000002</v>
      </c>
      <c r="V4806">
        <v>2.4402030000000002E-3</v>
      </c>
      <c r="W4806">
        <v>1.210929E-2</v>
      </c>
      <c r="X4806">
        <v>0.99992369999999997</v>
      </c>
      <c r="Y4806">
        <v>-0.23713919999999999</v>
      </c>
      <c r="Z4806">
        <v>2.0880070000000001E-2</v>
      </c>
      <c r="AA4806">
        <v>0.97125119999999998</v>
      </c>
      <c r="AB4806">
        <v>21</v>
      </c>
      <c r="AC4806">
        <v>8.3297000000000008</v>
      </c>
      <c r="AD4806">
        <v>-1.1118763841470001</v>
      </c>
      <c r="AE4806">
        <v>-51.688109999999902</v>
      </c>
      <c r="AF4806">
        <v>-12.4557277372631</v>
      </c>
      <c r="AG4806">
        <v>-1.1118763841470001</v>
      </c>
      <c r="AH4806">
        <v>50.827439415685497</v>
      </c>
      <c r="AI4806">
        <v>91.217170953325393</v>
      </c>
      <c r="AJ4806">
        <v>103.769496329942</v>
      </c>
      <c r="AK4806">
        <v>52.343194592168601</v>
      </c>
      <c r="AL4806">
        <v>89.306171831199507</v>
      </c>
      <c r="AM4806">
        <v>89.860176275946401</v>
      </c>
      <c r="AN4806">
        <v>0.99999999765833703</v>
      </c>
    </row>
    <row r="4807" spans="1:40" x14ac:dyDescent="0.25">
      <c r="A4807" t="str">
        <f>"20190312161109314"</f>
        <v>20190312161109314</v>
      </c>
      <c r="B4807" t="str">
        <f>"1552378269312039"</f>
        <v>1552378269312039</v>
      </c>
      <c r="C4807" t="s">
        <v>40</v>
      </c>
      <c r="D4807">
        <v>5.6302009999999996</v>
      </c>
      <c r="E4807">
        <v>0.39713009999999999</v>
      </c>
      <c r="F4807" t="s">
        <v>41</v>
      </c>
      <c r="G4807">
        <v>-413.86610000000002</v>
      </c>
      <c r="H4807" s="1">
        <v>-1.953284E-6</v>
      </c>
      <c r="I4807">
        <v>60.591909999999999</v>
      </c>
      <c r="J4807">
        <v>-422.13420000000002</v>
      </c>
      <c r="K4807">
        <v>1.1118589999999999</v>
      </c>
      <c r="L4807">
        <v>111.0921</v>
      </c>
      <c r="M4807">
        <v>-7.7777490000000005E-2</v>
      </c>
      <c r="N4807">
        <v>0</v>
      </c>
      <c r="O4807">
        <v>-0.99687729999999997</v>
      </c>
      <c r="P4807">
        <v>-8.067647E-2</v>
      </c>
      <c r="Q4807">
        <v>-1.1840749999999999E-3</v>
      </c>
      <c r="R4807">
        <v>-0.99673970000000001</v>
      </c>
      <c r="S4807">
        <v>0.49670409999999998</v>
      </c>
      <c r="T4807">
        <v>-6.6907049999999996E-2</v>
      </c>
      <c r="U4807">
        <v>-3.0516049999999999</v>
      </c>
      <c r="V4807">
        <v>2.8549159999999999E-3</v>
      </c>
      <c r="W4807">
        <v>1.2487389999999999E-2</v>
      </c>
      <c r="X4807">
        <v>0.99991790000000003</v>
      </c>
      <c r="Y4807">
        <v>-0.23690449999999999</v>
      </c>
      <c r="Z4807">
        <v>2.1367560000000001E-2</v>
      </c>
      <c r="AA4807">
        <v>0.97129790000000005</v>
      </c>
      <c r="AB4807">
        <v>21</v>
      </c>
      <c r="AC4807">
        <v>8.2681000000000004</v>
      </c>
      <c r="AD4807">
        <v>-1.111860953284</v>
      </c>
      <c r="AE4807">
        <v>-50.500190000000003</v>
      </c>
      <c r="AF4807">
        <v>-12.165449879544299</v>
      </c>
      <c r="AG4807">
        <v>-1.111860953284</v>
      </c>
      <c r="AH4807">
        <v>49.680597591655399</v>
      </c>
      <c r="AI4807">
        <v>91.245295939675501</v>
      </c>
      <c r="AJ4807">
        <v>103.759450004572</v>
      </c>
      <c r="AK4807">
        <v>51.160494354679003</v>
      </c>
      <c r="AL4807">
        <v>89.284506621410699</v>
      </c>
      <c r="AM4807">
        <v>89.836412376270005</v>
      </c>
      <c r="AN4807">
        <v>0.99999994609739296</v>
      </c>
    </row>
    <row r="4808" spans="1:40" x14ac:dyDescent="0.25">
      <c r="A4808" t="str">
        <f>"20190312161109337"</f>
        <v>20190312161109337</v>
      </c>
      <c r="B4808" t="str">
        <f>"1552378269331562"</f>
        <v>1552378269331562</v>
      </c>
      <c r="C4808" t="s">
        <v>40</v>
      </c>
      <c r="D4808">
        <v>5.768866</v>
      </c>
      <c r="E4808">
        <v>0.39940819999999999</v>
      </c>
      <c r="F4808" t="s">
        <v>41</v>
      </c>
      <c r="G4808">
        <v>-417.4332</v>
      </c>
      <c r="H4808" s="1">
        <v>-3.3073929999999999E-6</v>
      </c>
      <c r="I4808">
        <v>86.281040000000004</v>
      </c>
      <c r="J4808">
        <v>-422.14769999999999</v>
      </c>
      <c r="K4808">
        <v>1.111839</v>
      </c>
      <c r="L4808">
        <v>110.87820000000001</v>
      </c>
      <c r="M4808">
        <v>-7.5106580000000006E-2</v>
      </c>
      <c r="N4808">
        <v>0</v>
      </c>
      <c r="O4808">
        <v>-0.99708209999999997</v>
      </c>
      <c r="P4808">
        <v>-7.8129809999999994E-2</v>
      </c>
      <c r="Q4808">
        <v>-6.3575899999999996E-4</v>
      </c>
      <c r="R4808">
        <v>-0.99694329999999998</v>
      </c>
      <c r="S4808">
        <v>0.57913210000000004</v>
      </c>
      <c r="T4808">
        <v>-0.1369727</v>
      </c>
      <c r="U4808">
        <v>-3.0565340000000001</v>
      </c>
      <c r="V4808">
        <v>2.9777699999999998E-3</v>
      </c>
      <c r="W4808">
        <v>1.303285E-2</v>
      </c>
      <c r="X4808">
        <v>0.99991070000000004</v>
      </c>
      <c r="Y4808">
        <v>-0.25925860000000001</v>
      </c>
      <c r="Z4808">
        <v>4.3426979999999997E-2</v>
      </c>
      <c r="AA4808">
        <v>0.96483110000000005</v>
      </c>
      <c r="AB4808">
        <v>21</v>
      </c>
      <c r="AC4808">
        <v>4.7144999999999797</v>
      </c>
      <c r="AD4808">
        <v>-1.1118423073929999</v>
      </c>
      <c r="AE4808">
        <v>-24.597159999999999</v>
      </c>
      <c r="AF4808">
        <v>-6.5358810561867697</v>
      </c>
      <c r="AG4808">
        <v>-1.1118423073929999</v>
      </c>
      <c r="AH4808">
        <v>24.126001581343701</v>
      </c>
      <c r="AI4808">
        <v>92.546921113231306</v>
      </c>
      <c r="AJ4808">
        <v>105.157952416271</v>
      </c>
      <c r="AK4808">
        <v>25.020349453997</v>
      </c>
      <c r="AL4808">
        <v>89.253251607748396</v>
      </c>
      <c r="AM4808">
        <v>89.829371613895404</v>
      </c>
      <c r="AN4808">
        <v>1.0000000651338901</v>
      </c>
    </row>
    <row r="4809" spans="1:40" x14ac:dyDescent="0.25">
      <c r="A4809" t="str">
        <f>"20190312161109359"</f>
        <v>20190312161109359</v>
      </c>
      <c r="B4809" t="str">
        <f>"1552378269352054"</f>
        <v>1552378269352054</v>
      </c>
      <c r="C4809" t="s">
        <v>40</v>
      </c>
      <c r="D4809">
        <v>5.6896420000000001</v>
      </c>
      <c r="E4809">
        <v>0.3987811</v>
      </c>
      <c r="F4809" t="s">
        <v>41</v>
      </c>
      <c r="G4809">
        <v>-417.9871</v>
      </c>
      <c r="H4809" s="1">
        <v>-4.185026E-6</v>
      </c>
      <c r="I4809">
        <v>88.555850000000007</v>
      </c>
      <c r="J4809">
        <v>-422.16070000000002</v>
      </c>
      <c r="K4809">
        <v>1.1118159999999999</v>
      </c>
      <c r="L4809">
        <v>110.6648</v>
      </c>
      <c r="M4809">
        <v>-7.2474899999999995E-2</v>
      </c>
      <c r="N4809">
        <v>0</v>
      </c>
      <c r="O4809">
        <v>-0.99727699999999997</v>
      </c>
      <c r="P4809">
        <v>-7.5548340000000005E-2</v>
      </c>
      <c r="Q4809">
        <v>-6.1936830000000002E-4</v>
      </c>
      <c r="R4809">
        <v>-0.99714219999999998</v>
      </c>
      <c r="S4809">
        <v>0.56918329999999995</v>
      </c>
      <c r="T4809">
        <v>-0.1521006</v>
      </c>
      <c r="U4809">
        <v>-3.0537109999999998</v>
      </c>
      <c r="V4809">
        <v>3.0285009999999998E-3</v>
      </c>
      <c r="W4809">
        <v>1.304524E-2</v>
      </c>
      <c r="X4809">
        <v>0.99991030000000003</v>
      </c>
      <c r="Y4809">
        <v>-0.2537915</v>
      </c>
      <c r="Z4809">
        <v>4.8320479999999999E-2</v>
      </c>
      <c r="AA4809">
        <v>0.9660512</v>
      </c>
      <c r="AB4809">
        <v>21</v>
      </c>
      <c r="AC4809">
        <v>4.17360000000002</v>
      </c>
      <c r="AD4809">
        <v>-1.1118201850260001</v>
      </c>
      <c r="AE4809">
        <v>-22.10895</v>
      </c>
      <c r="AF4809">
        <v>-5.75107185655874</v>
      </c>
      <c r="AG4809">
        <v>-1.1118201850260001</v>
      </c>
      <c r="AH4809">
        <v>21.695310956530999</v>
      </c>
      <c r="AI4809">
        <v>92.835893491606498</v>
      </c>
      <c r="AJ4809">
        <v>104.846704380733</v>
      </c>
      <c r="AK4809">
        <v>22.4721491879105</v>
      </c>
      <c r="AL4809">
        <v>89.252541588403204</v>
      </c>
      <c r="AM4809">
        <v>89.826464638918097</v>
      </c>
      <c r="AN4809">
        <v>0.99999997907552696</v>
      </c>
    </row>
    <row r="4810" spans="1:40" x14ac:dyDescent="0.25">
      <c r="A4810" t="str">
        <f>"20190312161109381"</f>
        <v>20190312161109381</v>
      </c>
      <c r="B4810" t="str">
        <f>"1552378269371575"</f>
        <v>1552378269371575</v>
      </c>
      <c r="C4810" t="s">
        <v>40</v>
      </c>
      <c r="D4810">
        <v>5.6250429999999998</v>
      </c>
      <c r="E4810">
        <v>0.3988971</v>
      </c>
      <c r="F4810" t="s">
        <v>41</v>
      </c>
      <c r="G4810">
        <v>-418.10039999999998</v>
      </c>
      <c r="H4810" s="1">
        <v>-4.511734E-6</v>
      </c>
      <c r="I4810">
        <v>89.364269999999905</v>
      </c>
      <c r="J4810">
        <v>-422.17250000000001</v>
      </c>
      <c r="K4810">
        <v>1.111785</v>
      </c>
      <c r="L4810">
        <v>110.46080000000001</v>
      </c>
      <c r="M4810">
        <v>-6.9996569999999994E-2</v>
      </c>
      <c r="N4810">
        <v>0</v>
      </c>
      <c r="O4810">
        <v>-0.9974539</v>
      </c>
      <c r="P4810">
        <v>-7.3330160000000005E-2</v>
      </c>
      <c r="Q4810">
        <v>-9.7828309999999996E-4</v>
      </c>
      <c r="R4810">
        <v>-0.99730750000000001</v>
      </c>
      <c r="S4810">
        <v>0.58187869999999997</v>
      </c>
      <c r="T4810">
        <v>-0.159335</v>
      </c>
      <c r="U4810">
        <v>-3.0525820000000001</v>
      </c>
      <c r="V4810">
        <v>3.291207E-3</v>
      </c>
      <c r="W4810">
        <v>1.2683349999999999E-2</v>
      </c>
      <c r="X4810">
        <v>0.99991419999999998</v>
      </c>
      <c r="Y4810">
        <v>-0.2553105</v>
      </c>
      <c r="Z4810">
        <v>5.0615250000000001E-2</v>
      </c>
      <c r="AA4810">
        <v>0.96553339999999999</v>
      </c>
      <c r="AB4810">
        <v>21</v>
      </c>
      <c r="AC4810">
        <v>4.07210000000003</v>
      </c>
      <c r="AD4810">
        <v>-1.111789511734</v>
      </c>
      <c r="AE4810">
        <v>-21.096530000000001</v>
      </c>
      <c r="AF4810">
        <v>-5.5241413305712399</v>
      </c>
      <c r="AG4810">
        <v>-1.111789511734</v>
      </c>
      <c r="AH4810">
        <v>20.7042792867781</v>
      </c>
      <c r="AI4810">
        <v>92.9700442195535</v>
      </c>
      <c r="AJ4810">
        <v>104.93916823115801</v>
      </c>
      <c r="AK4810">
        <v>21.457385538397599</v>
      </c>
      <c r="AL4810">
        <v>89.273278128516793</v>
      </c>
      <c r="AM4810">
        <v>89.811412229552104</v>
      </c>
      <c r="AN4810">
        <v>1.0000000533861799</v>
      </c>
    </row>
    <row r="4811" spans="1:40" x14ac:dyDescent="0.25">
      <c r="A4811" t="str">
        <f>"20190312161109404"</f>
        <v>20190312161109404</v>
      </c>
      <c r="B4811" t="str">
        <f>"1552378269401830"</f>
        <v>1552378269401830</v>
      </c>
      <c r="C4811" t="s">
        <v>40</v>
      </c>
      <c r="D4811">
        <v>5.6907649999999999</v>
      </c>
      <c r="E4811">
        <v>0.40018769999999998</v>
      </c>
      <c r="F4811" t="s">
        <v>41</v>
      </c>
      <c r="G4811">
        <v>-418.0831</v>
      </c>
      <c r="H4811" s="1">
        <v>-4.4604859999999999E-6</v>
      </c>
      <c r="I4811">
        <v>89.237669999999994</v>
      </c>
      <c r="J4811">
        <v>-422.18439999999998</v>
      </c>
      <c r="K4811">
        <v>1.1117520000000001</v>
      </c>
      <c r="L4811">
        <v>110.24979999999999</v>
      </c>
      <c r="M4811">
        <v>-6.747541E-2</v>
      </c>
      <c r="N4811">
        <v>0</v>
      </c>
      <c r="O4811">
        <v>-0.99762770000000001</v>
      </c>
      <c r="P4811">
        <v>-7.1345969999999995E-2</v>
      </c>
      <c r="Q4811">
        <v>-6.3684199999999999E-4</v>
      </c>
      <c r="R4811">
        <v>-0.99745159999999999</v>
      </c>
      <c r="S4811">
        <v>0.58792109999999997</v>
      </c>
      <c r="T4811">
        <v>-0.15983720000000001</v>
      </c>
      <c r="U4811">
        <v>-3.0511629999999998</v>
      </c>
      <c r="V4811">
        <v>3.8290279999999999E-3</v>
      </c>
      <c r="W4811">
        <v>1.302236E-2</v>
      </c>
      <c r="X4811">
        <v>0.99990789999999996</v>
      </c>
      <c r="Y4811">
        <v>-0.25479220000000002</v>
      </c>
      <c r="Z4811">
        <v>5.0805240000000002E-2</v>
      </c>
      <c r="AA4811">
        <v>0.96566030000000003</v>
      </c>
      <c r="AB4811">
        <v>21</v>
      </c>
      <c r="AC4811">
        <v>4.1012999999999797</v>
      </c>
      <c r="AD4811">
        <v>-1.111756460486</v>
      </c>
      <c r="AE4811">
        <v>-21.012129999999999</v>
      </c>
      <c r="AF4811">
        <v>-5.4950663061412097</v>
      </c>
      <c r="AG4811">
        <v>-1.111756460486</v>
      </c>
      <c r="AH4811">
        <v>20.631831571619799</v>
      </c>
      <c r="AI4811">
        <v>92.980715934631704</v>
      </c>
      <c r="AJ4811">
        <v>104.91390098359</v>
      </c>
      <c r="AK4811">
        <v>21.379996027502202</v>
      </c>
      <c r="AL4811">
        <v>89.253852662169294</v>
      </c>
      <c r="AM4811">
        <v>89.780593721010604</v>
      </c>
      <c r="AN4811">
        <v>1.0000000258988999</v>
      </c>
    </row>
    <row r="4812" spans="1:40" x14ac:dyDescent="0.25">
      <c r="A4812" t="str">
        <f>"20190312161109428"</f>
        <v>20190312161109428</v>
      </c>
      <c r="B4812" t="str">
        <f>"1552378269421351"</f>
        <v>1552378269421351</v>
      </c>
      <c r="C4812" t="s">
        <v>40</v>
      </c>
      <c r="D4812">
        <v>5.6752580000000004</v>
      </c>
      <c r="E4812">
        <v>0.4010012</v>
      </c>
      <c r="F4812" t="s">
        <v>41</v>
      </c>
      <c r="G4812">
        <v>-418.30919999999998</v>
      </c>
      <c r="H4812" s="1">
        <v>-5.7340469999999999E-7</v>
      </c>
      <c r="I4812">
        <v>90.011049999999997</v>
      </c>
      <c r="J4812">
        <v>-422.19619999999998</v>
      </c>
      <c r="K4812">
        <v>1.111723</v>
      </c>
      <c r="L4812">
        <v>110.0286</v>
      </c>
      <c r="M4812">
        <v>-6.4886529999999998E-2</v>
      </c>
      <c r="N4812">
        <v>0</v>
      </c>
      <c r="O4812">
        <v>-0.99779949999999995</v>
      </c>
      <c r="P4812">
        <v>-6.8857740000000001E-2</v>
      </c>
      <c r="Q4812">
        <v>-5.4898570000000001E-4</v>
      </c>
      <c r="R4812">
        <v>-0.99762649999999997</v>
      </c>
      <c r="S4812">
        <v>0.58386229999999995</v>
      </c>
      <c r="T4812">
        <v>-0.16750570000000001</v>
      </c>
      <c r="U4812">
        <v>-3.0493320000000002</v>
      </c>
      <c r="V4812">
        <v>3.9303080000000004E-3</v>
      </c>
      <c r="W4812">
        <v>1.310675E-2</v>
      </c>
      <c r="X4812">
        <v>0.99990639999999997</v>
      </c>
      <c r="Y4812">
        <v>-0.25112499999999999</v>
      </c>
      <c r="Z4812">
        <v>5.3313699999999901E-2</v>
      </c>
      <c r="AA4812">
        <v>0.96648529999999999</v>
      </c>
      <c r="AB4812">
        <v>21</v>
      </c>
      <c r="AC4812">
        <v>3.887</v>
      </c>
      <c r="AD4812">
        <v>-1.1117235734047</v>
      </c>
      <c r="AE4812">
        <v>-20.01755</v>
      </c>
      <c r="AF4812">
        <v>-5.1624527707604901</v>
      </c>
      <c r="AG4812">
        <v>-1.1117235734047</v>
      </c>
      <c r="AH4812">
        <v>19.6646707842552</v>
      </c>
      <c r="AI4812">
        <v>93.129882847260205</v>
      </c>
      <c r="AJ4812">
        <v>104.709603260286</v>
      </c>
      <c r="AK4812">
        <v>20.361388090381698</v>
      </c>
      <c r="AL4812">
        <v>89.249017055453606</v>
      </c>
      <c r="AM4812">
        <v>89.774790019493395</v>
      </c>
      <c r="AN4812">
        <v>1.0000000214887399</v>
      </c>
    </row>
    <row r="4813" spans="1:40" x14ac:dyDescent="0.25">
      <c r="A4813" t="str">
        <f>"20190312161109472"</f>
        <v>20190312161109472</v>
      </c>
      <c r="B4813" t="str">
        <f>"1552378269462342"</f>
        <v>1552378269462342</v>
      </c>
      <c r="C4813" t="s">
        <v>40</v>
      </c>
      <c r="D4813">
        <v>5.6261839999999896</v>
      </c>
      <c r="E4813">
        <v>0.40219860000000002</v>
      </c>
      <c r="F4813" t="s">
        <v>41</v>
      </c>
      <c r="G4813">
        <v>-418.4375</v>
      </c>
      <c r="H4813" s="1">
        <v>-6.9247649999999897E-7</v>
      </c>
      <c r="I4813">
        <v>90.461250000000007</v>
      </c>
      <c r="J4813">
        <v>-422.21679999999998</v>
      </c>
      <c r="K4813">
        <v>1.1116699999999999</v>
      </c>
      <c r="L4813">
        <v>109.61750000000001</v>
      </c>
      <c r="M4813">
        <v>-6.0180310000000001E-2</v>
      </c>
      <c r="N4813">
        <v>0</v>
      </c>
      <c r="O4813">
        <v>-0.99809440000000005</v>
      </c>
      <c r="P4813">
        <v>-6.3919889999999993E-2</v>
      </c>
      <c r="Q4813">
        <v>-9.4132649999999999E-4</v>
      </c>
      <c r="R4813">
        <v>-0.99795500000000004</v>
      </c>
      <c r="S4813">
        <v>0.58538819999999903</v>
      </c>
      <c r="T4813">
        <v>-0.17314199999999999</v>
      </c>
      <c r="U4813">
        <v>-3.0474549999999998</v>
      </c>
      <c r="V4813">
        <v>3.7003880000000002E-3</v>
      </c>
      <c r="W4813">
        <v>1.270576E-2</v>
      </c>
      <c r="X4813">
        <v>0.99991240000000003</v>
      </c>
      <c r="Y4813">
        <v>-0.247116</v>
      </c>
      <c r="Z4813">
        <v>5.5186600000000002E-2</v>
      </c>
      <c r="AA4813">
        <v>0.96741310000000003</v>
      </c>
      <c r="AB4813">
        <v>21</v>
      </c>
      <c r="AC4813">
        <v>3.7792999999999699</v>
      </c>
      <c r="AD4813">
        <v>-1.1116706924765001</v>
      </c>
      <c r="AE4813">
        <v>-19.15625</v>
      </c>
      <c r="AF4813">
        <v>-4.9094709355116999</v>
      </c>
      <c r="AG4813">
        <v>-1.1116706924765001</v>
      </c>
      <c r="AH4813">
        <v>18.833015165052</v>
      </c>
      <c r="AI4813">
        <v>93.269117684548704</v>
      </c>
      <c r="AJ4813">
        <v>104.610933719985</v>
      </c>
      <c r="AK4813">
        <v>19.4941318555667</v>
      </c>
      <c r="AL4813">
        <v>89.271993964850793</v>
      </c>
      <c r="AM4813">
        <v>89.787965778708397</v>
      </c>
      <c r="AN4813">
        <v>0.99999996844114303</v>
      </c>
    </row>
    <row r="4814" spans="1:40" x14ac:dyDescent="0.25">
      <c r="A4814" t="str">
        <f>"20190312161109493"</f>
        <v>20190312161109493</v>
      </c>
      <c r="B4814" t="str">
        <f>"1552378269481863"</f>
        <v>1552378269481863</v>
      </c>
      <c r="C4814" t="s">
        <v>40</v>
      </c>
      <c r="D4814">
        <v>5.6112900000000003</v>
      </c>
      <c r="E4814">
        <v>0.40267570000000003</v>
      </c>
      <c r="F4814" t="s">
        <v>41</v>
      </c>
      <c r="G4814">
        <v>-418.62020000000001</v>
      </c>
      <c r="H4814" s="1">
        <v>-8.6994469999999997E-7</v>
      </c>
      <c r="I4814">
        <v>91.090100000000007</v>
      </c>
      <c r="J4814">
        <v>-422.22640000000001</v>
      </c>
      <c r="K4814">
        <v>1.111645</v>
      </c>
      <c r="L4814">
        <v>109.4114</v>
      </c>
      <c r="M4814">
        <v>-5.7871209999999999E-2</v>
      </c>
      <c r="N4814">
        <v>0</v>
      </c>
      <c r="O4814">
        <v>-0.99823119999999999</v>
      </c>
      <c r="P4814">
        <v>-6.119629E-2</v>
      </c>
      <c r="Q4814">
        <v>-1.256468E-3</v>
      </c>
      <c r="R4814">
        <v>-0.99812540000000005</v>
      </c>
      <c r="S4814">
        <v>0.59088130000000005</v>
      </c>
      <c r="T4814">
        <v>-0.18263399999999999</v>
      </c>
      <c r="U4814">
        <v>-3.0438230000000002</v>
      </c>
      <c r="V4814">
        <v>3.2864410000000002E-3</v>
      </c>
      <c r="W4814">
        <v>1.238536E-2</v>
      </c>
      <c r="X4814">
        <v>0.99991790000000003</v>
      </c>
      <c r="Y4814">
        <v>-0.24673780000000001</v>
      </c>
      <c r="Z4814">
        <v>5.8274819999999998E-2</v>
      </c>
      <c r="AA4814">
        <v>0.96732850000000004</v>
      </c>
      <c r="AB4814">
        <v>21</v>
      </c>
      <c r="AC4814">
        <v>3.6061999999999999</v>
      </c>
      <c r="AD4814">
        <v>-1.1116458699447</v>
      </c>
      <c r="AE4814">
        <v>-18.321299999999901</v>
      </c>
      <c r="AF4814">
        <v>-4.6440698968120397</v>
      </c>
      <c r="AG4814">
        <v>-1.1116458699447</v>
      </c>
      <c r="AH4814">
        <v>18.018015738658001</v>
      </c>
      <c r="AI4814">
        <v>93.419002640277</v>
      </c>
      <c r="AJ4814">
        <v>104.453177906625</v>
      </c>
      <c r="AK4814">
        <v>18.6400652602176</v>
      </c>
      <c r="AL4814">
        <v>89.290353002115097</v>
      </c>
      <c r="AM4814">
        <v>89.811686018531006</v>
      </c>
      <c r="AN4814">
        <v>1.00000000228859</v>
      </c>
    </row>
    <row r="4815" spans="1:40" x14ac:dyDescent="0.25">
      <c r="A4815" t="str">
        <f>"20190312161109516"</f>
        <v>20190312161109516</v>
      </c>
      <c r="B4815" t="str">
        <f>"1552378269512119"</f>
        <v>1552378269512119</v>
      </c>
      <c r="C4815" t="s">
        <v>40</v>
      </c>
      <c r="D4815">
        <v>5.6234690000000001</v>
      </c>
      <c r="E4815">
        <v>0.40317649999999999</v>
      </c>
      <c r="F4815" t="s">
        <v>41</v>
      </c>
      <c r="G4815">
        <v>-418.66390000000001</v>
      </c>
      <c r="H4815" s="1">
        <v>-9.1695449999999998E-7</v>
      </c>
      <c r="I4815">
        <v>91.217770000000002</v>
      </c>
      <c r="J4815">
        <v>-422.23559999999998</v>
      </c>
      <c r="K4815">
        <v>1.1116349999999999</v>
      </c>
      <c r="L4815">
        <v>109.2059</v>
      </c>
      <c r="M4815">
        <v>-5.5598670000000003E-2</v>
      </c>
      <c r="N4815">
        <v>0</v>
      </c>
      <c r="O4815">
        <v>-0.99836049999999998</v>
      </c>
      <c r="P4815">
        <v>-5.8931789999999998E-2</v>
      </c>
      <c r="Q4815">
        <v>-9.1033010000000003E-4</v>
      </c>
      <c r="R4815">
        <v>-0.99826179999999998</v>
      </c>
      <c r="S4815">
        <v>0.59564209999999995</v>
      </c>
      <c r="T4815">
        <v>-0.18586459999999999</v>
      </c>
      <c r="U4815">
        <v>-3.0419309999999999</v>
      </c>
      <c r="V4815">
        <v>3.2937719999999999E-3</v>
      </c>
      <c r="W4815">
        <v>1.272817E-2</v>
      </c>
      <c r="X4815">
        <v>0.99991359999999996</v>
      </c>
      <c r="Y4815">
        <v>-0.2460908</v>
      </c>
      <c r="Z4815">
        <v>5.9345910000000002E-2</v>
      </c>
      <c r="AA4815">
        <v>0.96742819999999996</v>
      </c>
      <c r="AB4815">
        <v>21</v>
      </c>
      <c r="AC4815">
        <v>3.5716999999999599</v>
      </c>
      <c r="AD4815">
        <v>-1.1116359169545</v>
      </c>
      <c r="AE4815">
        <v>-17.988129999999899</v>
      </c>
      <c r="AF4815">
        <v>-4.54966667308104</v>
      </c>
      <c r="AG4815">
        <v>-1.1116359169545</v>
      </c>
      <c r="AH4815">
        <v>17.696679931958698</v>
      </c>
      <c r="AI4815">
        <v>93.481451009169803</v>
      </c>
      <c r="AJ4815">
        <v>104.418015125157</v>
      </c>
      <c r="AK4815">
        <v>18.3059466256787</v>
      </c>
      <c r="AL4815">
        <v>89.270709908439002</v>
      </c>
      <c r="AM4815">
        <v>89.811265141610804</v>
      </c>
      <c r="AN4815">
        <v>1.00000003135524</v>
      </c>
    </row>
    <row r="4816" spans="1:40" x14ac:dyDescent="0.25">
      <c r="A4816" t="str">
        <f>"20190312161109539"</f>
        <v>20190312161109539</v>
      </c>
      <c r="B4816" t="str">
        <f>"1552378269531638"</f>
        <v>1552378269531638</v>
      </c>
      <c r="C4816" t="s">
        <v>40</v>
      </c>
      <c r="D4816">
        <v>5.5828379999999997</v>
      </c>
      <c r="E4816">
        <v>0.40371679999999999</v>
      </c>
      <c r="F4816" t="s">
        <v>41</v>
      </c>
      <c r="G4816">
        <v>-418.66030000000001</v>
      </c>
      <c r="H4816" s="1">
        <v>-8.4402929999999997E-7</v>
      </c>
      <c r="I4816">
        <v>91.046279999999996</v>
      </c>
      <c r="J4816">
        <v>-422.24489999999997</v>
      </c>
      <c r="K4816">
        <v>1.11161</v>
      </c>
      <c r="L4816">
        <v>108.9875</v>
      </c>
      <c r="M4816">
        <v>-5.3222779999999997E-2</v>
      </c>
      <c r="N4816">
        <v>0</v>
      </c>
      <c r="O4816">
        <v>-0.99848970000000004</v>
      </c>
      <c r="P4816">
        <v>-5.6321389999999999E-2</v>
      </c>
      <c r="Q4816">
        <v>-5.4954540000000005E-4</v>
      </c>
      <c r="R4816">
        <v>-0.99841250000000004</v>
      </c>
      <c r="S4816">
        <v>0.59860230000000003</v>
      </c>
      <c r="T4816">
        <v>-0.1861168</v>
      </c>
      <c r="U4816">
        <v>-3.0403899999999999</v>
      </c>
      <c r="V4816">
        <v>3.0583390000000002E-3</v>
      </c>
      <c r="W4816">
        <v>1.3083859999999999E-2</v>
      </c>
      <c r="X4816">
        <v>0.99990970000000001</v>
      </c>
      <c r="Y4816">
        <v>-0.24478240000000001</v>
      </c>
      <c r="Z4816">
        <v>5.9471910000000003E-2</v>
      </c>
      <c r="AA4816">
        <v>0.96775239999999996</v>
      </c>
      <c r="AB4816">
        <v>21</v>
      </c>
      <c r="AC4816">
        <v>3.58459999999996</v>
      </c>
      <c r="AD4816">
        <v>-1.1116108440293</v>
      </c>
      <c r="AE4816">
        <v>-17.941219999999898</v>
      </c>
      <c r="AF4816">
        <v>-4.5178112541424396</v>
      </c>
      <c r="AG4816">
        <v>-1.1116108440293</v>
      </c>
      <c r="AH4816">
        <v>17.659795407623999</v>
      </c>
      <c r="AI4816">
        <v>93.489687028230307</v>
      </c>
      <c r="AJ4816">
        <v>104.34990810061799</v>
      </c>
      <c r="AK4816">
        <v>18.262384045785499</v>
      </c>
      <c r="AL4816">
        <v>89.250328633051495</v>
      </c>
      <c r="AM4816">
        <v>89.824754804768205</v>
      </c>
      <c r="AN4816">
        <v>0.99999997449201306</v>
      </c>
    </row>
    <row r="4817" spans="1:40" x14ac:dyDescent="0.25">
      <c r="A4817" t="str">
        <f>"20190312161109560"</f>
        <v>20190312161109560</v>
      </c>
      <c r="B4817" t="str">
        <f>"1552378269552135"</f>
        <v>1552378269552135</v>
      </c>
      <c r="C4817" t="s">
        <v>40</v>
      </c>
      <c r="D4817">
        <v>5.5827090000000004</v>
      </c>
      <c r="E4817">
        <v>0.40431859999999997</v>
      </c>
      <c r="F4817" t="s">
        <v>41</v>
      </c>
      <c r="G4817">
        <v>-418.65870000000001</v>
      </c>
      <c r="H4817" s="1">
        <v>-7.7525359999999899E-7</v>
      </c>
      <c r="I4817">
        <v>90.877480000000006</v>
      </c>
      <c r="J4817">
        <v>-422.25310000000002</v>
      </c>
      <c r="K4817">
        <v>1.1115900000000001</v>
      </c>
      <c r="L4817">
        <v>108.7877</v>
      </c>
      <c r="M4817">
        <v>-5.1084570000000003E-2</v>
      </c>
      <c r="N4817">
        <v>0</v>
      </c>
      <c r="O4817">
        <v>-0.99860170000000004</v>
      </c>
      <c r="P4817">
        <v>-5.4720009999999999E-2</v>
      </c>
      <c r="Q4817">
        <v>-9.2455480000000001E-4</v>
      </c>
      <c r="R4817">
        <v>-0.99850179999999999</v>
      </c>
      <c r="S4817">
        <v>0.60171509999999995</v>
      </c>
      <c r="T4817">
        <v>-0.18651309999999999</v>
      </c>
      <c r="U4817">
        <v>-3.0386199999999999</v>
      </c>
      <c r="V4817">
        <v>3.5978529999999998E-3</v>
      </c>
      <c r="W4817">
        <v>1.2706719999999999E-2</v>
      </c>
      <c r="X4817">
        <v>0.99991280000000005</v>
      </c>
      <c r="Y4817">
        <v>-0.24376539999999999</v>
      </c>
      <c r="Z4817">
        <v>5.9644129999999997E-2</v>
      </c>
      <c r="AA4817">
        <v>0.96799840000000004</v>
      </c>
      <c r="AB4817">
        <v>21</v>
      </c>
      <c r="AC4817">
        <v>3.5943999999999998</v>
      </c>
      <c r="AD4817">
        <v>-1.1115907752535901</v>
      </c>
      <c r="AE4817">
        <v>-17.910219999999899</v>
      </c>
      <c r="AF4817">
        <v>-4.4881076601443404</v>
      </c>
      <c r="AG4817">
        <v>-1.1115907752535901</v>
      </c>
      <c r="AH4817">
        <v>17.637884569357201</v>
      </c>
      <c r="AI4817">
        <v>93.495089352133107</v>
      </c>
      <c r="AJ4817">
        <v>104.276410603122</v>
      </c>
      <c r="AK4817">
        <v>18.2338618099031</v>
      </c>
      <c r="AL4817">
        <v>89.271938984128198</v>
      </c>
      <c r="AM4817">
        <v>89.793841120356007</v>
      </c>
      <c r="AN4817">
        <v>1.0000000064415999</v>
      </c>
    </row>
    <row r="4818" spans="1:40" x14ac:dyDescent="0.25">
      <c r="A4818" t="str">
        <f>"20190312161109583"</f>
        <v>20190312161109583</v>
      </c>
      <c r="B4818" t="str">
        <f>"1552378269571655"</f>
        <v>1552378269571655</v>
      </c>
      <c r="C4818" t="s">
        <v>40</v>
      </c>
      <c r="D4818">
        <v>5.576727</v>
      </c>
      <c r="E4818">
        <v>0.40476319999999999</v>
      </c>
      <c r="F4818" t="s">
        <v>41</v>
      </c>
      <c r="G4818">
        <v>-418.76850000000002</v>
      </c>
      <c r="H4818" s="1">
        <v>-8.9771749999999995E-7</v>
      </c>
      <c r="I4818">
        <v>91.216160000000002</v>
      </c>
      <c r="J4818">
        <v>-422.26100000000002</v>
      </c>
      <c r="K4818">
        <v>1.1115600000000001</v>
      </c>
      <c r="L4818">
        <v>108.5822</v>
      </c>
      <c r="M4818">
        <v>-4.8923330000000001E-2</v>
      </c>
      <c r="N4818">
        <v>0</v>
      </c>
      <c r="O4818">
        <v>-0.99870990000000004</v>
      </c>
      <c r="P4818">
        <v>-5.3788849999999999E-2</v>
      </c>
      <c r="Q4818">
        <v>-6.3518949999999896E-4</v>
      </c>
      <c r="R4818">
        <v>-0.99855229999999995</v>
      </c>
      <c r="S4818">
        <v>0.60232540000000001</v>
      </c>
      <c r="T4818">
        <v>-0.19214500000000001</v>
      </c>
      <c r="U4818">
        <v>-3.0373380000000001</v>
      </c>
      <c r="V4818">
        <v>4.8296060000000002E-3</v>
      </c>
      <c r="W4818">
        <v>1.299518E-2</v>
      </c>
      <c r="X4818">
        <v>0.99990389999999996</v>
      </c>
      <c r="Y4818">
        <v>-0.2419095</v>
      </c>
      <c r="Z4818">
        <v>6.148704E-2</v>
      </c>
      <c r="AA4818">
        <v>0.96834869999999995</v>
      </c>
      <c r="AB4818">
        <v>21</v>
      </c>
      <c r="AC4818">
        <v>3.49249999999995</v>
      </c>
      <c r="AD4818">
        <v>-1.1115608977175</v>
      </c>
      <c r="AE4818">
        <v>-17.366039999999899</v>
      </c>
      <c r="AF4818">
        <v>-4.3209853505911999</v>
      </c>
      <c r="AG4818">
        <v>-1.1115608977175</v>
      </c>
      <c r="AH4818">
        <v>17.1069977376895</v>
      </c>
      <c r="AI4818">
        <v>93.604778848355295</v>
      </c>
      <c r="AJ4818">
        <v>104.175600826904</v>
      </c>
      <c r="AK4818">
        <v>17.679249238207799</v>
      </c>
      <c r="AL4818">
        <v>89.255410077280104</v>
      </c>
      <c r="AM4818">
        <v>89.723259516587802</v>
      </c>
      <c r="AN4818">
        <v>1.00000000451627</v>
      </c>
    </row>
    <row r="4819" spans="1:40" x14ac:dyDescent="0.25">
      <c r="A4819" t="str">
        <f>"20190312161109606"</f>
        <v>20190312161109606</v>
      </c>
      <c r="B4819" t="str">
        <f>"1552378269601910"</f>
        <v>1552378269601910</v>
      </c>
      <c r="C4819" t="s">
        <v>40</v>
      </c>
      <c r="D4819">
        <v>5.498748</v>
      </c>
      <c r="E4819">
        <v>0.40495399999999998</v>
      </c>
      <c r="F4819" t="s">
        <v>41</v>
      </c>
      <c r="G4819">
        <v>-418.77229999999997</v>
      </c>
      <c r="H4819" s="1">
        <v>-7.9629940000000005E-7</v>
      </c>
      <c r="I4819">
        <v>90.98133</v>
      </c>
      <c r="J4819">
        <v>-422.26859999999999</v>
      </c>
      <c r="K4819">
        <v>1.1115349999999999</v>
      </c>
      <c r="L4819">
        <v>108.3737</v>
      </c>
      <c r="M4819">
        <v>-4.6774570000000001E-2</v>
      </c>
      <c r="N4819">
        <v>0</v>
      </c>
      <c r="O4819">
        <v>-0.99881299999999995</v>
      </c>
      <c r="P4819">
        <v>-5.2683609999999999E-2</v>
      </c>
      <c r="Q4819">
        <v>-3.8121360000000003E-4</v>
      </c>
      <c r="R4819">
        <v>-0.99861160000000004</v>
      </c>
      <c r="S4819">
        <v>0.60189820000000005</v>
      </c>
      <c r="T4819">
        <v>-0.191776</v>
      </c>
      <c r="U4819">
        <v>-3.0366520000000001</v>
      </c>
      <c r="V4819">
        <v>5.8745079999999996E-3</v>
      </c>
      <c r="W4819">
        <v>1.3248360000000001E-2</v>
      </c>
      <c r="X4819">
        <v>0.99989499999999998</v>
      </c>
      <c r="Y4819">
        <v>-0.23973330000000001</v>
      </c>
      <c r="Z4819">
        <v>6.1410350000000002E-2</v>
      </c>
      <c r="AA4819">
        <v>0.96889460000000005</v>
      </c>
      <c r="AB4819">
        <v>21</v>
      </c>
      <c r="AC4819">
        <v>3.4963000000000202</v>
      </c>
      <c r="AD4819">
        <v>-1.1115357962993999</v>
      </c>
      <c r="AE4819">
        <v>-17.39237</v>
      </c>
      <c r="AF4819">
        <v>-4.2892297565105002</v>
      </c>
      <c r="AG4819">
        <v>-1.1115357962993999</v>
      </c>
      <c r="AH4819">
        <v>17.142479620768398</v>
      </c>
      <c r="AI4819">
        <v>93.599271803110696</v>
      </c>
      <c r="AJ4819">
        <v>104.047598486342</v>
      </c>
      <c r="AK4819">
        <v>17.7058637541084</v>
      </c>
      <c r="AL4819">
        <v>89.240902694569201</v>
      </c>
      <c r="AM4819">
        <v>89.663384012764894</v>
      </c>
      <c r="AN4819">
        <v>1.00000001995596</v>
      </c>
    </row>
    <row r="4820" spans="1:40" x14ac:dyDescent="0.25">
      <c r="A4820" t="str">
        <f>"20190312161109629"</f>
        <v>20190312161109629</v>
      </c>
      <c r="B4820" t="str">
        <f>"1552378269621431"</f>
        <v>1552378269621431</v>
      </c>
      <c r="C4820" t="s">
        <v>40</v>
      </c>
      <c r="D4820">
        <v>5.5532690000000002</v>
      </c>
      <c r="E4820">
        <v>0.4051785</v>
      </c>
      <c r="F4820" t="s">
        <v>41</v>
      </c>
      <c r="G4820">
        <v>-418.66489999999999</v>
      </c>
      <c r="H4820" s="1">
        <v>-5.6313709999999996E-7</v>
      </c>
      <c r="I4820">
        <v>90.258979999999994</v>
      </c>
      <c r="J4820">
        <v>-422.27609999999999</v>
      </c>
      <c r="K4820">
        <v>1.1115060000000001</v>
      </c>
      <c r="L4820">
        <v>108.1585</v>
      </c>
      <c r="M4820">
        <v>-4.4605739999999998E-2</v>
      </c>
      <c r="N4820">
        <v>0</v>
      </c>
      <c r="O4820">
        <v>-0.99891240000000003</v>
      </c>
      <c r="P4820">
        <v>-5.0220609999999999E-2</v>
      </c>
      <c r="Q4820">
        <v>3.769755E-4</v>
      </c>
      <c r="R4820">
        <v>-0.99873829999999997</v>
      </c>
      <c r="S4820">
        <v>0.60397339999999999</v>
      </c>
      <c r="T4820">
        <v>-0.18628980000000001</v>
      </c>
      <c r="U4820">
        <v>-3.035965</v>
      </c>
      <c r="V4820">
        <v>5.5784700000000003E-3</v>
      </c>
      <c r="W4820">
        <v>1.400121E-2</v>
      </c>
      <c r="X4820">
        <v>0.99988639999999995</v>
      </c>
      <c r="Y4820">
        <v>-0.2383248</v>
      </c>
      <c r="Z4820">
        <v>5.9688949999999998E-2</v>
      </c>
      <c r="AA4820">
        <v>0.96934960000000003</v>
      </c>
      <c r="AB4820">
        <v>21</v>
      </c>
      <c r="AC4820">
        <v>3.61119999999999</v>
      </c>
      <c r="AD4820">
        <v>-1.1115065631370999</v>
      </c>
      <c r="AE4820">
        <v>-17.8995199999999</v>
      </c>
      <c r="AF4820">
        <v>-4.3898346041261203</v>
      </c>
      <c r="AG4820">
        <v>-1.1115065631370999</v>
      </c>
      <c r="AH4820">
        <v>17.6551891929115</v>
      </c>
      <c r="AI4820">
        <v>93.496203344737296</v>
      </c>
      <c r="AJ4820">
        <v>103.963029247623</v>
      </c>
      <c r="AK4820">
        <v>18.226678252742001</v>
      </c>
      <c r="AL4820">
        <v>89.197763532953502</v>
      </c>
      <c r="AM4820">
        <v>89.680344216136106</v>
      </c>
      <c r="AN4820">
        <v>0.99999998305698201</v>
      </c>
    </row>
    <row r="4821" spans="1:40" x14ac:dyDescent="0.25">
      <c r="A4821" t="str">
        <f>"20190312161109651"</f>
        <v>20190312161109651</v>
      </c>
      <c r="B4821" t="str">
        <f>"1552378269641927"</f>
        <v>1552378269641927</v>
      </c>
      <c r="C4821" t="s">
        <v>40</v>
      </c>
      <c r="D4821">
        <v>5.6222629999999896</v>
      </c>
      <c r="E4821">
        <v>0.40562609999999999</v>
      </c>
      <c r="F4821" t="s">
        <v>41</v>
      </c>
      <c r="G4821">
        <v>-418.62470000000002</v>
      </c>
      <c r="H4821" s="1">
        <v>-4.7555149999999998E-7</v>
      </c>
      <c r="I4821">
        <v>89.970150000000004</v>
      </c>
      <c r="J4821">
        <v>-422.28300000000002</v>
      </c>
      <c r="K4821">
        <v>1.1114790000000001</v>
      </c>
      <c r="L4821">
        <v>107.9481</v>
      </c>
      <c r="M4821">
        <v>-4.252504E-2</v>
      </c>
      <c r="N4821">
        <v>0</v>
      </c>
      <c r="O4821">
        <v>-0.99900279999999997</v>
      </c>
      <c r="P4821">
        <v>-4.7782730000000002E-2</v>
      </c>
      <c r="Q4821">
        <v>8.3731609999999998E-4</v>
      </c>
      <c r="R4821">
        <v>-0.99885740000000001</v>
      </c>
      <c r="S4821">
        <v>0.60919190000000001</v>
      </c>
      <c r="T4821">
        <v>-0.1854411</v>
      </c>
      <c r="U4821">
        <v>-3.0345</v>
      </c>
      <c r="V4821">
        <v>5.220138E-3</v>
      </c>
      <c r="W4821">
        <v>1.445607E-2</v>
      </c>
      <c r="X4821">
        <v>0.99988189999999999</v>
      </c>
      <c r="Y4821">
        <v>-0.2379976</v>
      </c>
      <c r="Z4821">
        <v>5.9446840000000001E-2</v>
      </c>
      <c r="AA4821">
        <v>0.9694448</v>
      </c>
      <c r="AB4821">
        <v>21</v>
      </c>
      <c r="AC4821">
        <v>3.6582999999999899</v>
      </c>
      <c r="AD4821">
        <v>-1.1114794755515001</v>
      </c>
      <c r="AE4821">
        <v>-17.9779499999999</v>
      </c>
      <c r="AF4821">
        <v>-4.4034120191901502</v>
      </c>
      <c r="AG4821">
        <v>-1.1114794755515001</v>
      </c>
      <c r="AH4821">
        <v>17.7409856236109</v>
      </c>
      <c r="AI4821">
        <v>93.479607568833401</v>
      </c>
      <c r="AJ4821">
        <v>103.93943899451899</v>
      </c>
      <c r="AK4821">
        <v>18.313055313968999</v>
      </c>
      <c r="AL4821">
        <v>89.171699366807104</v>
      </c>
      <c r="AM4821">
        <v>89.700875514855099</v>
      </c>
      <c r="AN4821">
        <v>1.00000002087409</v>
      </c>
    </row>
    <row r="4822" spans="1:40" x14ac:dyDescent="0.25">
      <c r="A4822" t="str">
        <f>"20190312161109672"</f>
        <v>20190312161109672</v>
      </c>
      <c r="B4822" t="str">
        <f>"1552378269662423"</f>
        <v>1552378269662423</v>
      </c>
      <c r="C4822" t="s">
        <v>40</v>
      </c>
      <c r="D4822">
        <v>5.5564689999999999</v>
      </c>
      <c r="E4822">
        <v>0.40589530000000001</v>
      </c>
      <c r="F4822" t="s">
        <v>41</v>
      </c>
      <c r="G4822">
        <v>-418.63690000000003</v>
      </c>
      <c r="H4822" s="1">
        <v>-4.4427110000000001E-7</v>
      </c>
      <c r="I4822">
        <v>89.887829999999994</v>
      </c>
      <c r="J4822">
        <v>-422.28890000000001</v>
      </c>
      <c r="K4822">
        <v>1.1114569999999999</v>
      </c>
      <c r="L4822">
        <v>107.7543</v>
      </c>
      <c r="M4822">
        <v>-4.0643239999999997E-2</v>
      </c>
      <c r="N4822">
        <v>0</v>
      </c>
      <c r="O4822">
        <v>-0.99908129999999995</v>
      </c>
      <c r="P4822">
        <v>-4.5826020000000002E-2</v>
      </c>
      <c r="Q4822">
        <v>-2.4132090000000001E-4</v>
      </c>
      <c r="R4822">
        <v>-0.99894959999999999</v>
      </c>
      <c r="S4822">
        <v>0.61227419999999899</v>
      </c>
      <c r="T4822">
        <v>-0.18665019999999999</v>
      </c>
      <c r="U4822">
        <v>-3.0328520000000001</v>
      </c>
      <c r="V4822">
        <v>5.1484549999999997E-3</v>
      </c>
      <c r="W4822">
        <v>1.3374230000000001E-2</v>
      </c>
      <c r="X4822">
        <v>0.99989729999999999</v>
      </c>
      <c r="Y4822">
        <v>-0.2372117</v>
      </c>
      <c r="Z4822">
        <v>5.9871830000000001E-2</v>
      </c>
      <c r="AA4822">
        <v>0.96961120000000001</v>
      </c>
      <c r="AB4822">
        <v>21</v>
      </c>
      <c r="AC4822">
        <v>3.6519999999999802</v>
      </c>
      <c r="AD4822">
        <v>-1.1114574442710901</v>
      </c>
      <c r="AE4822">
        <v>-17.8664699999999</v>
      </c>
      <c r="AF4822">
        <v>-4.3590074718207097</v>
      </c>
      <c r="AG4822">
        <v>-1.1114574442710901</v>
      </c>
      <c r="AH4822">
        <v>17.6377416899319</v>
      </c>
      <c r="AI4822">
        <v>93.500723550397495</v>
      </c>
      <c r="AJ4822">
        <v>103.88196218355</v>
      </c>
      <c r="AK4822">
        <v>18.202368409373999</v>
      </c>
      <c r="AL4822">
        <v>89.233690215711206</v>
      </c>
      <c r="AM4822">
        <v>89.7049875665504</v>
      </c>
      <c r="AN4822">
        <v>0.99999999358213498</v>
      </c>
    </row>
    <row r="4823" spans="1:40" x14ac:dyDescent="0.25">
      <c r="A4823" t="str">
        <f>"20190312161109694"</f>
        <v>20190312161109694</v>
      </c>
      <c r="B4823" t="str">
        <f>"1552378269681572"</f>
        <v>1552378269681572</v>
      </c>
      <c r="C4823" t="s">
        <v>40</v>
      </c>
      <c r="D4823">
        <v>5.6308689999999997</v>
      </c>
      <c r="E4823">
        <v>0.40615420000000002</v>
      </c>
      <c r="F4823" t="s">
        <v>41</v>
      </c>
      <c r="G4823">
        <v>-418.64139999999998</v>
      </c>
      <c r="H4823" s="1">
        <v>-4.2708630000000002E-7</v>
      </c>
      <c r="I4823">
        <v>89.840869999999995</v>
      </c>
      <c r="J4823">
        <v>-422.29489999999998</v>
      </c>
      <c r="K4823">
        <v>1.11144</v>
      </c>
      <c r="L4823">
        <v>107.5506</v>
      </c>
      <c r="M4823">
        <v>-3.8705429999999999E-2</v>
      </c>
      <c r="N4823">
        <v>0</v>
      </c>
      <c r="O4823">
        <v>-0.99915830000000005</v>
      </c>
      <c r="P4823">
        <v>-4.4356420000000001E-2</v>
      </c>
      <c r="Q4823">
        <v>-8.4696779999999996E-4</v>
      </c>
      <c r="R4823">
        <v>-0.9990156</v>
      </c>
      <c r="S4823">
        <v>0.61724849999999998</v>
      </c>
      <c r="T4823">
        <v>-0.18808759999999999</v>
      </c>
      <c r="U4823">
        <v>-3.0314179999999999</v>
      </c>
      <c r="V4823">
        <v>5.6191899999999996E-3</v>
      </c>
      <c r="W4823">
        <v>1.2765840000000001E-2</v>
      </c>
      <c r="X4823">
        <v>0.99990270000000003</v>
      </c>
      <c r="Y4823">
        <v>-0.23693910000000001</v>
      </c>
      <c r="Z4823">
        <v>6.0358479999999999E-2</v>
      </c>
      <c r="AA4823">
        <v>0.9696477</v>
      </c>
      <c r="AB4823">
        <v>21</v>
      </c>
      <c r="AC4823">
        <v>3.6535000000000002</v>
      </c>
      <c r="AD4823">
        <v>-1.1114404270863001</v>
      </c>
      <c r="AE4823">
        <v>-17.70973</v>
      </c>
      <c r="AF4823">
        <v>-4.3199674781076398</v>
      </c>
      <c r="AG4823">
        <v>-1.1114404270863001</v>
      </c>
      <c r="AH4823">
        <v>17.4889625336662</v>
      </c>
      <c r="AI4823">
        <v>93.530481855821407</v>
      </c>
      <c r="AJ4823">
        <v>103.87495149615</v>
      </c>
      <c r="AK4823">
        <v>18.0488567321825</v>
      </c>
      <c r="AL4823">
        <v>89.268551360422904</v>
      </c>
      <c r="AM4823">
        <v>89.678016188905701</v>
      </c>
      <c r="AN4823">
        <v>0.99999997571722499</v>
      </c>
    </row>
    <row r="4824" spans="1:40" x14ac:dyDescent="0.25">
      <c r="A4824" t="str">
        <f>"20190312161109717"</f>
        <v>20190312161109717</v>
      </c>
      <c r="B4824" t="str">
        <f>"1552378269711829"</f>
        <v>1552378269711829</v>
      </c>
      <c r="C4824" t="s">
        <v>40</v>
      </c>
      <c r="D4824">
        <v>5.5894320000000004</v>
      </c>
      <c r="E4824">
        <v>0.43134099999999997</v>
      </c>
      <c r="F4824" t="s">
        <v>41</v>
      </c>
      <c r="G4824">
        <v>-418.62830000000002</v>
      </c>
      <c r="H4824" s="1">
        <v>-4.5258169999999998E-6</v>
      </c>
      <c r="I4824">
        <v>89.615380000000002</v>
      </c>
      <c r="J4824">
        <v>-422.30070000000001</v>
      </c>
      <c r="K4824">
        <v>1.11141</v>
      </c>
      <c r="L4824">
        <v>107.33929999999999</v>
      </c>
      <c r="M4824">
        <v>-3.6737989999999998E-2</v>
      </c>
      <c r="N4824">
        <v>0</v>
      </c>
      <c r="O4824">
        <v>-0.99923249999999997</v>
      </c>
      <c r="P4824">
        <v>-4.2631009999999997E-2</v>
      </c>
      <c r="Q4824">
        <v>-1.0767870000000001E-3</v>
      </c>
      <c r="R4824">
        <v>-0.99909020000000004</v>
      </c>
      <c r="S4824">
        <v>0.61950680000000002</v>
      </c>
      <c r="T4824">
        <v>-0.18778739999999999</v>
      </c>
      <c r="U4824">
        <v>-3.0303040000000001</v>
      </c>
      <c r="V4824">
        <v>5.8626260000000001E-3</v>
      </c>
      <c r="W4824">
        <v>1.253221E-2</v>
      </c>
      <c r="X4824">
        <v>0.99990429999999997</v>
      </c>
      <c r="Y4824">
        <v>-0.23579040000000001</v>
      </c>
      <c r="Z4824">
        <v>6.0295099999999997E-2</v>
      </c>
      <c r="AA4824">
        <v>0.96993169999999995</v>
      </c>
      <c r="AB4824">
        <v>21</v>
      </c>
      <c r="AC4824">
        <v>3.6723999999999801</v>
      </c>
      <c r="AD4824">
        <v>-1.1114145258170001</v>
      </c>
      <c r="AE4824">
        <v>-17.7239199999999</v>
      </c>
      <c r="AF4824">
        <v>-4.3048910129162801</v>
      </c>
      <c r="AG4824">
        <v>-1.1114145258170001</v>
      </c>
      <c r="AH4824">
        <v>17.511002044821002</v>
      </c>
      <c r="AI4824">
        <v>93.526925242476395</v>
      </c>
      <c r="AJ4824">
        <v>103.81165263127301</v>
      </c>
      <c r="AK4824">
        <v>18.066613448430498</v>
      </c>
      <c r="AL4824">
        <v>89.281938475043205</v>
      </c>
      <c r="AM4824">
        <v>89.664067973678698</v>
      </c>
      <c r="AN4824">
        <v>1.0000000179147901</v>
      </c>
    </row>
    <row r="4825" spans="1:40" x14ac:dyDescent="0.25">
      <c r="A4825" t="str">
        <f>"20190312161109740"</f>
        <v>20190312161109740</v>
      </c>
      <c r="B4825" t="str">
        <f>"1552378269731348"</f>
        <v>1552378269731348</v>
      </c>
      <c r="C4825" t="s">
        <v>40</v>
      </c>
      <c r="D4825">
        <v>5.5200800000000001</v>
      </c>
      <c r="E4825">
        <v>0.44940629999999998</v>
      </c>
      <c r="F4825" t="s">
        <v>41</v>
      </c>
      <c r="G4825">
        <v>-419.36610000000002</v>
      </c>
      <c r="H4825" s="1">
        <v>-3.011012E-6</v>
      </c>
      <c r="I4825">
        <v>86.389390000000006</v>
      </c>
      <c r="J4825">
        <v>-422.30619999999999</v>
      </c>
      <c r="K4825">
        <v>1.1113770000000001</v>
      </c>
      <c r="L4825">
        <v>107.128</v>
      </c>
      <c r="M4825">
        <v>-3.4814629999999999E-2</v>
      </c>
      <c r="N4825">
        <v>0</v>
      </c>
      <c r="O4825">
        <v>-0.99930160000000001</v>
      </c>
      <c r="P4825">
        <v>-4.1613820000000003E-2</v>
      </c>
      <c r="Q4825">
        <v>-1.682039E-3</v>
      </c>
      <c r="R4825">
        <v>-0.99913240000000003</v>
      </c>
      <c r="S4825">
        <v>0.42312620000000001</v>
      </c>
      <c r="T4825">
        <v>-0.16024649999999999</v>
      </c>
      <c r="U4825">
        <v>-3.0206149999999998</v>
      </c>
      <c r="V4825">
        <v>6.7717659999999898E-3</v>
      </c>
      <c r="W4825">
        <v>1.1924290000000001E-2</v>
      </c>
      <c r="X4825">
        <v>0.99990590000000001</v>
      </c>
      <c r="Y4825">
        <v>-0.172932</v>
      </c>
      <c r="Z4825">
        <v>5.2274630000000002E-2</v>
      </c>
      <c r="AA4825">
        <v>0.98354549999999996</v>
      </c>
      <c r="AB4825">
        <v>21</v>
      </c>
      <c r="AC4825">
        <v>2.94009999999997</v>
      </c>
      <c r="AD4825">
        <v>-1.111380011012</v>
      </c>
      <c r="AE4825">
        <v>-20.738609999999898</v>
      </c>
      <c r="AF4825">
        <v>-3.6501147581576801</v>
      </c>
      <c r="AG4825">
        <v>-1.111380011012</v>
      </c>
      <c r="AH4825">
        <v>20.565769058725198</v>
      </c>
      <c r="AI4825">
        <v>93.045762950181995</v>
      </c>
      <c r="AJ4825">
        <v>100.06433410308</v>
      </c>
      <c r="AK4825">
        <v>20.916724415008598</v>
      </c>
      <c r="AL4825">
        <v>89.316772267694702</v>
      </c>
      <c r="AM4825">
        <v>89.611975806943406</v>
      </c>
      <c r="AN4825">
        <v>0.99999992718078301</v>
      </c>
    </row>
    <row r="4826" spans="1:40" x14ac:dyDescent="0.25">
      <c r="A4826" t="str">
        <f>"20190312161109761"</f>
        <v>20190312161109761</v>
      </c>
      <c r="B4826" t="str">
        <f>"1552378269751844"</f>
        <v>1552378269751844</v>
      </c>
      <c r="C4826" t="s">
        <v>40</v>
      </c>
      <c r="D4826">
        <v>5.4976839999999996</v>
      </c>
      <c r="E4826">
        <v>0.45718340000000002</v>
      </c>
      <c r="F4826" t="s">
        <v>41</v>
      </c>
      <c r="G4826">
        <v>-420.52620000000002</v>
      </c>
      <c r="H4826" s="1">
        <v>-3.8157279999999997E-6</v>
      </c>
      <c r="I4826">
        <v>88.157300000000006</v>
      </c>
      <c r="J4826">
        <v>-422.31099999999998</v>
      </c>
      <c r="K4826">
        <v>1.111337</v>
      </c>
      <c r="L4826">
        <v>106.92870000000001</v>
      </c>
      <c r="M4826">
        <v>-3.3046939999999997E-2</v>
      </c>
      <c r="N4826">
        <v>0</v>
      </c>
      <c r="O4826">
        <v>-0.99936150000000001</v>
      </c>
      <c r="P4826">
        <v>-4.112727E-2</v>
      </c>
      <c r="Q4826">
        <v>-1.902272E-3</v>
      </c>
      <c r="R4826">
        <v>-0.99915209999999999</v>
      </c>
      <c r="S4826">
        <v>0.28280640000000001</v>
      </c>
      <c r="T4826">
        <v>-0.1765767</v>
      </c>
      <c r="U4826">
        <v>-3.0140690000000001</v>
      </c>
      <c r="V4826">
        <v>8.0551379999999999E-3</v>
      </c>
      <c r="W4826">
        <v>1.1702570000000001E-2</v>
      </c>
      <c r="X4826">
        <v>0.99989910000000004</v>
      </c>
      <c r="Y4826">
        <v>-0.1261149</v>
      </c>
      <c r="Z4826">
        <v>5.807532E-2</v>
      </c>
      <c r="AA4826">
        <v>0.99031420000000003</v>
      </c>
      <c r="AB4826">
        <v>21</v>
      </c>
      <c r="AC4826">
        <v>1.78479999999996</v>
      </c>
      <c r="AD4826">
        <v>-1.111340815728</v>
      </c>
      <c r="AE4826">
        <v>-18.7714</v>
      </c>
      <c r="AF4826">
        <v>-2.3958968908496501</v>
      </c>
      <c r="AG4826">
        <v>-1.111340815728</v>
      </c>
      <c r="AH4826">
        <v>18.6374167148251</v>
      </c>
      <c r="AI4826">
        <v>93.384693566240401</v>
      </c>
      <c r="AJ4826">
        <v>97.325371154311597</v>
      </c>
      <c r="AK4826">
        <v>18.823620855784601</v>
      </c>
      <c r="AL4826">
        <v>89.329476839521803</v>
      </c>
      <c r="AM4826">
        <v>89.538438001288398</v>
      </c>
      <c r="AN4826">
        <v>1.0000000227868</v>
      </c>
    </row>
    <row r="4827" spans="1:40" x14ac:dyDescent="0.25">
      <c r="A4827" t="str">
        <f>"20190312161109784"</f>
        <v>20190312161109784</v>
      </c>
      <c r="B4827" t="str">
        <f>"1552378269772340"</f>
        <v>1552378269772340</v>
      </c>
      <c r="C4827" t="s">
        <v>40</v>
      </c>
      <c r="D4827">
        <v>5.502605</v>
      </c>
      <c r="E4827">
        <v>0.46096199999999998</v>
      </c>
      <c r="F4827" t="s">
        <v>41</v>
      </c>
      <c r="G4827">
        <v>-421.1096</v>
      </c>
      <c r="H4827" s="1">
        <v>-7.8130729999999899E-7</v>
      </c>
      <c r="I4827">
        <v>90.722149999999999</v>
      </c>
      <c r="J4827">
        <v>-422.31560000000002</v>
      </c>
      <c r="K4827">
        <v>1.1112899999999999</v>
      </c>
      <c r="L4827">
        <v>106.7265</v>
      </c>
      <c r="M4827">
        <v>-3.1301959999999997E-2</v>
      </c>
      <c r="N4827">
        <v>0</v>
      </c>
      <c r="O4827">
        <v>-0.99941780000000002</v>
      </c>
      <c r="P4827">
        <v>-4.0283340000000001E-2</v>
      </c>
      <c r="Q4827">
        <v>-2.2885309999999999E-3</v>
      </c>
      <c r="R4827">
        <v>-0.99918580000000001</v>
      </c>
      <c r="S4827">
        <v>0.22323609999999999</v>
      </c>
      <c r="T4827">
        <v>-0.20649899999999999</v>
      </c>
      <c r="U4827">
        <v>-3.0113530000000002</v>
      </c>
      <c r="V4827">
        <v>8.9584350000000007E-3</v>
      </c>
      <c r="W4827">
        <v>1.131398E-2</v>
      </c>
      <c r="X4827">
        <v>0.99989589999999995</v>
      </c>
      <c r="Y4827">
        <v>-0.1049398</v>
      </c>
      <c r="Z4827">
        <v>6.8080630000000003E-2</v>
      </c>
      <c r="AA4827">
        <v>0.99214550000000001</v>
      </c>
      <c r="AB4827">
        <v>21</v>
      </c>
      <c r="AC4827">
        <v>1.20600000000001</v>
      </c>
      <c r="AD4827">
        <v>-1.1112907813073001</v>
      </c>
      <c r="AE4827">
        <v>-16.004349999999999</v>
      </c>
      <c r="AF4827">
        <v>-1.6982806262203101</v>
      </c>
      <c r="AG4827">
        <v>-1.1112907813073001</v>
      </c>
      <c r="AH4827">
        <v>15.8826072411964</v>
      </c>
      <c r="AI4827">
        <v>93.979794606815304</v>
      </c>
      <c r="AJ4827">
        <v>96.103279806694701</v>
      </c>
      <c r="AK4827">
        <v>16.011756214235799</v>
      </c>
      <c r="AL4827">
        <v>89.351742888717993</v>
      </c>
      <c r="AM4827">
        <v>89.486679779883104</v>
      </c>
      <c r="AN4827">
        <v>1.00000003526894</v>
      </c>
    </row>
    <row r="4828" spans="1:40" x14ac:dyDescent="0.25">
      <c r="A4828" t="str">
        <f>"20190312161109808"</f>
        <v>20190312161109808</v>
      </c>
      <c r="B4828" t="str">
        <f>"1552378269801707"</f>
        <v>1552378269801707</v>
      </c>
      <c r="C4828" t="s">
        <v>40</v>
      </c>
      <c r="D4828">
        <v>5.4298729999999997</v>
      </c>
      <c r="E4828">
        <v>0.4633217</v>
      </c>
      <c r="F4828" t="s">
        <v>41</v>
      </c>
      <c r="G4828">
        <v>-421.3467</v>
      </c>
      <c r="H4828" s="1">
        <v>-1.332808E-6</v>
      </c>
      <c r="I4828">
        <v>91.860650000000007</v>
      </c>
      <c r="J4828">
        <v>-422.32</v>
      </c>
      <c r="K4828">
        <v>1.111253</v>
      </c>
      <c r="L4828">
        <v>106.5188</v>
      </c>
      <c r="M4828">
        <v>-2.9569080000000001E-2</v>
      </c>
      <c r="N4828">
        <v>0</v>
      </c>
      <c r="O4828">
        <v>-0.99947070000000005</v>
      </c>
      <c r="P4828">
        <v>-3.9196340000000003E-2</v>
      </c>
      <c r="Q4828">
        <v>-2.4200850000000002E-3</v>
      </c>
      <c r="R4828">
        <v>-0.99922869999999997</v>
      </c>
      <c r="S4828">
        <v>0.19616700000000001</v>
      </c>
      <c r="T4828">
        <v>-0.2250009</v>
      </c>
      <c r="U4828">
        <v>-3.0098569999999998</v>
      </c>
      <c r="V4828">
        <v>9.6056820000000008E-3</v>
      </c>
      <c r="W4828">
        <v>1.1179039999999999E-2</v>
      </c>
      <c r="X4828">
        <v>0.99989139999999999</v>
      </c>
      <c r="Y4828">
        <v>-9.4337840000000006E-2</v>
      </c>
      <c r="Z4828">
        <v>7.4253139999999995E-2</v>
      </c>
      <c r="AA4828">
        <v>0.99276730000000002</v>
      </c>
      <c r="AB4828">
        <v>21</v>
      </c>
      <c r="AC4828">
        <v>0.97329999999999395</v>
      </c>
      <c r="AD4828">
        <v>-1.111254332808</v>
      </c>
      <c r="AE4828">
        <v>-14.6581499999999</v>
      </c>
      <c r="AF4828">
        <v>-1.3983407309634099</v>
      </c>
      <c r="AG4828">
        <v>-1.111254332808</v>
      </c>
      <c r="AH4828">
        <v>14.5397587014384</v>
      </c>
      <c r="AI4828">
        <v>94.350547178628204</v>
      </c>
      <c r="AJ4828">
        <v>95.493445192429206</v>
      </c>
      <c r="AK4828">
        <v>14.649055467439201</v>
      </c>
      <c r="AL4828">
        <v>89.359474863956606</v>
      </c>
      <c r="AM4828">
        <v>89.449592117732706</v>
      </c>
      <c r="AN4828">
        <v>1.00000002592798</v>
      </c>
    </row>
    <row r="4829" spans="1:40" x14ac:dyDescent="0.25">
      <c r="A4829" t="str">
        <f>"20190312161109830"</f>
        <v>20190312161109830</v>
      </c>
      <c r="B4829" t="str">
        <f>"1552378269822203"</f>
        <v>1552378269822203</v>
      </c>
      <c r="C4829" t="s">
        <v>40</v>
      </c>
      <c r="D4829">
        <v>5.2626280000000003</v>
      </c>
      <c r="E4829">
        <v>0.46411190000000002</v>
      </c>
      <c r="F4829" t="s">
        <v>41</v>
      </c>
      <c r="G4829">
        <v>-421.46629999999999</v>
      </c>
      <c r="H4829" s="1">
        <v>-1.556728E-6</v>
      </c>
      <c r="I4829">
        <v>92.308430000000001</v>
      </c>
      <c r="J4829">
        <v>-422.32420000000002</v>
      </c>
      <c r="K4829">
        <v>1.1112249999999999</v>
      </c>
      <c r="L4829">
        <v>106.3045</v>
      </c>
      <c r="M4829">
        <v>-2.7840730000000001E-2</v>
      </c>
      <c r="N4829">
        <v>0</v>
      </c>
      <c r="O4829">
        <v>-0.99952030000000003</v>
      </c>
      <c r="P4829">
        <v>-3.8135420000000003E-2</v>
      </c>
      <c r="Q4829">
        <v>-2.3867049999999998E-3</v>
      </c>
      <c r="R4829">
        <v>-0.99926990000000004</v>
      </c>
      <c r="S4829">
        <v>0.18075559999999999</v>
      </c>
      <c r="T4829">
        <v>-0.2352909</v>
      </c>
      <c r="U4829">
        <v>-3.0088200000000001</v>
      </c>
      <c r="V4829">
        <v>1.027404E-2</v>
      </c>
      <c r="W4829">
        <v>1.120908E-2</v>
      </c>
      <c r="X4829">
        <v>0.99988440000000001</v>
      </c>
      <c r="Y4829">
        <v>-8.7555549999999996E-2</v>
      </c>
      <c r="Z4829">
        <v>7.7697649999999993E-2</v>
      </c>
      <c r="AA4829">
        <v>0.99312489999999998</v>
      </c>
      <c r="AB4829">
        <v>21</v>
      </c>
      <c r="AC4829">
        <v>0.85790000000002897</v>
      </c>
      <c r="AD4829">
        <v>-1.111226556728</v>
      </c>
      <c r="AE4829">
        <v>-13.99607</v>
      </c>
      <c r="AF4829">
        <v>-1.2394800455220101</v>
      </c>
      <c r="AG4829">
        <v>-1.111226556728</v>
      </c>
      <c r="AH4829">
        <v>13.8795921846213</v>
      </c>
      <c r="AI4829">
        <v>94.559378189452801</v>
      </c>
      <c r="AJ4829">
        <v>95.103110239695994</v>
      </c>
      <c r="AK4829">
        <v>13.9790634326848</v>
      </c>
      <c r="AL4829">
        <v>89.357753578374499</v>
      </c>
      <c r="AM4829">
        <v>89.411293530608404</v>
      </c>
      <c r="AN4829">
        <v>1.00000000636786</v>
      </c>
    </row>
    <row r="4830" spans="1:40" x14ac:dyDescent="0.25">
      <c r="A4830" t="str">
        <f>"20190312161109853"</f>
        <v>20190312161109853</v>
      </c>
      <c r="B4830" t="str">
        <f>"1552378269841722"</f>
        <v>1552378269841722</v>
      </c>
      <c r="C4830" t="s">
        <v>40</v>
      </c>
      <c r="D4830">
        <v>5.2768949999999997</v>
      </c>
      <c r="E4830">
        <v>0.46474979999999999</v>
      </c>
      <c r="F4830" t="s">
        <v>41</v>
      </c>
      <c r="G4830">
        <v>-421.45420000000001</v>
      </c>
      <c r="H4830" s="1">
        <v>-1.23806E-6</v>
      </c>
      <c r="I4830">
        <v>91.573099999999997</v>
      </c>
      <c r="J4830">
        <v>-422.32799999999997</v>
      </c>
      <c r="K4830">
        <v>1.1111899999999999</v>
      </c>
      <c r="L4830">
        <v>106.0973</v>
      </c>
      <c r="M4830">
        <v>-2.6215180000000001E-2</v>
      </c>
      <c r="N4830">
        <v>0</v>
      </c>
      <c r="O4830">
        <v>-0.99956449999999997</v>
      </c>
      <c r="P4830">
        <v>-3.6902919999999999E-2</v>
      </c>
      <c r="Q4830">
        <v>-2.4111810000000001E-3</v>
      </c>
      <c r="R4830">
        <v>-0.99931619999999999</v>
      </c>
      <c r="S4830">
        <v>0.17767330000000001</v>
      </c>
      <c r="T4830">
        <v>-0.22693279999999999</v>
      </c>
      <c r="U4830">
        <v>-3.0084230000000001</v>
      </c>
      <c r="V4830">
        <v>1.066776E-2</v>
      </c>
      <c r="W4830">
        <v>1.118095E-2</v>
      </c>
      <c r="X4830">
        <v>0.99988060000000001</v>
      </c>
      <c r="Y4830">
        <v>-8.494148E-2</v>
      </c>
      <c r="Z4830">
        <v>7.4979069999999995E-2</v>
      </c>
      <c r="AA4830">
        <v>0.99356080000000002</v>
      </c>
      <c r="AB4830">
        <v>21</v>
      </c>
      <c r="AC4830">
        <v>0.87380000000001701</v>
      </c>
      <c r="AD4830">
        <v>-1.11119123806</v>
      </c>
      <c r="AE4830">
        <v>-14.5242</v>
      </c>
      <c r="AF4830">
        <v>-1.2470164004062501</v>
      </c>
      <c r="AG4830">
        <v>-1.11119123806</v>
      </c>
      <c r="AH4830">
        <v>14.4122450336887</v>
      </c>
      <c r="AI4830">
        <v>94.392463846160396</v>
      </c>
      <c r="AJ4830">
        <v>94.945188753134204</v>
      </c>
      <c r="AK4830">
        <v>14.508707826043899</v>
      </c>
      <c r="AL4830">
        <v>89.359365414859994</v>
      </c>
      <c r="AM4830">
        <v>89.388732579512194</v>
      </c>
      <c r="AN4830">
        <v>1.0000000145013399</v>
      </c>
    </row>
    <row r="4831" spans="1:40" x14ac:dyDescent="0.25">
      <c r="A4831" t="str">
        <f>"20190312161109873"</f>
        <v>20190312161109873</v>
      </c>
      <c r="B4831" t="str">
        <f>"1552378269862219"</f>
        <v>1552378269862219</v>
      </c>
      <c r="C4831" t="s">
        <v>40</v>
      </c>
      <c r="D4831">
        <v>5.2280300000000004</v>
      </c>
      <c r="E4831">
        <v>0.46591510000000003</v>
      </c>
      <c r="F4831" t="s">
        <v>41</v>
      </c>
      <c r="G4831">
        <v>-421.46960000000001</v>
      </c>
      <c r="H4831" s="1">
        <v>-1.1922020000000001E-6</v>
      </c>
      <c r="I4831">
        <v>91.456659999999999</v>
      </c>
      <c r="J4831">
        <v>-422.3313</v>
      </c>
      <c r="K4831">
        <v>1.11117</v>
      </c>
      <c r="L4831">
        <v>105.9085</v>
      </c>
      <c r="M4831">
        <v>-2.4772700000000002E-2</v>
      </c>
      <c r="N4831">
        <v>0</v>
      </c>
      <c r="O4831">
        <v>-0.99960110000000002</v>
      </c>
      <c r="P4831">
        <v>-3.5675749999999999E-2</v>
      </c>
      <c r="Q4831">
        <v>-2.090387E-3</v>
      </c>
      <c r="R4831">
        <v>-0.99936119999999995</v>
      </c>
      <c r="S4831">
        <v>0.17636109999999999</v>
      </c>
      <c r="T4831">
        <v>-0.22830339999999999</v>
      </c>
      <c r="U4831">
        <v>-3.008041</v>
      </c>
      <c r="V4831">
        <v>1.088282E-2</v>
      </c>
      <c r="W4831">
        <v>1.149755E-2</v>
      </c>
      <c r="X4831">
        <v>0.99987470000000001</v>
      </c>
      <c r="Y4831">
        <v>-8.3076899999999995E-2</v>
      </c>
      <c r="Z4831">
        <v>7.5449929999999998E-2</v>
      </c>
      <c r="AA4831">
        <v>0.99368279999999998</v>
      </c>
      <c r="AB4831">
        <v>21</v>
      </c>
      <c r="AC4831">
        <v>0.86169999999998403</v>
      </c>
      <c r="AD4831">
        <v>-1.111171192202</v>
      </c>
      <c r="AE4831">
        <v>-14.451840000000001</v>
      </c>
      <c r="AF4831">
        <v>-1.2123378921774699</v>
      </c>
      <c r="AG4831">
        <v>-1.111171192202</v>
      </c>
      <c r="AH4831">
        <v>14.341572099519601</v>
      </c>
      <c r="AI4831">
        <v>94.414688088403196</v>
      </c>
      <c r="AJ4831">
        <v>94.831903730879205</v>
      </c>
      <c r="AK4831">
        <v>14.435551768772401</v>
      </c>
      <c r="AL4831">
        <v>89.341224410254696</v>
      </c>
      <c r="AM4831">
        <v>89.3764068294618</v>
      </c>
      <c r="AN4831">
        <v>1.0000000225636201</v>
      </c>
    </row>
    <row r="4832" spans="1:40" x14ac:dyDescent="0.25">
      <c r="A4832" t="str">
        <f>"20190312161109896"</f>
        <v>20190312161109896</v>
      </c>
      <c r="B4832" t="str">
        <f>"1552378269892005"</f>
        <v>1552378269892005</v>
      </c>
      <c r="C4832" t="s">
        <v>40</v>
      </c>
      <c r="D4832">
        <v>5.0779389999999998</v>
      </c>
      <c r="E4832">
        <v>0.4666129</v>
      </c>
      <c r="F4832" t="s">
        <v>41</v>
      </c>
      <c r="G4832">
        <v>-421.50259999999997</v>
      </c>
      <c r="H4832" s="1">
        <v>-1.144308E-6</v>
      </c>
      <c r="I4832">
        <v>91.324569999999994</v>
      </c>
      <c r="J4832">
        <v>-422.3347</v>
      </c>
      <c r="K4832">
        <v>1.111151</v>
      </c>
      <c r="L4832">
        <v>105.6944</v>
      </c>
      <c r="M4832">
        <v>-2.3185999999999998E-2</v>
      </c>
      <c r="N4832">
        <v>0</v>
      </c>
      <c r="O4832">
        <v>-0.99963930000000001</v>
      </c>
      <c r="P4832">
        <v>-3.3821610000000002E-2</v>
      </c>
      <c r="Q4832">
        <v>-1.681021E-3</v>
      </c>
      <c r="R4832">
        <v>-0.9994267</v>
      </c>
      <c r="S4832">
        <v>0.17089840000000001</v>
      </c>
      <c r="T4832">
        <v>-0.2291472</v>
      </c>
      <c r="U4832">
        <v>-3.0075229999999999</v>
      </c>
      <c r="V4832">
        <v>1.061484E-2</v>
      </c>
      <c r="W4832">
        <v>1.1902350000000001E-2</v>
      </c>
      <c r="X4832">
        <v>0.99987280000000001</v>
      </c>
      <c r="Y4832">
        <v>-7.9704490000000003E-2</v>
      </c>
      <c r="Z4832">
        <v>7.5758870000000006E-2</v>
      </c>
      <c r="AA4832">
        <v>0.99393549999999997</v>
      </c>
      <c r="AB4832">
        <v>21</v>
      </c>
      <c r="AC4832">
        <v>0.83210000000002504</v>
      </c>
      <c r="AD4832">
        <v>-1.1111521443079999</v>
      </c>
      <c r="AE4832">
        <v>-14.36983</v>
      </c>
      <c r="AF4832">
        <v>-1.1581838642754001</v>
      </c>
      <c r="AG4832">
        <v>-1.1111521443079999</v>
      </c>
      <c r="AH4832">
        <v>14.261682767432299</v>
      </c>
      <c r="AI4832">
        <v>94.4404530542419</v>
      </c>
      <c r="AJ4832">
        <v>94.642772110228606</v>
      </c>
      <c r="AK4832">
        <v>14.3517122431487</v>
      </c>
      <c r="AL4832">
        <v>89.318029461385095</v>
      </c>
      <c r="AM4832">
        <v>89.391759946325905</v>
      </c>
      <c r="AN4832">
        <v>0.99999997847179301</v>
      </c>
    </row>
    <row r="4833" spans="1:40" x14ac:dyDescent="0.25">
      <c r="A4833" t="str">
        <f>"20190312161109919"</f>
        <v>20190312161109919</v>
      </c>
      <c r="B4833" t="str">
        <f>"1552378269911525"</f>
        <v>1552378269911525</v>
      </c>
      <c r="C4833" t="s">
        <v>40</v>
      </c>
      <c r="D4833">
        <v>5.0062110000000004</v>
      </c>
      <c r="E4833">
        <v>0.46689819999999999</v>
      </c>
      <c r="F4833" t="s">
        <v>41</v>
      </c>
      <c r="G4833">
        <v>-421.45780000000002</v>
      </c>
      <c r="H4833" s="1">
        <v>-6.7181140000000003E-7</v>
      </c>
      <c r="I4833">
        <v>90.250960000000006</v>
      </c>
      <c r="J4833">
        <v>-422.33749999999998</v>
      </c>
      <c r="K4833">
        <v>1.1111249999999999</v>
      </c>
      <c r="L4833">
        <v>105.4919</v>
      </c>
      <c r="M4833">
        <v>-2.1737050000000001E-2</v>
      </c>
      <c r="N4833">
        <v>0</v>
      </c>
      <c r="O4833">
        <v>-0.9996718</v>
      </c>
      <c r="P4833">
        <v>-3.2312260000000002E-2</v>
      </c>
      <c r="Q4833">
        <v>-9.8569270000000006E-4</v>
      </c>
      <c r="R4833">
        <v>-0.99947750000000002</v>
      </c>
      <c r="S4833">
        <v>0.170745799999999</v>
      </c>
      <c r="T4833">
        <v>-0.21636349999999999</v>
      </c>
      <c r="U4833">
        <v>-3.0071409999999998</v>
      </c>
      <c r="V4833">
        <v>1.0553669999999999E-2</v>
      </c>
      <c r="W4833">
        <v>1.259324E-2</v>
      </c>
      <c r="X4833">
        <v>0.999865</v>
      </c>
      <c r="Y4833">
        <v>-7.8234029999999996E-2</v>
      </c>
      <c r="Z4833">
        <v>7.1571620000000002E-2</v>
      </c>
      <c r="AA4833">
        <v>0.99436259999999999</v>
      </c>
      <c r="AB4833">
        <v>20</v>
      </c>
      <c r="AC4833">
        <v>0.87969999999995696</v>
      </c>
      <c r="AD4833">
        <v>-1.1111256718114</v>
      </c>
      <c r="AE4833">
        <v>-15.24094</v>
      </c>
      <c r="AF4833">
        <v>-1.2044353207213601</v>
      </c>
      <c r="AG4833">
        <v>-1.1111256718114</v>
      </c>
      <c r="AH4833">
        <v>15.138023049995001</v>
      </c>
      <c r="AI4833">
        <v>94.184784901140503</v>
      </c>
      <c r="AJ4833">
        <v>94.549074437768695</v>
      </c>
      <c r="AK4833">
        <v>15.2264574528201</v>
      </c>
      <c r="AL4833">
        <v>89.278441420411895</v>
      </c>
      <c r="AM4833">
        <v>89.395260065067305</v>
      </c>
      <c r="AN4833">
        <v>0.99999999393458305</v>
      </c>
    </row>
    <row r="4834" spans="1:40" x14ac:dyDescent="0.25">
      <c r="A4834" t="str">
        <f>"20190312161109941"</f>
        <v>20190312161109941</v>
      </c>
      <c r="B4834" t="str">
        <f>"1552378269932022"</f>
        <v>1552378269932022</v>
      </c>
      <c r="C4834" t="s">
        <v>40</v>
      </c>
      <c r="D4834">
        <v>4.9634559999999999</v>
      </c>
      <c r="E4834">
        <v>0.46722059999999999</v>
      </c>
      <c r="F4834" t="s">
        <v>41</v>
      </c>
      <c r="G4834">
        <v>-421.4117</v>
      </c>
      <c r="H4834" s="1">
        <v>-4.4635499999999998E-6</v>
      </c>
      <c r="I4834">
        <v>89.367249999999999</v>
      </c>
      <c r="J4834">
        <v>-422.34030000000001</v>
      </c>
      <c r="K4834">
        <v>1.111089</v>
      </c>
      <c r="L4834">
        <v>105.2851</v>
      </c>
      <c r="M4834">
        <v>-2.0310870000000002E-2</v>
      </c>
      <c r="N4834">
        <v>0</v>
      </c>
      <c r="O4834">
        <v>-0.99970190000000003</v>
      </c>
      <c r="P4834">
        <v>-3.0964439999999999E-2</v>
      </c>
      <c r="Q4834">
        <v>-2.6575539999999998E-4</v>
      </c>
      <c r="R4834">
        <v>-0.99952070000000004</v>
      </c>
      <c r="S4834">
        <v>0.17263789999999901</v>
      </c>
      <c r="T4834">
        <v>-0.2072039</v>
      </c>
      <c r="U4834">
        <v>-3.0069270000000001</v>
      </c>
      <c r="V4834">
        <v>1.0631649999999999E-2</v>
      </c>
      <c r="W4834">
        <v>1.330843E-2</v>
      </c>
      <c r="X4834">
        <v>0.99985489999999999</v>
      </c>
      <c r="Y4834">
        <v>-7.7451549999999994E-2</v>
      </c>
      <c r="Z4834">
        <v>6.856508E-2</v>
      </c>
      <c r="AA4834">
        <v>0.99463559999999995</v>
      </c>
      <c r="AB4834">
        <v>20</v>
      </c>
      <c r="AC4834">
        <v>0.92860000000001697</v>
      </c>
      <c r="AD4834">
        <v>-1.11109346355</v>
      </c>
      <c r="AE4834">
        <v>-15.91785</v>
      </c>
      <c r="AF4834">
        <v>-1.2456946791719701</v>
      </c>
      <c r="AG4834">
        <v>-1.11109346355</v>
      </c>
      <c r="AH4834">
        <v>15.8188906678254</v>
      </c>
      <c r="AI4834">
        <v>94.005405749307201</v>
      </c>
      <c r="AJ4834">
        <v>94.5025953068033</v>
      </c>
      <c r="AK4834">
        <v>15.906715119064501</v>
      </c>
      <c r="AL4834">
        <v>89.237460606034503</v>
      </c>
      <c r="AM4834">
        <v>89.3907858849701</v>
      </c>
      <c r="AN4834">
        <v>0.99999998367239795</v>
      </c>
    </row>
    <row r="4835" spans="1:40" x14ac:dyDescent="0.25">
      <c r="A4835" t="str">
        <f>"20190312161109963"</f>
        <v>20190312161109963</v>
      </c>
      <c r="B4835" t="str">
        <f>"1552378269951542"</f>
        <v>1552378269951542</v>
      </c>
      <c r="C4835" t="s">
        <v>40</v>
      </c>
      <c r="D4835">
        <v>4.8715169999999999</v>
      </c>
      <c r="E4835">
        <v>0.46740599999999999</v>
      </c>
      <c r="F4835" t="s">
        <v>41</v>
      </c>
      <c r="G4835">
        <v>-421.36520000000002</v>
      </c>
      <c r="H4835" s="1">
        <v>-4.155297E-6</v>
      </c>
      <c r="I4835">
        <v>88.485699999999994</v>
      </c>
      <c r="J4835">
        <v>-422.34269999999998</v>
      </c>
      <c r="K4835">
        <v>1.1110580000000001</v>
      </c>
      <c r="L4835">
        <v>105.0934</v>
      </c>
      <c r="M4835">
        <v>-1.9043640000000001E-2</v>
      </c>
      <c r="N4835">
        <v>0</v>
      </c>
      <c r="O4835">
        <v>-0.99972700000000003</v>
      </c>
      <c r="P4835">
        <v>-2.948483E-2</v>
      </c>
      <c r="Q4835" s="1">
        <v>-9.0564890000000004E-5</v>
      </c>
      <c r="R4835">
        <v>-0.99956540000000005</v>
      </c>
      <c r="S4835">
        <v>0.17452999999999999</v>
      </c>
      <c r="T4835">
        <v>-0.19886670000000001</v>
      </c>
      <c r="U4835">
        <v>-3.0068049999999999</v>
      </c>
      <c r="V4835">
        <v>1.0419909999999999E-2</v>
      </c>
      <c r="W4835">
        <v>1.3479130000000001E-2</v>
      </c>
      <c r="X4835">
        <v>0.99985489999999999</v>
      </c>
      <c r="Y4835">
        <v>-7.6824580000000003E-2</v>
      </c>
      <c r="Z4835">
        <v>6.582404E-2</v>
      </c>
      <c r="AA4835">
        <v>0.99486940000000001</v>
      </c>
      <c r="AB4835">
        <v>20</v>
      </c>
      <c r="AC4835">
        <v>0.97749999999996295</v>
      </c>
      <c r="AD4835">
        <v>-1.1110621552969999</v>
      </c>
      <c r="AE4835">
        <v>-16.607700000000001</v>
      </c>
      <c r="AF4835">
        <v>-1.2878785307227401</v>
      </c>
      <c r="AG4835">
        <v>-1.1110621552969999</v>
      </c>
      <c r="AH4835">
        <v>16.512421881044698</v>
      </c>
      <c r="AI4835">
        <v>93.837806609853004</v>
      </c>
      <c r="AJ4835">
        <v>94.459728772146306</v>
      </c>
      <c r="AK4835">
        <v>16.5997941734359</v>
      </c>
      <c r="AL4835">
        <v>89.227679383393905</v>
      </c>
      <c r="AM4835">
        <v>89.402918109315607</v>
      </c>
      <c r="AN4835">
        <v>1.0000000412619801</v>
      </c>
    </row>
    <row r="4836" spans="1:40" x14ac:dyDescent="0.25">
      <c r="A4836" t="str">
        <f>"20190312161109986"</f>
        <v>20190312161109986</v>
      </c>
      <c r="B4836" t="str">
        <f>"1552378269982306"</f>
        <v>1552378269982306</v>
      </c>
      <c r="C4836" t="s">
        <v>40</v>
      </c>
      <c r="D4836">
        <v>4.8168989999999896</v>
      </c>
      <c r="E4836">
        <v>0.4677598</v>
      </c>
      <c r="F4836" t="s">
        <v>41</v>
      </c>
      <c r="G4836">
        <v>-421.31970000000001</v>
      </c>
      <c r="H4836" s="1">
        <v>-3.8237240000000002E-6</v>
      </c>
      <c r="I4836">
        <v>87.683800000000005</v>
      </c>
      <c r="J4836">
        <v>-422.3451</v>
      </c>
      <c r="K4836">
        <v>1.111016</v>
      </c>
      <c r="L4836">
        <v>104.887</v>
      </c>
      <c r="M4836">
        <v>-1.774891E-2</v>
      </c>
      <c r="N4836">
        <v>0</v>
      </c>
      <c r="O4836">
        <v>-0.9997509</v>
      </c>
      <c r="P4836">
        <v>-2.8818509999999999E-2</v>
      </c>
      <c r="Q4836">
        <v>-3.648581E-4</v>
      </c>
      <c r="R4836">
        <v>-0.99958480000000005</v>
      </c>
      <c r="S4836">
        <v>0.176666299999999</v>
      </c>
      <c r="T4836">
        <v>-0.19187209999999999</v>
      </c>
      <c r="U4836">
        <v>-3.0065</v>
      </c>
      <c r="V4836">
        <v>1.1050239999999999E-2</v>
      </c>
      <c r="W4836">
        <v>1.320116E-2</v>
      </c>
      <c r="X4836">
        <v>0.99985179999999996</v>
      </c>
      <c r="Y4836">
        <v>-7.6252420000000001E-2</v>
      </c>
      <c r="Z4836">
        <v>6.3527169999999994E-2</v>
      </c>
      <c r="AA4836">
        <v>0.99506280000000003</v>
      </c>
      <c r="AB4836">
        <v>20</v>
      </c>
      <c r="AC4836">
        <v>1.0253999999999901</v>
      </c>
      <c r="AD4836">
        <v>-1.1110198237240001</v>
      </c>
      <c r="AE4836">
        <v>-17.203199999999899</v>
      </c>
      <c r="AF4836">
        <v>-1.3250972301285</v>
      </c>
      <c r="AG4836">
        <v>-1.1110198237240001</v>
      </c>
      <c r="AH4836">
        <v>17.1111726127967</v>
      </c>
      <c r="AI4836">
        <v>93.703912780759296</v>
      </c>
      <c r="AJ4836">
        <v>94.428174182951395</v>
      </c>
      <c r="AK4836">
        <v>17.198327706580301</v>
      </c>
      <c r="AL4836">
        <v>89.243607276881207</v>
      </c>
      <c r="AM4836">
        <v>89.366799821001806</v>
      </c>
      <c r="AN4836">
        <v>1.0000000001963201</v>
      </c>
    </row>
    <row r="4837" spans="1:40" x14ac:dyDescent="0.25">
      <c r="A4837" t="str">
        <f>"20190312161110008"</f>
        <v>20190312161110008</v>
      </c>
      <c r="B4837" t="str">
        <f>"1552378270001825"</f>
        <v>1552378270001825</v>
      </c>
      <c r="C4837" t="s">
        <v>40</v>
      </c>
      <c r="D4837">
        <v>4.7536459999999998</v>
      </c>
      <c r="E4837">
        <v>0.46804869999999998</v>
      </c>
      <c r="F4837" t="s">
        <v>41</v>
      </c>
      <c r="G4837">
        <v>-421.27960000000002</v>
      </c>
      <c r="H4837" s="1">
        <v>-3.3651179999999998E-6</v>
      </c>
      <c r="I4837">
        <v>86.639650000000003</v>
      </c>
      <c r="J4837">
        <v>-422.34719999999999</v>
      </c>
      <c r="K4837">
        <v>1.110965</v>
      </c>
      <c r="L4837">
        <v>104.6778</v>
      </c>
      <c r="M4837">
        <v>-1.6517E-2</v>
      </c>
      <c r="N4837">
        <v>0</v>
      </c>
      <c r="O4837">
        <v>-0.99977179999999999</v>
      </c>
      <c r="P4837">
        <v>-2.8603449999999999E-2</v>
      </c>
      <c r="Q4837">
        <v>4.2368970000000001E-4</v>
      </c>
      <c r="R4837">
        <v>-0.99959089999999995</v>
      </c>
      <c r="S4837">
        <v>0.1755371</v>
      </c>
      <c r="T4837">
        <v>-0.1830407</v>
      </c>
      <c r="U4837">
        <v>-3.006256</v>
      </c>
      <c r="V4837">
        <v>1.2067619999999999E-2</v>
      </c>
      <c r="W4837">
        <v>1.398548E-2</v>
      </c>
      <c r="X4837">
        <v>0.99982939999999998</v>
      </c>
      <c r="Y4837">
        <v>-7.4666499999999997E-2</v>
      </c>
      <c r="Z4837">
        <v>6.0625329999999998E-2</v>
      </c>
      <c r="AA4837">
        <v>0.99536400000000003</v>
      </c>
      <c r="AB4837">
        <v>20</v>
      </c>
      <c r="AC4837">
        <v>1.0675999999999699</v>
      </c>
      <c r="AD4837">
        <v>-1.110968365118</v>
      </c>
      <c r="AE4837">
        <v>-18.038150000000002</v>
      </c>
      <c r="AF4837">
        <v>-1.3602758564155799</v>
      </c>
      <c r="AG4837">
        <v>-1.110968365118</v>
      </c>
      <c r="AH4837">
        <v>17.950200551491701</v>
      </c>
      <c r="AI4837">
        <v>93.531515511314197</v>
      </c>
      <c r="AJ4837">
        <v>94.3336221173533</v>
      </c>
      <c r="AK4837">
        <v>18.0359169701075</v>
      </c>
      <c r="AL4837">
        <v>89.198664917529001</v>
      </c>
      <c r="AM4837">
        <v>89.308491905895593</v>
      </c>
      <c r="AN4837">
        <v>1.0000000251038199</v>
      </c>
    </row>
    <row r="4838" spans="1:40" x14ac:dyDescent="0.25">
      <c r="A4838" t="str">
        <f>"20190312161110031"</f>
        <v>20190312161110031</v>
      </c>
      <c r="B4838" t="str">
        <f>"1552378270022321"</f>
        <v>1552378270022321</v>
      </c>
      <c r="C4838" t="s">
        <v>40</v>
      </c>
      <c r="D4838">
        <v>4.7488989999999998</v>
      </c>
      <c r="E4838">
        <v>0.46836939999999999</v>
      </c>
      <c r="F4838" t="s">
        <v>41</v>
      </c>
      <c r="G4838">
        <v>-421.24</v>
      </c>
      <c r="H4838" s="1">
        <v>-2.8779290000000002E-6</v>
      </c>
      <c r="I4838">
        <v>85.528570000000002</v>
      </c>
      <c r="J4838">
        <v>-422.34910000000002</v>
      </c>
      <c r="K4838">
        <v>1.1109180000000001</v>
      </c>
      <c r="L4838">
        <v>104.4727</v>
      </c>
      <c r="M4838">
        <v>-1.537611E-2</v>
      </c>
      <c r="N4838">
        <v>0</v>
      </c>
      <c r="O4838">
        <v>-0.99979010000000001</v>
      </c>
      <c r="P4838">
        <v>-2.8109760000000001E-2</v>
      </c>
      <c r="Q4838">
        <v>3.6393230000000002E-4</v>
      </c>
      <c r="R4838">
        <v>-0.99960479999999996</v>
      </c>
      <c r="S4838">
        <v>0.17382810000000001</v>
      </c>
      <c r="T4838">
        <v>-0.17441379999999901</v>
      </c>
      <c r="U4838">
        <v>-3.0062869999999999</v>
      </c>
      <c r="V4838">
        <v>1.271634E-2</v>
      </c>
      <c r="W4838">
        <v>1.3921589999999999E-2</v>
      </c>
      <c r="X4838">
        <v>0.99982219999999999</v>
      </c>
      <c r="Y4838">
        <v>-7.2973679999999999E-2</v>
      </c>
      <c r="Z4838">
        <v>5.7783370000000001E-2</v>
      </c>
      <c r="AA4838">
        <v>0.9956585</v>
      </c>
      <c r="AB4838">
        <v>20</v>
      </c>
      <c r="AC4838">
        <v>1.10910000000001</v>
      </c>
      <c r="AD4838">
        <v>-1.1109208779289901</v>
      </c>
      <c r="AE4838">
        <v>-18.944129999999902</v>
      </c>
      <c r="AF4838">
        <v>-1.3955000269595601</v>
      </c>
      <c r="AG4838">
        <v>-1.1109208779289901</v>
      </c>
      <c r="AH4838">
        <v>18.860198422882601</v>
      </c>
      <c r="AI4838">
        <v>93.361825151376493</v>
      </c>
      <c r="AJ4838">
        <v>94.231706529454101</v>
      </c>
      <c r="AK4838">
        <v>18.944356681417499</v>
      </c>
      <c r="AL4838">
        <v>89.2023258602743</v>
      </c>
      <c r="AM4838">
        <v>89.271317109914904</v>
      </c>
      <c r="AN4838">
        <v>0.99999997379198102</v>
      </c>
    </row>
    <row r="4839" spans="1:40" x14ac:dyDescent="0.25">
      <c r="A4839" t="str">
        <f>"20190312161110054"</f>
        <v>20190312161110054</v>
      </c>
      <c r="B4839" t="str">
        <f>"1552378270041841"</f>
        <v>1552378270041841</v>
      </c>
      <c r="C4839" t="s">
        <v>40</v>
      </c>
      <c r="D4839">
        <v>4.7059930000000003</v>
      </c>
      <c r="E4839">
        <v>0.46867890000000001</v>
      </c>
      <c r="F4839" t="s">
        <v>41</v>
      </c>
      <c r="G4839">
        <v>-421.21890000000002</v>
      </c>
      <c r="H4839" s="1">
        <v>-2.5387119999999998E-6</v>
      </c>
      <c r="I4839">
        <v>84.750910000000005</v>
      </c>
      <c r="J4839">
        <v>-422.351</v>
      </c>
      <c r="K4839">
        <v>1.1108830000000001</v>
      </c>
      <c r="L4839">
        <v>104.271</v>
      </c>
      <c r="M4839">
        <v>-1.432258E-2</v>
      </c>
      <c r="N4839">
        <v>0</v>
      </c>
      <c r="O4839">
        <v>-0.99980590000000003</v>
      </c>
      <c r="P4839">
        <v>-2.6889369999999999E-2</v>
      </c>
      <c r="Q4839">
        <v>7.2673270000000003E-4</v>
      </c>
      <c r="R4839">
        <v>-0.99963840000000004</v>
      </c>
      <c r="S4839">
        <v>0.1722717</v>
      </c>
      <c r="T4839">
        <v>-0.16933049999999999</v>
      </c>
      <c r="U4839">
        <v>-3.0060730000000002</v>
      </c>
      <c r="V4839">
        <v>1.255011E-2</v>
      </c>
      <c r="W4839">
        <v>1.4278229999999999E-2</v>
      </c>
      <c r="X4839">
        <v>0.99981929999999997</v>
      </c>
      <c r="Y4839">
        <v>-7.1418389999999998E-2</v>
      </c>
      <c r="Z4839">
        <v>5.6113940000000001E-2</v>
      </c>
      <c r="AA4839">
        <v>0.99586680000000005</v>
      </c>
      <c r="AB4839">
        <v>20</v>
      </c>
      <c r="AC4839">
        <v>1.1320999999999799</v>
      </c>
      <c r="AD4839">
        <v>-1.110885538712</v>
      </c>
      <c r="AE4839">
        <v>-19.52009</v>
      </c>
      <c r="AF4839">
        <v>-1.40704572746128</v>
      </c>
      <c r="AG4839">
        <v>-1.110885538712</v>
      </c>
      <c r="AH4839">
        <v>19.439124259875701</v>
      </c>
      <c r="AI4839">
        <v>93.262202404099796</v>
      </c>
      <c r="AJ4839">
        <v>94.139972117661301</v>
      </c>
      <c r="AK4839">
        <v>19.5216135693281</v>
      </c>
      <c r="AL4839">
        <v>89.181889885110195</v>
      </c>
      <c r="AM4839">
        <v>89.280839474694204</v>
      </c>
      <c r="AN4839">
        <v>1.0000000028827101</v>
      </c>
    </row>
    <row r="4840" spans="1:40" x14ac:dyDescent="0.25">
      <c r="A4840" t="str">
        <f>"20190312161110075"</f>
        <v>20190312161110075</v>
      </c>
      <c r="B4840" t="str">
        <f>"1552378270062338"</f>
        <v>1552378270062338</v>
      </c>
      <c r="C4840" t="s">
        <v>40</v>
      </c>
      <c r="D4840">
        <v>4.6735530000000001</v>
      </c>
      <c r="E4840">
        <v>0.46899479999999999</v>
      </c>
      <c r="F4840" t="s">
        <v>41</v>
      </c>
      <c r="G4840">
        <v>-421.17129999999997</v>
      </c>
      <c r="H4840" s="1">
        <v>-2.1178770000000001E-6</v>
      </c>
      <c r="I4840">
        <v>83.799449999999993</v>
      </c>
      <c r="J4840">
        <v>-422.3526</v>
      </c>
      <c r="K4840">
        <v>1.110843</v>
      </c>
      <c r="L4840">
        <v>104.07599999999999</v>
      </c>
      <c r="M4840">
        <v>-1.3377470000000001E-2</v>
      </c>
      <c r="N4840">
        <v>0</v>
      </c>
      <c r="O4840">
        <v>-0.99981889999999995</v>
      </c>
      <c r="P4840">
        <v>-2.636318E-2</v>
      </c>
      <c r="Q4840">
        <v>1.450349E-4</v>
      </c>
      <c r="R4840">
        <v>-0.9996524</v>
      </c>
      <c r="S4840">
        <v>0.17321779999999901</v>
      </c>
      <c r="T4840">
        <v>-0.1631128</v>
      </c>
      <c r="U4840">
        <v>-3.0058590000000001</v>
      </c>
      <c r="V4840">
        <v>1.297102E-2</v>
      </c>
      <c r="W4840">
        <v>1.368987E-2</v>
      </c>
      <c r="X4840">
        <v>0.99982210000000005</v>
      </c>
      <c r="Y4840">
        <v>-7.0798459999999994E-2</v>
      </c>
      <c r="Z4840">
        <v>5.4065219999999997E-2</v>
      </c>
      <c r="AA4840">
        <v>0.99602440000000003</v>
      </c>
      <c r="AB4840">
        <v>20</v>
      </c>
      <c r="AC4840">
        <v>1.18130000000002</v>
      </c>
      <c r="AD4840">
        <v>-1.110845117877</v>
      </c>
      <c r="AE4840">
        <v>-20.27655</v>
      </c>
      <c r="AF4840">
        <v>-1.4481363814530599</v>
      </c>
      <c r="AG4840">
        <v>-1.110845117877</v>
      </c>
      <c r="AH4840">
        <v>20.198512968169101</v>
      </c>
      <c r="AI4840">
        <v>93.139846190409301</v>
      </c>
      <c r="AJ4840">
        <v>94.100815508394703</v>
      </c>
      <c r="AK4840">
        <v>20.280803780434699</v>
      </c>
      <c r="AL4840">
        <v>89.215603682129299</v>
      </c>
      <c r="AM4840">
        <v>89.256724759599805</v>
      </c>
      <c r="AN4840">
        <v>0.99999994577443196</v>
      </c>
    </row>
    <row r="4841" spans="1:40" x14ac:dyDescent="0.25">
      <c r="A4841" t="str">
        <f>"20190312161110097"</f>
        <v>20190312161110097</v>
      </c>
      <c r="B4841" t="str">
        <f>"1552378270091618"</f>
        <v>1552378270091618</v>
      </c>
      <c r="C4841" t="s">
        <v>40</v>
      </c>
      <c r="D4841">
        <v>4.6957360000000001</v>
      </c>
      <c r="E4841">
        <v>0.48574050000000002</v>
      </c>
      <c r="F4841" t="s">
        <v>41</v>
      </c>
      <c r="G4841">
        <v>-421.1524</v>
      </c>
      <c r="H4841" s="1">
        <v>-1.841514E-6</v>
      </c>
      <c r="I4841">
        <v>83.16695</v>
      </c>
      <c r="J4841">
        <v>-422.35410000000002</v>
      </c>
      <c r="K4841">
        <v>1.1107899999999999</v>
      </c>
      <c r="L4841">
        <v>103.8767</v>
      </c>
      <c r="M4841">
        <v>-1.249076E-2</v>
      </c>
      <c r="N4841">
        <v>0</v>
      </c>
      <c r="O4841">
        <v>-0.99983069999999996</v>
      </c>
      <c r="P4841">
        <v>-2.60634E-2</v>
      </c>
      <c r="Q4841" s="1">
        <v>2.7642060000000001E-5</v>
      </c>
      <c r="R4841">
        <v>-0.99966029999999995</v>
      </c>
      <c r="S4841">
        <v>0.1725159</v>
      </c>
      <c r="T4841">
        <v>-0.15968060000000001</v>
      </c>
      <c r="U4841">
        <v>-3.0056150000000001</v>
      </c>
      <c r="V4841">
        <v>1.35596E-2</v>
      </c>
      <c r="W4841">
        <v>1.3561139999999999E-2</v>
      </c>
      <c r="X4841">
        <v>0.99981609999999999</v>
      </c>
      <c r="Y4841">
        <v>-6.9690080000000001E-2</v>
      </c>
      <c r="Z4841">
        <v>5.293846E-2</v>
      </c>
      <c r="AA4841">
        <v>0.99616309999999997</v>
      </c>
      <c r="AB4841">
        <v>20</v>
      </c>
      <c r="AC4841">
        <v>1.20170000000001</v>
      </c>
      <c r="AD4841">
        <v>-1.1107918415139999</v>
      </c>
      <c r="AE4841">
        <v>-20.70975</v>
      </c>
      <c r="AF4841">
        <v>-1.45613535602202</v>
      </c>
      <c r="AG4841">
        <v>-1.1107918415139999</v>
      </c>
      <c r="AH4841">
        <v>20.6339611665794</v>
      </c>
      <c r="AI4841">
        <v>93.073810166846201</v>
      </c>
      <c r="AJ4841">
        <v>94.036661922039102</v>
      </c>
      <c r="AK4841">
        <v>20.715080065356702</v>
      </c>
      <c r="AL4841">
        <v>89.222980095550895</v>
      </c>
      <c r="AM4841">
        <v>89.222996884308301</v>
      </c>
      <c r="AN4841">
        <v>1.00000000054473</v>
      </c>
    </row>
    <row r="4842" spans="1:40" x14ac:dyDescent="0.25">
      <c r="A4842" t="str">
        <f>"20190312161110119"</f>
        <v>20190312161110119</v>
      </c>
      <c r="B4842" t="str">
        <f>"1552378270112113"</f>
        <v>1552378270112113</v>
      </c>
      <c r="C4842" t="s">
        <v>40</v>
      </c>
      <c r="D4842">
        <v>4.6609420000000004</v>
      </c>
      <c r="E4842">
        <v>0.49242720000000001</v>
      </c>
      <c r="F4842" t="s">
        <v>78</v>
      </c>
      <c r="G4842">
        <v>-421.52949999999998</v>
      </c>
      <c r="H4842" s="1">
        <v>-1.773443E-6</v>
      </c>
      <c r="I4842">
        <v>37.16807</v>
      </c>
      <c r="J4842">
        <v>-422.35559999999998</v>
      </c>
      <c r="K4842">
        <v>1.110744</v>
      </c>
      <c r="L4842">
        <v>103.6737</v>
      </c>
      <c r="M4842">
        <v>-1.1670440000000001E-2</v>
      </c>
      <c r="N4842">
        <v>0</v>
      </c>
      <c r="O4842">
        <v>-0.99984070000000003</v>
      </c>
      <c r="P4842">
        <v>-2.5505119999999999E-2</v>
      </c>
      <c r="Q4842" s="1">
        <v>-6.1373690000000004E-5</v>
      </c>
      <c r="R4842">
        <v>-0.99967470000000003</v>
      </c>
      <c r="S4842">
        <v>3.7109379999999997E-2</v>
      </c>
      <c r="T4842">
        <v>-4.9987200000000002E-2</v>
      </c>
      <c r="U4842">
        <v>-3.0019840000000002</v>
      </c>
      <c r="V4842">
        <v>1.382339E-2</v>
      </c>
      <c r="W4842">
        <v>1.345386E-2</v>
      </c>
      <c r="X4842">
        <v>0.99981390000000003</v>
      </c>
      <c r="Y4842">
        <v>-2.4028730000000002E-2</v>
      </c>
      <c r="Z4842">
        <v>1.6644340000000001E-2</v>
      </c>
      <c r="AA4842">
        <v>0.99957269999999998</v>
      </c>
      <c r="AB4842">
        <v>20</v>
      </c>
      <c r="AC4842">
        <v>0.82609999999999595</v>
      </c>
      <c r="AD4842">
        <v>-1.110745773443</v>
      </c>
      <c r="AE4842">
        <v>-66.505629999999996</v>
      </c>
      <c r="AF4842">
        <v>-1.6018177364875399</v>
      </c>
      <c r="AG4842">
        <v>-1.110745773443</v>
      </c>
      <c r="AH4842">
        <v>66.472919015133101</v>
      </c>
      <c r="AI4842">
        <v>90.957031214148003</v>
      </c>
      <c r="AJ4842">
        <v>91.380406321408202</v>
      </c>
      <c r="AK4842">
        <v>66.501492754874306</v>
      </c>
      <c r="AL4842">
        <v>89.229127319070599</v>
      </c>
      <c r="AM4842">
        <v>89.207881142240396</v>
      </c>
      <c r="AN4842">
        <v>0.99999996354660003</v>
      </c>
    </row>
    <row r="4843" spans="1:40" x14ac:dyDescent="0.25">
      <c r="A4843" t="str">
        <f>"20190312161110141"</f>
        <v>20190312161110141</v>
      </c>
      <c r="B4843" t="str">
        <f>"1552378270131634"</f>
        <v>1552378270131634</v>
      </c>
      <c r="C4843" t="s">
        <v>40</v>
      </c>
      <c r="D4843">
        <v>4.6672200000000004</v>
      </c>
      <c r="E4843">
        <v>0.49523869999999998</v>
      </c>
      <c r="F4843" t="s">
        <v>78</v>
      </c>
      <c r="G4843">
        <v>-422.70159999999998</v>
      </c>
      <c r="H4843" s="1">
        <v>-4.7959010000000003E-6</v>
      </c>
      <c r="I4843">
        <v>31.750789999999999</v>
      </c>
      <c r="J4843">
        <v>-422.35700000000003</v>
      </c>
      <c r="K4843">
        <v>1.1106910000000001</v>
      </c>
      <c r="L4843">
        <v>103.4823</v>
      </c>
      <c r="M4843">
        <v>-1.097588E-2</v>
      </c>
      <c r="N4843">
        <v>0</v>
      </c>
      <c r="O4843">
        <v>-0.99984899999999999</v>
      </c>
      <c r="P4843">
        <v>-2.544801E-2</v>
      </c>
      <c r="Q4843">
        <v>2.9235539999999998E-4</v>
      </c>
      <c r="R4843">
        <v>-0.99967620000000001</v>
      </c>
      <c r="S4843">
        <v>-1.4434809999999999E-2</v>
      </c>
      <c r="T4843">
        <v>-4.6340230000000003E-2</v>
      </c>
      <c r="U4843">
        <v>-3.00061</v>
      </c>
      <c r="V4843">
        <v>1.4462310000000001E-2</v>
      </c>
      <c r="W4843">
        <v>1.378952E-2</v>
      </c>
      <c r="X4843">
        <v>0.99980029999999998</v>
      </c>
      <c r="Y4843">
        <v>-6.1670479999999996E-3</v>
      </c>
      <c r="Z4843">
        <v>1.544013E-2</v>
      </c>
      <c r="AA4843">
        <v>0.99986180000000002</v>
      </c>
      <c r="AB4843">
        <v>20</v>
      </c>
      <c r="AC4843">
        <v>-0.34460000000001401</v>
      </c>
      <c r="AD4843">
        <v>-1.110695795901</v>
      </c>
      <c r="AE4843">
        <v>-71.731509999999901</v>
      </c>
      <c r="AF4843">
        <v>-0.442702530555867</v>
      </c>
      <c r="AG4843">
        <v>-1.110695795901</v>
      </c>
      <c r="AH4843">
        <v>71.713777527240893</v>
      </c>
      <c r="AI4843">
        <v>90.887303440241794</v>
      </c>
      <c r="AJ4843">
        <v>90.353693045571404</v>
      </c>
      <c r="AK4843">
        <v>71.723744449855602</v>
      </c>
      <c r="AL4843">
        <v>89.2098936411506</v>
      </c>
      <c r="AM4843">
        <v>89.171262963627598</v>
      </c>
      <c r="AN4843">
        <v>0.99999997457622702</v>
      </c>
    </row>
    <row r="4844" spans="1:40" x14ac:dyDescent="0.25">
      <c r="A4844" t="str">
        <f>"20190312161110163"</f>
        <v>20190312161110163</v>
      </c>
      <c r="B4844" t="str">
        <f>"1552378270152130"</f>
        <v>1552378270152130</v>
      </c>
      <c r="C4844" t="s">
        <v>40</v>
      </c>
      <c r="D4844">
        <v>4.7108030000000003</v>
      </c>
      <c r="E4844">
        <v>0.49669079999999899</v>
      </c>
      <c r="F4844" t="s">
        <v>78</v>
      </c>
      <c r="G4844">
        <v>-423.27300000000002</v>
      </c>
      <c r="H4844" s="1">
        <v>-5.9435769999999997E-6</v>
      </c>
      <c r="I4844">
        <v>29.550219999999999</v>
      </c>
      <c r="J4844">
        <v>-422.35829999999999</v>
      </c>
      <c r="K4844">
        <v>1.110633</v>
      </c>
      <c r="L4844">
        <v>103.28270000000001</v>
      </c>
      <c r="M4844">
        <v>-1.0334400000000001E-2</v>
      </c>
      <c r="N4844">
        <v>0</v>
      </c>
      <c r="O4844">
        <v>-0.99985599999999997</v>
      </c>
      <c r="P4844">
        <v>-2.4860719999999999E-2</v>
      </c>
      <c r="Q4844">
        <v>2.6435789999999999E-4</v>
      </c>
      <c r="R4844">
        <v>-0.99969110000000005</v>
      </c>
      <c r="S4844">
        <v>-3.7170410000000001E-2</v>
      </c>
      <c r="T4844">
        <v>-4.507005E-2</v>
      </c>
      <c r="U4844">
        <v>-3.0000309999999999</v>
      </c>
      <c r="V4844">
        <v>1.451828E-2</v>
      </c>
      <c r="W4844">
        <v>1.374422E-2</v>
      </c>
      <c r="X4844">
        <v>0.99980009999999997</v>
      </c>
      <c r="Y4844">
        <v>2.0524570000000002E-3</v>
      </c>
      <c r="Z4844">
        <v>1.501971E-2</v>
      </c>
      <c r="AA4844">
        <v>0.99988509999999997</v>
      </c>
      <c r="AB4844">
        <v>20</v>
      </c>
      <c r="AC4844">
        <v>-0.91470000000003804</v>
      </c>
      <c r="AD4844">
        <v>-1.1106389435770001</v>
      </c>
      <c r="AE4844">
        <v>-73.732479999999995</v>
      </c>
      <c r="AF4844">
        <v>0.15256655509550601</v>
      </c>
      <c r="AG4844">
        <v>-1.1106389435770001</v>
      </c>
      <c r="AH4844">
        <v>73.721271068949704</v>
      </c>
      <c r="AI4844">
        <v>90.863115532468001</v>
      </c>
      <c r="AJ4844">
        <v>89.881426254652098</v>
      </c>
      <c r="AK4844">
        <v>73.729794543578393</v>
      </c>
      <c r="AL4844">
        <v>89.212489376116395</v>
      </c>
      <c r="AM4844">
        <v>89.168055985514599</v>
      </c>
      <c r="AN4844">
        <v>0.99999996199878705</v>
      </c>
    </row>
    <row r="4845" spans="1:40" x14ac:dyDescent="0.25">
      <c r="A4845" t="str">
        <f>"20190312161110186"</f>
        <v>20190312161110186</v>
      </c>
      <c r="B4845" t="str">
        <f>"1552378270181409"</f>
        <v>1552378270181409</v>
      </c>
      <c r="C4845" t="s">
        <v>40</v>
      </c>
      <c r="D4845">
        <v>4.6170460000000002</v>
      </c>
      <c r="E4845">
        <v>0.49781229999999999</v>
      </c>
      <c r="F4845" t="s">
        <v>78</v>
      </c>
      <c r="G4845">
        <v>-423.62720000000002</v>
      </c>
      <c r="H4845" s="1">
        <v>-9.0416860000000002E-6</v>
      </c>
      <c r="I4845">
        <v>22.082319999999999</v>
      </c>
      <c r="J4845">
        <v>-422.35969999999998</v>
      </c>
      <c r="K4845">
        <v>1.110576</v>
      </c>
      <c r="L4845">
        <v>103.0789</v>
      </c>
      <c r="M4845">
        <v>-9.7758399999999992E-3</v>
      </c>
      <c r="N4845">
        <v>0</v>
      </c>
      <c r="O4845">
        <v>-0.99986169999999996</v>
      </c>
      <c r="P4845">
        <v>-2.4784790000000001E-2</v>
      </c>
      <c r="Q4845">
        <v>5.4369809999999896E-4</v>
      </c>
      <c r="R4845">
        <v>-0.99969260000000004</v>
      </c>
      <c r="S4845">
        <v>-4.6875E-2</v>
      </c>
      <c r="T4845">
        <v>-4.1030049999999998E-2</v>
      </c>
      <c r="U4845">
        <v>-2.9997560000000001</v>
      </c>
      <c r="V4845">
        <v>1.500258E-2</v>
      </c>
      <c r="W4845">
        <v>1.400741E-2</v>
      </c>
      <c r="X4845">
        <v>0.99978940000000005</v>
      </c>
      <c r="Y4845">
        <v>5.8466250000000003E-3</v>
      </c>
      <c r="Z4845">
        <v>1.367459E-2</v>
      </c>
      <c r="AA4845">
        <v>0.99988940000000004</v>
      </c>
      <c r="AB4845">
        <v>20</v>
      </c>
      <c r="AC4845">
        <v>-1.26750000000004</v>
      </c>
      <c r="AD4845">
        <v>-1.1105850416859999</v>
      </c>
      <c r="AE4845">
        <v>-80.996579999999994</v>
      </c>
      <c r="AF4845">
        <v>0.475468772568026</v>
      </c>
      <c r="AG4845">
        <v>-1.1105850416859999</v>
      </c>
      <c r="AH4845">
        <v>80.989878098658195</v>
      </c>
      <c r="AI4845">
        <v>90.785613621623796</v>
      </c>
      <c r="AJ4845">
        <v>89.663636473691</v>
      </c>
      <c r="AK4845">
        <v>80.998887795598904</v>
      </c>
      <c r="AL4845">
        <v>89.197408329762695</v>
      </c>
      <c r="AM4845">
        <v>89.140298940624305</v>
      </c>
      <c r="AN4845">
        <v>1.00000006464696</v>
      </c>
    </row>
    <row r="4846" spans="1:40" x14ac:dyDescent="0.25">
      <c r="A4846" t="str">
        <f>"20190312161110210"</f>
        <v>20190312161110210</v>
      </c>
      <c r="B4846" t="str">
        <f>"1552378270201905"</f>
        <v>1552378270201905</v>
      </c>
      <c r="C4846" t="s">
        <v>40</v>
      </c>
      <c r="D4846">
        <v>4.6184580000000004</v>
      </c>
      <c r="E4846">
        <v>0.49827300000000002</v>
      </c>
      <c r="F4846" t="s">
        <v>78</v>
      </c>
      <c r="G4846">
        <v>-423.99590000000001</v>
      </c>
      <c r="H4846" s="1">
        <v>-9.3005190000000005E-6</v>
      </c>
      <c r="I4846">
        <v>14.95757</v>
      </c>
      <c r="J4846">
        <v>-422.3612</v>
      </c>
      <c r="K4846">
        <v>1.11052</v>
      </c>
      <c r="L4846">
        <v>102.8583</v>
      </c>
      <c r="M4846">
        <v>-9.2696710000000002E-3</v>
      </c>
      <c r="N4846">
        <v>0</v>
      </c>
      <c r="O4846">
        <v>-0.99986679999999994</v>
      </c>
      <c r="P4846">
        <v>-2.420052E-2</v>
      </c>
      <c r="Q4846">
        <v>4.4696379999999998E-4</v>
      </c>
      <c r="R4846">
        <v>-0.99970709999999996</v>
      </c>
      <c r="S4846">
        <v>-5.569458E-2</v>
      </c>
      <c r="T4846">
        <v>-3.7802929999999998E-2</v>
      </c>
      <c r="U4846">
        <v>-2.9995419999999999</v>
      </c>
      <c r="V4846">
        <v>1.4926210000000001E-2</v>
      </c>
      <c r="W4846">
        <v>1.389394E-2</v>
      </c>
      <c r="X4846">
        <v>0.99979200000000001</v>
      </c>
      <c r="Y4846">
        <v>9.2933140000000004E-3</v>
      </c>
      <c r="Z4846">
        <v>1.259973E-2</v>
      </c>
      <c r="AA4846">
        <v>0.99987749999999997</v>
      </c>
      <c r="AB4846">
        <v>20</v>
      </c>
      <c r="AC4846">
        <v>-1.6347</v>
      </c>
      <c r="AD4846">
        <v>-1.110529300519</v>
      </c>
      <c r="AE4846">
        <v>-87.900729999999996</v>
      </c>
      <c r="AF4846">
        <v>0.81961459933150604</v>
      </c>
      <c r="AG4846">
        <v>-1.110529300519</v>
      </c>
      <c r="AH4846">
        <v>87.898082175305106</v>
      </c>
      <c r="AI4846">
        <v>90.723821152207805</v>
      </c>
      <c r="AJ4846">
        <v>89.465755165123994</v>
      </c>
      <c r="AK4846">
        <v>87.908918168269196</v>
      </c>
      <c r="AL4846">
        <v>89.203910213591499</v>
      </c>
      <c r="AM4846">
        <v>89.144676784734898</v>
      </c>
      <c r="AN4846">
        <v>0.99999993828884104</v>
      </c>
    </row>
    <row r="4847" spans="1:40" x14ac:dyDescent="0.25">
      <c r="A4847" t="str">
        <f>"20190312161110231"</f>
        <v>20190312161110231</v>
      </c>
      <c r="B4847" t="str">
        <f>"1552378270221426"</f>
        <v>1552378270221426</v>
      </c>
      <c r="C4847" t="s">
        <v>40</v>
      </c>
      <c r="D4847">
        <v>4.7233510000000001</v>
      </c>
      <c r="E4847">
        <v>0.4987125</v>
      </c>
      <c r="F4847" t="s">
        <v>78</v>
      </c>
      <c r="G4847">
        <v>-424.05560000000003</v>
      </c>
      <c r="H4847" s="1">
        <v>-9.3034690000000002E-6</v>
      </c>
      <c r="I4847">
        <v>15.204499999999999</v>
      </c>
      <c r="J4847">
        <v>-422.36239999999998</v>
      </c>
      <c r="K4847">
        <v>1.110493</v>
      </c>
      <c r="L4847">
        <v>102.6781</v>
      </c>
      <c r="M4847">
        <v>-8.9128079999999995E-3</v>
      </c>
      <c r="N4847">
        <v>0</v>
      </c>
      <c r="O4847">
        <v>-0.99987009999999998</v>
      </c>
      <c r="P4847">
        <v>-2.3674270000000001E-2</v>
      </c>
      <c r="Q4847" s="1">
        <v>9.0087910000000003E-5</v>
      </c>
      <c r="R4847">
        <v>-0.99971969999999999</v>
      </c>
      <c r="S4847">
        <v>-5.7983399999999997E-2</v>
      </c>
      <c r="T4847">
        <v>-3.8001890000000003E-2</v>
      </c>
      <c r="U4847">
        <v>-2.9994809999999998</v>
      </c>
      <c r="V4847">
        <v>1.475798E-2</v>
      </c>
      <c r="W4847">
        <v>1.3523469999999999E-2</v>
      </c>
      <c r="X4847">
        <v>0.99979960000000001</v>
      </c>
      <c r="Y4847">
        <v>1.0413270000000001E-2</v>
      </c>
      <c r="Z4847">
        <v>1.2666190000000001E-2</v>
      </c>
      <c r="AA4847">
        <v>0.99986549999999996</v>
      </c>
      <c r="AB4847">
        <v>20</v>
      </c>
      <c r="AC4847">
        <v>-1.69320000000004</v>
      </c>
      <c r="AD4847">
        <v>-1.110502303469</v>
      </c>
      <c r="AE4847">
        <v>-87.473600000000005</v>
      </c>
      <c r="AF4847">
        <v>0.91327988272098704</v>
      </c>
      <c r="AG4847">
        <v>-1.110502303469</v>
      </c>
      <c r="AH4847">
        <v>87.471124997026294</v>
      </c>
      <c r="AI4847">
        <v>90.727328129755193</v>
      </c>
      <c r="AJ4847">
        <v>89.4018005201617</v>
      </c>
      <c r="AK4847">
        <v>87.482941215734101</v>
      </c>
      <c r="AL4847">
        <v>89.225138595005603</v>
      </c>
      <c r="AM4847">
        <v>89.154321962375604</v>
      </c>
      <c r="AN4847">
        <v>0.99999996118733903</v>
      </c>
    </row>
    <row r="4848" spans="1:40" x14ac:dyDescent="0.25">
      <c r="A4848" t="str">
        <f>"20190312161110253"</f>
        <v>20190312161110253</v>
      </c>
      <c r="B4848" t="str">
        <f>"1552378270241921"</f>
        <v>1552378270241921</v>
      </c>
      <c r="C4848" t="s">
        <v>40</v>
      </c>
      <c r="D4848">
        <v>4.7715899999999998</v>
      </c>
      <c r="E4848">
        <v>0.49919780000000002</v>
      </c>
      <c r="F4848" t="s">
        <v>78</v>
      </c>
      <c r="G4848">
        <v>-424.05099999999999</v>
      </c>
      <c r="H4848" s="1">
        <v>-9.6154689999999999E-6</v>
      </c>
      <c r="I4848">
        <v>17.99916</v>
      </c>
      <c r="J4848">
        <v>-422.36360000000002</v>
      </c>
      <c r="K4848">
        <v>1.1104639999999999</v>
      </c>
      <c r="L4848">
        <v>102.47709999999999</v>
      </c>
      <c r="M4848">
        <v>-8.5733819999999992E-3</v>
      </c>
      <c r="N4848">
        <v>0</v>
      </c>
      <c r="O4848">
        <v>-0.99987320000000002</v>
      </c>
      <c r="P4848">
        <v>-2.3439829999999998E-2</v>
      </c>
      <c r="Q4848">
        <v>-4.6676420000000001E-4</v>
      </c>
      <c r="R4848">
        <v>-0.99972499999999997</v>
      </c>
      <c r="S4848">
        <v>-5.9814449999999998E-2</v>
      </c>
      <c r="T4848">
        <v>-3.933561E-2</v>
      </c>
      <c r="U4848">
        <v>-2.9994510000000001</v>
      </c>
      <c r="V4848">
        <v>1.486405E-2</v>
      </c>
      <c r="W4848">
        <v>1.2951789999999999E-2</v>
      </c>
      <c r="X4848">
        <v>0.99980559999999996</v>
      </c>
      <c r="Y4848">
        <v>1.136294E-2</v>
      </c>
      <c r="Z4848">
        <v>1.3110699999999999E-2</v>
      </c>
      <c r="AA4848">
        <v>0.99984949999999995</v>
      </c>
      <c r="AB4848">
        <v>20</v>
      </c>
      <c r="AC4848">
        <v>-1.68739999999996</v>
      </c>
      <c r="AD4848">
        <v>-1.11047361546899</v>
      </c>
      <c r="AE4848">
        <v>-84.477939999999904</v>
      </c>
      <c r="AF4848">
        <v>0.96284479350284102</v>
      </c>
      <c r="AG4848">
        <v>-1.11047361546899</v>
      </c>
      <c r="AH4848">
        <v>84.474711783167507</v>
      </c>
      <c r="AI4848">
        <v>90.753097035112503</v>
      </c>
      <c r="AJ4848">
        <v>89.346969607684599</v>
      </c>
      <c r="AK4848">
        <v>84.487497019359296</v>
      </c>
      <c r="AL4848">
        <v>89.257896319810598</v>
      </c>
      <c r="AM4848">
        <v>89.148249825350106</v>
      </c>
      <c r="AN4848">
        <v>0.999999963318982</v>
      </c>
    </row>
    <row r="4849" spans="1:40" x14ac:dyDescent="0.25">
      <c r="A4849" t="str">
        <f>"20190312161110278"</f>
        <v>20190312161110278</v>
      </c>
      <c r="B4849" t="str">
        <f>"1552378270272177"</f>
        <v>1552378270272177</v>
      </c>
      <c r="C4849" t="s">
        <v>40</v>
      </c>
      <c r="D4849">
        <v>4.7959540000000001</v>
      </c>
      <c r="E4849">
        <v>0.49979879999999999</v>
      </c>
      <c r="F4849" t="s">
        <v>78</v>
      </c>
      <c r="G4849">
        <v>-423.9547</v>
      </c>
      <c r="H4849" s="1">
        <v>-7.3490990000000003E-6</v>
      </c>
      <c r="I4849">
        <v>26.196549999999998</v>
      </c>
      <c r="J4849">
        <v>-422.36509999999998</v>
      </c>
      <c r="K4849">
        <v>1.1104309999999999</v>
      </c>
      <c r="L4849">
        <v>102.26439999999999</v>
      </c>
      <c r="M4849">
        <v>-8.2776050000000004E-3</v>
      </c>
      <c r="N4849">
        <v>0</v>
      </c>
      <c r="O4849">
        <v>-0.99987599999999999</v>
      </c>
      <c r="P4849">
        <v>-2.3603849999999999E-2</v>
      </c>
      <c r="Q4849">
        <v>-2.9144080000000002E-4</v>
      </c>
      <c r="R4849">
        <v>-0.99972150000000004</v>
      </c>
      <c r="S4849">
        <v>-6.2561039999999998E-2</v>
      </c>
      <c r="T4849">
        <v>-4.3663380000000002E-2</v>
      </c>
      <c r="U4849">
        <v>-2.9993289999999999</v>
      </c>
      <c r="V4849">
        <v>1.532475E-2</v>
      </c>
      <c r="W4849">
        <v>1.310627E-2</v>
      </c>
      <c r="X4849">
        <v>0.99979669999999998</v>
      </c>
      <c r="Y4849">
        <v>1.257434E-2</v>
      </c>
      <c r="Z4849">
        <v>1.455327E-2</v>
      </c>
      <c r="AA4849">
        <v>0.99981500000000001</v>
      </c>
      <c r="AB4849">
        <v>20</v>
      </c>
      <c r="AC4849">
        <v>-1.5896000000000099</v>
      </c>
      <c r="AD4849">
        <v>-1.110438349099</v>
      </c>
      <c r="AE4849">
        <v>-76.067849999999893</v>
      </c>
      <c r="AF4849">
        <v>0.95962499796256995</v>
      </c>
      <c r="AG4849">
        <v>-1.110438349099</v>
      </c>
      <c r="AH4849">
        <v>76.062200814420194</v>
      </c>
      <c r="AI4849">
        <v>90.836339847984704</v>
      </c>
      <c r="AJ4849">
        <v>89.2771765111371</v>
      </c>
      <c r="AK4849">
        <v>76.076358654952998</v>
      </c>
      <c r="AL4849">
        <v>89.249044567535904</v>
      </c>
      <c r="AM4849">
        <v>89.121846728186796</v>
      </c>
      <c r="AN4849">
        <v>1.0000000318033799</v>
      </c>
    </row>
    <row r="4850" spans="1:40" x14ac:dyDescent="0.25">
      <c r="A4850" t="str">
        <f>"20190312161110299"</f>
        <v>20190312161110299</v>
      </c>
      <c r="B4850" t="str">
        <f>"1552378270291697"</f>
        <v>1552378270291697</v>
      </c>
      <c r="C4850" t="s">
        <v>40</v>
      </c>
      <c r="D4850">
        <v>4.9040869999999996</v>
      </c>
      <c r="E4850">
        <v>0.50000449999999996</v>
      </c>
      <c r="F4850" t="s">
        <v>78</v>
      </c>
      <c r="G4850">
        <v>-424.00130000000001</v>
      </c>
      <c r="H4850" s="1">
        <v>-5.7331939999999998E-6</v>
      </c>
      <c r="I4850">
        <v>30.059329999999999</v>
      </c>
      <c r="J4850">
        <v>-422.3664</v>
      </c>
      <c r="K4850">
        <v>1.1103970000000001</v>
      </c>
      <c r="L4850">
        <v>102.0697</v>
      </c>
      <c r="M4850">
        <v>-8.0622679999999992E-3</v>
      </c>
      <c r="N4850">
        <v>0</v>
      </c>
      <c r="O4850">
        <v>-0.99987839999999995</v>
      </c>
      <c r="P4850">
        <v>-2.347685E-2</v>
      </c>
      <c r="Q4850">
        <v>-8.6304980000000001E-4</v>
      </c>
      <c r="R4850">
        <v>-0.99972430000000001</v>
      </c>
      <c r="S4850">
        <v>-6.7962649999999999E-2</v>
      </c>
      <c r="T4850">
        <v>-4.6125050000000001E-2</v>
      </c>
      <c r="U4850">
        <v>-2.9992369999999999</v>
      </c>
      <c r="V4850">
        <v>1.5414010000000001E-2</v>
      </c>
      <c r="W4850">
        <v>1.25098E-2</v>
      </c>
      <c r="X4850">
        <v>0.99980290000000005</v>
      </c>
      <c r="Y4850">
        <v>1.458983E-2</v>
      </c>
      <c r="Z4850">
        <v>1.537357E-2</v>
      </c>
      <c r="AA4850">
        <v>0.99977539999999998</v>
      </c>
      <c r="AB4850">
        <v>20</v>
      </c>
      <c r="AC4850">
        <v>-1.63490000000001</v>
      </c>
      <c r="AD4850">
        <v>-1.1104027331939901</v>
      </c>
      <c r="AE4850">
        <v>-72.010369999999995</v>
      </c>
      <c r="AF4850">
        <v>1.05397773928278</v>
      </c>
      <c r="AG4850">
        <v>-1.1104027331939901</v>
      </c>
      <c r="AH4850">
        <v>72.004099236195501</v>
      </c>
      <c r="AI4850">
        <v>90.883415457559295</v>
      </c>
      <c r="AJ4850">
        <v>89.161378805668093</v>
      </c>
      <c r="AK4850">
        <v>72.020373298953899</v>
      </c>
      <c r="AL4850">
        <v>89.283222534611099</v>
      </c>
      <c r="AM4850">
        <v>89.1167381519694</v>
      </c>
      <c r="AN4850">
        <v>0.99999996282436399</v>
      </c>
    </row>
    <row r="4851" spans="1:40" x14ac:dyDescent="0.25">
      <c r="A4851" t="str">
        <f>"20190312161110320"</f>
        <v>20190312161110320</v>
      </c>
      <c r="B4851" t="str">
        <f>"1552378270312194"</f>
        <v>1552378270312194</v>
      </c>
      <c r="C4851" t="s">
        <v>40</v>
      </c>
      <c r="D4851">
        <v>4.8937949999999999</v>
      </c>
      <c r="E4851">
        <v>0.50027559999999904</v>
      </c>
      <c r="F4851" t="s">
        <v>78</v>
      </c>
      <c r="G4851">
        <v>-423.93950000000001</v>
      </c>
      <c r="H4851" s="1">
        <v>-3.9679099999999996E-6</v>
      </c>
      <c r="I4851">
        <v>33.933779999999999</v>
      </c>
      <c r="J4851">
        <v>-422.36770000000001</v>
      </c>
      <c r="K4851">
        <v>1.11036</v>
      </c>
      <c r="L4851">
        <v>101.8796</v>
      </c>
      <c r="M4851">
        <v>-7.9036190000000006E-3</v>
      </c>
      <c r="N4851">
        <v>0</v>
      </c>
      <c r="O4851">
        <v>-0.99987979999999999</v>
      </c>
      <c r="P4851">
        <v>-2.3551550000000001E-2</v>
      </c>
      <c r="Q4851">
        <v>-1.4286829999999901E-3</v>
      </c>
      <c r="R4851">
        <v>-0.99972169999999905</v>
      </c>
      <c r="S4851">
        <v>-6.9244379999999994E-2</v>
      </c>
      <c r="T4851">
        <v>-4.8876639999999999E-2</v>
      </c>
      <c r="U4851">
        <v>-2.9991460000000001</v>
      </c>
      <c r="V4851">
        <v>1.5648289999999999E-2</v>
      </c>
      <c r="W4851">
        <v>1.1916660000000001E-2</v>
      </c>
      <c r="X4851">
        <v>0.99980650000000004</v>
      </c>
      <c r="Y4851">
        <v>1.5175889999999999E-2</v>
      </c>
      <c r="Z4851">
        <v>1.6290820000000001E-2</v>
      </c>
      <c r="AA4851">
        <v>0.99975210000000003</v>
      </c>
      <c r="AB4851">
        <v>20</v>
      </c>
      <c r="AC4851">
        <v>-1.5717999999999901</v>
      </c>
      <c r="AD4851">
        <v>-1.1103639679099999</v>
      </c>
      <c r="AE4851">
        <v>-67.945819999999998</v>
      </c>
      <c r="AF4851">
        <v>1.0344091453061599</v>
      </c>
      <c r="AG4851">
        <v>-1.1103639679099999</v>
      </c>
      <c r="AH4851">
        <v>67.937987746500198</v>
      </c>
      <c r="AI4851">
        <v>90.936238126478699</v>
      </c>
      <c r="AJ4851">
        <v>89.127694224552897</v>
      </c>
      <c r="AK4851">
        <v>67.954934253994693</v>
      </c>
      <c r="AL4851">
        <v>89.317209485678504</v>
      </c>
      <c r="AM4851">
        <v>89.103318717769</v>
      </c>
      <c r="AN4851">
        <v>0.99999995660386398</v>
      </c>
    </row>
    <row r="4852" spans="1:40" x14ac:dyDescent="0.25">
      <c r="A4852" t="str">
        <f>"20190312161110342"</f>
        <v>20190312161110342</v>
      </c>
      <c r="B4852" t="str">
        <f>"1552378270331714"</f>
        <v>1552378270331714</v>
      </c>
      <c r="C4852" t="s">
        <v>40</v>
      </c>
      <c r="D4852">
        <v>4.9453569999999996</v>
      </c>
      <c r="E4852">
        <v>0.50063040000000003</v>
      </c>
      <c r="F4852" t="s">
        <v>78</v>
      </c>
      <c r="G4852">
        <v>-423.8956</v>
      </c>
      <c r="H4852" s="1">
        <v>-1.6272080000000001E-6</v>
      </c>
      <c r="I4852">
        <v>38.095089999999999</v>
      </c>
      <c r="J4852">
        <v>-422.36900000000003</v>
      </c>
      <c r="K4852">
        <v>1.1103240000000001</v>
      </c>
      <c r="L4852">
        <v>101.6863</v>
      </c>
      <c r="M4852">
        <v>-7.7939150000000002E-3</v>
      </c>
      <c r="N4852">
        <v>0</v>
      </c>
      <c r="O4852">
        <v>-0.99988100000000002</v>
      </c>
      <c r="P4852">
        <v>-2.4189749999999999E-2</v>
      </c>
      <c r="Q4852">
        <v>-1.723879E-3</v>
      </c>
      <c r="R4852">
        <v>-0.99970599999999998</v>
      </c>
      <c r="S4852">
        <v>-7.1838379999999993E-2</v>
      </c>
      <c r="T4852">
        <v>-5.2207589999999998E-2</v>
      </c>
      <c r="U4852">
        <v>-2.9990540000000001</v>
      </c>
      <c r="V4852">
        <v>1.6397200000000001E-2</v>
      </c>
      <c r="W4852">
        <v>1.159434E-2</v>
      </c>
      <c r="X4852">
        <v>0.99979839999999998</v>
      </c>
      <c r="Y4852">
        <v>1.6150089999999999E-2</v>
      </c>
      <c r="Z4852">
        <v>1.740096E-2</v>
      </c>
      <c r="AA4852">
        <v>0.99971810000000005</v>
      </c>
      <c r="AB4852">
        <v>20</v>
      </c>
      <c r="AC4852">
        <v>-1.52659999999997</v>
      </c>
      <c r="AD4852">
        <v>-1.110325627208</v>
      </c>
      <c r="AE4852">
        <v>-63.591209999999997</v>
      </c>
      <c r="AF4852">
        <v>1.0305712071925399</v>
      </c>
      <c r="AG4852">
        <v>-1.110325627208</v>
      </c>
      <c r="AH4852">
        <v>63.581804789091798</v>
      </c>
      <c r="AI4852">
        <v>91.000320051936498</v>
      </c>
      <c r="AJ4852">
        <v>89.071397694224501</v>
      </c>
      <c r="AK4852">
        <v>63.599849058387797</v>
      </c>
      <c r="AL4852">
        <v>89.335678412893103</v>
      </c>
      <c r="AM4852">
        <v>89.060404441755097</v>
      </c>
      <c r="AN4852">
        <v>1.00000006876521</v>
      </c>
    </row>
    <row r="4853" spans="1:40" x14ac:dyDescent="0.25">
      <c r="A4853" t="str">
        <f>"20190312161110364"</f>
        <v>20190312161110364</v>
      </c>
      <c r="B4853" t="str">
        <f>"1552378270352210"</f>
        <v>1552378270352210</v>
      </c>
      <c r="C4853" t="s">
        <v>40</v>
      </c>
      <c r="D4853">
        <v>4.9938120000000001</v>
      </c>
      <c r="E4853">
        <v>0.50097619999999998</v>
      </c>
      <c r="F4853" t="s">
        <v>41</v>
      </c>
      <c r="G4853">
        <v>-423.88990000000001</v>
      </c>
      <c r="H4853" s="1">
        <v>-1.9142339999999999E-6</v>
      </c>
      <c r="I4853">
        <v>41.638590000000001</v>
      </c>
      <c r="J4853">
        <v>-422.37049999999999</v>
      </c>
      <c r="K4853">
        <v>1.1102879999999999</v>
      </c>
      <c r="L4853">
        <v>101.4854</v>
      </c>
      <c r="M4853">
        <v>-7.734271E-3</v>
      </c>
      <c r="N4853">
        <v>0</v>
      </c>
      <c r="O4853">
        <v>-0.99988169999999998</v>
      </c>
      <c r="P4853">
        <v>-2.430912E-2</v>
      </c>
      <c r="Q4853">
        <v>-1.830553E-3</v>
      </c>
      <c r="R4853">
        <v>-0.99970289999999995</v>
      </c>
      <c r="S4853">
        <v>-7.5958250000000005E-2</v>
      </c>
      <c r="T4853">
        <v>-5.5452939999999999E-2</v>
      </c>
      <c r="U4853">
        <v>-2.9989620000000001</v>
      </c>
      <c r="V4853">
        <v>1.6577140000000001E-2</v>
      </c>
      <c r="W4853">
        <v>1.1456539999999999E-2</v>
      </c>
      <c r="X4853">
        <v>0.99979689999999999</v>
      </c>
      <c r="Y4853">
        <v>1.75824999999999E-2</v>
      </c>
      <c r="Z4853">
        <v>1.8482330000000002E-2</v>
      </c>
      <c r="AA4853">
        <v>0.99967459999999997</v>
      </c>
      <c r="AB4853">
        <v>20</v>
      </c>
      <c r="AC4853">
        <v>-1.5194000000000101</v>
      </c>
      <c r="AD4853">
        <v>-1.1102899142339999</v>
      </c>
      <c r="AE4853">
        <v>-59.846809999999998</v>
      </c>
      <c r="AF4853">
        <v>1.0560789327512601</v>
      </c>
      <c r="AG4853">
        <v>-1.1102899142339999</v>
      </c>
      <c r="AH4853">
        <v>59.836190761994601</v>
      </c>
      <c r="AI4853">
        <v>91.062863851399399</v>
      </c>
      <c r="AJ4853">
        <v>88.988863041800599</v>
      </c>
      <c r="AK4853">
        <v>59.855808166891002</v>
      </c>
      <c r="AL4853">
        <v>89.343574215655707</v>
      </c>
      <c r="AM4853">
        <v>89.050093938870404</v>
      </c>
      <c r="AN4853">
        <v>0.99999994756447896</v>
      </c>
    </row>
    <row r="4854" spans="1:40" x14ac:dyDescent="0.25">
      <c r="A4854" t="str">
        <f>"20190312161110388"</f>
        <v>20190312161110388</v>
      </c>
      <c r="B4854" t="str">
        <f>"1552378270381493"</f>
        <v>1552378270381493</v>
      </c>
      <c r="C4854" t="s">
        <v>40</v>
      </c>
      <c r="D4854">
        <v>5.0493589999999999</v>
      </c>
      <c r="E4854">
        <v>0.50137219999999905</v>
      </c>
      <c r="F4854" t="s">
        <v>41</v>
      </c>
      <c r="G4854">
        <v>-423.88339999999999</v>
      </c>
      <c r="H4854" s="1">
        <v>-3.0183949999999998E-6</v>
      </c>
      <c r="I4854">
        <v>44.216450000000002</v>
      </c>
      <c r="J4854">
        <v>-422.37209999999999</v>
      </c>
      <c r="K4854">
        <v>1.110252</v>
      </c>
      <c r="L4854">
        <v>101.2809</v>
      </c>
      <c r="M4854">
        <v>-7.7260899999999997E-3</v>
      </c>
      <c r="N4854">
        <v>0</v>
      </c>
      <c r="O4854">
        <v>-0.99988250000000001</v>
      </c>
      <c r="P4854">
        <v>-2.4611569999999999E-2</v>
      </c>
      <c r="Q4854">
        <v>-2.0915949999999999E-3</v>
      </c>
      <c r="R4854">
        <v>-0.99969520000000001</v>
      </c>
      <c r="S4854">
        <v>-7.9223630000000003E-2</v>
      </c>
      <c r="T4854">
        <v>-5.8140039999999997E-2</v>
      </c>
      <c r="U4854">
        <v>-2.9988709999999998</v>
      </c>
      <c r="V4854">
        <v>1.6888489999999999E-2</v>
      </c>
      <c r="W4854">
        <v>1.116092E-2</v>
      </c>
      <c r="X4854">
        <v>0.99979510000000005</v>
      </c>
      <c r="Y4854">
        <v>1.8678790000000001E-2</v>
      </c>
      <c r="Z4854">
        <v>1.9377729999999999E-2</v>
      </c>
      <c r="AA4854">
        <v>0.99963769999999996</v>
      </c>
      <c r="AB4854">
        <v>20</v>
      </c>
      <c r="AC4854">
        <v>-1.5113000000000001</v>
      </c>
      <c r="AD4854">
        <v>-1.110255018395</v>
      </c>
      <c r="AE4854">
        <v>-57.064450000000001</v>
      </c>
      <c r="AF4854">
        <v>1.0699264326818301</v>
      </c>
      <c r="AG4854">
        <v>-1.110255018395</v>
      </c>
      <c r="AH4854">
        <v>57.052842213787002</v>
      </c>
      <c r="AI4854">
        <v>91.114645957046406</v>
      </c>
      <c r="AJ4854">
        <v>88.925643635504102</v>
      </c>
      <c r="AK4854">
        <v>57.073673558379802</v>
      </c>
      <c r="AL4854">
        <v>89.360513120987804</v>
      </c>
      <c r="AM4854">
        <v>89.032254528599694</v>
      </c>
      <c r="AN4854">
        <v>1.0000000146068599</v>
      </c>
    </row>
    <row r="4855" spans="1:40" x14ac:dyDescent="0.25">
      <c r="A4855" t="str">
        <f>"20190312161110409"</f>
        <v>20190312161110409</v>
      </c>
      <c r="B4855" t="str">
        <f>"1552378270401986"</f>
        <v>1552378270401986</v>
      </c>
      <c r="C4855" t="s">
        <v>40</v>
      </c>
      <c r="D4855">
        <v>5.1748789999999998</v>
      </c>
      <c r="E4855">
        <v>0.50116620000000001</v>
      </c>
      <c r="F4855" t="s">
        <v>41</v>
      </c>
      <c r="G4855">
        <v>-423.7704</v>
      </c>
      <c r="H4855" s="1">
        <v>-1.5870429999999999E-6</v>
      </c>
      <c r="I4855">
        <v>50.950040000000001</v>
      </c>
      <c r="J4855">
        <v>-422.37360000000001</v>
      </c>
      <c r="K4855">
        <v>1.1102299999999901</v>
      </c>
      <c r="L4855">
        <v>101.0821</v>
      </c>
      <c r="M4855">
        <v>-7.7510900000000004E-3</v>
      </c>
      <c r="N4855">
        <v>0</v>
      </c>
      <c r="O4855">
        <v>-0.99988270000000001</v>
      </c>
      <c r="P4855">
        <v>-2.4489219999999999E-2</v>
      </c>
      <c r="Q4855">
        <v>-3.1099309999999998E-3</v>
      </c>
      <c r="R4855">
        <v>-0.99969549999999996</v>
      </c>
      <c r="S4855">
        <v>-8.3312990000000003E-2</v>
      </c>
      <c r="T4855">
        <v>-6.614971E-2</v>
      </c>
      <c r="U4855">
        <v>-2.9987490000000001</v>
      </c>
      <c r="V4855">
        <v>1.67412999999999E-2</v>
      </c>
      <c r="W4855">
        <v>1.011098E-2</v>
      </c>
      <c r="X4855">
        <v>0.99980869999999999</v>
      </c>
      <c r="Y4855">
        <v>2.0015499999999999E-2</v>
      </c>
      <c r="Z4855">
        <v>2.2046280000000001E-2</v>
      </c>
      <c r="AA4855">
        <v>0.99955660000000002</v>
      </c>
      <c r="AB4855">
        <v>20</v>
      </c>
      <c r="AC4855">
        <v>-1.3967999999999801</v>
      </c>
      <c r="AD4855">
        <v>-1.11023158704299</v>
      </c>
      <c r="AE4855">
        <v>-50.132060000000003</v>
      </c>
      <c r="AF4855">
        <v>1.0076521932845901</v>
      </c>
      <c r="AG4855">
        <v>-1.11023158704299</v>
      </c>
      <c r="AH4855">
        <v>50.116820627503301</v>
      </c>
      <c r="AI4855">
        <v>91.268802236029401</v>
      </c>
      <c r="AJ4855">
        <v>88.848162367566999</v>
      </c>
      <c r="AK4855">
        <v>50.139242983204703</v>
      </c>
      <c r="AL4855">
        <v>89.420673630547</v>
      </c>
      <c r="AM4855">
        <v>89.040700284185803</v>
      </c>
      <c r="AN4855">
        <v>0.99999996981896899</v>
      </c>
    </row>
    <row r="4856" spans="1:40" x14ac:dyDescent="0.25">
      <c r="A4856" t="str">
        <f>"20190312161110431"</f>
        <v>20190312161110431</v>
      </c>
      <c r="B4856" t="str">
        <f>"1552378270421506"</f>
        <v>1552378270421506</v>
      </c>
      <c r="C4856" t="s">
        <v>40</v>
      </c>
      <c r="D4856">
        <v>5.0418620000000001</v>
      </c>
      <c r="E4856">
        <v>0.44809579999999999</v>
      </c>
      <c r="F4856" t="s">
        <v>41</v>
      </c>
      <c r="G4856">
        <v>-423.64089999999999</v>
      </c>
      <c r="H4856" s="1">
        <v>-2.9690350000000002E-6</v>
      </c>
      <c r="I4856">
        <v>54.251820000000002</v>
      </c>
      <c r="J4856">
        <v>-422.37509999999997</v>
      </c>
      <c r="K4856">
        <v>1.110222</v>
      </c>
      <c r="L4856">
        <v>100.8931</v>
      </c>
      <c r="M4856">
        <v>-7.7911889999999996E-3</v>
      </c>
      <c r="N4856">
        <v>0</v>
      </c>
      <c r="O4856">
        <v>-0.99988270000000001</v>
      </c>
      <c r="P4856">
        <v>-2.4476020000000001E-2</v>
      </c>
      <c r="Q4856">
        <v>-3.2972980000000002E-3</v>
      </c>
      <c r="R4856">
        <v>-0.99969509999999995</v>
      </c>
      <c r="S4856">
        <v>-8.1146239999999994E-2</v>
      </c>
      <c r="T4856">
        <v>-7.1091650000000006E-2</v>
      </c>
      <c r="U4856">
        <v>-2.998688</v>
      </c>
      <c r="V4856">
        <v>1.668803E-2</v>
      </c>
      <c r="W4856">
        <v>9.8945130000000006E-3</v>
      </c>
      <c r="X4856">
        <v>0.99981180000000003</v>
      </c>
      <c r="Y4856">
        <v>1.925325E-2</v>
      </c>
      <c r="Z4856">
        <v>2.369332E-2</v>
      </c>
      <c r="AA4856">
        <v>0.99953380000000003</v>
      </c>
      <c r="AB4856">
        <v>20</v>
      </c>
      <c r="AC4856">
        <v>-1.26580000000001</v>
      </c>
      <c r="AD4856">
        <v>-1.1102249690349999</v>
      </c>
      <c r="AE4856">
        <v>-46.641280000000002</v>
      </c>
      <c r="AF4856">
        <v>0.90182834322099004</v>
      </c>
      <c r="AG4856">
        <v>-1.1102249690349999</v>
      </c>
      <c r="AH4856">
        <v>46.623329443818498</v>
      </c>
      <c r="AI4856">
        <v>91.363851458219102</v>
      </c>
      <c r="AJ4856">
        <v>88.891874179463699</v>
      </c>
      <c r="AK4856">
        <v>46.645264950146199</v>
      </c>
      <c r="AL4856">
        <v>89.433076921776703</v>
      </c>
      <c r="AM4856">
        <v>89.0437551257629</v>
      </c>
      <c r="AN4856">
        <v>1.0000000135760101</v>
      </c>
    </row>
    <row r="4857" spans="1:40" x14ac:dyDescent="0.25">
      <c r="A4857" t="str">
        <f>"20190312161110454"</f>
        <v>20190312161110454</v>
      </c>
      <c r="B4857" t="str">
        <f>"1552378270451761"</f>
        <v>1552378270451761</v>
      </c>
      <c r="C4857" t="s">
        <v>40</v>
      </c>
      <c r="D4857">
        <v>5.0802959999999997</v>
      </c>
      <c r="E4857">
        <v>0.42928549999999899</v>
      </c>
      <c r="F4857" t="s">
        <v>41</v>
      </c>
      <c r="G4857">
        <v>-416.5138</v>
      </c>
      <c r="H4857" s="1">
        <v>-4.7741940000000002E-6</v>
      </c>
      <c r="I4857">
        <v>49.320050000000002</v>
      </c>
      <c r="J4857">
        <v>-422.3768</v>
      </c>
      <c r="K4857">
        <v>1.110222</v>
      </c>
      <c r="L4857">
        <v>100.6878</v>
      </c>
      <c r="M4857">
        <v>-7.8402009999999998E-3</v>
      </c>
      <c r="N4857">
        <v>0</v>
      </c>
      <c r="O4857">
        <v>-0.99988270000000001</v>
      </c>
      <c r="P4857">
        <v>-2.326431E-2</v>
      </c>
      <c r="Q4857">
        <v>-3.0302609999999998E-3</v>
      </c>
      <c r="R4857">
        <v>-0.99972510000000003</v>
      </c>
      <c r="S4857">
        <v>0.34198000000000001</v>
      </c>
      <c r="T4857">
        <v>-6.4776899999999998E-2</v>
      </c>
      <c r="U4857">
        <v>-3.009064</v>
      </c>
      <c r="V4857">
        <v>1.542701E-2</v>
      </c>
      <c r="W4857">
        <v>1.012863E-2</v>
      </c>
      <c r="X4857">
        <v>0.99982969999999904</v>
      </c>
      <c r="Y4857">
        <v>-0.1206845</v>
      </c>
      <c r="Z4857">
        <v>2.137387E-2</v>
      </c>
      <c r="AA4857">
        <v>0.99246080000000003</v>
      </c>
      <c r="AB4857">
        <v>20</v>
      </c>
      <c r="AC4857">
        <v>5.8630000000000004</v>
      </c>
      <c r="AD4857">
        <v>-1.110226774194</v>
      </c>
      <c r="AE4857">
        <v>-51.367750000000001</v>
      </c>
      <c r="AF4857">
        <v>-6.2627002161112904</v>
      </c>
      <c r="AG4857">
        <v>-1.110226774194</v>
      </c>
      <c r="AH4857">
        <v>51.2965456166393</v>
      </c>
      <c r="AI4857">
        <v>91.230740803376605</v>
      </c>
      <c r="AJ4857">
        <v>96.960687756515995</v>
      </c>
      <c r="AK4857">
        <v>51.689356831817697</v>
      </c>
      <c r="AL4857">
        <v>89.419662328867204</v>
      </c>
      <c r="AM4857">
        <v>89.116017028832502</v>
      </c>
      <c r="AN4857">
        <v>1.0000000053926501</v>
      </c>
    </row>
    <row r="4858" spans="1:40" x14ac:dyDescent="0.25">
      <c r="A4858" t="str">
        <f>"20190312161110499"</f>
        <v>20190312161110499</v>
      </c>
      <c r="B4858" t="str">
        <f>"1552378270491781"</f>
        <v>1552378270491781</v>
      </c>
      <c r="C4858" t="s">
        <v>40</v>
      </c>
      <c r="D4858">
        <v>5.1156319999999997</v>
      </c>
      <c r="E4858">
        <v>0.4236586</v>
      </c>
      <c r="F4858" t="s">
        <v>78</v>
      </c>
      <c r="G4858">
        <v>-411.82440000000003</v>
      </c>
      <c r="H4858" s="1">
        <v>-3.9423200000000001E-6</v>
      </c>
      <c r="I4858">
        <v>36.513500000000001</v>
      </c>
      <c r="J4858">
        <v>-422.37990000000002</v>
      </c>
      <c r="K4858">
        <v>1.1102369999999999</v>
      </c>
      <c r="L4858">
        <v>100.29049999999999</v>
      </c>
      <c r="M4858">
        <v>-7.9163010000000006E-3</v>
      </c>
      <c r="N4858">
        <v>0</v>
      </c>
      <c r="O4858">
        <v>-0.99988290000000002</v>
      </c>
      <c r="P4858">
        <v>-2.0805529999999999E-2</v>
      </c>
      <c r="Q4858">
        <v>-3.0921149999999999E-3</v>
      </c>
      <c r="R4858">
        <v>-0.99977859999999996</v>
      </c>
      <c r="S4858">
        <v>0.49530030000000003</v>
      </c>
      <c r="T4858">
        <v>-5.2111150000000002E-2</v>
      </c>
      <c r="U4858">
        <v>-3.0121769999999999</v>
      </c>
      <c r="V4858">
        <v>1.289119E-2</v>
      </c>
      <c r="W4858">
        <v>9.9998889999999997E-3</v>
      </c>
      <c r="X4858">
        <v>0.9998669</v>
      </c>
      <c r="Y4858">
        <v>-0.1700372</v>
      </c>
      <c r="Z4858">
        <v>1.7056330000000001E-2</v>
      </c>
      <c r="AA4858">
        <v>0.98529009999999995</v>
      </c>
      <c r="AB4858">
        <v>20</v>
      </c>
      <c r="AC4858">
        <v>10.555499999999901</v>
      </c>
      <c r="AD4858">
        <v>-1.1102409423199999</v>
      </c>
      <c r="AE4858">
        <v>-63.777000000000001</v>
      </c>
      <c r="AF4858">
        <v>-11.056829051652899</v>
      </c>
      <c r="AG4858">
        <v>-1.1102409423199999</v>
      </c>
      <c r="AH4858">
        <v>63.6726523791408</v>
      </c>
      <c r="AI4858">
        <v>90.9842218018766</v>
      </c>
      <c r="AJ4858">
        <v>99.851241208757997</v>
      </c>
      <c r="AK4858">
        <v>64.635073796062102</v>
      </c>
      <c r="AL4858">
        <v>89.427039014798197</v>
      </c>
      <c r="AM4858">
        <v>89.261331824974505</v>
      </c>
      <c r="AN4858">
        <v>0.99999999913761894</v>
      </c>
    </row>
    <row r="4859" spans="1:40" x14ac:dyDescent="0.25">
      <c r="A4859" t="str">
        <f>"20190312161110521"</f>
        <v>20190312161110521</v>
      </c>
      <c r="B4859" t="str">
        <f>"1552378270512318"</f>
        <v>1552378270512318</v>
      </c>
      <c r="C4859" t="s">
        <v>40</v>
      </c>
      <c r="D4859">
        <v>5.1388959999999999</v>
      </c>
      <c r="E4859">
        <v>0.42254000000000003</v>
      </c>
      <c r="F4859" t="s">
        <v>78</v>
      </c>
      <c r="G4859">
        <v>-410.9076</v>
      </c>
      <c r="H4859" s="1">
        <v>-3.7499019999999999E-6</v>
      </c>
      <c r="I4859">
        <v>37.236989999999999</v>
      </c>
      <c r="J4859">
        <v>-422.38150000000002</v>
      </c>
      <c r="K4859">
        <v>1.1102449999999999</v>
      </c>
      <c r="L4859">
        <v>100.1006</v>
      </c>
      <c r="M4859">
        <v>-7.9355490000000001E-3</v>
      </c>
      <c r="N4859">
        <v>0</v>
      </c>
      <c r="O4859">
        <v>-0.99988319999999997</v>
      </c>
      <c r="P4859">
        <v>-2.0470220000000001E-2</v>
      </c>
      <c r="Q4859">
        <v>-2.7707270000000002E-3</v>
      </c>
      <c r="R4859">
        <v>-0.99978690000000003</v>
      </c>
      <c r="S4859">
        <v>0.54800419999999905</v>
      </c>
      <c r="T4859">
        <v>-5.303335E-2</v>
      </c>
      <c r="U4859">
        <v>-3.0119020000000001</v>
      </c>
      <c r="V4859">
        <v>1.253638E-2</v>
      </c>
      <c r="W4859">
        <v>1.028693E-2</v>
      </c>
      <c r="X4859">
        <v>0.99986850000000005</v>
      </c>
      <c r="Y4859">
        <v>-0.186783</v>
      </c>
      <c r="Z4859">
        <v>1.730742E-2</v>
      </c>
      <c r="AA4859">
        <v>0.98224869999999997</v>
      </c>
      <c r="AB4859">
        <v>20</v>
      </c>
      <c r="AC4859">
        <v>11.4739</v>
      </c>
      <c r="AD4859">
        <v>-1.110248749902</v>
      </c>
      <c r="AE4859">
        <v>-62.863610000000001</v>
      </c>
      <c r="AF4859">
        <v>-11.9688255344356</v>
      </c>
      <c r="AG4859">
        <v>-1.110248749902</v>
      </c>
      <c r="AH4859">
        <v>62.751628425260002</v>
      </c>
      <c r="AI4859">
        <v>90.995668717128893</v>
      </c>
      <c r="AJ4859">
        <v>100.798513050875</v>
      </c>
      <c r="AK4859">
        <v>63.892505874964002</v>
      </c>
      <c r="AL4859">
        <v>89.410591930975301</v>
      </c>
      <c r="AM4859">
        <v>89.281661509044</v>
      </c>
      <c r="AN4859">
        <v>0.99999999952228902</v>
      </c>
    </row>
    <row r="4860" spans="1:40" x14ac:dyDescent="0.25">
      <c r="A4860" t="str">
        <f>"20190312161110543"</f>
        <v>20190312161110543</v>
      </c>
      <c r="B4860" t="str">
        <f>"1552378270531794"</f>
        <v>1552378270531794</v>
      </c>
      <c r="C4860" t="s">
        <v>40</v>
      </c>
      <c r="D4860">
        <v>5.1796579999999999</v>
      </c>
      <c r="E4860">
        <v>0.4218672</v>
      </c>
      <c r="F4860" t="s">
        <v>78</v>
      </c>
      <c r="G4860">
        <v>-411.12240000000003</v>
      </c>
      <c r="H4860" s="1">
        <v>-2.5847250000000001E-6</v>
      </c>
      <c r="I4860">
        <v>39.245910000000002</v>
      </c>
      <c r="J4860">
        <v>-422.38310000000001</v>
      </c>
      <c r="K4860">
        <v>1.1102449999999999</v>
      </c>
      <c r="L4860">
        <v>99.904020000000003</v>
      </c>
      <c r="M4860">
        <v>-7.9457899999999995E-3</v>
      </c>
      <c r="N4860">
        <v>0</v>
      </c>
      <c r="O4860">
        <v>-0.99988390000000005</v>
      </c>
      <c r="P4860">
        <v>-2.062926E-2</v>
      </c>
      <c r="Q4860">
        <v>-3.0537469999999999E-3</v>
      </c>
      <c r="R4860">
        <v>-0.99978290000000003</v>
      </c>
      <c r="S4860">
        <v>0.55725100000000005</v>
      </c>
      <c r="T4860">
        <v>-5.494988E-2</v>
      </c>
      <c r="U4860">
        <v>-3.0119020000000001</v>
      </c>
      <c r="V4860">
        <v>1.268494E-2</v>
      </c>
      <c r="W4860">
        <v>9.9693709999999994E-3</v>
      </c>
      <c r="X4860">
        <v>0.99986980000000003</v>
      </c>
      <c r="Y4860">
        <v>-0.1897076</v>
      </c>
      <c r="Z4860">
        <v>1.792268E-2</v>
      </c>
      <c r="AA4860">
        <v>0.98167709999999997</v>
      </c>
      <c r="AB4860">
        <v>20</v>
      </c>
      <c r="AC4860">
        <v>11.2606999999999</v>
      </c>
      <c r="AD4860">
        <v>-1.110247584725</v>
      </c>
      <c r="AE4860">
        <v>-60.658109999999901</v>
      </c>
      <c r="AF4860">
        <v>-11.7385602476428</v>
      </c>
      <c r="AG4860">
        <v>-1.110247584725</v>
      </c>
      <c r="AH4860">
        <v>60.5471037643266</v>
      </c>
      <c r="AI4860">
        <v>91.031311435653905</v>
      </c>
      <c r="AJ4860">
        <v>100.972090710719</v>
      </c>
      <c r="AK4860">
        <v>61.684505515040499</v>
      </c>
      <c r="AL4860">
        <v>89.428787630212298</v>
      </c>
      <c r="AM4860">
        <v>89.273150827474396</v>
      </c>
      <c r="AN4860">
        <v>0.99999995650648799</v>
      </c>
    </row>
    <row r="4861" spans="1:40" x14ac:dyDescent="0.25">
      <c r="A4861" t="str">
        <f>"20190312161110564"</f>
        <v>20190312161110564</v>
      </c>
      <c r="B4861" t="str">
        <f>"1552378270562050"</f>
        <v>1552378270562050</v>
      </c>
      <c r="C4861" t="s">
        <v>40</v>
      </c>
      <c r="D4861">
        <v>5.2113230000000001</v>
      </c>
      <c r="E4861">
        <v>0.42108420000000002</v>
      </c>
      <c r="F4861" t="s">
        <v>41</v>
      </c>
      <c r="G4861">
        <v>-411.97539999999998</v>
      </c>
      <c r="H4861" s="1">
        <v>-3.6863179999999998E-6</v>
      </c>
      <c r="I4861">
        <v>44.206290000000003</v>
      </c>
      <c r="J4861">
        <v>-422.38459999999998</v>
      </c>
      <c r="K4861">
        <v>1.1102529999999999</v>
      </c>
      <c r="L4861">
        <v>99.711550000000003</v>
      </c>
      <c r="M4861">
        <v>-7.9513320000000002E-3</v>
      </c>
      <c r="N4861">
        <v>0</v>
      </c>
      <c r="O4861">
        <v>-0.99988410000000005</v>
      </c>
      <c r="P4861">
        <v>-2.081158E-2</v>
      </c>
      <c r="Q4861">
        <v>-3.6513280000000001E-3</v>
      </c>
      <c r="R4861">
        <v>-0.99977680000000002</v>
      </c>
      <c r="S4861">
        <v>0.56283570000000005</v>
      </c>
      <c r="T4861">
        <v>-6.0041310000000001E-2</v>
      </c>
      <c r="U4861">
        <v>-3.0120849999999999</v>
      </c>
      <c r="V4861">
        <v>1.286151E-2</v>
      </c>
      <c r="W4861">
        <v>9.341406E-3</v>
      </c>
      <c r="X4861">
        <v>0.99987360000000003</v>
      </c>
      <c r="Y4861">
        <v>-0.19145570000000001</v>
      </c>
      <c r="Z4861">
        <v>1.9574890000000001E-2</v>
      </c>
      <c r="AA4861">
        <v>0.98130600000000001</v>
      </c>
      <c r="AB4861">
        <v>20</v>
      </c>
      <c r="AC4861">
        <v>10.409199999999901</v>
      </c>
      <c r="AD4861">
        <v>-1.1102566863179999</v>
      </c>
      <c r="AE4861">
        <v>-55.50526</v>
      </c>
      <c r="AF4861">
        <v>-10.846056666705399</v>
      </c>
      <c r="AG4861">
        <v>-1.1102566863179999</v>
      </c>
      <c r="AH4861">
        <v>55.399318370115402</v>
      </c>
      <c r="AI4861">
        <v>91.126725159541294</v>
      </c>
      <c r="AJ4861">
        <v>101.077234485129</v>
      </c>
      <c r="AK4861">
        <v>56.461970307458301</v>
      </c>
      <c r="AL4861">
        <v>89.464769049323905</v>
      </c>
      <c r="AM4861">
        <v>89.263037245829395</v>
      </c>
      <c r="AN4861">
        <v>0.99999994814124704</v>
      </c>
    </row>
    <row r="4862" spans="1:40" x14ac:dyDescent="0.25">
      <c r="A4862" t="str">
        <f>"20190312161110588"</f>
        <v>20190312161110588</v>
      </c>
      <c r="B4862" t="str">
        <f>"1552378270581570"</f>
        <v>1552378270581570</v>
      </c>
      <c r="C4862" t="s">
        <v>40</v>
      </c>
      <c r="D4862">
        <v>5.2777229999999999</v>
      </c>
      <c r="E4862">
        <v>0.42071940000000002</v>
      </c>
      <c r="F4862" t="s">
        <v>41</v>
      </c>
      <c r="G4862">
        <v>-412.52460000000002</v>
      </c>
      <c r="H4862" s="1">
        <v>-4.6909040000000004E-6</v>
      </c>
      <c r="I4862">
        <v>47.476419999999997</v>
      </c>
      <c r="J4862">
        <v>-422.38630000000001</v>
      </c>
      <c r="K4862">
        <v>1.110255</v>
      </c>
      <c r="L4862">
        <v>99.501069999999999</v>
      </c>
      <c r="M4862">
        <v>-7.9588699999999998E-3</v>
      </c>
      <c r="N4862">
        <v>0</v>
      </c>
      <c r="O4862">
        <v>-0.99988460000000001</v>
      </c>
      <c r="P4862">
        <v>-2.1029140000000002E-2</v>
      </c>
      <c r="Q4862">
        <v>-3.137188E-3</v>
      </c>
      <c r="R4862">
        <v>-0.99977439999999995</v>
      </c>
      <c r="S4862">
        <v>0.56860350000000004</v>
      </c>
      <c r="T4862">
        <v>-6.4025760000000001E-2</v>
      </c>
      <c r="U4862">
        <v>-3.0122680000000002</v>
      </c>
      <c r="V4862">
        <v>1.30714E-2</v>
      </c>
      <c r="W4862">
        <v>9.826329E-3</v>
      </c>
      <c r="X4862">
        <v>0.99986629999999999</v>
      </c>
      <c r="Y4862">
        <v>-0.19326209999999999</v>
      </c>
      <c r="Z4862">
        <v>2.0864730000000001E-2</v>
      </c>
      <c r="AA4862">
        <v>0.9809253</v>
      </c>
      <c r="AB4862">
        <v>20</v>
      </c>
      <c r="AC4862">
        <v>9.8616999999999795</v>
      </c>
      <c r="AD4862">
        <v>-1.1102596909039999</v>
      </c>
      <c r="AE4862">
        <v>-52.024650000000001</v>
      </c>
      <c r="AF4862">
        <v>-10.2709641510585</v>
      </c>
      <c r="AG4862">
        <v>-1.1102596909039999</v>
      </c>
      <c r="AH4862">
        <v>51.921680458314398</v>
      </c>
      <c r="AI4862">
        <v>91.201709655005999</v>
      </c>
      <c r="AJ4862">
        <v>101.189587516846</v>
      </c>
      <c r="AK4862">
        <v>52.9394586559863</v>
      </c>
      <c r="AL4862">
        <v>89.436983769609895</v>
      </c>
      <c r="AM4862">
        <v>89.251006469049699</v>
      </c>
      <c r="AN4862">
        <v>1.0000000180576301</v>
      </c>
    </row>
    <row r="4863" spans="1:40" x14ac:dyDescent="0.25">
      <c r="A4863" t="str">
        <f>"20190312161110609"</f>
        <v>20190312161110609</v>
      </c>
      <c r="B4863" t="str">
        <f>"1552378270602066"</f>
        <v>1552378270602066</v>
      </c>
      <c r="C4863" t="s">
        <v>40</v>
      </c>
      <c r="D4863">
        <v>5.2777099999999999</v>
      </c>
      <c r="E4863">
        <v>0.4203191</v>
      </c>
      <c r="F4863" t="s">
        <v>41</v>
      </c>
      <c r="G4863">
        <v>-412.1515</v>
      </c>
      <c r="H4863" s="1">
        <v>-4.0620389999999901E-6</v>
      </c>
      <c r="I4863">
        <v>45.448030000000003</v>
      </c>
      <c r="J4863">
        <v>-422.38780000000003</v>
      </c>
      <c r="K4863">
        <v>1.1102559999999999</v>
      </c>
      <c r="L4863">
        <v>99.311980000000005</v>
      </c>
      <c r="M4863">
        <v>-7.9671580000000002E-3</v>
      </c>
      <c r="N4863">
        <v>0</v>
      </c>
      <c r="O4863">
        <v>-0.99988480000000002</v>
      </c>
      <c r="P4863">
        <v>-2.0603489999999999E-2</v>
      </c>
      <c r="Q4863">
        <v>-2.5915259999999998E-3</v>
      </c>
      <c r="R4863">
        <v>-0.99978469999999997</v>
      </c>
      <c r="S4863">
        <v>0.57040409999999997</v>
      </c>
      <c r="T4863">
        <v>-6.1876889999999997E-2</v>
      </c>
      <c r="U4863">
        <v>-3.0124819999999999</v>
      </c>
      <c r="V4863">
        <v>1.263733E-2</v>
      </c>
      <c r="W4863">
        <v>1.0346050000000001E-2</v>
      </c>
      <c r="X4863">
        <v>0.99986660000000005</v>
      </c>
      <c r="Y4863">
        <v>-0.19382630000000001</v>
      </c>
      <c r="Z4863">
        <v>2.0161100000000001E-2</v>
      </c>
      <c r="AA4863">
        <v>0.9808287</v>
      </c>
      <c r="AB4863">
        <v>20</v>
      </c>
      <c r="AC4863">
        <v>10.2363</v>
      </c>
      <c r="AD4863">
        <v>-1.110260062039</v>
      </c>
      <c r="AE4863">
        <v>-53.863950000000003</v>
      </c>
      <c r="AF4863">
        <v>-10.660781945810699</v>
      </c>
      <c r="AG4863">
        <v>-1.110260062039</v>
      </c>
      <c r="AH4863">
        <v>53.758634993493899</v>
      </c>
      <c r="AI4863">
        <v>91.160549812605197</v>
      </c>
      <c r="AJ4863">
        <v>101.216701317863</v>
      </c>
      <c r="AK4863">
        <v>54.816747308328999</v>
      </c>
      <c r="AL4863">
        <v>89.407204412838695</v>
      </c>
      <c r="AM4863">
        <v>89.275876280111007</v>
      </c>
      <c r="AN4863">
        <v>0.99999998032784498</v>
      </c>
    </row>
    <row r="4864" spans="1:40" x14ac:dyDescent="0.25">
      <c r="A4864" t="str">
        <f>"20190312161110632"</f>
        <v>20190312161110632</v>
      </c>
      <c r="B4864" t="str">
        <f>"1552378270621585"</f>
        <v>1552378270621585</v>
      </c>
      <c r="C4864" t="s">
        <v>40</v>
      </c>
      <c r="D4864">
        <v>5.4591900000000004</v>
      </c>
      <c r="E4864">
        <v>0.42000219999999999</v>
      </c>
      <c r="F4864" t="s">
        <v>41</v>
      </c>
      <c r="G4864">
        <v>-411.2817</v>
      </c>
      <c r="H4864" s="1">
        <v>-2.819844E-6</v>
      </c>
      <c r="I4864">
        <v>41.11768</v>
      </c>
      <c r="J4864">
        <v>-422.38929999999999</v>
      </c>
      <c r="K4864">
        <v>1.1102510000000001</v>
      </c>
      <c r="L4864">
        <v>99.118260000000006</v>
      </c>
      <c r="M4864">
        <v>-7.9780419999999994E-3</v>
      </c>
      <c r="N4864">
        <v>0</v>
      </c>
      <c r="O4864">
        <v>-0.99988480000000002</v>
      </c>
      <c r="P4864">
        <v>-1.979152E-2</v>
      </c>
      <c r="Q4864">
        <v>-2.784243E-3</v>
      </c>
      <c r="R4864">
        <v>-0.99980020000000003</v>
      </c>
      <c r="S4864">
        <v>0.57489009999999996</v>
      </c>
      <c r="T4864">
        <v>-5.7470680000000003E-2</v>
      </c>
      <c r="U4864">
        <v>-3.0123289999999998</v>
      </c>
      <c r="V4864">
        <v>1.181434E-2</v>
      </c>
      <c r="W4864">
        <v>1.0124340000000001E-2</v>
      </c>
      <c r="X4864">
        <v>0.99987890000000001</v>
      </c>
      <c r="Y4864">
        <v>-0.19526080000000001</v>
      </c>
      <c r="Z4864">
        <v>1.872163E-2</v>
      </c>
      <c r="AA4864">
        <v>0.98057260000000002</v>
      </c>
      <c r="AB4864">
        <v>20</v>
      </c>
      <c r="AC4864">
        <v>11.1075999999999</v>
      </c>
      <c r="AD4864">
        <v>-1.110253819844</v>
      </c>
      <c r="AE4864">
        <v>-58.0005799999999</v>
      </c>
      <c r="AF4864">
        <v>-11.565928023557399</v>
      </c>
      <c r="AG4864">
        <v>-1.110253819844</v>
      </c>
      <c r="AH4864">
        <v>57.889648007460501</v>
      </c>
      <c r="AI4864">
        <v>91.0774408564873</v>
      </c>
      <c r="AJ4864">
        <v>101.298510424379</v>
      </c>
      <c r="AK4864">
        <v>59.044175843331601</v>
      </c>
      <c r="AL4864">
        <v>89.419908106940696</v>
      </c>
      <c r="AM4864">
        <v>89.323037699264901</v>
      </c>
      <c r="AN4864">
        <v>0.99999994777763901</v>
      </c>
    </row>
    <row r="4865" spans="1:40" x14ac:dyDescent="0.25">
      <c r="A4865" t="str">
        <f>"20190312161110655"</f>
        <v>20190312161110655</v>
      </c>
      <c r="B4865" t="str">
        <f>"1552378270651842"</f>
        <v>1552378270651842</v>
      </c>
      <c r="C4865" t="s">
        <v>40</v>
      </c>
      <c r="D4865">
        <v>5.3935810000000002</v>
      </c>
      <c r="E4865">
        <v>0.4196126</v>
      </c>
      <c r="F4865" t="s">
        <v>41</v>
      </c>
      <c r="G4865">
        <v>-411.05700000000002</v>
      </c>
      <c r="H4865" s="1">
        <v>-2.5863000000000001E-6</v>
      </c>
      <c r="I4865">
        <v>40.255719999999997</v>
      </c>
      <c r="J4865">
        <v>-422.39100000000002</v>
      </c>
      <c r="K4865">
        <v>1.1102510000000001</v>
      </c>
      <c r="L4865">
        <v>98.912869999999998</v>
      </c>
      <c r="M4865">
        <v>-7.9944479999999995E-3</v>
      </c>
      <c r="N4865">
        <v>0</v>
      </c>
      <c r="O4865">
        <v>-0.99988529999999998</v>
      </c>
      <c r="P4865">
        <v>-1.8803009999999998E-2</v>
      </c>
      <c r="Q4865">
        <v>-2.754725E-3</v>
      </c>
      <c r="R4865">
        <v>-0.99981960000000003</v>
      </c>
      <c r="S4865">
        <v>0.5798645</v>
      </c>
      <c r="T4865">
        <v>-5.68105E-2</v>
      </c>
      <c r="U4865">
        <v>-3.0119319999999998</v>
      </c>
      <c r="V4865">
        <v>1.0809350000000001E-2</v>
      </c>
      <c r="W4865">
        <v>1.0121E-2</v>
      </c>
      <c r="X4865">
        <v>0.99989030000000001</v>
      </c>
      <c r="Y4865">
        <v>-0.19686319999999999</v>
      </c>
      <c r="Z4865">
        <v>1.8503189999999999E-2</v>
      </c>
      <c r="AA4865">
        <v>0.98025629999999997</v>
      </c>
      <c r="AB4865">
        <v>20</v>
      </c>
      <c r="AC4865">
        <v>11.334</v>
      </c>
      <c r="AD4865">
        <v>-1.1102535863</v>
      </c>
      <c r="AE4865">
        <v>-58.657150000000001</v>
      </c>
      <c r="AF4865">
        <v>-11.798533242740101</v>
      </c>
      <c r="AG4865">
        <v>-1.1102535863</v>
      </c>
      <c r="AH4865">
        <v>58.544439240400102</v>
      </c>
      <c r="AI4865">
        <v>91.065035624782894</v>
      </c>
      <c r="AJ4865">
        <v>101.39426661880699</v>
      </c>
      <c r="AK4865">
        <v>59.731812425866003</v>
      </c>
      <c r="AL4865">
        <v>89.420099482678296</v>
      </c>
      <c r="AM4865">
        <v>89.380626045265799</v>
      </c>
      <c r="AN4865">
        <v>0.99999994436125395</v>
      </c>
    </row>
    <row r="4866" spans="1:40" x14ac:dyDescent="0.25">
      <c r="A4866" t="str">
        <f>"20190312161110679"</f>
        <v>20190312161110679</v>
      </c>
      <c r="B4866" t="str">
        <f>"1552378270672339"</f>
        <v>1552378270672339</v>
      </c>
      <c r="C4866" t="s">
        <v>40</v>
      </c>
      <c r="D4866">
        <v>5.3460739999999998</v>
      </c>
      <c r="E4866">
        <v>0.4193673</v>
      </c>
      <c r="F4866" t="s">
        <v>78</v>
      </c>
      <c r="G4866">
        <v>-410.67610000000002</v>
      </c>
      <c r="H4866" s="1">
        <v>-3.0207020000000002E-6</v>
      </c>
      <c r="I4866">
        <v>38.664090000000002</v>
      </c>
      <c r="J4866">
        <v>-422.39260000000002</v>
      </c>
      <c r="K4866">
        <v>1.110242</v>
      </c>
      <c r="L4866">
        <v>98.713440000000006</v>
      </c>
      <c r="M4866">
        <v>-8.0203669999999901E-3</v>
      </c>
      <c r="N4866">
        <v>0</v>
      </c>
      <c r="O4866">
        <v>-0.99988560000000004</v>
      </c>
      <c r="P4866">
        <v>-1.8246490000000001E-2</v>
      </c>
      <c r="Q4866">
        <v>-2.4206990000000001E-3</v>
      </c>
      <c r="R4866">
        <v>-0.99983089999999997</v>
      </c>
      <c r="S4866">
        <v>0.58554079999999997</v>
      </c>
      <c r="T4866">
        <v>-5.5493239999999999E-2</v>
      </c>
      <c r="U4866">
        <v>-3.0113829999999999</v>
      </c>
      <c r="V4866">
        <v>1.022698E-2</v>
      </c>
      <c r="W4866">
        <v>1.0423299999999899E-2</v>
      </c>
      <c r="X4866">
        <v>0.99989340000000004</v>
      </c>
      <c r="Y4866">
        <v>-0.19870409999999999</v>
      </c>
      <c r="Z4866">
        <v>1.8070940000000001E-2</v>
      </c>
      <c r="AA4866">
        <v>0.97989289999999996</v>
      </c>
      <c r="AB4866">
        <v>20</v>
      </c>
      <c r="AC4866">
        <v>11.7164999999999</v>
      </c>
      <c r="AD4866">
        <v>-1.110245020702</v>
      </c>
      <c r="AE4866">
        <v>-60.049349999999997</v>
      </c>
      <c r="AF4866">
        <v>-12.193765093223201</v>
      </c>
      <c r="AG4866">
        <v>-1.110245020702</v>
      </c>
      <c r="AH4866">
        <v>59.9337036208697</v>
      </c>
      <c r="AI4866">
        <v>91.039956558531401</v>
      </c>
      <c r="AJ4866">
        <v>101.500105824294</v>
      </c>
      <c r="AK4866">
        <v>61.171638696939802</v>
      </c>
      <c r="AL4866">
        <v>89.4027781010886</v>
      </c>
      <c r="AM4866">
        <v>89.4139951726292</v>
      </c>
      <c r="AN4866">
        <v>1.0000000238331801</v>
      </c>
    </row>
    <row r="4867" spans="1:40" x14ac:dyDescent="0.25">
      <c r="A4867" t="str">
        <f>"20190312161110700"</f>
        <v>20190312161110700</v>
      </c>
      <c r="B4867" t="str">
        <f>"1552378270691858"</f>
        <v>1552378270691858</v>
      </c>
      <c r="C4867" t="s">
        <v>40</v>
      </c>
      <c r="D4867">
        <v>5.4026709999999998</v>
      </c>
      <c r="E4867">
        <v>0.41925590000000001</v>
      </c>
      <c r="F4867" t="s">
        <v>78</v>
      </c>
      <c r="G4867">
        <v>-410.35879999999997</v>
      </c>
      <c r="H4867" s="1">
        <v>-3.8751530000000004E-6</v>
      </c>
      <c r="I4867">
        <v>37.230449999999998</v>
      </c>
      <c r="J4867">
        <v>-422.39420000000001</v>
      </c>
      <c r="K4867">
        <v>1.1102369999999999</v>
      </c>
      <c r="L4867">
        <v>98.518010000000004</v>
      </c>
      <c r="M4867">
        <v>-8.0598079999999999E-3</v>
      </c>
      <c r="N4867">
        <v>0</v>
      </c>
      <c r="O4867">
        <v>-0.99988560000000004</v>
      </c>
      <c r="P4867">
        <v>-1.7958789999999999E-2</v>
      </c>
      <c r="Q4867">
        <v>-1.809396E-3</v>
      </c>
      <c r="R4867">
        <v>-0.99983719999999998</v>
      </c>
      <c r="S4867">
        <v>0.58935550000000003</v>
      </c>
      <c r="T4867">
        <v>-5.4374459999999999E-2</v>
      </c>
      <c r="U4867">
        <v>-3.011139</v>
      </c>
      <c r="V4867">
        <v>9.9001039999999998E-3</v>
      </c>
      <c r="W4867">
        <v>1.100167E-2</v>
      </c>
      <c r="X4867">
        <v>0.99989039999999996</v>
      </c>
      <c r="Y4867">
        <v>-0.19995450000000001</v>
      </c>
      <c r="Z4867">
        <v>1.7703730000000001E-2</v>
      </c>
      <c r="AA4867">
        <v>0.97964519999999999</v>
      </c>
      <c r="AB4867">
        <v>20</v>
      </c>
      <c r="AC4867">
        <v>12.035399999999999</v>
      </c>
      <c r="AD4867">
        <v>-1.110240875153</v>
      </c>
      <c r="AE4867">
        <v>-61.287559999999999</v>
      </c>
      <c r="AF4867">
        <v>-12.525057808996699</v>
      </c>
      <c r="AG4867">
        <v>-1.110240875153</v>
      </c>
      <c r="AH4867">
        <v>61.169229921236997</v>
      </c>
      <c r="AI4867">
        <v>91.018690901701405</v>
      </c>
      <c r="AJ4867">
        <v>101.571970808248</v>
      </c>
      <c r="AK4867">
        <v>62.448253755223</v>
      </c>
      <c r="AL4867">
        <v>89.369637980937597</v>
      </c>
      <c r="AM4867">
        <v>89.432722185313395</v>
      </c>
      <c r="AN4867">
        <v>0.99999993040707702</v>
      </c>
    </row>
    <row r="4868" spans="1:40" x14ac:dyDescent="0.25">
      <c r="A4868" t="str">
        <f>"20190312161110722"</f>
        <v>20190312161110722</v>
      </c>
      <c r="B4868" t="str">
        <f>"1552378270712355"</f>
        <v>1552378270712355</v>
      </c>
      <c r="C4868" t="s">
        <v>40</v>
      </c>
      <c r="D4868">
        <v>5.3629300000000004</v>
      </c>
      <c r="E4868">
        <v>0.40378059999999899</v>
      </c>
      <c r="F4868" t="s">
        <v>78</v>
      </c>
      <c r="G4868">
        <v>-410.31470000000002</v>
      </c>
      <c r="H4868" s="1">
        <v>-4.0173259999999999E-6</v>
      </c>
      <c r="I4868">
        <v>36.988399999999999</v>
      </c>
      <c r="J4868">
        <v>-422.39580000000001</v>
      </c>
      <c r="K4868">
        <v>1.1102190000000001</v>
      </c>
      <c r="L4868">
        <v>98.328000000000003</v>
      </c>
      <c r="M4868">
        <v>-8.1165930000000001E-3</v>
      </c>
      <c r="N4868">
        <v>0</v>
      </c>
      <c r="O4868">
        <v>-0.99988560000000004</v>
      </c>
      <c r="P4868">
        <v>-1.756717E-2</v>
      </c>
      <c r="Q4868">
        <v>-6.7011169999999995E-4</v>
      </c>
      <c r="R4868">
        <v>-0.99984569999999995</v>
      </c>
      <c r="S4868">
        <v>0.59112549999999997</v>
      </c>
      <c r="T4868">
        <v>-5.4330829999999997E-2</v>
      </c>
      <c r="U4868">
        <v>-3.0110169999999998</v>
      </c>
      <c r="V4868">
        <v>9.4521259999999999E-3</v>
      </c>
      <c r="W4868">
        <v>1.210929E-2</v>
      </c>
      <c r="X4868">
        <v>0.99988200000000005</v>
      </c>
      <c r="Y4868">
        <v>-0.20057230000000001</v>
      </c>
      <c r="Z4868">
        <v>1.768811E-2</v>
      </c>
      <c r="AA4868">
        <v>0.97951920000000003</v>
      </c>
      <c r="AB4868">
        <v>20</v>
      </c>
      <c r="AC4868">
        <v>12.0810999999999</v>
      </c>
      <c r="AD4868">
        <v>-1.1102230173259999</v>
      </c>
      <c r="AE4868">
        <v>-61.339599999999898</v>
      </c>
      <c r="AF4868">
        <v>-12.574645534216099</v>
      </c>
      <c r="AG4868">
        <v>-1.1102230173259999</v>
      </c>
      <c r="AH4868">
        <v>61.220207206575502</v>
      </c>
      <c r="AI4868">
        <v>91.017698399269506</v>
      </c>
      <c r="AJ4868">
        <v>101.607131953321</v>
      </c>
      <c r="AK4868">
        <v>62.508144076395602</v>
      </c>
      <c r="AL4868">
        <v>89.306171829880299</v>
      </c>
      <c r="AM4868">
        <v>89.458385293528707</v>
      </c>
      <c r="AN4868">
        <v>0.99999999575711196</v>
      </c>
    </row>
    <row r="4869" spans="1:40" x14ac:dyDescent="0.25">
      <c r="A4869" t="str">
        <f>"20190312161110744"</f>
        <v>20190312161110744</v>
      </c>
      <c r="B4869" t="str">
        <f>"1552378270741634"</f>
        <v>1552378270741634</v>
      </c>
      <c r="C4869" t="s">
        <v>40</v>
      </c>
      <c r="D4869">
        <v>5.3815580000000001</v>
      </c>
      <c r="E4869">
        <v>0.40153319999999998</v>
      </c>
      <c r="F4869" t="s">
        <v>41</v>
      </c>
      <c r="G4869">
        <v>-415.74560000000002</v>
      </c>
      <c r="H4869" s="1">
        <v>-1.3873339999999999E-6</v>
      </c>
      <c r="I4869">
        <v>70.398380000000003</v>
      </c>
      <c r="J4869">
        <v>-422.39749999999998</v>
      </c>
      <c r="K4869">
        <v>1.110201</v>
      </c>
      <c r="L4869">
        <v>98.134460000000004</v>
      </c>
      <c r="M4869">
        <v>-8.1965340000000001E-3</v>
      </c>
      <c r="N4869">
        <v>0</v>
      </c>
      <c r="O4869">
        <v>-0.99988509999999997</v>
      </c>
      <c r="P4869">
        <v>-1.7403269999999998E-2</v>
      </c>
      <c r="Q4869">
        <v>-5.2812080000000003E-4</v>
      </c>
      <c r="R4869">
        <v>-0.99984830000000002</v>
      </c>
      <c r="S4869">
        <v>0.71740719999999902</v>
      </c>
      <c r="T4869">
        <v>-0.1197674</v>
      </c>
      <c r="U4869">
        <v>-3.0129700000000001</v>
      </c>
      <c r="V4869">
        <v>9.2087430000000001E-3</v>
      </c>
      <c r="W4869">
        <v>1.2221330000000001E-2</v>
      </c>
      <c r="X4869">
        <v>0.99988290000000002</v>
      </c>
      <c r="Y4869">
        <v>-0.23942450000000001</v>
      </c>
      <c r="Z4869">
        <v>3.8600879999999997E-2</v>
      </c>
      <c r="AA4869">
        <v>0.97014739999999999</v>
      </c>
      <c r="AB4869">
        <v>20</v>
      </c>
      <c r="AC4869">
        <v>6.6518999999999497</v>
      </c>
      <c r="AD4869">
        <v>-1.1102023873339999</v>
      </c>
      <c r="AE4869">
        <v>-27.736079999999902</v>
      </c>
      <c r="AF4869">
        <v>-6.8686284153820001</v>
      </c>
      <c r="AG4869">
        <v>-1.1102023873339999</v>
      </c>
      <c r="AH4869">
        <v>27.638747135258502</v>
      </c>
      <c r="AI4869">
        <v>92.232407770183201</v>
      </c>
      <c r="AJ4869">
        <v>103.956107299346</v>
      </c>
      <c r="AK4869">
        <v>28.501069258120701</v>
      </c>
      <c r="AL4869">
        <v>89.299751930056303</v>
      </c>
      <c r="AM4869">
        <v>89.472331018460906</v>
      </c>
      <c r="AN4869">
        <v>0.99999998778350896</v>
      </c>
    </row>
    <row r="4870" spans="1:40" x14ac:dyDescent="0.25">
      <c r="A4870" t="str">
        <f>"20190312161110767"</f>
        <v>20190312161110767</v>
      </c>
      <c r="B4870" t="str">
        <f>"1552378270762130"</f>
        <v>1552378270762130</v>
      </c>
      <c r="C4870" t="s">
        <v>40</v>
      </c>
      <c r="D4870">
        <v>5.4000810000000001</v>
      </c>
      <c r="E4870">
        <v>0.4022598</v>
      </c>
      <c r="F4870" t="s">
        <v>41</v>
      </c>
      <c r="G4870">
        <v>-415.68290000000002</v>
      </c>
      <c r="H4870" s="1">
        <v>-1.4842520000000001E-6</v>
      </c>
      <c r="I4870">
        <v>70.634169999999997</v>
      </c>
      <c r="J4870">
        <v>-422.39920000000001</v>
      </c>
      <c r="K4870">
        <v>1.1101810000000001</v>
      </c>
      <c r="L4870">
        <v>97.935550000000006</v>
      </c>
      <c r="M4870">
        <v>-8.3088150000000006E-3</v>
      </c>
      <c r="N4870">
        <v>0</v>
      </c>
      <c r="O4870">
        <v>-0.99988480000000002</v>
      </c>
      <c r="P4870">
        <v>-1.7900929999999999E-2</v>
      </c>
      <c r="Q4870">
        <v>-2.5860469999999997E-4</v>
      </c>
      <c r="R4870">
        <v>-0.99984010000000001</v>
      </c>
      <c r="S4870">
        <v>0.73571779999999998</v>
      </c>
      <c r="T4870">
        <v>-0.12164519999999999</v>
      </c>
      <c r="U4870">
        <v>-3.0132140000000001</v>
      </c>
      <c r="V4870">
        <v>9.5947580000000001E-3</v>
      </c>
      <c r="W4870">
        <v>1.245831E-2</v>
      </c>
      <c r="X4870">
        <v>0.9998764</v>
      </c>
      <c r="Y4870">
        <v>-0.24507799999999999</v>
      </c>
      <c r="Z4870">
        <v>3.9146470000000003E-2</v>
      </c>
      <c r="AA4870">
        <v>0.96871269999999998</v>
      </c>
      <c r="AB4870">
        <v>20</v>
      </c>
      <c r="AC4870">
        <v>6.7162999999999897</v>
      </c>
      <c r="AD4870">
        <v>-1.1101824842519901</v>
      </c>
      <c r="AE4870">
        <v>-27.301380000000002</v>
      </c>
      <c r="AF4870">
        <v>-6.9321199981363897</v>
      </c>
      <c r="AG4870">
        <v>-1.1101824842519901</v>
      </c>
      <c r="AH4870">
        <v>27.202214814679898</v>
      </c>
      <c r="AI4870">
        <v>92.264767135101096</v>
      </c>
      <c r="AJ4870">
        <v>104.296761099579</v>
      </c>
      <c r="AK4870">
        <v>28.093545230904802</v>
      </c>
      <c r="AL4870">
        <v>89.286172980901497</v>
      </c>
      <c r="AM4870">
        <v>89.450209779866398</v>
      </c>
      <c r="AN4870">
        <v>1.0000000420730399</v>
      </c>
    </row>
    <row r="4871" spans="1:40" x14ac:dyDescent="0.25">
      <c r="A4871" t="str">
        <f>"20190312161110789"</f>
        <v>20190312161110789</v>
      </c>
      <c r="B4871" t="str">
        <f>"1552378270781650"</f>
        <v>1552378270781650</v>
      </c>
      <c r="C4871" t="s">
        <v>40</v>
      </c>
      <c r="D4871">
        <v>5.4810639999999999</v>
      </c>
      <c r="E4871">
        <v>0.40252769999999999</v>
      </c>
      <c r="F4871" t="s">
        <v>41</v>
      </c>
      <c r="G4871">
        <v>-415.67959999999999</v>
      </c>
      <c r="H4871" s="1">
        <v>-1.3166109999999999E-6</v>
      </c>
      <c r="I4871">
        <v>70.13897</v>
      </c>
      <c r="J4871">
        <v>-422.40100000000001</v>
      </c>
      <c r="K4871">
        <v>1.1101589999999999</v>
      </c>
      <c r="L4871">
        <v>97.735929999999996</v>
      </c>
      <c r="M4871">
        <v>-8.4465400000000006E-3</v>
      </c>
      <c r="N4871">
        <v>0</v>
      </c>
      <c r="O4871">
        <v>-0.99988390000000005</v>
      </c>
      <c r="P4871">
        <v>-1.8738479999999998E-2</v>
      </c>
      <c r="Q4871">
        <v>-8.2143470000000003E-4</v>
      </c>
      <c r="R4871">
        <v>-0.99982420000000005</v>
      </c>
      <c r="S4871">
        <v>0.7284851</v>
      </c>
      <c r="T4871">
        <v>-0.1203574</v>
      </c>
      <c r="U4871">
        <v>-3.0134889999999999</v>
      </c>
      <c r="V4871">
        <v>1.029505E-2</v>
      </c>
      <c r="W4871">
        <v>1.186039E-2</v>
      </c>
      <c r="X4871">
        <v>0.99987669999999995</v>
      </c>
      <c r="Y4871">
        <v>-0.24299889999999999</v>
      </c>
      <c r="Z4871">
        <v>3.875029E-2</v>
      </c>
      <c r="AA4871">
        <v>0.96925229999999996</v>
      </c>
      <c r="AB4871">
        <v>20</v>
      </c>
      <c r="AC4871">
        <v>6.7214000000000098</v>
      </c>
      <c r="AD4871">
        <v>-1.1101603166109999</v>
      </c>
      <c r="AE4871">
        <v>-27.596959999999999</v>
      </c>
      <c r="AF4871">
        <v>-6.94367031442256</v>
      </c>
      <c r="AG4871">
        <v>-1.1101603166109999</v>
      </c>
      <c r="AH4871">
        <v>27.4971923418654</v>
      </c>
      <c r="AI4871">
        <v>92.241686520760297</v>
      </c>
      <c r="AJ4871">
        <v>104.172210133267</v>
      </c>
      <c r="AK4871">
        <v>28.382082376906599</v>
      </c>
      <c r="AL4871">
        <v>89.320433801188102</v>
      </c>
      <c r="AM4871">
        <v>89.410085191916394</v>
      </c>
      <c r="AN4871">
        <v>1.0000000360541701</v>
      </c>
    </row>
    <row r="4872" spans="1:40" x14ac:dyDescent="0.25">
      <c r="A4872" t="str">
        <f>"20190312161110810"</f>
        <v>20190312161110810</v>
      </c>
      <c r="B4872" t="str">
        <f>"1552378270802146"</f>
        <v>1552378270802146</v>
      </c>
      <c r="C4872" t="s">
        <v>40</v>
      </c>
      <c r="D4872">
        <v>5.4513740000000004</v>
      </c>
      <c r="E4872">
        <v>0.40275630000000001</v>
      </c>
      <c r="F4872" t="s">
        <v>41</v>
      </c>
      <c r="G4872">
        <v>-415.90969999999999</v>
      </c>
      <c r="H4872" s="1">
        <v>-1.445978E-6</v>
      </c>
      <c r="I4872">
        <v>70.699060000000003</v>
      </c>
      <c r="J4872">
        <v>-422.40280000000001</v>
      </c>
      <c r="K4872">
        <v>1.110136</v>
      </c>
      <c r="L4872">
        <v>97.546940000000006</v>
      </c>
      <c r="M4872">
        <v>-8.5957580000000002E-3</v>
      </c>
      <c r="N4872">
        <v>0</v>
      </c>
      <c r="O4872">
        <v>-0.99988290000000002</v>
      </c>
      <c r="P4872">
        <v>-2.004976E-2</v>
      </c>
      <c r="Q4872">
        <v>-9.8346530000000009E-4</v>
      </c>
      <c r="R4872">
        <v>-0.99979859999999998</v>
      </c>
      <c r="S4872">
        <v>0.72363279999999996</v>
      </c>
      <c r="T4872">
        <v>-0.1237581</v>
      </c>
      <c r="U4872">
        <v>-3.014008</v>
      </c>
      <c r="V4872">
        <v>1.145768E-2</v>
      </c>
      <c r="W4872">
        <v>1.1666340000000001E-2</v>
      </c>
      <c r="X4872">
        <v>0.99986629999999999</v>
      </c>
      <c r="Y4872">
        <v>-0.24162030000000001</v>
      </c>
      <c r="Z4872">
        <v>3.9851020000000001E-2</v>
      </c>
      <c r="AA4872">
        <v>0.96955219999999998</v>
      </c>
      <c r="AB4872">
        <v>20</v>
      </c>
      <c r="AC4872">
        <v>6.4931000000000196</v>
      </c>
      <c r="AD4872">
        <v>-1.110137445978</v>
      </c>
      <c r="AE4872">
        <v>-26.84788</v>
      </c>
      <c r="AF4872">
        <v>-6.7128134142944003</v>
      </c>
      <c r="AG4872">
        <v>-1.110137445978</v>
      </c>
      <c r="AH4872">
        <v>26.747865205598298</v>
      </c>
      <c r="AI4872">
        <v>92.3052203703011</v>
      </c>
      <c r="AJ4872">
        <v>104.08834107228699</v>
      </c>
      <c r="AK4872">
        <v>27.599684094948501</v>
      </c>
      <c r="AL4872">
        <v>89.331552791982702</v>
      </c>
      <c r="AM4872">
        <v>89.343464246655103</v>
      </c>
      <c r="AN4872">
        <v>0.99999999989783395</v>
      </c>
    </row>
    <row r="4873" spans="1:40" x14ac:dyDescent="0.25">
      <c r="A4873" t="str">
        <f>"20190312161111191"</f>
        <v>20190312161111191</v>
      </c>
      <c r="B4873" t="str">
        <f>"1552378271181811"</f>
        <v>1552378271181811</v>
      </c>
      <c r="C4873" t="s">
        <v>40</v>
      </c>
      <c r="D4873">
        <v>5.4056230000000003</v>
      </c>
      <c r="E4873">
        <v>0.4017212</v>
      </c>
      <c r="F4873" t="s">
        <v>41</v>
      </c>
      <c r="G4873">
        <v>-416.27280000000002</v>
      </c>
      <c r="H4873" s="1">
        <v>-1.7293999999999999E-6</v>
      </c>
      <c r="I4873">
        <v>71.815820000000002</v>
      </c>
      <c r="J4873">
        <v>-422.44069999999999</v>
      </c>
      <c r="K4873">
        <v>1.1100669999999999</v>
      </c>
      <c r="L4873">
        <v>94.224000000000004</v>
      </c>
      <c r="M4873">
        <v>-1.198361E-2</v>
      </c>
      <c r="N4873">
        <v>0</v>
      </c>
      <c r="O4873">
        <v>-0.9998553</v>
      </c>
      <c r="P4873">
        <v>-2.003216E-2</v>
      </c>
      <c r="Q4873">
        <v>-1.731411E-3</v>
      </c>
      <c r="R4873">
        <v>-0.99979810000000002</v>
      </c>
      <c r="S4873">
        <v>0.71823119999999996</v>
      </c>
      <c r="T4873">
        <v>-0.13007260000000001</v>
      </c>
      <c r="U4873">
        <v>-3.0148619999999999</v>
      </c>
      <c r="V4873">
        <v>8.0516400000000005E-3</v>
      </c>
      <c r="W4873">
        <v>1.035178E-2</v>
      </c>
      <c r="X4873">
        <v>0.99991399999999997</v>
      </c>
      <c r="Y4873">
        <v>-0.24318300000000001</v>
      </c>
      <c r="Z4873">
        <v>4.1867290000000001E-2</v>
      </c>
      <c r="AA4873">
        <v>0.96907650000000001</v>
      </c>
      <c r="AB4873">
        <v>20</v>
      </c>
      <c r="AC4873">
        <v>6.1678999999999702</v>
      </c>
      <c r="AD4873">
        <v>-1.1100687294</v>
      </c>
      <c r="AE4873">
        <v>-22.408179999999899</v>
      </c>
      <c r="AF4873">
        <v>-6.4213588908749104</v>
      </c>
      <c r="AG4873">
        <v>-1.1100687294</v>
      </c>
      <c r="AH4873">
        <v>22.281821598274799</v>
      </c>
      <c r="AI4873">
        <v>92.740726128500299</v>
      </c>
      <c r="AJ4873">
        <v>106.076359189087</v>
      </c>
      <c r="AK4873">
        <v>23.2152035598819</v>
      </c>
      <c r="AL4873">
        <v>89.406876100812397</v>
      </c>
      <c r="AM4873">
        <v>89.538645303729297</v>
      </c>
      <c r="AN4873">
        <v>0.99999999782592797</v>
      </c>
    </row>
    <row r="4874" spans="1:40" x14ac:dyDescent="0.25">
      <c r="A4874" t="str">
        <f>"20190312161111213"</f>
        <v>20190312161111213</v>
      </c>
      <c r="B4874" t="str">
        <f>"1552378271202307"</f>
        <v>1552378271202307</v>
      </c>
      <c r="C4874" t="s">
        <v>40</v>
      </c>
      <c r="D4874">
        <v>5.103383</v>
      </c>
      <c r="E4874">
        <v>0.40014119999999997</v>
      </c>
      <c r="F4874" t="s">
        <v>41</v>
      </c>
      <c r="G4874">
        <v>-416.5009</v>
      </c>
      <c r="H4874" s="1">
        <v>-4.8743099999999999E-6</v>
      </c>
      <c r="I4874">
        <v>69.548069999999996</v>
      </c>
      <c r="J4874">
        <v>-422.44319999999999</v>
      </c>
      <c r="K4874">
        <v>1.1100620000000001</v>
      </c>
      <c r="L4874">
        <v>94.033630000000002</v>
      </c>
      <c r="M4874">
        <v>-1.2170739999999999E-2</v>
      </c>
      <c r="N4874">
        <v>0</v>
      </c>
      <c r="O4874">
        <v>-0.9998534</v>
      </c>
      <c r="P4874">
        <v>-2.031554E-2</v>
      </c>
      <c r="Q4874">
        <v>-1.622907E-3</v>
      </c>
      <c r="R4874">
        <v>-0.99979240000000003</v>
      </c>
      <c r="S4874">
        <v>0.72573849999999995</v>
      </c>
      <c r="T4874">
        <v>-0.13562929999999901</v>
      </c>
      <c r="U4874">
        <v>-3.014923</v>
      </c>
      <c r="V4874">
        <v>8.1479640000000006E-3</v>
      </c>
      <c r="W4874">
        <v>1.042473E-2</v>
      </c>
      <c r="X4874">
        <v>0.99991240000000003</v>
      </c>
      <c r="Y4874">
        <v>-0.24562390000000001</v>
      </c>
      <c r="Z4874">
        <v>4.3625329999999997E-2</v>
      </c>
      <c r="AA4874">
        <v>0.96838310000000005</v>
      </c>
      <c r="AB4874">
        <v>20</v>
      </c>
      <c r="AC4874">
        <v>5.9422999999999799</v>
      </c>
      <c r="AD4874">
        <v>-1.11006687431</v>
      </c>
      <c r="AE4874">
        <v>-24.48556</v>
      </c>
      <c r="AF4874">
        <v>-6.2278006744017498</v>
      </c>
      <c r="AG4874">
        <v>-1.11006687431</v>
      </c>
      <c r="AH4874">
        <v>24.364128067243001</v>
      </c>
      <c r="AI4874">
        <v>92.527524038221102</v>
      </c>
      <c r="AJ4874">
        <v>104.33855319668599</v>
      </c>
      <c r="AK4874">
        <v>25.171978193668799</v>
      </c>
      <c r="AL4874">
        <v>89.402696111205003</v>
      </c>
      <c r="AM4874">
        <v>89.533125485516905</v>
      </c>
      <c r="AN4874">
        <v>0.99999993599333703</v>
      </c>
    </row>
    <row r="4875" spans="1:40" x14ac:dyDescent="0.25">
      <c r="A4875" t="str">
        <f>"20190312161111235"</f>
        <v>20190312161111235</v>
      </c>
      <c r="B4875" t="str">
        <f>"1552378271231587"</f>
        <v>1552378271231587</v>
      </c>
      <c r="C4875" t="s">
        <v>40</v>
      </c>
      <c r="D4875">
        <v>5.5557949999999998</v>
      </c>
      <c r="E4875">
        <v>0.41023120000000002</v>
      </c>
      <c r="F4875" t="s">
        <v>95</v>
      </c>
      <c r="G4875">
        <v>-399.7251</v>
      </c>
      <c r="H4875">
        <v>4.5067259999999996</v>
      </c>
      <c r="I4875">
        <v>0.68359759999999903</v>
      </c>
      <c r="J4875">
        <v>-422.44589999999999</v>
      </c>
      <c r="K4875">
        <v>1.1100570000000001</v>
      </c>
      <c r="L4875">
        <v>93.837130000000002</v>
      </c>
      <c r="M4875">
        <v>-1.236513E-2</v>
      </c>
      <c r="N4875">
        <v>0</v>
      </c>
      <c r="O4875">
        <v>-0.99985170000000001</v>
      </c>
      <c r="P4875">
        <v>-2.0870909999999999E-2</v>
      </c>
      <c r="Q4875">
        <v>-1.31499E-3</v>
      </c>
      <c r="R4875">
        <v>-0.99978149999999999</v>
      </c>
      <c r="S4875">
        <v>0.73391719999999905</v>
      </c>
      <c r="T4875">
        <v>0.1097301</v>
      </c>
      <c r="U4875">
        <v>-3.015717</v>
      </c>
      <c r="V4875">
        <v>8.5090930000000006E-3</v>
      </c>
      <c r="W4875">
        <v>1.068936E-2</v>
      </c>
      <c r="X4875">
        <v>0.99990670000000004</v>
      </c>
      <c r="Y4875">
        <v>-0.24831239999999999</v>
      </c>
      <c r="Z4875">
        <v>-3.527429E-2</v>
      </c>
      <c r="AA4875">
        <v>0.9680375</v>
      </c>
      <c r="AB4875">
        <v>20</v>
      </c>
      <c r="AC4875">
        <v>22.720800000000001</v>
      </c>
      <c r="AD4875">
        <v>3.3966690000000002</v>
      </c>
      <c r="AE4875">
        <v>-93.153532400000003</v>
      </c>
      <c r="AF4875">
        <v>-23.841082734358501</v>
      </c>
      <c r="AG4875">
        <v>3.3966690000000002</v>
      </c>
      <c r="AH4875">
        <v>92.749052647424804</v>
      </c>
      <c r="AI4875">
        <v>87.968622654154302</v>
      </c>
      <c r="AJ4875">
        <v>104.4157471761</v>
      </c>
      <c r="AK4875">
        <v>95.824429835177497</v>
      </c>
      <c r="AL4875">
        <v>89.387533145477704</v>
      </c>
      <c r="AM4875">
        <v>89.512431161733005</v>
      </c>
      <c r="AN4875">
        <v>1.0000000378928899</v>
      </c>
    </row>
    <row r="4876" spans="1:40" x14ac:dyDescent="0.25">
      <c r="A4876" t="str">
        <f>"20190312161111258"</f>
        <v>20190312161111258</v>
      </c>
      <c r="B4876" t="str">
        <f>"1552378271252082"</f>
        <v>1552378271252082</v>
      </c>
      <c r="C4876" t="s">
        <v>40</v>
      </c>
      <c r="D4876">
        <v>5.4952199999999998</v>
      </c>
      <c r="E4876">
        <v>0.41281909999999999</v>
      </c>
      <c r="F4876" t="s">
        <v>95</v>
      </c>
      <c r="G4876">
        <v>-402.58519999999999</v>
      </c>
      <c r="H4876">
        <v>4.0049720000000004</v>
      </c>
      <c r="I4876">
        <v>1.951538</v>
      </c>
      <c r="J4876">
        <v>-422.4486</v>
      </c>
      <c r="K4876">
        <v>1.1100429999999999</v>
      </c>
      <c r="L4876">
        <v>93.634919999999994</v>
      </c>
      <c r="M4876">
        <v>-1.2566549999999999E-2</v>
      </c>
      <c r="N4876">
        <v>0</v>
      </c>
      <c r="O4876">
        <v>-0.99984980000000001</v>
      </c>
      <c r="P4876">
        <v>-2.0539370000000001E-2</v>
      </c>
      <c r="Q4876">
        <v>-1.3409680000000001E-3</v>
      </c>
      <c r="R4876">
        <v>-0.99978860000000003</v>
      </c>
      <c r="S4876">
        <v>0.65155030000000003</v>
      </c>
      <c r="T4876">
        <v>9.4969869999999998E-2</v>
      </c>
      <c r="U4876">
        <v>-3.0144039999999999</v>
      </c>
      <c r="V4876">
        <v>7.9760179999999996E-3</v>
      </c>
      <c r="W4876">
        <v>1.0615930000000001E-2</v>
      </c>
      <c r="X4876">
        <v>0.99991180000000002</v>
      </c>
      <c r="Y4876">
        <v>-0.2234341</v>
      </c>
      <c r="Z4876">
        <v>-3.0733429999999999E-2</v>
      </c>
      <c r="AA4876">
        <v>0.97423439999999994</v>
      </c>
      <c r="AB4876">
        <v>20</v>
      </c>
      <c r="AC4876">
        <v>19.863399999999999</v>
      </c>
      <c r="AD4876">
        <v>2.8949289999999999</v>
      </c>
      <c r="AE4876">
        <v>-91.683381999999995</v>
      </c>
      <c r="AF4876">
        <v>-20.9940645608912</v>
      </c>
      <c r="AG4876">
        <v>2.8949289999999999</v>
      </c>
      <c r="AH4876">
        <v>91.339526668906998</v>
      </c>
      <c r="AI4876">
        <v>88.230768232225699</v>
      </c>
      <c r="AJ4876">
        <v>102.944407657914</v>
      </c>
      <c r="AK4876">
        <v>93.765881283129204</v>
      </c>
      <c r="AL4876">
        <v>89.391740566558596</v>
      </c>
      <c r="AM4876">
        <v>89.542977214012296</v>
      </c>
      <c r="AN4876">
        <v>0.99999996130606905</v>
      </c>
    </row>
    <row r="4877" spans="1:40" x14ac:dyDescent="0.25">
      <c r="A4877" t="str">
        <f>"20190312161111370"</f>
        <v>20190312161111370</v>
      </c>
      <c r="B4877" t="str">
        <f>"1552378271362370"</f>
        <v>1552378271362370</v>
      </c>
      <c r="C4877" t="s">
        <v>40</v>
      </c>
      <c r="D4877">
        <v>4.9655129999999996</v>
      </c>
      <c r="E4877">
        <v>0.40985450000000001</v>
      </c>
      <c r="F4877" t="s">
        <v>95</v>
      </c>
      <c r="G4877">
        <v>-403.22120000000001</v>
      </c>
      <c r="H4877">
        <v>4.0581009999999997</v>
      </c>
      <c r="I4877">
        <v>1.945068</v>
      </c>
      <c r="J4877">
        <v>-422.46249999999998</v>
      </c>
      <c r="K4877">
        <v>1.110006</v>
      </c>
      <c r="L4877">
        <v>92.66046</v>
      </c>
      <c r="M4877">
        <v>-1.3533150000000001E-2</v>
      </c>
      <c r="N4877">
        <v>0</v>
      </c>
      <c r="O4877">
        <v>-0.99983949999999999</v>
      </c>
      <c r="P4877">
        <v>-1.99668E-2</v>
      </c>
      <c r="Q4877">
        <v>-3.5014579999999998E-3</v>
      </c>
      <c r="R4877">
        <v>-0.99979459999999998</v>
      </c>
      <c r="S4877">
        <v>0.63198849999999995</v>
      </c>
      <c r="T4877">
        <v>9.6899150000000003E-2</v>
      </c>
      <c r="U4877">
        <v>-3.013763</v>
      </c>
      <c r="V4877">
        <v>6.4360729999999996E-3</v>
      </c>
      <c r="W4877">
        <v>8.242816E-3</v>
      </c>
      <c r="X4877">
        <v>0.99994530000000004</v>
      </c>
      <c r="Y4877">
        <v>-0.21836269999999999</v>
      </c>
      <c r="Z4877">
        <v>-3.1402270000000003E-2</v>
      </c>
      <c r="AA4877">
        <v>0.97536230000000002</v>
      </c>
      <c r="AB4877">
        <v>20</v>
      </c>
      <c r="AC4877">
        <v>19.241299999999899</v>
      </c>
      <c r="AD4877">
        <v>2.9480949999999999</v>
      </c>
      <c r="AE4877">
        <v>-90.715391999999994</v>
      </c>
      <c r="AF4877">
        <v>-20.4466225289896</v>
      </c>
      <c r="AG4877">
        <v>2.9480949999999999</v>
      </c>
      <c r="AH4877">
        <v>90.3553506264481</v>
      </c>
      <c r="AI4877">
        <v>88.1772822619197</v>
      </c>
      <c r="AJ4877">
        <v>102.750780606399</v>
      </c>
      <c r="AK4877">
        <v>92.686811487937106</v>
      </c>
      <c r="AL4877">
        <v>89.527716076575601</v>
      </c>
      <c r="AM4877">
        <v>89.631225100622402</v>
      </c>
      <c r="AN4877">
        <v>0.99999998502167997</v>
      </c>
    </row>
    <row r="4878" spans="1:40" x14ac:dyDescent="0.25">
      <c r="A4878" t="str">
        <f>"20190312161111391"</f>
        <v>20190312161111391</v>
      </c>
      <c r="B4878" t="str">
        <f>"1552378271381891"</f>
        <v>1552378271381891</v>
      </c>
      <c r="C4878" t="s">
        <v>40</v>
      </c>
      <c r="D4878">
        <v>6.9117499999999996</v>
      </c>
      <c r="E4878">
        <v>0.41450900000000002</v>
      </c>
      <c r="F4878" t="s">
        <v>95</v>
      </c>
      <c r="G4878">
        <v>-402.39830000000001</v>
      </c>
      <c r="H4878">
        <v>4.4857930000000001</v>
      </c>
      <c r="I4878">
        <v>0.65641019999999894</v>
      </c>
      <c r="J4878">
        <v>-422.46519999999998</v>
      </c>
      <c r="K4878">
        <v>1.109998</v>
      </c>
      <c r="L4878">
        <v>92.469639999999998</v>
      </c>
      <c r="M4878">
        <v>-1.3722140000000001E-2</v>
      </c>
      <c r="N4878">
        <v>0</v>
      </c>
      <c r="O4878">
        <v>-0.99983739999999999</v>
      </c>
      <c r="P4878">
        <v>-2.0349200000000001E-2</v>
      </c>
      <c r="Q4878">
        <v>-4.0046070000000003E-3</v>
      </c>
      <c r="R4878">
        <v>-0.99978489999999998</v>
      </c>
      <c r="S4878">
        <v>0.65731809999999902</v>
      </c>
      <c r="T4878">
        <v>0.1105927</v>
      </c>
      <c r="U4878">
        <v>-3.0141300000000002</v>
      </c>
      <c r="V4878">
        <v>6.6294049999999997E-3</v>
      </c>
      <c r="W4878">
        <v>7.7011459999999999E-3</v>
      </c>
      <c r="X4878">
        <v>0.99994839999999996</v>
      </c>
      <c r="Y4878">
        <v>-0.22632260000000001</v>
      </c>
      <c r="Z4878">
        <v>-3.5766109999999997E-2</v>
      </c>
      <c r="AA4878">
        <v>0.97339549999999997</v>
      </c>
      <c r="AB4878">
        <v>20</v>
      </c>
      <c r="AC4878">
        <v>20.066899999999901</v>
      </c>
      <c r="AD4878">
        <v>3.3757949999999899</v>
      </c>
      <c r="AE4878">
        <v>-91.813229800000002</v>
      </c>
      <c r="AF4878">
        <v>-21.297491392667801</v>
      </c>
      <c r="AG4878">
        <v>3.3757949999999899</v>
      </c>
      <c r="AH4878">
        <v>91.411260542716406</v>
      </c>
      <c r="AI4878">
        <v>87.940160413330702</v>
      </c>
      <c r="AJ4878">
        <v>103.11511641718801</v>
      </c>
      <c r="AK4878">
        <v>93.920166553893907</v>
      </c>
      <c r="AL4878">
        <v>89.558752488242007</v>
      </c>
      <c r="AM4878">
        <v>89.620149037420603</v>
      </c>
      <c r="AN4878">
        <v>1.00000002966146</v>
      </c>
    </row>
    <row r="4879" spans="1:40" x14ac:dyDescent="0.25">
      <c r="A4879" t="str">
        <f>"20190312161111414"</f>
        <v>20190312161111414</v>
      </c>
      <c r="B4879" t="str">
        <f>"1552378271412147"</f>
        <v>1552378271412147</v>
      </c>
      <c r="C4879" t="s">
        <v>40</v>
      </c>
      <c r="D4879">
        <v>5.5434900000000003</v>
      </c>
      <c r="E4879">
        <v>0.4207765</v>
      </c>
      <c r="F4879" t="s">
        <v>41</v>
      </c>
      <c r="G4879">
        <v>-421.08760000000001</v>
      </c>
      <c r="H4879" s="1">
        <v>-2.980926E-6</v>
      </c>
      <c r="I4879">
        <v>85.863169999999997</v>
      </c>
      <c r="J4879">
        <v>-422.46809999999999</v>
      </c>
      <c r="K4879">
        <v>1.1099969999999999</v>
      </c>
      <c r="L4879">
        <v>92.275210000000001</v>
      </c>
      <c r="M4879">
        <v>-1.391614E-2</v>
      </c>
      <c r="N4879">
        <v>0</v>
      </c>
      <c r="O4879">
        <v>-0.99983500000000003</v>
      </c>
      <c r="P4879">
        <v>-2.0522200000000001E-2</v>
      </c>
      <c r="Q4879">
        <v>-4.274758E-3</v>
      </c>
      <c r="R4879">
        <v>-0.99978029999999996</v>
      </c>
      <c r="S4879">
        <v>0.62796019999999997</v>
      </c>
      <c r="T4879">
        <v>-0.5059652</v>
      </c>
      <c r="U4879">
        <v>-3.0113829999999999</v>
      </c>
      <c r="V4879">
        <v>6.6083469999999997E-3</v>
      </c>
      <c r="W4879">
        <v>7.3974100000000001E-3</v>
      </c>
      <c r="X4879">
        <v>0.99995080000000003</v>
      </c>
      <c r="Y4879">
        <v>-0.21504180000000001</v>
      </c>
      <c r="Z4879">
        <v>0.16203580000000001</v>
      </c>
      <c r="AA4879">
        <v>0.9630687</v>
      </c>
      <c r="AB4879">
        <v>20</v>
      </c>
      <c r="AC4879">
        <v>1.3804999999999801</v>
      </c>
      <c r="AD4879">
        <v>-1.1099999809259999</v>
      </c>
      <c r="AE4879">
        <v>-6.4120400000000002</v>
      </c>
      <c r="AF4879">
        <v>-1.4286854764982</v>
      </c>
      <c r="AG4879">
        <v>-1.1099999809259999</v>
      </c>
      <c r="AH4879">
        <v>6.2142300416588698</v>
      </c>
      <c r="AI4879">
        <v>99.875140136838297</v>
      </c>
      <c r="AJ4879">
        <v>102.94762034057</v>
      </c>
      <c r="AK4879">
        <v>6.4722405053480703</v>
      </c>
      <c r="AL4879">
        <v>89.576155760836002</v>
      </c>
      <c r="AM4879">
        <v>89.621356490107203</v>
      </c>
      <c r="AN4879">
        <v>0.99999999717271004</v>
      </c>
    </row>
    <row r="4880" spans="1:40" x14ac:dyDescent="0.25">
      <c r="A4880" t="str">
        <f>"20190312161111437"</f>
        <v>20190312161111437</v>
      </c>
      <c r="B4880" t="str">
        <f>"1552378271431666"</f>
        <v>1552378271431666</v>
      </c>
      <c r="C4880" t="s">
        <v>40</v>
      </c>
      <c r="D4880">
        <v>5.7260589999999896</v>
      </c>
      <c r="E4880">
        <v>0.42273929999999998</v>
      </c>
      <c r="F4880" t="s">
        <v>41</v>
      </c>
      <c r="G4880">
        <v>-420.21300000000002</v>
      </c>
      <c r="H4880" s="1">
        <v>-4.2865639999999999E-7</v>
      </c>
      <c r="I4880">
        <v>80.456190000000007</v>
      </c>
      <c r="J4880">
        <v>-422.47120000000001</v>
      </c>
      <c r="K4880">
        <v>1.10999</v>
      </c>
      <c r="L4880">
        <v>92.073359999999994</v>
      </c>
      <c r="M4880">
        <v>-1.411977E-2</v>
      </c>
      <c r="N4880">
        <v>0</v>
      </c>
      <c r="O4880">
        <v>-0.99983259999999996</v>
      </c>
      <c r="P4880">
        <v>-2.0276780000000001E-2</v>
      </c>
      <c r="Q4880">
        <v>-4.1000749999999999E-3</v>
      </c>
      <c r="R4880">
        <v>-0.99978630000000002</v>
      </c>
      <c r="S4880">
        <v>0.57455440000000002</v>
      </c>
      <c r="T4880">
        <v>-0.28280329999999998</v>
      </c>
      <c r="U4880">
        <v>-3.0112299999999999</v>
      </c>
      <c r="V4880">
        <v>6.1592829999999998E-3</v>
      </c>
      <c r="W4880">
        <v>7.5414109999999996E-3</v>
      </c>
      <c r="X4880">
        <v>0.99995259999999997</v>
      </c>
      <c r="Y4880">
        <v>-0.20048379999999999</v>
      </c>
      <c r="Z4880">
        <v>9.1721109999999995E-2</v>
      </c>
      <c r="AA4880">
        <v>0.97539399999999998</v>
      </c>
      <c r="AB4880">
        <v>20</v>
      </c>
      <c r="AC4880">
        <v>2.25819999999998</v>
      </c>
      <c r="AD4880">
        <v>-1.10999042865639</v>
      </c>
      <c r="AE4880">
        <v>-11.6171699999999</v>
      </c>
      <c r="AF4880">
        <v>-2.4008972464628302</v>
      </c>
      <c r="AG4880">
        <v>-1.10999042865639</v>
      </c>
      <c r="AH4880">
        <v>11.4831084288769</v>
      </c>
      <c r="AI4880">
        <v>95.405059740512797</v>
      </c>
      <c r="AJ4880">
        <v>101.809326812631</v>
      </c>
      <c r="AK4880">
        <v>11.7838094659208</v>
      </c>
      <c r="AL4880">
        <v>89.567904884881102</v>
      </c>
      <c r="AM4880">
        <v>89.647086814149802</v>
      </c>
      <c r="AN4880">
        <v>1.0000000059468499</v>
      </c>
    </row>
    <row r="4881" spans="1:40" x14ac:dyDescent="0.25">
      <c r="A4881" t="str">
        <f>"20190312161111459"</f>
        <v>20190312161111459</v>
      </c>
      <c r="B4881" t="str">
        <f>"1552378271452162"</f>
        <v>1552378271452162</v>
      </c>
      <c r="C4881" t="s">
        <v>40</v>
      </c>
      <c r="D4881">
        <v>5.8024360000000001</v>
      </c>
      <c r="E4881">
        <v>0.42536610000000002</v>
      </c>
      <c r="F4881" t="s">
        <v>41</v>
      </c>
      <c r="G4881">
        <v>-420.00389999999999</v>
      </c>
      <c r="H4881" s="1">
        <v>-3.9448470000000001E-6</v>
      </c>
      <c r="I4881">
        <v>78.782219999999995</v>
      </c>
      <c r="J4881">
        <v>-422.47430000000003</v>
      </c>
      <c r="K4881">
        <v>1.1099870000000001</v>
      </c>
      <c r="L4881">
        <v>91.870149999999995</v>
      </c>
      <c r="M4881">
        <v>-1.432804E-2</v>
      </c>
      <c r="N4881">
        <v>0</v>
      </c>
      <c r="O4881">
        <v>-0.99983</v>
      </c>
      <c r="P4881">
        <v>-1.9961340000000001E-2</v>
      </c>
      <c r="Q4881">
        <v>-4.0842309999999998E-3</v>
      </c>
      <c r="R4881">
        <v>-0.99979269999999998</v>
      </c>
      <c r="S4881">
        <v>0.55892940000000002</v>
      </c>
      <c r="T4881">
        <v>-0.25145389999999901</v>
      </c>
      <c r="U4881">
        <v>-3.0109249999999999</v>
      </c>
      <c r="V4881">
        <v>5.6355349999999997E-3</v>
      </c>
      <c r="W4881">
        <v>7.5251980000000003E-3</v>
      </c>
      <c r="X4881">
        <v>0.99995579999999995</v>
      </c>
      <c r="Y4881">
        <v>-0.19597439999999999</v>
      </c>
      <c r="Z4881">
        <v>8.1711019999999995E-2</v>
      </c>
      <c r="AA4881">
        <v>0.97719869999999998</v>
      </c>
      <c r="AB4881">
        <v>20</v>
      </c>
      <c r="AC4881">
        <v>2.4704000000000401</v>
      </c>
      <c r="AD4881">
        <v>-1.109990944847</v>
      </c>
      <c r="AE4881">
        <v>-13.08793</v>
      </c>
      <c r="AF4881">
        <v>-2.6393522068577702</v>
      </c>
      <c r="AG4881">
        <v>-1.109990944847</v>
      </c>
      <c r="AH4881">
        <v>12.9611683081534</v>
      </c>
      <c r="AI4881">
        <v>94.796878616942394</v>
      </c>
      <c r="AJ4881">
        <v>101.51007147934099</v>
      </c>
      <c r="AK4881">
        <v>13.2736635440924</v>
      </c>
      <c r="AL4881">
        <v>89.568833842948607</v>
      </c>
      <c r="AM4881">
        <v>89.677096775389899</v>
      </c>
      <c r="AN4881">
        <v>0.99999999490665703</v>
      </c>
    </row>
    <row r="4882" spans="1:40" x14ac:dyDescent="0.25">
      <c r="A4882" t="str">
        <f>"20190312161111482"</f>
        <v>20190312161111482</v>
      </c>
      <c r="B4882" t="str">
        <f>"1552378271471682"</f>
        <v>1552378271471682</v>
      </c>
      <c r="C4882" t="s">
        <v>40</v>
      </c>
      <c r="D4882">
        <v>5.8070879999999896</v>
      </c>
      <c r="E4882">
        <v>0.42767109999999903</v>
      </c>
      <c r="F4882" t="s">
        <v>41</v>
      </c>
      <c r="G4882">
        <v>-420.0034</v>
      </c>
      <c r="H4882" s="1">
        <v>-3.632394E-6</v>
      </c>
      <c r="I4882">
        <v>78.054190000000006</v>
      </c>
      <c r="J4882">
        <v>-422.47730000000001</v>
      </c>
      <c r="K4882">
        <v>1.1099779999999999</v>
      </c>
      <c r="L4882">
        <v>91.675259999999994</v>
      </c>
      <c r="M4882">
        <v>-1.453342E-2</v>
      </c>
      <c r="N4882">
        <v>0</v>
      </c>
      <c r="O4882">
        <v>-0.99982740000000003</v>
      </c>
      <c r="P4882">
        <v>-1.9803290000000001E-2</v>
      </c>
      <c r="Q4882">
        <v>-4.1425840000000004E-3</v>
      </c>
      <c r="R4882">
        <v>-0.99979549999999995</v>
      </c>
      <c r="S4882">
        <v>0.53839110000000001</v>
      </c>
      <c r="T4882">
        <v>-0.24185980000000001</v>
      </c>
      <c r="U4882">
        <v>-3.0104060000000001</v>
      </c>
      <c r="V4882">
        <v>5.2721069999999998E-3</v>
      </c>
      <c r="W4882">
        <v>7.4326949999999996E-3</v>
      </c>
      <c r="X4882">
        <v>0.99995849999999997</v>
      </c>
      <c r="Y4882">
        <v>-0.18979199999999999</v>
      </c>
      <c r="Z4882">
        <v>7.8722020000000004E-2</v>
      </c>
      <c r="AA4882">
        <v>0.97866330000000001</v>
      </c>
      <c r="AB4882">
        <v>20</v>
      </c>
      <c r="AC4882">
        <v>2.4739000000000102</v>
      </c>
      <c r="AD4882">
        <v>-1.1099816323939999</v>
      </c>
      <c r="AE4882">
        <v>-13.6210699999999</v>
      </c>
      <c r="AF4882">
        <v>-2.65454772987668</v>
      </c>
      <c r="AG4882">
        <v>-1.1099816323939999</v>
      </c>
      <c r="AH4882">
        <v>13.4969087626296</v>
      </c>
      <c r="AI4882">
        <v>94.613417501859303</v>
      </c>
      <c r="AJ4882">
        <v>101.126811230699</v>
      </c>
      <c r="AK4882">
        <v>13.8001894559891</v>
      </c>
      <c r="AL4882">
        <v>89.574134033771301</v>
      </c>
      <c r="AM4882">
        <v>89.697920782341697</v>
      </c>
      <c r="AN4882">
        <v>1.00000002089471</v>
      </c>
    </row>
    <row r="4883" spans="1:40" x14ac:dyDescent="0.25">
      <c r="A4883" t="str">
        <f>"20190312161111527"</f>
        <v>20190312161111527</v>
      </c>
      <c r="B4883" t="str">
        <f>"1552378271522436"</f>
        <v>1552378271522436</v>
      </c>
      <c r="C4883" t="s">
        <v>40</v>
      </c>
      <c r="D4883">
        <v>5.8279709999999998</v>
      </c>
      <c r="E4883">
        <v>0.43012089999999997</v>
      </c>
      <c r="F4883" t="s">
        <v>41</v>
      </c>
      <c r="G4883">
        <v>-420.09410000000003</v>
      </c>
      <c r="H4883" s="1">
        <v>-3.5890409999999999E-6</v>
      </c>
      <c r="I4883">
        <v>77.896909999999906</v>
      </c>
      <c r="J4883">
        <v>-422.48349999999999</v>
      </c>
      <c r="K4883">
        <v>1.1099589999999999</v>
      </c>
      <c r="L4883">
        <v>91.285030000000006</v>
      </c>
      <c r="M4883">
        <v>-1.497598E-2</v>
      </c>
      <c r="N4883">
        <v>0</v>
      </c>
      <c r="O4883">
        <v>-0.99982170000000004</v>
      </c>
      <c r="P4883">
        <v>-1.971817E-2</v>
      </c>
      <c r="Q4883">
        <v>-4.4693479999999997E-3</v>
      </c>
      <c r="R4883">
        <v>-0.99979569999999995</v>
      </c>
      <c r="S4883">
        <v>0.52062989999999998</v>
      </c>
      <c r="T4883">
        <v>-0.24247840000000001</v>
      </c>
      <c r="U4883">
        <v>-3.0099179999999999</v>
      </c>
      <c r="V4883">
        <v>4.7444729999999999E-3</v>
      </c>
      <c r="W4883">
        <v>7.0412209999999899E-3</v>
      </c>
      <c r="X4883">
        <v>0.99996390000000002</v>
      </c>
      <c r="Y4883">
        <v>-0.1846459</v>
      </c>
      <c r="Z4883">
        <v>7.9012730000000003E-2</v>
      </c>
      <c r="AA4883">
        <v>0.97962389999999999</v>
      </c>
      <c r="AB4883">
        <v>20</v>
      </c>
      <c r="AC4883">
        <v>2.3893999999999598</v>
      </c>
      <c r="AD4883">
        <v>-1.1099625890410001</v>
      </c>
      <c r="AE4883">
        <v>-13.388120000000001</v>
      </c>
      <c r="AF4883">
        <v>-2.5725091867158199</v>
      </c>
      <c r="AG4883">
        <v>-1.1099625890410001</v>
      </c>
      <c r="AH4883">
        <v>13.2624867869879</v>
      </c>
      <c r="AI4883">
        <v>94.696903702752195</v>
      </c>
      <c r="AJ4883">
        <v>100.977281179789</v>
      </c>
      <c r="AK4883">
        <v>13.5551973884498</v>
      </c>
      <c r="AL4883">
        <v>89.596564398227699</v>
      </c>
      <c r="AM4883">
        <v>89.728153947258804</v>
      </c>
      <c r="AN4883">
        <v>0.99999994506021195</v>
      </c>
    </row>
    <row r="4884" spans="1:40" x14ac:dyDescent="0.25">
      <c r="A4884" t="str">
        <f>"20190312161111548"</f>
        <v>20190312161111548</v>
      </c>
      <c r="B4884" t="str">
        <f>"1552378271541956"</f>
        <v>1552378271541956</v>
      </c>
      <c r="C4884" t="s">
        <v>40</v>
      </c>
      <c r="D4884">
        <v>5.753679</v>
      </c>
      <c r="E4884">
        <v>0.43080540000000001</v>
      </c>
      <c r="F4884" t="s">
        <v>41</v>
      </c>
      <c r="G4884">
        <v>-420.05849999999998</v>
      </c>
      <c r="H4884" s="1">
        <v>-3.0713620000000002E-6</v>
      </c>
      <c r="I4884">
        <v>76.712230000000005</v>
      </c>
      <c r="J4884">
        <v>-422.48680000000002</v>
      </c>
      <c r="K4884">
        <v>1.109947</v>
      </c>
      <c r="L4884">
        <v>91.088409999999996</v>
      </c>
      <c r="M4884">
        <v>-1.521463E-2</v>
      </c>
      <c r="N4884">
        <v>0</v>
      </c>
      <c r="O4884">
        <v>-0.9998186</v>
      </c>
      <c r="P4884">
        <v>-1.9207950000000001E-2</v>
      </c>
      <c r="Q4884">
        <v>-3.9588509999999898E-3</v>
      </c>
      <c r="R4884">
        <v>-0.99980800000000003</v>
      </c>
      <c r="S4884">
        <v>0.5007935</v>
      </c>
      <c r="T4884">
        <v>-0.2292207</v>
      </c>
      <c r="U4884">
        <v>-3.0094599999999998</v>
      </c>
      <c r="V4884">
        <v>3.9957409999999997E-3</v>
      </c>
      <c r="W4884">
        <v>7.5180459999999996E-3</v>
      </c>
      <c r="X4884">
        <v>0.99996379999999996</v>
      </c>
      <c r="Y4884">
        <v>-0.178679</v>
      </c>
      <c r="Z4884">
        <v>7.4810909999999994E-2</v>
      </c>
      <c r="AA4884">
        <v>0.98105920000000002</v>
      </c>
      <c r="AB4884">
        <v>20</v>
      </c>
      <c r="AC4884">
        <v>2.4283000000000299</v>
      </c>
      <c r="AD4884">
        <v>-1.1099500713619901</v>
      </c>
      <c r="AE4884">
        <v>-14.3761799999999</v>
      </c>
      <c r="AF4884">
        <v>-2.6315101843203101</v>
      </c>
      <c r="AG4884">
        <v>-1.1099500713619901</v>
      </c>
      <c r="AH4884">
        <v>14.2549508706013</v>
      </c>
      <c r="AI4884">
        <v>94.3786175651137</v>
      </c>
      <c r="AJ4884">
        <v>100.45923645326</v>
      </c>
      <c r="AK4884">
        <v>14.5382412737702</v>
      </c>
      <c r="AL4884">
        <v>89.5692436551642</v>
      </c>
      <c r="AM4884">
        <v>89.771053835307697</v>
      </c>
      <c r="AN4884">
        <v>1.0000000441361101</v>
      </c>
    </row>
    <row r="4885" spans="1:40" x14ac:dyDescent="0.25">
      <c r="A4885" t="str">
        <f>"20190312161111571"</f>
        <v>20190312161111571</v>
      </c>
      <c r="B4885" t="str">
        <f>"1552378271561475"</f>
        <v>1552378271561475</v>
      </c>
      <c r="C4885" t="s">
        <v>40</v>
      </c>
      <c r="D4885">
        <v>5.7769199999999996</v>
      </c>
      <c r="E4885">
        <v>0.43150430000000001</v>
      </c>
      <c r="F4885" t="s">
        <v>41</v>
      </c>
      <c r="G4885">
        <v>-419.99700000000001</v>
      </c>
      <c r="H4885" s="1">
        <v>-2.7564730000000001E-6</v>
      </c>
      <c r="I4885">
        <v>76.016379999999998</v>
      </c>
      <c r="J4885">
        <v>-422.49</v>
      </c>
      <c r="K4885">
        <v>1.1099380000000001</v>
      </c>
      <c r="L4885">
        <v>90.897639999999996</v>
      </c>
      <c r="M4885">
        <v>-1.5454310000000001E-2</v>
      </c>
      <c r="N4885">
        <v>0</v>
      </c>
      <c r="O4885">
        <v>-0.99981500000000001</v>
      </c>
      <c r="P4885">
        <v>-1.9405209999999999E-2</v>
      </c>
      <c r="Q4885">
        <v>-3.2172310000000001E-3</v>
      </c>
      <c r="R4885">
        <v>-0.99980650000000004</v>
      </c>
      <c r="S4885">
        <v>0.49710080000000001</v>
      </c>
      <c r="T4885">
        <v>-0.2216101</v>
      </c>
      <c r="U4885">
        <v>-3.0092469999999998</v>
      </c>
      <c r="V4885">
        <v>3.9536520000000002E-3</v>
      </c>
      <c r="W4885">
        <v>8.2280349999999999E-3</v>
      </c>
      <c r="X4885">
        <v>0.99995829999999997</v>
      </c>
      <c r="Y4885">
        <v>-0.177784</v>
      </c>
      <c r="Z4885">
        <v>7.2358190000000003E-2</v>
      </c>
      <c r="AA4885">
        <v>0.98140570000000005</v>
      </c>
      <c r="AB4885">
        <v>20</v>
      </c>
      <c r="AC4885">
        <v>2.4930000000000501</v>
      </c>
      <c r="AD4885">
        <v>-1.1099407564729999</v>
      </c>
      <c r="AE4885">
        <v>-14.8812599999999</v>
      </c>
      <c r="AF4885">
        <v>-2.70804295446167</v>
      </c>
      <c r="AG4885">
        <v>-1.1099407564729999</v>
      </c>
      <c r="AH4885">
        <v>14.761076207781</v>
      </c>
      <c r="AI4885">
        <v>94.229861983148297</v>
      </c>
      <c r="AJ4885">
        <v>100.395788674792</v>
      </c>
      <c r="AK4885">
        <v>15.0484163930298</v>
      </c>
      <c r="AL4885">
        <v>89.528562985649998</v>
      </c>
      <c r="AM4885">
        <v>89.773464160591004</v>
      </c>
      <c r="AN4885">
        <v>0.99999996683149295</v>
      </c>
    </row>
    <row r="4886" spans="1:40" x14ac:dyDescent="0.25">
      <c r="A4886" t="str">
        <f>"20190312161111593"</f>
        <v>20190312161111593</v>
      </c>
      <c r="B4886" t="str">
        <f>"1552378271581971"</f>
        <v>1552378271581971</v>
      </c>
      <c r="C4886" t="s">
        <v>40</v>
      </c>
      <c r="D4886">
        <v>5.7916280000000002</v>
      </c>
      <c r="E4886">
        <v>0.43216840000000001</v>
      </c>
      <c r="F4886" t="s">
        <v>41</v>
      </c>
      <c r="G4886">
        <v>-419.97050000000002</v>
      </c>
      <c r="H4886" s="1">
        <v>-2.5074010000000002E-6</v>
      </c>
      <c r="I4886">
        <v>75.452240000000003</v>
      </c>
      <c r="J4886">
        <v>-422.4932</v>
      </c>
      <c r="K4886">
        <v>1.1099250000000001</v>
      </c>
      <c r="L4886">
        <v>90.703280000000007</v>
      </c>
      <c r="M4886">
        <v>-1.5709330000000001E-2</v>
      </c>
      <c r="N4886">
        <v>0</v>
      </c>
      <c r="O4886">
        <v>-0.99981169999999997</v>
      </c>
      <c r="P4886">
        <v>-2.0056000000000001E-2</v>
      </c>
      <c r="Q4886">
        <v>-3.550765E-3</v>
      </c>
      <c r="R4886">
        <v>-0.99979289999999998</v>
      </c>
      <c r="S4886">
        <v>0.4909058</v>
      </c>
      <c r="T4886">
        <v>-0.21626409999999999</v>
      </c>
      <c r="U4886">
        <v>-3.00943</v>
      </c>
      <c r="V4886">
        <v>4.3494980000000003E-3</v>
      </c>
      <c r="W4886">
        <v>7.8666039999999993E-3</v>
      </c>
      <c r="X4886">
        <v>0.99995959999999995</v>
      </c>
      <c r="Y4886">
        <v>-0.1760776</v>
      </c>
      <c r="Z4886">
        <v>7.0639569999999999E-2</v>
      </c>
      <c r="AA4886">
        <v>0.98183849999999995</v>
      </c>
      <c r="AB4886">
        <v>20</v>
      </c>
      <c r="AC4886">
        <v>2.52269999999998</v>
      </c>
      <c r="AD4886">
        <v>-1.109927507401</v>
      </c>
      <c r="AE4886">
        <v>-15.25104</v>
      </c>
      <c r="AF4886">
        <v>-2.7478215513788302</v>
      </c>
      <c r="AG4886">
        <v>-1.109927507401</v>
      </c>
      <c r="AH4886">
        <v>15.131515404759501</v>
      </c>
      <c r="AI4886">
        <v>94.127975703571096</v>
      </c>
      <c r="AJ4886">
        <v>100.29251916343</v>
      </c>
      <c r="AK4886">
        <v>15.418988967970099</v>
      </c>
      <c r="AL4886">
        <v>89.549272143577696</v>
      </c>
      <c r="AM4886">
        <v>89.750783624882899</v>
      </c>
      <c r="AN4886">
        <v>1.0000000016117501</v>
      </c>
    </row>
    <row r="4887" spans="1:40" x14ac:dyDescent="0.25">
      <c r="A4887" t="str">
        <f>"20190312161111615"</f>
        <v>20190312161111615</v>
      </c>
      <c r="B4887" t="str">
        <f>"1552378271611815"</f>
        <v>1552378271611815</v>
      </c>
      <c r="C4887" t="s">
        <v>40</v>
      </c>
      <c r="D4887">
        <v>5.7262259999999996</v>
      </c>
      <c r="E4887">
        <v>0.43265290000000001</v>
      </c>
      <c r="F4887" t="s">
        <v>41</v>
      </c>
      <c r="G4887">
        <v>-419.98090000000002</v>
      </c>
      <c r="H4887" s="1">
        <v>-2.3413969999999999E-6</v>
      </c>
      <c r="I4887">
        <v>75.05883</v>
      </c>
      <c r="J4887">
        <v>-422.49669999999998</v>
      </c>
      <c r="K4887">
        <v>1.1099159999999999</v>
      </c>
      <c r="L4887">
        <v>90.501159999999999</v>
      </c>
      <c r="M4887">
        <v>-1.5985659999999999E-2</v>
      </c>
      <c r="N4887">
        <v>0</v>
      </c>
      <c r="O4887">
        <v>-0.99980740000000001</v>
      </c>
      <c r="P4887">
        <v>-2.0539829999999999E-2</v>
      </c>
      <c r="Q4887">
        <v>-3.886226E-3</v>
      </c>
      <c r="R4887">
        <v>-0.9997817</v>
      </c>
      <c r="S4887">
        <v>0.48330689999999998</v>
      </c>
      <c r="T4887">
        <v>-0.21351870000000001</v>
      </c>
      <c r="U4887">
        <v>-3.0095519999999998</v>
      </c>
      <c r="V4887">
        <v>4.5570289999999998E-3</v>
      </c>
      <c r="W4887">
        <v>7.5046959999999999E-3</v>
      </c>
      <c r="X4887">
        <v>0.9999614</v>
      </c>
      <c r="Y4887">
        <v>-0.17393689999999901</v>
      </c>
      <c r="Z4887">
        <v>6.9771349999999996E-2</v>
      </c>
      <c r="AA4887">
        <v>0.98228199999999999</v>
      </c>
      <c r="AB4887">
        <v>20</v>
      </c>
      <c r="AC4887">
        <v>2.5157999999999499</v>
      </c>
      <c r="AD4887">
        <v>-1.109918341397</v>
      </c>
      <c r="AE4887">
        <v>-15.442329999999901</v>
      </c>
      <c r="AF4887">
        <v>-2.7485185352976802</v>
      </c>
      <c r="AG4887">
        <v>-1.109918341397</v>
      </c>
      <c r="AH4887">
        <v>15.3230247859144</v>
      </c>
      <c r="AI4887">
        <v>94.0781048772037</v>
      </c>
      <c r="AJ4887">
        <v>100.169106272696</v>
      </c>
      <c r="AK4887">
        <v>15.6070933057117</v>
      </c>
      <c r="AL4887">
        <v>89.5700085324074</v>
      </c>
      <c r="AM4887">
        <v>89.738893199944499</v>
      </c>
      <c r="AN4887">
        <v>0.99999994423265803</v>
      </c>
    </row>
    <row r="4888" spans="1:40" x14ac:dyDescent="0.25">
      <c r="A4888" t="str">
        <f>"20190312161111639"</f>
        <v>20190312161111639</v>
      </c>
      <c r="B4888" t="str">
        <f>"1552378271632310"</f>
        <v>1552378271632310</v>
      </c>
      <c r="C4888" t="s">
        <v>40</v>
      </c>
      <c r="D4888">
        <v>5.64975</v>
      </c>
      <c r="E4888">
        <v>0.43273319999999998</v>
      </c>
      <c r="F4888" t="s">
        <v>41</v>
      </c>
      <c r="G4888">
        <v>-419.9348</v>
      </c>
      <c r="H4888" s="1">
        <v>-2.0549239999999998E-6</v>
      </c>
      <c r="I4888">
        <v>74.395889999999994</v>
      </c>
      <c r="J4888">
        <v>-422.50020000000001</v>
      </c>
      <c r="K4888">
        <v>1.1099049999999999</v>
      </c>
      <c r="L4888">
        <v>90.301150000000007</v>
      </c>
      <c r="M4888">
        <v>-1.626725E-2</v>
      </c>
      <c r="N4888">
        <v>0</v>
      </c>
      <c r="O4888">
        <v>-0.99980309999999994</v>
      </c>
      <c r="P4888">
        <v>-2.0932369999999999E-2</v>
      </c>
      <c r="Q4888">
        <v>-3.8016909999999998E-3</v>
      </c>
      <c r="R4888">
        <v>-0.99977389999999999</v>
      </c>
      <c r="S4888">
        <v>0.47875980000000001</v>
      </c>
      <c r="T4888">
        <v>-0.2074182</v>
      </c>
      <c r="U4888">
        <v>-3.0097049999999999</v>
      </c>
      <c r="V4888">
        <v>4.6681320000000002E-3</v>
      </c>
      <c r="W4888">
        <v>7.5666819999999999E-3</v>
      </c>
      <c r="X4888">
        <v>0.99996050000000003</v>
      </c>
      <c r="Y4888">
        <v>-0.17278060000000001</v>
      </c>
      <c r="Z4888">
        <v>6.7798419999999998E-2</v>
      </c>
      <c r="AA4888">
        <v>0.98262419999999995</v>
      </c>
      <c r="AB4888">
        <v>20</v>
      </c>
      <c r="AC4888">
        <v>2.5654000000000101</v>
      </c>
      <c r="AD4888">
        <v>-1.109907054924</v>
      </c>
      <c r="AE4888">
        <v>-15.905259999999901</v>
      </c>
      <c r="AF4888">
        <v>-2.8104732332590801</v>
      </c>
      <c r="AG4888">
        <v>-1.109907054924</v>
      </c>
      <c r="AH4888">
        <v>15.786495984240901</v>
      </c>
      <c r="AI4888">
        <v>93.959640137712299</v>
      </c>
      <c r="AJ4888">
        <v>100.094617704729</v>
      </c>
      <c r="AK4888">
        <v>16.073086477894901</v>
      </c>
      <c r="AL4888">
        <v>89.566456929692507</v>
      </c>
      <c r="AM4888">
        <v>89.7325271159511</v>
      </c>
      <c r="AN4888">
        <v>1.0000000238465501</v>
      </c>
    </row>
    <row r="4889" spans="1:40" x14ac:dyDescent="0.25">
      <c r="A4889" t="str">
        <f>"20190312161111660"</f>
        <v>20190312161111660</v>
      </c>
      <c r="B4889" t="str">
        <f>"1552378271651830"</f>
        <v>1552378271651830</v>
      </c>
      <c r="C4889" t="s">
        <v>40</v>
      </c>
      <c r="D4889">
        <v>5.7278479999999998</v>
      </c>
      <c r="E4889">
        <v>0.43276439999999999</v>
      </c>
      <c r="F4889" t="s">
        <v>41</v>
      </c>
      <c r="G4889">
        <v>-419.91699999999997</v>
      </c>
      <c r="H4889" s="1">
        <v>-1.8758520000000001E-6</v>
      </c>
      <c r="I4889">
        <v>73.971109999999996</v>
      </c>
      <c r="J4889">
        <v>-422.50380000000001</v>
      </c>
      <c r="K4889">
        <v>1.1099030000000001</v>
      </c>
      <c r="L4889">
        <v>90.106480000000005</v>
      </c>
      <c r="M4889">
        <v>-1.6545669999999998E-2</v>
      </c>
      <c r="N4889">
        <v>0</v>
      </c>
      <c r="O4889">
        <v>-0.99979879999999999</v>
      </c>
      <c r="P4889">
        <v>-2.0837390000000001E-2</v>
      </c>
      <c r="Q4889">
        <v>-3.4147169999999998E-3</v>
      </c>
      <c r="R4889">
        <v>-0.99977720000000003</v>
      </c>
      <c r="S4889">
        <v>0.47613529999999998</v>
      </c>
      <c r="T4889">
        <v>-0.20457359999999999</v>
      </c>
      <c r="U4889">
        <v>-3.0098880000000001</v>
      </c>
      <c r="V4889">
        <v>4.2948709999999996E-3</v>
      </c>
      <c r="W4889">
        <v>7.9333589999999992E-3</v>
      </c>
      <c r="X4889">
        <v>0.9999593</v>
      </c>
      <c r="Y4889">
        <v>-0.1722195</v>
      </c>
      <c r="Z4889">
        <v>6.6876240000000003E-2</v>
      </c>
      <c r="AA4889">
        <v>0.98278580000000004</v>
      </c>
      <c r="AB4889">
        <v>20</v>
      </c>
      <c r="AC4889">
        <v>2.58680000000003</v>
      </c>
      <c r="AD4889">
        <v>-1.109904875852</v>
      </c>
      <c r="AE4889">
        <v>-16.135370000000002</v>
      </c>
      <c r="AF4889">
        <v>-2.8403308083485799</v>
      </c>
      <c r="AG4889">
        <v>-1.109904875852</v>
      </c>
      <c r="AH4889">
        <v>16.016472355392299</v>
      </c>
      <c r="AI4889">
        <v>93.9034179200994</v>
      </c>
      <c r="AJ4889">
        <v>100.05617635821299</v>
      </c>
      <c r="AK4889">
        <v>16.304194388111899</v>
      </c>
      <c r="AL4889">
        <v>89.545447240495093</v>
      </c>
      <c r="AM4889">
        <v>89.753913515578006</v>
      </c>
      <c r="AN4889">
        <v>0.99999999287920904</v>
      </c>
    </row>
    <row r="4890" spans="1:40" x14ac:dyDescent="0.25">
      <c r="A4890" t="str">
        <f>"20190312161111683"</f>
        <v>20190312161111683</v>
      </c>
      <c r="B4890" t="str">
        <f>"1552378271672327"</f>
        <v>1552378271672327</v>
      </c>
      <c r="C4890" t="s">
        <v>40</v>
      </c>
      <c r="D4890">
        <v>5.7090160000000001</v>
      </c>
      <c r="E4890">
        <v>0.4328806</v>
      </c>
      <c r="F4890" t="s">
        <v>41</v>
      </c>
      <c r="G4890">
        <v>-419.84980000000002</v>
      </c>
      <c r="H4890" s="1">
        <v>-1.6198919999999999E-6</v>
      </c>
      <c r="I4890">
        <v>73.346680000000006</v>
      </c>
      <c r="J4890">
        <v>-422.50729999999999</v>
      </c>
      <c r="K4890">
        <v>1.1098950000000001</v>
      </c>
      <c r="L4890">
        <v>89.910160000000005</v>
      </c>
      <c r="M4890">
        <v>-1.6828289999999999E-2</v>
      </c>
      <c r="N4890">
        <v>0</v>
      </c>
      <c r="O4890">
        <v>-0.99979430000000002</v>
      </c>
      <c r="P4890">
        <v>-2.1005949999999999E-2</v>
      </c>
      <c r="Q4890">
        <v>-3.5140509999999998E-3</v>
      </c>
      <c r="R4890">
        <v>-0.99977360000000004</v>
      </c>
      <c r="S4890">
        <v>0.47662349999999998</v>
      </c>
      <c r="T4890">
        <v>-0.1993296</v>
      </c>
      <c r="U4890">
        <v>-3.0099179999999999</v>
      </c>
      <c r="V4890">
        <v>4.1807820000000001E-3</v>
      </c>
      <c r="W4890">
        <v>7.8165359999999903E-3</v>
      </c>
      <c r="X4890">
        <v>0.99996070000000004</v>
      </c>
      <c r="Y4890">
        <v>-0.17266960000000001</v>
      </c>
      <c r="Z4890">
        <v>6.5164920000000001E-2</v>
      </c>
      <c r="AA4890">
        <v>0.98282179999999997</v>
      </c>
      <c r="AB4890">
        <v>20</v>
      </c>
      <c r="AC4890">
        <v>2.65749999999997</v>
      </c>
      <c r="AD4890">
        <v>-1.1098966198919999</v>
      </c>
      <c r="AE4890">
        <v>-16.563479999999998</v>
      </c>
      <c r="AF4890">
        <v>-2.92308082891679</v>
      </c>
      <c r="AG4890">
        <v>-1.1098966198919999</v>
      </c>
      <c r="AH4890">
        <v>16.4444251026008</v>
      </c>
      <c r="AI4890">
        <v>93.801836277704993</v>
      </c>
      <c r="AJ4890">
        <v>100.079339801358</v>
      </c>
      <c r="AK4890">
        <v>16.739037875406002</v>
      </c>
      <c r="AL4890">
        <v>89.552140911376497</v>
      </c>
      <c r="AM4890">
        <v>89.760450817789604</v>
      </c>
      <c r="AN4890">
        <v>0.99999998935883005</v>
      </c>
    </row>
    <row r="4891" spans="1:40" x14ac:dyDescent="0.25">
      <c r="A4891" t="str">
        <f>"20190312161111706"</f>
        <v>20190312161111706</v>
      </c>
      <c r="B4891" t="str">
        <f>"1552378271692405"</f>
        <v>1552378271692405</v>
      </c>
      <c r="C4891" t="s">
        <v>40</v>
      </c>
      <c r="D4891">
        <v>5.693187</v>
      </c>
      <c r="E4891">
        <v>0.43296289999999998</v>
      </c>
      <c r="F4891" t="s">
        <v>41</v>
      </c>
      <c r="G4891">
        <v>-419.83850000000001</v>
      </c>
      <c r="H4891" s="1">
        <v>-1.4693949999999999E-6</v>
      </c>
      <c r="I4891">
        <v>72.991200000000006</v>
      </c>
      <c r="J4891">
        <v>-422.5111</v>
      </c>
      <c r="K4891">
        <v>1.10989</v>
      </c>
      <c r="L4891">
        <v>89.707119999999904</v>
      </c>
      <c r="M4891">
        <v>-1.7122109999999999E-2</v>
      </c>
      <c r="N4891">
        <v>0</v>
      </c>
      <c r="O4891">
        <v>-0.9997895</v>
      </c>
      <c r="P4891">
        <v>-2.1013199999999999E-2</v>
      </c>
      <c r="Q4891">
        <v>-4.0967909999999998E-3</v>
      </c>
      <c r="R4891">
        <v>-0.99977099999999997</v>
      </c>
      <c r="S4891">
        <v>0.47479250000000001</v>
      </c>
      <c r="T4891">
        <v>-0.1974571</v>
      </c>
      <c r="U4891">
        <v>-3.009979</v>
      </c>
      <c r="V4891">
        <v>3.8939360000000002E-3</v>
      </c>
      <c r="W4891">
        <v>7.2124009999999898E-3</v>
      </c>
      <c r="X4891">
        <v>0.99996640000000003</v>
      </c>
      <c r="Y4891">
        <v>-0.172378799999999</v>
      </c>
      <c r="Z4891">
        <v>6.4558270000000001E-2</v>
      </c>
      <c r="AA4891">
        <v>0.98291289999999998</v>
      </c>
      <c r="AB4891">
        <v>20</v>
      </c>
      <c r="AC4891">
        <v>2.6725999999999801</v>
      </c>
      <c r="AD4891">
        <v>-1.1098914693949999</v>
      </c>
      <c r="AE4891">
        <v>-16.715919999999901</v>
      </c>
      <c r="AF4891">
        <v>-2.9457752369722301</v>
      </c>
      <c r="AG4891">
        <v>-1.1098914693949999</v>
      </c>
      <c r="AH4891">
        <v>16.596362793174599</v>
      </c>
      <c r="AI4891">
        <v>93.767282280525905</v>
      </c>
      <c r="AJ4891">
        <v>100.064904418881</v>
      </c>
      <c r="AK4891">
        <v>16.892267721749601</v>
      </c>
      <c r="AL4891">
        <v>89.586756276159406</v>
      </c>
      <c r="AM4891">
        <v>89.776887532625594</v>
      </c>
      <c r="AN4891">
        <v>0.99999999129735795</v>
      </c>
    </row>
    <row r="4892" spans="1:40" x14ac:dyDescent="0.25">
      <c r="A4892" t="str">
        <f>"20190312161111727"</f>
        <v>20190312161111727</v>
      </c>
      <c r="B4892" t="str">
        <f>"1552378271721686"</f>
        <v>1552378271721686</v>
      </c>
      <c r="C4892" t="s">
        <v>40</v>
      </c>
      <c r="D4892">
        <v>5.6890269999999896</v>
      </c>
      <c r="E4892">
        <v>0.43306929999999999</v>
      </c>
      <c r="F4892" t="s">
        <v>41</v>
      </c>
      <c r="G4892">
        <v>-419.85160000000002</v>
      </c>
      <c r="H4892" s="1">
        <v>-1.392515E-6</v>
      </c>
      <c r="I4892">
        <v>72.817409999999995</v>
      </c>
      <c r="J4892">
        <v>-422.5147</v>
      </c>
      <c r="K4892">
        <v>1.1098870000000001</v>
      </c>
      <c r="L4892">
        <v>89.516300000000001</v>
      </c>
      <c r="M4892">
        <v>-1.7398050000000002E-2</v>
      </c>
      <c r="N4892">
        <v>0</v>
      </c>
      <c r="O4892">
        <v>-0.99978520000000004</v>
      </c>
      <c r="P4892">
        <v>-2.1556789999999999E-2</v>
      </c>
      <c r="Q4892">
        <v>-4.6785389999999998E-3</v>
      </c>
      <c r="R4892">
        <v>-0.99975689999999995</v>
      </c>
      <c r="S4892">
        <v>0.47393800000000003</v>
      </c>
      <c r="T4892">
        <v>-0.19778989999999999</v>
      </c>
      <c r="U4892">
        <v>-3.0098569999999998</v>
      </c>
      <c r="V4892">
        <v>4.1614149999999999E-3</v>
      </c>
      <c r="W4892">
        <v>6.6077870000000004E-3</v>
      </c>
      <c r="X4892">
        <v>0.99996949999999996</v>
      </c>
      <c r="Y4892">
        <v>-0.17238339999999999</v>
      </c>
      <c r="Z4892">
        <v>6.4670119999999998E-2</v>
      </c>
      <c r="AA4892">
        <v>0.98290469999999996</v>
      </c>
      <c r="AB4892">
        <v>20</v>
      </c>
      <c r="AC4892">
        <v>2.66309999999998</v>
      </c>
      <c r="AD4892">
        <v>-1.109888392515</v>
      </c>
      <c r="AE4892">
        <v>-16.698889999999999</v>
      </c>
      <c r="AF4892">
        <v>-2.9405754122195198</v>
      </c>
      <c r="AG4892">
        <v>-1.109888392515</v>
      </c>
      <c r="AH4892">
        <v>16.578605795247199</v>
      </c>
      <c r="AI4892">
        <v>93.771375185350195</v>
      </c>
      <c r="AJ4892">
        <v>100.05804240437401</v>
      </c>
      <c r="AK4892">
        <v>16.873914961057299</v>
      </c>
      <c r="AL4892">
        <v>89.621398934243402</v>
      </c>
      <c r="AM4892">
        <v>89.7615625877621</v>
      </c>
      <c r="AN4892">
        <v>0.99999999057704403</v>
      </c>
    </row>
    <row r="4893" spans="1:40" x14ac:dyDescent="0.25">
      <c r="A4893" t="str">
        <f>"20190312161111749"</f>
        <v>20190312161111749</v>
      </c>
      <c r="B4893" t="str">
        <f>"1552378271742183"</f>
        <v>1552378271742183</v>
      </c>
      <c r="C4893" t="s">
        <v>40</v>
      </c>
      <c r="D4893">
        <v>5.6391109999999998</v>
      </c>
      <c r="E4893">
        <v>0.43313190000000001</v>
      </c>
      <c r="F4893" t="s">
        <v>41</v>
      </c>
      <c r="G4893">
        <v>-419.88720000000001</v>
      </c>
      <c r="H4893" s="1">
        <v>-1.357388E-6</v>
      </c>
      <c r="I4893">
        <v>72.750219999999999</v>
      </c>
      <c r="J4893">
        <v>-422.51859999999999</v>
      </c>
      <c r="K4893">
        <v>1.109883</v>
      </c>
      <c r="L4893">
        <v>89.314179999999993</v>
      </c>
      <c r="M4893">
        <v>-1.768896E-2</v>
      </c>
      <c r="N4893">
        <v>0</v>
      </c>
      <c r="O4893">
        <v>-0.99978</v>
      </c>
      <c r="P4893">
        <v>-2.231665E-2</v>
      </c>
      <c r="Q4893">
        <v>-4.885187E-3</v>
      </c>
      <c r="R4893">
        <v>-0.99973920000000005</v>
      </c>
      <c r="S4893">
        <v>0.47171020000000002</v>
      </c>
      <c r="T4893">
        <v>-0.19925590000000001</v>
      </c>
      <c r="U4893">
        <v>-3.009979</v>
      </c>
      <c r="V4893">
        <v>4.6303719999999998E-3</v>
      </c>
      <c r="W4893">
        <v>6.3784330000000002E-3</v>
      </c>
      <c r="X4893">
        <v>0.99996890000000005</v>
      </c>
      <c r="Y4893">
        <v>-0.17194899999999999</v>
      </c>
      <c r="Z4893">
        <v>6.5150509999999995E-2</v>
      </c>
      <c r="AA4893">
        <v>0.98294910000000002</v>
      </c>
      <c r="AB4893">
        <v>20</v>
      </c>
      <c r="AC4893">
        <v>2.6313999999999802</v>
      </c>
      <c r="AD4893">
        <v>-1.109884357388</v>
      </c>
      <c r="AE4893">
        <v>-16.563960000000002</v>
      </c>
      <c r="AF4893">
        <v>-2.9112568673707999</v>
      </c>
      <c r="AG4893">
        <v>-1.109884357388</v>
      </c>
      <c r="AH4893">
        <v>16.442810693279998</v>
      </c>
      <c r="AI4893">
        <v>93.802624088860199</v>
      </c>
      <c r="AJ4893">
        <v>100.04036520836</v>
      </c>
      <c r="AK4893">
        <v>16.735390145725098</v>
      </c>
      <c r="AL4893">
        <v>89.634540217505304</v>
      </c>
      <c r="AM4893">
        <v>89.734692871912998</v>
      </c>
      <c r="AN4893">
        <v>0.99999996285980097</v>
      </c>
    </row>
    <row r="4894" spans="1:40" x14ac:dyDescent="0.25">
      <c r="A4894" t="str">
        <f>"20190312161111772"</f>
        <v>20190312161111772</v>
      </c>
      <c r="B4894" t="str">
        <f>"1552378271761702"</f>
        <v>1552378271761702</v>
      </c>
      <c r="C4894" t="s">
        <v>40</v>
      </c>
      <c r="D4894">
        <v>5.6676169999999999</v>
      </c>
      <c r="E4894">
        <v>0.43320649999999999</v>
      </c>
      <c r="F4894" t="s">
        <v>41</v>
      </c>
      <c r="G4894">
        <v>-419.90410000000003</v>
      </c>
      <c r="H4894" s="1">
        <v>-1.259807E-6</v>
      </c>
      <c r="I4894">
        <v>72.529750000000007</v>
      </c>
      <c r="J4894">
        <v>-422.52229999999997</v>
      </c>
      <c r="K4894">
        <v>1.1098809999999999</v>
      </c>
      <c r="L4894">
        <v>89.122380000000007</v>
      </c>
      <c r="M4894">
        <v>-1.796271E-2</v>
      </c>
      <c r="N4894">
        <v>0</v>
      </c>
      <c r="O4894">
        <v>-0.99977550000000004</v>
      </c>
      <c r="P4894">
        <v>-2.290536E-2</v>
      </c>
      <c r="Q4894">
        <v>-4.7924339999999999E-3</v>
      </c>
      <c r="R4894">
        <v>-0.99972609999999995</v>
      </c>
      <c r="S4894">
        <v>0.4689026</v>
      </c>
      <c r="T4894">
        <v>-0.1990576</v>
      </c>
      <c r="U4894">
        <v>-3.010284</v>
      </c>
      <c r="V4894">
        <v>4.9454069999999998E-3</v>
      </c>
      <c r="W4894">
        <v>6.4528179999999999E-3</v>
      </c>
      <c r="X4894">
        <v>0.99996700000000005</v>
      </c>
      <c r="Y4894">
        <v>-0.17130909999999999</v>
      </c>
      <c r="Z4894">
        <v>6.5087229999999996E-2</v>
      </c>
      <c r="AA4894">
        <v>0.98306499999999997</v>
      </c>
      <c r="AB4894">
        <v>20</v>
      </c>
      <c r="AC4894">
        <v>2.6181999999999399</v>
      </c>
      <c r="AD4894">
        <v>-1.1098822598069999</v>
      </c>
      <c r="AE4894">
        <v>-16.59263</v>
      </c>
      <c r="AF4894">
        <v>-2.9031709031622599</v>
      </c>
      <c r="AG4894">
        <v>-1.1098822598069999</v>
      </c>
      <c r="AH4894">
        <v>16.471014015363</v>
      </c>
      <c r="AI4894">
        <v>93.796639688911895</v>
      </c>
      <c r="AJ4894">
        <v>99.996244137244005</v>
      </c>
      <c r="AK4894">
        <v>16.761698679366798</v>
      </c>
      <c r="AL4894">
        <v>89.630278214736194</v>
      </c>
      <c r="AM4894">
        <v>89.716642010206598</v>
      </c>
      <c r="AN4894">
        <v>1.00000004849976</v>
      </c>
    </row>
    <row r="4895" spans="1:40" x14ac:dyDescent="0.25">
      <c r="A4895" t="str">
        <f>"20190312161111794"</f>
        <v>20190312161111794</v>
      </c>
      <c r="B4895" t="str">
        <f>"1552378271782198"</f>
        <v>1552378271782198</v>
      </c>
      <c r="C4895" t="s">
        <v>40</v>
      </c>
      <c r="D4895">
        <v>5.6647759999999998</v>
      </c>
      <c r="E4895">
        <v>0.43333110000000002</v>
      </c>
      <c r="F4895" t="s">
        <v>41</v>
      </c>
      <c r="G4895">
        <v>-419.91910000000001</v>
      </c>
      <c r="H4895" s="1">
        <v>-1.174249E-6</v>
      </c>
      <c r="I4895">
        <v>72.336510000000004</v>
      </c>
      <c r="J4895">
        <v>-422.52620000000002</v>
      </c>
      <c r="K4895">
        <v>1.1098779999999999</v>
      </c>
      <c r="L4895">
        <v>88.923459999999906</v>
      </c>
      <c r="M4895">
        <v>-1.8243740000000001E-2</v>
      </c>
      <c r="N4895">
        <v>0</v>
      </c>
      <c r="O4895">
        <v>-0.99977070000000001</v>
      </c>
      <c r="P4895">
        <v>-2.333702E-2</v>
      </c>
      <c r="Q4895">
        <v>-4.9536500000000004E-3</v>
      </c>
      <c r="R4895">
        <v>-0.99971560000000004</v>
      </c>
      <c r="S4895">
        <v>0.46688839999999998</v>
      </c>
      <c r="T4895">
        <v>-0.19905829999999999</v>
      </c>
      <c r="U4895">
        <v>-3.0105590000000002</v>
      </c>
      <c r="V4895">
        <v>5.0960140000000003E-3</v>
      </c>
      <c r="W4895">
        <v>6.2749609999999999E-3</v>
      </c>
      <c r="X4895">
        <v>0.9999673</v>
      </c>
      <c r="Y4895">
        <v>-0.1709302</v>
      </c>
      <c r="Z4895">
        <v>6.5086599999999994E-2</v>
      </c>
      <c r="AA4895">
        <v>0.98313099999999998</v>
      </c>
      <c r="AB4895">
        <v>20</v>
      </c>
      <c r="AC4895">
        <v>2.6071</v>
      </c>
      <c r="AD4895">
        <v>-1.109879174249</v>
      </c>
      <c r="AE4895">
        <v>-16.586949999999899</v>
      </c>
      <c r="AF4895">
        <v>-2.8966365715889801</v>
      </c>
      <c r="AG4895">
        <v>-1.109879174249</v>
      </c>
      <c r="AH4895">
        <v>16.4646824195361</v>
      </c>
      <c r="AI4895">
        <v>93.798297772386903</v>
      </c>
      <c r="AJ4895">
        <v>99.977955894926097</v>
      </c>
      <c r="AK4895">
        <v>16.7543457761107</v>
      </c>
      <c r="AL4895">
        <v>89.640468848847306</v>
      </c>
      <c r="AM4895">
        <v>89.708012885119601</v>
      </c>
      <c r="AN4895">
        <v>0.999999972781764</v>
      </c>
    </row>
    <row r="4896" spans="1:40" x14ac:dyDescent="0.25">
      <c r="A4896" t="str">
        <f>"20190312161111817"</f>
        <v>20190312161111817</v>
      </c>
      <c r="B4896" t="str">
        <f>"1552378271812055"</f>
        <v>1552378271812055</v>
      </c>
      <c r="C4896" t="s">
        <v>40</v>
      </c>
      <c r="D4896">
        <v>5.6319599999999896</v>
      </c>
      <c r="E4896">
        <v>0.43342700000000001</v>
      </c>
      <c r="F4896" t="s">
        <v>41</v>
      </c>
      <c r="G4896">
        <v>-419.91719999999998</v>
      </c>
      <c r="H4896" s="1">
        <v>-1.0270719999999999E-6</v>
      </c>
      <c r="I4896">
        <v>71.992669999999904</v>
      </c>
      <c r="J4896">
        <v>-422.53019999999998</v>
      </c>
      <c r="K4896">
        <v>1.1098809999999999</v>
      </c>
      <c r="L4896">
        <v>88.719729999999998</v>
      </c>
      <c r="M4896">
        <v>-1.8529520000000001E-2</v>
      </c>
      <c r="N4896">
        <v>0</v>
      </c>
      <c r="O4896">
        <v>-0.99976549999999997</v>
      </c>
      <c r="P4896">
        <v>-2.3275219999999999E-2</v>
      </c>
      <c r="Q4896">
        <v>-5.2149650000000002E-3</v>
      </c>
      <c r="R4896">
        <v>-0.99971560000000004</v>
      </c>
      <c r="S4896">
        <v>0.46392820000000001</v>
      </c>
      <c r="T4896">
        <v>-0.1973618</v>
      </c>
      <c r="U4896">
        <v>-3.0106809999999999</v>
      </c>
      <c r="V4896">
        <v>4.7482549999999998E-3</v>
      </c>
      <c r="W4896">
        <v>5.997924E-3</v>
      </c>
      <c r="X4896">
        <v>0.99997069999999999</v>
      </c>
      <c r="Y4896">
        <v>-0.1702671</v>
      </c>
      <c r="Z4896">
        <v>6.4539699999999894E-2</v>
      </c>
      <c r="AA4896">
        <v>0.98328210000000005</v>
      </c>
      <c r="AB4896">
        <v>20</v>
      </c>
      <c r="AC4896">
        <v>2.6129999999999902</v>
      </c>
      <c r="AD4896">
        <v>-1.10988202707199</v>
      </c>
      <c r="AE4896">
        <v>-16.727060000000002</v>
      </c>
      <c r="AF4896">
        <v>-2.9100086251322499</v>
      </c>
      <c r="AG4896">
        <v>-1.10988202707199</v>
      </c>
      <c r="AH4896">
        <v>16.6044051618689</v>
      </c>
      <c r="AI4896">
        <v>93.766869796285604</v>
      </c>
      <c r="AJ4896">
        <v>99.940433214976593</v>
      </c>
      <c r="AK4896">
        <v>16.893971087102699</v>
      </c>
      <c r="AL4896">
        <v>89.656342194994494</v>
      </c>
      <c r="AM4896">
        <v>89.7279391017329</v>
      </c>
      <c r="AN4896">
        <v>0.99999996093817101</v>
      </c>
    </row>
    <row r="4897" spans="1:40" x14ac:dyDescent="0.25">
      <c r="A4897" t="str">
        <f>"20190312161111839"</f>
        <v>20190312161111839</v>
      </c>
      <c r="B4897" t="str">
        <f>"1552378271831575"</f>
        <v>1552378271831575</v>
      </c>
      <c r="C4897" t="s">
        <v>40</v>
      </c>
      <c r="D4897">
        <v>5.6666499999999997</v>
      </c>
      <c r="E4897">
        <v>0.43350680000000003</v>
      </c>
      <c r="F4897" t="s">
        <v>41</v>
      </c>
      <c r="G4897">
        <v>-419.92869999999999</v>
      </c>
      <c r="H4897" s="1">
        <v>-9.5169559999999995E-7</v>
      </c>
      <c r="I4897">
        <v>71.821700000000007</v>
      </c>
      <c r="J4897">
        <v>-422.5342</v>
      </c>
      <c r="K4897">
        <v>1.109882</v>
      </c>
      <c r="L4897">
        <v>88.521360000000001</v>
      </c>
      <c r="M4897">
        <v>-1.880685E-2</v>
      </c>
      <c r="N4897">
        <v>0</v>
      </c>
      <c r="O4897">
        <v>-0.99976039999999999</v>
      </c>
      <c r="P4897">
        <v>-2.3278119999999999E-2</v>
      </c>
      <c r="Q4897">
        <v>-5.1565170000000002E-3</v>
      </c>
      <c r="R4897">
        <v>-0.99971569999999998</v>
      </c>
      <c r="S4897">
        <v>0.463501</v>
      </c>
      <c r="T4897">
        <v>-0.197741</v>
      </c>
      <c r="U4897">
        <v>-3.0106199999999999</v>
      </c>
      <c r="V4897">
        <v>4.4737750000000001E-3</v>
      </c>
      <c r="W4897">
        <v>6.0427459999999999E-3</v>
      </c>
      <c r="X4897">
        <v>0.99997170000000002</v>
      </c>
      <c r="Y4897">
        <v>-0.1704059</v>
      </c>
      <c r="Z4897">
        <v>6.4663869999999998E-2</v>
      </c>
      <c r="AA4897">
        <v>0.98324990000000001</v>
      </c>
      <c r="AB4897">
        <v>20</v>
      </c>
      <c r="AC4897">
        <v>2.6055000000000001</v>
      </c>
      <c r="AD4897">
        <v>-1.1098829516955999</v>
      </c>
      <c r="AE4897">
        <v>-16.699659999999898</v>
      </c>
      <c r="AF4897">
        <v>-2.9065931575411201</v>
      </c>
      <c r="AG4897">
        <v>-1.1098829516955999</v>
      </c>
      <c r="AH4897">
        <v>16.576222572019699</v>
      </c>
      <c r="AI4897">
        <v>93.773199991082294</v>
      </c>
      <c r="AJ4897">
        <v>99.945542795138095</v>
      </c>
      <c r="AK4897">
        <v>16.8656834639769</v>
      </c>
      <c r="AL4897">
        <v>89.653774038371907</v>
      </c>
      <c r="AM4897">
        <v>89.743666029942702</v>
      </c>
      <c r="AN4897">
        <v>0.99999996512142997</v>
      </c>
    </row>
    <row r="4898" spans="1:40" x14ac:dyDescent="0.25">
      <c r="A4898" t="str">
        <f>"20190312161111862"</f>
        <v>20190312161111862</v>
      </c>
      <c r="B4898" t="str">
        <f>"1552378271852071"</f>
        <v>1552378271852071</v>
      </c>
      <c r="C4898" t="s">
        <v>40</v>
      </c>
      <c r="D4898">
        <v>5.6291370000000001</v>
      </c>
      <c r="E4898">
        <v>0.43347160000000001</v>
      </c>
      <c r="F4898" t="s">
        <v>41</v>
      </c>
      <c r="G4898">
        <v>-419.9357</v>
      </c>
      <c r="H4898" s="1">
        <v>-8.6218959999999899E-7</v>
      </c>
      <c r="I4898">
        <v>71.615960000000001</v>
      </c>
      <c r="J4898">
        <v>-422.53840000000002</v>
      </c>
      <c r="K4898">
        <v>1.1098790000000001</v>
      </c>
      <c r="L4898">
        <v>88.320650000000001</v>
      </c>
      <c r="M4898">
        <v>-1.908748E-2</v>
      </c>
      <c r="N4898">
        <v>0</v>
      </c>
      <c r="O4898">
        <v>-0.99975539999999996</v>
      </c>
      <c r="P4898">
        <v>-2.2809570000000001E-2</v>
      </c>
      <c r="Q4898">
        <v>-5.0194870000000004E-3</v>
      </c>
      <c r="R4898">
        <v>-0.99972740000000004</v>
      </c>
      <c r="S4898">
        <v>0.46276859999999997</v>
      </c>
      <c r="T4898">
        <v>-0.197655</v>
      </c>
      <c r="U4898">
        <v>-3.0106199999999999</v>
      </c>
      <c r="V4898">
        <v>3.7244470000000001E-3</v>
      </c>
      <c r="W4898">
        <v>6.1671989999999999E-3</v>
      </c>
      <c r="X4898">
        <v>0.99997409999999998</v>
      </c>
      <c r="Y4898">
        <v>-0.17044899999999999</v>
      </c>
      <c r="Z4898">
        <v>6.4636260000000001E-2</v>
      </c>
      <c r="AA4898">
        <v>0.98324420000000001</v>
      </c>
      <c r="AB4898">
        <v>20</v>
      </c>
      <c r="AC4898">
        <v>2.60270000000002</v>
      </c>
      <c r="AD4898">
        <v>-1.1098798621896</v>
      </c>
      <c r="AE4898">
        <v>-16.704689999999999</v>
      </c>
      <c r="AF4898">
        <v>-2.9085607624038801</v>
      </c>
      <c r="AG4898">
        <v>-1.1098798621896</v>
      </c>
      <c r="AH4898">
        <v>16.580505385398901</v>
      </c>
      <c r="AI4898">
        <v>93.772170741857593</v>
      </c>
      <c r="AJ4898">
        <v>99.949621521318505</v>
      </c>
      <c r="AK4898">
        <v>16.870231707132199</v>
      </c>
      <c r="AL4898">
        <v>89.646643304730006</v>
      </c>
      <c r="AM4898">
        <v>89.786600365575893</v>
      </c>
      <c r="AN4898">
        <v>1.0000000532598801</v>
      </c>
    </row>
    <row r="4899" spans="1:40" x14ac:dyDescent="0.25">
      <c r="A4899" t="str">
        <f>"20190312161111883"</f>
        <v>20190312161111883</v>
      </c>
      <c r="B4899" t="str">
        <f>"1552378271871592"</f>
        <v>1552378271871592</v>
      </c>
      <c r="C4899" t="s">
        <v>40</v>
      </c>
      <c r="D4899">
        <v>5.7697250000000002</v>
      </c>
      <c r="E4899">
        <v>0.4335832</v>
      </c>
      <c r="F4899" t="s">
        <v>41</v>
      </c>
      <c r="G4899">
        <v>-419.89620000000002</v>
      </c>
      <c r="H4899" s="1">
        <v>-6.8851050000000003E-7</v>
      </c>
      <c r="I4899">
        <v>71.194789999999998</v>
      </c>
      <c r="J4899">
        <v>-422.54239999999999</v>
      </c>
      <c r="K4899">
        <v>1.109882</v>
      </c>
      <c r="L4899">
        <v>88.128019999999907</v>
      </c>
      <c r="M4899">
        <v>-1.9357389999999999E-2</v>
      </c>
      <c r="N4899">
        <v>0</v>
      </c>
      <c r="O4899">
        <v>-0.99975040000000004</v>
      </c>
      <c r="P4899">
        <v>-2.2471970000000001E-2</v>
      </c>
      <c r="Q4899">
        <v>-4.7052650000000001E-3</v>
      </c>
      <c r="R4899">
        <v>-0.99973679999999998</v>
      </c>
      <c r="S4899">
        <v>0.464447</v>
      </c>
      <c r="T4899">
        <v>-0.1950982</v>
      </c>
      <c r="U4899">
        <v>-3.010437</v>
      </c>
      <c r="V4899">
        <v>3.1168839999999999E-3</v>
      </c>
      <c r="W4899">
        <v>6.471414E-3</v>
      </c>
      <c r="X4899">
        <v>0.99997420000000004</v>
      </c>
      <c r="Y4899">
        <v>-0.17126769999999999</v>
      </c>
      <c r="Z4899">
        <v>6.3799700000000001E-2</v>
      </c>
      <c r="AA4899">
        <v>0.98315660000000005</v>
      </c>
      <c r="AB4899">
        <v>20</v>
      </c>
      <c r="AC4899">
        <v>2.6461999999999599</v>
      </c>
      <c r="AD4899">
        <v>-1.1098826885105</v>
      </c>
      <c r="AE4899">
        <v>-16.933229999999899</v>
      </c>
      <c r="AF4899">
        <v>-2.9610897631716799</v>
      </c>
      <c r="AG4899">
        <v>-1.1098826885105</v>
      </c>
      <c r="AH4899">
        <v>16.8083411604551</v>
      </c>
      <c r="AI4899">
        <v>93.720720472835197</v>
      </c>
      <c r="AJ4899">
        <v>99.991158619220698</v>
      </c>
      <c r="AK4899">
        <v>17.1032226417733</v>
      </c>
      <c r="AL4899">
        <v>89.629212701283194</v>
      </c>
      <c r="AM4899">
        <v>89.821411672329205</v>
      </c>
      <c r="AN4899">
        <v>0.99999999741533396</v>
      </c>
    </row>
    <row r="4900" spans="1:40" x14ac:dyDescent="0.25">
      <c r="A4900" t="str">
        <f>"20190312161111930"</f>
        <v>20190312161111930</v>
      </c>
      <c r="B4900" t="str">
        <f>"1552378271921965"</f>
        <v>1552378271921965</v>
      </c>
      <c r="C4900" t="s">
        <v>40</v>
      </c>
      <c r="D4900">
        <v>5.6878159999999998</v>
      </c>
      <c r="E4900">
        <v>0.4862148</v>
      </c>
      <c r="F4900" t="s">
        <v>41</v>
      </c>
      <c r="G4900">
        <v>-419.90550000000002</v>
      </c>
      <c r="H4900" s="1">
        <v>-6.1773739999999996E-7</v>
      </c>
      <c r="I4900">
        <v>71.033649999999994</v>
      </c>
      <c r="J4900">
        <v>-422.55090000000001</v>
      </c>
      <c r="K4900">
        <v>1.109874</v>
      </c>
      <c r="L4900">
        <v>87.721559999999997</v>
      </c>
      <c r="M4900">
        <v>-1.992843E-2</v>
      </c>
      <c r="N4900">
        <v>0</v>
      </c>
      <c r="O4900">
        <v>-0.99973920000000005</v>
      </c>
      <c r="P4900">
        <v>-2.4789729999999999E-2</v>
      </c>
      <c r="Q4900">
        <v>-6.3264330000000002E-3</v>
      </c>
      <c r="R4900">
        <v>-0.99967280000000003</v>
      </c>
      <c r="S4900">
        <v>0.46435549999999998</v>
      </c>
      <c r="T4900">
        <v>-0.19544990000000001</v>
      </c>
      <c r="U4900">
        <v>-3.0103149999999999</v>
      </c>
      <c r="V4900">
        <v>4.8636199999999999E-3</v>
      </c>
      <c r="W4900">
        <v>4.832551E-3</v>
      </c>
      <c r="X4900">
        <v>0.99997650000000005</v>
      </c>
      <c r="Y4900">
        <v>-0.17180609999999999</v>
      </c>
      <c r="Z4900">
        <v>6.3912860000000002E-2</v>
      </c>
      <c r="AA4900">
        <v>0.98305540000000002</v>
      </c>
      <c r="AB4900">
        <v>20</v>
      </c>
      <c r="AC4900">
        <v>2.6453999999999902</v>
      </c>
      <c r="AD4900">
        <v>-1.1098746177373999</v>
      </c>
      <c r="AE4900">
        <v>-16.687909999999999</v>
      </c>
      <c r="AF4900">
        <v>-2.9646670316184802</v>
      </c>
      <c r="AG4900">
        <v>-1.1098746177373999</v>
      </c>
      <c r="AH4900">
        <v>16.560417914583301</v>
      </c>
      <c r="AI4900">
        <v>93.774386123501699</v>
      </c>
      <c r="AJ4900">
        <v>100.14964719636301</v>
      </c>
      <c r="AK4900">
        <v>16.8602643449358</v>
      </c>
      <c r="AL4900">
        <v>89.723114146932105</v>
      </c>
      <c r="AM4900">
        <v>89.721330749443396</v>
      </c>
      <c r="AN4900">
        <v>1.00000000445046</v>
      </c>
    </row>
    <row r="4901" spans="1:40" x14ac:dyDescent="0.25">
      <c r="A4901" t="str">
        <f>"20190312161111954"</f>
        <v>20190312161111954</v>
      </c>
      <c r="B4901" t="str">
        <f>"1552378271941485"</f>
        <v>1552378271941485</v>
      </c>
      <c r="C4901" t="s">
        <v>40</v>
      </c>
      <c r="D4901">
        <v>5.5470969999999999</v>
      </c>
      <c r="E4901">
        <v>0.48968240000000002</v>
      </c>
      <c r="F4901" t="s">
        <v>41</v>
      </c>
      <c r="G4901">
        <v>-422.29910000000001</v>
      </c>
      <c r="H4901" s="1">
        <v>-3.9982239999999999E-6</v>
      </c>
      <c r="I4901">
        <v>67.537350000000004</v>
      </c>
      <c r="J4901">
        <v>-422.55549999999999</v>
      </c>
      <c r="K4901">
        <v>1.109874</v>
      </c>
      <c r="L4901">
        <v>87.510559999999998</v>
      </c>
      <c r="M4901">
        <v>-2.0225070000000001E-2</v>
      </c>
      <c r="N4901">
        <v>0</v>
      </c>
      <c r="O4901">
        <v>-0.99973330000000005</v>
      </c>
      <c r="P4901">
        <v>-2.6306110000000001E-2</v>
      </c>
      <c r="Q4901">
        <v>-5.9720679999999996E-3</v>
      </c>
      <c r="R4901">
        <v>-0.99963610000000003</v>
      </c>
      <c r="S4901">
        <v>3.7445069999999997E-2</v>
      </c>
      <c r="T4901">
        <v>-0.1650094</v>
      </c>
      <c r="U4901">
        <v>-3.0008539999999999</v>
      </c>
      <c r="V4901">
        <v>6.0838680000000001E-3</v>
      </c>
      <c r="W4901">
        <v>5.1787300000000003E-3</v>
      </c>
      <c r="X4901">
        <v>0.99996810000000003</v>
      </c>
      <c r="Y4901">
        <v>-3.2680559999999997E-2</v>
      </c>
      <c r="Z4901">
        <v>5.4870879999999997E-2</v>
      </c>
      <c r="AA4901">
        <v>0.99795849999999997</v>
      </c>
      <c r="AB4901">
        <v>20</v>
      </c>
      <c r="AC4901">
        <v>0.25639999999998497</v>
      </c>
      <c r="AD4901">
        <v>-1.1098779982239999</v>
      </c>
      <c r="AE4901">
        <v>-19.973209999999899</v>
      </c>
      <c r="AF4901">
        <v>-0.65829983186298502</v>
      </c>
      <c r="AG4901">
        <v>-1.1098779982239999</v>
      </c>
      <c r="AH4901">
        <v>19.902492408284299</v>
      </c>
      <c r="AI4901">
        <v>93.190096888152596</v>
      </c>
      <c r="AJ4901">
        <v>91.894438915532305</v>
      </c>
      <c r="AK4901">
        <v>19.944282185663798</v>
      </c>
      <c r="AL4901">
        <v>89.703279306449502</v>
      </c>
      <c r="AM4901">
        <v>89.651413221461496</v>
      </c>
      <c r="AN4901">
        <v>1.00000001685593</v>
      </c>
    </row>
    <row r="4902" spans="1:40" x14ac:dyDescent="0.25">
      <c r="A4902" t="str">
        <f>"20190312161111973"</f>
        <v>20190312161111973</v>
      </c>
      <c r="B4902" t="str">
        <f>"1552378271961981"</f>
        <v>1552378271961981</v>
      </c>
      <c r="C4902" t="s">
        <v>40</v>
      </c>
      <c r="D4902">
        <v>5.6556629999999997</v>
      </c>
      <c r="E4902">
        <v>0.49118719999999999</v>
      </c>
      <c r="F4902" t="s">
        <v>41</v>
      </c>
      <c r="G4902">
        <v>-422.52179999999998</v>
      </c>
      <c r="H4902" s="1">
        <v>-4.1939800000000003E-6</v>
      </c>
      <c r="I4902">
        <v>67.996510000000001</v>
      </c>
      <c r="J4902">
        <v>-422.55939999999998</v>
      </c>
      <c r="K4902">
        <v>1.1098709999999901</v>
      </c>
      <c r="L4902">
        <v>87.331909999999993</v>
      </c>
      <c r="M4902">
        <v>-2.0476589999999999E-2</v>
      </c>
      <c r="N4902">
        <v>0</v>
      </c>
      <c r="O4902">
        <v>-0.99972850000000002</v>
      </c>
      <c r="P4902">
        <v>-2.682145E-2</v>
      </c>
      <c r="Q4902">
        <v>-5.0554650000000003E-3</v>
      </c>
      <c r="R4902">
        <v>-0.99962779999999996</v>
      </c>
      <c r="S4902">
        <v>5.1879880000000001E-3</v>
      </c>
      <c r="T4902">
        <v>-0.17063979999999901</v>
      </c>
      <c r="U4902">
        <v>-3.0002140000000002</v>
      </c>
      <c r="V4902">
        <v>6.3480610000000003E-3</v>
      </c>
      <c r="W4902">
        <v>6.0899509999999997E-3</v>
      </c>
      <c r="X4902">
        <v>0.99996130000000005</v>
      </c>
      <c r="Y4902">
        <v>-2.2203879999999999E-2</v>
      </c>
      <c r="Z4902">
        <v>5.6759209999999997E-2</v>
      </c>
      <c r="AA4902">
        <v>0.99814099999999994</v>
      </c>
      <c r="AB4902">
        <v>20</v>
      </c>
      <c r="AC4902">
        <v>3.7599999999997601E-2</v>
      </c>
      <c r="AD4902">
        <v>-1.10987519397999</v>
      </c>
      <c r="AE4902">
        <v>-19.3354</v>
      </c>
      <c r="AF4902">
        <v>-0.43211587883236502</v>
      </c>
      <c r="AG4902">
        <v>-1.10987519397999</v>
      </c>
      <c r="AH4902">
        <v>19.267092665187398</v>
      </c>
      <c r="AI4902">
        <v>93.296036028695994</v>
      </c>
      <c r="AJ4902">
        <v>91.284795097953705</v>
      </c>
      <c r="AK4902">
        <v>19.303870255673299</v>
      </c>
      <c r="AL4902">
        <v>89.651069351118906</v>
      </c>
      <c r="AM4902">
        <v>89.636273706336695</v>
      </c>
      <c r="AN4902">
        <v>0.99999999343966595</v>
      </c>
    </row>
    <row r="4903" spans="1:40" x14ac:dyDescent="0.25">
      <c r="A4903" t="str">
        <f>"20190312161111997"</f>
        <v>20190312161111997</v>
      </c>
      <c r="B4903" t="str">
        <f>"1552378271992238"</f>
        <v>1552378271992238</v>
      </c>
      <c r="C4903" t="s">
        <v>40</v>
      </c>
      <c r="D4903">
        <v>5.7473340000000004</v>
      </c>
      <c r="E4903">
        <v>0.49254029999999999</v>
      </c>
      <c r="F4903" t="s">
        <v>41</v>
      </c>
      <c r="G4903">
        <v>-422.608</v>
      </c>
      <c r="H4903" s="1">
        <v>-4.5472759999999998E-6</v>
      </c>
      <c r="I4903">
        <v>68.989760000000004</v>
      </c>
      <c r="J4903">
        <v>-422.5641</v>
      </c>
      <c r="K4903">
        <v>1.109869</v>
      </c>
      <c r="L4903">
        <v>87.121859999999998</v>
      </c>
      <c r="M4903">
        <v>-2.0772769999999999E-2</v>
      </c>
      <c r="N4903">
        <v>0</v>
      </c>
      <c r="O4903">
        <v>-0.99972229999999995</v>
      </c>
      <c r="P4903">
        <v>-2.6865480000000001E-2</v>
      </c>
      <c r="Q4903">
        <v>-4.7845129999999998E-3</v>
      </c>
      <c r="R4903">
        <v>-0.99962790000000001</v>
      </c>
      <c r="S4903">
        <v>-7.9345700000000002E-3</v>
      </c>
      <c r="T4903">
        <v>-0.18152879999999999</v>
      </c>
      <c r="U4903">
        <v>-3</v>
      </c>
      <c r="V4903">
        <v>6.0959409999999997E-3</v>
      </c>
      <c r="W4903">
        <v>6.3526850000000003E-3</v>
      </c>
      <c r="X4903">
        <v>0.99996130000000005</v>
      </c>
      <c r="Y4903">
        <v>-1.8134529999999999E-2</v>
      </c>
      <c r="Z4903">
        <v>6.0374520000000001E-2</v>
      </c>
      <c r="AA4903">
        <v>0.99801110000000004</v>
      </c>
      <c r="AB4903">
        <v>20</v>
      </c>
      <c r="AC4903">
        <v>-4.3900000000007801E-2</v>
      </c>
      <c r="AD4903">
        <v>-1.109873547276</v>
      </c>
      <c r="AE4903">
        <v>-18.132099999999902</v>
      </c>
      <c r="AF4903">
        <v>-0.33154454056824401</v>
      </c>
      <c r="AG4903">
        <v>-1.109873547276</v>
      </c>
      <c r="AH4903">
        <v>18.061428353287901</v>
      </c>
      <c r="AI4903">
        <v>93.515809317747397</v>
      </c>
      <c r="AJ4903">
        <v>91.051631648759994</v>
      </c>
      <c r="AK4903">
        <v>18.09853406313</v>
      </c>
      <c r="AL4903">
        <v>89.636015534284198</v>
      </c>
      <c r="AM4903">
        <v>89.650719117977303</v>
      </c>
      <c r="AN4903">
        <v>1.00000005930053</v>
      </c>
    </row>
    <row r="4904" spans="1:40" x14ac:dyDescent="0.25">
      <c r="A4904" t="str">
        <f>"20190312161112018"</f>
        <v>20190312161112018</v>
      </c>
      <c r="B4904" t="str">
        <f>"1552378272011758"</f>
        <v>1552378272011758</v>
      </c>
      <c r="C4904" t="s">
        <v>40</v>
      </c>
      <c r="D4904">
        <v>6.2454130000000001</v>
      </c>
      <c r="E4904">
        <v>0.49319930000000001</v>
      </c>
      <c r="F4904" t="s">
        <v>41</v>
      </c>
      <c r="G4904">
        <v>-422.68549999999999</v>
      </c>
      <c r="H4904" s="1">
        <v>-4.1285649999999998E-6</v>
      </c>
      <c r="I4904">
        <v>67.718940000000003</v>
      </c>
      <c r="J4904">
        <v>-422.56849999999997</v>
      </c>
      <c r="K4904">
        <v>1.1098650000000001</v>
      </c>
      <c r="L4904">
        <v>86.928650000000005</v>
      </c>
      <c r="M4904">
        <v>-2.104549E-2</v>
      </c>
      <c r="N4904">
        <v>0</v>
      </c>
      <c r="O4904">
        <v>-0.99971679999999996</v>
      </c>
      <c r="P4904">
        <v>-2.7826710000000001E-2</v>
      </c>
      <c r="Q4904">
        <v>-5.3776669999999896E-3</v>
      </c>
      <c r="R4904">
        <v>-0.9995986</v>
      </c>
      <c r="S4904">
        <v>-1.876831E-2</v>
      </c>
      <c r="T4904">
        <v>-0.17159179999999999</v>
      </c>
      <c r="U4904">
        <v>-2.9997859999999998</v>
      </c>
      <c r="V4904">
        <v>6.7845509999999998E-3</v>
      </c>
      <c r="W4904">
        <v>5.7466359999999899E-3</v>
      </c>
      <c r="X4904">
        <v>0.99996050000000003</v>
      </c>
      <c r="Y4904">
        <v>-1.480153E-2</v>
      </c>
      <c r="Z4904">
        <v>5.7085339999999998E-2</v>
      </c>
      <c r="AA4904">
        <v>0.99825960000000002</v>
      </c>
      <c r="AB4904">
        <v>20</v>
      </c>
      <c r="AC4904">
        <v>-0.11700000000001801</v>
      </c>
      <c r="AD4904">
        <v>-1.109869128565</v>
      </c>
      <c r="AE4904">
        <v>-19.209710000000001</v>
      </c>
      <c r="AF4904">
        <v>-0.28637271288008298</v>
      </c>
      <c r="AG4904">
        <v>-1.109869128565</v>
      </c>
      <c r="AH4904">
        <v>19.1440147210978</v>
      </c>
      <c r="AI4904">
        <v>93.317623131050297</v>
      </c>
      <c r="AJ4904">
        <v>90.857015853951395</v>
      </c>
      <c r="AK4904">
        <v>19.178298111533099</v>
      </c>
      <c r="AL4904">
        <v>89.670740207688695</v>
      </c>
      <c r="AM4904">
        <v>89.6112644714336</v>
      </c>
      <c r="AN4904">
        <v>1.0000000277589101</v>
      </c>
    </row>
    <row r="4905" spans="1:40" x14ac:dyDescent="0.25">
      <c r="A4905" t="str">
        <f>"20190312161112041"</f>
        <v>20190312161112041</v>
      </c>
      <c r="B4905" t="str">
        <f>"1552378272032254"</f>
        <v>1552378272032254</v>
      </c>
      <c r="C4905" t="s">
        <v>40</v>
      </c>
      <c r="D4905">
        <v>5.6212339999999896</v>
      </c>
      <c r="E4905">
        <v>0.49371559999999998</v>
      </c>
      <c r="F4905" t="s">
        <v>41</v>
      </c>
      <c r="G4905">
        <v>-422.7482</v>
      </c>
      <c r="H4905" s="1">
        <v>-3.9821859999999998E-6</v>
      </c>
      <c r="I4905">
        <v>67.256109999999893</v>
      </c>
      <c r="J4905">
        <v>-422.57299999999998</v>
      </c>
      <c r="K4905">
        <v>1.1098629999999901</v>
      </c>
      <c r="L4905">
        <v>86.729249999999993</v>
      </c>
      <c r="M4905">
        <v>-2.132684E-2</v>
      </c>
      <c r="N4905">
        <v>0</v>
      </c>
      <c r="O4905">
        <v>-0.99971109999999996</v>
      </c>
      <c r="P4905">
        <v>-2.854338E-2</v>
      </c>
      <c r="Q4905">
        <v>-5.3750730000000002E-3</v>
      </c>
      <c r="R4905">
        <v>-0.99957839999999998</v>
      </c>
      <c r="S4905">
        <v>-2.7404789999999998E-2</v>
      </c>
      <c r="T4905">
        <v>-0.16922570000000001</v>
      </c>
      <c r="U4905">
        <v>-2.9995419999999999</v>
      </c>
      <c r="V4905">
        <v>7.2200569999999898E-3</v>
      </c>
      <c r="W4905">
        <v>5.7342369999999997E-3</v>
      </c>
      <c r="X4905">
        <v>0.99995750000000005</v>
      </c>
      <c r="Y4905">
        <v>-1.2207890000000001E-2</v>
      </c>
      <c r="Z4905">
        <v>5.6305130000000002E-2</v>
      </c>
      <c r="AA4905">
        <v>0.99833899999999998</v>
      </c>
      <c r="AB4905">
        <v>20</v>
      </c>
      <c r="AC4905">
        <v>-0.175199999999961</v>
      </c>
      <c r="AD4905">
        <v>-1.1098669821860001</v>
      </c>
      <c r="AE4905">
        <v>-19.473140000000001</v>
      </c>
      <c r="AF4905">
        <v>-0.23938834603791201</v>
      </c>
      <c r="AG4905">
        <v>-1.1098669821860001</v>
      </c>
      <c r="AH4905">
        <v>19.4094026629264</v>
      </c>
      <c r="AI4905">
        <v>93.272470631115297</v>
      </c>
      <c r="AJ4905">
        <v>90.706628983487803</v>
      </c>
      <c r="AK4905">
        <v>19.442582730439401</v>
      </c>
      <c r="AL4905">
        <v>89.671450622678094</v>
      </c>
      <c r="AM4905">
        <v>89.586310812903207</v>
      </c>
      <c r="AN4905">
        <v>1.0000000062516501</v>
      </c>
    </row>
    <row r="4906" spans="1:40" x14ac:dyDescent="0.25">
      <c r="A4906" t="str">
        <f>"20190312161112063"</f>
        <v>20190312161112063</v>
      </c>
      <c r="B4906" t="str">
        <f>"1552378272051774"</f>
        <v>1552378272051774</v>
      </c>
      <c r="C4906" t="s">
        <v>40</v>
      </c>
      <c r="D4906">
        <v>5.6581989999999998</v>
      </c>
      <c r="E4906">
        <v>0.49399359999999998</v>
      </c>
      <c r="F4906" t="s">
        <v>41</v>
      </c>
      <c r="G4906">
        <v>-422.79399999999998</v>
      </c>
      <c r="H4906" s="1">
        <v>-3.854574E-6</v>
      </c>
      <c r="I4906">
        <v>66.857259999999997</v>
      </c>
      <c r="J4906">
        <v>-422.57749999999999</v>
      </c>
      <c r="K4906">
        <v>1.109866</v>
      </c>
      <c r="L4906">
        <v>86.532780000000002</v>
      </c>
      <c r="M4906">
        <v>-2.1603879999999999E-2</v>
      </c>
      <c r="N4906">
        <v>0</v>
      </c>
      <c r="O4906">
        <v>-0.99970510000000001</v>
      </c>
      <c r="P4906">
        <v>-2.8465600000000001E-2</v>
      </c>
      <c r="Q4906">
        <v>-4.0974330000000002E-3</v>
      </c>
      <c r="R4906">
        <v>-0.99958670000000005</v>
      </c>
      <c r="S4906">
        <v>-3.3355709999999997E-2</v>
      </c>
      <c r="T4906">
        <v>-0.16752</v>
      </c>
      <c r="U4906">
        <v>-2.9994200000000002</v>
      </c>
      <c r="V4906">
        <v>6.8655249999999999E-3</v>
      </c>
      <c r="W4906">
        <v>6.9997380000000001E-3</v>
      </c>
      <c r="X4906">
        <v>0.99995199999999995</v>
      </c>
      <c r="Y4906">
        <v>-1.0503719999999999E-2</v>
      </c>
      <c r="Z4906">
        <v>5.5741150000000003E-2</v>
      </c>
      <c r="AA4906">
        <v>0.99839</v>
      </c>
      <c r="AB4906">
        <v>20</v>
      </c>
      <c r="AC4906">
        <v>-0.21650000000005301</v>
      </c>
      <c r="AD4906">
        <v>-1.109869854574</v>
      </c>
      <c r="AE4906">
        <v>-19.675519999999999</v>
      </c>
      <c r="AF4906">
        <v>-0.207982541985897</v>
      </c>
      <c r="AG4906">
        <v>-1.109869854574</v>
      </c>
      <c r="AH4906">
        <v>19.613204433036401</v>
      </c>
      <c r="AI4906">
        <v>93.238611441167095</v>
      </c>
      <c r="AJ4906">
        <v>90.607553715709003</v>
      </c>
      <c r="AK4906">
        <v>19.645682883624598</v>
      </c>
      <c r="AL4906">
        <v>89.598941306674803</v>
      </c>
      <c r="AM4906">
        <v>89.606621692104298</v>
      </c>
      <c r="AN4906">
        <v>1.0000000670347899</v>
      </c>
    </row>
    <row r="4907" spans="1:40" x14ac:dyDescent="0.25">
      <c r="A4907" t="str">
        <f>"20190312161112086"</f>
        <v>20190312161112086</v>
      </c>
      <c r="B4907" t="str">
        <f>"1552378272072270"</f>
        <v>1552378272072270</v>
      </c>
      <c r="C4907" t="s">
        <v>40</v>
      </c>
      <c r="D4907">
        <v>5.2681149999999999</v>
      </c>
      <c r="E4907">
        <v>0.49413869999999999</v>
      </c>
      <c r="F4907" t="s">
        <v>41</v>
      </c>
      <c r="G4907">
        <v>-422.82330000000002</v>
      </c>
      <c r="H4907" s="1">
        <v>-3.4884689999999999E-6</v>
      </c>
      <c r="I4907">
        <v>65.969700000000003</v>
      </c>
      <c r="J4907">
        <v>-422.5822</v>
      </c>
      <c r="K4907">
        <v>1.109861</v>
      </c>
      <c r="L4907">
        <v>86.329930000000004</v>
      </c>
      <c r="M4907">
        <v>-2.1888459999999998E-2</v>
      </c>
      <c r="N4907">
        <v>0</v>
      </c>
      <c r="O4907">
        <v>-0.99969889999999995</v>
      </c>
      <c r="P4907">
        <v>-2.817803E-2</v>
      </c>
      <c r="Q4907">
        <v>-2.9690559999999999E-3</v>
      </c>
      <c r="R4907">
        <v>-0.9995986</v>
      </c>
      <c r="S4907">
        <v>-3.5858149999999998E-2</v>
      </c>
      <c r="T4907">
        <v>-0.16189870000000001</v>
      </c>
      <c r="U4907">
        <v>-2.9995729999999998</v>
      </c>
      <c r="V4907">
        <v>6.2935450000000002E-3</v>
      </c>
      <c r="W4907">
        <v>8.1126440000000005E-3</v>
      </c>
      <c r="X4907">
        <v>0.99994729999999998</v>
      </c>
      <c r="Y4907">
        <v>-9.9549019999999998E-3</v>
      </c>
      <c r="Z4907">
        <v>5.3872879999999998E-2</v>
      </c>
      <c r="AA4907">
        <v>0.9984982</v>
      </c>
      <c r="AB4907">
        <v>20</v>
      </c>
      <c r="AC4907">
        <v>-0.241100000000017</v>
      </c>
      <c r="AD4907">
        <v>-1.1098644884690001</v>
      </c>
      <c r="AE4907">
        <v>-20.360229999999898</v>
      </c>
      <c r="AF4907">
        <v>-0.20403306374048499</v>
      </c>
      <c r="AG4907">
        <v>-1.1098644884690001</v>
      </c>
      <c r="AH4907">
        <v>20.3003153418308</v>
      </c>
      <c r="AI4907">
        <v>93.129217584361299</v>
      </c>
      <c r="AJ4907">
        <v>90.575845233045101</v>
      </c>
      <c r="AK4907">
        <v>20.331655900384401</v>
      </c>
      <c r="AL4907">
        <v>89.535174645420597</v>
      </c>
      <c r="AM4907">
        <v>89.639392190563299</v>
      </c>
      <c r="AN4907">
        <v>1.0000000132393101</v>
      </c>
    </row>
    <row r="4908" spans="1:40" x14ac:dyDescent="0.25">
      <c r="A4908" t="str">
        <f>"20190312161112174"</f>
        <v>20190312161112174</v>
      </c>
      <c r="B4908" t="str">
        <f>"1552378272161592"</f>
        <v>1552378272161592</v>
      </c>
      <c r="C4908" t="s">
        <v>40</v>
      </c>
      <c r="D4908">
        <v>5.4191909999999996</v>
      </c>
      <c r="E4908">
        <v>0.49460579999999998</v>
      </c>
      <c r="F4908" t="s">
        <v>41</v>
      </c>
      <c r="G4908">
        <v>-422.83390000000003</v>
      </c>
      <c r="H4908" s="1">
        <v>-3.148192E-6</v>
      </c>
      <c r="I4908">
        <v>65.169960000000003</v>
      </c>
      <c r="J4908">
        <v>-422.60129999999998</v>
      </c>
      <c r="K4908">
        <v>1.109845</v>
      </c>
      <c r="L4908">
        <v>85.532899999999998</v>
      </c>
      <c r="M4908">
        <v>-2.2984750000000002E-2</v>
      </c>
      <c r="N4908">
        <v>0</v>
      </c>
      <c r="O4908">
        <v>-0.99967530000000004</v>
      </c>
      <c r="P4908">
        <v>-3.0629159999999999E-2</v>
      </c>
      <c r="Q4908">
        <v>-4.3791560000000004E-3</v>
      </c>
      <c r="R4908">
        <v>-0.9995214</v>
      </c>
      <c r="S4908">
        <v>-3.567505E-2</v>
      </c>
      <c r="T4908">
        <v>-0.15733900000000001</v>
      </c>
      <c r="U4908">
        <v>-2.9997250000000002</v>
      </c>
      <c r="V4908">
        <v>7.648523E-3</v>
      </c>
      <c r="W4908">
        <v>6.6197080000000002E-3</v>
      </c>
      <c r="X4908">
        <v>0.99994890000000003</v>
      </c>
      <c r="Y4908">
        <v>-1.111204E-2</v>
      </c>
      <c r="Z4908">
        <v>5.2354930000000001E-2</v>
      </c>
      <c r="AA4908">
        <v>0.99856670000000003</v>
      </c>
      <c r="AB4908">
        <v>20</v>
      </c>
      <c r="AC4908">
        <v>-0.23260000000004699</v>
      </c>
      <c r="AD4908">
        <v>-1.109848148192</v>
      </c>
      <c r="AE4908">
        <v>-20.362939999999899</v>
      </c>
      <c r="AF4908">
        <v>-0.23482936341587701</v>
      </c>
      <c r="AG4908">
        <v>-1.109848148192</v>
      </c>
      <c r="AH4908">
        <v>20.302603037184699</v>
      </c>
      <c r="AI4908">
        <v>93.128768560009306</v>
      </c>
      <c r="AJ4908">
        <v>90.662680122722406</v>
      </c>
      <c r="AK4908">
        <v>20.334271509632899</v>
      </c>
      <c r="AL4908">
        <v>89.620715923220303</v>
      </c>
      <c r="AM4908">
        <v>89.561758064435395</v>
      </c>
      <c r="AN4908">
        <v>1.00000006152464</v>
      </c>
    </row>
    <row r="4909" spans="1:40" x14ac:dyDescent="0.25">
      <c r="A4909" t="str">
        <f>"20190312161112196"</f>
        <v>20190312161112196</v>
      </c>
      <c r="B4909" t="str">
        <f>"1552378272191847"</f>
        <v>1552378272191847</v>
      </c>
      <c r="C4909" t="s">
        <v>40</v>
      </c>
      <c r="D4909">
        <v>5.3679880000000004</v>
      </c>
      <c r="E4909">
        <v>0.4947184</v>
      </c>
      <c r="F4909" t="s">
        <v>41</v>
      </c>
      <c r="G4909">
        <v>-422.91660000000002</v>
      </c>
      <c r="H4909" s="1">
        <v>-3.2343749999999998E-6</v>
      </c>
      <c r="I4909">
        <v>65.31953</v>
      </c>
      <c r="J4909">
        <v>-422.6062</v>
      </c>
      <c r="K4909">
        <v>1.1098490000000001</v>
      </c>
      <c r="L4909">
        <v>85.334199999999996</v>
      </c>
      <c r="M4909">
        <v>-2.3240529999999999E-2</v>
      </c>
      <c r="N4909">
        <v>0</v>
      </c>
      <c r="O4909">
        <v>-0.99966980000000005</v>
      </c>
      <c r="P4909">
        <v>-3.2245780000000002E-2</v>
      </c>
      <c r="Q4909">
        <v>-4.0464569999999998E-3</v>
      </c>
      <c r="R4909">
        <v>-0.99947200000000003</v>
      </c>
      <c r="S4909">
        <v>-4.6783449999999997E-2</v>
      </c>
      <c r="T4909">
        <v>-0.16468139999999901</v>
      </c>
      <c r="U4909">
        <v>-2.999298</v>
      </c>
      <c r="V4909">
        <v>9.0100349999999996E-3</v>
      </c>
      <c r="W4909">
        <v>6.9272600000000002E-3</v>
      </c>
      <c r="X4909">
        <v>0.99993540000000003</v>
      </c>
      <c r="Y4909">
        <v>-7.6705150000000001E-3</v>
      </c>
      <c r="Z4909">
        <v>5.4797760000000001E-2</v>
      </c>
      <c r="AA4909">
        <v>0.99846800000000002</v>
      </c>
      <c r="AB4909">
        <v>20</v>
      </c>
      <c r="AC4909">
        <v>-0.310400000000015</v>
      </c>
      <c r="AD4909">
        <v>-1.1098522343749999</v>
      </c>
      <c r="AE4909">
        <v>-20.014669999999899</v>
      </c>
      <c r="AF4909">
        <v>-0.154388719395011</v>
      </c>
      <c r="AG4909">
        <v>-1.1098522343749999</v>
      </c>
      <c r="AH4909">
        <v>19.955132101828099</v>
      </c>
      <c r="AI4909">
        <v>93.183266612035894</v>
      </c>
      <c r="AJ4909">
        <v>90.443276721464002</v>
      </c>
      <c r="AK4909">
        <v>19.9865681161182</v>
      </c>
      <c r="AL4909">
        <v>89.603094058394504</v>
      </c>
      <c r="AM4909">
        <v>89.483743641696904</v>
      </c>
      <c r="AN4909">
        <v>0.99999998591748396</v>
      </c>
    </row>
    <row r="4910" spans="1:40" x14ac:dyDescent="0.25">
      <c r="A4910" t="str">
        <f>"20190312161112219"</f>
        <v>20190312161112219</v>
      </c>
      <c r="B4910" t="str">
        <f>"1552378272212344"</f>
        <v>1552378272212344</v>
      </c>
      <c r="C4910" t="s">
        <v>40</v>
      </c>
      <c r="D4910">
        <v>5.4104519999999896</v>
      </c>
      <c r="E4910">
        <v>0.4947626</v>
      </c>
      <c r="F4910" t="s">
        <v>41</v>
      </c>
      <c r="G4910">
        <v>-422.95350000000002</v>
      </c>
      <c r="H4910" s="1">
        <v>-3.298145E-6</v>
      </c>
      <c r="I4910">
        <v>65.445319999999995</v>
      </c>
      <c r="J4910">
        <v>-422.61130000000003</v>
      </c>
      <c r="K4910">
        <v>1.1098680000000001</v>
      </c>
      <c r="L4910">
        <v>85.129850000000005</v>
      </c>
      <c r="M4910">
        <v>-2.3481640000000002E-2</v>
      </c>
      <c r="N4910">
        <v>0</v>
      </c>
      <c r="O4910">
        <v>-0.99966429999999995</v>
      </c>
      <c r="P4910">
        <v>-3.3447600000000001E-2</v>
      </c>
      <c r="Q4910">
        <v>-3.9814710000000003E-3</v>
      </c>
      <c r="R4910">
        <v>-0.99943249999999995</v>
      </c>
      <c r="S4910">
        <v>-5.2368159999999997E-2</v>
      </c>
      <c r="T4910">
        <v>-0.16736379999999901</v>
      </c>
      <c r="U4910">
        <v>-2.9992070000000002</v>
      </c>
      <c r="V4910">
        <v>9.9710660000000007E-3</v>
      </c>
      <c r="W4910">
        <v>6.9654060000000004E-3</v>
      </c>
      <c r="X4910">
        <v>0.99992599999999998</v>
      </c>
      <c r="Y4910">
        <v>-6.0533710000000001E-3</v>
      </c>
      <c r="Z4910">
        <v>5.5688250000000002E-2</v>
      </c>
      <c r="AA4910">
        <v>0.99842980000000003</v>
      </c>
      <c r="AB4910">
        <v>20</v>
      </c>
      <c r="AC4910">
        <v>-0.34219999999999101</v>
      </c>
      <c r="AD4910">
        <v>-1.1098712981450001</v>
      </c>
      <c r="AE4910">
        <v>-19.684529999999999</v>
      </c>
      <c r="AF4910">
        <v>-0.11976649988047</v>
      </c>
      <c r="AG4910">
        <v>-1.1098712981450001</v>
      </c>
      <c r="AH4910">
        <v>19.624768644977799</v>
      </c>
      <c r="AI4910">
        <v>93.236832739275698</v>
      </c>
      <c r="AJ4910">
        <v>90.349661690506295</v>
      </c>
      <c r="AK4910">
        <v>19.6564926342887</v>
      </c>
      <c r="AL4910">
        <v>89.6009083953751</v>
      </c>
      <c r="AM4910">
        <v>89.428676657991801</v>
      </c>
      <c r="AN4910">
        <v>0.99999997225696002</v>
      </c>
    </row>
    <row r="4911" spans="1:40" x14ac:dyDescent="0.25">
      <c r="A4911" t="str">
        <f>"20190312161112241"</f>
        <v>20190312161112241</v>
      </c>
      <c r="B4911" t="str">
        <f>"1552378272231864"</f>
        <v>1552378272231864</v>
      </c>
      <c r="C4911" t="s">
        <v>40</v>
      </c>
      <c r="D4911">
        <v>5.4257679999999997</v>
      </c>
      <c r="E4911">
        <v>0.49443579999999998</v>
      </c>
      <c r="F4911" t="s">
        <v>41</v>
      </c>
      <c r="G4911">
        <v>-422.9787</v>
      </c>
      <c r="H4911" s="1">
        <v>-3.2981810000000001E-6</v>
      </c>
      <c r="I4911">
        <v>65.429769999999905</v>
      </c>
      <c r="J4911">
        <v>-422.61630000000002</v>
      </c>
      <c r="K4911">
        <v>1.1098870000000001</v>
      </c>
      <c r="L4911">
        <v>84.926569999999998</v>
      </c>
      <c r="M4911">
        <v>-2.3688859999999999E-2</v>
      </c>
      <c r="N4911">
        <v>0</v>
      </c>
      <c r="O4911">
        <v>-0.99965950000000003</v>
      </c>
      <c r="P4911">
        <v>-3.4021530000000001E-2</v>
      </c>
      <c r="Q4911">
        <v>-3.648213E-3</v>
      </c>
      <c r="R4911">
        <v>-0.99941460000000004</v>
      </c>
      <c r="S4911">
        <v>-5.5938719999999997E-2</v>
      </c>
      <c r="T4911">
        <v>-0.16896710000000001</v>
      </c>
      <c r="U4911">
        <v>-2.9991460000000001</v>
      </c>
      <c r="V4911">
        <v>1.033772E-2</v>
      </c>
      <c r="W4911">
        <v>7.269144E-3</v>
      </c>
      <c r="X4911">
        <v>0.99992009999999998</v>
      </c>
      <c r="Y4911">
        <v>-5.0725850000000001E-3</v>
      </c>
      <c r="Z4911">
        <v>5.6220340000000001E-2</v>
      </c>
      <c r="AA4911">
        <v>0.99840549999999995</v>
      </c>
      <c r="AB4911">
        <v>20</v>
      </c>
      <c r="AC4911">
        <v>-0.36239999999997902</v>
      </c>
      <c r="AD4911">
        <v>-1.1098902981809999</v>
      </c>
      <c r="AE4911">
        <v>-19.4968</v>
      </c>
      <c r="AF4911">
        <v>-9.9264752177285004E-2</v>
      </c>
      <c r="AG4911">
        <v>-1.1098902981809999</v>
      </c>
      <c r="AH4911">
        <v>19.436946725370799</v>
      </c>
      <c r="AI4911">
        <v>93.268117258378794</v>
      </c>
      <c r="AJ4911">
        <v>90.292607783999202</v>
      </c>
      <c r="AK4911">
        <v>19.468862523782001</v>
      </c>
      <c r="AL4911">
        <v>89.583505042468303</v>
      </c>
      <c r="AM4911">
        <v>89.407666048418605</v>
      </c>
      <c r="AN4911">
        <v>0.99999995764664895</v>
      </c>
    </row>
    <row r="4912" spans="1:40" x14ac:dyDescent="0.25">
      <c r="A4912" t="str">
        <f>"20190312161112264"</f>
        <v>20190312161112264</v>
      </c>
      <c r="B4912" t="str">
        <f>"1552378272252360"</f>
        <v>1552378272252360</v>
      </c>
      <c r="C4912" t="s">
        <v>40</v>
      </c>
      <c r="D4912">
        <v>5.3989599999999998</v>
      </c>
      <c r="E4912">
        <v>0.47025650000000002</v>
      </c>
      <c r="F4912" t="s">
        <v>41</v>
      </c>
      <c r="G4912">
        <v>-422.97550000000001</v>
      </c>
      <c r="H4912" s="1">
        <v>-3.2627429999999998E-6</v>
      </c>
      <c r="I4912">
        <v>65.349180000000004</v>
      </c>
      <c r="J4912">
        <v>-422.62119999999999</v>
      </c>
      <c r="K4912">
        <v>1.109912</v>
      </c>
      <c r="L4912">
        <v>84.731080000000006</v>
      </c>
      <c r="M4912">
        <v>-2.3846240000000001E-2</v>
      </c>
      <c r="N4912">
        <v>0</v>
      </c>
      <c r="O4912">
        <v>-0.9996564</v>
      </c>
      <c r="P4912">
        <v>-3.3596139999999997E-2</v>
      </c>
      <c r="Q4912">
        <v>-2.6786219999999999E-3</v>
      </c>
      <c r="R4912">
        <v>-0.99943219999999999</v>
      </c>
      <c r="S4912">
        <v>-5.502319E-2</v>
      </c>
      <c r="T4912">
        <v>-0.17003579999999999</v>
      </c>
      <c r="U4912">
        <v>-2.9992679999999998</v>
      </c>
      <c r="V4912">
        <v>9.7543209999999998E-3</v>
      </c>
      <c r="W4912">
        <v>8.2070549999999996E-3</v>
      </c>
      <c r="X4912">
        <v>0.9999188</v>
      </c>
      <c r="Y4912">
        <v>-5.5357770000000004E-3</v>
      </c>
      <c r="Z4912">
        <v>5.6572270000000001E-2</v>
      </c>
      <c r="AA4912">
        <v>0.99838320000000003</v>
      </c>
      <c r="AB4912">
        <v>20</v>
      </c>
      <c r="AC4912">
        <v>-0.35430000000002299</v>
      </c>
      <c r="AD4912">
        <v>-1.109915262743</v>
      </c>
      <c r="AE4912">
        <v>-19.381900000000002</v>
      </c>
      <c r="AF4912">
        <v>-0.107660634923718</v>
      </c>
      <c r="AG4912">
        <v>-1.109915262743</v>
      </c>
      <c r="AH4912">
        <v>19.3214964302793</v>
      </c>
      <c r="AI4912">
        <v>93.287667927831293</v>
      </c>
      <c r="AJ4912">
        <v>90.319252506378007</v>
      </c>
      <c r="AK4912">
        <v>19.3536489326452</v>
      </c>
      <c r="AL4912">
        <v>89.529765132987393</v>
      </c>
      <c r="AM4912">
        <v>89.441090918389193</v>
      </c>
      <c r="AN4912">
        <v>1.0000000545616901</v>
      </c>
    </row>
    <row r="4913" spans="1:40" x14ac:dyDescent="0.25">
      <c r="A4913" t="str">
        <f>"20190312161112286"</f>
        <v>20190312161112286</v>
      </c>
      <c r="B4913" t="str">
        <f>"1552378272281641"</f>
        <v>1552378272281641</v>
      </c>
      <c r="C4913" t="s">
        <v>40</v>
      </c>
      <c r="D4913">
        <v>5.3324360000000004</v>
      </c>
      <c r="E4913">
        <v>0.46999000000000002</v>
      </c>
      <c r="F4913" t="s">
        <v>41</v>
      </c>
      <c r="G4913">
        <v>-421.93849999999998</v>
      </c>
      <c r="H4913" s="1">
        <v>-7.1637630000000004E-7</v>
      </c>
      <c r="I4913">
        <v>70.056690000000003</v>
      </c>
      <c r="J4913">
        <v>-422.62630000000001</v>
      </c>
      <c r="K4913">
        <v>1.1099479999999999</v>
      </c>
      <c r="L4913">
        <v>84.52216</v>
      </c>
      <c r="M4913">
        <v>-2.3955839999999999E-2</v>
      </c>
      <c r="N4913">
        <v>0</v>
      </c>
      <c r="O4913">
        <v>-0.9996545</v>
      </c>
      <c r="P4913">
        <v>-3.2635669999999999E-2</v>
      </c>
      <c r="Q4913">
        <v>-1.908285E-3</v>
      </c>
      <c r="R4913">
        <v>-0.99946590000000002</v>
      </c>
      <c r="S4913">
        <v>0.1398315</v>
      </c>
      <c r="T4913">
        <v>-0.22734670000000001</v>
      </c>
      <c r="U4913">
        <v>-3.005798</v>
      </c>
      <c r="V4913">
        <v>8.6830480000000005E-3</v>
      </c>
      <c r="W4913">
        <v>8.9361110000000001E-3</v>
      </c>
      <c r="X4913">
        <v>0.99992239999999999</v>
      </c>
      <c r="Y4913">
        <v>-7.0256460000000007E-2</v>
      </c>
      <c r="Z4913">
        <v>7.5254459999999995E-2</v>
      </c>
      <c r="AA4913">
        <v>0.99468630000000002</v>
      </c>
      <c r="AB4913">
        <v>20</v>
      </c>
      <c r="AC4913">
        <v>0.68780000000003805</v>
      </c>
      <c r="AD4913">
        <v>-1.1099487163763</v>
      </c>
      <c r="AE4913">
        <v>-14.4654699999999</v>
      </c>
      <c r="AF4913">
        <v>-1.02811583431403</v>
      </c>
      <c r="AG4913">
        <v>-1.1099487163763</v>
      </c>
      <c r="AH4913">
        <v>14.3604818594184</v>
      </c>
      <c r="AI4913">
        <v>94.408472645128995</v>
      </c>
      <c r="AJ4913">
        <v>94.095013158333401</v>
      </c>
      <c r="AK4913">
        <v>14.439960095389401</v>
      </c>
      <c r="AL4913">
        <v>89.487991754149803</v>
      </c>
      <c r="AM4913">
        <v>89.502471892592297</v>
      </c>
      <c r="AN4913">
        <v>1.00000002771206</v>
      </c>
    </row>
    <row r="4914" spans="1:40" x14ac:dyDescent="0.25">
      <c r="A4914" t="str">
        <f>"20190312161112311"</f>
        <v>20190312161112311</v>
      </c>
      <c r="B4914" t="str">
        <f>"1552378272301639"</f>
        <v>1552378272301639</v>
      </c>
      <c r="C4914" t="s">
        <v>40</v>
      </c>
      <c r="D4914">
        <v>5.372598</v>
      </c>
      <c r="E4914">
        <v>0.47031390000000001</v>
      </c>
      <c r="F4914" t="s">
        <v>41</v>
      </c>
      <c r="G4914">
        <v>-421.8836</v>
      </c>
      <c r="H4914" s="1">
        <v>-4.4499649999999998E-6</v>
      </c>
      <c r="I4914">
        <v>69.081400000000002</v>
      </c>
      <c r="J4914">
        <v>-422.63170000000002</v>
      </c>
      <c r="K4914">
        <v>1.109985</v>
      </c>
      <c r="L4914">
        <v>84.299319999999994</v>
      </c>
      <c r="M4914">
        <v>-2.4010690000000001E-2</v>
      </c>
      <c r="N4914">
        <v>0</v>
      </c>
      <c r="O4914">
        <v>-0.99965329999999997</v>
      </c>
      <c r="P4914">
        <v>-3.1534020000000003E-2</v>
      </c>
      <c r="Q4914">
        <v>-9.6471580000000005E-4</v>
      </c>
      <c r="R4914">
        <v>-0.99950220000000001</v>
      </c>
      <c r="S4914">
        <v>0.14459229999999901</v>
      </c>
      <c r="T4914">
        <v>-0.2160794</v>
      </c>
      <c r="U4914">
        <v>-3.0059200000000001</v>
      </c>
      <c r="V4914">
        <v>7.5251569999999898E-3</v>
      </c>
      <c r="W4914">
        <v>9.8320500000000002E-3</v>
      </c>
      <c r="X4914">
        <v>0.99992329999999996</v>
      </c>
      <c r="Y4914">
        <v>-7.1894239999999998E-2</v>
      </c>
      <c r="Z4914">
        <v>7.1534619999999993E-2</v>
      </c>
      <c r="AA4914">
        <v>0.9948437</v>
      </c>
      <c r="AB4914">
        <v>20</v>
      </c>
      <c r="AC4914">
        <v>0.74810000000002197</v>
      </c>
      <c r="AD4914">
        <v>-1.109989449965</v>
      </c>
      <c r="AE4914">
        <v>-15.2179199999999</v>
      </c>
      <c r="AF4914">
        <v>-1.1074209076889101</v>
      </c>
      <c r="AG4914">
        <v>-1.109989449965</v>
      </c>
      <c r="AH4914">
        <v>15.1153461039143</v>
      </c>
      <c r="AI4914">
        <v>94.188767187526196</v>
      </c>
      <c r="AJ4914">
        <v>94.190269932469107</v>
      </c>
      <c r="AK4914">
        <v>15.1964517400259</v>
      </c>
      <c r="AL4914">
        <v>89.436655927151605</v>
      </c>
      <c r="AM4914">
        <v>89.568815331403997</v>
      </c>
      <c r="AN4914">
        <v>0.99999995153898202</v>
      </c>
    </row>
    <row r="4915" spans="1:40" x14ac:dyDescent="0.25">
      <c r="A4915" t="str">
        <f>"20190312161112333"</f>
        <v>20190312161112333</v>
      </c>
      <c r="B4915" t="str">
        <f>"1552378272322135"</f>
        <v>1552378272322135</v>
      </c>
      <c r="C4915" t="s">
        <v>40</v>
      </c>
      <c r="D4915">
        <v>5.3414609999999998</v>
      </c>
      <c r="E4915">
        <v>0.47065400000000002</v>
      </c>
      <c r="F4915" t="s">
        <v>41</v>
      </c>
      <c r="G4915">
        <v>-421.89350000000002</v>
      </c>
      <c r="H4915" s="1">
        <v>-4.4305199999999999E-6</v>
      </c>
      <c r="I4915">
        <v>69.019099999999995</v>
      </c>
      <c r="J4915">
        <v>-422.63659999999999</v>
      </c>
      <c r="K4915">
        <v>1.110009</v>
      </c>
      <c r="L4915">
        <v>84.099609999999998</v>
      </c>
      <c r="M4915">
        <v>-2.4018359999999999E-2</v>
      </c>
      <c r="N4915">
        <v>0</v>
      </c>
      <c r="O4915">
        <v>-0.99965380000000004</v>
      </c>
      <c r="P4915">
        <v>-3.0262669999999998E-2</v>
      </c>
      <c r="Q4915">
        <v>-8.8668949999999905E-4</v>
      </c>
      <c r="R4915">
        <v>-0.99954189999999998</v>
      </c>
      <c r="S4915">
        <v>0.14523320000000001</v>
      </c>
      <c r="T4915">
        <v>-0.21835260000000001</v>
      </c>
      <c r="U4915">
        <v>-3.0058590000000001</v>
      </c>
      <c r="V4915">
        <v>6.2449080000000004E-3</v>
      </c>
      <c r="W4915">
        <v>9.8721E-3</v>
      </c>
      <c r="X4915">
        <v>0.99993180000000004</v>
      </c>
      <c r="Y4915">
        <v>-7.2111850000000005E-2</v>
      </c>
      <c r="Z4915">
        <v>7.2283749999999994E-2</v>
      </c>
      <c r="AA4915">
        <v>0.99477380000000004</v>
      </c>
      <c r="AB4915">
        <v>20</v>
      </c>
      <c r="AC4915">
        <v>0.74309999999996901</v>
      </c>
      <c r="AD4915">
        <v>-1.11001343052</v>
      </c>
      <c r="AE4915">
        <v>-15.08051</v>
      </c>
      <c r="AF4915">
        <v>-1.0991749180113199</v>
      </c>
      <c r="AG4915">
        <v>-1.11001343052</v>
      </c>
      <c r="AH4915">
        <v>14.9773618903979</v>
      </c>
      <c r="AI4915">
        <v>94.227271200750195</v>
      </c>
      <c r="AJ4915">
        <v>94.197360150308697</v>
      </c>
      <c r="AK4915">
        <v>15.058608319239299</v>
      </c>
      <c r="AL4915">
        <v>89.434361164612497</v>
      </c>
      <c r="AM4915">
        <v>89.642173376257603</v>
      </c>
      <c r="AN4915">
        <v>1.0000000309427799</v>
      </c>
    </row>
    <row r="4916" spans="1:40" x14ac:dyDescent="0.25">
      <c r="A4916" t="str">
        <f>"20190312161112356"</f>
        <v>20190312161112356</v>
      </c>
      <c r="B4916" t="str">
        <f>"1552378272341656"</f>
        <v>1552378272341656</v>
      </c>
      <c r="C4916" t="s">
        <v>40</v>
      </c>
      <c r="D4916">
        <v>5.3495520000000001</v>
      </c>
      <c r="E4916">
        <v>0.47094409999999998</v>
      </c>
      <c r="F4916" t="s">
        <v>41</v>
      </c>
      <c r="G4916">
        <v>-421.88459999999998</v>
      </c>
      <c r="H4916" s="1">
        <v>-4.2951800000000003E-6</v>
      </c>
      <c r="I4916">
        <v>68.626009999999994</v>
      </c>
      <c r="J4916">
        <v>-422.64120000000003</v>
      </c>
      <c r="K4916">
        <v>1.1100190000000001</v>
      </c>
      <c r="L4916">
        <v>83.903779999999998</v>
      </c>
      <c r="M4916">
        <v>-2.399536E-2</v>
      </c>
      <c r="N4916">
        <v>0</v>
      </c>
      <c r="O4916">
        <v>-0.9996545</v>
      </c>
      <c r="P4916">
        <v>-2.9334989999999998E-2</v>
      </c>
      <c r="Q4916">
        <v>-2.9497650000000002E-4</v>
      </c>
      <c r="R4916">
        <v>-0.99956959999999995</v>
      </c>
      <c r="S4916">
        <v>0.1460571</v>
      </c>
      <c r="T4916">
        <v>-0.21560850000000001</v>
      </c>
      <c r="U4916">
        <v>-3.005585</v>
      </c>
      <c r="V4916">
        <v>5.3394289999999997E-3</v>
      </c>
      <c r="W4916">
        <v>1.042759E-2</v>
      </c>
      <c r="X4916">
        <v>0.99993140000000003</v>
      </c>
      <c r="Y4916">
        <v>-7.2368520000000006E-2</v>
      </c>
      <c r="Z4916">
        <v>7.1385439999999994E-2</v>
      </c>
      <c r="AA4916">
        <v>0.99482009999999998</v>
      </c>
      <c r="AB4916">
        <v>20</v>
      </c>
      <c r="AC4916">
        <v>0.75660000000004801</v>
      </c>
      <c r="AD4916">
        <v>-1.11002329518</v>
      </c>
      <c r="AE4916">
        <v>-15.27777</v>
      </c>
      <c r="AF4916">
        <v>-1.11711609046382</v>
      </c>
      <c r="AG4916">
        <v>-1.11002329518</v>
      </c>
      <c r="AH4916">
        <v>15.1753015678787</v>
      </c>
      <c r="AI4916">
        <v>94.172297172313506</v>
      </c>
      <c r="AJ4916">
        <v>94.210182869164896</v>
      </c>
      <c r="AK4916">
        <v>15.2567977554754</v>
      </c>
      <c r="AL4916">
        <v>89.402532289192294</v>
      </c>
      <c r="AM4916">
        <v>89.694055173097297</v>
      </c>
      <c r="AN4916">
        <v>1.0000000244206</v>
      </c>
    </row>
    <row r="4917" spans="1:40" x14ac:dyDescent="0.25">
      <c r="A4917" t="str">
        <f>"20190312161112374"</f>
        <v>20190312161112374</v>
      </c>
      <c r="B4917" t="str">
        <f>"1552378272362150"</f>
        <v>1552378272362150</v>
      </c>
      <c r="C4917" t="s">
        <v>40</v>
      </c>
      <c r="D4917">
        <v>5.3764070000000004</v>
      </c>
      <c r="E4917">
        <v>0.47098620000000002</v>
      </c>
      <c r="F4917" t="s">
        <v>41</v>
      </c>
      <c r="G4917">
        <v>-421.86989999999997</v>
      </c>
      <c r="H4917" s="1">
        <v>-4.1207399999999996E-6</v>
      </c>
      <c r="I4917">
        <v>68.12106</v>
      </c>
      <c r="J4917">
        <v>-422.64550000000003</v>
      </c>
      <c r="K4917">
        <v>1.110023</v>
      </c>
      <c r="L4917">
        <v>83.723330000000004</v>
      </c>
      <c r="M4917">
        <v>-2.395042E-2</v>
      </c>
      <c r="N4917">
        <v>0</v>
      </c>
      <c r="O4917">
        <v>-0.99965599999999999</v>
      </c>
      <c r="P4917">
        <v>-2.943695E-2</v>
      </c>
      <c r="Q4917">
        <v>2.3000820000000001E-4</v>
      </c>
      <c r="R4917">
        <v>-0.99956639999999997</v>
      </c>
      <c r="S4917">
        <v>0.14688109999999999</v>
      </c>
      <c r="T4917">
        <v>-0.21138319999999999</v>
      </c>
      <c r="U4917">
        <v>-3.0055239999999999</v>
      </c>
      <c r="V4917">
        <v>5.4861579999999997E-3</v>
      </c>
      <c r="W4917">
        <v>1.091727E-2</v>
      </c>
      <c r="X4917">
        <v>0.99992539999999996</v>
      </c>
      <c r="Y4917">
        <v>-7.2601550000000001E-2</v>
      </c>
      <c r="Z4917">
        <v>6.9993920000000001E-2</v>
      </c>
      <c r="AA4917">
        <v>0.99490199999999995</v>
      </c>
      <c r="AB4917">
        <v>20</v>
      </c>
      <c r="AC4917">
        <v>0.77560000000005402</v>
      </c>
      <c r="AD4917">
        <v>-1.1100271207400001</v>
      </c>
      <c r="AE4917">
        <v>-15.602270000000001</v>
      </c>
      <c r="AF4917">
        <v>-1.1433070135169201</v>
      </c>
      <c r="AG4917">
        <v>-1.1100271207400001</v>
      </c>
      <c r="AH4917">
        <v>15.5009500499949</v>
      </c>
      <c r="AI4917">
        <v>94.084915557967406</v>
      </c>
      <c r="AJ4917">
        <v>94.218339158077896</v>
      </c>
      <c r="AK4917">
        <v>15.5826430231964</v>
      </c>
      <c r="AL4917">
        <v>89.374474107275404</v>
      </c>
      <c r="AM4917">
        <v>89.685646004061397</v>
      </c>
      <c r="AN4917">
        <v>1.0000000451394999</v>
      </c>
    </row>
    <row r="4918" spans="1:40" x14ac:dyDescent="0.25">
      <c r="A4918" t="str">
        <f>"20190312161112398"</f>
        <v>20190312161112398</v>
      </c>
      <c r="B4918" t="str">
        <f>"1552378272392408"</f>
        <v>1552378272392408</v>
      </c>
      <c r="C4918" t="s">
        <v>40</v>
      </c>
      <c r="D4918">
        <v>5.3836389999999996</v>
      </c>
      <c r="E4918">
        <v>0.47106890000000001</v>
      </c>
      <c r="F4918" t="s">
        <v>41</v>
      </c>
      <c r="G4918">
        <v>-421.8793</v>
      </c>
      <c r="H4918" s="1">
        <v>-4.0668270000000003E-6</v>
      </c>
      <c r="I4918">
        <v>67.95778</v>
      </c>
      <c r="J4918">
        <v>-422.6506</v>
      </c>
      <c r="K4918">
        <v>1.1100270000000001</v>
      </c>
      <c r="L4918">
        <v>83.50967</v>
      </c>
      <c r="M4918">
        <v>-2.3872520000000001E-2</v>
      </c>
      <c r="N4918">
        <v>0</v>
      </c>
      <c r="O4918">
        <v>-0.9996583</v>
      </c>
      <c r="P4918">
        <v>-3.0058430000000001E-2</v>
      </c>
      <c r="Q4918">
        <v>4.3757000000000003E-4</v>
      </c>
      <c r="R4918">
        <v>-0.9995482</v>
      </c>
      <c r="S4918">
        <v>0.14608759999999901</v>
      </c>
      <c r="T4918">
        <v>-0.2116227</v>
      </c>
      <c r="U4918">
        <v>-3.005646</v>
      </c>
      <c r="V4918">
        <v>6.1856350000000001E-3</v>
      </c>
      <c r="W4918">
        <v>1.107843E-2</v>
      </c>
      <c r="X4918">
        <v>0.99991949999999996</v>
      </c>
      <c r="Y4918">
        <v>-7.2259569999999995E-2</v>
      </c>
      <c r="Z4918">
        <v>7.0071530000000007E-2</v>
      </c>
      <c r="AA4918">
        <v>0.99492139999999996</v>
      </c>
      <c r="AB4918">
        <v>20</v>
      </c>
      <c r="AC4918">
        <v>0.77129999999999599</v>
      </c>
      <c r="AD4918">
        <v>-1.1100310668269999</v>
      </c>
      <c r="AE4918">
        <v>-15.55189</v>
      </c>
      <c r="AF4918">
        <v>-1.1365878472258799</v>
      </c>
      <c r="AG4918">
        <v>-1.1100310668269999</v>
      </c>
      <c r="AH4918">
        <v>15.450523474918301</v>
      </c>
      <c r="AI4918">
        <v>94.098274945993793</v>
      </c>
      <c r="AJ4918">
        <v>94.207274759541406</v>
      </c>
      <c r="AK4918">
        <v>15.531988815112699</v>
      </c>
      <c r="AL4918">
        <v>89.365239732780097</v>
      </c>
      <c r="AM4918">
        <v>89.645565209679503</v>
      </c>
      <c r="AN4918">
        <v>1.0000000000859299</v>
      </c>
    </row>
    <row r="4919" spans="1:40" x14ac:dyDescent="0.25">
      <c r="A4919" t="str">
        <f>"20190312161112420"</f>
        <v>20190312161112420</v>
      </c>
      <c r="B4919" t="str">
        <f>"1552378272411927"</f>
        <v>1552378272411927</v>
      </c>
      <c r="C4919" t="s">
        <v>40</v>
      </c>
      <c r="D4919">
        <v>5.3807479999999996</v>
      </c>
      <c r="E4919">
        <v>0.47112989999999999</v>
      </c>
      <c r="F4919" t="s">
        <v>41</v>
      </c>
      <c r="G4919">
        <v>-421.90190000000001</v>
      </c>
      <c r="H4919" s="1">
        <v>-4.0400070000000003E-6</v>
      </c>
      <c r="I4919">
        <v>67.867140000000006</v>
      </c>
      <c r="J4919">
        <v>-422.65539999999999</v>
      </c>
      <c r="K4919">
        <v>1.1100300000000001</v>
      </c>
      <c r="L4919">
        <v>83.305239999999998</v>
      </c>
      <c r="M4919">
        <v>-2.3780349999999999E-2</v>
      </c>
      <c r="N4919">
        <v>0</v>
      </c>
      <c r="O4919">
        <v>-0.99966100000000002</v>
      </c>
      <c r="P4919">
        <v>-3.0362799999999999E-2</v>
      </c>
      <c r="Q4919">
        <v>3.6411709999999999E-4</v>
      </c>
      <c r="R4919">
        <v>-0.99953899999999996</v>
      </c>
      <c r="S4919">
        <v>0.14385990000000001</v>
      </c>
      <c r="T4919">
        <v>-0.2132964</v>
      </c>
      <c r="U4919">
        <v>-3.0057680000000002</v>
      </c>
      <c r="V4919">
        <v>6.5821500000000002E-3</v>
      </c>
      <c r="W4919">
        <v>1.0959709999999999E-2</v>
      </c>
      <c r="X4919">
        <v>0.99991830000000004</v>
      </c>
      <c r="Y4919">
        <v>-7.1428039999999998E-2</v>
      </c>
      <c r="Z4919">
        <v>7.0623699999999998E-2</v>
      </c>
      <c r="AA4919">
        <v>0.9949424</v>
      </c>
      <c r="AB4919">
        <v>20</v>
      </c>
      <c r="AC4919">
        <v>0.75349999999997397</v>
      </c>
      <c r="AD4919">
        <v>-1.1100340400069999</v>
      </c>
      <c r="AE4919">
        <v>-15.438099999999899</v>
      </c>
      <c r="AF4919">
        <v>-1.1146818092448401</v>
      </c>
      <c r="AG4919">
        <v>-1.1100340400069999</v>
      </c>
      <c r="AH4919">
        <v>15.336712890682399</v>
      </c>
      <c r="AI4919">
        <v>94.128857717321793</v>
      </c>
      <c r="AJ4919">
        <v>94.156983372381603</v>
      </c>
      <c r="AK4919">
        <v>15.417180461973601</v>
      </c>
      <c r="AL4919">
        <v>89.3720423153067</v>
      </c>
      <c r="AM4919">
        <v>89.622845218420096</v>
      </c>
      <c r="AN4919">
        <v>1.0000000233083901</v>
      </c>
    </row>
    <row r="4920" spans="1:40" x14ac:dyDescent="0.25">
      <c r="A4920" t="str">
        <f>"20190312161112443"</f>
        <v>20190312161112443</v>
      </c>
      <c r="B4920" t="str">
        <f>"1552378272432422"</f>
        <v>1552378272432422</v>
      </c>
      <c r="C4920" t="s">
        <v>40</v>
      </c>
      <c r="D4920">
        <v>5.4549669999999999</v>
      </c>
      <c r="E4920">
        <v>0.47110069999999998</v>
      </c>
      <c r="F4920" t="s">
        <v>41</v>
      </c>
      <c r="G4920">
        <v>-421.91759999999999</v>
      </c>
      <c r="H4920" s="1">
        <v>-3.9952770000000001E-6</v>
      </c>
      <c r="I4920">
        <v>67.727549999999994</v>
      </c>
      <c r="J4920">
        <v>-422.66</v>
      </c>
      <c r="K4920">
        <v>1.1100350000000001</v>
      </c>
      <c r="L4920">
        <v>83.107789999999994</v>
      </c>
      <c r="M4920">
        <v>-2.3683160000000002E-2</v>
      </c>
      <c r="N4920">
        <v>0</v>
      </c>
      <c r="O4920">
        <v>-0.99966410000000006</v>
      </c>
      <c r="P4920">
        <v>-3.0484710000000002E-2</v>
      </c>
      <c r="Q4920">
        <v>3.8686200000000002E-4</v>
      </c>
      <c r="R4920">
        <v>-0.99953539999999996</v>
      </c>
      <c r="S4920">
        <v>0.1423645</v>
      </c>
      <c r="T4920">
        <v>-0.21418699999999999</v>
      </c>
      <c r="U4920">
        <v>-3.005798</v>
      </c>
      <c r="V4920">
        <v>6.8010969999999999E-3</v>
      </c>
      <c r="W4920">
        <v>1.094111E-2</v>
      </c>
      <c r="X4920">
        <v>0.99991699999999994</v>
      </c>
      <c r="Y4920">
        <v>-7.0835720000000005E-2</v>
      </c>
      <c r="Z4920">
        <v>7.0918960000000003E-2</v>
      </c>
      <c r="AA4920">
        <v>0.99496370000000001</v>
      </c>
      <c r="AB4920">
        <v>20</v>
      </c>
      <c r="AC4920">
        <v>0.74240000000003104</v>
      </c>
      <c r="AD4920">
        <v>-1.110038995277</v>
      </c>
      <c r="AE4920">
        <v>-15.380240000000001</v>
      </c>
      <c r="AF4920">
        <v>-1.1007442157094101</v>
      </c>
      <c r="AG4920">
        <v>-1.110038995277</v>
      </c>
      <c r="AH4920">
        <v>15.278939997020901</v>
      </c>
      <c r="AI4920">
        <v>94.144623435966906</v>
      </c>
      <c r="AJ4920">
        <v>94.120653920918599</v>
      </c>
      <c r="AK4920">
        <v>15.3587054087256</v>
      </c>
      <c r="AL4920">
        <v>89.373108056570501</v>
      </c>
      <c r="AM4920">
        <v>89.610299509646495</v>
      </c>
      <c r="AN4920">
        <v>0.99999998484871699</v>
      </c>
    </row>
    <row r="4921" spans="1:40" x14ac:dyDescent="0.25">
      <c r="A4921" t="str">
        <f>"20190312161112464"</f>
        <v>20190312161112464</v>
      </c>
      <c r="B4921" t="str">
        <f>"1552378272451943"</f>
        <v>1552378272451943</v>
      </c>
      <c r="C4921" t="s">
        <v>40</v>
      </c>
      <c r="D4921">
        <v>5.3932529999999996</v>
      </c>
      <c r="E4921">
        <v>0.47163100000000002</v>
      </c>
      <c r="F4921" t="s">
        <v>41</v>
      </c>
      <c r="G4921">
        <v>-421.92520000000002</v>
      </c>
      <c r="H4921" s="1">
        <v>-3.9188280000000004E-6</v>
      </c>
      <c r="I4921">
        <v>67.529910000000001</v>
      </c>
      <c r="J4921">
        <v>-422.66460000000001</v>
      </c>
      <c r="K4921">
        <v>1.1100289999999999</v>
      </c>
      <c r="L4921">
        <v>82.907709999999994</v>
      </c>
      <c r="M4921">
        <v>-2.358029E-2</v>
      </c>
      <c r="N4921">
        <v>0</v>
      </c>
      <c r="O4921">
        <v>-0.99966699999999997</v>
      </c>
      <c r="P4921">
        <v>-3.0350479999999999E-2</v>
      </c>
      <c r="Q4921">
        <v>2.7476250000000002E-4</v>
      </c>
      <c r="R4921">
        <v>-0.99953970000000003</v>
      </c>
      <c r="S4921">
        <v>0.14178470000000001</v>
      </c>
      <c r="T4921">
        <v>-0.2141854</v>
      </c>
      <c r="U4921">
        <v>-3.005798</v>
      </c>
      <c r="V4921">
        <v>6.7695380000000003E-3</v>
      </c>
      <c r="W4921">
        <v>1.078758E-2</v>
      </c>
      <c r="X4921">
        <v>0.99991890000000005</v>
      </c>
      <c r="Y4921">
        <v>-7.054154E-2</v>
      </c>
      <c r="Z4921">
        <v>7.0919739999999995E-2</v>
      </c>
      <c r="AA4921">
        <v>0.9949846</v>
      </c>
      <c r="AB4921">
        <v>20</v>
      </c>
      <c r="AC4921">
        <v>0.73939999999998895</v>
      </c>
      <c r="AD4921">
        <v>-1.110032918828</v>
      </c>
      <c r="AE4921">
        <v>-15.377799999999899</v>
      </c>
      <c r="AF4921">
        <v>-1.0961290301130799</v>
      </c>
      <c r="AG4921">
        <v>-1.110032918828</v>
      </c>
      <c r="AH4921">
        <v>15.2766712444537</v>
      </c>
      <c r="AI4921">
        <v>94.145300301543102</v>
      </c>
      <c r="AJ4921">
        <v>94.104043362543095</v>
      </c>
      <c r="AK4921">
        <v>15.356117876685399</v>
      </c>
      <c r="AL4921">
        <v>89.381905207879996</v>
      </c>
      <c r="AM4921">
        <v>89.612108511010106</v>
      </c>
      <c r="AN4921">
        <v>1.0000000025520901</v>
      </c>
    </row>
    <row r="4922" spans="1:40" x14ac:dyDescent="0.25">
      <c r="A4922" t="str">
        <f>"20190312161112490"</f>
        <v>20190312161112490</v>
      </c>
      <c r="B4922" t="str">
        <f>"1552378272482199"</f>
        <v>1552378272482199</v>
      </c>
      <c r="C4922" t="s">
        <v>40</v>
      </c>
      <c r="D4922">
        <v>5.3325050000000003</v>
      </c>
      <c r="E4922">
        <v>0.47163680000000002</v>
      </c>
      <c r="F4922" t="s">
        <v>41</v>
      </c>
      <c r="G4922">
        <v>-421.53120000000001</v>
      </c>
      <c r="H4922" s="1">
        <v>-4.0235009999999999E-6</v>
      </c>
      <c r="I4922">
        <v>58.01831</v>
      </c>
      <c r="J4922">
        <v>-422.67009999999999</v>
      </c>
      <c r="K4922">
        <v>1.1100179999999999</v>
      </c>
      <c r="L4922">
        <v>82.666560000000004</v>
      </c>
      <c r="M4922">
        <v>-2.3452810000000001E-2</v>
      </c>
      <c r="N4922">
        <v>0</v>
      </c>
      <c r="O4922">
        <v>-0.99967030000000001</v>
      </c>
      <c r="P4922">
        <v>-2.9484179999999999E-2</v>
      </c>
      <c r="Q4922">
        <v>-5.8147339999999905E-4</v>
      </c>
      <c r="R4922">
        <v>-0.99956509999999998</v>
      </c>
      <c r="S4922">
        <v>0.1368713</v>
      </c>
      <c r="T4922">
        <v>-0.13404489999999999</v>
      </c>
      <c r="U4922">
        <v>-3.005585</v>
      </c>
      <c r="V4922">
        <v>6.0304809999999999E-3</v>
      </c>
      <c r="W4922">
        <v>9.8725779999999999E-3</v>
      </c>
      <c r="X4922">
        <v>0.99993310000000002</v>
      </c>
      <c r="Y4922">
        <v>-6.8864129999999996E-2</v>
      </c>
      <c r="Z4922">
        <v>4.4460050000000001E-2</v>
      </c>
      <c r="AA4922">
        <v>0.99663480000000004</v>
      </c>
      <c r="AB4922">
        <v>20</v>
      </c>
      <c r="AC4922">
        <v>1.13889999999997</v>
      </c>
      <c r="AD4922">
        <v>-1.1100220235010001</v>
      </c>
      <c r="AE4922">
        <v>-24.648250000000001</v>
      </c>
      <c r="AF4922">
        <v>-1.71322181561376</v>
      </c>
      <c r="AG4922">
        <v>-1.1100220235010001</v>
      </c>
      <c r="AH4922">
        <v>24.565043358049198</v>
      </c>
      <c r="AI4922">
        <v>92.581006814190104</v>
      </c>
      <c r="AJ4922">
        <v>93.989477676260293</v>
      </c>
      <c r="AK4922">
        <v>24.6497187218229</v>
      </c>
      <c r="AL4922">
        <v>89.434333769415403</v>
      </c>
      <c r="AM4922">
        <v>89.654459962594302</v>
      </c>
      <c r="AN4922">
        <v>1.0000000194865299</v>
      </c>
    </row>
    <row r="4923" spans="1:40" x14ac:dyDescent="0.25">
      <c r="A4923" t="str">
        <f>"20190312161112511"</f>
        <v>20190312161112511</v>
      </c>
      <c r="B4923" t="str">
        <f>"1552378272501719"</f>
        <v>1552378272501719</v>
      </c>
      <c r="C4923" t="s">
        <v>40</v>
      </c>
      <c r="D4923">
        <v>5.5041359999999999</v>
      </c>
      <c r="E4923">
        <v>0.47158480000000003</v>
      </c>
      <c r="F4923" t="s">
        <v>41</v>
      </c>
      <c r="G4923">
        <v>-421.5736</v>
      </c>
      <c r="H4923" s="1">
        <v>-4.4008259999999997E-6</v>
      </c>
      <c r="I4923">
        <v>59.098579999999998</v>
      </c>
      <c r="J4923">
        <v>-422.67450000000002</v>
      </c>
      <c r="K4923">
        <v>1.1100080000000001</v>
      </c>
      <c r="L4923">
        <v>82.474699999999999</v>
      </c>
      <c r="M4923">
        <v>-2.3348560000000001E-2</v>
      </c>
      <c r="N4923">
        <v>0</v>
      </c>
      <c r="O4923">
        <v>-0.99967340000000005</v>
      </c>
      <c r="P4923">
        <v>-2.8936750000000001E-2</v>
      </c>
      <c r="Q4923">
        <v>-1.0723530000000001E-3</v>
      </c>
      <c r="R4923">
        <v>-0.99958080000000005</v>
      </c>
      <c r="S4923">
        <v>0.1398315</v>
      </c>
      <c r="T4923">
        <v>-0.14154919999999999</v>
      </c>
      <c r="U4923">
        <v>-3.0053709999999998</v>
      </c>
      <c r="V4923">
        <v>5.5872559999999996E-3</v>
      </c>
      <c r="W4923">
        <v>9.3328230000000005E-3</v>
      </c>
      <c r="X4923">
        <v>0.99994079999999996</v>
      </c>
      <c r="Y4923">
        <v>-6.9737569999999999E-2</v>
      </c>
      <c r="Z4923">
        <v>4.6944739999999999E-2</v>
      </c>
      <c r="AA4923">
        <v>0.99646009999999996</v>
      </c>
      <c r="AB4923">
        <v>20</v>
      </c>
      <c r="AC4923">
        <v>1.10090000000002</v>
      </c>
      <c r="AD4923">
        <v>-1.1100124008259999</v>
      </c>
      <c r="AE4923">
        <v>-23.37612</v>
      </c>
      <c r="AF4923">
        <v>-1.64273218596321</v>
      </c>
      <c r="AG4923">
        <v>-1.1100124008259999</v>
      </c>
      <c r="AH4923">
        <v>23.291638720897101</v>
      </c>
      <c r="AI4923">
        <v>92.721736602295707</v>
      </c>
      <c r="AJ4923">
        <v>94.034324196830795</v>
      </c>
      <c r="AK4923">
        <v>23.375866419655601</v>
      </c>
      <c r="AL4923">
        <v>89.465260847478206</v>
      </c>
      <c r="AM4923">
        <v>89.679858191250005</v>
      </c>
      <c r="AN4923">
        <v>0.99999996125969803</v>
      </c>
    </row>
    <row r="4924" spans="1:40" x14ac:dyDescent="0.25">
      <c r="A4924" t="str">
        <f>"20190312161112534"</f>
        <v>20190312161112534</v>
      </c>
      <c r="B4924" t="str">
        <f>"1552378272522215"</f>
        <v>1552378272522215</v>
      </c>
      <c r="C4924" t="s">
        <v>40</v>
      </c>
      <c r="D4924">
        <v>5.4450500000000002</v>
      </c>
      <c r="E4924">
        <v>0.47129369999999998</v>
      </c>
      <c r="F4924" t="s">
        <v>41</v>
      </c>
      <c r="G4924">
        <v>-421.58769999999998</v>
      </c>
      <c r="H4924" s="1">
        <v>-4.5356320000000003E-6</v>
      </c>
      <c r="I4924">
        <v>59.487369999999999</v>
      </c>
      <c r="J4924">
        <v>-422.67919999999998</v>
      </c>
      <c r="K4924">
        <v>1.1099939999999999</v>
      </c>
      <c r="L4924">
        <v>82.266970000000001</v>
      </c>
      <c r="M4924">
        <v>-2.323426E-2</v>
      </c>
      <c r="N4924">
        <v>0</v>
      </c>
      <c r="O4924">
        <v>-0.99967649999999997</v>
      </c>
      <c r="P4924">
        <v>-2.8137519999999999E-2</v>
      </c>
      <c r="Q4924">
        <v>-1.2596650000000001E-3</v>
      </c>
      <c r="R4924">
        <v>-0.99960340000000003</v>
      </c>
      <c r="S4924">
        <v>0.14208979999999999</v>
      </c>
      <c r="T4924">
        <v>-0.1451161</v>
      </c>
      <c r="U4924">
        <v>-3.0052189999999999</v>
      </c>
      <c r="V4924">
        <v>4.9022060000000001E-3</v>
      </c>
      <c r="W4924">
        <v>9.0910769999999995E-3</v>
      </c>
      <c r="X4924">
        <v>0.99994669999999997</v>
      </c>
      <c r="Y4924">
        <v>-7.0370340000000003E-2</v>
      </c>
      <c r="Z4924">
        <v>4.8125689999999999E-2</v>
      </c>
      <c r="AA4924">
        <v>0.99635929999999995</v>
      </c>
      <c r="AB4924">
        <v>21</v>
      </c>
      <c r="AC4924">
        <v>1.0914999999999899</v>
      </c>
      <c r="AD4924">
        <v>-1.1099985356319999</v>
      </c>
      <c r="AE4924">
        <v>-22.779599999999999</v>
      </c>
      <c r="AF4924">
        <v>-1.61667098071545</v>
      </c>
      <c r="AG4924">
        <v>-1.1099985356319999</v>
      </c>
      <c r="AH4924">
        <v>22.694326573354299</v>
      </c>
      <c r="AI4924">
        <v>92.7930863269616</v>
      </c>
      <c r="AJ4924">
        <v>94.074684153758895</v>
      </c>
      <c r="AK4924">
        <v>22.7788976999996</v>
      </c>
      <c r="AL4924">
        <v>89.479112502874102</v>
      </c>
      <c r="AM4924">
        <v>89.719111564716599</v>
      </c>
      <c r="AN4924">
        <v>1.0000000410727801</v>
      </c>
    </row>
    <row r="4925" spans="1:40" x14ac:dyDescent="0.25">
      <c r="A4925" t="str">
        <f>"20190312161112554"</f>
        <v>20190312161112554</v>
      </c>
      <c r="B4925" t="str">
        <f>"1552378272551495"</f>
        <v>1552378272551495</v>
      </c>
      <c r="C4925" t="s">
        <v>40</v>
      </c>
      <c r="D4925">
        <v>5.6556819999999997</v>
      </c>
      <c r="E4925">
        <v>0.46617229999999998</v>
      </c>
      <c r="F4925" t="s">
        <v>41</v>
      </c>
      <c r="G4925">
        <v>-421.56299999999999</v>
      </c>
      <c r="H4925" s="1">
        <v>-4.5054000000000001E-6</v>
      </c>
      <c r="I4925">
        <v>59.411369999999998</v>
      </c>
      <c r="J4925">
        <v>-422.68340000000001</v>
      </c>
      <c r="K4925">
        <v>1.1099870000000001</v>
      </c>
      <c r="L4925">
        <v>82.083190000000002</v>
      </c>
      <c r="M4925">
        <v>-2.313426E-2</v>
      </c>
      <c r="N4925">
        <v>0</v>
      </c>
      <c r="O4925">
        <v>-0.9996796</v>
      </c>
      <c r="P4925">
        <v>-2.8058019999999999E-2</v>
      </c>
      <c r="Q4925">
        <v>-1.2119839999999999E-3</v>
      </c>
      <c r="R4925">
        <v>-0.99960610000000005</v>
      </c>
      <c r="S4925">
        <v>0.146759</v>
      </c>
      <c r="T4925">
        <v>-0.1459461</v>
      </c>
      <c r="U4925">
        <v>-3.0051269999999999</v>
      </c>
      <c r="V4925">
        <v>4.9228470000000002E-3</v>
      </c>
      <c r="W4925">
        <v>9.0910780000000007E-3</v>
      </c>
      <c r="X4925">
        <v>0.99994649999999996</v>
      </c>
      <c r="Y4925">
        <v>-7.1815760000000006E-2</v>
      </c>
      <c r="Z4925">
        <v>4.8397660000000002E-2</v>
      </c>
      <c r="AA4925">
        <v>0.99624299999999999</v>
      </c>
      <c r="AB4925">
        <v>21</v>
      </c>
      <c r="AC4925">
        <v>1.1203999999999601</v>
      </c>
      <c r="AD4925">
        <v>-1.1099915054</v>
      </c>
      <c r="AE4925">
        <v>-22.67182</v>
      </c>
      <c r="AF4925">
        <v>-1.6407003969877001</v>
      </c>
      <c r="AG4925">
        <v>-1.1099915054</v>
      </c>
      <c r="AH4925">
        <v>22.585824500821701</v>
      </c>
      <c r="AI4925">
        <v>92.806183171193993</v>
      </c>
      <c r="AJ4925">
        <v>94.1548350281235</v>
      </c>
      <c r="AK4925">
        <v>22.672526266754101</v>
      </c>
      <c r="AL4925">
        <v>89.479112394225098</v>
      </c>
      <c r="AM4925">
        <v>89.717928831621606</v>
      </c>
      <c r="AN4925">
        <v>0.99999994249201696</v>
      </c>
    </row>
    <row r="4926" spans="1:40" x14ac:dyDescent="0.25">
      <c r="A4926" t="str">
        <f>"20190312161112576"</f>
        <v>20190312161112576</v>
      </c>
      <c r="B4926" t="str">
        <f>"1552378272571991"</f>
        <v>1552378272571991</v>
      </c>
      <c r="C4926" t="s">
        <v>40</v>
      </c>
      <c r="D4926">
        <v>5.4554600000000004</v>
      </c>
      <c r="E4926">
        <v>0.37796000000000002</v>
      </c>
      <c r="F4926" t="s">
        <v>41</v>
      </c>
      <c r="G4926">
        <v>-421.28899999999999</v>
      </c>
      <c r="H4926" s="1">
        <v>-4.1893169999999998E-7</v>
      </c>
      <c r="I4926">
        <v>59.766179999999999</v>
      </c>
      <c r="J4926">
        <v>-422.68790000000001</v>
      </c>
      <c r="K4926">
        <v>1.1099730000000001</v>
      </c>
      <c r="L4926">
        <v>81.881129999999999</v>
      </c>
      <c r="M4926">
        <v>-2.3027619999999999E-2</v>
      </c>
      <c r="N4926">
        <v>0</v>
      </c>
      <c r="O4926">
        <v>-0.99968250000000003</v>
      </c>
      <c r="P4926">
        <v>-2.8341729999999999E-2</v>
      </c>
      <c r="Q4926">
        <v>-1.0653220000000001E-3</v>
      </c>
      <c r="R4926">
        <v>-0.99959779999999998</v>
      </c>
      <c r="S4926">
        <v>0.18783569999999999</v>
      </c>
      <c r="T4926">
        <v>-0.14952449999999901</v>
      </c>
      <c r="U4926">
        <v>-3.0062869999999999</v>
      </c>
      <c r="V4926">
        <v>5.31344E-3</v>
      </c>
      <c r="W4926">
        <v>9.1840570000000007E-3</v>
      </c>
      <c r="X4926">
        <v>0.99994369999999999</v>
      </c>
      <c r="Y4926">
        <v>-8.5250259999999994E-2</v>
      </c>
      <c r="Z4926">
        <v>4.9517489999999997E-2</v>
      </c>
      <c r="AA4926">
        <v>0.99512829999999997</v>
      </c>
      <c r="AB4926">
        <v>21</v>
      </c>
      <c r="AC4926">
        <v>1.39890000000002</v>
      </c>
      <c r="AD4926">
        <v>-1.1099734189317001</v>
      </c>
      <c r="AE4926">
        <v>-22.11495</v>
      </c>
      <c r="AF4926">
        <v>-1.9030354048987499</v>
      </c>
      <c r="AG4926">
        <v>-1.1099734189317001</v>
      </c>
      <c r="AH4926">
        <v>22.021615563195301</v>
      </c>
      <c r="AI4926">
        <v>92.874787713333305</v>
      </c>
      <c r="AJ4926">
        <v>94.939042062901095</v>
      </c>
      <c r="AK4926">
        <v>22.131541671474199</v>
      </c>
      <c r="AL4926">
        <v>89.473784892932599</v>
      </c>
      <c r="AM4926">
        <v>89.695548037959597</v>
      </c>
      <c r="AN4926">
        <v>0.99999999135865103</v>
      </c>
    </row>
    <row r="4927" spans="1:40" x14ac:dyDescent="0.25">
      <c r="A4927" t="str">
        <f>"20190312161112599"</f>
        <v>20190312161112599</v>
      </c>
      <c r="B4927" t="str">
        <f>"1552378272592496"</f>
        <v>1552378272592496</v>
      </c>
      <c r="C4927" t="s">
        <v>40</v>
      </c>
      <c r="D4927">
        <v>5.4893470000000004</v>
      </c>
      <c r="E4927">
        <v>0.36895539999999999</v>
      </c>
      <c r="F4927" t="s">
        <v>41</v>
      </c>
      <c r="G4927">
        <v>-415.76249999999999</v>
      </c>
      <c r="H4927" s="1">
        <v>-4.487391E-6</v>
      </c>
      <c r="I4927">
        <v>58.340859999999999</v>
      </c>
      <c r="J4927">
        <v>-422.6927</v>
      </c>
      <c r="K4927">
        <v>1.1099650000000001</v>
      </c>
      <c r="L4927">
        <v>81.668729999999996</v>
      </c>
      <c r="M4927">
        <v>-2.2920139999999999E-2</v>
      </c>
      <c r="N4927">
        <v>0</v>
      </c>
      <c r="O4927">
        <v>-0.9996855</v>
      </c>
      <c r="P4927">
        <v>-2.8013070000000001E-2</v>
      </c>
      <c r="Q4927">
        <v>-1.0347240000000001E-3</v>
      </c>
      <c r="R4927">
        <v>-0.99960709999999997</v>
      </c>
      <c r="S4927">
        <v>0.89031979999999999</v>
      </c>
      <c r="T4927">
        <v>-0.1426972</v>
      </c>
      <c r="U4927">
        <v>-3.0263059999999999</v>
      </c>
      <c r="V4927">
        <v>5.0922900000000002E-3</v>
      </c>
      <c r="W4927">
        <v>9.1602160000000005E-3</v>
      </c>
      <c r="X4927">
        <v>0.99994510000000003</v>
      </c>
      <c r="Y4927">
        <v>-0.30386200000000002</v>
      </c>
      <c r="Z4927">
        <v>4.5016E-2</v>
      </c>
      <c r="AA4927">
        <v>0.9516519</v>
      </c>
      <c r="AB4927">
        <v>21</v>
      </c>
      <c r="AC4927">
        <v>6.9302000000000099</v>
      </c>
      <c r="AD4927">
        <v>-1.10996948739099</v>
      </c>
      <c r="AE4927">
        <v>-23.327870000000001</v>
      </c>
      <c r="AF4927">
        <v>-7.4475912150536798</v>
      </c>
      <c r="AG4927">
        <v>-1.10996948739099</v>
      </c>
      <c r="AH4927">
        <v>23.1148043324757</v>
      </c>
      <c r="AI4927">
        <v>92.616938869742</v>
      </c>
      <c r="AJ4927">
        <v>107.858943413454</v>
      </c>
      <c r="AK4927">
        <v>24.310344022619699</v>
      </c>
      <c r="AL4927">
        <v>89.475150955165901</v>
      </c>
      <c r="AM4927">
        <v>89.708219778421693</v>
      </c>
      <c r="AN4927">
        <v>1.0000000219943099</v>
      </c>
    </row>
    <row r="4928" spans="1:40" x14ac:dyDescent="0.25">
      <c r="A4928" t="str">
        <f>"20190312161112620"</f>
        <v>20190312161112620</v>
      </c>
      <c r="B4928" t="str">
        <f>"1552378272612006"</f>
        <v>1552378272612006</v>
      </c>
      <c r="C4928" t="s">
        <v>40</v>
      </c>
      <c r="D4928">
        <v>5.4919609999999999</v>
      </c>
      <c r="E4928">
        <v>0.36622100000000002</v>
      </c>
      <c r="F4928" t="s">
        <v>41</v>
      </c>
      <c r="G4928">
        <v>-413.92509999999999</v>
      </c>
      <c r="H4928" s="1">
        <v>-3.1271990000000001E-6</v>
      </c>
      <c r="I4928">
        <v>54.087719999999997</v>
      </c>
      <c r="J4928">
        <v>-422.69720000000001</v>
      </c>
      <c r="K4928">
        <v>1.1099589999999999</v>
      </c>
      <c r="L4928">
        <v>81.468050000000005</v>
      </c>
      <c r="M4928">
        <v>-2.2822169999999999E-2</v>
      </c>
      <c r="N4928">
        <v>0</v>
      </c>
      <c r="O4928">
        <v>-0.99968809999999997</v>
      </c>
      <c r="P4928">
        <v>-2.72552E-2</v>
      </c>
      <c r="Q4928">
        <v>-8.7357910000000001E-4</v>
      </c>
      <c r="R4928">
        <v>-0.99962839999999997</v>
      </c>
      <c r="S4928">
        <v>0.96255489999999999</v>
      </c>
      <c r="T4928">
        <v>-0.1218592</v>
      </c>
      <c r="U4928">
        <v>-3.0280149999999999</v>
      </c>
      <c r="V4928">
        <v>4.4321819999999998E-3</v>
      </c>
      <c r="W4928">
        <v>9.2751299999999995E-3</v>
      </c>
      <c r="X4928">
        <v>0.99994720000000004</v>
      </c>
      <c r="Y4928">
        <v>-0.32439580000000001</v>
      </c>
      <c r="Z4928">
        <v>3.8168750000000001E-2</v>
      </c>
      <c r="AA4928">
        <v>0.94515099999999996</v>
      </c>
      <c r="AB4928">
        <v>21</v>
      </c>
      <c r="AC4928">
        <v>8.7721000000000195</v>
      </c>
      <c r="AD4928">
        <v>-1.1099621271989999</v>
      </c>
      <c r="AE4928">
        <v>-27.380330000000001</v>
      </c>
      <c r="AF4928">
        <v>-9.3807445711855397</v>
      </c>
      <c r="AG4928">
        <v>-1.1099621271989999</v>
      </c>
      <c r="AH4928">
        <v>27.132550680673699</v>
      </c>
      <c r="AI4928">
        <v>92.214140429133096</v>
      </c>
      <c r="AJ4928">
        <v>109.07219505329</v>
      </c>
      <c r="AK4928">
        <v>28.7298745398056</v>
      </c>
      <c r="AL4928">
        <v>89.468566596629103</v>
      </c>
      <c r="AM4928">
        <v>89.746042931442901</v>
      </c>
      <c r="AN4928">
        <v>1.00000003753081</v>
      </c>
    </row>
    <row r="4929" spans="1:40" x14ac:dyDescent="0.25">
      <c r="A4929" t="str">
        <f>"20190312161112643"</f>
        <v>20190312161112643</v>
      </c>
      <c r="B4929" t="str">
        <f>"1552378272631528"</f>
        <v>1552378272631528</v>
      </c>
      <c r="C4929" t="s">
        <v>40</v>
      </c>
      <c r="D4929">
        <v>5.4604010000000001</v>
      </c>
      <c r="E4929">
        <v>0.3650022</v>
      </c>
      <c r="F4929" t="s">
        <v>41</v>
      </c>
      <c r="G4929">
        <v>-413.66050000000001</v>
      </c>
      <c r="H4929" s="1">
        <v>-3.074056E-6</v>
      </c>
      <c r="I4929">
        <v>53.724620000000002</v>
      </c>
      <c r="J4929">
        <v>-422.70179999999999</v>
      </c>
      <c r="K4929">
        <v>1.109958</v>
      </c>
      <c r="L4929">
        <v>81.260099999999994</v>
      </c>
      <c r="M4929">
        <v>-2.2723179999999999E-2</v>
      </c>
      <c r="N4929">
        <v>0</v>
      </c>
      <c r="O4929">
        <v>-0.999691</v>
      </c>
      <c r="P4929">
        <v>-2.6670699999999999E-2</v>
      </c>
      <c r="Q4929">
        <v>-9.538166E-4</v>
      </c>
      <c r="R4929">
        <v>-0.99964430000000004</v>
      </c>
      <c r="S4929">
        <v>0.98626709999999995</v>
      </c>
      <c r="T4929">
        <v>-0.1211416</v>
      </c>
      <c r="U4929">
        <v>-3.0279240000000001</v>
      </c>
      <c r="V4929">
        <v>3.9465530000000002E-3</v>
      </c>
      <c r="W4929">
        <v>9.1521120000000004E-3</v>
      </c>
      <c r="X4929">
        <v>0.99995029999999996</v>
      </c>
      <c r="Y4929">
        <v>-0.3310131</v>
      </c>
      <c r="Z4929">
        <v>3.7856510000000003E-2</v>
      </c>
      <c r="AA4929">
        <v>0.94286650000000005</v>
      </c>
      <c r="AB4929">
        <v>21</v>
      </c>
      <c r="AC4929">
        <v>9.0412999999999695</v>
      </c>
      <c r="AD4929">
        <v>-1.109961074056</v>
      </c>
      <c r="AE4929">
        <v>-27.53548</v>
      </c>
      <c r="AF4929">
        <v>-9.6505355448366892</v>
      </c>
      <c r="AG4929">
        <v>-1.109961074056</v>
      </c>
      <c r="AH4929">
        <v>27.282894122877401</v>
      </c>
      <c r="AI4929">
        <v>92.196483583795498</v>
      </c>
      <c r="AJ4929">
        <v>109.479761973268</v>
      </c>
      <c r="AK4929">
        <v>28.9606830307611</v>
      </c>
      <c r="AL4929">
        <v>89.475615272064601</v>
      </c>
      <c r="AM4929">
        <v>89.7738691048406</v>
      </c>
      <c r="AN4929">
        <v>0.99999996945236502</v>
      </c>
    </row>
    <row r="4930" spans="1:40" x14ac:dyDescent="0.25">
      <c r="A4930" t="str">
        <f>"20190312161112665"</f>
        <v>20190312161112665</v>
      </c>
      <c r="B4930" t="str">
        <f>"1552378272661783"</f>
        <v>1552378272661783</v>
      </c>
      <c r="C4930" t="s">
        <v>40</v>
      </c>
      <c r="D4930">
        <v>5.5196399999999999</v>
      </c>
      <c r="E4930">
        <v>0.36384729999999998</v>
      </c>
      <c r="F4930" t="s">
        <v>41</v>
      </c>
      <c r="G4930">
        <v>-413.57619999999997</v>
      </c>
      <c r="H4930" s="1">
        <v>-3.0444500000000001E-6</v>
      </c>
      <c r="I4930">
        <v>53.571759999999998</v>
      </c>
      <c r="J4930">
        <v>-422.70639999999997</v>
      </c>
      <c r="K4930">
        <v>1.109944</v>
      </c>
      <c r="L4930">
        <v>81.053340000000006</v>
      </c>
      <c r="M4930">
        <v>-2.2624470000000001E-2</v>
      </c>
      <c r="N4930">
        <v>0</v>
      </c>
      <c r="O4930">
        <v>-0.99969359999999996</v>
      </c>
      <c r="P4930">
        <v>-2.6269420000000002E-2</v>
      </c>
      <c r="Q4930">
        <v>-1.061658E-3</v>
      </c>
      <c r="R4930">
        <v>-0.9996545</v>
      </c>
      <c r="S4930">
        <v>0.99783330000000003</v>
      </c>
      <c r="T4930">
        <v>-0.1213689</v>
      </c>
      <c r="U4930">
        <v>-3.0275880000000002</v>
      </c>
      <c r="V4930">
        <v>3.6439229999999999E-3</v>
      </c>
      <c r="W4930">
        <v>9.0014359999999998E-3</v>
      </c>
      <c r="X4930">
        <v>0.99995290000000003</v>
      </c>
      <c r="Y4930">
        <v>-0.33420119999999998</v>
      </c>
      <c r="Z4930">
        <v>3.788768E-2</v>
      </c>
      <c r="AA4930">
        <v>0.94173989999999996</v>
      </c>
      <c r="AB4930">
        <v>21</v>
      </c>
      <c r="AC4930">
        <v>9.1302000000000003</v>
      </c>
      <c r="AD4930">
        <v>-1.1099470444499999</v>
      </c>
      <c r="AE4930">
        <v>-27.481580000000001</v>
      </c>
      <c r="AF4930">
        <v>-9.7353480945738102</v>
      </c>
      <c r="AG4930">
        <v>-1.1099470444499999</v>
      </c>
      <c r="AH4930">
        <v>27.227968029656299</v>
      </c>
      <c r="AI4930">
        <v>92.198226425756303</v>
      </c>
      <c r="AJ4930">
        <v>109.67448793677301</v>
      </c>
      <c r="AK4930">
        <v>28.9373673299419</v>
      </c>
      <c r="AL4930">
        <v>89.484248770017203</v>
      </c>
      <c r="AM4930">
        <v>89.791209681363696</v>
      </c>
      <c r="AN4930">
        <v>1.00000005312164</v>
      </c>
    </row>
    <row r="4931" spans="1:40" x14ac:dyDescent="0.25">
      <c r="A4931" t="str">
        <f>"20190312161112689"</f>
        <v>20190312161112689</v>
      </c>
      <c r="B4931" t="str">
        <f>"1552378272682282"</f>
        <v>1552378272682282</v>
      </c>
      <c r="C4931" t="s">
        <v>40</v>
      </c>
      <c r="D4931">
        <v>5.5033899999999996</v>
      </c>
      <c r="E4931">
        <v>0.36360160000000002</v>
      </c>
      <c r="F4931" t="s">
        <v>41</v>
      </c>
      <c r="G4931">
        <v>-413.49579999999997</v>
      </c>
      <c r="H4931" s="1">
        <v>-3.0106750000000002E-6</v>
      </c>
      <c r="I4931">
        <v>53.409590000000001</v>
      </c>
      <c r="J4931">
        <v>-422.71109999999999</v>
      </c>
      <c r="K4931">
        <v>1.1099319999999999</v>
      </c>
      <c r="L4931">
        <v>80.839320000000001</v>
      </c>
      <c r="M4931">
        <v>-2.2521909999999999E-2</v>
      </c>
      <c r="N4931">
        <v>0</v>
      </c>
      <c r="O4931">
        <v>-0.99969629999999998</v>
      </c>
      <c r="P4931">
        <v>-2.591423E-2</v>
      </c>
      <c r="Q4931">
        <v>-1.027958E-3</v>
      </c>
      <c r="R4931">
        <v>-0.99966390000000005</v>
      </c>
      <c r="S4931">
        <v>1.0086980000000001</v>
      </c>
      <c r="T4931">
        <v>-0.12155580000000001</v>
      </c>
      <c r="U4931">
        <v>-3.0274049999999999</v>
      </c>
      <c r="V4931">
        <v>3.3912149999999999E-3</v>
      </c>
      <c r="W4931">
        <v>8.989515E-3</v>
      </c>
      <c r="X4931">
        <v>0.99995389999999995</v>
      </c>
      <c r="Y4931">
        <v>-0.33716469999999998</v>
      </c>
      <c r="Z4931">
        <v>3.7906799999999997E-2</v>
      </c>
      <c r="AA4931">
        <v>0.94068220000000002</v>
      </c>
      <c r="AB4931">
        <v>21</v>
      </c>
      <c r="AC4931">
        <v>9.2153000000000098</v>
      </c>
      <c r="AD4931">
        <v>-1.1099350106750001</v>
      </c>
      <c r="AE4931">
        <v>-27.429729999999999</v>
      </c>
      <c r="AF4931">
        <v>-9.8163201524638595</v>
      </c>
      <c r="AG4931">
        <v>-1.1099350106750001</v>
      </c>
      <c r="AH4931">
        <v>27.175231670322599</v>
      </c>
      <c r="AI4931">
        <v>92.199893200473895</v>
      </c>
      <c r="AJ4931">
        <v>109.86088808370199</v>
      </c>
      <c r="AK4931">
        <v>28.915139864771401</v>
      </c>
      <c r="AL4931">
        <v>89.484931822562402</v>
      </c>
      <c r="AM4931">
        <v>89.805689480274594</v>
      </c>
      <c r="AN4931">
        <v>1.0000000569221501</v>
      </c>
    </row>
    <row r="4932" spans="1:40" x14ac:dyDescent="0.25">
      <c r="A4932" t="str">
        <f>"20190312161112711"</f>
        <v>20190312161112711</v>
      </c>
      <c r="B4932" t="str">
        <f>"1552378272701799"</f>
        <v>1552378272701799</v>
      </c>
      <c r="C4932" t="s">
        <v>40</v>
      </c>
      <c r="D4932">
        <v>5.501258</v>
      </c>
      <c r="E4932">
        <v>0.3631472</v>
      </c>
      <c r="F4932" t="s">
        <v>41</v>
      </c>
      <c r="G4932">
        <v>-413.59699999999998</v>
      </c>
      <c r="H4932" s="1">
        <v>-3.0359890000000001E-6</v>
      </c>
      <c r="I4932">
        <v>53.563139999999997</v>
      </c>
      <c r="J4932">
        <v>-422.71570000000003</v>
      </c>
      <c r="K4932">
        <v>1.1099250000000001</v>
      </c>
      <c r="L4932">
        <v>80.628720000000001</v>
      </c>
      <c r="M4932">
        <v>-2.2419740000000001E-2</v>
      </c>
      <c r="N4932">
        <v>0</v>
      </c>
      <c r="O4932">
        <v>-0.99969909999999995</v>
      </c>
      <c r="P4932">
        <v>-2.5423930000000001E-2</v>
      </c>
      <c r="Q4932">
        <v>-9.2113860000000004E-4</v>
      </c>
      <c r="R4932">
        <v>-0.99967660000000003</v>
      </c>
      <c r="S4932">
        <v>1.0114749999999999</v>
      </c>
      <c r="T4932">
        <v>-0.1231802</v>
      </c>
      <c r="U4932">
        <v>-3.0270999999999999</v>
      </c>
      <c r="V4932">
        <v>3.0029700000000002E-3</v>
      </c>
      <c r="W4932">
        <v>9.0553160000000008E-3</v>
      </c>
      <c r="X4932">
        <v>0.99995449999999997</v>
      </c>
      <c r="Y4932">
        <v>-0.33786729999999998</v>
      </c>
      <c r="Z4932">
        <v>3.8405960000000003E-2</v>
      </c>
      <c r="AA4932">
        <v>0.94040979999999996</v>
      </c>
      <c r="AB4932">
        <v>21</v>
      </c>
      <c r="AC4932">
        <v>9.1187000000000396</v>
      </c>
      <c r="AD4932">
        <v>-1.109928035989</v>
      </c>
      <c r="AE4932">
        <v>-27.065580000000001</v>
      </c>
      <c r="AF4932">
        <v>-9.7085782810694692</v>
      </c>
      <c r="AG4932">
        <v>-1.109928035989</v>
      </c>
      <c r="AH4932">
        <v>26.813830540394399</v>
      </c>
      <c r="AI4932">
        <v>92.228894269297001</v>
      </c>
      <c r="AJ4932">
        <v>109.90398076019299</v>
      </c>
      <c r="AK4932">
        <v>28.538919754148299</v>
      </c>
      <c r="AL4932">
        <v>89.481161525031197</v>
      </c>
      <c r="AM4932">
        <v>89.827935181285596</v>
      </c>
      <c r="AN4932">
        <v>1.00000000932346</v>
      </c>
    </row>
    <row r="4933" spans="1:40" x14ac:dyDescent="0.25">
      <c r="A4933" t="str">
        <f>"20190312161112734"</f>
        <v>20190312161112734</v>
      </c>
      <c r="B4933" t="str">
        <f>"1552378272722295"</f>
        <v>1552378272722295</v>
      </c>
      <c r="C4933" t="s">
        <v>40</v>
      </c>
      <c r="D4933">
        <v>5.5277000000000003</v>
      </c>
      <c r="E4933">
        <v>0.36278860000000002</v>
      </c>
      <c r="F4933" t="s">
        <v>41</v>
      </c>
      <c r="G4933">
        <v>-413.40539999999999</v>
      </c>
      <c r="H4933" s="1">
        <v>-2.8633920000000002E-6</v>
      </c>
      <c r="I4933">
        <v>52.90616</v>
      </c>
      <c r="J4933">
        <v>-422.72039999999998</v>
      </c>
      <c r="K4933">
        <v>1.1099270000000001</v>
      </c>
      <c r="L4933">
        <v>80.411869999999993</v>
      </c>
      <c r="M4933">
        <v>-2.231321E-2</v>
      </c>
      <c r="N4933">
        <v>0</v>
      </c>
      <c r="O4933">
        <v>-0.99970170000000003</v>
      </c>
      <c r="P4933">
        <v>-2.5096E-2</v>
      </c>
      <c r="Q4933">
        <v>-1.0312279999999999E-3</v>
      </c>
      <c r="R4933">
        <v>-0.99968460000000003</v>
      </c>
      <c r="S4933">
        <v>1.0164789999999999</v>
      </c>
      <c r="T4933">
        <v>-0.1211801</v>
      </c>
      <c r="U4933">
        <v>-3.0267029999999999</v>
      </c>
      <c r="V4933">
        <v>2.78152E-3</v>
      </c>
      <c r="W4933">
        <v>8.9094099999999996E-3</v>
      </c>
      <c r="X4933">
        <v>0.99995639999999997</v>
      </c>
      <c r="Y4933">
        <v>-0.3392095</v>
      </c>
      <c r="Z4933">
        <v>3.7769089999999998E-2</v>
      </c>
      <c r="AA4933">
        <v>0.93995229999999996</v>
      </c>
      <c r="AB4933">
        <v>21</v>
      </c>
      <c r="AC4933">
        <v>9.3149999999999906</v>
      </c>
      <c r="AD4933">
        <v>-1.1099298633920001</v>
      </c>
      <c r="AE4933">
        <v>-27.505709999999901</v>
      </c>
      <c r="AF4933">
        <v>-9.9119721180812501</v>
      </c>
      <c r="AG4933">
        <v>-1.1099298633920001</v>
      </c>
      <c r="AH4933">
        <v>27.251194765011899</v>
      </c>
      <c r="AI4933">
        <v>92.1919999585228</v>
      </c>
      <c r="AJ4933">
        <v>109.98764989895901</v>
      </c>
      <c r="AK4933">
        <v>29.019075651920399</v>
      </c>
      <c r="AL4933">
        <v>89.489521634119697</v>
      </c>
      <c r="AM4933">
        <v>89.840624105619497</v>
      </c>
      <c r="AN4933">
        <v>0.99999995817050802</v>
      </c>
    </row>
    <row r="4934" spans="1:40" x14ac:dyDescent="0.25">
      <c r="A4934" t="str">
        <f>"20190312161112757"</f>
        <v>20190312161112757</v>
      </c>
      <c r="B4934" t="str">
        <f>"1552378272751576"</f>
        <v>1552378272751576</v>
      </c>
      <c r="C4934" t="s">
        <v>40</v>
      </c>
      <c r="D4934">
        <v>5.532324</v>
      </c>
      <c r="E4934">
        <v>0.36239579999999999</v>
      </c>
      <c r="F4934" t="s">
        <v>41</v>
      </c>
      <c r="G4934">
        <v>-413.41669999999999</v>
      </c>
      <c r="H4934" s="1">
        <v>-2.8315840000000001E-6</v>
      </c>
      <c r="I4934">
        <v>52.821480000000001</v>
      </c>
      <c r="J4934">
        <v>-422.7251</v>
      </c>
      <c r="K4934">
        <v>1.109917</v>
      </c>
      <c r="L4934">
        <v>80.196529999999996</v>
      </c>
      <c r="M4934">
        <v>-2.2206839999999999E-2</v>
      </c>
      <c r="N4934">
        <v>0</v>
      </c>
      <c r="O4934">
        <v>-0.99970460000000005</v>
      </c>
      <c r="P4934">
        <v>-2.420986E-2</v>
      </c>
      <c r="Q4934">
        <v>-1.422963E-3</v>
      </c>
      <c r="R4934">
        <v>-0.99970610000000004</v>
      </c>
      <c r="S4934">
        <v>1.0205379999999999</v>
      </c>
      <c r="T4934">
        <v>-0.12174980000000001</v>
      </c>
      <c r="U4934">
        <v>-3.0264280000000001</v>
      </c>
      <c r="V4934">
        <v>2.0015739999999999E-3</v>
      </c>
      <c r="W4934">
        <v>8.4831339999999998E-3</v>
      </c>
      <c r="X4934">
        <v>0.99996200000000002</v>
      </c>
      <c r="Y4934">
        <v>-0.34026529999999999</v>
      </c>
      <c r="Z4934">
        <v>3.793444E-2</v>
      </c>
      <c r="AA4934">
        <v>0.93956399999999995</v>
      </c>
      <c r="AB4934">
        <v>21</v>
      </c>
      <c r="AC4934">
        <v>9.3084000000000007</v>
      </c>
      <c r="AD4934">
        <v>-1.109919831584</v>
      </c>
      <c r="AE4934">
        <v>-27.375050000000002</v>
      </c>
      <c r="AF4934">
        <v>-9.8994602548209407</v>
      </c>
      <c r="AG4934">
        <v>-1.109919831584</v>
      </c>
      <c r="AH4934">
        <v>27.121614088583001</v>
      </c>
      <c r="AI4934">
        <v>92.201539414370998</v>
      </c>
      <c r="AJ4934">
        <v>110.05221471341299</v>
      </c>
      <c r="AK4934">
        <v>28.893133892662899</v>
      </c>
      <c r="AL4934">
        <v>89.513946387971799</v>
      </c>
      <c r="AM4934">
        <v>89.885314052511902</v>
      </c>
      <c r="AN4934">
        <v>0.99999998565246895</v>
      </c>
    </row>
    <row r="4935" spans="1:40" x14ac:dyDescent="0.25">
      <c r="A4935" t="str">
        <f>"20190312161112777"</f>
        <v>20190312161112777</v>
      </c>
      <c r="B4935" t="str">
        <f>"1552378272772071"</f>
        <v>1552378272772071</v>
      </c>
      <c r="C4935" t="s">
        <v>40</v>
      </c>
      <c r="D4935">
        <v>5.5067700000000004</v>
      </c>
      <c r="E4935">
        <v>0.36209560000000002</v>
      </c>
      <c r="F4935" t="s">
        <v>41</v>
      </c>
      <c r="G4935">
        <v>-413.54079999999999</v>
      </c>
      <c r="H4935" s="1">
        <v>-2.9026649999999998E-6</v>
      </c>
      <c r="I4935">
        <v>53.127380000000002</v>
      </c>
      <c r="J4935">
        <v>-422.72919999999999</v>
      </c>
      <c r="K4935">
        <v>1.1099110000000001</v>
      </c>
      <c r="L4935">
        <v>80.007779999999997</v>
      </c>
      <c r="M4935">
        <v>-2.211287E-2</v>
      </c>
      <c r="N4935">
        <v>0</v>
      </c>
      <c r="O4935">
        <v>-0.99970669999999995</v>
      </c>
      <c r="P4935">
        <v>-2.325808E-2</v>
      </c>
      <c r="Q4935">
        <v>-1.949842E-3</v>
      </c>
      <c r="R4935">
        <v>-0.99972780000000006</v>
      </c>
      <c r="S4935">
        <v>1.0265500000000001</v>
      </c>
      <c r="T4935">
        <v>-0.124058</v>
      </c>
      <c r="U4935">
        <v>-3.0255740000000002</v>
      </c>
      <c r="V4935">
        <v>1.143607E-3</v>
      </c>
      <c r="W4935">
        <v>7.92429999999999E-3</v>
      </c>
      <c r="X4935">
        <v>0.99996790000000002</v>
      </c>
      <c r="Y4935">
        <v>-0.34192329999999999</v>
      </c>
      <c r="Z4935">
        <v>3.8639010000000001E-2</v>
      </c>
      <c r="AA4935">
        <v>0.93893309999999996</v>
      </c>
      <c r="AB4935">
        <v>21</v>
      </c>
      <c r="AC4935">
        <v>9.1883999999999997</v>
      </c>
      <c r="AD4935">
        <v>-1.109913902665</v>
      </c>
      <c r="AE4935">
        <v>-26.880400000000002</v>
      </c>
      <c r="AF4935">
        <v>-9.7656769090302493</v>
      </c>
      <c r="AG4935">
        <v>-1.109913902665</v>
      </c>
      <c r="AH4935">
        <v>26.6299824592448</v>
      </c>
      <c r="AI4935">
        <v>92.240891296873997</v>
      </c>
      <c r="AJ4935">
        <v>110.13886376754699</v>
      </c>
      <c r="AK4935">
        <v>28.3858471802866</v>
      </c>
      <c r="AL4935">
        <v>89.545966280583599</v>
      </c>
      <c r="AM4935">
        <v>89.934474070662702</v>
      </c>
      <c r="AN4935">
        <v>0.99999995169893396</v>
      </c>
    </row>
    <row r="4936" spans="1:40" x14ac:dyDescent="0.25">
      <c r="A4936" t="str">
        <f>"20190312161112800"</f>
        <v>20190312161112800</v>
      </c>
      <c r="B4936" t="str">
        <f>"1552378272791591"</f>
        <v>1552378272791591</v>
      </c>
      <c r="C4936" t="s">
        <v>40</v>
      </c>
      <c r="D4936">
        <v>5.5113629999999896</v>
      </c>
      <c r="E4936">
        <v>0.3618287</v>
      </c>
      <c r="F4936" t="s">
        <v>41</v>
      </c>
      <c r="G4936">
        <v>-413.6114</v>
      </c>
      <c r="H4936" s="1">
        <v>-2.933755E-6</v>
      </c>
      <c r="I4936">
        <v>53.273940000000003</v>
      </c>
      <c r="J4936">
        <v>-422.7337</v>
      </c>
      <c r="K4936">
        <v>1.109907</v>
      </c>
      <c r="L4936">
        <v>79.796019999999999</v>
      </c>
      <c r="M4936">
        <v>-2.200707E-2</v>
      </c>
      <c r="N4936">
        <v>0</v>
      </c>
      <c r="O4936">
        <v>-0.99970939999999997</v>
      </c>
      <c r="P4936">
        <v>-2.2334949999999999E-2</v>
      </c>
      <c r="Q4936">
        <v>-1.78163E-3</v>
      </c>
      <c r="R4936">
        <v>-0.999749</v>
      </c>
      <c r="S4936">
        <v>1.031555</v>
      </c>
      <c r="T4936">
        <v>-0.1255715</v>
      </c>
      <c r="U4936">
        <v>-3.0245669999999998</v>
      </c>
      <c r="V4936">
        <v>3.2603599999999998E-4</v>
      </c>
      <c r="W4936">
        <v>8.0568559999999994E-3</v>
      </c>
      <c r="X4936">
        <v>0.99996750000000001</v>
      </c>
      <c r="Y4936">
        <v>-0.34330529999999998</v>
      </c>
      <c r="Z4936">
        <v>3.9101810000000001E-2</v>
      </c>
      <c r="AA4936">
        <v>0.93840959999999995</v>
      </c>
      <c r="AB4936">
        <v>21</v>
      </c>
      <c r="AC4936">
        <v>9.1222999999999903</v>
      </c>
      <c r="AD4936">
        <v>-1.109909933755</v>
      </c>
      <c r="AE4936">
        <v>-26.5220799999999</v>
      </c>
      <c r="AF4936">
        <v>-9.6886193242327394</v>
      </c>
      <c r="AG4936">
        <v>-1.109909933755</v>
      </c>
      <c r="AH4936">
        <v>26.273745751485901</v>
      </c>
      <c r="AI4936">
        <v>92.269736740215805</v>
      </c>
      <c r="AJ4936">
        <v>110.241789529736</v>
      </c>
      <c r="AK4936">
        <v>28.025184393410601</v>
      </c>
      <c r="AL4936">
        <v>89.538371165365504</v>
      </c>
      <c r="AM4936">
        <v>89.981318906757096</v>
      </c>
      <c r="AN4936">
        <v>1.00000001014216</v>
      </c>
    </row>
    <row r="4937" spans="1:40" x14ac:dyDescent="0.25">
      <c r="A4937" t="str">
        <f>"20190312161112821"</f>
        <v>20190312161112821</v>
      </c>
      <c r="B4937" t="str">
        <f>"1552378272812087"</f>
        <v>1552378272812087</v>
      </c>
      <c r="C4937" t="s">
        <v>40</v>
      </c>
      <c r="D4937">
        <v>5.5553299999999997</v>
      </c>
      <c r="E4937">
        <v>0.36167870000000002</v>
      </c>
      <c r="F4937" t="s">
        <v>41</v>
      </c>
      <c r="G4937">
        <v>-413.46230000000003</v>
      </c>
      <c r="H4937" s="1">
        <v>-2.7974859999999999E-6</v>
      </c>
      <c r="I4937">
        <v>52.756929999999997</v>
      </c>
      <c r="J4937">
        <v>-422.73809999999997</v>
      </c>
      <c r="K4937">
        <v>1.109904</v>
      </c>
      <c r="L4937">
        <v>79.592500000000001</v>
      </c>
      <c r="M4937">
        <v>-2.1905310000000001E-2</v>
      </c>
      <c r="N4937">
        <v>0</v>
      </c>
      <c r="O4937">
        <v>-0.99971200000000005</v>
      </c>
      <c r="P4937">
        <v>-2.1267020000000001E-2</v>
      </c>
      <c r="Q4937">
        <v>-1.4446789999999999E-3</v>
      </c>
      <c r="R4937">
        <v>-0.99977280000000002</v>
      </c>
      <c r="S4937">
        <v>1.0368040000000001</v>
      </c>
      <c r="T4937">
        <v>-0.1241183</v>
      </c>
      <c r="U4937">
        <v>-3.0237120000000002</v>
      </c>
      <c r="V4937">
        <v>-6.4019499999999998E-4</v>
      </c>
      <c r="W4937">
        <v>8.3639279999999996E-3</v>
      </c>
      <c r="X4937">
        <v>0.99996479999999999</v>
      </c>
      <c r="Y4937">
        <v>-0.34475460000000002</v>
      </c>
      <c r="Z4937">
        <v>3.8639350000000003E-2</v>
      </c>
      <c r="AA4937">
        <v>0.93789730000000004</v>
      </c>
      <c r="AB4937">
        <v>21</v>
      </c>
      <c r="AC4937">
        <v>9.2757999999999399</v>
      </c>
      <c r="AD4937">
        <v>-1.109906797486</v>
      </c>
      <c r="AE4937">
        <v>-26.835570000000001</v>
      </c>
      <c r="AF4937">
        <v>-9.8463980242457598</v>
      </c>
      <c r="AG4937">
        <v>-1.109906797486</v>
      </c>
      <c r="AH4937">
        <v>26.585307564530101</v>
      </c>
      <c r="AI4937">
        <v>92.241982826554306</v>
      </c>
      <c r="AJ4937">
        <v>110.32311373701</v>
      </c>
      <c r="AK4937">
        <v>28.371852696847899</v>
      </c>
      <c r="AL4937">
        <v>89.520776629913698</v>
      </c>
      <c r="AM4937">
        <v>90.036681757751694</v>
      </c>
      <c r="AN4937">
        <v>0.99999998319013295</v>
      </c>
    </row>
    <row r="4938" spans="1:40" x14ac:dyDescent="0.25">
      <c r="A4938" t="str">
        <f>"20190312161112844"</f>
        <v>20190312161112844</v>
      </c>
      <c r="B4938" t="str">
        <f>"1552378272831607"</f>
        <v>1552378272831607</v>
      </c>
      <c r="C4938" t="s">
        <v>40</v>
      </c>
      <c r="D4938">
        <v>5.5450549999999996</v>
      </c>
      <c r="E4938">
        <v>0.36146309999999998</v>
      </c>
      <c r="F4938" t="s">
        <v>41</v>
      </c>
      <c r="G4938">
        <v>-413.4033</v>
      </c>
      <c r="H4938" s="1">
        <v>-2.7204880000000001E-6</v>
      </c>
      <c r="I4938">
        <v>52.484560000000002</v>
      </c>
      <c r="J4938">
        <v>-422.74259999999998</v>
      </c>
      <c r="K4938">
        <v>1.1098980000000001</v>
      </c>
      <c r="L4938">
        <v>79.381010000000003</v>
      </c>
      <c r="M4938">
        <v>-2.1799610000000001E-2</v>
      </c>
      <c r="N4938">
        <v>0</v>
      </c>
      <c r="O4938">
        <v>-0.99971460000000001</v>
      </c>
      <c r="P4938">
        <v>-2.0862260000000001E-2</v>
      </c>
      <c r="Q4938">
        <v>-1.213057E-3</v>
      </c>
      <c r="R4938">
        <v>-0.9997817</v>
      </c>
      <c r="S4938">
        <v>1.0408630000000001</v>
      </c>
      <c r="T4938">
        <v>-0.12375899999999999</v>
      </c>
      <c r="U4938">
        <v>-3.0226440000000001</v>
      </c>
      <c r="V4938">
        <v>-9.3963650000000005E-4</v>
      </c>
      <c r="W4938">
        <v>8.5689609999999999E-3</v>
      </c>
      <c r="X4938">
        <v>0.99996289999999999</v>
      </c>
      <c r="Y4938">
        <v>-0.34588459999999899</v>
      </c>
      <c r="Z4938">
        <v>3.852423E-2</v>
      </c>
      <c r="AA4938">
        <v>0.93748589999999998</v>
      </c>
      <c r="AB4938">
        <v>21</v>
      </c>
      <c r="AC4938">
        <v>9.3392999999999802</v>
      </c>
      <c r="AD4938">
        <v>-1.109900720488</v>
      </c>
      <c r="AE4938">
        <v>-26.896450000000002</v>
      </c>
      <c r="AF4938">
        <v>-9.9083833873173894</v>
      </c>
      <c r="AG4938">
        <v>-1.109900720488</v>
      </c>
      <c r="AH4938">
        <v>26.645962755920799</v>
      </c>
      <c r="AI4938">
        <v>92.235791452749694</v>
      </c>
      <c r="AJ4938">
        <v>110.39780621117499</v>
      </c>
      <c r="AK4938">
        <v>28.450224465710701</v>
      </c>
      <c r="AL4938">
        <v>89.509028718674401</v>
      </c>
      <c r="AM4938">
        <v>90.053839187314495</v>
      </c>
      <c r="AN4938">
        <v>1.0000000556928801</v>
      </c>
    </row>
    <row r="4939" spans="1:40" x14ac:dyDescent="0.25">
      <c r="A4939" t="str">
        <f>"20190312161112867"</f>
        <v>20190312161112867</v>
      </c>
      <c r="B4939" t="str">
        <f>"1552378272861865"</f>
        <v>1552378272861865</v>
      </c>
      <c r="C4939" t="s">
        <v>40</v>
      </c>
      <c r="D4939">
        <v>5.5325470000000001</v>
      </c>
      <c r="E4939">
        <v>0.36125479999999999</v>
      </c>
      <c r="F4939" t="s">
        <v>41</v>
      </c>
      <c r="G4939">
        <v>-413.334</v>
      </c>
      <c r="H4939" s="1">
        <v>-2.621991E-6</v>
      </c>
      <c r="I4939">
        <v>52.140889999999999</v>
      </c>
      <c r="J4939">
        <v>-422.74720000000002</v>
      </c>
      <c r="K4939">
        <v>1.1098969999999999</v>
      </c>
      <c r="L4939">
        <v>79.164090000000002</v>
      </c>
      <c r="M4939">
        <v>-2.169097E-2</v>
      </c>
      <c r="N4939">
        <v>0</v>
      </c>
      <c r="O4939">
        <v>-0.99971719999999997</v>
      </c>
      <c r="P4939">
        <v>-2.087203E-2</v>
      </c>
      <c r="Q4939">
        <v>-9.9852870000000007E-4</v>
      </c>
      <c r="R4939">
        <v>-0.99978199999999995</v>
      </c>
      <c r="S4939">
        <v>1.043884</v>
      </c>
      <c r="T4939">
        <v>-0.123143</v>
      </c>
      <c r="U4939">
        <v>-3.022278</v>
      </c>
      <c r="V4939">
        <v>-8.2138410000000002E-4</v>
      </c>
      <c r="W4939">
        <v>8.7596900000000005E-3</v>
      </c>
      <c r="X4939">
        <v>0.99996130000000005</v>
      </c>
      <c r="Y4939">
        <v>-0.34665750000000001</v>
      </c>
      <c r="Z4939">
        <v>3.832559E-2</v>
      </c>
      <c r="AA4939">
        <v>0.9372085</v>
      </c>
      <c r="AB4939">
        <v>21</v>
      </c>
      <c r="AC4939">
        <v>9.4132000000000104</v>
      </c>
      <c r="AD4939">
        <v>-1.109899621991</v>
      </c>
      <c r="AE4939">
        <v>-27.023199999999999</v>
      </c>
      <c r="AF4939">
        <v>-9.9821554225270894</v>
      </c>
      <c r="AG4939">
        <v>-1.109899621991</v>
      </c>
      <c r="AH4939">
        <v>26.772374563218602</v>
      </c>
      <c r="AI4939">
        <v>92.224516450789096</v>
      </c>
      <c r="AJ4939">
        <v>110.448112317604</v>
      </c>
      <c r="AK4939">
        <v>28.594323629064199</v>
      </c>
      <c r="AL4939">
        <v>89.498100316468097</v>
      </c>
      <c r="AM4939">
        <v>90.047063653067895</v>
      </c>
      <c r="AN4939">
        <v>1.0000000041692101</v>
      </c>
    </row>
    <row r="4940" spans="1:40" x14ac:dyDescent="0.25">
      <c r="A4940" t="str">
        <f>"20190312161112889"</f>
        <v>20190312161112889</v>
      </c>
      <c r="B4940" t="str">
        <f>"1552378272882364"</f>
        <v>1552378272882364</v>
      </c>
      <c r="C4940" t="s">
        <v>40</v>
      </c>
      <c r="D4940">
        <v>5.5504930000000003</v>
      </c>
      <c r="E4940">
        <v>0.36108859999999998</v>
      </c>
      <c r="F4940" t="s">
        <v>41</v>
      </c>
      <c r="G4940">
        <v>-413.32709999999997</v>
      </c>
      <c r="H4940" s="1">
        <v>-2.5495260000000002E-6</v>
      </c>
      <c r="I4940">
        <v>51.922580000000004</v>
      </c>
      <c r="J4940">
        <v>-422.75170000000003</v>
      </c>
      <c r="K4940">
        <v>1.1098980000000001</v>
      </c>
      <c r="L4940">
        <v>78.951840000000004</v>
      </c>
      <c r="M4940">
        <v>-2.1585500000000001E-2</v>
      </c>
      <c r="N4940">
        <v>0</v>
      </c>
      <c r="O4940">
        <v>-0.99971989999999999</v>
      </c>
      <c r="P4940">
        <v>-2.1671699999999999E-2</v>
      </c>
      <c r="Q4940">
        <v>-1.268164E-3</v>
      </c>
      <c r="R4940">
        <v>-0.99976469999999995</v>
      </c>
      <c r="S4940">
        <v>1.0451349999999999</v>
      </c>
      <c r="T4940">
        <v>-0.12314020000000001</v>
      </c>
      <c r="U4940">
        <v>-3.0223689999999999</v>
      </c>
      <c r="V4940" s="1">
        <v>8.4252150000000003E-5</v>
      </c>
      <c r="W4940">
        <v>8.4688279999999994E-3</v>
      </c>
      <c r="X4940">
        <v>0.99996410000000002</v>
      </c>
      <c r="Y4940">
        <v>-0.34689639999999999</v>
      </c>
      <c r="Z4940">
        <v>3.8319510000000001E-2</v>
      </c>
      <c r="AA4940">
        <v>0.93712030000000002</v>
      </c>
      <c r="AB4940">
        <v>21</v>
      </c>
      <c r="AC4940">
        <v>9.4246000000000496</v>
      </c>
      <c r="AD4940">
        <v>-1.1099005495259999</v>
      </c>
      <c r="AE4940">
        <v>-27.029260000000001</v>
      </c>
      <c r="AF4940">
        <v>-9.9908513965962005</v>
      </c>
      <c r="AG4940">
        <v>-1.1099005495259999</v>
      </c>
      <c r="AH4940">
        <v>26.779257944672398</v>
      </c>
      <c r="AI4940">
        <v>92.223780592273698</v>
      </c>
      <c r="AJ4940">
        <v>110.45962521255601</v>
      </c>
      <c r="AK4940">
        <v>28.603804763108101</v>
      </c>
      <c r="AL4940">
        <v>89.514766080691899</v>
      </c>
      <c r="AM4940">
        <v>89.995172534095502</v>
      </c>
      <c r="AN4940">
        <v>0.999999964717463</v>
      </c>
    </row>
    <row r="4941" spans="1:40" x14ac:dyDescent="0.25">
      <c r="A4941" t="str">
        <f>"20190312161112913"</f>
        <v>20190312161112913</v>
      </c>
      <c r="B4941" t="str">
        <f>"1552378272901879"</f>
        <v>1552378272901879</v>
      </c>
      <c r="C4941" t="s">
        <v>40</v>
      </c>
      <c r="D4941">
        <v>5.5435359999999996</v>
      </c>
      <c r="E4941">
        <v>0.36088740000000002</v>
      </c>
      <c r="F4941" t="s">
        <v>41</v>
      </c>
      <c r="G4941">
        <v>-413.29739999999998</v>
      </c>
      <c r="H4941" s="1">
        <v>-2.4433099999999998E-6</v>
      </c>
      <c r="I4941">
        <v>51.587240000000001</v>
      </c>
      <c r="J4941">
        <v>-422.75650000000002</v>
      </c>
      <c r="K4941">
        <v>1.109896</v>
      </c>
      <c r="L4941">
        <v>78.723479999999995</v>
      </c>
      <c r="M4941">
        <v>-2.147162E-2</v>
      </c>
      <c r="N4941">
        <v>0</v>
      </c>
      <c r="O4941">
        <v>-0.99972249999999996</v>
      </c>
      <c r="P4941">
        <v>-2.1995480000000001E-2</v>
      </c>
      <c r="Q4941">
        <v>-1.1370270000000001E-3</v>
      </c>
      <c r="R4941">
        <v>-0.99975769999999997</v>
      </c>
      <c r="S4941">
        <v>1.044495</v>
      </c>
      <c r="T4941">
        <v>-0.1226199</v>
      </c>
      <c r="U4941">
        <v>-3.023193</v>
      </c>
      <c r="V4941">
        <v>5.2201069999999997E-4</v>
      </c>
      <c r="W4941">
        <v>8.5780200000000004E-3</v>
      </c>
      <c r="X4941">
        <v>0.99996300000000005</v>
      </c>
      <c r="Y4941">
        <v>-0.34653529999999999</v>
      </c>
      <c r="Z4941">
        <v>3.8152079999999998E-2</v>
      </c>
      <c r="AA4941">
        <v>0.93726069999999995</v>
      </c>
      <c r="AB4941">
        <v>21</v>
      </c>
      <c r="AC4941">
        <v>9.4591000000000296</v>
      </c>
      <c r="AD4941">
        <v>-1.1098984433100001</v>
      </c>
      <c r="AE4941">
        <v>-27.136240000000001</v>
      </c>
      <c r="AF4941">
        <v>-10.0246522512808</v>
      </c>
      <c r="AG4941">
        <v>-1.1098984433100001</v>
      </c>
      <c r="AH4941">
        <v>26.886766147904599</v>
      </c>
      <c r="AI4941">
        <v>92.215063350726197</v>
      </c>
      <c r="AJ4941">
        <v>110.44782345508099</v>
      </c>
      <c r="AK4941">
        <v>28.7162623125935</v>
      </c>
      <c r="AL4941">
        <v>89.5085095944698</v>
      </c>
      <c r="AM4941">
        <v>89.970089886072003</v>
      </c>
      <c r="AN4941">
        <v>0.99999992814564298</v>
      </c>
    </row>
    <row r="4942" spans="1:40" x14ac:dyDescent="0.25">
      <c r="A4942" t="str">
        <f>"20190312161112959"</f>
        <v>20190312161112959</v>
      </c>
      <c r="B4942" t="str">
        <f>"1552378272951657"</f>
        <v>1552378272951657</v>
      </c>
      <c r="C4942" t="s">
        <v>40</v>
      </c>
      <c r="D4942">
        <v>5.6861660000000001</v>
      </c>
      <c r="E4942">
        <v>0.36081229999999997</v>
      </c>
      <c r="F4942" t="s">
        <v>41</v>
      </c>
      <c r="G4942">
        <v>-413.32569999999998</v>
      </c>
      <c r="H4942" s="1">
        <v>-2.3813099999999998E-6</v>
      </c>
      <c r="I4942">
        <v>51.427149999999997</v>
      </c>
      <c r="J4942">
        <v>-422.76560000000001</v>
      </c>
      <c r="K4942">
        <v>1.109885</v>
      </c>
      <c r="L4942">
        <v>78.284580000000005</v>
      </c>
      <c r="M4942">
        <v>-2.125378E-2</v>
      </c>
      <c r="N4942">
        <v>0</v>
      </c>
      <c r="O4942">
        <v>-0.99972749999999999</v>
      </c>
      <c r="P4942">
        <v>-2.2465769999999999E-2</v>
      </c>
      <c r="Q4942">
        <v>-9.2758689999999997E-4</v>
      </c>
      <c r="R4942">
        <v>-0.99974750000000001</v>
      </c>
      <c r="S4942">
        <v>1.0446470000000001</v>
      </c>
      <c r="T4942">
        <v>-0.12294239999999999</v>
      </c>
      <c r="U4942">
        <v>-3.02359</v>
      </c>
      <c r="V4942">
        <v>1.210287E-3</v>
      </c>
      <c r="W4942">
        <v>8.7377549999999998E-3</v>
      </c>
      <c r="X4942">
        <v>0.99996110000000005</v>
      </c>
      <c r="Y4942">
        <v>-0.34633409999999998</v>
      </c>
      <c r="Z4942">
        <v>3.8248989999999997E-2</v>
      </c>
      <c r="AA4942">
        <v>0.93733109999999997</v>
      </c>
      <c r="AB4942">
        <v>21</v>
      </c>
      <c r="AC4942">
        <v>9.4399000000000193</v>
      </c>
      <c r="AD4942">
        <v>-1.1098873813099901</v>
      </c>
      <c r="AE4942">
        <v>-26.857430000000001</v>
      </c>
      <c r="AF4942">
        <v>-9.9934260589766506</v>
      </c>
      <c r="AG4942">
        <v>-1.1098873813099901</v>
      </c>
      <c r="AH4942">
        <v>26.610272446082899</v>
      </c>
      <c r="AI4942">
        <v>92.236052395185496</v>
      </c>
      <c r="AJ4942">
        <v>110.583551238548</v>
      </c>
      <c r="AK4942">
        <v>28.446564187089201</v>
      </c>
      <c r="AL4942">
        <v>89.4993571490715</v>
      </c>
      <c r="AM4942">
        <v>89.930652999163101</v>
      </c>
      <c r="AN4942">
        <v>1.0000000073351301</v>
      </c>
    </row>
    <row r="4943" spans="1:40" x14ac:dyDescent="0.25">
      <c r="A4943" t="str">
        <f>"20190312161112980"</f>
        <v>20190312161112980</v>
      </c>
      <c r="B4943" t="str">
        <f>"1552378272972151"</f>
        <v>1552378272972151</v>
      </c>
      <c r="C4943" t="s">
        <v>40</v>
      </c>
      <c r="D4943">
        <v>5.43994</v>
      </c>
      <c r="E4943">
        <v>0.45753090000000002</v>
      </c>
      <c r="F4943" t="s">
        <v>41</v>
      </c>
      <c r="G4943">
        <v>-413.18990000000002</v>
      </c>
      <c r="H4943" s="1">
        <v>-2.1182599999999999E-6</v>
      </c>
      <c r="I4943">
        <v>50.548020000000001</v>
      </c>
      <c r="J4943">
        <v>-422.7697</v>
      </c>
      <c r="K4943">
        <v>1.1098840000000001</v>
      </c>
      <c r="L4943">
        <v>78.088530000000006</v>
      </c>
      <c r="M4943">
        <v>-2.1156580000000001E-2</v>
      </c>
      <c r="N4943">
        <v>0</v>
      </c>
      <c r="O4943">
        <v>-0.9997296</v>
      </c>
      <c r="P4943">
        <v>-2.2802079999999999E-2</v>
      </c>
      <c r="Q4943">
        <v>-1.527949E-3</v>
      </c>
      <c r="R4943">
        <v>-0.99973880000000004</v>
      </c>
      <c r="S4943">
        <v>1.0440370000000001</v>
      </c>
      <c r="T4943">
        <v>-0.1210107</v>
      </c>
      <c r="U4943">
        <v>-3.0241090000000002</v>
      </c>
      <c r="V4943">
        <v>1.6440000000000001E-3</v>
      </c>
      <c r="W4943">
        <v>8.1178889999999997E-3</v>
      </c>
      <c r="X4943">
        <v>0.99996569999999996</v>
      </c>
      <c r="Y4943">
        <v>-0.34603159999999999</v>
      </c>
      <c r="Z4943">
        <v>3.7646300000000001E-2</v>
      </c>
      <c r="AA4943">
        <v>0.9374673</v>
      </c>
      <c r="AB4943">
        <v>21</v>
      </c>
      <c r="AC4943">
        <v>9.5797999999999703</v>
      </c>
      <c r="AD4943">
        <v>-1.1098861182599999</v>
      </c>
      <c r="AE4943">
        <v>-27.540510000000001</v>
      </c>
      <c r="AF4943">
        <v>-10.1456466988709</v>
      </c>
      <c r="AG4943">
        <v>-1.1098861182599999</v>
      </c>
      <c r="AH4943">
        <v>27.292119037460001</v>
      </c>
      <c r="AI4943">
        <v>92.182959581630399</v>
      </c>
      <c r="AJ4943">
        <v>110.392251089738</v>
      </c>
      <c r="AK4943">
        <v>29.138046531789001</v>
      </c>
      <c r="AL4943">
        <v>89.534874113945094</v>
      </c>
      <c r="AM4943">
        <v>89.905802592375807</v>
      </c>
      <c r="AN4943">
        <v>1.00000000201715</v>
      </c>
    </row>
    <row r="4944" spans="1:40" x14ac:dyDescent="0.25">
      <c r="A4944" t="str">
        <f>"20190312161113012"</f>
        <v>20190312161113012</v>
      </c>
      <c r="B4944" t="str">
        <f>"1552378273002407"</f>
        <v>1552378273002407</v>
      </c>
      <c r="C4944" t="s">
        <v>40</v>
      </c>
      <c r="D4944">
        <v>5.4856509999999998</v>
      </c>
      <c r="E4944">
        <v>0.46288809999999903</v>
      </c>
      <c r="F4944" t="s">
        <v>41</v>
      </c>
      <c r="G4944">
        <v>-421.42009999999999</v>
      </c>
      <c r="H4944" s="1">
        <v>-1.9430630000000001E-6</v>
      </c>
      <c r="I4944">
        <v>63.2376199999999</v>
      </c>
      <c r="J4944">
        <v>-422.77589999999998</v>
      </c>
      <c r="K4944">
        <v>1.109885</v>
      </c>
      <c r="L4944">
        <v>77.783940000000001</v>
      </c>
      <c r="M4944">
        <v>-2.1005619999999999E-2</v>
      </c>
      <c r="N4944">
        <v>0</v>
      </c>
      <c r="O4944">
        <v>-0.99973319999999999</v>
      </c>
      <c r="P4944">
        <v>-2.2582189999999999E-2</v>
      </c>
      <c r="Q4944">
        <v>-5.6206769999999999E-4</v>
      </c>
      <c r="R4944">
        <v>-0.99974499999999999</v>
      </c>
      <c r="S4944">
        <v>0.27322390000000002</v>
      </c>
      <c r="T4944">
        <v>-0.22470509999999999</v>
      </c>
      <c r="U4944">
        <v>-3.0066830000000002</v>
      </c>
      <c r="V4944">
        <v>1.574911E-3</v>
      </c>
      <c r="W4944">
        <v>9.0581770000000006E-3</v>
      </c>
      <c r="X4944">
        <v>0.99995769999999995</v>
      </c>
      <c r="Y4944">
        <v>-0.1111506</v>
      </c>
      <c r="Z4944">
        <v>7.4119870000000004E-2</v>
      </c>
      <c r="AA4944">
        <v>0.99103569999999996</v>
      </c>
      <c r="AB4944">
        <v>21</v>
      </c>
      <c r="AC4944">
        <v>1.3557999999999799</v>
      </c>
      <c r="AD4944">
        <v>-1.1098869430630001</v>
      </c>
      <c r="AE4944">
        <v>-14.54632</v>
      </c>
      <c r="AF4944">
        <v>-1.65153741804775</v>
      </c>
      <c r="AG4944">
        <v>-1.1098869430630001</v>
      </c>
      <c r="AH4944">
        <v>14.4313378266811</v>
      </c>
      <c r="AI4944">
        <v>94.369444790438095</v>
      </c>
      <c r="AJ4944">
        <v>96.528586791189198</v>
      </c>
      <c r="AK4944">
        <v>14.5678734322272</v>
      </c>
      <c r="AL4944">
        <v>89.480997572781405</v>
      </c>
      <c r="AM4944">
        <v>89.909760504071997</v>
      </c>
      <c r="AN4944">
        <v>0.99999996635225497</v>
      </c>
    </row>
    <row r="4945" spans="1:40" x14ac:dyDescent="0.25">
      <c r="A4945" t="str">
        <f>"20190312161113034"</f>
        <v>20190312161113034</v>
      </c>
      <c r="B4945" t="str">
        <f>"1552378273021928"</f>
        <v>1552378273021928</v>
      </c>
      <c r="C4945" t="s">
        <v>40</v>
      </c>
      <c r="D4945">
        <v>5.5493639999999997</v>
      </c>
      <c r="E4945">
        <v>0.4639026</v>
      </c>
      <c r="F4945" t="s">
        <v>41</v>
      </c>
      <c r="G4945">
        <v>-421.53609999999998</v>
      </c>
      <c r="H4945" s="1">
        <v>-1.2938E-6</v>
      </c>
      <c r="I4945">
        <v>61.652239999999999</v>
      </c>
      <c r="J4945">
        <v>-422.78030000000001</v>
      </c>
      <c r="K4945">
        <v>1.109882</v>
      </c>
      <c r="L4945">
        <v>77.568299999999994</v>
      </c>
      <c r="M4945">
        <v>-2.0898739999999999E-2</v>
      </c>
      <c r="N4945">
        <v>0</v>
      </c>
      <c r="O4945">
        <v>-0.99973540000000005</v>
      </c>
      <c r="P4945">
        <v>-2.205414E-2</v>
      </c>
      <c r="Q4945">
        <v>-4.073781E-4</v>
      </c>
      <c r="R4945">
        <v>-0.9997566</v>
      </c>
      <c r="S4945">
        <v>0.2310181</v>
      </c>
      <c r="T4945">
        <v>-0.20680789999999999</v>
      </c>
      <c r="U4945">
        <v>-3.0058590000000001</v>
      </c>
      <c r="V4945">
        <v>1.1536300000000001E-3</v>
      </c>
      <c r="W4945">
        <v>9.1969310000000002E-3</v>
      </c>
      <c r="X4945">
        <v>0.99995699999999998</v>
      </c>
      <c r="Y4945">
        <v>-9.7272049999999999E-2</v>
      </c>
      <c r="Z4945">
        <v>6.8353699999999906E-2</v>
      </c>
      <c r="AA4945">
        <v>0.99290780000000001</v>
      </c>
      <c r="AB4945">
        <v>21</v>
      </c>
      <c r="AC4945">
        <v>1.2442000000000299</v>
      </c>
      <c r="AD4945">
        <v>-1.1098832938000001</v>
      </c>
      <c r="AE4945">
        <v>-15.9160599999999</v>
      </c>
      <c r="AF4945">
        <v>-1.5689859295480599</v>
      </c>
      <c r="AG4945">
        <v>-1.1098832938000001</v>
      </c>
      <c r="AH4945">
        <v>15.8101659627632</v>
      </c>
      <c r="AI4945">
        <v>93.996045797979505</v>
      </c>
      <c r="AJ4945">
        <v>95.667422628893604</v>
      </c>
      <c r="AK4945">
        <v>15.9265471946399</v>
      </c>
      <c r="AL4945">
        <v>89.4730472183941</v>
      </c>
      <c r="AM4945">
        <v>89.933899056864703</v>
      </c>
      <c r="AN4945">
        <v>0.99999995812549602</v>
      </c>
    </row>
    <row r="4946" spans="1:40" x14ac:dyDescent="0.25">
      <c r="A4946" t="str">
        <f>"20190312161113057"</f>
        <v>20190312161113057</v>
      </c>
      <c r="B4946" t="str">
        <f>"1552378273042424"</f>
        <v>1552378273042424</v>
      </c>
      <c r="C4946" t="s">
        <v>40</v>
      </c>
      <c r="D4946">
        <v>5.4791840000000001</v>
      </c>
      <c r="E4946">
        <v>0.46474599999999999</v>
      </c>
      <c r="F4946" t="s">
        <v>41</v>
      </c>
      <c r="G4946">
        <v>-421.56420000000003</v>
      </c>
      <c r="H4946" s="1">
        <v>-1.1300599999999999E-6</v>
      </c>
      <c r="I4946">
        <v>61.253120000000003</v>
      </c>
      <c r="J4946">
        <v>-422.78469999999999</v>
      </c>
      <c r="K4946">
        <v>1.1098749999999999</v>
      </c>
      <c r="L4946">
        <v>77.353059999999999</v>
      </c>
      <c r="M4946">
        <v>-2.0792370000000001E-2</v>
      </c>
      <c r="N4946">
        <v>0</v>
      </c>
      <c r="O4946">
        <v>-0.99973800000000002</v>
      </c>
      <c r="P4946">
        <v>-2.1662440000000002E-2</v>
      </c>
      <c r="Q4946">
        <v>-8.9782689999999999E-4</v>
      </c>
      <c r="R4946">
        <v>-0.99976509999999996</v>
      </c>
      <c r="S4946">
        <v>0.22402949999999999</v>
      </c>
      <c r="T4946">
        <v>-0.2044628</v>
      </c>
      <c r="U4946">
        <v>-3.005585</v>
      </c>
      <c r="V4946">
        <v>8.6829720000000004E-4</v>
      </c>
      <c r="W4946">
        <v>8.6919809999999997E-3</v>
      </c>
      <c r="X4946">
        <v>0.99996189999999996</v>
      </c>
      <c r="Y4946">
        <v>-9.4881090000000001E-2</v>
      </c>
      <c r="Z4946">
        <v>6.7602259999999997E-2</v>
      </c>
      <c r="AA4946">
        <v>0.99319060000000003</v>
      </c>
      <c r="AB4946">
        <v>21</v>
      </c>
      <c r="AC4946">
        <v>1.22049999999995</v>
      </c>
      <c r="AD4946">
        <v>-1.10987613006</v>
      </c>
      <c r="AE4946">
        <v>-16.09994</v>
      </c>
      <c r="AF4946">
        <v>-1.5476943415484901</v>
      </c>
      <c r="AG4946">
        <v>-1.10987613006</v>
      </c>
      <c r="AH4946">
        <v>15.995500385718101</v>
      </c>
      <c r="AI4946">
        <v>93.950815267710894</v>
      </c>
      <c r="AJ4946">
        <v>95.526627023854701</v>
      </c>
      <c r="AK4946">
        <v>16.108482715279202</v>
      </c>
      <c r="AL4946">
        <v>89.501979928387598</v>
      </c>
      <c r="AM4946">
        <v>89.950248352042905</v>
      </c>
      <c r="AN4946">
        <v>1.00000005296266</v>
      </c>
    </row>
    <row r="4947" spans="1:40" x14ac:dyDescent="0.25">
      <c r="A4947" t="str">
        <f>"20190312161113079"</f>
        <v>20190312161113079</v>
      </c>
      <c r="B4947" t="str">
        <f>"1552378273071703"</f>
        <v>1552378273071703</v>
      </c>
      <c r="C4947" t="s">
        <v>40</v>
      </c>
      <c r="D4947">
        <v>5.4616889999999998</v>
      </c>
      <c r="E4947">
        <v>0.46592879999999998</v>
      </c>
      <c r="F4947" t="s">
        <v>41</v>
      </c>
      <c r="G4947">
        <v>-421.60320000000002</v>
      </c>
      <c r="H4947" s="1">
        <v>-1.0819909999999999E-6</v>
      </c>
      <c r="I4947">
        <v>61.116900000000001</v>
      </c>
      <c r="J4947">
        <v>-422.78919999999999</v>
      </c>
      <c r="K4947">
        <v>1.1098699999999999</v>
      </c>
      <c r="L4947">
        <v>77.131739999999994</v>
      </c>
      <c r="M4947">
        <v>-2.0682510000000001E-2</v>
      </c>
      <c r="N4947">
        <v>0</v>
      </c>
      <c r="O4947">
        <v>-0.99974059999999998</v>
      </c>
      <c r="P4947">
        <v>-2.114976E-2</v>
      </c>
      <c r="Q4947">
        <v>-1.282182E-3</v>
      </c>
      <c r="R4947">
        <v>-0.99977590000000005</v>
      </c>
      <c r="S4947">
        <v>0.21868899999999999</v>
      </c>
      <c r="T4947">
        <v>-0.20543359999999999</v>
      </c>
      <c r="U4947">
        <v>-3.0052490000000001</v>
      </c>
      <c r="V4947">
        <v>4.654374E-4</v>
      </c>
      <c r="W4947">
        <v>8.2909750000000008E-3</v>
      </c>
      <c r="X4947">
        <v>0.99996549999999995</v>
      </c>
      <c r="Y4947">
        <v>-9.3022640000000004E-2</v>
      </c>
      <c r="Z4947">
        <v>6.7939910000000006E-2</v>
      </c>
      <c r="AA4947">
        <v>0.99334330000000004</v>
      </c>
      <c r="AB4947">
        <v>22</v>
      </c>
      <c r="AC4947">
        <v>1.18599999999997</v>
      </c>
      <c r="AD4947">
        <v>-1.109871081991</v>
      </c>
      <c r="AE4947">
        <v>-16.01484</v>
      </c>
      <c r="AF4947">
        <v>-1.50977674526685</v>
      </c>
      <c r="AG4947">
        <v>-1.109871081991</v>
      </c>
      <c r="AH4947">
        <v>15.9108825301726</v>
      </c>
      <c r="AI4947">
        <v>93.972444045128796</v>
      </c>
      <c r="AJ4947">
        <v>95.420541651384596</v>
      </c>
      <c r="AK4947">
        <v>16.020843377554801</v>
      </c>
      <c r="AL4947">
        <v>89.524956671956403</v>
      </c>
      <c r="AM4947">
        <v>89.973331483214395</v>
      </c>
      <c r="AN4947">
        <v>0.99999997904433602</v>
      </c>
    </row>
    <row r="4948" spans="1:40" x14ac:dyDescent="0.25">
      <c r="A4948" t="str">
        <f>"20190312161113103"</f>
        <v>20190312161113103</v>
      </c>
      <c r="B4948" t="str">
        <f>"1552378273092199"</f>
        <v>1552378273092199</v>
      </c>
      <c r="C4948" t="s">
        <v>40</v>
      </c>
      <c r="D4948">
        <v>5.544473</v>
      </c>
      <c r="E4948">
        <v>0.46620159999999999</v>
      </c>
      <c r="F4948" t="s">
        <v>41</v>
      </c>
      <c r="G4948">
        <v>-421.67869999999999</v>
      </c>
      <c r="H4948" s="1">
        <v>-1.1896640000000001E-6</v>
      </c>
      <c r="I4948">
        <v>61.321080000000002</v>
      </c>
      <c r="J4948">
        <v>-422.79390000000001</v>
      </c>
      <c r="K4948">
        <v>1.109866</v>
      </c>
      <c r="L4948">
        <v>76.898009999999999</v>
      </c>
      <c r="M4948">
        <v>-2.056699E-2</v>
      </c>
      <c r="N4948">
        <v>0</v>
      </c>
      <c r="O4948">
        <v>-0.99974300000000005</v>
      </c>
      <c r="P4948">
        <v>-2.0664040000000002E-2</v>
      </c>
      <c r="Q4948">
        <v>-1.4488490000000001E-3</v>
      </c>
      <c r="R4948">
        <v>-0.99978560000000005</v>
      </c>
      <c r="S4948">
        <v>0.21105960000000001</v>
      </c>
      <c r="T4948">
        <v>-0.21093339999999999</v>
      </c>
      <c r="U4948">
        <v>-3.0048520000000001</v>
      </c>
      <c r="V4948" s="1">
        <v>9.5187690000000003E-5</v>
      </c>
      <c r="W4948">
        <v>8.103107E-3</v>
      </c>
      <c r="X4948">
        <v>0.99996719999999895</v>
      </c>
      <c r="Y4948">
        <v>-9.0398619999999999E-2</v>
      </c>
      <c r="Z4948">
        <v>6.9774139999999998E-2</v>
      </c>
      <c r="AA4948">
        <v>0.99345839999999996</v>
      </c>
      <c r="AB4948">
        <v>22</v>
      </c>
      <c r="AC4948">
        <v>1.11520000000001</v>
      </c>
      <c r="AD4948">
        <v>-1.109867189664</v>
      </c>
      <c r="AE4948">
        <v>-15.5769299999999</v>
      </c>
      <c r="AF4948">
        <v>-1.42813602597475</v>
      </c>
      <c r="AG4948">
        <v>-1.109867189664</v>
      </c>
      <c r="AH4948">
        <v>15.4725491178014</v>
      </c>
      <c r="AI4948">
        <v>94.085570117952798</v>
      </c>
      <c r="AJ4948">
        <v>95.273531433671195</v>
      </c>
      <c r="AK4948">
        <v>15.5779059533095</v>
      </c>
      <c r="AL4948">
        <v>89.535721103438505</v>
      </c>
      <c r="AM4948">
        <v>89.994545968225594</v>
      </c>
      <c r="AN4948">
        <v>1.00000003523979</v>
      </c>
    </row>
    <row r="4949" spans="1:40" x14ac:dyDescent="0.25">
      <c r="A4949" t="str">
        <f>"20190312161113128"</f>
        <v>20190312161113128</v>
      </c>
      <c r="B4949" t="str">
        <f>"1552378273121480"</f>
        <v>1552378273121480</v>
      </c>
      <c r="C4949" t="s">
        <v>40</v>
      </c>
      <c r="D4949">
        <v>5.58317</v>
      </c>
      <c r="E4949">
        <v>0.46660040000000003</v>
      </c>
      <c r="F4949" t="s">
        <v>41</v>
      </c>
      <c r="G4949">
        <v>-421.69310000000002</v>
      </c>
      <c r="H4949" s="1">
        <v>-1.1347990000000001E-6</v>
      </c>
      <c r="I4949">
        <v>61.184229999999999</v>
      </c>
      <c r="J4949">
        <v>-422.79849999999999</v>
      </c>
      <c r="K4949">
        <v>1.1098629999999901</v>
      </c>
      <c r="L4949">
        <v>76.669280000000001</v>
      </c>
      <c r="M4949">
        <v>-2.0453499999999999E-2</v>
      </c>
      <c r="N4949">
        <v>0</v>
      </c>
      <c r="O4949">
        <v>-0.99974540000000001</v>
      </c>
      <c r="P4949">
        <v>-2.0109999999999999E-2</v>
      </c>
      <c r="Q4949">
        <v>-1.411949E-3</v>
      </c>
      <c r="R4949">
        <v>-0.99979689999999999</v>
      </c>
      <c r="S4949">
        <v>0.21047969999999999</v>
      </c>
      <c r="T4949">
        <v>-0.2122203</v>
      </c>
      <c r="U4949">
        <v>-3.0046689999999998</v>
      </c>
      <c r="V4949">
        <v>-3.4552070000000001E-4</v>
      </c>
      <c r="W4949">
        <v>8.1183660000000001E-3</v>
      </c>
      <c r="X4949">
        <v>0.99996700000000005</v>
      </c>
      <c r="Y4949">
        <v>-9.0096910000000002E-2</v>
      </c>
      <c r="Z4949">
        <v>7.0203630000000003E-2</v>
      </c>
      <c r="AA4949">
        <v>0.99345559999999999</v>
      </c>
      <c r="AB4949">
        <v>22</v>
      </c>
      <c r="AC4949">
        <v>1.10539999999997</v>
      </c>
      <c r="AD4949">
        <v>-1.1098641347989999</v>
      </c>
      <c r="AE4949">
        <v>-15.4850499999999</v>
      </c>
      <c r="AF4949">
        <v>-1.4146761563402199</v>
      </c>
      <c r="AG4949">
        <v>-1.1098641347989999</v>
      </c>
      <c r="AH4949">
        <v>15.3805896037124</v>
      </c>
      <c r="AI4949">
        <v>94.110023703264901</v>
      </c>
      <c r="AJ4949">
        <v>95.255166066795994</v>
      </c>
      <c r="AK4949">
        <v>15.485336405220799</v>
      </c>
      <c r="AL4949">
        <v>89.534846788610693</v>
      </c>
      <c r="AM4949">
        <v>90.019797530375001</v>
      </c>
      <c r="AN4949">
        <v>1.00000001417003</v>
      </c>
    </row>
    <row r="4950" spans="1:40" x14ac:dyDescent="0.25">
      <c r="A4950" t="str">
        <f>"20190312161113169"</f>
        <v>20190312161113169</v>
      </c>
      <c r="B4950" t="str">
        <f>"1552378273161495"</f>
        <v>1552378273161495</v>
      </c>
      <c r="C4950" t="s">
        <v>40</v>
      </c>
      <c r="D4950">
        <v>5.5322959999999997</v>
      </c>
      <c r="E4950">
        <v>0.46685539999999998</v>
      </c>
      <c r="F4950" t="s">
        <v>41</v>
      </c>
      <c r="G4950">
        <v>-421.71550000000002</v>
      </c>
      <c r="H4950" s="1">
        <v>-1.096752E-6</v>
      </c>
      <c r="I4950">
        <v>61.081659999999999</v>
      </c>
      <c r="J4950">
        <v>-422.80650000000003</v>
      </c>
      <c r="K4950">
        <v>1.109853</v>
      </c>
      <c r="L4950">
        <v>76.26688</v>
      </c>
      <c r="M4950">
        <v>-2.025385E-2</v>
      </c>
      <c r="N4950">
        <v>0</v>
      </c>
      <c r="O4950">
        <v>-0.99974989999999997</v>
      </c>
      <c r="P4950">
        <v>-1.9308329999999999E-2</v>
      </c>
      <c r="Q4950">
        <v>-9.1239999999999995E-4</v>
      </c>
      <c r="R4950">
        <v>-0.99981330000000002</v>
      </c>
      <c r="S4950">
        <v>0.20874019999999999</v>
      </c>
      <c r="T4950">
        <v>-0.21392659999999999</v>
      </c>
      <c r="U4950">
        <v>-3.0045169999999999</v>
      </c>
      <c r="V4950">
        <v>-9.4774249999999996E-4</v>
      </c>
      <c r="W4950">
        <v>8.5742049999999997E-3</v>
      </c>
      <c r="X4950">
        <v>0.99996280000000004</v>
      </c>
      <c r="Y4950">
        <v>-8.9326329999999995E-2</v>
      </c>
      <c r="Z4950">
        <v>7.0773119999999995E-2</v>
      </c>
      <c r="AA4950">
        <v>0.9934847</v>
      </c>
      <c r="AB4950">
        <v>22</v>
      </c>
      <c r="AC4950">
        <v>1.091</v>
      </c>
      <c r="AD4950">
        <v>-1.1098540967520001</v>
      </c>
      <c r="AE4950">
        <v>-15.185219999999999</v>
      </c>
      <c r="AF4950">
        <v>-1.3909570881094599</v>
      </c>
      <c r="AG4950">
        <v>-1.1098540967520001</v>
      </c>
      <c r="AH4950">
        <v>15.079866504138399</v>
      </c>
      <c r="AI4950">
        <v>94.191559138203502</v>
      </c>
      <c r="AJ4950">
        <v>95.270013304020097</v>
      </c>
      <c r="AK4950">
        <v>15.1844957611267</v>
      </c>
      <c r="AL4950">
        <v>89.508728225299507</v>
      </c>
      <c r="AM4950">
        <v>90.054303649151507</v>
      </c>
      <c r="AN4950">
        <v>1.00000000829553</v>
      </c>
    </row>
    <row r="4951" spans="1:40" x14ac:dyDescent="0.25">
      <c r="A4951" t="str">
        <f>"20190312161113191"</f>
        <v>20190312161113191</v>
      </c>
      <c r="B4951" t="str">
        <f>"1552378273181991"</f>
        <v>1552378273181991</v>
      </c>
      <c r="C4951" t="s">
        <v>40</v>
      </c>
      <c r="D4951">
        <v>5.5675850000000002</v>
      </c>
      <c r="E4951">
        <v>0.46698800000000001</v>
      </c>
      <c r="F4951" t="s">
        <v>41</v>
      </c>
      <c r="G4951">
        <v>-421.72269999999997</v>
      </c>
      <c r="H4951" s="1">
        <v>-9.2805490000000004E-7</v>
      </c>
      <c r="I4951">
        <v>60.683979999999998</v>
      </c>
      <c r="J4951">
        <v>-422.8107</v>
      </c>
      <c r="K4951">
        <v>1.109855</v>
      </c>
      <c r="L4951">
        <v>76.047179999999997</v>
      </c>
      <c r="M4951">
        <v>-2.0144550000000001E-2</v>
      </c>
      <c r="N4951">
        <v>0</v>
      </c>
      <c r="O4951">
        <v>-0.99975230000000004</v>
      </c>
      <c r="P4951">
        <v>-1.8763740000000001E-2</v>
      </c>
      <c r="Q4951">
        <v>-7.2524179999999903E-4</v>
      </c>
      <c r="R4951">
        <v>-0.99982360000000003</v>
      </c>
      <c r="S4951">
        <v>0.2089539</v>
      </c>
      <c r="T4951">
        <v>-0.21398059999999999</v>
      </c>
      <c r="U4951">
        <v>-3.0043950000000001</v>
      </c>
      <c r="V4951">
        <v>-1.3830769999999999E-3</v>
      </c>
      <c r="W4951">
        <v>8.7372779999999994E-3</v>
      </c>
      <c r="X4951">
        <v>0.99996090000000004</v>
      </c>
      <c r="Y4951">
        <v>-8.9290410000000001E-2</v>
      </c>
      <c r="Z4951">
        <v>7.0793930000000005E-2</v>
      </c>
      <c r="AA4951">
        <v>0.99348650000000005</v>
      </c>
      <c r="AB4951">
        <v>22</v>
      </c>
      <c r="AC4951">
        <v>1.0880000000000201</v>
      </c>
      <c r="AD4951">
        <v>-1.1098559280548901</v>
      </c>
      <c r="AE4951">
        <v>-15.363200000000001</v>
      </c>
      <c r="AF4951">
        <v>-1.39005957948881</v>
      </c>
      <c r="AG4951">
        <v>-1.1098559280548901</v>
      </c>
      <c r="AH4951">
        <v>15.2589281803092</v>
      </c>
      <c r="AI4951">
        <v>94.142979048476803</v>
      </c>
      <c r="AJ4951">
        <v>95.205170179784403</v>
      </c>
      <c r="AK4951">
        <v>15.362256833792401</v>
      </c>
      <c r="AL4951">
        <v>89.499384490160793</v>
      </c>
      <c r="AM4951">
        <v>90.079247522886902</v>
      </c>
      <c r="AN4951">
        <v>1.0000000272288201</v>
      </c>
    </row>
    <row r="4952" spans="1:40" x14ac:dyDescent="0.25">
      <c r="A4952" t="str">
        <f>"20190312161113213"</f>
        <v>20190312161113213</v>
      </c>
      <c r="B4952" t="str">
        <f>"1552378273201511"</f>
        <v>1552378273201511</v>
      </c>
      <c r="C4952" t="s">
        <v>40</v>
      </c>
      <c r="D4952">
        <v>5.5647539999999998</v>
      </c>
      <c r="E4952">
        <v>0.46706150000000002</v>
      </c>
      <c r="F4952" t="s">
        <v>41</v>
      </c>
      <c r="G4952">
        <v>-421.72640000000001</v>
      </c>
      <c r="H4952" s="1">
        <v>-8.3970290000000002E-7</v>
      </c>
      <c r="I4952">
        <v>60.47569</v>
      </c>
      <c r="J4952">
        <v>-422.81490000000002</v>
      </c>
      <c r="K4952">
        <v>1.10985</v>
      </c>
      <c r="L4952">
        <v>75.836429999999993</v>
      </c>
      <c r="M4952">
        <v>-2.004009E-2</v>
      </c>
      <c r="N4952">
        <v>0</v>
      </c>
      <c r="O4952">
        <v>-0.99975440000000004</v>
      </c>
      <c r="P4952">
        <v>-1.90397E-2</v>
      </c>
      <c r="Q4952">
        <v>-6.041477E-4</v>
      </c>
      <c r="R4952">
        <v>-0.9998186</v>
      </c>
      <c r="S4952">
        <v>0.209198</v>
      </c>
      <c r="T4952">
        <v>-0.21412919999999999</v>
      </c>
      <c r="U4952">
        <v>-3.0042719999999998</v>
      </c>
      <c r="V4952">
        <v>-1.002574E-3</v>
      </c>
      <c r="W4952">
        <v>8.8378859999999997E-3</v>
      </c>
      <c r="X4952">
        <v>0.99996039999999997</v>
      </c>
      <c r="Y4952">
        <v>-8.9269230000000005E-2</v>
      </c>
      <c r="Z4952">
        <v>7.0845809999999995E-2</v>
      </c>
      <c r="AA4952">
        <v>0.9934847</v>
      </c>
      <c r="AB4952">
        <v>22</v>
      </c>
      <c r="AC4952">
        <v>1.08850000000001</v>
      </c>
      <c r="AD4952">
        <v>-1.1098508397028899</v>
      </c>
      <c r="AE4952">
        <v>-15.36074</v>
      </c>
      <c r="AF4952">
        <v>-1.38891131372419</v>
      </c>
      <c r="AG4952">
        <v>-1.1098508397028899</v>
      </c>
      <c r="AH4952">
        <v>15.2565925341374</v>
      </c>
      <c r="AI4952">
        <v>94.143615028703707</v>
      </c>
      <c r="AJ4952">
        <v>95.201685854741697</v>
      </c>
      <c r="AK4952">
        <v>15.359832657827999</v>
      </c>
      <c r="AL4952">
        <v>89.493619818626101</v>
      </c>
      <c r="AM4952">
        <v>90.057445514443899</v>
      </c>
      <c r="AN4952">
        <v>0.99999995747586601</v>
      </c>
    </row>
    <row r="4953" spans="1:40" x14ac:dyDescent="0.25">
      <c r="A4953" t="str">
        <f>"20190312161113235"</f>
        <v>20190312161113235</v>
      </c>
      <c r="B4953" t="str">
        <f>"1552378273222007"</f>
        <v>1552378273222007</v>
      </c>
      <c r="C4953" t="s">
        <v>40</v>
      </c>
      <c r="D4953">
        <v>5.5362450000000001</v>
      </c>
      <c r="E4953">
        <v>0.46724579999999999</v>
      </c>
      <c r="F4953" t="s">
        <v>41</v>
      </c>
      <c r="G4953">
        <v>-421.73140000000001</v>
      </c>
      <c r="H4953" s="1">
        <v>-7.2080429999999998E-7</v>
      </c>
      <c r="I4953">
        <v>60.195480000000003</v>
      </c>
      <c r="J4953">
        <v>-422.81920000000002</v>
      </c>
      <c r="K4953">
        <v>1.1098479999999999</v>
      </c>
      <c r="L4953">
        <v>75.614779999999996</v>
      </c>
      <c r="M4953">
        <v>-1.9930260000000002E-2</v>
      </c>
      <c r="N4953">
        <v>0</v>
      </c>
      <c r="O4953">
        <v>-0.99975709999999995</v>
      </c>
      <c r="P4953">
        <v>-2.0041099999999999E-2</v>
      </c>
      <c r="Q4953" s="1">
        <v>-8.0411080000000005E-5</v>
      </c>
      <c r="R4953">
        <v>-0.9997994</v>
      </c>
      <c r="S4953">
        <v>0.20812990000000001</v>
      </c>
      <c r="T4953">
        <v>-0.21318599999999999</v>
      </c>
      <c r="U4953">
        <v>-3.0043950000000001</v>
      </c>
      <c r="V4953">
        <v>1.088351E-4</v>
      </c>
      <c r="W4953">
        <v>9.3428369999999997E-3</v>
      </c>
      <c r="X4953">
        <v>0.99995639999999997</v>
      </c>
      <c r="Y4953">
        <v>-8.880702E-2</v>
      </c>
      <c r="Z4953">
        <v>7.0535039999999993E-2</v>
      </c>
      <c r="AA4953">
        <v>0.99354830000000005</v>
      </c>
      <c r="AB4953">
        <v>22</v>
      </c>
      <c r="AC4953">
        <v>1.0878000000000101</v>
      </c>
      <c r="AD4953">
        <v>-1.1098487208043</v>
      </c>
      <c r="AE4953">
        <v>-15.4193</v>
      </c>
      <c r="AF4953">
        <v>-1.38775408143338</v>
      </c>
      <c r="AG4953">
        <v>-1.1098487208043</v>
      </c>
      <c r="AH4953">
        <v>15.3156015649217</v>
      </c>
      <c r="AI4953">
        <v>94.127855619374898</v>
      </c>
      <c r="AJ4953">
        <v>95.177459813138199</v>
      </c>
      <c r="AK4953">
        <v>15.418342221816101</v>
      </c>
      <c r="AL4953">
        <v>89.464687110637797</v>
      </c>
      <c r="AM4953">
        <v>89.993763936239304</v>
      </c>
      <c r="AN4953">
        <v>1.0000000511746201</v>
      </c>
    </row>
    <row r="4954" spans="1:40" x14ac:dyDescent="0.25">
      <c r="A4954" t="str">
        <f>"20190312161113258"</f>
        <v>20190312161113258</v>
      </c>
      <c r="B4954" t="str">
        <f>"1552378273252263"</f>
        <v>1552378273252263</v>
      </c>
      <c r="C4954" t="s">
        <v>40</v>
      </c>
      <c r="D4954">
        <v>5.5215740000000002</v>
      </c>
      <c r="E4954">
        <v>0.48837959999999903</v>
      </c>
      <c r="F4954" t="s">
        <v>41</v>
      </c>
      <c r="G4954">
        <v>-421.75009999999997</v>
      </c>
      <c r="H4954" s="1">
        <v>-5.8155740000000002E-7</v>
      </c>
      <c r="I4954">
        <v>59.859279999999998</v>
      </c>
      <c r="J4954">
        <v>-422.82350000000002</v>
      </c>
      <c r="K4954">
        <v>1.1098479999999999</v>
      </c>
      <c r="L4954">
        <v>75.393649999999994</v>
      </c>
      <c r="M4954">
        <v>-1.982074E-2</v>
      </c>
      <c r="N4954">
        <v>0</v>
      </c>
      <c r="O4954">
        <v>-0.99975939999999996</v>
      </c>
      <c r="P4954">
        <v>-2.0814160000000002E-2</v>
      </c>
      <c r="Q4954" s="1">
        <v>6.9875209999999897E-5</v>
      </c>
      <c r="R4954">
        <v>-0.99978339999999999</v>
      </c>
      <c r="S4954">
        <v>0.20388790000000001</v>
      </c>
      <c r="T4954">
        <v>-0.2116548</v>
      </c>
      <c r="U4954">
        <v>-3.0046689999999998</v>
      </c>
      <c r="V4954">
        <v>9.9158649999999998E-4</v>
      </c>
      <c r="W4954">
        <v>9.4758680000000001E-3</v>
      </c>
      <c r="X4954">
        <v>0.99995460000000003</v>
      </c>
      <c r="Y4954">
        <v>-8.7297819999999998E-2</v>
      </c>
      <c r="Z4954">
        <v>7.0032830000000004E-2</v>
      </c>
      <c r="AA4954">
        <v>0.99371750000000003</v>
      </c>
      <c r="AB4954">
        <v>22</v>
      </c>
      <c r="AC4954">
        <v>1.0734000000000401</v>
      </c>
      <c r="AD4954">
        <v>-1.1098485815574</v>
      </c>
      <c r="AE4954">
        <v>-15.5343699999999</v>
      </c>
      <c r="AF4954">
        <v>-1.37412473309182</v>
      </c>
      <c r="AG4954">
        <v>-1.1098485815574</v>
      </c>
      <c r="AH4954">
        <v>15.4316473000972</v>
      </c>
      <c r="AI4954">
        <v>94.097489084997093</v>
      </c>
      <c r="AJ4954">
        <v>95.0885325904284</v>
      </c>
      <c r="AK4954">
        <v>15.532408733054799</v>
      </c>
      <c r="AL4954">
        <v>89.457064624813697</v>
      </c>
      <c r="AM4954">
        <v>89.9431837176909</v>
      </c>
      <c r="AN4954">
        <v>0.99999998868965001</v>
      </c>
    </row>
    <row r="4955" spans="1:40" x14ac:dyDescent="0.25">
      <c r="A4955" t="str">
        <f>"20190312161113280"</f>
        <v>20190312161113280</v>
      </c>
      <c r="B4955" t="str">
        <f>"1552378273271784"</f>
        <v>1552378273271784</v>
      </c>
      <c r="C4955" t="s">
        <v>40</v>
      </c>
      <c r="D4955">
        <v>5.5482589999999998</v>
      </c>
      <c r="E4955">
        <v>0.52546930000000003</v>
      </c>
      <c r="F4955" t="s">
        <v>41</v>
      </c>
      <c r="G4955">
        <v>-422.54329999999999</v>
      </c>
      <c r="H4955" s="1">
        <v>-4.4701690000000002E-6</v>
      </c>
      <c r="I4955">
        <v>48.796869999999998</v>
      </c>
      <c r="J4955">
        <v>-422.82780000000002</v>
      </c>
      <c r="K4955">
        <v>1.109845</v>
      </c>
      <c r="L4955">
        <v>75.172060000000002</v>
      </c>
      <c r="M4955">
        <v>-1.9711070000000001E-2</v>
      </c>
      <c r="N4955">
        <v>0</v>
      </c>
      <c r="O4955">
        <v>-0.99976180000000003</v>
      </c>
      <c r="P4955">
        <v>-2.1205359999999999E-2</v>
      </c>
      <c r="Q4955">
        <v>-3.6121889999999999E-4</v>
      </c>
      <c r="R4955">
        <v>-0.99977539999999998</v>
      </c>
      <c r="S4955">
        <v>3.1616209999999999E-2</v>
      </c>
      <c r="T4955">
        <v>-0.1252413</v>
      </c>
      <c r="U4955">
        <v>-3.001312</v>
      </c>
      <c r="V4955">
        <v>1.4926150000000001E-3</v>
      </c>
      <c r="W4955">
        <v>9.029568E-3</v>
      </c>
      <c r="X4955">
        <v>0.99995809999999996</v>
      </c>
      <c r="Y4955">
        <v>-3.0233179999999998E-2</v>
      </c>
      <c r="Z4955">
        <v>4.1669730000000002E-2</v>
      </c>
      <c r="AA4955">
        <v>0.9986739</v>
      </c>
      <c r="AB4955">
        <v>22</v>
      </c>
      <c r="AC4955">
        <v>0.284500000000036</v>
      </c>
      <c r="AD4955">
        <v>-1.109849470169</v>
      </c>
      <c r="AE4955">
        <v>-26.37519</v>
      </c>
      <c r="AF4955">
        <v>-0.80292921196570799</v>
      </c>
      <c r="AG4955">
        <v>-1.109849470169</v>
      </c>
      <c r="AH4955">
        <v>26.317862522346299</v>
      </c>
      <c r="AI4955">
        <v>92.413665379979093</v>
      </c>
      <c r="AJ4955">
        <v>91.747489541483702</v>
      </c>
      <c r="AK4955">
        <v>26.353488363231602</v>
      </c>
      <c r="AL4955">
        <v>89.482636822605599</v>
      </c>
      <c r="AM4955">
        <v>89.914475940119601</v>
      </c>
      <c r="AN4955">
        <v>0.99999998137670698</v>
      </c>
    </row>
    <row r="4956" spans="1:40" x14ac:dyDescent="0.25">
      <c r="A4956" t="str">
        <f>"20190312161113314"</f>
        <v>20190312161113314</v>
      </c>
      <c r="B4956" t="str">
        <f>"1552378273302039"</f>
        <v>1552378273302039</v>
      </c>
      <c r="C4956" t="s">
        <v>40</v>
      </c>
      <c r="D4956">
        <v>5.4706989999999998</v>
      </c>
      <c r="E4956">
        <v>0.52966210000000002</v>
      </c>
      <c r="F4956" t="s">
        <v>41</v>
      </c>
      <c r="G4956">
        <v>-424.50639999999999</v>
      </c>
      <c r="H4956" s="1">
        <v>-3.9224790000000002E-6</v>
      </c>
      <c r="I4956">
        <v>56.164200000000001</v>
      </c>
      <c r="J4956">
        <v>-422.834</v>
      </c>
      <c r="K4956">
        <v>1.1098319999999999</v>
      </c>
      <c r="L4956">
        <v>74.846769999999907</v>
      </c>
      <c r="M4956">
        <v>-1.9550080000000001E-2</v>
      </c>
      <c r="N4956">
        <v>0</v>
      </c>
      <c r="O4956">
        <v>-0.99976489999999996</v>
      </c>
      <c r="P4956">
        <v>-2.1696409999999999E-2</v>
      </c>
      <c r="Q4956">
        <v>-1.183999E-3</v>
      </c>
      <c r="R4956">
        <v>-0.99976399999999999</v>
      </c>
      <c r="S4956">
        <v>-0.2644958</v>
      </c>
      <c r="T4956">
        <v>-0.17487449999999999</v>
      </c>
      <c r="U4956">
        <v>-2.9949949999999999</v>
      </c>
      <c r="V4956">
        <v>2.144923E-3</v>
      </c>
      <c r="W4956">
        <v>8.1793999999999999E-3</v>
      </c>
      <c r="X4956">
        <v>0.99996419999999997</v>
      </c>
      <c r="Y4956">
        <v>6.832974E-2</v>
      </c>
      <c r="Z4956">
        <v>5.809222E-2</v>
      </c>
      <c r="AA4956">
        <v>0.99597009999999997</v>
      </c>
      <c r="AB4956">
        <v>22</v>
      </c>
      <c r="AC4956">
        <v>-1.6723999999999799</v>
      </c>
      <c r="AD4956">
        <v>-1.109835922479</v>
      </c>
      <c r="AE4956">
        <v>-18.682569999999899</v>
      </c>
      <c r="AF4956">
        <v>1.3022594788813899</v>
      </c>
      <c r="AG4956">
        <v>-1.109835922479</v>
      </c>
      <c r="AH4956">
        <v>18.646417045793001</v>
      </c>
      <c r="AI4956">
        <v>93.397972474972903</v>
      </c>
      <c r="AJ4956">
        <v>86.004969011189601</v>
      </c>
      <c r="AK4956">
        <v>18.7247559175226</v>
      </c>
      <c r="AL4956">
        <v>89.531349652934296</v>
      </c>
      <c r="AM4956">
        <v>89.877100753406907</v>
      </c>
      <c r="AN4956">
        <v>0.999999952280336</v>
      </c>
    </row>
    <row r="4957" spans="1:40" x14ac:dyDescent="0.25">
      <c r="A4957" t="str">
        <f>"20190312161113338"</f>
        <v>20190312161113338</v>
      </c>
      <c r="B4957" t="str">
        <f>"1552378273332296"</f>
        <v>1552378273332296</v>
      </c>
      <c r="C4957" t="s">
        <v>40</v>
      </c>
      <c r="D4957">
        <v>5.4449730000000001</v>
      </c>
      <c r="E4957">
        <v>0.52960099999999999</v>
      </c>
      <c r="F4957" t="s">
        <v>41</v>
      </c>
      <c r="G4957">
        <v>-425.11270000000002</v>
      </c>
      <c r="H4957" s="1">
        <v>-2.4425490000000002E-6</v>
      </c>
      <c r="I4957">
        <v>52.111730000000001</v>
      </c>
      <c r="J4957">
        <v>-422.83870000000002</v>
      </c>
      <c r="K4957">
        <v>1.1098269999999999</v>
      </c>
      <c r="L4957">
        <v>74.600009999999997</v>
      </c>
      <c r="M4957">
        <v>-1.942793E-2</v>
      </c>
      <c r="N4957">
        <v>0</v>
      </c>
      <c r="O4957">
        <v>-0.99976779999999998</v>
      </c>
      <c r="P4957">
        <v>-2.1515340000000001E-2</v>
      </c>
      <c r="Q4957">
        <v>-1.0451950000000001E-3</v>
      </c>
      <c r="R4957">
        <v>-0.99976830000000005</v>
      </c>
      <c r="S4957">
        <v>-0.30007929999999999</v>
      </c>
      <c r="T4957">
        <v>-0.1461576</v>
      </c>
      <c r="U4957">
        <v>-2.994049</v>
      </c>
      <c r="V4957">
        <v>2.0859659999999999E-3</v>
      </c>
      <c r="W4957">
        <v>8.2952659999999904E-3</v>
      </c>
      <c r="X4957">
        <v>0.99996339999999995</v>
      </c>
      <c r="Y4957">
        <v>8.025736E-2</v>
      </c>
      <c r="Z4957">
        <v>4.854427E-2</v>
      </c>
      <c r="AA4957">
        <v>0.99559140000000002</v>
      </c>
      <c r="AB4957">
        <v>22</v>
      </c>
      <c r="AC4957">
        <v>-2.274</v>
      </c>
      <c r="AD4957">
        <v>-1.1098294425489901</v>
      </c>
      <c r="AE4957">
        <v>-22.48828</v>
      </c>
      <c r="AF4957">
        <v>1.8322336941488799</v>
      </c>
      <c r="AG4957">
        <v>-1.1098294425489901</v>
      </c>
      <c r="AH4957">
        <v>22.474033248158701</v>
      </c>
      <c r="AI4957">
        <v>92.817792484128702</v>
      </c>
      <c r="AJ4957">
        <v>85.339172340167593</v>
      </c>
      <c r="AK4957">
        <v>22.575893606696201</v>
      </c>
      <c r="AL4957">
        <v>89.524710808718794</v>
      </c>
      <c r="AM4957">
        <v>89.880478750876406</v>
      </c>
      <c r="AN4957">
        <v>0.99999998201586104</v>
      </c>
    </row>
    <row r="4958" spans="1:40" x14ac:dyDescent="0.25">
      <c r="A4958" t="str">
        <f>"20190312161113358"</f>
        <v>20190312161113358</v>
      </c>
      <c r="B4958" t="str">
        <f>"1552378273351815"</f>
        <v>1552378273351815</v>
      </c>
      <c r="C4958" t="s">
        <v>40</v>
      </c>
      <c r="D4958">
        <v>5.4930529999999997</v>
      </c>
      <c r="E4958">
        <v>0.52965309999999999</v>
      </c>
      <c r="F4958" t="s">
        <v>41</v>
      </c>
      <c r="G4958">
        <v>-425.20890000000003</v>
      </c>
      <c r="H4958" s="1">
        <v>-1.9180979999999998E-6</v>
      </c>
      <c r="I4958">
        <v>50.829540000000001</v>
      </c>
      <c r="J4958">
        <v>-422.8426</v>
      </c>
      <c r="K4958">
        <v>1.109823</v>
      </c>
      <c r="L4958">
        <v>74.395600000000002</v>
      </c>
      <c r="M4958">
        <v>-1.932677E-2</v>
      </c>
      <c r="N4958">
        <v>0</v>
      </c>
      <c r="O4958">
        <v>-0.99976989999999999</v>
      </c>
      <c r="P4958">
        <v>-2.1215020000000001E-2</v>
      </c>
      <c r="Q4958">
        <v>-1.4901440000000001E-3</v>
      </c>
      <c r="R4958">
        <v>-0.99977419999999995</v>
      </c>
      <c r="S4958">
        <v>-0.29855350000000003</v>
      </c>
      <c r="T4958">
        <v>-0.13979459999999999</v>
      </c>
      <c r="U4958">
        <v>-2.9941409999999999</v>
      </c>
      <c r="V4958">
        <v>1.886822E-3</v>
      </c>
      <c r="W4958">
        <v>7.8332269999999999E-3</v>
      </c>
      <c r="X4958">
        <v>0.99996750000000001</v>
      </c>
      <c r="Y4958">
        <v>7.9862760000000005E-2</v>
      </c>
      <c r="Z4958">
        <v>4.6436180000000001E-2</v>
      </c>
      <c r="AA4958">
        <v>0.99572369999999999</v>
      </c>
      <c r="AB4958">
        <v>22</v>
      </c>
      <c r="AC4958">
        <v>-2.3663000000000198</v>
      </c>
      <c r="AD4958">
        <v>-1.109824918098</v>
      </c>
      <c r="AE4958">
        <v>-23.56606</v>
      </c>
      <c r="AF4958">
        <v>1.9061969498898701</v>
      </c>
      <c r="AG4958">
        <v>-1.109824918098</v>
      </c>
      <c r="AH4958">
        <v>23.555671077642401</v>
      </c>
      <c r="AI4958">
        <v>92.688718305482197</v>
      </c>
      <c r="AJ4958">
        <v>85.373531577719405</v>
      </c>
      <c r="AK4958">
        <v>23.658718014268601</v>
      </c>
      <c r="AL4958">
        <v>89.551184545189301</v>
      </c>
      <c r="AM4958">
        <v>89.891889677420494</v>
      </c>
      <c r="AN4958">
        <v>0.99999996029936999</v>
      </c>
    </row>
    <row r="4959" spans="1:40" x14ac:dyDescent="0.25">
      <c r="A4959" t="str">
        <f>"20190312161113381"</f>
        <v>20190312161113381</v>
      </c>
      <c r="B4959" t="str">
        <f>"1552378273372312"</f>
        <v>1552378273372312</v>
      </c>
      <c r="C4959" t="s">
        <v>40</v>
      </c>
      <c r="D4959">
        <v>5.4380199999999999</v>
      </c>
      <c r="E4959">
        <v>0.52983380000000002</v>
      </c>
      <c r="F4959" t="s">
        <v>41</v>
      </c>
      <c r="G4959">
        <v>-425.19940000000003</v>
      </c>
      <c r="H4959" s="1">
        <v>-1.8701300000000001E-6</v>
      </c>
      <c r="I4959">
        <v>50.723640000000003</v>
      </c>
      <c r="J4959">
        <v>-422.84660000000002</v>
      </c>
      <c r="K4959">
        <v>1.1098170000000001</v>
      </c>
      <c r="L4959">
        <v>74.179959999999994</v>
      </c>
      <c r="M4959">
        <v>-1.9220060000000001E-2</v>
      </c>
      <c r="N4959">
        <v>0</v>
      </c>
      <c r="O4959">
        <v>-0.99977229999999995</v>
      </c>
      <c r="P4959">
        <v>-2.097417E-2</v>
      </c>
      <c r="Q4959">
        <v>-2.1174599999999998E-3</v>
      </c>
      <c r="R4959">
        <v>-0.99977819999999995</v>
      </c>
      <c r="S4959">
        <v>-0.29809570000000002</v>
      </c>
      <c r="T4959">
        <v>-0.1403759</v>
      </c>
      <c r="U4959">
        <v>-2.9941409999999999</v>
      </c>
      <c r="V4959">
        <v>1.7527599999999999E-3</v>
      </c>
      <c r="W4959">
        <v>7.1904669999999999E-3</v>
      </c>
      <c r="X4959">
        <v>0.99997259999999999</v>
      </c>
      <c r="Y4959">
        <v>7.9817529999999998E-2</v>
      </c>
      <c r="Z4959">
        <v>4.6629410000000003E-2</v>
      </c>
      <c r="AA4959">
        <v>0.9957182</v>
      </c>
      <c r="AB4959">
        <v>22</v>
      </c>
      <c r="AC4959">
        <v>-2.3527999999999998</v>
      </c>
      <c r="AD4959">
        <v>-1.10981887013</v>
      </c>
      <c r="AE4959">
        <v>-23.456319999999899</v>
      </c>
      <c r="AF4959">
        <v>1.8973090115544999</v>
      </c>
      <c r="AG4959">
        <v>-1.10981887013</v>
      </c>
      <c r="AH4959">
        <v>23.445246936317901</v>
      </c>
      <c r="AI4959">
        <v>92.701347971107893</v>
      </c>
      <c r="AJ4959">
        <v>85.373415229922998</v>
      </c>
      <c r="AK4959">
        <v>23.548059013743501</v>
      </c>
      <c r="AL4959">
        <v>89.588013032973507</v>
      </c>
      <c r="AM4959">
        <v>89.899571600609505</v>
      </c>
      <c r="AN4959">
        <v>0.99999998786702704</v>
      </c>
    </row>
    <row r="4960" spans="1:40" x14ac:dyDescent="0.25">
      <c r="A4960" t="str">
        <f>"20190312161113402"</f>
        <v>20190312161113402</v>
      </c>
      <c r="B4960" t="str">
        <f>"1552378273391831"</f>
        <v>1552378273391831</v>
      </c>
      <c r="C4960" t="s">
        <v>40</v>
      </c>
      <c r="D4960">
        <v>5.4031900000000004</v>
      </c>
      <c r="E4960">
        <v>0.52985629999999995</v>
      </c>
      <c r="F4960" t="s">
        <v>41</v>
      </c>
      <c r="G4960">
        <v>-425.20139999999998</v>
      </c>
      <c r="H4960" s="1">
        <v>-1.827167E-6</v>
      </c>
      <c r="I4960">
        <v>50.622239999999998</v>
      </c>
      <c r="J4960">
        <v>-422.85070000000002</v>
      </c>
      <c r="K4960">
        <v>1.1098110000000001</v>
      </c>
      <c r="L4960">
        <v>73.962069999999997</v>
      </c>
      <c r="M4960">
        <v>-1.9112250000000001E-2</v>
      </c>
      <c r="N4960">
        <v>0</v>
      </c>
      <c r="O4960">
        <v>-0.99977450000000001</v>
      </c>
      <c r="P4960">
        <v>-2.0833999999999998E-2</v>
      </c>
      <c r="Q4960">
        <v>-2.7543910000000001E-3</v>
      </c>
      <c r="R4960">
        <v>-0.99977969999999905</v>
      </c>
      <c r="S4960">
        <v>-0.29928589999999999</v>
      </c>
      <c r="T4960">
        <v>-0.1410544</v>
      </c>
      <c r="U4960">
        <v>-2.99411</v>
      </c>
      <c r="V4960">
        <v>1.720507E-3</v>
      </c>
      <c r="W4960">
        <v>6.5391240000000003E-3</v>
      </c>
      <c r="X4960">
        <v>0.99997709999999995</v>
      </c>
      <c r="Y4960">
        <v>8.0316869999999999E-2</v>
      </c>
      <c r="Z4960">
        <v>4.6853069999999997E-2</v>
      </c>
      <c r="AA4960">
        <v>0.99566759999999999</v>
      </c>
      <c r="AB4960">
        <v>22</v>
      </c>
      <c r="AC4960">
        <v>-2.3506999999999598</v>
      </c>
      <c r="AD4960">
        <v>-1.109812827167</v>
      </c>
      <c r="AE4960">
        <v>-23.3398299999999</v>
      </c>
      <c r="AF4960">
        <v>1.89992219777368</v>
      </c>
      <c r="AG4960">
        <v>-1.109812827167</v>
      </c>
      <c r="AH4960">
        <v>23.32827956821</v>
      </c>
      <c r="AI4960">
        <v>92.714744283452006</v>
      </c>
      <c r="AJ4960">
        <v>85.343943196720502</v>
      </c>
      <c r="AK4960">
        <v>23.431816329117598</v>
      </c>
      <c r="AL4960">
        <v>89.625333108085201</v>
      </c>
      <c r="AM4960">
        <v>89.901420050068793</v>
      </c>
      <c r="AN4960">
        <v>0.99999996040571604</v>
      </c>
    </row>
    <row r="4961" spans="1:40" x14ac:dyDescent="0.25">
      <c r="A4961" t="str">
        <f>"20190312161113425"</f>
        <v>20190312161113425</v>
      </c>
      <c r="B4961" t="str">
        <f>"1552378273422102"</f>
        <v>1552378273422102</v>
      </c>
      <c r="C4961" t="s">
        <v>40</v>
      </c>
      <c r="D4961">
        <v>5.4956389999999997</v>
      </c>
      <c r="E4961">
        <v>0.53041799999999995</v>
      </c>
      <c r="F4961" t="s">
        <v>41</v>
      </c>
      <c r="G4961">
        <v>-425.17469999999997</v>
      </c>
      <c r="H4961" s="1">
        <v>-1.842747E-6</v>
      </c>
      <c r="I4961">
        <v>50.675130000000003</v>
      </c>
      <c r="J4961">
        <v>-422.85489999999999</v>
      </c>
      <c r="K4961">
        <v>1.109807</v>
      </c>
      <c r="L4961">
        <v>73.733279999999993</v>
      </c>
      <c r="M4961">
        <v>-1.8999100000000001E-2</v>
      </c>
      <c r="N4961">
        <v>0</v>
      </c>
      <c r="O4961">
        <v>-0.99977660000000002</v>
      </c>
      <c r="P4961">
        <v>-2.093045E-2</v>
      </c>
      <c r="Q4961">
        <v>-2.8773459999999998E-3</v>
      </c>
      <c r="R4961">
        <v>-0.99977720000000003</v>
      </c>
      <c r="S4961">
        <v>-0.298797599999999</v>
      </c>
      <c r="T4961">
        <v>-0.14269089999999901</v>
      </c>
      <c r="U4961">
        <v>-2.994049</v>
      </c>
      <c r="V4961">
        <v>1.9301699999999999E-3</v>
      </c>
      <c r="W4961">
        <v>6.3979830000000003E-3</v>
      </c>
      <c r="X4961">
        <v>0.99997760000000002</v>
      </c>
      <c r="Y4961">
        <v>8.0268370000000006E-2</v>
      </c>
      <c r="Z4961">
        <v>4.739703E-2</v>
      </c>
      <c r="AA4961">
        <v>0.99564580000000003</v>
      </c>
      <c r="AB4961">
        <v>22</v>
      </c>
      <c r="AC4961">
        <v>-2.3197999999999799</v>
      </c>
      <c r="AD4961">
        <v>-1.1098088427470001</v>
      </c>
      <c r="AE4961">
        <v>-23.058150000000001</v>
      </c>
      <c r="AF4961">
        <v>1.8769737611986499</v>
      </c>
      <c r="AG4961">
        <v>-1.1098088427470001</v>
      </c>
      <c r="AH4961">
        <v>23.045212514665199</v>
      </c>
      <c r="AI4961">
        <v>92.748028135297105</v>
      </c>
      <c r="AJ4961">
        <v>85.343682976808793</v>
      </c>
      <c r="AK4961">
        <v>23.148143035970499</v>
      </c>
      <c r="AL4961">
        <v>89.633420050116499</v>
      </c>
      <c r="AM4961">
        <v>89.889407065318494</v>
      </c>
      <c r="AN4961">
        <v>0.99999993012222599</v>
      </c>
    </row>
    <row r="4962" spans="1:40" x14ac:dyDescent="0.25">
      <c r="A4962" t="str">
        <f>"20190312161113448"</f>
        <v>20190312161113448</v>
      </c>
      <c r="B4962" t="str">
        <f>"1552378273441607"</f>
        <v>1552378273441607</v>
      </c>
      <c r="C4962" t="s">
        <v>40</v>
      </c>
      <c r="D4962">
        <v>5.4779239999999998</v>
      </c>
      <c r="E4962">
        <v>0.53053719999999904</v>
      </c>
      <c r="F4962" t="s">
        <v>41</v>
      </c>
      <c r="G4962">
        <v>-425.18119999999999</v>
      </c>
      <c r="H4962" s="1">
        <v>-1.8875900000000001E-6</v>
      </c>
      <c r="I4962">
        <v>50.775570000000002</v>
      </c>
      <c r="J4962">
        <v>-422.85910000000001</v>
      </c>
      <c r="K4962">
        <v>1.1098049999999999</v>
      </c>
      <c r="L4962">
        <v>73.507900000000006</v>
      </c>
      <c r="M4962">
        <v>-1.8887660000000001E-2</v>
      </c>
      <c r="N4962">
        <v>0</v>
      </c>
      <c r="O4962">
        <v>-0.99977870000000002</v>
      </c>
      <c r="P4962">
        <v>-2.1147659999999999E-2</v>
      </c>
      <c r="Q4962">
        <v>-2.3752600000000001E-3</v>
      </c>
      <c r="R4962">
        <v>-0.99977360000000004</v>
      </c>
      <c r="S4962">
        <v>-0.30337520000000001</v>
      </c>
      <c r="T4962">
        <v>-0.14472929999999901</v>
      </c>
      <c r="U4962">
        <v>-2.9938959999999999</v>
      </c>
      <c r="V4962">
        <v>2.2588040000000001E-3</v>
      </c>
      <c r="W4962">
        <v>6.8786250000000002E-3</v>
      </c>
      <c r="X4962">
        <v>0.99997380000000002</v>
      </c>
      <c r="Y4962">
        <v>8.1888260000000004E-2</v>
      </c>
      <c r="Z4962">
        <v>4.8068300000000001E-2</v>
      </c>
      <c r="AA4962">
        <v>0.99548170000000002</v>
      </c>
      <c r="AB4962">
        <v>22</v>
      </c>
      <c r="AC4962">
        <v>-2.3220999999999701</v>
      </c>
      <c r="AD4962">
        <v>-1.10980688759</v>
      </c>
      <c r="AE4962">
        <v>-22.732330000000001</v>
      </c>
      <c r="AF4962">
        <v>1.8878536405705799</v>
      </c>
      <c r="AG4962">
        <v>-1.10980688759</v>
      </c>
      <c r="AH4962">
        <v>22.718545953360401</v>
      </c>
      <c r="AI4962">
        <v>92.787099596444406</v>
      </c>
      <c r="AJ4962">
        <v>85.249779470544098</v>
      </c>
      <c r="AK4962">
        <v>22.8238470230351</v>
      </c>
      <c r="AL4962">
        <v>89.605880714233294</v>
      </c>
      <c r="AM4962">
        <v>89.870576893286795</v>
      </c>
      <c r="AN4962">
        <v>1.0000000091819199</v>
      </c>
    </row>
    <row r="4963" spans="1:40" x14ac:dyDescent="0.25">
      <c r="A4963" t="str">
        <f>"20190312161113470"</f>
        <v>20190312161113470</v>
      </c>
      <c r="B4963" t="str">
        <f>"1552378273462105"</f>
        <v>1552378273462105</v>
      </c>
      <c r="C4963" t="s">
        <v>40</v>
      </c>
      <c r="D4963">
        <v>5.4361800000000002</v>
      </c>
      <c r="E4963">
        <v>0.53053499999999998</v>
      </c>
      <c r="F4963" t="s">
        <v>41</v>
      </c>
      <c r="G4963">
        <v>-425.24110000000002</v>
      </c>
      <c r="H4963" s="1">
        <v>-1.6344749999999999E-6</v>
      </c>
      <c r="I4963">
        <v>50.148409999999998</v>
      </c>
      <c r="J4963">
        <v>-422.86320000000001</v>
      </c>
      <c r="K4963">
        <v>1.1097999999999999</v>
      </c>
      <c r="L4963">
        <v>73.283019999999993</v>
      </c>
      <c r="M4963">
        <v>-1.877649E-2</v>
      </c>
      <c r="N4963">
        <v>0</v>
      </c>
      <c r="O4963">
        <v>-0.99978109999999998</v>
      </c>
      <c r="P4963">
        <v>-2.1311179999999999E-2</v>
      </c>
      <c r="Q4963">
        <v>-1.904078E-3</v>
      </c>
      <c r="R4963">
        <v>-0.99977119999999997</v>
      </c>
      <c r="S4963">
        <v>-0.30529790000000001</v>
      </c>
      <c r="T4963">
        <v>-0.14223810000000001</v>
      </c>
      <c r="U4963">
        <v>-2.9938660000000001</v>
      </c>
      <c r="V4963">
        <v>2.533478E-3</v>
      </c>
      <c r="W4963">
        <v>7.3297010000000001E-3</v>
      </c>
      <c r="X4963">
        <v>0.99996989999999997</v>
      </c>
      <c r="Y4963">
        <v>8.2636799999999996E-2</v>
      </c>
      <c r="Z4963">
        <v>4.7240440000000002E-2</v>
      </c>
      <c r="AA4963">
        <v>0.99545939999999999</v>
      </c>
      <c r="AB4963">
        <v>22</v>
      </c>
      <c r="AC4963">
        <v>-2.3779000000000101</v>
      </c>
      <c r="AD4963">
        <v>-1.1098016344749999</v>
      </c>
      <c r="AE4963">
        <v>-23.134609999999899</v>
      </c>
      <c r="AF4963">
        <v>1.9386607483923599</v>
      </c>
      <c r="AG4963">
        <v>-1.1098016344749999</v>
      </c>
      <c r="AH4963">
        <v>23.122526941904699</v>
      </c>
      <c r="AI4963">
        <v>92.7382981769602</v>
      </c>
      <c r="AJ4963">
        <v>85.207362321997806</v>
      </c>
      <c r="AK4963">
        <v>23.230181173300199</v>
      </c>
      <c r="AL4963">
        <v>89.580035295376703</v>
      </c>
      <c r="AM4963">
        <v>89.854838344327604</v>
      </c>
      <c r="AN4963">
        <v>0.99999997196676704</v>
      </c>
    </row>
    <row r="4964" spans="1:40" x14ac:dyDescent="0.25">
      <c r="A4964" t="str">
        <f>"20190312161113492"</f>
        <v>20190312161113492</v>
      </c>
      <c r="B4964" t="str">
        <f>"1552378273481624"</f>
        <v>1552378273481624</v>
      </c>
      <c r="C4964" t="s">
        <v>40</v>
      </c>
      <c r="D4964">
        <v>5.5074079999999999</v>
      </c>
      <c r="E4964">
        <v>0.53069960000000005</v>
      </c>
      <c r="F4964" t="s">
        <v>41</v>
      </c>
      <c r="G4964">
        <v>-425.29480000000001</v>
      </c>
      <c r="H4964" s="1">
        <v>-5.1868860000000003E-6</v>
      </c>
      <c r="I4964">
        <v>49.468780000000002</v>
      </c>
      <c r="J4964">
        <v>-422.86720000000003</v>
      </c>
      <c r="K4964">
        <v>1.109799</v>
      </c>
      <c r="L4964">
        <v>73.065190000000001</v>
      </c>
      <c r="M4964">
        <v>-1.8668779999999999E-2</v>
      </c>
      <c r="N4964">
        <v>0</v>
      </c>
      <c r="O4964">
        <v>-0.99978330000000004</v>
      </c>
      <c r="P4964">
        <v>-2.1359820000000002E-2</v>
      </c>
      <c r="Q4964">
        <v>-2.2026950000000002E-3</v>
      </c>
      <c r="R4964">
        <v>-0.99976960000000004</v>
      </c>
      <c r="S4964">
        <v>-0.30569459999999998</v>
      </c>
      <c r="T4964">
        <v>-0.13952329999999999</v>
      </c>
      <c r="U4964">
        <v>-2.9938959999999999</v>
      </c>
      <c r="V4964">
        <v>2.6899070000000001E-3</v>
      </c>
      <c r="W4964">
        <v>7.0140430000000002E-3</v>
      </c>
      <c r="X4964">
        <v>0.99997179999999997</v>
      </c>
      <c r="Y4964">
        <v>8.2877969999999995E-2</v>
      </c>
      <c r="Z4964">
        <v>4.6339619999999998E-2</v>
      </c>
      <c r="AA4964">
        <v>0.99548170000000002</v>
      </c>
      <c r="AB4964">
        <v>22</v>
      </c>
      <c r="AC4964">
        <v>-2.42759999999998</v>
      </c>
      <c r="AD4964">
        <v>-1.109804186886</v>
      </c>
      <c r="AE4964">
        <v>-23.596409999999999</v>
      </c>
      <c r="AF4964">
        <v>1.9823029302450199</v>
      </c>
      <c r="AG4964">
        <v>-1.109804186886</v>
      </c>
      <c r="AH4964">
        <v>23.585991934929801</v>
      </c>
      <c r="AI4964">
        <v>92.684530935446801</v>
      </c>
      <c r="AJ4964">
        <v>85.195822421042493</v>
      </c>
      <c r="AK4964">
        <v>23.695151525049599</v>
      </c>
      <c r="AL4964">
        <v>89.598121650212704</v>
      </c>
      <c r="AM4964">
        <v>89.845875707049203</v>
      </c>
      <c r="AN4964">
        <v>1.00000001659705</v>
      </c>
    </row>
    <row r="4965" spans="1:40" x14ac:dyDescent="0.25">
      <c r="A4965" t="str">
        <f>"20190312161113515"</f>
        <v>20190312161113515</v>
      </c>
      <c r="B4965" t="str">
        <f>"1552378273502119"</f>
        <v>1552378273502119</v>
      </c>
      <c r="C4965" t="s">
        <v>40</v>
      </c>
      <c r="D4965">
        <v>5.4939339999999897</v>
      </c>
      <c r="E4965">
        <v>0.5309585</v>
      </c>
      <c r="F4965" t="s">
        <v>41</v>
      </c>
      <c r="G4965">
        <v>-425.29149999999998</v>
      </c>
      <c r="H4965" s="1">
        <v>-5.1663580000000003E-6</v>
      </c>
      <c r="I4965">
        <v>49.41019</v>
      </c>
      <c r="J4965">
        <v>-422.87139999999999</v>
      </c>
      <c r="K4965">
        <v>1.109799</v>
      </c>
      <c r="L4965">
        <v>72.829650000000001</v>
      </c>
      <c r="M4965">
        <v>-1.855236E-2</v>
      </c>
      <c r="N4965">
        <v>0</v>
      </c>
      <c r="O4965">
        <v>-0.99978540000000005</v>
      </c>
      <c r="P4965">
        <v>-2.1205970000000001E-2</v>
      </c>
      <c r="Q4965">
        <v>-2.1239359999999999E-3</v>
      </c>
      <c r="R4965">
        <v>-0.99977280000000002</v>
      </c>
      <c r="S4965">
        <v>-0.30682369999999998</v>
      </c>
      <c r="T4965">
        <v>-0.14045949999999999</v>
      </c>
      <c r="U4965">
        <v>-2.9938349999999998</v>
      </c>
      <c r="V4965">
        <v>2.6524510000000001E-3</v>
      </c>
      <c r="W4965">
        <v>7.0774599999999998E-3</v>
      </c>
      <c r="X4965">
        <v>0.99997139999999995</v>
      </c>
      <c r="Y4965">
        <v>8.3366159999999995E-2</v>
      </c>
      <c r="Z4965">
        <v>4.6649160000000002E-2</v>
      </c>
      <c r="AA4965">
        <v>0.99542649999999999</v>
      </c>
      <c r="AB4965">
        <v>22</v>
      </c>
      <c r="AC4965">
        <v>-2.4200999999999899</v>
      </c>
      <c r="AD4965">
        <v>-1.1098041663580001</v>
      </c>
      <c r="AE4965">
        <v>-23.419460000000001</v>
      </c>
      <c r="AF4965">
        <v>1.98077762582227</v>
      </c>
      <c r="AG4965">
        <v>-1.1098041663580001</v>
      </c>
      <c r="AH4965">
        <v>23.408318303668501</v>
      </c>
      <c r="AI4965">
        <v>92.704747309908996</v>
      </c>
      <c r="AJ4965">
        <v>85.163237275050406</v>
      </c>
      <c r="AK4965">
        <v>23.518174059575401</v>
      </c>
      <c r="AL4965">
        <v>89.594488012049098</v>
      </c>
      <c r="AM4965">
        <v>89.848021762180693</v>
      </c>
      <c r="AN4965">
        <v>0.99999996337715802</v>
      </c>
    </row>
    <row r="4966" spans="1:40" x14ac:dyDescent="0.25">
      <c r="A4966" t="str">
        <f>"20190312161113542"</f>
        <v>20190312161113542</v>
      </c>
      <c r="B4966" t="str">
        <f>"1552378273532376"</f>
        <v>1552378273532376</v>
      </c>
      <c r="C4966" t="s">
        <v>40</v>
      </c>
      <c r="D4966">
        <v>5.5349199999999996</v>
      </c>
      <c r="E4966">
        <v>0.53125639999999996</v>
      </c>
      <c r="F4966" t="s">
        <v>41</v>
      </c>
      <c r="G4966">
        <v>-425.31740000000002</v>
      </c>
      <c r="H4966" s="1">
        <v>-5.0687259999999997E-6</v>
      </c>
      <c r="I4966">
        <v>49.1098</v>
      </c>
      <c r="J4966">
        <v>-422.87619999999998</v>
      </c>
      <c r="K4966">
        <v>1.109796</v>
      </c>
      <c r="L4966">
        <v>72.563749999999999</v>
      </c>
      <c r="M4966">
        <v>-1.8420550000000001E-2</v>
      </c>
      <c r="N4966">
        <v>0</v>
      </c>
      <c r="O4966">
        <v>-0.99978800000000001</v>
      </c>
      <c r="P4966">
        <v>-2.1094249999999998E-2</v>
      </c>
      <c r="Q4966">
        <v>-2.1916259999999999E-3</v>
      </c>
      <c r="R4966">
        <v>-0.99977490000000002</v>
      </c>
      <c r="S4966">
        <v>-0.30871579999999998</v>
      </c>
      <c r="T4966">
        <v>-0.14007559999999999</v>
      </c>
      <c r="U4966">
        <v>-2.9938349999999998</v>
      </c>
      <c r="V4966">
        <v>2.6725690000000001E-3</v>
      </c>
      <c r="W4966">
        <v>6.9935400000000003E-3</v>
      </c>
      <c r="X4966">
        <v>0.99997199999999997</v>
      </c>
      <c r="Y4966">
        <v>8.4120669999999995E-2</v>
      </c>
      <c r="Z4966">
        <v>4.6519110000000002E-2</v>
      </c>
      <c r="AA4966">
        <v>0.99536910000000001</v>
      </c>
      <c r="AB4966">
        <v>23</v>
      </c>
      <c r="AC4966">
        <v>-2.44120000000003</v>
      </c>
      <c r="AD4966">
        <v>-1.109801068726</v>
      </c>
      <c r="AE4966">
        <v>-23.453949999999999</v>
      </c>
      <c r="AF4966">
        <v>2.0042932573708101</v>
      </c>
      <c r="AG4966">
        <v>-1.109801068726</v>
      </c>
      <c r="AH4966">
        <v>23.443013460593399</v>
      </c>
      <c r="AI4966">
        <v>92.700542836957197</v>
      </c>
      <c r="AJ4966">
        <v>85.1133006546346</v>
      </c>
      <c r="AK4966">
        <v>23.554696559014499</v>
      </c>
      <c r="AL4966">
        <v>89.599296418344196</v>
      </c>
      <c r="AM4966">
        <v>89.846869152773706</v>
      </c>
      <c r="AN4966">
        <v>1.0000000265053901</v>
      </c>
    </row>
    <row r="4967" spans="1:40" x14ac:dyDescent="0.25">
      <c r="A4967" t="str">
        <f>"20190312161113561"</f>
        <v>20190312161113561</v>
      </c>
      <c r="B4967" t="str">
        <f>"1552378273551895"</f>
        <v>1552378273551895</v>
      </c>
      <c r="C4967" t="s">
        <v>40</v>
      </c>
      <c r="D4967">
        <v>5.4897839999999896</v>
      </c>
      <c r="E4967">
        <v>0.53135589999999999</v>
      </c>
      <c r="F4967" t="s">
        <v>41</v>
      </c>
      <c r="G4967">
        <v>-425.36880000000002</v>
      </c>
      <c r="H4967" s="1">
        <v>-4.8893339999999996E-6</v>
      </c>
      <c r="I4967">
        <v>48.55585</v>
      </c>
      <c r="J4967">
        <v>-422.87979999999999</v>
      </c>
      <c r="K4967">
        <v>1.1097939999999999</v>
      </c>
      <c r="L4967">
        <v>72.362819999999999</v>
      </c>
      <c r="M4967">
        <v>-1.8321179999999999E-2</v>
      </c>
      <c r="N4967">
        <v>0</v>
      </c>
      <c r="O4967">
        <v>-0.99979019999999996</v>
      </c>
      <c r="P4967">
        <v>-2.0434230000000001E-2</v>
      </c>
      <c r="Q4967">
        <v>-1.9899649999999998E-3</v>
      </c>
      <c r="R4967">
        <v>-0.99978959999999995</v>
      </c>
      <c r="S4967">
        <v>-0.31082149999999997</v>
      </c>
      <c r="T4967">
        <v>-0.13839319999999999</v>
      </c>
      <c r="U4967">
        <v>-2.993805</v>
      </c>
      <c r="V4967">
        <v>2.1117449999999999E-3</v>
      </c>
      <c r="W4967">
        <v>7.1847459999999997E-3</v>
      </c>
      <c r="X4967">
        <v>0.99997199999999997</v>
      </c>
      <c r="Y4967">
        <v>8.4916069999999996E-2</v>
      </c>
      <c r="Z4967">
        <v>4.595896E-2</v>
      </c>
      <c r="AA4967">
        <v>0.99532759999999998</v>
      </c>
      <c r="AB4967">
        <v>23</v>
      </c>
      <c r="AC4967">
        <v>-2.4890000000000301</v>
      </c>
      <c r="AD4967">
        <v>-1.1097988893339901</v>
      </c>
      <c r="AE4967">
        <v>-23.80697</v>
      </c>
      <c r="AF4967">
        <v>2.0479897424589901</v>
      </c>
      <c r="AG4967">
        <v>-1.1097988893339901</v>
      </c>
      <c r="AH4967">
        <v>23.797421970762599</v>
      </c>
      <c r="AI4967">
        <v>92.660250057443506</v>
      </c>
      <c r="AJ4967">
        <v>85.0812837992802</v>
      </c>
      <c r="AK4967">
        <v>23.911152377384902</v>
      </c>
      <c r="AL4967">
        <v>89.5883408522309</v>
      </c>
      <c r="AM4967">
        <v>89.879002716034094</v>
      </c>
      <c r="AN4967">
        <v>1.00000004041301</v>
      </c>
    </row>
    <row r="4968" spans="1:40" x14ac:dyDescent="0.25">
      <c r="A4968" t="str">
        <f>"20190312161113582"</f>
        <v>20190312161113582</v>
      </c>
      <c r="B4968" t="str">
        <f>"1552378273572393"</f>
        <v>1552378273572393</v>
      </c>
      <c r="C4968" t="s">
        <v>40</v>
      </c>
      <c r="D4968">
        <v>5.531841</v>
      </c>
      <c r="E4968">
        <v>0.53142619999999996</v>
      </c>
      <c r="F4968" t="s">
        <v>41</v>
      </c>
      <c r="G4968">
        <v>-425.38130000000001</v>
      </c>
      <c r="H4968" s="1">
        <v>-4.760721E-6</v>
      </c>
      <c r="I4968">
        <v>48.171370000000003</v>
      </c>
      <c r="J4968">
        <v>-422.88350000000003</v>
      </c>
      <c r="K4968">
        <v>1.1097889999999999</v>
      </c>
      <c r="L4968">
        <v>72.153379999999999</v>
      </c>
      <c r="M4968">
        <v>-1.8218109999999999E-2</v>
      </c>
      <c r="N4968">
        <v>0</v>
      </c>
      <c r="O4968">
        <v>-0.99979209999999996</v>
      </c>
      <c r="P4968">
        <v>-2.030906E-2</v>
      </c>
      <c r="Q4968">
        <v>-2.0542989999999999E-3</v>
      </c>
      <c r="R4968">
        <v>-0.99979180000000001</v>
      </c>
      <c r="S4968">
        <v>-0.30960079999999901</v>
      </c>
      <c r="T4968">
        <v>-0.137354</v>
      </c>
      <c r="U4968">
        <v>-2.994049</v>
      </c>
      <c r="V4968">
        <v>2.0896510000000001E-3</v>
      </c>
      <c r="W4968">
        <v>7.1108380000000004E-3</v>
      </c>
      <c r="X4968">
        <v>0.99997250000000004</v>
      </c>
      <c r="Y4968">
        <v>8.4610599999999994E-2</v>
      </c>
      <c r="Z4968">
        <v>4.561258E-2</v>
      </c>
      <c r="AA4968">
        <v>0.99536959999999997</v>
      </c>
      <c r="AB4968">
        <v>23</v>
      </c>
      <c r="AC4968">
        <v>-2.4977999999999798</v>
      </c>
      <c r="AD4968">
        <v>-1.109793760721</v>
      </c>
      <c r="AE4968">
        <v>-23.982009999999899</v>
      </c>
      <c r="AF4968">
        <v>2.0561043568651498</v>
      </c>
      <c r="AG4968">
        <v>-1.109793760721</v>
      </c>
      <c r="AH4968">
        <v>23.972750459746401</v>
      </c>
      <c r="AI4968">
        <v>92.640874785118797</v>
      </c>
      <c r="AJ4968">
        <v>85.097829875630694</v>
      </c>
      <c r="AK4968">
        <v>24.086344096249299</v>
      </c>
      <c r="AL4968">
        <v>89.592575546274901</v>
      </c>
      <c r="AM4968">
        <v>89.880268698712996</v>
      </c>
      <c r="AN4968">
        <v>0.99999996570730598</v>
      </c>
    </row>
    <row r="4969" spans="1:40" x14ac:dyDescent="0.25">
      <c r="A4969" t="str">
        <f>"20190312161113603"</f>
        <v>20190312161113603</v>
      </c>
      <c r="B4969" t="str">
        <f>"1552378273591912"</f>
        <v>1552378273591912</v>
      </c>
      <c r="C4969" t="s">
        <v>40</v>
      </c>
      <c r="D4969">
        <v>5.4936259999999999</v>
      </c>
      <c r="E4969">
        <v>0.53163300000000002</v>
      </c>
      <c r="F4969" t="s">
        <v>41</v>
      </c>
      <c r="G4969">
        <v>-425.35480000000001</v>
      </c>
      <c r="H4969" s="1">
        <v>-4.7818739999999996E-6</v>
      </c>
      <c r="I4969">
        <v>48.24736</v>
      </c>
      <c r="J4969">
        <v>-422.88729999999998</v>
      </c>
      <c r="K4969">
        <v>1.1097870000000001</v>
      </c>
      <c r="L4969">
        <v>71.93674</v>
      </c>
      <c r="M4969">
        <v>-1.8110790000000002E-2</v>
      </c>
      <c r="N4969">
        <v>0</v>
      </c>
      <c r="O4969">
        <v>-0.99979399999999996</v>
      </c>
      <c r="P4969">
        <v>-1.9923969999999999E-2</v>
      </c>
      <c r="Q4969">
        <v>-1.958769E-3</v>
      </c>
      <c r="R4969">
        <v>-0.99979969999999996</v>
      </c>
      <c r="S4969">
        <v>-0.30950929999999999</v>
      </c>
      <c r="T4969">
        <v>-0.13899329999999999</v>
      </c>
      <c r="U4969">
        <v>-2.994049</v>
      </c>
      <c r="V4969">
        <v>1.811811E-3</v>
      </c>
      <c r="W4969">
        <v>7.198098E-3</v>
      </c>
      <c r="X4969">
        <v>0.99997250000000004</v>
      </c>
      <c r="Y4969">
        <v>8.4684860000000001E-2</v>
      </c>
      <c r="Z4969">
        <v>4.6155839999999997E-2</v>
      </c>
      <c r="AA4969">
        <v>0.99533819999999995</v>
      </c>
      <c r="AB4969">
        <v>23</v>
      </c>
      <c r="AC4969">
        <v>-2.4675000000000198</v>
      </c>
      <c r="AD4969">
        <v>-1.109791781874</v>
      </c>
      <c r="AE4969">
        <v>-23.68938</v>
      </c>
      <c r="AF4969">
        <v>2.0336285585210399</v>
      </c>
      <c r="AG4969">
        <v>-1.109791781874</v>
      </c>
      <c r="AH4969">
        <v>23.678774448026399</v>
      </c>
      <c r="AI4969">
        <v>92.673583349597905</v>
      </c>
      <c r="AJ4969">
        <v>85.091253026781004</v>
      </c>
      <c r="AK4969">
        <v>23.7918398253194</v>
      </c>
      <c r="AL4969">
        <v>89.587575822366404</v>
      </c>
      <c r="AM4969">
        <v>89.896188135194294</v>
      </c>
      <c r="AN4969">
        <v>1.0000000480150799</v>
      </c>
    </row>
    <row r="4970" spans="1:40" x14ac:dyDescent="0.25">
      <c r="A4970" t="str">
        <f>"20190312161113626"</f>
        <v>20190312161113626</v>
      </c>
      <c r="B4970" t="str">
        <f>"1552378273622168"</f>
        <v>1552378273622168</v>
      </c>
      <c r="C4970" t="s">
        <v>40</v>
      </c>
      <c r="D4970">
        <v>5.4850000000000003</v>
      </c>
      <c r="E4970">
        <v>0.53189019999999898</v>
      </c>
      <c r="F4970" t="s">
        <v>41</v>
      </c>
      <c r="G4970">
        <v>-425.36509999999998</v>
      </c>
      <c r="H4970" s="1">
        <v>-4.7067859999999996E-6</v>
      </c>
      <c r="I4970">
        <v>48.021329999999999</v>
      </c>
      <c r="J4970">
        <v>-422.89139999999998</v>
      </c>
      <c r="K4970">
        <v>1.1097840000000001</v>
      </c>
      <c r="L4970">
        <v>71.706209999999999</v>
      </c>
      <c r="M4970">
        <v>-1.7996959999999999E-2</v>
      </c>
      <c r="N4970">
        <v>0</v>
      </c>
      <c r="O4970">
        <v>-0.99979620000000002</v>
      </c>
      <c r="P4970">
        <v>-1.9633850000000001E-2</v>
      </c>
      <c r="Q4970">
        <v>-1.5044209999999999E-3</v>
      </c>
      <c r="R4970">
        <v>-0.99980599999999997</v>
      </c>
      <c r="S4970">
        <v>-0.31021120000000002</v>
      </c>
      <c r="T4970">
        <v>-0.1389427</v>
      </c>
      <c r="U4970">
        <v>-2.9941409999999999</v>
      </c>
      <c r="V4970">
        <v>1.635404E-3</v>
      </c>
      <c r="W4970">
        <v>7.6448810000000001E-3</v>
      </c>
      <c r="X4970">
        <v>0.99996940000000001</v>
      </c>
      <c r="Y4970">
        <v>8.5026160000000003E-2</v>
      </c>
      <c r="Z4970">
        <v>4.6136620000000003E-2</v>
      </c>
      <c r="AA4970">
        <v>0.99531000000000003</v>
      </c>
      <c r="AB4970">
        <v>23</v>
      </c>
      <c r="AC4970">
        <v>-2.4737</v>
      </c>
      <c r="AD4970">
        <v>-1.1097887067859999</v>
      </c>
      <c r="AE4970">
        <v>-23.68488</v>
      </c>
      <c r="AF4970">
        <v>2.0425894947121699</v>
      </c>
      <c r="AG4970">
        <v>-1.1097887067859999</v>
      </c>
      <c r="AH4970">
        <v>23.6741483485755</v>
      </c>
      <c r="AI4970">
        <v>92.674007438903004</v>
      </c>
      <c r="AJ4970">
        <v>85.068770953597294</v>
      </c>
      <c r="AK4970">
        <v>23.7880033388256</v>
      </c>
      <c r="AL4970">
        <v>89.561976299502206</v>
      </c>
      <c r="AM4970">
        <v>89.906295469184002</v>
      </c>
      <c r="AN4970">
        <v>0.99999995984405199</v>
      </c>
    </row>
    <row r="4971" spans="1:40" x14ac:dyDescent="0.25">
      <c r="A4971" t="str">
        <f>"20190312161113649"</f>
        <v>20190312161113649</v>
      </c>
      <c r="B4971" t="str">
        <f>"1552378273641691"</f>
        <v>1552378273641691</v>
      </c>
      <c r="C4971" t="s">
        <v>40</v>
      </c>
      <c r="D4971">
        <v>5.7576749999999999</v>
      </c>
      <c r="E4971">
        <v>0.53207519999999997</v>
      </c>
      <c r="F4971" t="s">
        <v>41</v>
      </c>
      <c r="G4971">
        <v>-425.39319999999998</v>
      </c>
      <c r="H4971" s="1">
        <v>-4.5765670000000001E-6</v>
      </c>
      <c r="I4971">
        <v>47.624020000000002</v>
      </c>
      <c r="J4971">
        <v>-422.89550000000003</v>
      </c>
      <c r="K4971">
        <v>1.1097889999999999</v>
      </c>
      <c r="L4971">
        <v>71.46893</v>
      </c>
      <c r="M4971">
        <v>-1.787938E-2</v>
      </c>
      <c r="N4971">
        <v>0</v>
      </c>
      <c r="O4971">
        <v>-0.99979850000000003</v>
      </c>
      <c r="P4971">
        <v>-1.923892E-2</v>
      </c>
      <c r="Q4971">
        <v>-1.68592E-3</v>
      </c>
      <c r="R4971">
        <v>-0.99981370000000003</v>
      </c>
      <c r="S4971">
        <v>-0.3110657</v>
      </c>
      <c r="T4971">
        <v>-0.13798579999999999</v>
      </c>
      <c r="U4971">
        <v>-2.9942630000000001</v>
      </c>
      <c r="V4971">
        <v>1.3580440000000001E-3</v>
      </c>
      <c r="W4971">
        <v>7.4574890000000003E-3</v>
      </c>
      <c r="X4971">
        <v>0.99997130000000001</v>
      </c>
      <c r="Y4971">
        <v>8.5421720000000007E-2</v>
      </c>
      <c r="Z4971">
        <v>4.5816389999999999E-2</v>
      </c>
      <c r="AA4971">
        <v>0.99529089999999998</v>
      </c>
      <c r="AB4971">
        <v>23</v>
      </c>
      <c r="AC4971">
        <v>-2.4976999999999498</v>
      </c>
      <c r="AD4971">
        <v>-1.109793576567</v>
      </c>
      <c r="AE4971">
        <v>-23.844909999999999</v>
      </c>
      <c r="AF4971">
        <v>2.0665228879287199</v>
      </c>
      <c r="AG4971">
        <v>-1.109793576567</v>
      </c>
      <c r="AH4971">
        <v>23.8346875836253</v>
      </c>
      <c r="AI4971">
        <v>92.655937787994503</v>
      </c>
      <c r="AJ4971">
        <v>85.044714547465503</v>
      </c>
      <c r="AK4971">
        <v>23.9498327935279</v>
      </c>
      <c r="AL4971">
        <v>89.572713406601096</v>
      </c>
      <c r="AM4971">
        <v>89.922187625029096</v>
      </c>
      <c r="AN4971">
        <v>1.00000002962469</v>
      </c>
    </row>
    <row r="4972" spans="1:40" x14ac:dyDescent="0.25">
      <c r="A4972" t="str">
        <f>"20190312161113670"</f>
        <v>20190312161113670</v>
      </c>
      <c r="B4972" t="str">
        <f>"1552378273662184"</f>
        <v>1552378273662184</v>
      </c>
      <c r="C4972" t="s">
        <v>40</v>
      </c>
      <c r="D4972">
        <v>5.2690859999999997</v>
      </c>
      <c r="E4972">
        <v>0.49591800000000003</v>
      </c>
      <c r="F4972" t="s">
        <v>41</v>
      </c>
      <c r="G4972">
        <v>-425.35750000000002</v>
      </c>
      <c r="H4972" s="1">
        <v>-4.6348080000000003E-6</v>
      </c>
      <c r="I4972">
        <v>47.813800000000001</v>
      </c>
      <c r="J4972">
        <v>-422.89929999999998</v>
      </c>
      <c r="K4972">
        <v>1.1097859999999999</v>
      </c>
      <c r="L4972">
        <v>71.246399999999994</v>
      </c>
      <c r="M4972">
        <v>-1.7769449999999999E-2</v>
      </c>
      <c r="N4972">
        <v>0</v>
      </c>
      <c r="O4972">
        <v>-0.99980040000000003</v>
      </c>
      <c r="P4972">
        <v>-1.9128889999999999E-2</v>
      </c>
      <c r="Q4972">
        <v>-1.4461980000000001E-3</v>
      </c>
      <c r="R4972">
        <v>-0.99981609999999999</v>
      </c>
      <c r="S4972">
        <v>-0.31164550000000002</v>
      </c>
      <c r="T4972">
        <v>-0.140480299999999</v>
      </c>
      <c r="U4972">
        <v>-2.9943240000000002</v>
      </c>
      <c r="V4972">
        <v>1.3578990000000001E-3</v>
      </c>
      <c r="W4972">
        <v>7.6920869999999898E-3</v>
      </c>
      <c r="X4972">
        <v>0.99996949999999996</v>
      </c>
      <c r="Y4972">
        <v>8.5715890000000003E-2</v>
      </c>
      <c r="Z4972">
        <v>4.6640979999999999E-2</v>
      </c>
      <c r="AA4972">
        <v>0.99522730000000004</v>
      </c>
      <c r="AB4972">
        <v>23</v>
      </c>
      <c r="AC4972">
        <v>-2.4582000000000299</v>
      </c>
      <c r="AD4972">
        <v>-1.109790634808</v>
      </c>
      <c r="AE4972">
        <v>-23.432599999999901</v>
      </c>
      <c r="AF4972">
        <v>2.0368909269141402</v>
      </c>
      <c r="AG4972">
        <v>-1.109790634808</v>
      </c>
      <c r="AH4972">
        <v>23.420620579875202</v>
      </c>
      <c r="AI4972">
        <v>92.702755247107902</v>
      </c>
      <c r="AJ4972">
        <v>85.029493901063802</v>
      </c>
      <c r="AK4972">
        <v>23.535208268628601</v>
      </c>
      <c r="AL4972">
        <v>89.559271535864198</v>
      </c>
      <c r="AM4972">
        <v>89.922195793088804</v>
      </c>
      <c r="AN4972">
        <v>1.00000000651117</v>
      </c>
    </row>
    <row r="4973" spans="1:40" x14ac:dyDescent="0.25">
      <c r="A4973" t="str">
        <f>"20190312161113692"</f>
        <v>20190312161113692</v>
      </c>
      <c r="B4973" t="str">
        <f>"1552378273681704"</f>
        <v>1552378273681704</v>
      </c>
      <c r="C4973" t="s">
        <v>40</v>
      </c>
      <c r="D4973">
        <v>5.6407990000000003</v>
      </c>
      <c r="E4973">
        <v>0.41852549999999999</v>
      </c>
      <c r="F4973" t="s">
        <v>41</v>
      </c>
      <c r="G4973">
        <v>-423.05399999999997</v>
      </c>
      <c r="H4973" s="1">
        <v>-1.453879E-6</v>
      </c>
      <c r="I4973">
        <v>51.083970000000001</v>
      </c>
      <c r="J4973">
        <v>-422.90320000000003</v>
      </c>
      <c r="K4973">
        <v>1.10978</v>
      </c>
      <c r="L4973">
        <v>71.023469999999904</v>
      </c>
      <c r="M4973">
        <v>-1.76592E-2</v>
      </c>
      <c r="N4973">
        <v>0</v>
      </c>
      <c r="O4973">
        <v>-0.99980239999999998</v>
      </c>
      <c r="P4973">
        <v>-1.9255970000000001E-2</v>
      </c>
      <c r="Q4973">
        <v>-1.6253559999999999E-3</v>
      </c>
      <c r="R4973">
        <v>-0.99981330000000002</v>
      </c>
      <c r="S4973">
        <v>-2.3010249999999999E-2</v>
      </c>
      <c r="T4973">
        <v>-0.1651204</v>
      </c>
      <c r="U4973">
        <v>-2.9998779999999998</v>
      </c>
      <c r="V4973">
        <v>1.595305E-3</v>
      </c>
      <c r="W4973">
        <v>7.5094630000000001E-3</v>
      </c>
      <c r="X4973">
        <v>0.99997060000000004</v>
      </c>
      <c r="Y4973">
        <v>-1.000203E-2</v>
      </c>
      <c r="Z4973">
        <v>5.4944149999999997E-2</v>
      </c>
      <c r="AA4973">
        <v>0.99843930000000003</v>
      </c>
      <c r="AB4973">
        <v>23</v>
      </c>
      <c r="AC4973">
        <v>-0.15080000000000299</v>
      </c>
      <c r="AD4973">
        <v>-1.1097814538789901</v>
      </c>
      <c r="AE4973">
        <v>-19.939499999999899</v>
      </c>
      <c r="AF4973">
        <v>-0.20073202230651199</v>
      </c>
      <c r="AG4973">
        <v>-1.1097814538789901</v>
      </c>
      <c r="AH4973">
        <v>19.877481625165998</v>
      </c>
      <c r="AI4973">
        <v>93.1954056408958</v>
      </c>
      <c r="AJ4973">
        <v>90.578579669970296</v>
      </c>
      <c r="AK4973">
        <v>19.909449615169301</v>
      </c>
      <c r="AL4973">
        <v>89.569735449376495</v>
      </c>
      <c r="AM4973">
        <v>89.908593146648002</v>
      </c>
      <c r="AN4973">
        <v>1.00000006894847</v>
      </c>
    </row>
    <row r="4974" spans="1:40" x14ac:dyDescent="0.25">
      <c r="A4974" t="str">
        <f>"20190312161113715"</f>
        <v>20190312161113715</v>
      </c>
      <c r="B4974" t="str">
        <f>"1552378273702200"</f>
        <v>1552378273702200</v>
      </c>
      <c r="C4974" t="s">
        <v>40</v>
      </c>
      <c r="D4974">
        <v>5.6507630000000004</v>
      </c>
      <c r="E4974">
        <v>0.4068774</v>
      </c>
      <c r="F4974" t="s">
        <v>41</v>
      </c>
      <c r="G4974">
        <v>-418.77069999999998</v>
      </c>
      <c r="H4974" s="1">
        <v>-4.7370820000000001E-7</v>
      </c>
      <c r="I4974">
        <v>50.07893</v>
      </c>
      <c r="J4974">
        <v>-422.90719999999999</v>
      </c>
      <c r="K4974">
        <v>1.1097809999999999</v>
      </c>
      <c r="L4974">
        <v>70.787899999999993</v>
      </c>
      <c r="M4974">
        <v>-1.7543030000000001E-2</v>
      </c>
      <c r="N4974">
        <v>0</v>
      </c>
      <c r="O4974">
        <v>-0.99980469999999999</v>
      </c>
      <c r="P4974">
        <v>-1.932847E-2</v>
      </c>
      <c r="Q4974">
        <v>-1.240274E-3</v>
      </c>
      <c r="R4974">
        <v>-0.99981279999999995</v>
      </c>
      <c r="S4974">
        <v>0.5942383</v>
      </c>
      <c r="T4974">
        <v>-0.15958240000000001</v>
      </c>
      <c r="U4974">
        <v>-3.011749</v>
      </c>
      <c r="V4974">
        <v>1.7839360000000001E-3</v>
      </c>
      <c r="W4974">
        <v>7.8890139999999997E-3</v>
      </c>
      <c r="X4974">
        <v>0.9999673</v>
      </c>
      <c r="Y4974">
        <v>-0.21049660000000001</v>
      </c>
      <c r="Z4974">
        <v>5.1809309999999997E-2</v>
      </c>
      <c r="AA4974">
        <v>0.9762208</v>
      </c>
      <c r="AB4974">
        <v>23</v>
      </c>
      <c r="AC4974">
        <v>4.1365000000000096</v>
      </c>
      <c r="AD4974">
        <v>-1.1097814737081999</v>
      </c>
      <c r="AE4974">
        <v>-20.708969999999901</v>
      </c>
      <c r="AF4974">
        <v>-4.4867856094448797</v>
      </c>
      <c r="AG4974">
        <v>-1.1097814737081999</v>
      </c>
      <c r="AH4974">
        <v>20.576388462506301</v>
      </c>
      <c r="AI4974">
        <v>93.016494014661006</v>
      </c>
      <c r="AJ4974">
        <v>102.301082914438</v>
      </c>
      <c r="AK4974">
        <v>21.0891114602884</v>
      </c>
      <c r="AL4974">
        <v>89.547988109117099</v>
      </c>
      <c r="AM4974">
        <v>89.897784762274497</v>
      </c>
      <c r="AN4974">
        <v>1.00000001001941</v>
      </c>
    </row>
    <row r="4975" spans="1:40" x14ac:dyDescent="0.25">
      <c r="A4975" t="str">
        <f>"20190312161113739"</f>
        <v>20190312161113739</v>
      </c>
      <c r="B4975" t="str">
        <f>"1552378273732456"</f>
        <v>1552378273732456</v>
      </c>
      <c r="C4975" t="s">
        <v>40</v>
      </c>
      <c r="D4975">
        <v>5.5736879999999998</v>
      </c>
      <c r="E4975">
        <v>0.40135480000000001</v>
      </c>
      <c r="F4975" t="s">
        <v>41</v>
      </c>
      <c r="G4975">
        <v>-418.62150000000003</v>
      </c>
      <c r="H4975" s="1">
        <v>-1.253203E-6</v>
      </c>
      <c r="I4975">
        <v>51.984009999999998</v>
      </c>
      <c r="J4975">
        <v>-422.91129999999998</v>
      </c>
      <c r="K4975">
        <v>1.1097809999999999</v>
      </c>
      <c r="L4975">
        <v>70.548519999999996</v>
      </c>
      <c r="M4975">
        <v>-1.7425260000000001E-2</v>
      </c>
      <c r="N4975">
        <v>0</v>
      </c>
      <c r="O4975">
        <v>-0.99980659999999999</v>
      </c>
      <c r="P4975">
        <v>-1.8873560000000001E-2</v>
      </c>
      <c r="Q4975">
        <v>-6.4149029999999998E-4</v>
      </c>
      <c r="R4975">
        <v>-0.99982179999999998</v>
      </c>
      <c r="S4975">
        <v>0.68685909999999994</v>
      </c>
      <c r="T4975">
        <v>-0.1778595</v>
      </c>
      <c r="U4975">
        <v>-3.013611</v>
      </c>
      <c r="V4975">
        <v>1.4466419999999999E-3</v>
      </c>
      <c r="W4975">
        <v>8.4769359999999992E-3</v>
      </c>
      <c r="X4975">
        <v>0.99996300000000005</v>
      </c>
      <c r="Y4975">
        <v>-0.238811</v>
      </c>
      <c r="Z4975">
        <v>5.7317949999999999E-2</v>
      </c>
      <c r="AA4975">
        <v>0.96937300000000004</v>
      </c>
      <c r="AB4975">
        <v>23</v>
      </c>
      <c r="AC4975">
        <v>4.2897999999999499</v>
      </c>
      <c r="AD4975">
        <v>-1.1097822532029999</v>
      </c>
      <c r="AE4975">
        <v>-18.564509999999999</v>
      </c>
      <c r="AF4975">
        <v>-4.5970580623466502</v>
      </c>
      <c r="AG4975">
        <v>-1.1097822532029999</v>
      </c>
      <c r="AH4975">
        <v>18.424432628694898</v>
      </c>
      <c r="AI4975">
        <v>93.3447082979839</v>
      </c>
      <c r="AJ4975">
        <v>104.00975219256701</v>
      </c>
      <c r="AK4975">
        <v>19.0216791363809</v>
      </c>
      <c r="AL4975">
        <v>89.514301515441502</v>
      </c>
      <c r="AM4975">
        <v>89.917110509847504</v>
      </c>
      <c r="AN4975">
        <v>0.99999997629301096</v>
      </c>
    </row>
    <row r="4976" spans="1:40" x14ac:dyDescent="0.25">
      <c r="A4976" t="str">
        <f>"20190312161113762"</f>
        <v>20190312161113762</v>
      </c>
      <c r="B4976" t="str">
        <f>"1552378273751976"</f>
        <v>1552378273751976</v>
      </c>
      <c r="C4976" t="s">
        <v>40</v>
      </c>
      <c r="D4976">
        <v>5.5928149999999999</v>
      </c>
      <c r="E4976">
        <v>0.39979049999999999</v>
      </c>
      <c r="F4976" t="s">
        <v>41</v>
      </c>
      <c r="G4976">
        <v>-418.70699999999999</v>
      </c>
      <c r="H4976" s="1">
        <v>-1.7735149999999901E-6</v>
      </c>
      <c r="I4976">
        <v>53.232230000000001</v>
      </c>
      <c r="J4976">
        <v>-422.91550000000001</v>
      </c>
      <c r="K4976">
        <v>1.109775</v>
      </c>
      <c r="L4976">
        <v>70.301450000000003</v>
      </c>
      <c r="M4976">
        <v>-1.7303579999999999E-2</v>
      </c>
      <c r="N4976">
        <v>0</v>
      </c>
      <c r="O4976">
        <v>-0.99980880000000005</v>
      </c>
      <c r="P4976">
        <v>-1.792705E-2</v>
      </c>
      <c r="Q4976">
        <v>-5.1252600000000002E-4</v>
      </c>
      <c r="R4976">
        <v>-0.99983920000000004</v>
      </c>
      <c r="S4976">
        <v>0.73184199999999999</v>
      </c>
      <c r="T4976">
        <v>-0.19317819999999999</v>
      </c>
      <c r="U4976">
        <v>-3.014221</v>
      </c>
      <c r="V4976">
        <v>6.2164739999999896E-4</v>
      </c>
      <c r="W4976">
        <v>8.5928029999999996E-3</v>
      </c>
      <c r="X4976">
        <v>0.99996289999999999</v>
      </c>
      <c r="Y4976">
        <v>-0.25226730000000003</v>
      </c>
      <c r="Z4976">
        <v>6.2011759999999999E-2</v>
      </c>
      <c r="AA4976">
        <v>0.96566859999999999</v>
      </c>
      <c r="AB4976">
        <v>23</v>
      </c>
      <c r="AC4976">
        <v>4.2085000000000097</v>
      </c>
      <c r="AD4976">
        <v>-1.1097767735149999</v>
      </c>
      <c r="AE4976">
        <v>-17.069220000000001</v>
      </c>
      <c r="AF4976">
        <v>-4.4853670934164001</v>
      </c>
      <c r="AG4976">
        <v>-1.1097767735149999</v>
      </c>
      <c r="AH4976">
        <v>16.9263895220978</v>
      </c>
      <c r="AI4976">
        <v>93.626408477304295</v>
      </c>
      <c r="AJ4976">
        <v>104.841828122857</v>
      </c>
      <c r="AK4976">
        <v>17.545734088476301</v>
      </c>
      <c r="AL4976">
        <v>89.507662600989306</v>
      </c>
      <c r="AM4976">
        <v>89.964380910754898</v>
      </c>
      <c r="AN4976">
        <v>1.00000001204264</v>
      </c>
    </row>
    <row r="4977" spans="1:40" x14ac:dyDescent="0.25">
      <c r="A4977" t="str">
        <f>"20190312161113871"</f>
        <v>20190312161113871</v>
      </c>
      <c r="B4977" t="str">
        <f>"1552378273862056"</f>
        <v>1552378273862056</v>
      </c>
      <c r="C4977" t="s">
        <v>40</v>
      </c>
      <c r="D4977">
        <v>5.4203830000000002</v>
      </c>
      <c r="E4977">
        <v>0.41238780000000003</v>
      </c>
      <c r="F4977" t="s">
        <v>41</v>
      </c>
      <c r="G4977">
        <v>-418.78519999999997</v>
      </c>
      <c r="H4977" s="1">
        <v>-1.9355669999999999E-6</v>
      </c>
      <c r="I4977">
        <v>53.642330000000001</v>
      </c>
      <c r="J4977">
        <v>-422.9341</v>
      </c>
      <c r="K4977">
        <v>1.1097779999999999</v>
      </c>
      <c r="L4977">
        <v>69.168949999999995</v>
      </c>
      <c r="M4977">
        <v>-1.674546E-2</v>
      </c>
      <c r="N4977">
        <v>0</v>
      </c>
      <c r="O4977">
        <v>-0.99981880000000001</v>
      </c>
      <c r="P4977">
        <v>-1.677097E-2</v>
      </c>
      <c r="Q4977">
        <v>-1.4861659999999999E-3</v>
      </c>
      <c r="R4977">
        <v>-0.99985869999999999</v>
      </c>
      <c r="S4977">
        <v>0.74719239999999998</v>
      </c>
      <c r="T4977">
        <v>-0.20076730000000001</v>
      </c>
      <c r="U4977">
        <v>-3.013763</v>
      </c>
      <c r="V4977" s="1">
        <v>2.376137E-5</v>
      </c>
      <c r="W4977">
        <v>7.5814640000000004E-3</v>
      </c>
      <c r="X4977">
        <v>0.99997130000000001</v>
      </c>
      <c r="Y4977">
        <v>-0.25636170000000003</v>
      </c>
      <c r="Z4977">
        <v>6.4374429999999996E-2</v>
      </c>
      <c r="AA4977">
        <v>0.96443489999999998</v>
      </c>
      <c r="AB4977">
        <v>23</v>
      </c>
      <c r="AC4977">
        <v>4.1489000000000198</v>
      </c>
      <c r="AD4977">
        <v>-1.1097799355669999</v>
      </c>
      <c r="AE4977">
        <v>-15.5266199999999</v>
      </c>
      <c r="AF4977">
        <v>-4.3874086021833296</v>
      </c>
      <c r="AG4977">
        <v>-1.1097799355669999</v>
      </c>
      <c r="AH4977">
        <v>15.381619858244999</v>
      </c>
      <c r="AI4977">
        <v>93.968960701561997</v>
      </c>
      <c r="AJ4977">
        <v>105.920115303629</v>
      </c>
      <c r="AK4977">
        <v>16.033564644565399</v>
      </c>
      <c r="AL4977">
        <v>89.565609966219398</v>
      </c>
      <c r="AM4977">
        <v>89.998638534709698</v>
      </c>
      <c r="AN4977">
        <v>1.0000000399923299</v>
      </c>
    </row>
    <row r="4978" spans="1:40" x14ac:dyDescent="0.25">
      <c r="A4978" t="str">
        <f>"20190312161113894"</f>
        <v>20190312161113894</v>
      </c>
      <c r="B4978" t="str">
        <f>"1552378273881576"</f>
        <v>1552378273881576</v>
      </c>
      <c r="C4978" t="s">
        <v>40</v>
      </c>
      <c r="D4978">
        <v>4.968585</v>
      </c>
      <c r="E4978">
        <v>0.3671952</v>
      </c>
      <c r="F4978" t="s">
        <v>41</v>
      </c>
      <c r="G4978">
        <v>-421.9427</v>
      </c>
      <c r="H4978" s="1">
        <v>-2.6749029999999999E-6</v>
      </c>
      <c r="I4978">
        <v>64.619460000000004</v>
      </c>
      <c r="J4978">
        <v>-422.93790000000001</v>
      </c>
      <c r="K4978">
        <v>1.109774</v>
      </c>
      <c r="L4978">
        <v>68.934749999999994</v>
      </c>
      <c r="M4978">
        <v>-1.6629919999999999E-2</v>
      </c>
      <c r="N4978">
        <v>0</v>
      </c>
      <c r="O4978">
        <v>-0.99982090000000001</v>
      </c>
      <c r="P4978">
        <v>-1.6504399999999999E-2</v>
      </c>
      <c r="Q4978">
        <v>-1.247331E-3</v>
      </c>
      <c r="R4978">
        <v>-0.99986350000000002</v>
      </c>
      <c r="S4978">
        <v>0.65603639999999996</v>
      </c>
      <c r="T4978">
        <v>-0.73433019999999904</v>
      </c>
      <c r="U4978">
        <v>-3.010345</v>
      </c>
      <c r="V4978">
        <v>-1.271368E-4</v>
      </c>
      <c r="W4978">
        <v>7.8155840000000004E-3</v>
      </c>
      <c r="X4978">
        <v>0.99996940000000001</v>
      </c>
      <c r="Y4978">
        <v>-0.2233647</v>
      </c>
      <c r="Z4978">
        <v>0.23137369999999999</v>
      </c>
      <c r="AA4978">
        <v>0.94687619999999895</v>
      </c>
      <c r="AB4978">
        <v>23</v>
      </c>
      <c r="AC4978">
        <v>0.99520000000001096</v>
      </c>
      <c r="AD4978">
        <v>-1.109776674903</v>
      </c>
      <c r="AE4978">
        <v>-4.3152899999999903</v>
      </c>
      <c r="AF4978">
        <v>-1.0037920662280899</v>
      </c>
      <c r="AG4978">
        <v>-1.109776674903</v>
      </c>
      <c r="AH4978">
        <v>4.0441761704687602</v>
      </c>
      <c r="AI4978">
        <v>104.91352577720301</v>
      </c>
      <c r="AJ4978">
        <v>103.939504182333</v>
      </c>
      <c r="AK4978">
        <v>4.3121414260398003</v>
      </c>
      <c r="AL4978">
        <v>89.552195441101503</v>
      </c>
      <c r="AM4978">
        <v>90.007284624931003</v>
      </c>
      <c r="AN4978">
        <v>0.99999995022669197</v>
      </c>
    </row>
    <row r="4979" spans="1:40" x14ac:dyDescent="0.25">
      <c r="A4979" t="str">
        <f>"20190312161113917"</f>
        <v>20190312161113917</v>
      </c>
      <c r="B4979" t="str">
        <f>"1552378273911833"</f>
        <v>1552378273911833</v>
      </c>
      <c r="C4979" t="s">
        <v>40</v>
      </c>
      <c r="D4979">
        <v>5.6647889999999999</v>
      </c>
      <c r="E4979">
        <v>0.36697540000000001</v>
      </c>
      <c r="F4979" t="s">
        <v>41</v>
      </c>
      <c r="G4979">
        <v>-416.13010000000003</v>
      </c>
      <c r="H4979" s="1">
        <v>-4.5467860000000003E-6</v>
      </c>
      <c r="I4979">
        <v>48.631309999999999</v>
      </c>
      <c r="J4979">
        <v>-422.94200000000001</v>
      </c>
      <c r="K4979">
        <v>1.109772</v>
      </c>
      <c r="L4979">
        <v>68.683499999999995</v>
      </c>
      <c r="M4979">
        <v>-1.650598E-2</v>
      </c>
      <c r="N4979">
        <v>0</v>
      </c>
      <c r="O4979">
        <v>-0.99982289999999996</v>
      </c>
      <c r="P4979">
        <v>-1.5938250000000001E-2</v>
      </c>
      <c r="Q4979">
        <v>-1.5289870000000001E-3</v>
      </c>
      <c r="R4979">
        <v>-0.99987199999999998</v>
      </c>
      <c r="S4979">
        <v>1.011566</v>
      </c>
      <c r="T4979">
        <v>-0.16490289999999999</v>
      </c>
      <c r="U4979">
        <v>-3.0169069999999998</v>
      </c>
      <c r="V4979">
        <v>-5.6962940000000002E-4</v>
      </c>
      <c r="W4979">
        <v>7.5299669999999898E-3</v>
      </c>
      <c r="X4979">
        <v>0.99997150000000001</v>
      </c>
      <c r="Y4979">
        <v>-0.33308749999999998</v>
      </c>
      <c r="Z4979">
        <v>5.1600960000000001E-2</v>
      </c>
      <c r="AA4979">
        <v>0.94148290000000001</v>
      </c>
      <c r="AB4979">
        <v>23</v>
      </c>
      <c r="AC4979">
        <v>6.8118999999999197</v>
      </c>
      <c r="AD4979">
        <v>-1.1097765467859999</v>
      </c>
      <c r="AE4979">
        <v>-20.05219</v>
      </c>
      <c r="AF4979">
        <v>-7.1224076588356704</v>
      </c>
      <c r="AG4979">
        <v>-1.1097765467859999</v>
      </c>
      <c r="AH4979">
        <v>19.882417254288399</v>
      </c>
      <c r="AI4979">
        <v>93.007962448424905</v>
      </c>
      <c r="AJ4979">
        <v>109.708866989051</v>
      </c>
      <c r="AK4979">
        <v>21.1487779958101</v>
      </c>
      <c r="AL4979">
        <v>89.568560599372901</v>
      </c>
      <c r="AM4979">
        <v>90.032638287167501</v>
      </c>
      <c r="AN4979">
        <v>1.0000000128464599</v>
      </c>
    </row>
    <row r="4980" spans="1:40" x14ac:dyDescent="0.25">
      <c r="A4980" t="str">
        <f>"20190312161113961"</f>
        <v>20190312161113961</v>
      </c>
      <c r="B4980" t="str">
        <f>"1552378273951848"</f>
        <v>1552378273951848</v>
      </c>
      <c r="C4980" t="s">
        <v>40</v>
      </c>
      <c r="D4980">
        <v>5.6828000000000003</v>
      </c>
      <c r="E4980">
        <v>0.3672241</v>
      </c>
      <c r="F4980" t="s">
        <v>41</v>
      </c>
      <c r="G4980">
        <v>-415.11849999999998</v>
      </c>
      <c r="H4980" s="1">
        <v>-3.3491330000000001E-6</v>
      </c>
      <c r="I4980">
        <v>45.42127</v>
      </c>
      <c r="J4980">
        <v>-422.94929999999999</v>
      </c>
      <c r="K4980">
        <v>1.1097669999999999</v>
      </c>
      <c r="L4980">
        <v>68.221710000000002</v>
      </c>
      <c r="M4980">
        <v>-1.627874E-2</v>
      </c>
      <c r="N4980">
        <v>0</v>
      </c>
      <c r="O4980">
        <v>-0.9998264</v>
      </c>
      <c r="P4980">
        <v>-1.553599E-2</v>
      </c>
      <c r="Q4980">
        <v>-1.5312590000000001E-3</v>
      </c>
      <c r="R4980">
        <v>-0.99987820000000005</v>
      </c>
      <c r="S4980">
        <v>1.014435</v>
      </c>
      <c r="T4980">
        <v>-0.14390039999999901</v>
      </c>
      <c r="U4980">
        <v>-3.016327</v>
      </c>
      <c r="V4980">
        <v>-7.4462369999999897E-4</v>
      </c>
      <c r="W4980">
        <v>7.5223369999999996E-3</v>
      </c>
      <c r="X4980">
        <v>0.99997139999999995</v>
      </c>
      <c r="Y4980">
        <v>-0.33383380000000001</v>
      </c>
      <c r="Z4980">
        <v>4.503981E-2</v>
      </c>
      <c r="AA4980">
        <v>0.94155529999999998</v>
      </c>
      <c r="AB4980">
        <v>23</v>
      </c>
      <c r="AC4980">
        <v>7.8308000000000098</v>
      </c>
      <c r="AD4980">
        <v>-1.109770349133</v>
      </c>
      <c r="AE4980">
        <v>-22.800439999999998</v>
      </c>
      <c r="AF4980">
        <v>-8.1835979779697805</v>
      </c>
      <c r="AG4980">
        <v>-1.109770349133</v>
      </c>
      <c r="AH4980">
        <v>22.621999117929501</v>
      </c>
      <c r="AI4980">
        <v>92.641261594030695</v>
      </c>
      <c r="AJ4980">
        <v>109.88779174304</v>
      </c>
      <c r="AK4980">
        <v>24.082311147073199</v>
      </c>
      <c r="AL4980">
        <v>89.568997760259705</v>
      </c>
      <c r="AM4980">
        <v>90.042665007669001</v>
      </c>
      <c r="AN4980">
        <v>0.99999997041817701</v>
      </c>
    </row>
    <row r="4981" spans="1:40" x14ac:dyDescent="0.25">
      <c r="A4981" t="str">
        <f>"20190312161113986"</f>
        <v>20190312161113986</v>
      </c>
      <c r="B4981" t="str">
        <f>"1552378273982104"</f>
        <v>1552378273982104</v>
      </c>
      <c r="C4981" t="s">
        <v>40</v>
      </c>
      <c r="D4981">
        <v>5.6609080000000001</v>
      </c>
      <c r="E4981">
        <v>0.36736980000000002</v>
      </c>
      <c r="F4981" t="s">
        <v>41</v>
      </c>
      <c r="G4981">
        <v>-414.64760000000001</v>
      </c>
      <c r="H4981" s="1">
        <v>-2.7440809999999998E-6</v>
      </c>
      <c r="I4981">
        <v>43.526780000000002</v>
      </c>
      <c r="J4981">
        <v>-422.95330000000001</v>
      </c>
      <c r="K4981">
        <v>1.109766</v>
      </c>
      <c r="L4981">
        <v>67.967069999999893</v>
      </c>
      <c r="M4981">
        <v>-1.6153979999999998E-2</v>
      </c>
      <c r="N4981">
        <v>0</v>
      </c>
      <c r="O4981">
        <v>-0.99982879999999996</v>
      </c>
      <c r="P4981">
        <v>-1.5252949999999999E-2</v>
      </c>
      <c r="Q4981">
        <v>-1.1400850000000001E-3</v>
      </c>
      <c r="R4981">
        <v>-0.99988350000000004</v>
      </c>
      <c r="S4981">
        <v>1.013855</v>
      </c>
      <c r="T4981">
        <v>-0.13553200000000001</v>
      </c>
      <c r="U4981">
        <v>-3.0158999999999998</v>
      </c>
      <c r="V4981">
        <v>-9.029264E-4</v>
      </c>
      <c r="W4981">
        <v>7.9119009999999903E-3</v>
      </c>
      <c r="X4981">
        <v>0.99996830000000003</v>
      </c>
      <c r="Y4981">
        <v>-0.33363019999999999</v>
      </c>
      <c r="Z4981">
        <v>4.2434380000000001E-2</v>
      </c>
      <c r="AA4981">
        <v>0.94174849999999999</v>
      </c>
      <c r="AB4981">
        <v>24</v>
      </c>
      <c r="AC4981">
        <v>8.3056999999999999</v>
      </c>
      <c r="AD4981">
        <v>-1.109768744081</v>
      </c>
      <c r="AE4981">
        <v>-24.440289999999901</v>
      </c>
      <c r="AF4981">
        <v>-8.6833901302140504</v>
      </c>
      <c r="AG4981">
        <v>-1.109768744081</v>
      </c>
      <c r="AH4981">
        <v>24.258087367981702</v>
      </c>
      <c r="AI4981">
        <v>92.466322158935199</v>
      </c>
      <c r="AJ4981">
        <v>109.695262985502</v>
      </c>
      <c r="AK4981">
        <v>25.789293390309702</v>
      </c>
      <c r="AL4981">
        <v>89.546676738432893</v>
      </c>
      <c r="AM4981">
        <v>90.051735497886199</v>
      </c>
      <c r="AN4981">
        <v>1.0000000072291999</v>
      </c>
    </row>
    <row r="4982" spans="1:40" x14ac:dyDescent="0.25">
      <c r="A4982" t="str">
        <f>"20190312161114009"</f>
        <v>20190312161114009</v>
      </c>
      <c r="B4982" t="str">
        <f>"1552378274001947"</f>
        <v>1552378274001947</v>
      </c>
      <c r="C4982" t="s">
        <v>40</v>
      </c>
      <c r="D4982">
        <v>5.743703</v>
      </c>
      <c r="E4982">
        <v>0.36756270000000002</v>
      </c>
      <c r="F4982" t="s">
        <v>41</v>
      </c>
      <c r="G4982">
        <v>-414.56630000000001</v>
      </c>
      <c r="H4982" s="1">
        <v>-2.5849750000000002E-6</v>
      </c>
      <c r="I4982">
        <v>42.995699999999999</v>
      </c>
      <c r="J4982">
        <v>-422.95729999999998</v>
      </c>
      <c r="K4982">
        <v>1.109769</v>
      </c>
      <c r="L4982">
        <v>67.708469999999906</v>
      </c>
      <c r="M4982">
        <v>-1.6026930000000002E-2</v>
      </c>
      <c r="N4982">
        <v>0</v>
      </c>
      <c r="O4982">
        <v>-0.99983069999999996</v>
      </c>
      <c r="P4982">
        <v>-1.5063089999999999E-2</v>
      </c>
      <c r="Q4982">
        <v>-7.033772E-4</v>
      </c>
      <c r="R4982">
        <v>-0.99988650000000001</v>
      </c>
      <c r="S4982">
        <v>1.012848</v>
      </c>
      <c r="T4982">
        <v>-0.13402069999999999</v>
      </c>
      <c r="U4982">
        <v>-3.0156559999999999</v>
      </c>
      <c r="V4982">
        <v>-9.6586350000000003E-4</v>
      </c>
      <c r="W4982">
        <v>8.3477159999999998E-3</v>
      </c>
      <c r="X4982">
        <v>0.99996470000000004</v>
      </c>
      <c r="Y4982">
        <v>-0.33325709999999997</v>
      </c>
      <c r="Z4982">
        <v>4.1970449999999999E-2</v>
      </c>
      <c r="AA4982">
        <v>0.9419014</v>
      </c>
      <c r="AB4982">
        <v>24</v>
      </c>
      <c r="AC4982">
        <v>8.3909999999999592</v>
      </c>
      <c r="AD4982">
        <v>-1.1097715849750001</v>
      </c>
      <c r="AE4982">
        <v>-24.7127699999999</v>
      </c>
      <c r="AF4982">
        <v>-8.7701503432289893</v>
      </c>
      <c r="AG4982">
        <v>-1.1097715849750001</v>
      </c>
      <c r="AH4982">
        <v>24.5307526133214</v>
      </c>
      <c r="AI4982">
        <v>92.439289422359593</v>
      </c>
      <c r="AJ4982">
        <v>109.67281139338201</v>
      </c>
      <c r="AK4982">
        <v>26.074987129232301</v>
      </c>
      <c r="AL4982">
        <v>89.521705554000306</v>
      </c>
      <c r="AM4982">
        <v>90.055341838492694</v>
      </c>
      <c r="AN4982">
        <v>1.0000000092504</v>
      </c>
    </row>
    <row r="4983" spans="1:40" x14ac:dyDescent="0.25">
      <c r="A4983" t="str">
        <f>"20190312161114050"</f>
        <v>20190312161114050</v>
      </c>
      <c r="B4983" t="str">
        <f>"1552378274041963"</f>
        <v>1552378274041963</v>
      </c>
      <c r="C4983" t="s">
        <v>40</v>
      </c>
      <c r="D4983">
        <v>5.7206839999999897</v>
      </c>
      <c r="E4983">
        <v>0.40187200000000001</v>
      </c>
      <c r="F4983" t="s">
        <v>41</v>
      </c>
      <c r="G4983">
        <v>-414.63330000000002</v>
      </c>
      <c r="H4983" s="1">
        <v>-2.5363249999999998E-6</v>
      </c>
      <c r="I4983">
        <v>42.905110000000001</v>
      </c>
      <c r="J4983">
        <v>-422.96409999999997</v>
      </c>
      <c r="K4983">
        <v>1.109775</v>
      </c>
      <c r="L4983">
        <v>67.274749999999997</v>
      </c>
      <c r="M4983">
        <v>-1.5813859999999999E-2</v>
      </c>
      <c r="N4983">
        <v>0</v>
      </c>
      <c r="O4983">
        <v>-0.99983409999999995</v>
      </c>
      <c r="P4983">
        <v>-1.523298E-2</v>
      </c>
      <c r="Q4983">
        <v>2.020023E-4</v>
      </c>
      <c r="R4983">
        <v>-0.99988410000000005</v>
      </c>
      <c r="S4983">
        <v>1.0119929999999999</v>
      </c>
      <c r="T4983">
        <v>-0.1349207</v>
      </c>
      <c r="U4983">
        <v>-3.0154719999999999</v>
      </c>
      <c r="V4983">
        <v>-5.8344889999999996E-4</v>
      </c>
      <c r="W4983">
        <v>9.2536719999999992E-3</v>
      </c>
      <c r="X4983">
        <v>0.99995699999999998</v>
      </c>
      <c r="Y4983">
        <v>-0.33282970000000001</v>
      </c>
      <c r="Z4983">
        <v>4.225955E-2</v>
      </c>
      <c r="AA4983">
        <v>0.94203950000000003</v>
      </c>
      <c r="AB4983">
        <v>24</v>
      </c>
      <c r="AC4983">
        <v>8.3307999999999502</v>
      </c>
      <c r="AD4983">
        <v>-1.109777536325</v>
      </c>
      <c r="AE4983">
        <v>-24.36964</v>
      </c>
      <c r="AF4983">
        <v>-8.6989993628405795</v>
      </c>
      <c r="AG4983">
        <v>-1.109777536325</v>
      </c>
      <c r="AH4983">
        <v>24.189928148433999</v>
      </c>
      <c r="AI4983">
        <v>92.471984101679496</v>
      </c>
      <c r="AJ4983">
        <v>109.779216620151</v>
      </c>
      <c r="AK4983">
        <v>25.730464821320901</v>
      </c>
      <c r="AL4983">
        <v>89.469796075049402</v>
      </c>
      <c r="AM4983">
        <v>90.033430593253499</v>
      </c>
      <c r="AN4983">
        <v>0.99999998635355103</v>
      </c>
    </row>
    <row r="4984" spans="1:40" x14ac:dyDescent="0.25">
      <c r="A4984" t="str">
        <f>"20190312161114072"</f>
        <v>20190312161114072</v>
      </c>
      <c r="B4984" t="str">
        <f>"1552378274062459"</f>
        <v>1552378274062459</v>
      </c>
      <c r="C4984" t="s">
        <v>40</v>
      </c>
      <c r="D4984">
        <v>5.6490450000000001</v>
      </c>
      <c r="E4984">
        <v>0.46435900000000002</v>
      </c>
      <c r="F4984" t="s">
        <v>41</v>
      </c>
      <c r="G4984">
        <v>-418.08890000000002</v>
      </c>
      <c r="H4984" s="1">
        <v>-3.6707490000000001E-6</v>
      </c>
      <c r="I4984">
        <v>47.399169999999998</v>
      </c>
      <c r="J4984">
        <v>-422.9676</v>
      </c>
      <c r="K4984">
        <v>1.1097760000000001</v>
      </c>
      <c r="L4984">
        <v>67.042819999999907</v>
      </c>
      <c r="M4984">
        <v>-1.570015E-2</v>
      </c>
      <c r="N4984">
        <v>0</v>
      </c>
      <c r="O4984">
        <v>-0.99983599999999995</v>
      </c>
      <c r="P4984">
        <v>-1.548502E-2</v>
      </c>
      <c r="Q4984">
        <v>1.5198070000000001E-4</v>
      </c>
      <c r="R4984">
        <v>-0.9998804</v>
      </c>
      <c r="S4984">
        <v>0.73870849999999999</v>
      </c>
      <c r="T4984">
        <v>-0.1681581</v>
      </c>
      <c r="U4984">
        <v>-3.0116269999999998</v>
      </c>
      <c r="V4984">
        <v>-2.1725370000000001E-4</v>
      </c>
      <c r="W4984">
        <v>9.2045600000000005E-3</v>
      </c>
      <c r="X4984">
        <v>0.9999576</v>
      </c>
      <c r="Y4984">
        <v>-0.25309480000000001</v>
      </c>
      <c r="Z4984">
        <v>5.4033089999999999E-2</v>
      </c>
      <c r="AA4984">
        <v>0.9659314</v>
      </c>
      <c r="AB4984">
        <v>24</v>
      </c>
      <c r="AC4984">
        <v>4.8786999999999798</v>
      </c>
      <c r="AD4984">
        <v>-1.109779670749</v>
      </c>
      <c r="AE4984">
        <v>-19.643649999999901</v>
      </c>
      <c r="AF4984">
        <v>-5.1709738708494299</v>
      </c>
      <c r="AG4984">
        <v>-1.109779670749</v>
      </c>
      <c r="AH4984">
        <v>19.505988051744701</v>
      </c>
      <c r="AI4984">
        <v>93.1477935153125</v>
      </c>
      <c r="AJ4984">
        <v>104.84740610225801</v>
      </c>
      <c r="AK4984">
        <v>20.210248676486401</v>
      </c>
      <c r="AL4984">
        <v>89.472610105315496</v>
      </c>
      <c r="AM4984">
        <v>90.012448247703404</v>
      </c>
      <c r="AN4984">
        <v>0.99999998646086097</v>
      </c>
    </row>
    <row r="4985" spans="1:40" x14ac:dyDescent="0.25">
      <c r="A4985" t="str">
        <f>"20190312161114095"</f>
        <v>20190312161114095</v>
      </c>
      <c r="B4985" t="str">
        <f>"1552378274091740"</f>
        <v>1552378274091740</v>
      </c>
      <c r="C4985" t="s">
        <v>40</v>
      </c>
      <c r="D4985">
        <v>5.624587</v>
      </c>
      <c r="E4985">
        <v>0.46471119999999999</v>
      </c>
      <c r="F4985" t="s">
        <v>41</v>
      </c>
      <c r="G4985">
        <v>-422.0419</v>
      </c>
      <c r="H4985" s="1">
        <v>-3.0728419999999999E-6</v>
      </c>
      <c r="I4985">
        <v>55.485550000000003</v>
      </c>
      <c r="J4985">
        <v>-422.97129999999999</v>
      </c>
      <c r="K4985">
        <v>1.109775</v>
      </c>
      <c r="L4985">
        <v>66.795069999999996</v>
      </c>
      <c r="M4985">
        <v>-1.557818E-2</v>
      </c>
      <c r="N4985">
        <v>0</v>
      </c>
      <c r="O4985">
        <v>-0.99983789999999995</v>
      </c>
      <c r="P4985">
        <v>-1.539161E-2</v>
      </c>
      <c r="Q4985">
        <v>-3.4766229999999999E-4</v>
      </c>
      <c r="R4985">
        <v>-0.99988189999999999</v>
      </c>
      <c r="S4985">
        <v>0.24063109999999999</v>
      </c>
      <c r="T4985">
        <v>-0.28846850000000002</v>
      </c>
      <c r="U4985">
        <v>-3.0041199999999999</v>
      </c>
      <c r="V4985">
        <v>-1.8864549999999999E-4</v>
      </c>
      <c r="W4985">
        <v>8.7062860000000006E-3</v>
      </c>
      <c r="X4985">
        <v>0.99996209999999996</v>
      </c>
      <c r="Y4985">
        <v>-9.5001169999999996E-2</v>
      </c>
      <c r="Z4985">
        <v>9.5199880000000001E-2</v>
      </c>
      <c r="AA4985">
        <v>0.99091459999999998</v>
      </c>
      <c r="AB4985">
        <v>24</v>
      </c>
      <c r="AC4985">
        <v>0.92939999999998602</v>
      </c>
      <c r="AD4985">
        <v>-1.1097780728419999</v>
      </c>
      <c r="AE4985">
        <v>-11.3095199999999</v>
      </c>
      <c r="AF4985">
        <v>-1.0950030059637901</v>
      </c>
      <c r="AG4985">
        <v>-1.1097780728419999</v>
      </c>
      <c r="AH4985">
        <v>11.1866739622963</v>
      </c>
      <c r="AI4985">
        <v>95.638736978819196</v>
      </c>
      <c r="AJ4985">
        <v>95.590564208061394</v>
      </c>
      <c r="AK4985">
        <v>11.2947914231626</v>
      </c>
      <c r="AL4985">
        <v>89.501160263959505</v>
      </c>
      <c r="AM4985">
        <v>90.010809000506995</v>
      </c>
      <c r="AN4985">
        <v>1.00000001821972</v>
      </c>
    </row>
    <row r="4986" spans="1:40" x14ac:dyDescent="0.25">
      <c r="A4986" t="str">
        <f>"20190312161114118"</f>
        <v>20190312161114118</v>
      </c>
      <c r="B4986" t="str">
        <f>"1552378274112235"</f>
        <v>1552378274112235</v>
      </c>
      <c r="C4986" t="s">
        <v>40</v>
      </c>
      <c r="D4986">
        <v>5.7077589999999896</v>
      </c>
      <c r="E4986">
        <v>0.46500399999999997</v>
      </c>
      <c r="F4986" t="s">
        <v>41</v>
      </c>
      <c r="G4986">
        <v>-422.02229999999997</v>
      </c>
      <c r="H4986" s="1">
        <v>-2.7848999999999998E-6</v>
      </c>
      <c r="I4986">
        <v>54.826479999999997</v>
      </c>
      <c r="J4986">
        <v>-422.97489999999999</v>
      </c>
      <c r="K4986">
        <v>1.109774</v>
      </c>
      <c r="L4986">
        <v>66.55444</v>
      </c>
      <c r="M4986">
        <v>-1.545975E-2</v>
      </c>
      <c r="N4986">
        <v>0</v>
      </c>
      <c r="O4986">
        <v>-0.99983949999999999</v>
      </c>
      <c r="P4986">
        <v>-1.53271E-2</v>
      </c>
      <c r="Q4986">
        <v>-4.4857609999999999E-4</v>
      </c>
      <c r="R4986">
        <v>-0.99988270000000001</v>
      </c>
      <c r="S4986">
        <v>0.2381897</v>
      </c>
      <c r="T4986">
        <v>-0.27853749999999999</v>
      </c>
      <c r="U4986">
        <v>-3.0039370000000001</v>
      </c>
      <c r="V4986">
        <v>-1.3476509999999999E-4</v>
      </c>
      <c r="W4986">
        <v>8.6066300000000005E-3</v>
      </c>
      <c r="X4986">
        <v>0.99996289999999999</v>
      </c>
      <c r="Y4986">
        <v>-9.4111840000000002E-2</v>
      </c>
      <c r="Z4986">
        <v>9.1963470000000005E-2</v>
      </c>
      <c r="AA4986">
        <v>0.99130510000000005</v>
      </c>
      <c r="AB4986">
        <v>24</v>
      </c>
      <c r="AC4986">
        <v>0.95260000000001799</v>
      </c>
      <c r="AD4986">
        <v>-1.1097767849</v>
      </c>
      <c r="AE4986">
        <v>-11.7279599999999</v>
      </c>
      <c r="AF4986">
        <v>-1.12380806981767</v>
      </c>
      <c r="AG4986">
        <v>-1.1097767849</v>
      </c>
      <c r="AH4986">
        <v>11.6085666903502</v>
      </c>
      <c r="AI4986">
        <v>95.435611529590403</v>
      </c>
      <c r="AJ4986">
        <v>95.529488213771501</v>
      </c>
      <c r="AK4986">
        <v>11.715518328029701</v>
      </c>
      <c r="AL4986">
        <v>89.506870310789793</v>
      </c>
      <c r="AM4986">
        <v>90.007721757886102</v>
      </c>
      <c r="AN4986">
        <v>0.99999994680899795</v>
      </c>
    </row>
    <row r="4987" spans="1:40" x14ac:dyDescent="0.25">
      <c r="A4987" t="str">
        <f>"20190312161114186"</f>
        <v>20190312161114186</v>
      </c>
      <c r="B4987" t="str">
        <f>"1552378274171771"</f>
        <v>1552378274171771</v>
      </c>
      <c r="C4987" t="s">
        <v>40</v>
      </c>
      <c r="D4987">
        <v>5.7336999999999998</v>
      </c>
      <c r="E4987">
        <v>0.46478249999999999</v>
      </c>
      <c r="F4987" t="s">
        <v>41</v>
      </c>
      <c r="G4987">
        <v>-422.05329999999998</v>
      </c>
      <c r="H4987" s="1">
        <v>-2.7931119999999999E-6</v>
      </c>
      <c r="I4987">
        <v>54.8264</v>
      </c>
      <c r="J4987">
        <v>-422.98579999999998</v>
      </c>
      <c r="K4987">
        <v>1.109764</v>
      </c>
      <c r="L4987">
        <v>65.818510000000003</v>
      </c>
      <c r="M4987">
        <v>-1.509772E-2</v>
      </c>
      <c r="N4987">
        <v>0</v>
      </c>
      <c r="O4987">
        <v>-0.99984499999999998</v>
      </c>
      <c r="P4987">
        <v>-1.52056E-2</v>
      </c>
      <c r="Q4987">
        <v>-6.7080060000000003E-4</v>
      </c>
      <c r="R4987">
        <v>-0.9998842</v>
      </c>
      <c r="S4987">
        <v>0.2360535</v>
      </c>
      <c r="T4987">
        <v>-0.28424159999999998</v>
      </c>
      <c r="U4987">
        <v>-3.0038450000000001</v>
      </c>
      <c r="V4987">
        <v>1.05985E-4</v>
      </c>
      <c r="W4987">
        <v>8.3911070000000001E-3</v>
      </c>
      <c r="X4987">
        <v>0.99996479999999999</v>
      </c>
      <c r="Y4987">
        <v>-9.3039339999999998E-2</v>
      </c>
      <c r="Z4987">
        <v>9.3841190000000005E-2</v>
      </c>
      <c r="AA4987">
        <v>0.99123030000000001</v>
      </c>
      <c r="AB4987">
        <v>24</v>
      </c>
      <c r="AC4987">
        <v>0.93250000000000399</v>
      </c>
      <c r="AD4987">
        <v>-1.1097667931120001</v>
      </c>
      <c r="AE4987">
        <v>-10.99211</v>
      </c>
      <c r="AF4987">
        <v>-1.08735214580101</v>
      </c>
      <c r="AG4987">
        <v>-1.1097667931120001</v>
      </c>
      <c r="AH4987">
        <v>10.866804144081099</v>
      </c>
      <c r="AI4987">
        <v>95.802310618742396</v>
      </c>
      <c r="AJ4987">
        <v>95.714099787375602</v>
      </c>
      <c r="AK4987">
        <v>10.977310660170399</v>
      </c>
      <c r="AL4987">
        <v>89.519219346894303</v>
      </c>
      <c r="AM4987">
        <v>89.993927293071707</v>
      </c>
      <c r="AN4987">
        <v>1.00000001157427</v>
      </c>
    </row>
    <row r="4988" spans="1:40" x14ac:dyDescent="0.25">
      <c r="A4988" t="str">
        <f>"20190312161114207"</f>
        <v>20190312161114207</v>
      </c>
      <c r="B4988" t="str">
        <f>"1552378274202027"</f>
        <v>1552378274202027</v>
      </c>
      <c r="C4988" t="s">
        <v>40</v>
      </c>
      <c r="D4988">
        <v>5.7800159999999998</v>
      </c>
      <c r="E4988">
        <v>0.4641422</v>
      </c>
      <c r="F4988" t="s">
        <v>41</v>
      </c>
      <c r="G4988">
        <v>-422.07130000000001</v>
      </c>
      <c r="H4988" s="1">
        <v>-2.5733579999999999E-6</v>
      </c>
      <c r="I4988">
        <v>54.302990000000001</v>
      </c>
      <c r="J4988">
        <v>-422.98910000000001</v>
      </c>
      <c r="K4988">
        <v>1.1097619999999999</v>
      </c>
      <c r="L4988">
        <v>65.593260000000001</v>
      </c>
      <c r="M4988">
        <v>-1.4987139999999999E-2</v>
      </c>
      <c r="N4988">
        <v>0</v>
      </c>
      <c r="O4988">
        <v>-0.99984669999999998</v>
      </c>
      <c r="P4988">
        <v>-1.552863E-2</v>
      </c>
      <c r="Q4988">
        <v>-8.0252609999999995E-4</v>
      </c>
      <c r="R4988">
        <v>-0.99987930000000003</v>
      </c>
      <c r="S4988">
        <v>0.23855589999999999</v>
      </c>
      <c r="T4988">
        <v>-0.28947889999999998</v>
      </c>
      <c r="U4988">
        <v>-3.003784</v>
      </c>
      <c r="V4988">
        <v>5.3965459999999997E-4</v>
      </c>
      <c r="W4988">
        <v>8.2623660000000002E-3</v>
      </c>
      <c r="X4988">
        <v>0.99996569999999996</v>
      </c>
      <c r="Y4988">
        <v>-9.3738589999999997E-2</v>
      </c>
      <c r="Z4988">
        <v>9.5550479999999993E-2</v>
      </c>
      <c r="AA4988">
        <v>0.99100109999999997</v>
      </c>
      <c r="AB4988">
        <v>24</v>
      </c>
      <c r="AC4988">
        <v>0.91779999999999895</v>
      </c>
      <c r="AD4988">
        <v>-1.1097645733579999</v>
      </c>
      <c r="AE4988">
        <v>-11.29027</v>
      </c>
      <c r="AF4988">
        <v>-1.0765794117094101</v>
      </c>
      <c r="AG4988">
        <v>-1.1097645733579999</v>
      </c>
      <c r="AH4988">
        <v>11.1680522030737</v>
      </c>
      <c r="AI4988">
        <v>95.648812842389205</v>
      </c>
      <c r="AJ4988">
        <v>95.506192771291794</v>
      </c>
      <c r="AK4988">
        <v>11.2745727479394</v>
      </c>
      <c r="AL4988">
        <v>89.526595903332506</v>
      </c>
      <c r="AM4988">
        <v>89.969079011437003</v>
      </c>
      <c r="AN4988">
        <v>0.999999979547747</v>
      </c>
    </row>
    <row r="4989" spans="1:40" x14ac:dyDescent="0.25">
      <c r="A4989" t="str">
        <f>"20190312161114229"</f>
        <v>20190312161114229</v>
      </c>
      <c r="B4989" t="str">
        <f>"1552378274221547"</f>
        <v>1552378274221547</v>
      </c>
      <c r="C4989" t="s">
        <v>40</v>
      </c>
      <c r="D4989">
        <v>5.7754190000000003</v>
      </c>
      <c r="E4989">
        <v>0.46411829999999998</v>
      </c>
      <c r="F4989" t="s">
        <v>41</v>
      </c>
      <c r="G4989">
        <v>-422.06569999999999</v>
      </c>
      <c r="H4989" s="1">
        <v>-2.5101790000000002E-6</v>
      </c>
      <c r="I4989">
        <v>54.159179999999999</v>
      </c>
      <c r="J4989">
        <v>-422.99259999999998</v>
      </c>
      <c r="K4989">
        <v>1.1097649999999999</v>
      </c>
      <c r="L4989">
        <v>65.353359999999995</v>
      </c>
      <c r="M4989">
        <v>-1.486942E-2</v>
      </c>
      <c r="N4989">
        <v>0</v>
      </c>
      <c r="O4989">
        <v>-0.99984839999999997</v>
      </c>
      <c r="P4989">
        <v>-1.566147E-2</v>
      </c>
      <c r="Q4989">
        <v>-8.2468570000000004E-4</v>
      </c>
      <c r="R4989">
        <v>-0.99987720000000002</v>
      </c>
      <c r="S4989">
        <v>0.2425842</v>
      </c>
      <c r="T4989">
        <v>-0.2915488</v>
      </c>
      <c r="U4989">
        <v>-3.003876</v>
      </c>
      <c r="V4989">
        <v>7.9024330000000004E-4</v>
      </c>
      <c r="W4989">
        <v>8.242816E-3</v>
      </c>
      <c r="X4989">
        <v>0.99996569999999996</v>
      </c>
      <c r="Y4989">
        <v>-9.4934279999999996E-2</v>
      </c>
      <c r="Z4989">
        <v>9.6214179999999996E-2</v>
      </c>
      <c r="AA4989">
        <v>0.99082300000000001</v>
      </c>
      <c r="AB4989">
        <v>24</v>
      </c>
      <c r="AC4989">
        <v>0.92689999999998895</v>
      </c>
      <c r="AD4989">
        <v>-1.1097675101790001</v>
      </c>
      <c r="AE4989">
        <v>-11.1941799999999</v>
      </c>
      <c r="AF4989">
        <v>-1.08268677640597</v>
      </c>
      <c r="AG4989">
        <v>-1.1097675101790001</v>
      </c>
      <c r="AH4989">
        <v>11.0710899721175</v>
      </c>
      <c r="AI4989">
        <v>95.697216809888005</v>
      </c>
      <c r="AJ4989">
        <v>95.5854260329846</v>
      </c>
      <c r="AK4989">
        <v>11.179124641633299</v>
      </c>
      <c r="AL4989">
        <v>89.527716076489</v>
      </c>
      <c r="AM4989">
        <v>89.954720850472299</v>
      </c>
      <c r="AN4989">
        <v>0.999999984838286</v>
      </c>
    </row>
    <row r="4990" spans="1:40" x14ac:dyDescent="0.25">
      <c r="A4990" t="str">
        <f>"20190312161114251"</f>
        <v>20190312161114251</v>
      </c>
      <c r="B4990" t="str">
        <f>"1552378274242043"</f>
        <v>1552378274242043</v>
      </c>
      <c r="C4990" t="s">
        <v>40</v>
      </c>
      <c r="D4990">
        <v>5.7836069999999999</v>
      </c>
      <c r="E4990">
        <v>0.46408929999999998</v>
      </c>
      <c r="F4990" t="s">
        <v>41</v>
      </c>
      <c r="G4990">
        <v>-422.07130000000001</v>
      </c>
      <c r="H4990" s="1">
        <v>-2.4232649999999998E-6</v>
      </c>
      <c r="I4990">
        <v>53.953130000000002</v>
      </c>
      <c r="J4990">
        <v>-422.99610000000001</v>
      </c>
      <c r="K4990">
        <v>1.1097629999999901</v>
      </c>
      <c r="L4990">
        <v>65.111180000000004</v>
      </c>
      <c r="M4990">
        <v>-1.475069E-2</v>
      </c>
      <c r="N4990">
        <v>0</v>
      </c>
      <c r="O4990">
        <v>-0.99985000000000002</v>
      </c>
      <c r="P4990">
        <v>-1.6077859999999999E-2</v>
      </c>
      <c r="Q4990">
        <v>-6.5796429999999905E-4</v>
      </c>
      <c r="R4990">
        <v>-0.99987040000000005</v>
      </c>
      <c r="S4990">
        <v>0.24276729999999999</v>
      </c>
      <c r="T4990">
        <v>-0.29242119999999999</v>
      </c>
      <c r="U4990">
        <v>-3.0039370000000001</v>
      </c>
      <c r="V4990">
        <v>1.325396E-3</v>
      </c>
      <c r="W4990">
        <v>8.4125650000000003E-3</v>
      </c>
      <c r="X4990">
        <v>0.99996379999999996</v>
      </c>
      <c r="Y4990">
        <v>-9.4872239999999997E-2</v>
      </c>
      <c r="Z4990">
        <v>9.6497739999999999E-2</v>
      </c>
      <c r="AA4990">
        <v>0.99080140000000005</v>
      </c>
      <c r="AB4990">
        <v>24</v>
      </c>
      <c r="AC4990">
        <v>0.92480000000000395</v>
      </c>
      <c r="AD4990">
        <v>-1.1097654232649901</v>
      </c>
      <c r="AE4990">
        <v>-11.158049999999999</v>
      </c>
      <c r="AF4990">
        <v>-1.0786973781345499</v>
      </c>
      <c r="AG4990">
        <v>-1.1097654232649901</v>
      </c>
      <c r="AH4990">
        <v>11.0347821740143</v>
      </c>
      <c r="AI4990">
        <v>95.715849652378694</v>
      </c>
      <c r="AJ4990">
        <v>95.5831696863155</v>
      </c>
      <c r="AK4990">
        <v>11.142781742285599</v>
      </c>
      <c r="AL4990">
        <v>89.517989876243306</v>
      </c>
      <c r="AM4990">
        <v>89.924057698375293</v>
      </c>
      <c r="AN4990">
        <v>1.0000000646174301</v>
      </c>
    </row>
    <row r="4991" spans="1:40" x14ac:dyDescent="0.25">
      <c r="A4991" t="str">
        <f>"20190312161114274"</f>
        <v>20190312161114274</v>
      </c>
      <c r="B4991" t="str">
        <f>"1552378274262540"</f>
        <v>1552378274262540</v>
      </c>
      <c r="C4991" t="s">
        <v>40</v>
      </c>
      <c r="D4991">
        <v>5.7841839999999998</v>
      </c>
      <c r="E4991">
        <v>0.46398529999999999</v>
      </c>
      <c r="F4991" t="s">
        <v>41</v>
      </c>
      <c r="G4991">
        <v>-422.08620000000002</v>
      </c>
      <c r="H4991" s="1">
        <v>-2.3531439999999999E-6</v>
      </c>
      <c r="I4991">
        <v>53.780430000000003</v>
      </c>
      <c r="J4991">
        <v>-422.99950000000001</v>
      </c>
      <c r="K4991">
        <v>1.109764</v>
      </c>
      <c r="L4991">
        <v>64.870359999999906</v>
      </c>
      <c r="M4991">
        <v>-1.4632920000000001E-2</v>
      </c>
      <c r="N4991">
        <v>0</v>
      </c>
      <c r="O4991">
        <v>-0.99985190000000002</v>
      </c>
      <c r="P4991">
        <v>-1.675167E-2</v>
      </c>
      <c r="Q4991">
        <v>-1.222636E-3</v>
      </c>
      <c r="R4991">
        <v>-0.99985900000000005</v>
      </c>
      <c r="S4991">
        <v>0.2412415</v>
      </c>
      <c r="T4991">
        <v>-0.29422910000000002</v>
      </c>
      <c r="U4991">
        <v>-3.004089</v>
      </c>
      <c r="V4991">
        <v>2.1171670000000001E-3</v>
      </c>
      <c r="W4991">
        <v>7.8508689999999999E-3</v>
      </c>
      <c r="X4991">
        <v>0.99996689999999999</v>
      </c>
      <c r="Y4991">
        <v>-9.424631E-2</v>
      </c>
      <c r="Z4991">
        <v>9.7088960000000002E-2</v>
      </c>
      <c r="AA4991">
        <v>0.9908034</v>
      </c>
      <c r="AB4991">
        <v>24</v>
      </c>
      <c r="AC4991">
        <v>0.91329999999999201</v>
      </c>
      <c r="AD4991">
        <v>-1.1097663531440001</v>
      </c>
      <c r="AE4991">
        <v>-11.089929999999899</v>
      </c>
      <c r="AF4991">
        <v>-1.06489495449049</v>
      </c>
      <c r="AG4991">
        <v>-1.1097663531440001</v>
      </c>
      <c r="AH4991">
        <v>10.9663015038204</v>
      </c>
      <c r="AI4991">
        <v>95.751666741636996</v>
      </c>
      <c r="AJ4991">
        <v>95.5463808979557</v>
      </c>
      <c r="AK4991">
        <v>11.0736331569799</v>
      </c>
      <c r="AL4991">
        <v>89.550173701707607</v>
      </c>
      <c r="AM4991">
        <v>89.878691432318803</v>
      </c>
      <c r="AN4991">
        <v>0.99999995981788403</v>
      </c>
    </row>
    <row r="4992" spans="1:40" x14ac:dyDescent="0.25">
      <c r="A4992" t="str">
        <f>"20190312161114296"</f>
        <v>20190312161114296</v>
      </c>
      <c r="B4992" t="str">
        <f>"1552378274282059"</f>
        <v>1552378274282059</v>
      </c>
      <c r="C4992" t="s">
        <v>40</v>
      </c>
      <c r="D4992">
        <v>5.7630119999999998</v>
      </c>
      <c r="E4992">
        <v>0.46389340000000001</v>
      </c>
      <c r="F4992" t="s">
        <v>41</v>
      </c>
      <c r="G4992">
        <v>-422.1037</v>
      </c>
      <c r="H4992" s="1">
        <v>-2.3001630000000001E-6</v>
      </c>
      <c r="I4992">
        <v>53.646050000000002</v>
      </c>
      <c r="J4992">
        <v>-423.00299999999999</v>
      </c>
      <c r="K4992">
        <v>1.1097600000000001</v>
      </c>
      <c r="L4992">
        <v>64.623930000000001</v>
      </c>
      <c r="M4992">
        <v>-1.4512499999999999E-2</v>
      </c>
      <c r="N4992">
        <v>0</v>
      </c>
      <c r="O4992">
        <v>-0.99985360000000001</v>
      </c>
      <c r="P4992">
        <v>-1.7830459999999999E-2</v>
      </c>
      <c r="Q4992">
        <v>-1.375025E-3</v>
      </c>
      <c r="R4992">
        <v>-0.99984010000000001</v>
      </c>
      <c r="S4992">
        <v>0.23974609999999999</v>
      </c>
      <c r="T4992">
        <v>-0.29701919999999998</v>
      </c>
      <c r="U4992">
        <v>-3.004089</v>
      </c>
      <c r="V4992">
        <v>3.316566E-3</v>
      </c>
      <c r="W4992">
        <v>7.702576E-3</v>
      </c>
      <c r="X4992">
        <v>0.99996479999999999</v>
      </c>
      <c r="Y4992">
        <v>-9.3629180000000006E-2</v>
      </c>
      <c r="Z4992">
        <v>9.8005819999999993E-2</v>
      </c>
      <c r="AA4992">
        <v>0.99077170000000003</v>
      </c>
      <c r="AB4992">
        <v>24</v>
      </c>
      <c r="AC4992">
        <v>0.89930000000003896</v>
      </c>
      <c r="AD4992">
        <v>-1.1097623001629999</v>
      </c>
      <c r="AE4992">
        <v>-10.977880000000001</v>
      </c>
      <c r="AF4992">
        <v>-1.04789094230943</v>
      </c>
      <c r="AG4992">
        <v>-1.1097623001629999</v>
      </c>
      <c r="AH4992">
        <v>10.8534959456767</v>
      </c>
      <c r="AI4992">
        <v>95.811327064771802</v>
      </c>
      <c r="AJ4992">
        <v>95.514740016912199</v>
      </c>
      <c r="AK4992">
        <v>10.9602929720267</v>
      </c>
      <c r="AL4992">
        <v>89.558670524427995</v>
      </c>
      <c r="AM4992">
        <v>89.809968773403199</v>
      </c>
      <c r="AN4992">
        <v>0.99999996526305301</v>
      </c>
    </row>
    <row r="4993" spans="1:40" x14ac:dyDescent="0.25">
      <c r="A4993" t="str">
        <f>"20190312161114320"</f>
        <v>20190312161114320</v>
      </c>
      <c r="B4993" t="str">
        <f>"1552378274312315"</f>
        <v>1552378274312315</v>
      </c>
      <c r="C4993" t="s">
        <v>40</v>
      </c>
      <c r="D4993">
        <v>5.770651</v>
      </c>
      <c r="E4993">
        <v>0.46369529999999998</v>
      </c>
      <c r="F4993" t="s">
        <v>41</v>
      </c>
      <c r="G4993">
        <v>-422.12169999999998</v>
      </c>
      <c r="H4993" s="1">
        <v>-2.2322110000000001E-6</v>
      </c>
      <c r="I4993">
        <v>53.476520000000001</v>
      </c>
      <c r="J4993">
        <v>-423.00650000000002</v>
      </c>
      <c r="K4993">
        <v>1.1097629999999901</v>
      </c>
      <c r="L4993">
        <v>64.3703</v>
      </c>
      <c r="M4993">
        <v>-1.438794E-2</v>
      </c>
      <c r="N4993">
        <v>0</v>
      </c>
      <c r="O4993">
        <v>-0.9998553</v>
      </c>
      <c r="P4993">
        <v>-1.8289239999999998E-2</v>
      </c>
      <c r="Q4993">
        <v>-1.5257300000000001E-3</v>
      </c>
      <c r="R4993">
        <v>-0.99983160000000004</v>
      </c>
      <c r="S4993">
        <v>0.23751829999999999</v>
      </c>
      <c r="T4993">
        <v>-0.29908849999999998</v>
      </c>
      <c r="U4993">
        <v>-3.0043030000000002</v>
      </c>
      <c r="V4993">
        <v>3.9000269999999999E-3</v>
      </c>
      <c r="W4993">
        <v>7.5552379999999997E-3</v>
      </c>
      <c r="X4993">
        <v>0.99996390000000002</v>
      </c>
      <c r="Y4993">
        <v>-9.2764200000000005E-2</v>
      </c>
      <c r="Z4993">
        <v>9.868217E-2</v>
      </c>
      <c r="AA4993">
        <v>0.9907859</v>
      </c>
      <c r="AB4993">
        <v>24</v>
      </c>
      <c r="AC4993">
        <v>0.884800000000041</v>
      </c>
      <c r="AD4993">
        <v>-1.1097652322110001</v>
      </c>
      <c r="AE4993">
        <v>-10.89378</v>
      </c>
      <c r="AF4993">
        <v>-1.03082631896476</v>
      </c>
      <c r="AG4993">
        <v>-1.1097652322110001</v>
      </c>
      <c r="AH4993">
        <v>10.7688963248861</v>
      </c>
      <c r="AI4993">
        <v>95.857137350823706</v>
      </c>
      <c r="AJ4993">
        <v>95.467839019458296</v>
      </c>
      <c r="AK4993">
        <v>10.874893554726899</v>
      </c>
      <c r="AL4993">
        <v>89.567112651156606</v>
      </c>
      <c r="AM4993">
        <v>89.776537978938407</v>
      </c>
      <c r="AN4993">
        <v>1.0000000465675201</v>
      </c>
    </row>
    <row r="4994" spans="1:40" x14ac:dyDescent="0.25">
      <c r="A4994" t="str">
        <f>"20190312161114364"</f>
        <v>20190312161114364</v>
      </c>
      <c r="B4994" t="str">
        <f>"1552378274352331"</f>
        <v>1552378274352331</v>
      </c>
      <c r="C4994" t="s">
        <v>40</v>
      </c>
      <c r="D4994">
        <v>5.7295439999999997</v>
      </c>
      <c r="E4994">
        <v>0.46327109999999999</v>
      </c>
      <c r="F4994" t="s">
        <v>41</v>
      </c>
      <c r="G4994">
        <v>-422.12939999999998</v>
      </c>
      <c r="H4994" s="1">
        <v>-2.160166E-6</v>
      </c>
      <c r="I4994">
        <v>53.303789999999999</v>
      </c>
      <c r="J4994">
        <v>-423.01310000000001</v>
      </c>
      <c r="K4994">
        <v>1.1097600000000001</v>
      </c>
      <c r="L4994">
        <v>63.892330000000001</v>
      </c>
      <c r="M4994">
        <v>-1.415336E-2</v>
      </c>
      <c r="N4994">
        <v>0</v>
      </c>
      <c r="O4994">
        <v>-0.99985860000000004</v>
      </c>
      <c r="P4994">
        <v>-1.8149999999999999E-2</v>
      </c>
      <c r="Q4994">
        <v>-9.5707159999999997E-4</v>
      </c>
      <c r="R4994">
        <v>-0.99983509999999998</v>
      </c>
      <c r="S4994">
        <v>0.2381287</v>
      </c>
      <c r="T4994">
        <v>-0.30128490000000002</v>
      </c>
      <c r="U4994">
        <v>-3.0043950000000001</v>
      </c>
      <c r="V4994">
        <v>3.9952629999999998E-3</v>
      </c>
      <c r="W4994">
        <v>8.1307640000000004E-3</v>
      </c>
      <c r="X4994">
        <v>0.99995900000000004</v>
      </c>
      <c r="Y4994">
        <v>-9.2722620000000006E-2</v>
      </c>
      <c r="Z4994">
        <v>9.9396590000000007E-2</v>
      </c>
      <c r="AA4994">
        <v>0.9907184</v>
      </c>
      <c r="AB4994">
        <v>24</v>
      </c>
      <c r="AC4994">
        <v>0.88370000000003202</v>
      </c>
      <c r="AD4994">
        <v>-1.1097621601659999</v>
      </c>
      <c r="AE4994">
        <v>-10.58854</v>
      </c>
      <c r="AF4994">
        <v>-1.02232879328177</v>
      </c>
      <c r="AG4994">
        <v>-1.1097621601659999</v>
      </c>
      <c r="AH4994">
        <v>10.4608570865388</v>
      </c>
      <c r="AI4994">
        <v>96.027192457582998</v>
      </c>
      <c r="AJ4994">
        <v>95.581732293330006</v>
      </c>
      <c r="AK4994">
        <v>10.5691181845364</v>
      </c>
      <c r="AL4994">
        <v>89.534136422533905</v>
      </c>
      <c r="AM4994">
        <v>89.771080124400996</v>
      </c>
      <c r="AN4994">
        <v>1.0000000365653301</v>
      </c>
    </row>
    <row r="4995" spans="1:40" x14ac:dyDescent="0.25">
      <c r="A4995" t="str">
        <f>"20190312161114388"</f>
        <v>20190312161114388</v>
      </c>
      <c r="B4995" t="str">
        <f>"1552378274381613"</f>
        <v>1552378274381613</v>
      </c>
      <c r="C4995" t="s">
        <v>40</v>
      </c>
      <c r="D4995">
        <v>5.7232440000000002</v>
      </c>
      <c r="E4995">
        <v>0.46289439999999998</v>
      </c>
      <c r="F4995" t="s">
        <v>41</v>
      </c>
      <c r="G4995">
        <v>-422.12529999999998</v>
      </c>
      <c r="H4995" s="1">
        <v>-1.965726E-6</v>
      </c>
      <c r="I4995">
        <v>52.853090000000002</v>
      </c>
      <c r="J4995">
        <v>-423.01659999999998</v>
      </c>
      <c r="K4995">
        <v>1.109761</v>
      </c>
      <c r="L4995">
        <v>63.637329999999999</v>
      </c>
      <c r="M4995">
        <v>-1.402831E-2</v>
      </c>
      <c r="N4995">
        <v>0</v>
      </c>
      <c r="O4995">
        <v>-0.99986030000000004</v>
      </c>
      <c r="P4995">
        <v>-1.8041450000000001E-2</v>
      </c>
      <c r="Q4995">
        <v>-6.8926389999999897E-4</v>
      </c>
      <c r="R4995">
        <v>-0.99983719999999998</v>
      </c>
      <c r="S4995">
        <v>0.2416382</v>
      </c>
      <c r="T4995">
        <v>-0.30204639999999999</v>
      </c>
      <c r="U4995">
        <v>-3.004578</v>
      </c>
      <c r="V4995">
        <v>4.0117059999999899E-3</v>
      </c>
      <c r="W4995">
        <v>8.4020750000000002E-3</v>
      </c>
      <c r="X4995">
        <v>0.99995670000000003</v>
      </c>
      <c r="Y4995">
        <v>-9.3741320000000003E-2</v>
      </c>
      <c r="Z4995">
        <v>9.9630250000000004E-2</v>
      </c>
      <c r="AA4995">
        <v>0.99059900000000001</v>
      </c>
      <c r="AB4995">
        <v>25</v>
      </c>
      <c r="AC4995">
        <v>0.89130000000000098</v>
      </c>
      <c r="AD4995">
        <v>-1.109762965726</v>
      </c>
      <c r="AE4995">
        <v>-10.78424</v>
      </c>
      <c r="AF4995">
        <v>-1.0316524826107301</v>
      </c>
      <c r="AG4995">
        <v>-1.109762965726</v>
      </c>
      <c r="AH4995">
        <v>10.658570072559</v>
      </c>
      <c r="AI4995">
        <v>95.9167256335285</v>
      </c>
      <c r="AJ4995">
        <v>95.5284879058716</v>
      </c>
      <c r="AK4995">
        <v>10.7657325192773</v>
      </c>
      <c r="AL4995">
        <v>89.518590920855999</v>
      </c>
      <c r="AM4995">
        <v>89.770137457672107</v>
      </c>
      <c r="AN4995">
        <v>1.0000000452621101</v>
      </c>
    </row>
    <row r="4996" spans="1:40" x14ac:dyDescent="0.25">
      <c r="A4996" t="str">
        <f>"20190312161114407"</f>
        <v>20190312161114407</v>
      </c>
      <c r="B4996" t="str">
        <f>"1552378274402108"</f>
        <v>1552378274402108</v>
      </c>
      <c r="C4996" t="s">
        <v>40</v>
      </c>
      <c r="D4996">
        <v>5.6559920000000004</v>
      </c>
      <c r="E4996">
        <v>0.4628526</v>
      </c>
      <c r="F4996" t="s">
        <v>41</v>
      </c>
      <c r="G4996">
        <v>-422.11720000000003</v>
      </c>
      <c r="H4996" s="1">
        <v>-1.8556639999999999E-6</v>
      </c>
      <c r="I4996">
        <v>52.601590000000002</v>
      </c>
      <c r="J4996">
        <v>-423.01990000000001</v>
      </c>
      <c r="K4996">
        <v>1.1097570000000001</v>
      </c>
      <c r="L4996">
        <v>63.396239999999999</v>
      </c>
      <c r="M4996">
        <v>-1.3910280000000001E-2</v>
      </c>
      <c r="N4996">
        <v>0</v>
      </c>
      <c r="O4996">
        <v>-0.99986200000000003</v>
      </c>
      <c r="P4996">
        <v>-1.835241E-2</v>
      </c>
      <c r="Q4996">
        <v>-9.818915000000001E-4</v>
      </c>
      <c r="R4996">
        <v>-0.99983109999999997</v>
      </c>
      <c r="S4996">
        <v>0.2449036</v>
      </c>
      <c r="T4996">
        <v>-0.30215500000000001</v>
      </c>
      <c r="U4996">
        <v>-3.0047000000000001</v>
      </c>
      <c r="V4996">
        <v>4.4407969999999998E-3</v>
      </c>
      <c r="W4996">
        <v>8.1131220000000004E-3</v>
      </c>
      <c r="X4996">
        <v>0.99995719999999999</v>
      </c>
      <c r="Y4996">
        <v>-9.4689869999999995E-2</v>
      </c>
      <c r="Z4996">
        <v>9.9653149999999996E-2</v>
      </c>
      <c r="AA4996">
        <v>0.99050649999999996</v>
      </c>
      <c r="AB4996">
        <v>25</v>
      </c>
      <c r="AC4996">
        <v>0.90269999999998096</v>
      </c>
      <c r="AD4996">
        <v>-1.1097588556639999</v>
      </c>
      <c r="AE4996">
        <v>-10.794649999999899</v>
      </c>
      <c r="AF4996">
        <v>-1.0418405500714101</v>
      </c>
      <c r="AG4996">
        <v>-1.1097588556639999</v>
      </c>
      <c r="AH4996">
        <v>10.6690682673749</v>
      </c>
      <c r="AI4996">
        <v>95.910437259573101</v>
      </c>
      <c r="AJ4996">
        <v>95.577282487525906</v>
      </c>
      <c r="AK4996">
        <v>10.7771060189368</v>
      </c>
      <c r="AL4996">
        <v>89.535147238258801</v>
      </c>
      <c r="AM4996">
        <v>89.745551856537801</v>
      </c>
      <c r="AN4996">
        <v>0.99999997262921003</v>
      </c>
    </row>
    <row r="4997" spans="1:40" x14ac:dyDescent="0.25">
      <c r="A4997" t="str">
        <f>"20190312161114430"</f>
        <v>20190312161114430</v>
      </c>
      <c r="B4997" t="str">
        <f>"1552378274421628"</f>
        <v>1552378274421628</v>
      </c>
      <c r="C4997" t="s">
        <v>40</v>
      </c>
      <c r="D4997">
        <v>5.702083</v>
      </c>
      <c r="E4997">
        <v>0.46267390000000003</v>
      </c>
      <c r="F4997" t="s">
        <v>41</v>
      </c>
      <c r="G4997">
        <v>-422.12509999999997</v>
      </c>
      <c r="H4997" s="1">
        <v>-1.7769389999999999E-6</v>
      </c>
      <c r="I4997">
        <v>52.413139999999999</v>
      </c>
      <c r="J4997">
        <v>-423.02319999999997</v>
      </c>
      <c r="K4997">
        <v>1.109756</v>
      </c>
      <c r="L4997">
        <v>63.147979999999997</v>
      </c>
      <c r="M4997">
        <v>-1.378882E-2</v>
      </c>
      <c r="N4997">
        <v>0</v>
      </c>
      <c r="O4997">
        <v>-0.99986359999999996</v>
      </c>
      <c r="P4997">
        <v>-1.7913249999999999E-2</v>
      </c>
      <c r="Q4997">
        <v>-7.1690570000000002E-4</v>
      </c>
      <c r="R4997">
        <v>-0.99983960000000005</v>
      </c>
      <c r="S4997">
        <v>0.24478150000000001</v>
      </c>
      <c r="T4997">
        <v>-0.30360199999999998</v>
      </c>
      <c r="U4997">
        <v>-3.0047000000000001</v>
      </c>
      <c r="V4997">
        <v>4.122995E-3</v>
      </c>
      <c r="W4997">
        <v>8.3820479999999996E-3</v>
      </c>
      <c r="X4997">
        <v>0.99995639999999997</v>
      </c>
      <c r="Y4997">
        <v>-9.4525129999999999E-2</v>
      </c>
      <c r="Z4997">
        <v>0.1001268</v>
      </c>
      <c r="AA4997">
        <v>0.99047450000000004</v>
      </c>
      <c r="AB4997">
        <v>25</v>
      </c>
      <c r="AC4997">
        <v>0.89809999999999901</v>
      </c>
      <c r="AD4997">
        <v>-1.1097577769389999</v>
      </c>
      <c r="AE4997">
        <v>-10.734839999999901</v>
      </c>
      <c r="AF4997">
        <v>-1.03505650296318</v>
      </c>
      <c r="AG4997">
        <v>-1.1097577769389999</v>
      </c>
      <c r="AH4997">
        <v>10.6088439873547</v>
      </c>
      <c r="AI4997">
        <v>95.943792932432004</v>
      </c>
      <c r="AJ4997">
        <v>95.572451030114095</v>
      </c>
      <c r="AK4997">
        <v>10.716831389726901</v>
      </c>
      <c r="AL4997">
        <v>89.519738416390695</v>
      </c>
      <c r="AM4997">
        <v>89.763760826187493</v>
      </c>
      <c r="AN4997">
        <v>1.0000000298587</v>
      </c>
    </row>
    <row r="4998" spans="1:40" x14ac:dyDescent="0.25">
      <c r="A4998" t="str">
        <f>"20190312161114452"</f>
        <v>20190312161114452</v>
      </c>
      <c r="B4998" t="str">
        <f>"1552378274442123"</f>
        <v>1552378274442123</v>
      </c>
      <c r="C4998" t="s">
        <v>40</v>
      </c>
      <c r="D4998">
        <v>5.6970910000000003</v>
      </c>
      <c r="E4998">
        <v>0.46241480000000001</v>
      </c>
      <c r="F4998" t="s">
        <v>41</v>
      </c>
      <c r="G4998">
        <v>-422.11720000000003</v>
      </c>
      <c r="H4998" s="1">
        <v>-1.6539829999999999E-6</v>
      </c>
      <c r="I4998">
        <v>52.131430000000002</v>
      </c>
      <c r="J4998">
        <v>-423.02640000000002</v>
      </c>
      <c r="K4998">
        <v>1.1097600000000001</v>
      </c>
      <c r="L4998">
        <v>62.902769999999997</v>
      </c>
      <c r="M4998">
        <v>-1.366889E-2</v>
      </c>
      <c r="N4998">
        <v>0</v>
      </c>
      <c r="O4998">
        <v>-0.99986529999999996</v>
      </c>
      <c r="P4998">
        <v>-1.765854E-2</v>
      </c>
      <c r="Q4998">
        <v>2.7435650000000002E-4</v>
      </c>
      <c r="R4998">
        <v>-0.99984419999999996</v>
      </c>
      <c r="S4998">
        <v>0.24710080000000001</v>
      </c>
      <c r="T4998">
        <v>-0.30267680000000002</v>
      </c>
      <c r="U4998">
        <v>-3.0046689999999998</v>
      </c>
      <c r="V4998">
        <v>3.9880180000000003E-3</v>
      </c>
      <c r="W4998">
        <v>9.3766920000000007E-3</v>
      </c>
      <c r="X4998">
        <v>0.99994810000000001</v>
      </c>
      <c r="Y4998">
        <v>-9.5168520000000006E-2</v>
      </c>
      <c r="Z4998">
        <v>9.9819809999999995E-2</v>
      </c>
      <c r="AA4998">
        <v>0.99044379999999999</v>
      </c>
      <c r="AB4998">
        <v>25</v>
      </c>
      <c r="AC4998">
        <v>0.90919999999999801</v>
      </c>
      <c r="AD4998">
        <v>-1.109761653983</v>
      </c>
      <c r="AE4998">
        <v>-10.771339999999901</v>
      </c>
      <c r="AF4998">
        <v>-1.0453356541343899</v>
      </c>
      <c r="AG4998">
        <v>-1.109761653983</v>
      </c>
      <c r="AH4998">
        <v>10.645700696752399</v>
      </c>
      <c r="AI4998">
        <v>95.923023961110005</v>
      </c>
      <c r="AJ4998">
        <v>95.608079124406402</v>
      </c>
      <c r="AK4998">
        <v>10.7543126643822</v>
      </c>
      <c r="AL4998">
        <v>89.462747257535597</v>
      </c>
      <c r="AM4998">
        <v>89.771492751924299</v>
      </c>
      <c r="AN4998">
        <v>1.00000001466702</v>
      </c>
    </row>
    <row r="4999" spans="1:40" x14ac:dyDescent="0.25">
      <c r="A4999" t="str">
        <f>"20190312161114475"</f>
        <v>20190312161114475</v>
      </c>
      <c r="B4999" t="str">
        <f>"1552378274461643"</f>
        <v>1552378274461643</v>
      </c>
      <c r="C4999" t="s">
        <v>40</v>
      </c>
      <c r="D4999">
        <v>5.601413</v>
      </c>
      <c r="E4999">
        <v>0.46218939999999997</v>
      </c>
      <c r="F4999" t="s">
        <v>41</v>
      </c>
      <c r="G4999">
        <v>-422.09780000000001</v>
      </c>
      <c r="H4999" s="1">
        <v>-1.490771E-6</v>
      </c>
      <c r="I4999">
        <v>51.762990000000002</v>
      </c>
      <c r="J4999">
        <v>-423.02969999999999</v>
      </c>
      <c r="K4999">
        <v>1.1097619999999999</v>
      </c>
      <c r="L4999">
        <v>62.653750000000002</v>
      </c>
      <c r="M4999">
        <v>-1.3547099999999999E-2</v>
      </c>
      <c r="N4999">
        <v>0</v>
      </c>
      <c r="O4999">
        <v>-0.9998667</v>
      </c>
      <c r="P4999">
        <v>-1.7531620000000001E-2</v>
      </c>
      <c r="Q4999">
        <v>5.8389939999999995E-4</v>
      </c>
      <c r="R4999">
        <v>-0.99984620000000002</v>
      </c>
      <c r="S4999">
        <v>0.2504883</v>
      </c>
      <c r="T4999">
        <v>-0.29935990000000001</v>
      </c>
      <c r="U4999">
        <v>-3.0049739999999998</v>
      </c>
      <c r="V4999">
        <v>3.9828229999999999E-3</v>
      </c>
      <c r="W4999">
        <v>9.6928190000000001E-3</v>
      </c>
      <c r="X4999">
        <v>0.99994510000000003</v>
      </c>
      <c r="Y4999">
        <v>-9.6157039999999999E-2</v>
      </c>
      <c r="Z4999">
        <v>9.8717819999999998E-2</v>
      </c>
      <c r="AA4999">
        <v>0.99045879999999997</v>
      </c>
      <c r="AB4999">
        <v>25</v>
      </c>
      <c r="AC4999">
        <v>0.93189999999998396</v>
      </c>
      <c r="AD4999">
        <v>-1.1097634907709999</v>
      </c>
      <c r="AE4999">
        <v>-10.89076</v>
      </c>
      <c r="AF4999">
        <v>-1.0683462590156101</v>
      </c>
      <c r="AG4999">
        <v>-1.1097634907709999</v>
      </c>
      <c r="AH4999">
        <v>10.7661574318241</v>
      </c>
      <c r="AI4999">
        <v>95.856636792702602</v>
      </c>
      <c r="AJ4999">
        <v>95.667016682404594</v>
      </c>
      <c r="AK4999">
        <v>10.875802709750801</v>
      </c>
      <c r="AL4999">
        <v>89.444633687923698</v>
      </c>
      <c r="AM4999">
        <v>89.771789729560297</v>
      </c>
      <c r="AN4999">
        <v>1.0000000083166101</v>
      </c>
    </row>
    <row r="5000" spans="1:40" x14ac:dyDescent="0.25">
      <c r="A5000" t="str">
        <f>"20190312161114497"</f>
        <v>20190312161114497</v>
      </c>
      <c r="B5000" t="str">
        <f>"1552378274491899"</f>
        <v>1552378274491899</v>
      </c>
      <c r="C5000" t="s">
        <v>40</v>
      </c>
      <c r="D5000">
        <v>5.5393470000000002</v>
      </c>
      <c r="E5000">
        <v>0.46202680000000002</v>
      </c>
      <c r="F5000" t="s">
        <v>41</v>
      </c>
      <c r="G5000">
        <v>-422.09309999999999</v>
      </c>
      <c r="H5000" s="1">
        <v>-1.374057E-6</v>
      </c>
      <c r="I5000">
        <v>51.493859999999998</v>
      </c>
      <c r="J5000">
        <v>-423.03300000000002</v>
      </c>
      <c r="K5000">
        <v>1.1097649999999999</v>
      </c>
      <c r="L5000">
        <v>62.404910000000001</v>
      </c>
      <c r="M5000">
        <v>-1.3425070000000001E-2</v>
      </c>
      <c r="N5000">
        <v>0</v>
      </c>
      <c r="O5000">
        <v>-0.99986839999999999</v>
      </c>
      <c r="P5000">
        <v>-1.7965419999999999E-2</v>
      </c>
      <c r="Q5000">
        <v>8.3397699999999996E-4</v>
      </c>
      <c r="R5000">
        <v>-0.99983849999999996</v>
      </c>
      <c r="S5000">
        <v>0.25219730000000001</v>
      </c>
      <c r="T5000">
        <v>-0.29883029999999999</v>
      </c>
      <c r="U5000">
        <v>-3.0050659999999998</v>
      </c>
      <c r="V5000">
        <v>4.5386929999999999E-3</v>
      </c>
      <c r="W5000">
        <v>9.9574520000000003E-3</v>
      </c>
      <c r="X5000">
        <v>0.9999401</v>
      </c>
      <c r="Y5000">
        <v>-9.659392E-2</v>
      </c>
      <c r="Z5000">
        <v>9.8537749999999993E-2</v>
      </c>
      <c r="AA5000">
        <v>0.99043419999999904</v>
      </c>
      <c r="AB5000">
        <v>25</v>
      </c>
      <c r="AC5000">
        <v>0.93990000000002205</v>
      </c>
      <c r="AD5000">
        <v>-1.1097663740569901</v>
      </c>
      <c r="AE5000">
        <v>-10.911049999999999</v>
      </c>
      <c r="AF5000">
        <v>-1.0752613418053401</v>
      </c>
      <c r="AG5000">
        <v>-1.1097663740569901</v>
      </c>
      <c r="AH5000">
        <v>10.7866816962774</v>
      </c>
      <c r="AI5000">
        <v>95.845326894438003</v>
      </c>
      <c r="AJ5000">
        <v>95.692675648460806</v>
      </c>
      <c r="AK5000">
        <v>10.896800923893901</v>
      </c>
      <c r="AL5000">
        <v>89.429470584278306</v>
      </c>
      <c r="AM5000">
        <v>89.739938254727306</v>
      </c>
      <c r="AN5000">
        <v>0.999999977086245</v>
      </c>
    </row>
    <row r="5001" spans="1:40" x14ac:dyDescent="0.25">
      <c r="A5001" t="str">
        <f>"20190312161114520"</f>
        <v>20190312161114520</v>
      </c>
      <c r="B5001" t="str">
        <f>"1552378274512395"</f>
        <v>1552378274512395</v>
      </c>
      <c r="C5001" t="s">
        <v>40</v>
      </c>
      <c r="D5001">
        <v>5.4453569999999996</v>
      </c>
      <c r="E5001">
        <v>0.43903950000000003</v>
      </c>
      <c r="F5001" t="s">
        <v>41</v>
      </c>
      <c r="G5001">
        <v>-422.09800000000001</v>
      </c>
      <c r="H5001" s="1">
        <v>-1.2863089999999999E-6</v>
      </c>
      <c r="I5001">
        <v>51.286299999999997</v>
      </c>
      <c r="J5001">
        <v>-423.03620000000001</v>
      </c>
      <c r="K5001">
        <v>1.109769</v>
      </c>
      <c r="L5001">
        <v>62.153230000000001</v>
      </c>
      <c r="M5001">
        <v>-1.330215E-2</v>
      </c>
      <c r="N5001">
        <v>0</v>
      </c>
      <c r="O5001">
        <v>-0.99986960000000003</v>
      </c>
      <c r="P5001">
        <v>-1.8691369999999999E-2</v>
      </c>
      <c r="Q5001">
        <v>7.7003029999999999E-4</v>
      </c>
      <c r="R5001">
        <v>-0.99982490000000002</v>
      </c>
      <c r="S5001">
        <v>0.2527161</v>
      </c>
      <c r="T5001">
        <v>-0.2999617</v>
      </c>
      <c r="U5001">
        <v>-3.00528</v>
      </c>
      <c r="V5001">
        <v>5.3876769999999996E-3</v>
      </c>
      <c r="W5001">
        <v>9.9164460000000006E-3</v>
      </c>
      <c r="X5001">
        <v>0.9999363</v>
      </c>
      <c r="Y5001">
        <v>-9.6632469999999998E-2</v>
      </c>
      <c r="Z5001">
        <v>9.8899580000000001E-2</v>
      </c>
      <c r="AA5001">
        <v>0.99039440000000001</v>
      </c>
      <c r="AB5001">
        <v>25</v>
      </c>
      <c r="AC5001">
        <v>0.93819999999999404</v>
      </c>
      <c r="AD5001">
        <v>-1.109770286309</v>
      </c>
      <c r="AE5001">
        <v>-10.86693</v>
      </c>
      <c r="AF5001">
        <v>-1.07158346620399</v>
      </c>
      <c r="AG5001">
        <v>-1.109770286309</v>
      </c>
      <c r="AH5001">
        <v>10.7422829466362</v>
      </c>
      <c r="AI5001">
        <v>95.869298277898906</v>
      </c>
      <c r="AJ5001">
        <v>95.696625827923498</v>
      </c>
      <c r="AK5001">
        <v>10.852489305178199</v>
      </c>
      <c r="AL5001">
        <v>89.4318201747232</v>
      </c>
      <c r="AM5001">
        <v>89.691292168959194</v>
      </c>
      <c r="AN5001">
        <v>0.999999983511208</v>
      </c>
    </row>
    <row r="5002" spans="1:40" x14ac:dyDescent="0.25">
      <c r="A5002" t="str">
        <f>"20190312161114543"</f>
        <v>20190312161114543</v>
      </c>
      <c r="B5002" t="str">
        <f>"1552378274531916"</f>
        <v>1552378274531916</v>
      </c>
      <c r="C5002" t="s">
        <v>40</v>
      </c>
      <c r="D5002">
        <v>5.2945310000000001</v>
      </c>
      <c r="E5002">
        <v>0.42060959999999997</v>
      </c>
      <c r="F5002" t="s">
        <v>41</v>
      </c>
      <c r="G5002">
        <v>-420.9871</v>
      </c>
      <c r="H5002" s="1">
        <v>-3.8327700000000004E-6</v>
      </c>
      <c r="I5002">
        <v>47.911149999999999</v>
      </c>
      <c r="J5002">
        <v>-423.03960000000001</v>
      </c>
      <c r="K5002">
        <v>1.109775</v>
      </c>
      <c r="L5002">
        <v>61.887819999999998</v>
      </c>
      <c r="M5002">
        <v>-1.317254E-2</v>
      </c>
      <c r="N5002">
        <v>0</v>
      </c>
      <c r="O5002">
        <v>-0.99987130000000002</v>
      </c>
      <c r="P5002">
        <v>-1.9025750000000001E-2</v>
      </c>
      <c r="Q5002">
        <v>3.5182909999999999E-4</v>
      </c>
      <c r="R5002">
        <v>-0.99981900000000001</v>
      </c>
      <c r="S5002">
        <v>0.43289179999999999</v>
      </c>
      <c r="T5002">
        <v>-0.23445340000000001</v>
      </c>
      <c r="U5002">
        <v>-3.0088200000000001</v>
      </c>
      <c r="V5002">
        <v>5.8517789999999997E-3</v>
      </c>
      <c r="W5002">
        <v>9.5278419999999999E-3</v>
      </c>
      <c r="X5002">
        <v>0.99993750000000003</v>
      </c>
      <c r="Y5002">
        <v>-0.1550134</v>
      </c>
      <c r="Z5002">
        <v>7.6813759999999995E-2</v>
      </c>
      <c r="AA5002">
        <v>0.98492159999999995</v>
      </c>
      <c r="AB5002">
        <v>25</v>
      </c>
      <c r="AC5002">
        <v>2.0525000000000002</v>
      </c>
      <c r="AD5002">
        <v>-1.10977883277</v>
      </c>
      <c r="AE5002">
        <v>-13.97667</v>
      </c>
      <c r="AF5002">
        <v>-2.2227200862946099</v>
      </c>
      <c r="AG5002">
        <v>-1.10977883277</v>
      </c>
      <c r="AH5002">
        <v>13.862863149755199</v>
      </c>
      <c r="AI5002">
        <v>94.5195194935812</v>
      </c>
      <c r="AJ5002">
        <v>99.109063145322807</v>
      </c>
      <c r="AK5002">
        <v>14.083716425309101</v>
      </c>
      <c r="AL5002">
        <v>89.454086613040204</v>
      </c>
      <c r="AM5002">
        <v>89.664700631904694</v>
      </c>
      <c r="AN5002">
        <v>1.0000000134984399</v>
      </c>
    </row>
    <row r="5003" spans="1:40" x14ac:dyDescent="0.25">
      <c r="A5003" t="str">
        <f>"20190312161114568"</f>
        <v>20190312161114568</v>
      </c>
      <c r="B5003" t="str">
        <f>"1552378274562173"</f>
        <v>1552378274562173</v>
      </c>
      <c r="C5003" t="s">
        <v>40</v>
      </c>
      <c r="D5003">
        <v>5.1360010000000003</v>
      </c>
      <c r="E5003">
        <v>0.40977209999999997</v>
      </c>
      <c r="F5003" t="s">
        <v>41</v>
      </c>
      <c r="G5003">
        <v>-419.94260000000003</v>
      </c>
      <c r="H5003" s="1">
        <v>-2.6448769999999999E-6</v>
      </c>
      <c r="I5003">
        <v>45.774329999999999</v>
      </c>
      <c r="J5003">
        <v>-423.04300000000001</v>
      </c>
      <c r="K5003">
        <v>1.1097840000000001</v>
      </c>
      <c r="L5003">
        <v>61.62115</v>
      </c>
      <c r="M5003">
        <v>-1.304254E-2</v>
      </c>
      <c r="N5003">
        <v>0</v>
      </c>
      <c r="O5003">
        <v>-0.99987239999999999</v>
      </c>
      <c r="P5003">
        <v>-1.9050859999999999E-2</v>
      </c>
      <c r="Q5003">
        <v>7.3770689999999996E-4</v>
      </c>
      <c r="R5003">
        <v>-0.9998184</v>
      </c>
      <c r="S5003">
        <v>0.57882690000000003</v>
      </c>
      <c r="T5003">
        <v>-0.20741860000000001</v>
      </c>
      <c r="U5003">
        <v>-3.0116269999999998</v>
      </c>
      <c r="V5003">
        <v>6.0068259999999998E-3</v>
      </c>
      <c r="W5003">
        <v>9.9545899999999993E-3</v>
      </c>
      <c r="X5003">
        <v>0.99993240000000005</v>
      </c>
      <c r="Y5003">
        <v>-0.20110620000000001</v>
      </c>
      <c r="Z5003">
        <v>6.7385299999999995E-2</v>
      </c>
      <c r="AA5003">
        <v>0.97724900000000003</v>
      </c>
      <c r="AB5003">
        <v>25</v>
      </c>
      <c r="AC5003">
        <v>3.1003999999999698</v>
      </c>
      <c r="AD5003">
        <v>-1.109786644877</v>
      </c>
      <c r="AE5003">
        <v>-15.846819999999999</v>
      </c>
      <c r="AF5003">
        <v>-3.2912808641974598</v>
      </c>
      <c r="AG5003">
        <v>-1.109786644877</v>
      </c>
      <c r="AH5003">
        <v>15.730726172658899</v>
      </c>
      <c r="AI5003">
        <v>93.950216541165403</v>
      </c>
      <c r="AJ5003">
        <v>101.817312462098</v>
      </c>
      <c r="AK5003">
        <v>16.109621412167201</v>
      </c>
      <c r="AL5003">
        <v>89.429634580407907</v>
      </c>
      <c r="AM5003">
        <v>89.655815094892802</v>
      </c>
      <c r="AN5003">
        <v>0.99999999019521102</v>
      </c>
    </row>
    <row r="5004" spans="1:40" x14ac:dyDescent="0.25">
      <c r="A5004" t="str">
        <f>"20190312161114589"</f>
        <v>20190312161114589</v>
      </c>
      <c r="B5004" t="str">
        <f>"1552378274581692"</f>
        <v>1552378274581692</v>
      </c>
      <c r="C5004" t="s">
        <v>40</v>
      </c>
      <c r="D5004">
        <v>5.0502409999999998</v>
      </c>
      <c r="E5004">
        <v>0.40614860000000003</v>
      </c>
      <c r="F5004" t="s">
        <v>41</v>
      </c>
      <c r="G5004">
        <v>-418.59539999999998</v>
      </c>
      <c r="H5004" s="1">
        <v>-1.0300709999999999E-6</v>
      </c>
      <c r="I5004">
        <v>41.453099999999999</v>
      </c>
      <c r="J5004">
        <v>-423.04610000000002</v>
      </c>
      <c r="K5004">
        <v>1.1097889999999999</v>
      </c>
      <c r="L5004">
        <v>61.372990000000001</v>
      </c>
      <c r="M5004">
        <v>-1.292184E-2</v>
      </c>
      <c r="N5004">
        <v>0</v>
      </c>
      <c r="O5004">
        <v>-0.99987389999999998</v>
      </c>
      <c r="P5004">
        <v>-1.8504900000000001E-2</v>
      </c>
      <c r="Q5004">
        <v>8.4752259999999995E-4</v>
      </c>
      <c r="R5004">
        <v>-0.99982890000000002</v>
      </c>
      <c r="S5004">
        <v>0.66452029999999995</v>
      </c>
      <c r="T5004">
        <v>-0.1658145</v>
      </c>
      <c r="U5004">
        <v>-3.0133359999999998</v>
      </c>
      <c r="V5004">
        <v>5.5814419999999998E-3</v>
      </c>
      <c r="W5004">
        <v>1.0117660000000001E-2</v>
      </c>
      <c r="X5004">
        <v>0.99993319999999997</v>
      </c>
      <c r="Y5004">
        <v>-0.22764380000000001</v>
      </c>
      <c r="Z5004">
        <v>5.3573849999999999E-2</v>
      </c>
      <c r="AA5004">
        <v>0.97226959999999996</v>
      </c>
      <c r="AB5004">
        <v>25</v>
      </c>
      <c r="AC5004">
        <v>4.4507000000000403</v>
      </c>
      <c r="AD5004">
        <v>-1.109790030071</v>
      </c>
      <c r="AE5004">
        <v>-19.919889999999999</v>
      </c>
      <c r="AF5004">
        <v>-4.6938644195395298</v>
      </c>
      <c r="AG5004">
        <v>-1.109790030071</v>
      </c>
      <c r="AH5004">
        <v>19.802171534908201</v>
      </c>
      <c r="AI5004">
        <v>93.121406163488004</v>
      </c>
      <c r="AJ5004">
        <v>103.335151137138</v>
      </c>
      <c r="AK5004">
        <v>20.381118580632201</v>
      </c>
      <c r="AL5004">
        <v>89.420290870617393</v>
      </c>
      <c r="AM5004">
        <v>89.680188887586198</v>
      </c>
      <c r="AN5004">
        <v>0.99999996200045604</v>
      </c>
    </row>
    <row r="5005" spans="1:40" x14ac:dyDescent="0.25">
      <c r="A5005" t="str">
        <f>"20190312161114611"</f>
        <v>20190312161114611</v>
      </c>
      <c r="B5005" t="str">
        <f>"1552378274602187"</f>
        <v>1552378274602187</v>
      </c>
      <c r="C5005" t="s">
        <v>40</v>
      </c>
      <c r="D5005">
        <v>4.9632129999999997</v>
      </c>
      <c r="E5005">
        <v>0.40354329999999999</v>
      </c>
      <c r="F5005" t="s">
        <v>78</v>
      </c>
      <c r="G5005">
        <v>-418.0059</v>
      </c>
      <c r="H5005" s="1">
        <v>-5.8997559999999997E-7</v>
      </c>
      <c r="I5005">
        <v>39.502699999999997</v>
      </c>
      <c r="J5005">
        <v>-423.04919999999998</v>
      </c>
      <c r="K5005">
        <v>1.109796</v>
      </c>
      <c r="L5005">
        <v>61.123139999999999</v>
      </c>
      <c r="M5005">
        <v>-1.2799720000000001E-2</v>
      </c>
      <c r="N5005">
        <v>0</v>
      </c>
      <c r="O5005">
        <v>-0.99987479999999995</v>
      </c>
      <c r="P5005">
        <v>-1.8058729999999999E-2</v>
      </c>
      <c r="Q5005">
        <v>2.8515019999999998E-4</v>
      </c>
      <c r="R5005">
        <v>-0.99983719999999998</v>
      </c>
      <c r="S5005">
        <v>0.69448849999999995</v>
      </c>
      <c r="T5005">
        <v>-0.15291849999999901</v>
      </c>
      <c r="U5005">
        <v>-3.0135190000000001</v>
      </c>
      <c r="V5005">
        <v>5.257421E-3</v>
      </c>
      <c r="W5005">
        <v>9.6155760000000007E-3</v>
      </c>
      <c r="X5005">
        <v>0.99993989999999999</v>
      </c>
      <c r="Y5005">
        <v>-0.23675270000000001</v>
      </c>
      <c r="Z5005">
        <v>4.9307669999999998E-2</v>
      </c>
      <c r="AA5005">
        <v>0.97031800000000001</v>
      </c>
      <c r="AB5005">
        <v>25</v>
      </c>
      <c r="AC5005">
        <v>5.0432999999999799</v>
      </c>
      <c r="AD5005">
        <v>-1.1097965899755999</v>
      </c>
      <c r="AE5005">
        <v>-21.620439999999999</v>
      </c>
      <c r="AF5005">
        <v>-5.30637432949732</v>
      </c>
      <c r="AG5005">
        <v>-1.1097965899755999</v>
      </c>
      <c r="AH5005">
        <v>21.500385992100199</v>
      </c>
      <c r="AI5005">
        <v>92.868909859310904</v>
      </c>
      <c r="AJ5005">
        <v>103.863751163063</v>
      </c>
      <c r="AK5005">
        <v>22.1733140239606</v>
      </c>
      <c r="AL5005">
        <v>89.449059560848397</v>
      </c>
      <c r="AM5005">
        <v>89.698756636499994</v>
      </c>
      <c r="AN5005">
        <v>0.99999995169469502</v>
      </c>
    </row>
    <row r="5006" spans="1:40" x14ac:dyDescent="0.25">
      <c r="A5006" t="str">
        <f>"20190312161114631"</f>
        <v>20190312161114631</v>
      </c>
      <c r="B5006" t="str">
        <f>"1552378274621708"</f>
        <v>1552378274621708</v>
      </c>
      <c r="C5006" t="s">
        <v>40</v>
      </c>
      <c r="D5006">
        <v>4.9050219999999998</v>
      </c>
      <c r="E5006">
        <v>0.40187640000000002</v>
      </c>
      <c r="F5006" t="s">
        <v>78</v>
      </c>
      <c r="G5006">
        <v>-417.51490000000001</v>
      </c>
      <c r="H5006" s="1">
        <v>-1.7663659999999901E-6</v>
      </c>
      <c r="I5006">
        <v>37.857489999999999</v>
      </c>
      <c r="J5006">
        <v>-423.05180000000001</v>
      </c>
      <c r="K5006">
        <v>1.1098059999999901</v>
      </c>
      <c r="L5006">
        <v>60.9071</v>
      </c>
      <c r="M5006">
        <v>-1.2694510000000001E-2</v>
      </c>
      <c r="N5006">
        <v>0</v>
      </c>
      <c r="O5006">
        <v>-0.99987530000000002</v>
      </c>
      <c r="P5006">
        <v>-1.8013629999999999E-2</v>
      </c>
      <c r="Q5006">
        <v>3.6244050000000001E-4</v>
      </c>
      <c r="R5006">
        <v>-0.99983759999999999</v>
      </c>
      <c r="S5006">
        <v>0.7168274</v>
      </c>
      <c r="T5006">
        <v>-0.14374690000000001</v>
      </c>
      <c r="U5006">
        <v>-3.0134889999999999</v>
      </c>
      <c r="V5006">
        <v>5.3175039999999998E-3</v>
      </c>
      <c r="W5006">
        <v>9.7509910000000005E-3</v>
      </c>
      <c r="X5006">
        <v>0.99993829999999995</v>
      </c>
      <c r="Y5006">
        <v>-0.24349950000000001</v>
      </c>
      <c r="Z5006">
        <v>4.6279889999999997E-2</v>
      </c>
      <c r="AA5006">
        <v>0.96879630000000005</v>
      </c>
      <c r="AB5006">
        <v>25</v>
      </c>
      <c r="AC5006">
        <v>5.5369000000000002</v>
      </c>
      <c r="AD5006">
        <v>-1.10980776636599</v>
      </c>
      <c r="AE5006">
        <v>-23.049609999999898</v>
      </c>
      <c r="AF5006">
        <v>-5.8163219091834497</v>
      </c>
      <c r="AG5006">
        <v>-1.10980776636599</v>
      </c>
      <c r="AH5006">
        <v>22.927208963506899</v>
      </c>
      <c r="AI5006">
        <v>92.686316594887899</v>
      </c>
      <c r="AJ5006">
        <v>104.234863023857</v>
      </c>
      <c r="AK5006">
        <v>23.6794886913938</v>
      </c>
      <c r="AL5006">
        <v>89.441300504936294</v>
      </c>
      <c r="AM5006">
        <v>89.695313536012904</v>
      </c>
      <c r="AN5006">
        <v>0.99999998074058005</v>
      </c>
    </row>
    <row r="5007" spans="1:40" x14ac:dyDescent="0.25">
      <c r="A5007" t="str">
        <f>"20190312161114652"</f>
        <v>20190312161114652</v>
      </c>
      <c r="B5007" t="str">
        <f>"1552378274642204"</f>
        <v>1552378274642204</v>
      </c>
      <c r="C5007" t="s">
        <v>40</v>
      </c>
      <c r="D5007">
        <v>4.8421560000000001</v>
      </c>
      <c r="E5007">
        <v>0.40049639999999997</v>
      </c>
      <c r="F5007" t="s">
        <v>78</v>
      </c>
      <c r="G5007">
        <v>-416.94709999999998</v>
      </c>
      <c r="H5007" s="1">
        <v>-3.236106E-6</v>
      </c>
      <c r="I5007">
        <v>35.727989999999998</v>
      </c>
      <c r="J5007">
        <v>-423.0548</v>
      </c>
      <c r="K5007">
        <v>1.1098269999999999</v>
      </c>
      <c r="L5007">
        <v>60.660400000000003</v>
      </c>
      <c r="M5007">
        <v>-1.2574470000000001E-2</v>
      </c>
      <c r="N5007">
        <v>0</v>
      </c>
      <c r="O5007">
        <v>-0.99987599999999999</v>
      </c>
      <c r="P5007">
        <v>-1.7450609999999998E-2</v>
      </c>
      <c r="Q5007">
        <v>1.4403479999999999E-3</v>
      </c>
      <c r="R5007">
        <v>-0.99984680000000004</v>
      </c>
      <c r="S5007">
        <v>0.73068239999999995</v>
      </c>
      <c r="T5007">
        <v>-0.1328337</v>
      </c>
      <c r="U5007">
        <v>-3.0137019999999999</v>
      </c>
      <c r="V5007">
        <v>4.874247E-3</v>
      </c>
      <c r="W5007">
        <v>1.0907740000000001E-2</v>
      </c>
      <c r="X5007">
        <v>0.9999287</v>
      </c>
      <c r="Y5007">
        <v>-0.2476138</v>
      </c>
      <c r="Z5007">
        <v>4.2725220000000001E-2</v>
      </c>
      <c r="AA5007">
        <v>0.96791629999999995</v>
      </c>
      <c r="AB5007">
        <v>25</v>
      </c>
      <c r="AC5007">
        <v>6.1077000000000199</v>
      </c>
      <c r="AD5007">
        <v>-1.109830236106</v>
      </c>
      <c r="AE5007">
        <v>-24.932410000000001</v>
      </c>
      <c r="AF5007">
        <v>-6.4087632256503904</v>
      </c>
      <c r="AG5007">
        <v>-1.109830236106</v>
      </c>
      <c r="AH5007">
        <v>24.807262352824701</v>
      </c>
      <c r="AI5007">
        <v>92.480273162393402</v>
      </c>
      <c r="AJ5007">
        <v>104.485210867836</v>
      </c>
      <c r="AK5007">
        <v>25.645744962416199</v>
      </c>
      <c r="AL5007">
        <v>89.375020184756494</v>
      </c>
      <c r="AM5007">
        <v>89.720708517085399</v>
      </c>
      <c r="AN5007">
        <v>1.0000000710796999</v>
      </c>
    </row>
    <row r="5008" spans="1:40" x14ac:dyDescent="0.25">
      <c r="A5008" t="str">
        <f>"20190312161114675"</f>
        <v>20190312161114675</v>
      </c>
      <c r="B5008" t="str">
        <f>"1552378274672459"</f>
        <v>1552378274672459</v>
      </c>
      <c r="C5008" t="s">
        <v>40</v>
      </c>
      <c r="D5008">
        <v>4.7720929999999999</v>
      </c>
      <c r="E5008">
        <v>0.3543597</v>
      </c>
      <c r="F5008" t="s">
        <v>78</v>
      </c>
      <c r="G5008">
        <v>-416.33690000000001</v>
      </c>
      <c r="H5008" s="1">
        <v>-4.5975630000000003E-6</v>
      </c>
      <c r="I5008">
        <v>33.403129999999997</v>
      </c>
      <c r="J5008">
        <v>-423.05779999999999</v>
      </c>
      <c r="K5008">
        <v>1.1098410000000001</v>
      </c>
      <c r="L5008">
        <v>60.407899999999998</v>
      </c>
      <c r="M5008">
        <v>-1.2451479999999999E-2</v>
      </c>
      <c r="N5008">
        <v>0</v>
      </c>
      <c r="O5008">
        <v>-0.99987669999999995</v>
      </c>
      <c r="P5008">
        <v>-1.7060499999999999E-2</v>
      </c>
      <c r="Q5008">
        <v>1.211571E-3</v>
      </c>
      <c r="R5008">
        <v>-0.99985380000000001</v>
      </c>
      <c r="S5008">
        <v>0.74273679999999997</v>
      </c>
      <c r="T5008">
        <v>-0.12270490000000001</v>
      </c>
      <c r="U5008">
        <v>-3.013611</v>
      </c>
      <c r="V5008">
        <v>4.607084E-3</v>
      </c>
      <c r="W5008">
        <v>1.0778039999999999E-2</v>
      </c>
      <c r="X5008">
        <v>0.99993129999999997</v>
      </c>
      <c r="Y5008">
        <v>-0.2511854</v>
      </c>
      <c r="Z5008">
        <v>3.9437159999999999E-2</v>
      </c>
      <c r="AA5008">
        <v>0.96713530000000003</v>
      </c>
      <c r="AB5008">
        <v>25</v>
      </c>
      <c r="AC5008">
        <v>6.7208999999999701</v>
      </c>
      <c r="AD5008">
        <v>-1.1098455975629999</v>
      </c>
      <c r="AE5008">
        <v>-27.004770000000001</v>
      </c>
      <c r="AF5008">
        <v>-7.0454376401130103</v>
      </c>
      <c r="AG5008">
        <v>-1.1098455975629999</v>
      </c>
      <c r="AH5008">
        <v>26.8762396653885</v>
      </c>
      <c r="AI5008">
        <v>92.287462749111597</v>
      </c>
      <c r="AJ5008">
        <v>104.689205208082</v>
      </c>
      <c r="AK5008">
        <v>27.806513757437401</v>
      </c>
      <c r="AL5008">
        <v>89.382451838610606</v>
      </c>
      <c r="AM5008">
        <v>89.736017263138905</v>
      </c>
      <c r="AN5008">
        <v>0.99999999804445705</v>
      </c>
    </row>
    <row r="5009" spans="1:40" x14ac:dyDescent="0.25">
      <c r="A5009" t="str">
        <f>"20190312161114698"</f>
        <v>20190312161114698</v>
      </c>
      <c r="B5009" t="str">
        <f>"1552378274691980"</f>
        <v>1552378274691980</v>
      </c>
      <c r="C5009" t="s">
        <v>40</v>
      </c>
      <c r="D5009">
        <v>4.791639</v>
      </c>
      <c r="E5009">
        <v>0.33696340000000002</v>
      </c>
      <c r="F5009" t="s">
        <v>95</v>
      </c>
      <c r="G5009">
        <v>-401.0856</v>
      </c>
      <c r="H5009">
        <v>0.67859440000000004</v>
      </c>
      <c r="I5009">
        <v>0.66974829999999996</v>
      </c>
      <c r="J5009">
        <v>-423.0609</v>
      </c>
      <c r="K5009">
        <v>1.1098629999999901</v>
      </c>
      <c r="L5009">
        <v>60.15146</v>
      </c>
      <c r="M5009">
        <v>-1.232636E-2</v>
      </c>
      <c r="N5009">
        <v>0</v>
      </c>
      <c r="O5009">
        <v>-0.99987720000000002</v>
      </c>
      <c r="P5009">
        <v>-1.6566810000000001E-2</v>
      </c>
      <c r="Q5009">
        <v>5.8139089999999997E-4</v>
      </c>
      <c r="R5009">
        <v>-0.99986280000000005</v>
      </c>
      <c r="S5009">
        <v>1.110565</v>
      </c>
      <c r="T5009">
        <v>-2.1798250000000002E-2</v>
      </c>
      <c r="U5009">
        <v>-3.019409</v>
      </c>
      <c r="V5009">
        <v>4.2385249999999999E-3</v>
      </c>
      <c r="W5009">
        <v>1.0273579999999999E-2</v>
      </c>
      <c r="X5009">
        <v>0.9999382</v>
      </c>
      <c r="Y5009">
        <v>-0.35673440000000001</v>
      </c>
      <c r="Z5009">
        <v>6.7595240000000003E-3</v>
      </c>
      <c r="AA5009">
        <v>0.93418140000000005</v>
      </c>
      <c r="AB5009">
        <v>25</v>
      </c>
      <c r="AC5009">
        <v>21.975300000000001</v>
      </c>
      <c r="AD5009">
        <v>-0.431268599999999</v>
      </c>
      <c r="AE5009">
        <v>-59.481711699999998</v>
      </c>
      <c r="AF5009">
        <v>-22.705807383101298</v>
      </c>
      <c r="AG5009">
        <v>-0.431268599999999</v>
      </c>
      <c r="AH5009">
        <v>59.2035656741268</v>
      </c>
      <c r="AI5009">
        <v>90.389688404389204</v>
      </c>
      <c r="AJ5009">
        <v>110.98286494176899</v>
      </c>
      <c r="AK5009">
        <v>63.409793171516398</v>
      </c>
      <c r="AL5009">
        <v>89.411356845422802</v>
      </c>
      <c r="AM5009">
        <v>89.757136851632694</v>
      </c>
      <c r="AN5009">
        <v>0.99999995767971495</v>
      </c>
    </row>
    <row r="5010" spans="1:40" x14ac:dyDescent="0.25">
      <c r="A5010" t="str">
        <f>"20190312161114720"</f>
        <v>20190312161114720</v>
      </c>
      <c r="B5010" t="str">
        <f>"1552378274712476"</f>
        <v>1552378274712476</v>
      </c>
      <c r="C5010" t="s">
        <v>40</v>
      </c>
      <c r="D5010">
        <v>4.726038</v>
      </c>
      <c r="E5010">
        <v>0.33014070000000001</v>
      </c>
      <c r="F5010" t="s">
        <v>95</v>
      </c>
      <c r="G5010">
        <v>-398.45280000000002</v>
      </c>
      <c r="H5010">
        <v>1.378844</v>
      </c>
      <c r="I5010">
        <v>0.69652749999999997</v>
      </c>
      <c r="J5010">
        <v>-423.06380000000001</v>
      </c>
      <c r="K5010">
        <v>1.10989</v>
      </c>
      <c r="L5010">
        <v>59.9037199999999</v>
      </c>
      <c r="M5010">
        <v>-1.220591E-2</v>
      </c>
      <c r="N5010">
        <v>0</v>
      </c>
      <c r="O5010">
        <v>-0.99987720000000002</v>
      </c>
      <c r="P5010">
        <v>-1.5923489999999998E-2</v>
      </c>
      <c r="Q5010">
        <v>1.6032209999999999E-4</v>
      </c>
      <c r="R5010">
        <v>-0.99987329999999996</v>
      </c>
      <c r="S5010">
        <v>1.250427</v>
      </c>
      <c r="T5010">
        <v>1.366675E-2</v>
      </c>
      <c r="U5010">
        <v>-3.021118</v>
      </c>
      <c r="V5010">
        <v>3.7155980000000001E-3</v>
      </c>
      <c r="W5010">
        <v>1.0003700000000001E-2</v>
      </c>
      <c r="X5010">
        <v>0.99994309999999997</v>
      </c>
      <c r="Y5010">
        <v>-0.39367940000000001</v>
      </c>
      <c r="Z5010">
        <v>-4.169046E-3</v>
      </c>
      <c r="AA5010">
        <v>0.91923840000000001</v>
      </c>
      <c r="AB5010">
        <v>25</v>
      </c>
      <c r="AC5010">
        <v>24.610999999999901</v>
      </c>
      <c r="AD5010">
        <v>0.26895399999999903</v>
      </c>
      <c r="AE5010">
        <v>-59.207192499999898</v>
      </c>
      <c r="AF5010">
        <v>-25.331433294719702</v>
      </c>
      <c r="AG5010">
        <v>0.26895399999999903</v>
      </c>
      <c r="AH5010">
        <v>58.901330912613098</v>
      </c>
      <c r="AI5010">
        <v>89.759662353816793</v>
      </c>
      <c r="AJ5010">
        <v>113.270874418049</v>
      </c>
      <c r="AK5010">
        <v>64.118021119620494</v>
      </c>
      <c r="AL5010">
        <v>89.426820673918897</v>
      </c>
      <c r="AM5010">
        <v>89.787100782058005</v>
      </c>
      <c r="AN5010">
        <v>1.00000004145989</v>
      </c>
    </row>
    <row r="5011" spans="1:40" x14ac:dyDescent="0.25">
      <c r="A5011" t="str">
        <f>"20190312161114743"</f>
        <v>20190312161114743</v>
      </c>
      <c r="B5011" t="str">
        <f>"1552378274731995"</f>
        <v>1552378274731995</v>
      </c>
      <c r="C5011" t="s">
        <v>40</v>
      </c>
      <c r="D5011">
        <v>4.7003969999999997</v>
      </c>
      <c r="E5011">
        <v>0.32751059999999999</v>
      </c>
      <c r="F5011" t="s">
        <v>95</v>
      </c>
      <c r="G5011">
        <v>-397.46440000000001</v>
      </c>
      <c r="H5011">
        <v>1.6488149999999999</v>
      </c>
      <c r="I5011">
        <v>0.70657729999999996</v>
      </c>
      <c r="J5011">
        <v>-423.06689999999998</v>
      </c>
      <c r="K5011">
        <v>1.1099190000000001</v>
      </c>
      <c r="L5011">
        <v>59.642180000000003</v>
      </c>
      <c r="M5011">
        <v>-1.207896E-2</v>
      </c>
      <c r="N5011">
        <v>0</v>
      </c>
      <c r="O5011">
        <v>-0.99987669999999995</v>
      </c>
      <c r="P5011">
        <v>-1.5333589999999999E-2</v>
      </c>
      <c r="Q5011" s="1">
        <v>2.1847710000000002E-5</v>
      </c>
      <c r="R5011">
        <v>-0.99988239999999995</v>
      </c>
      <c r="S5011">
        <v>1.3064880000000001</v>
      </c>
      <c r="T5011">
        <v>2.750325E-2</v>
      </c>
      <c r="U5011">
        <v>-3.0211790000000001</v>
      </c>
      <c r="V5011">
        <v>3.252521E-3</v>
      </c>
      <c r="W5011">
        <v>1.004852E-2</v>
      </c>
      <c r="X5011">
        <v>0.99994419999999995</v>
      </c>
      <c r="Y5011">
        <v>-0.40796389999999999</v>
      </c>
      <c r="Z5011">
        <v>-8.3332370000000003E-3</v>
      </c>
      <c r="AA5011">
        <v>0.91295999999999999</v>
      </c>
      <c r="AB5011">
        <v>25</v>
      </c>
      <c r="AC5011">
        <v>25.6024999999999</v>
      </c>
      <c r="AD5011">
        <v>0.53889600000000004</v>
      </c>
      <c r="AE5011">
        <v>-58.935602699999997</v>
      </c>
      <c r="AF5011">
        <v>-26.310698069443902</v>
      </c>
      <c r="AG5011">
        <v>0.53889600000000004</v>
      </c>
      <c r="AH5011">
        <v>58.617912641408701</v>
      </c>
      <c r="AI5011">
        <v>89.519458249507096</v>
      </c>
      <c r="AJ5011">
        <v>114.172966477118</v>
      </c>
      <c r="AK5011">
        <v>64.254205498442502</v>
      </c>
      <c r="AL5011">
        <v>89.424252511211606</v>
      </c>
      <c r="AM5011">
        <v>89.813634531944103</v>
      </c>
      <c r="AN5011">
        <v>0.99999997738034196</v>
      </c>
    </row>
    <row r="5012" spans="1:40" x14ac:dyDescent="0.25">
      <c r="A5012" t="str">
        <f>"20190312161114768"</f>
        <v>20190312161114768</v>
      </c>
      <c r="B5012" t="str">
        <f>"1552378274762251"</f>
        <v>1552378274762251</v>
      </c>
      <c r="C5012" t="s">
        <v>40</v>
      </c>
      <c r="D5012">
        <v>4.7064209999999997</v>
      </c>
      <c r="E5012">
        <v>0.3251463</v>
      </c>
      <c r="F5012" t="s">
        <v>95</v>
      </c>
      <c r="G5012">
        <v>-397.13130000000001</v>
      </c>
      <c r="H5012">
        <v>1.7396929999999999</v>
      </c>
      <c r="I5012">
        <v>0.70996479999999995</v>
      </c>
      <c r="J5012">
        <v>-423.07</v>
      </c>
      <c r="K5012">
        <v>1.1099570000000001</v>
      </c>
      <c r="L5012">
        <v>59.369599999999998</v>
      </c>
      <c r="M5012">
        <v>-1.193962E-2</v>
      </c>
      <c r="N5012">
        <v>0</v>
      </c>
      <c r="O5012">
        <v>-0.9998766</v>
      </c>
      <c r="P5012">
        <v>-1.448431E-2</v>
      </c>
      <c r="Q5012">
        <v>-3.692503E-4</v>
      </c>
      <c r="R5012">
        <v>-0.99989539999999999</v>
      </c>
      <c r="S5012">
        <v>1.329407</v>
      </c>
      <c r="T5012">
        <v>3.227973E-2</v>
      </c>
      <c r="U5012">
        <v>-3.0207519999999999</v>
      </c>
      <c r="V5012">
        <v>2.5423899999999998E-3</v>
      </c>
      <c r="W5012">
        <v>9.8768699999999994E-3</v>
      </c>
      <c r="X5012">
        <v>0.99994799999999995</v>
      </c>
      <c r="Y5012">
        <v>-0.41368939999999998</v>
      </c>
      <c r="Z5012">
        <v>-9.7542659999999993E-3</v>
      </c>
      <c r="AA5012">
        <v>0.9103658</v>
      </c>
      <c r="AB5012">
        <v>25</v>
      </c>
      <c r="AC5012">
        <v>25.938699999999901</v>
      </c>
      <c r="AD5012">
        <v>0.62973599999999996</v>
      </c>
      <c r="AE5012">
        <v>-58.659635199999997</v>
      </c>
      <c r="AF5012">
        <v>-26.634693573251699</v>
      </c>
      <c r="AG5012">
        <v>0.62973599999999996</v>
      </c>
      <c r="AH5012">
        <v>58.340115165803802</v>
      </c>
      <c r="AI5012">
        <v>89.437413752260895</v>
      </c>
      <c r="AJ5012">
        <v>114.538673447384</v>
      </c>
      <c r="AK5012">
        <v>64.1355791018524</v>
      </c>
      <c r="AL5012">
        <v>89.434087838295795</v>
      </c>
      <c r="AM5012">
        <v>89.854324521884394</v>
      </c>
      <c r="AN5012">
        <v>1.00000000950595</v>
      </c>
    </row>
    <row r="5013" spans="1:40" x14ac:dyDescent="0.25">
      <c r="A5013" t="str">
        <f>"20190312161114787"</f>
        <v>20190312161114787</v>
      </c>
      <c r="B5013" t="str">
        <f>"1552378274781772"</f>
        <v>1552378274781772</v>
      </c>
      <c r="C5013" t="s">
        <v>40</v>
      </c>
      <c r="D5013">
        <v>4.7742120000000003</v>
      </c>
      <c r="E5013">
        <v>0.3243125</v>
      </c>
      <c r="F5013" t="s">
        <v>95</v>
      </c>
      <c r="G5013">
        <v>-396.83879999999999</v>
      </c>
      <c r="H5013">
        <v>1.7792129999999999</v>
      </c>
      <c r="I5013">
        <v>0.71294019999999902</v>
      </c>
      <c r="J5013">
        <v>-423.07249999999999</v>
      </c>
      <c r="K5013">
        <v>1.10999</v>
      </c>
      <c r="L5013">
        <v>59.146669999999901</v>
      </c>
      <c r="M5013">
        <v>-1.1833659999999999E-2</v>
      </c>
      <c r="N5013">
        <v>0</v>
      </c>
      <c r="O5013">
        <v>-0.99987579999999998</v>
      </c>
      <c r="P5013">
        <v>-1.4224199999999999E-2</v>
      </c>
      <c r="Q5013">
        <v>-4.381109E-4</v>
      </c>
      <c r="R5013">
        <v>-0.99989939999999999</v>
      </c>
      <c r="S5013">
        <v>1.3504940000000001</v>
      </c>
      <c r="T5013">
        <v>3.4454819999999997E-2</v>
      </c>
      <c r="U5013">
        <v>-3.0198969999999998</v>
      </c>
      <c r="V5013">
        <v>2.388107E-3</v>
      </c>
      <c r="W5013">
        <v>1.0006559999999999E-2</v>
      </c>
      <c r="X5013">
        <v>0.99994709999999998</v>
      </c>
      <c r="Y5013">
        <v>-0.41898970000000002</v>
      </c>
      <c r="Z5013">
        <v>-1.0386889999999999E-2</v>
      </c>
      <c r="AA5013">
        <v>0.90793159999999895</v>
      </c>
      <c r="AB5013">
        <v>25</v>
      </c>
      <c r="AC5013">
        <v>26.233699999999999</v>
      </c>
      <c r="AD5013">
        <v>0.66922300000000001</v>
      </c>
      <c r="AE5013">
        <v>-58.433729800000002</v>
      </c>
      <c r="AF5013">
        <v>-26.9204465793728</v>
      </c>
      <c r="AG5013">
        <v>0.66922300000000001</v>
      </c>
      <c r="AH5013">
        <v>58.112836600834697</v>
      </c>
      <c r="AI5013">
        <v>89.401326826355003</v>
      </c>
      <c r="AJ5013">
        <v>114.85566705384799</v>
      </c>
      <c r="AK5013">
        <v>64.048888212457697</v>
      </c>
      <c r="AL5013">
        <v>89.426656786657304</v>
      </c>
      <c r="AM5013">
        <v>89.863164569420107</v>
      </c>
      <c r="AN5013">
        <v>1.0000000185482401</v>
      </c>
    </row>
    <row r="5014" spans="1:40" x14ac:dyDescent="0.25">
      <c r="A5014" t="str">
        <f>"20190312161114810"</f>
        <v>20190312161114810</v>
      </c>
      <c r="B5014" t="str">
        <f>"1552378274802268"</f>
        <v>1552378274802268</v>
      </c>
      <c r="C5014" t="s">
        <v>40</v>
      </c>
      <c r="D5014">
        <v>4.7117459999999998</v>
      </c>
      <c r="E5014">
        <v>0.32353349999999997</v>
      </c>
      <c r="F5014" t="s">
        <v>95</v>
      </c>
      <c r="G5014">
        <v>-396.7885</v>
      </c>
      <c r="H5014">
        <v>1.7956110000000001</v>
      </c>
      <c r="I5014">
        <v>0.71345329999999996</v>
      </c>
      <c r="J5014">
        <v>-423.0754</v>
      </c>
      <c r="K5014">
        <v>1.1100239999999999</v>
      </c>
      <c r="L5014">
        <v>58.892270000000003</v>
      </c>
      <c r="M5014">
        <v>-1.1714799999999999E-2</v>
      </c>
      <c r="N5014">
        <v>0</v>
      </c>
      <c r="O5014">
        <v>-0.99987470000000001</v>
      </c>
      <c r="P5014">
        <v>-1.4134890000000001E-2</v>
      </c>
      <c r="Q5014">
        <v>-7.291671E-4</v>
      </c>
      <c r="R5014">
        <v>-0.99990020000000002</v>
      </c>
      <c r="S5014">
        <v>1.358276</v>
      </c>
      <c r="T5014">
        <v>3.5429479999999999E-2</v>
      </c>
      <c r="U5014">
        <v>-3.0196529999999999</v>
      </c>
      <c r="V5014">
        <v>2.4176950000000001E-3</v>
      </c>
      <c r="W5014">
        <v>9.9469610000000007E-3</v>
      </c>
      <c r="X5014">
        <v>0.99994760000000005</v>
      </c>
      <c r="Y5014">
        <v>-0.42085499999999998</v>
      </c>
      <c r="Z5014">
        <v>-1.067128E-2</v>
      </c>
      <c r="AA5014">
        <v>0.90706520000000002</v>
      </c>
      <c r="AB5014">
        <v>25</v>
      </c>
      <c r="AC5014">
        <v>26.286899999999999</v>
      </c>
      <c r="AD5014">
        <v>0.68558699999999995</v>
      </c>
      <c r="AE5014">
        <v>-58.178816699999999</v>
      </c>
      <c r="AF5014">
        <v>-26.963578290397599</v>
      </c>
      <c r="AG5014">
        <v>0.68558699999999995</v>
      </c>
      <c r="AH5014">
        <v>57.860188156632297</v>
      </c>
      <c r="AI5014">
        <v>89.384662411289995</v>
      </c>
      <c r="AJ5014">
        <v>114.986113564485</v>
      </c>
      <c r="AK5014">
        <v>63.838123071389496</v>
      </c>
      <c r="AL5014">
        <v>89.430071714302997</v>
      </c>
      <c r="AM5014">
        <v>89.861469291270197</v>
      </c>
      <c r="AN5014">
        <v>0.99999999501400405</v>
      </c>
    </row>
    <row r="5015" spans="1:40" x14ac:dyDescent="0.25">
      <c r="A5015" t="str">
        <f>"20190312161114831"</f>
        <v>20190312161114831</v>
      </c>
      <c r="B5015" t="str">
        <f>"1552378274821788"</f>
        <v>1552378274821788</v>
      </c>
      <c r="C5015" t="s">
        <v>40</v>
      </c>
      <c r="D5015">
        <v>4.6926829999999997</v>
      </c>
      <c r="E5015">
        <v>0.32277549999999999</v>
      </c>
      <c r="F5015" t="s">
        <v>95</v>
      </c>
      <c r="G5015">
        <v>-396.79320000000001</v>
      </c>
      <c r="H5015">
        <v>1.8159639999999999</v>
      </c>
      <c r="I5015">
        <v>0.71340369999999997</v>
      </c>
      <c r="J5015">
        <v>-423.07810000000001</v>
      </c>
      <c r="K5015">
        <v>1.1100559999999999</v>
      </c>
      <c r="L5015">
        <v>58.646970000000003</v>
      </c>
      <c r="M5015">
        <v>-1.1595690000000001E-2</v>
      </c>
      <c r="N5015">
        <v>0</v>
      </c>
      <c r="O5015">
        <v>-0.99987340000000002</v>
      </c>
      <c r="P5015">
        <v>-1.404095E-2</v>
      </c>
      <c r="Q5015">
        <v>-9.6091890000000004E-4</v>
      </c>
      <c r="R5015">
        <v>-0.99990120000000005</v>
      </c>
      <c r="S5015">
        <v>1.3641049999999999</v>
      </c>
      <c r="T5015">
        <v>3.6638499999999997E-2</v>
      </c>
      <c r="U5015">
        <v>-3.0196230000000002</v>
      </c>
      <c r="V5015">
        <v>2.442975E-3</v>
      </c>
      <c r="W5015">
        <v>9.9517300000000006E-3</v>
      </c>
      <c r="X5015">
        <v>0.99994749999999999</v>
      </c>
      <c r="Y5015">
        <v>-0.42220350000000001</v>
      </c>
      <c r="Z5015">
        <v>-1.102772E-2</v>
      </c>
      <c r="AA5015">
        <v>0.90643399999999996</v>
      </c>
      <c r="AB5015">
        <v>25</v>
      </c>
      <c r="AC5015">
        <v>26.2849</v>
      </c>
      <c r="AD5015">
        <v>0.70590799999999998</v>
      </c>
      <c r="AE5015">
        <v>-57.933566300000003</v>
      </c>
      <c r="AF5015">
        <v>-26.951633764867701</v>
      </c>
      <c r="AG5015">
        <v>0.70590799999999998</v>
      </c>
      <c r="AH5015">
        <v>57.617767064264903</v>
      </c>
      <c r="AI5015">
        <v>89.3641870601557</v>
      </c>
      <c r="AJ5015">
        <v>115.068595806837</v>
      </c>
      <c r="AK5015">
        <v>63.613645943082901</v>
      </c>
      <c r="AL5015">
        <v>89.429798462274704</v>
      </c>
      <c r="AM5015">
        <v>89.860020772620004</v>
      </c>
      <c r="AN5015">
        <v>1.00000000390654</v>
      </c>
    </row>
    <row r="5016" spans="1:40" x14ac:dyDescent="0.25">
      <c r="A5016" t="str">
        <f>"20190312161114854"</f>
        <v>20190312161114854</v>
      </c>
      <c r="B5016" t="str">
        <f>"1552378274852043"</f>
        <v>1552378274852043</v>
      </c>
      <c r="C5016" t="s">
        <v>40</v>
      </c>
      <c r="D5016">
        <v>4.7014310000000004</v>
      </c>
      <c r="E5016">
        <v>0.32178190000000001</v>
      </c>
      <c r="F5016" t="s">
        <v>95</v>
      </c>
      <c r="G5016">
        <v>-396.77719999999999</v>
      </c>
      <c r="H5016">
        <v>1.799723</v>
      </c>
      <c r="I5016">
        <v>0.71356580000000003</v>
      </c>
      <c r="J5016">
        <v>-423.08089999999999</v>
      </c>
      <c r="K5016">
        <v>1.110085</v>
      </c>
      <c r="L5016">
        <v>58.395940000000003</v>
      </c>
      <c r="M5016">
        <v>-1.146965E-2</v>
      </c>
      <c r="N5016">
        <v>0</v>
      </c>
      <c r="O5016">
        <v>-0.99987199999999998</v>
      </c>
      <c r="P5016">
        <v>-1.414018E-2</v>
      </c>
      <c r="Q5016">
        <v>-9.7505560000000005E-4</v>
      </c>
      <c r="R5016">
        <v>-0.9998996</v>
      </c>
      <c r="S5016">
        <v>1.3708499999999999</v>
      </c>
      <c r="T5016">
        <v>3.5945419999999999E-2</v>
      </c>
      <c r="U5016">
        <v>-3.0195919999999998</v>
      </c>
      <c r="V5016">
        <v>2.66833E-3</v>
      </c>
      <c r="W5016">
        <v>1.0203490000000001E-2</v>
      </c>
      <c r="X5016">
        <v>0.99994439999999996</v>
      </c>
      <c r="Y5016">
        <v>-0.42377310000000001</v>
      </c>
      <c r="Z5016">
        <v>-1.081035E-2</v>
      </c>
      <c r="AA5016">
        <v>0.90570390000000001</v>
      </c>
      <c r="AB5016">
        <v>25</v>
      </c>
      <c r="AC5016">
        <v>26.3036999999999</v>
      </c>
      <c r="AD5016">
        <v>0.68963799999999997</v>
      </c>
      <c r="AE5016">
        <v>-57.682374199999998</v>
      </c>
      <c r="AF5016">
        <v>-26.960417041743799</v>
      </c>
      <c r="AG5016">
        <v>0.68963799999999997</v>
      </c>
      <c r="AH5016">
        <v>57.370077633243099</v>
      </c>
      <c r="AI5016">
        <v>89.376679437683407</v>
      </c>
      <c r="AJ5016">
        <v>115.170645524638</v>
      </c>
      <c r="AK5016">
        <v>63.392945153858697</v>
      </c>
      <c r="AL5016">
        <v>89.415372952047406</v>
      </c>
      <c r="AM5016">
        <v>89.847107814729199</v>
      </c>
      <c r="AN5016">
        <v>1.0000000171422601</v>
      </c>
    </row>
    <row r="5017" spans="1:40" x14ac:dyDescent="0.25">
      <c r="A5017" t="str">
        <f>"20190312161114877"</f>
        <v>20190312161114877</v>
      </c>
      <c r="B5017" t="str">
        <f>"1552378274872539"</f>
        <v>1552378274872539</v>
      </c>
      <c r="C5017" t="s">
        <v>40</v>
      </c>
      <c r="D5017">
        <v>4.7170019999999999</v>
      </c>
      <c r="E5017">
        <v>0.32117420000000002</v>
      </c>
      <c r="F5017" t="s">
        <v>95</v>
      </c>
      <c r="G5017">
        <v>-396.75330000000002</v>
      </c>
      <c r="H5017">
        <v>1.7723640000000001</v>
      </c>
      <c r="I5017">
        <v>0.71381190000000005</v>
      </c>
      <c r="J5017">
        <v>-423.08370000000002</v>
      </c>
      <c r="K5017">
        <v>1.1101240000000001</v>
      </c>
      <c r="L5017">
        <v>58.142400000000002</v>
      </c>
      <c r="M5017">
        <v>-1.133846E-2</v>
      </c>
      <c r="N5017">
        <v>0</v>
      </c>
      <c r="O5017">
        <v>-0.99987009999999998</v>
      </c>
      <c r="P5017">
        <v>-1.403444E-2</v>
      </c>
      <c r="Q5017">
        <v>-8.2786489999999997E-4</v>
      </c>
      <c r="R5017">
        <v>-0.99990140000000005</v>
      </c>
      <c r="S5017">
        <v>1.3783259999999999</v>
      </c>
      <c r="T5017">
        <v>3.4671069999999998E-2</v>
      </c>
      <c r="U5017">
        <v>-3.0198360000000002</v>
      </c>
      <c r="V5017">
        <v>2.693698E-3</v>
      </c>
      <c r="W5017">
        <v>1.0635479999999999E-2</v>
      </c>
      <c r="X5017">
        <v>0.99993980000000005</v>
      </c>
      <c r="Y5017">
        <v>-0.42548530000000001</v>
      </c>
      <c r="Z5017">
        <v>-1.041692E-2</v>
      </c>
      <c r="AA5017">
        <v>0.90490539999999997</v>
      </c>
      <c r="AB5017">
        <v>25</v>
      </c>
      <c r="AC5017">
        <v>26.330400000000001</v>
      </c>
      <c r="AD5017">
        <v>0.66224000000000005</v>
      </c>
      <c r="AE5017">
        <v>-57.428588099999999</v>
      </c>
      <c r="AF5017">
        <v>-26.976937485992899</v>
      </c>
      <c r="AG5017">
        <v>0.66224000000000005</v>
      </c>
      <c r="AH5017">
        <v>57.120053922466703</v>
      </c>
      <c r="AI5017">
        <v>89.399364656035104</v>
      </c>
      <c r="AJ5017">
        <v>115.280657337859</v>
      </c>
      <c r="AK5017">
        <v>63.173525135505002</v>
      </c>
      <c r="AL5017">
        <v>89.390620386159597</v>
      </c>
      <c r="AM5017">
        <v>89.845653554995906</v>
      </c>
      <c r="AN5017">
        <v>0.99999998653389199</v>
      </c>
    </row>
    <row r="5018" spans="1:40" x14ac:dyDescent="0.25">
      <c r="A5018" t="str">
        <f>"20190312161114899"</f>
        <v>20190312161114899</v>
      </c>
      <c r="B5018" t="str">
        <f>"1552378274892060"</f>
        <v>1552378274892060</v>
      </c>
      <c r="C5018" t="s">
        <v>40</v>
      </c>
      <c r="D5018">
        <v>4.5764680000000002</v>
      </c>
      <c r="E5018">
        <v>0.32121620000000001</v>
      </c>
      <c r="F5018" t="s">
        <v>95</v>
      </c>
      <c r="G5018">
        <v>-396.77229999999997</v>
      </c>
      <c r="H5018">
        <v>1.7966230000000001</v>
      </c>
      <c r="I5018">
        <v>0.71361919999999901</v>
      </c>
      <c r="J5018">
        <v>-423.0865</v>
      </c>
      <c r="K5018">
        <v>1.1101719999999999</v>
      </c>
      <c r="L5018">
        <v>57.884520000000002</v>
      </c>
      <c r="M5018">
        <v>-1.1196619999999999E-2</v>
      </c>
      <c r="N5018">
        <v>0</v>
      </c>
      <c r="O5018">
        <v>-0.99986839999999999</v>
      </c>
      <c r="P5018">
        <v>-1.414054E-2</v>
      </c>
      <c r="Q5018">
        <v>-4.1545530000000001E-4</v>
      </c>
      <c r="R5018">
        <v>-0.99990000000000001</v>
      </c>
      <c r="S5018">
        <v>1.3835139999999999</v>
      </c>
      <c r="T5018">
        <v>3.6096450000000002E-2</v>
      </c>
      <c r="U5018">
        <v>-3.0197449999999999</v>
      </c>
      <c r="V5018">
        <v>2.9413680000000002E-3</v>
      </c>
      <c r="W5018">
        <v>1.1329229999999999E-2</v>
      </c>
      <c r="X5018">
        <v>0.99993149999999997</v>
      </c>
      <c r="Y5018">
        <v>-0.4266508</v>
      </c>
      <c r="Z5018">
        <v>-1.083863E-2</v>
      </c>
      <c r="AA5018">
        <v>0.90435149999999997</v>
      </c>
      <c r="AB5018">
        <v>25</v>
      </c>
      <c r="AC5018">
        <v>26.3142</v>
      </c>
      <c r="AD5018">
        <v>0.68645099999999903</v>
      </c>
      <c r="AE5018">
        <v>-57.170900799999899</v>
      </c>
      <c r="AF5018">
        <v>-26.949509203439</v>
      </c>
      <c r="AG5018">
        <v>0.68645099999999903</v>
      </c>
      <c r="AH5018">
        <v>56.865901134284499</v>
      </c>
      <c r="AI5018">
        <v>89.375018753750894</v>
      </c>
      <c r="AJ5018">
        <v>115.356897358754</v>
      </c>
      <c r="AK5018">
        <v>62.932328521165303</v>
      </c>
      <c r="AL5018">
        <v>89.350869051740503</v>
      </c>
      <c r="AM5018">
        <v>89.831460968760297</v>
      </c>
      <c r="AN5018">
        <v>1.00000000389517</v>
      </c>
    </row>
    <row r="5019" spans="1:40" x14ac:dyDescent="0.25">
      <c r="A5019" t="str">
        <f>"20190312161114923"</f>
        <v>20190312161114923</v>
      </c>
      <c r="B5019" t="str">
        <f>"1552378274912556"</f>
        <v>1552378274912556</v>
      </c>
      <c r="C5019" t="s">
        <v>40</v>
      </c>
      <c r="D5019">
        <v>4.7088999999999999</v>
      </c>
      <c r="E5019">
        <v>0.40504020000000002</v>
      </c>
      <c r="F5019" t="s">
        <v>95</v>
      </c>
      <c r="G5019">
        <v>-396.90289999999999</v>
      </c>
      <c r="H5019">
        <v>1.851885</v>
      </c>
      <c r="I5019">
        <v>0.71228979999999997</v>
      </c>
      <c r="J5019">
        <v>-423.08920000000001</v>
      </c>
      <c r="K5019">
        <v>1.1102099999999999</v>
      </c>
      <c r="L5019">
        <v>57.628300000000003</v>
      </c>
      <c r="M5019">
        <v>-1.103899E-2</v>
      </c>
      <c r="N5019">
        <v>0</v>
      </c>
      <c r="O5019">
        <v>-0.99986699999999995</v>
      </c>
      <c r="P5019">
        <v>-1.451976E-2</v>
      </c>
      <c r="Q5019">
        <v>-1.049003E-3</v>
      </c>
      <c r="R5019">
        <v>-0.99989399999999995</v>
      </c>
      <c r="S5019">
        <v>1.3830260000000001</v>
      </c>
      <c r="T5019">
        <v>3.9176229999999999E-2</v>
      </c>
      <c r="U5019">
        <v>-3.0198670000000001</v>
      </c>
      <c r="V5019">
        <v>3.4779419999999999E-3</v>
      </c>
      <c r="W5019">
        <v>1.0951600000000001E-2</v>
      </c>
      <c r="X5019">
        <v>0.99993399999999999</v>
      </c>
      <c r="Y5019">
        <v>-0.4263691</v>
      </c>
      <c r="Z5019">
        <v>-1.176405E-2</v>
      </c>
      <c r="AA5019">
        <v>0.90447279999999997</v>
      </c>
      <c r="AB5019">
        <v>25</v>
      </c>
      <c r="AC5019">
        <v>26.186299999999999</v>
      </c>
      <c r="AD5019">
        <v>0.74167499999999897</v>
      </c>
      <c r="AE5019">
        <v>-56.916010200000002</v>
      </c>
      <c r="AF5019">
        <v>-26.809287621217901</v>
      </c>
      <c r="AG5019">
        <v>0.74167499999999897</v>
      </c>
      <c r="AH5019">
        <v>56.6155163328458</v>
      </c>
      <c r="AI5019">
        <v>89.321658386437704</v>
      </c>
      <c r="AJ5019">
        <v>115.339076622109</v>
      </c>
      <c r="AK5019">
        <v>62.646665307879999</v>
      </c>
      <c r="AL5019">
        <v>89.372507009246405</v>
      </c>
      <c r="AM5019">
        <v>89.800716252849199</v>
      </c>
      <c r="AN5019">
        <v>1.0000000189895499</v>
      </c>
    </row>
    <row r="5020" spans="1:40" x14ac:dyDescent="0.25">
      <c r="A5020" t="str">
        <f>"20190312161114968"</f>
        <v>20190312161114968</v>
      </c>
      <c r="B5020" t="str">
        <f>"1552378274962332"</f>
        <v>1552378274962332</v>
      </c>
      <c r="C5020" t="s">
        <v>40</v>
      </c>
      <c r="D5020">
        <v>4.7588809999999997</v>
      </c>
      <c r="E5020">
        <v>0.43492589999999998</v>
      </c>
      <c r="F5020" t="s">
        <v>78</v>
      </c>
      <c r="G5020">
        <v>-415.57560000000001</v>
      </c>
      <c r="H5020" s="1">
        <v>-8.4157150000000008E-6</v>
      </c>
      <c r="I5020">
        <v>25.976669999999999</v>
      </c>
      <c r="J5020">
        <v>-423.09410000000003</v>
      </c>
      <c r="K5020">
        <v>1.110298</v>
      </c>
      <c r="L5020">
        <v>57.137329999999999</v>
      </c>
      <c r="M5020">
        <v>-1.06341E-2</v>
      </c>
      <c r="N5020">
        <v>0</v>
      </c>
      <c r="O5020">
        <v>-0.99986629999999999</v>
      </c>
      <c r="P5020">
        <v>-1.411959E-2</v>
      </c>
      <c r="Q5020">
        <v>-2.0677639999999999E-4</v>
      </c>
      <c r="R5020">
        <v>-0.99990029999999996</v>
      </c>
      <c r="S5020">
        <v>0.71466059999999998</v>
      </c>
      <c r="T5020">
        <v>-0.1056</v>
      </c>
      <c r="U5020">
        <v>-3.0105900000000001</v>
      </c>
      <c r="V5020">
        <v>3.4807839999999998E-3</v>
      </c>
      <c r="W5020">
        <v>1.221657E-2</v>
      </c>
      <c r="X5020">
        <v>0.99991929999999996</v>
      </c>
      <c r="Y5020">
        <v>-0.2411642</v>
      </c>
      <c r="Z5020">
        <v>3.4061620000000001E-2</v>
      </c>
      <c r="AA5020">
        <v>0.96988640000000004</v>
      </c>
      <c r="AB5020">
        <v>25</v>
      </c>
      <c r="AC5020">
        <v>7.5185000000000102</v>
      </c>
      <c r="AD5020">
        <v>-1.110306415715</v>
      </c>
      <c r="AE5020">
        <v>-31.16066</v>
      </c>
      <c r="AF5020">
        <v>-7.8400596908977098</v>
      </c>
      <c r="AG5020">
        <v>-1.110306415715</v>
      </c>
      <c r="AH5020">
        <v>31.041696270071601</v>
      </c>
      <c r="AI5020">
        <v>91.986178226343199</v>
      </c>
      <c r="AJ5020">
        <v>104.17450224595299</v>
      </c>
      <c r="AK5020">
        <v>32.035702327512602</v>
      </c>
      <c r="AL5020">
        <v>89.300024675316706</v>
      </c>
      <c r="AM5020">
        <v>89.800550477389905</v>
      </c>
      <c r="AN5020">
        <v>0.99999998347615404</v>
      </c>
    </row>
    <row r="5021" spans="1:40" x14ac:dyDescent="0.25">
      <c r="A5021" t="str">
        <f>"20190312161114990"</f>
        <v>20190312161114990</v>
      </c>
      <c r="B5021" t="str">
        <f>"1552378274981852"</f>
        <v>1552378274981852</v>
      </c>
      <c r="C5021" t="s">
        <v>40</v>
      </c>
      <c r="D5021">
        <v>4.8204799999999999</v>
      </c>
      <c r="E5021">
        <v>0.43796269999999998</v>
      </c>
      <c r="F5021" t="s">
        <v>78</v>
      </c>
      <c r="G5021">
        <v>-418.86009999999999</v>
      </c>
      <c r="H5021" s="1">
        <v>-5.5146830000000001E-6</v>
      </c>
      <c r="I5021">
        <v>30.505230000000001</v>
      </c>
      <c r="J5021">
        <v>-423.09660000000002</v>
      </c>
      <c r="K5021">
        <v>1.110349</v>
      </c>
      <c r="L5021">
        <v>56.869810000000001</v>
      </c>
      <c r="M5021">
        <v>-1.0346360000000001E-2</v>
      </c>
      <c r="N5021">
        <v>0</v>
      </c>
      <c r="O5021">
        <v>-0.99986710000000001</v>
      </c>
      <c r="P5021">
        <v>-1.2535060000000001E-2</v>
      </c>
      <c r="Q5021">
        <v>-2.8018729999999999E-4</v>
      </c>
      <c r="R5021">
        <v>-0.99992159999999997</v>
      </c>
      <c r="S5021">
        <v>0.47805789999999998</v>
      </c>
      <c r="T5021">
        <v>-0.1253639</v>
      </c>
      <c r="U5021">
        <v>-3.0070190000000001</v>
      </c>
      <c r="V5021">
        <v>2.182874E-3</v>
      </c>
      <c r="W5021">
        <v>1.233863E-2</v>
      </c>
      <c r="X5021">
        <v>0.99992150000000002</v>
      </c>
      <c r="Y5021">
        <v>-0.1670866</v>
      </c>
      <c r="Z5021">
        <v>4.1100480000000002E-2</v>
      </c>
      <c r="AA5021">
        <v>0.98508519999999999</v>
      </c>
      <c r="AB5021">
        <v>25</v>
      </c>
      <c r="AC5021">
        <v>4.2365000000000297</v>
      </c>
      <c r="AD5021">
        <v>-1.1103545146830001</v>
      </c>
      <c r="AE5021">
        <v>-26.36458</v>
      </c>
      <c r="AF5021">
        <v>-4.5012892947265302</v>
      </c>
      <c r="AG5021">
        <v>-1.1103545146830001</v>
      </c>
      <c r="AH5021">
        <v>26.2739036252772</v>
      </c>
      <c r="AI5021">
        <v>92.385211736305706</v>
      </c>
      <c r="AJ5021">
        <v>99.721628831923695</v>
      </c>
      <c r="AK5021">
        <v>26.679814545334601</v>
      </c>
      <c r="AL5021">
        <v>89.293030641429496</v>
      </c>
      <c r="AM5021">
        <v>89.8749209125628</v>
      </c>
      <c r="AN5021">
        <v>1.00000000644571</v>
      </c>
    </row>
    <row r="5022" spans="1:40" x14ac:dyDescent="0.25">
      <c r="A5022" t="str">
        <f>"20190312161115012"</f>
        <v>20190312161115012</v>
      </c>
      <c r="B5022" t="str">
        <f>"1552378275002348"</f>
        <v>1552378275002348</v>
      </c>
      <c r="C5022" t="s">
        <v>40</v>
      </c>
      <c r="D5022">
        <v>4.8632150000000003</v>
      </c>
      <c r="E5022">
        <v>0.43962590000000001</v>
      </c>
      <c r="F5022" t="s">
        <v>78</v>
      </c>
      <c r="G5022">
        <v>-419.17509999999999</v>
      </c>
      <c r="H5022" s="1">
        <v>-5.1103349999999999E-6</v>
      </c>
      <c r="I5022">
        <v>31.161719999999999</v>
      </c>
      <c r="J5022">
        <v>-423.09870000000001</v>
      </c>
      <c r="K5022">
        <v>1.110379</v>
      </c>
      <c r="L5022">
        <v>56.639949999999999</v>
      </c>
      <c r="M5022">
        <v>-1.006348E-2</v>
      </c>
      <c r="N5022">
        <v>0</v>
      </c>
      <c r="O5022">
        <v>-0.99986799999999998</v>
      </c>
      <c r="P5022">
        <v>-1.075748E-2</v>
      </c>
      <c r="Q5022">
        <v>-8.0960489999999999E-4</v>
      </c>
      <c r="R5022">
        <v>-0.9999422</v>
      </c>
      <c r="S5022">
        <v>0.45852660000000001</v>
      </c>
      <c r="T5022">
        <v>-0.12982949999999999</v>
      </c>
      <c r="U5022">
        <v>-3.005951</v>
      </c>
      <c r="V5022">
        <v>6.875173E-4</v>
      </c>
      <c r="W5022">
        <v>1.195862E-2</v>
      </c>
      <c r="X5022">
        <v>0.99992820000000004</v>
      </c>
      <c r="Y5022">
        <v>-0.16059979999999999</v>
      </c>
      <c r="Z5022">
        <v>4.262121E-2</v>
      </c>
      <c r="AA5022">
        <v>0.9860989</v>
      </c>
      <c r="AB5022">
        <v>25</v>
      </c>
      <c r="AC5022">
        <v>3.92360000000002</v>
      </c>
      <c r="AD5022">
        <v>-1.1103841103350001</v>
      </c>
      <c r="AE5022">
        <v>-25.47823</v>
      </c>
      <c r="AF5022">
        <v>-4.1720810820374297</v>
      </c>
      <c r="AG5022">
        <v>-1.1103841103350001</v>
      </c>
      <c r="AH5022">
        <v>25.390343053565299</v>
      </c>
      <c r="AI5022">
        <v>92.470999449033002</v>
      </c>
      <c r="AJ5022">
        <v>99.331320402149601</v>
      </c>
      <c r="AK5022">
        <v>25.754780795132199</v>
      </c>
      <c r="AL5022">
        <v>89.314805174168995</v>
      </c>
      <c r="AM5022">
        <v>89.960605338038505</v>
      </c>
      <c r="AN5022">
        <v>0.99999994321378904</v>
      </c>
    </row>
    <row r="5023" spans="1:40" x14ac:dyDescent="0.25">
      <c r="A5023" t="str">
        <f>"20190312161115032"</f>
        <v>20190312161115032</v>
      </c>
      <c r="B5023" t="str">
        <f>"1552378275021868"</f>
        <v>1552378275021868</v>
      </c>
      <c r="C5023" t="s">
        <v>40</v>
      </c>
      <c r="D5023">
        <v>4.896293</v>
      </c>
      <c r="E5023">
        <v>0.44095499999999999</v>
      </c>
      <c r="F5023" t="s">
        <v>78</v>
      </c>
      <c r="G5023">
        <v>-419.41669999999999</v>
      </c>
      <c r="H5023" s="1">
        <v>-4.578382E-6</v>
      </c>
      <c r="I5023">
        <v>32.100589999999997</v>
      </c>
      <c r="J5023">
        <v>-423.10070000000002</v>
      </c>
      <c r="K5023">
        <v>1.110417</v>
      </c>
      <c r="L5023">
        <v>56.401980000000002</v>
      </c>
      <c r="M5023">
        <v>-9.7198739999999999E-3</v>
      </c>
      <c r="N5023">
        <v>0</v>
      </c>
      <c r="O5023">
        <v>-0.99986949999999997</v>
      </c>
      <c r="P5023">
        <v>-9.3492599999999999E-3</v>
      </c>
      <c r="Q5023">
        <v>-1.4953259999999999E-3</v>
      </c>
      <c r="R5023">
        <v>-0.99995529999999999</v>
      </c>
      <c r="S5023">
        <v>0.45086670000000001</v>
      </c>
      <c r="T5023">
        <v>-0.13596949999999999</v>
      </c>
      <c r="U5023">
        <v>-3.0049130000000002</v>
      </c>
      <c r="V5023">
        <v>-3.774556E-4</v>
      </c>
      <c r="W5023">
        <v>1.140886E-2</v>
      </c>
      <c r="X5023">
        <v>0.99993489999999996</v>
      </c>
      <c r="Y5023">
        <v>-0.15784010000000001</v>
      </c>
      <c r="Z5023">
        <v>4.4666789999999998E-2</v>
      </c>
      <c r="AA5023">
        <v>0.98645400000000005</v>
      </c>
      <c r="AB5023">
        <v>25</v>
      </c>
      <c r="AC5023">
        <v>3.6840000000000201</v>
      </c>
      <c r="AD5023">
        <v>-1.110421578382</v>
      </c>
      <c r="AE5023">
        <v>-24.301390000000001</v>
      </c>
      <c r="AF5023">
        <v>-3.9120674772883</v>
      </c>
      <c r="AG5023">
        <v>-1.110421578382</v>
      </c>
      <c r="AH5023">
        <v>24.215007686488001</v>
      </c>
      <c r="AI5023">
        <v>92.591997757494397</v>
      </c>
      <c r="AJ5023">
        <v>99.177154288862695</v>
      </c>
      <c r="AK5023">
        <v>24.5541015980073</v>
      </c>
      <c r="AL5023">
        <v>89.346306326960104</v>
      </c>
      <c r="AM5023">
        <v>90.021628019790398</v>
      </c>
      <c r="AN5023">
        <v>1.0000000543986101</v>
      </c>
    </row>
    <row r="5024" spans="1:40" x14ac:dyDescent="0.25">
      <c r="A5024" t="str">
        <f>"20190312161115056"</f>
        <v>20190312161115056</v>
      </c>
      <c r="B5024" t="str">
        <f>"1552378275052125"</f>
        <v>1552378275052125</v>
      </c>
      <c r="C5024" t="s">
        <v>40</v>
      </c>
      <c r="D5024">
        <v>4.9553370000000001</v>
      </c>
      <c r="E5024">
        <v>0.44220880000000001</v>
      </c>
      <c r="F5024" t="s">
        <v>78</v>
      </c>
      <c r="G5024">
        <v>-419.60250000000002</v>
      </c>
      <c r="H5024" s="1">
        <v>-4.1964409999999998E-6</v>
      </c>
      <c r="I5024">
        <v>32.76932</v>
      </c>
      <c r="J5024">
        <v>-423.10270000000003</v>
      </c>
      <c r="K5024">
        <v>1.110455</v>
      </c>
      <c r="L5024">
        <v>56.148769999999899</v>
      </c>
      <c r="M5024">
        <v>-9.2899320000000007E-3</v>
      </c>
      <c r="N5024">
        <v>0</v>
      </c>
      <c r="O5024">
        <v>-0.99987219999999999</v>
      </c>
      <c r="P5024">
        <v>-8.0680609999999996E-3</v>
      </c>
      <c r="Q5024">
        <v>-1.8288619999999999E-3</v>
      </c>
      <c r="R5024">
        <v>-0.99996600000000002</v>
      </c>
      <c r="S5024">
        <v>0.4446716</v>
      </c>
      <c r="T5024">
        <v>-0.14115239999999901</v>
      </c>
      <c r="U5024">
        <v>-3.004089</v>
      </c>
      <c r="V5024">
        <v>-1.2299870000000001E-3</v>
      </c>
      <c r="W5024">
        <v>1.1201930000000001E-2</v>
      </c>
      <c r="X5024">
        <v>0.99993650000000001</v>
      </c>
      <c r="Y5024">
        <v>-0.15545320000000001</v>
      </c>
      <c r="Z5024">
        <v>4.6394419999999999E-2</v>
      </c>
      <c r="AA5024">
        <v>0.9867532</v>
      </c>
      <c r="AB5024">
        <v>25</v>
      </c>
      <c r="AC5024">
        <v>3.5002</v>
      </c>
      <c r="AD5024">
        <v>-1.110459196441</v>
      </c>
      <c r="AE5024">
        <v>-23.379449999999899</v>
      </c>
      <c r="AF5024">
        <v>-3.7090766290717001</v>
      </c>
      <c r="AG5024">
        <v>-1.110459196441</v>
      </c>
      <c r="AH5024">
        <v>23.2945215114318</v>
      </c>
      <c r="AI5024">
        <v>92.695344457378795</v>
      </c>
      <c r="AJ5024">
        <v>99.046991290244804</v>
      </c>
      <c r="AK5024">
        <v>23.614086929496999</v>
      </c>
      <c r="AL5024">
        <v>89.358163264873596</v>
      </c>
      <c r="AM5024">
        <v>90.070477503734097</v>
      </c>
      <c r="AN5024">
        <v>1.0000000000679901</v>
      </c>
    </row>
    <row r="5025" spans="1:40" x14ac:dyDescent="0.25">
      <c r="A5025" t="str">
        <f>"20190312161115078"</f>
        <v>20190312161115078</v>
      </c>
      <c r="B5025" t="str">
        <f>"1552378275072620"</f>
        <v>1552378275072620</v>
      </c>
      <c r="C5025" t="s">
        <v>40</v>
      </c>
      <c r="D5025">
        <v>4.8904030000000001</v>
      </c>
      <c r="E5025">
        <v>0.44278889999999999</v>
      </c>
      <c r="F5025" t="s">
        <v>78</v>
      </c>
      <c r="G5025">
        <v>-419.82260000000002</v>
      </c>
      <c r="H5025" s="1">
        <v>-3.6844950000000001E-6</v>
      </c>
      <c r="I5025">
        <v>33.6783</v>
      </c>
      <c r="J5025">
        <v>-423.10449999999997</v>
      </c>
      <c r="K5025">
        <v>1.1105039999999999</v>
      </c>
      <c r="L5025">
        <v>55.895629999999997</v>
      </c>
      <c r="M5025">
        <v>-8.7954369999999997E-3</v>
      </c>
      <c r="N5025">
        <v>0</v>
      </c>
      <c r="O5025">
        <v>-0.99987519999999996</v>
      </c>
      <c r="P5025">
        <v>-6.7663410000000004E-3</v>
      </c>
      <c r="Q5025">
        <v>-1.833082E-3</v>
      </c>
      <c r="R5025">
        <v>-0.99997570000000002</v>
      </c>
      <c r="S5025">
        <v>0.43841550000000001</v>
      </c>
      <c r="T5025">
        <v>-0.14842320000000001</v>
      </c>
      <c r="U5025">
        <v>-3.003387</v>
      </c>
      <c r="V5025">
        <v>-2.0381729999999999E-3</v>
      </c>
      <c r="W5025">
        <v>1.1308729999999999E-2</v>
      </c>
      <c r="X5025">
        <v>0.99993399999999999</v>
      </c>
      <c r="Y5025">
        <v>-0.15296899999999999</v>
      </c>
      <c r="Z5025">
        <v>4.8807030000000001E-2</v>
      </c>
      <c r="AA5025">
        <v>0.98702500000000004</v>
      </c>
      <c r="AB5025">
        <v>25</v>
      </c>
      <c r="AC5025">
        <v>3.2818999999999501</v>
      </c>
      <c r="AD5025">
        <v>-1.1105076844949999</v>
      </c>
      <c r="AE5025">
        <v>-22.21733</v>
      </c>
      <c r="AF5025">
        <v>-3.4687198531667498</v>
      </c>
      <c r="AG5025">
        <v>-1.1105076844949999</v>
      </c>
      <c r="AH5025">
        <v>22.133485137442602</v>
      </c>
      <c r="AI5025">
        <v>92.837724721695395</v>
      </c>
      <c r="AJ5025">
        <v>98.906843596506604</v>
      </c>
      <c r="AK5025">
        <v>22.431148188767999</v>
      </c>
      <c r="AL5025">
        <v>89.352043702805801</v>
      </c>
      <c r="AM5025">
        <v>90.116786256984099</v>
      </c>
      <c r="AN5025">
        <v>1.0000000229396899</v>
      </c>
    </row>
    <row r="5026" spans="1:40" x14ac:dyDescent="0.25">
      <c r="A5026" t="str">
        <f>"20190312161115100"</f>
        <v>20190312161115100</v>
      </c>
      <c r="B5026" t="str">
        <f>"1552378275092140"</f>
        <v>1552378275092140</v>
      </c>
      <c r="C5026" t="s">
        <v>40</v>
      </c>
      <c r="D5026">
        <v>5.0158329999999998</v>
      </c>
      <c r="E5026">
        <v>0.44335649999999999</v>
      </c>
      <c r="F5026" t="s">
        <v>78</v>
      </c>
      <c r="G5026">
        <v>-419.88639999999998</v>
      </c>
      <c r="H5026" s="1">
        <v>-3.603858E-6</v>
      </c>
      <c r="I5026">
        <v>33.808759999999999</v>
      </c>
      <c r="J5026">
        <v>-423.10599999999999</v>
      </c>
      <c r="K5026">
        <v>1.1105609999999999</v>
      </c>
      <c r="L5026">
        <v>55.650509999999997</v>
      </c>
      <c r="M5026">
        <v>-8.2540789999999992E-3</v>
      </c>
      <c r="N5026">
        <v>0</v>
      </c>
      <c r="O5026">
        <v>-0.9998783</v>
      </c>
      <c r="P5026">
        <v>-5.4926439999999997E-3</v>
      </c>
      <c r="Q5026">
        <v>-2.5243459999999998E-3</v>
      </c>
      <c r="R5026">
        <v>-0.99998169999999997</v>
      </c>
      <c r="S5026">
        <v>0.4375</v>
      </c>
      <c r="T5026">
        <v>-0.15097530000000001</v>
      </c>
      <c r="U5026">
        <v>-3.0027469999999998</v>
      </c>
      <c r="V5026">
        <v>-2.7715169999999998E-3</v>
      </c>
      <c r="W5026">
        <v>1.071034E-2</v>
      </c>
      <c r="X5026">
        <v>0.99993880000000002</v>
      </c>
      <c r="Y5026">
        <v>-0.152163299999999</v>
      </c>
      <c r="Z5026">
        <v>4.9659189999999999E-2</v>
      </c>
      <c r="AA5026">
        <v>0.98710699999999996</v>
      </c>
      <c r="AB5026">
        <v>25</v>
      </c>
      <c r="AC5026">
        <v>3.21960000000001</v>
      </c>
      <c r="AD5026">
        <v>-1.1105646038579999</v>
      </c>
      <c r="AE5026">
        <v>-21.841750000000001</v>
      </c>
      <c r="AF5026">
        <v>-3.3912087535081499</v>
      </c>
      <c r="AG5026">
        <v>-1.1105646038579999</v>
      </c>
      <c r="AH5026">
        <v>21.759370253429001</v>
      </c>
      <c r="AI5026">
        <v>92.886961878428707</v>
      </c>
      <c r="AJ5026">
        <v>98.858313688631199</v>
      </c>
      <c r="AK5026">
        <v>22.0500304846733</v>
      </c>
      <c r="AL5026">
        <v>89.386330986904298</v>
      </c>
      <c r="AM5026">
        <v>90.158805539212295</v>
      </c>
      <c r="AN5026">
        <v>0.99999999821741803</v>
      </c>
    </row>
    <row r="5027" spans="1:40" x14ac:dyDescent="0.25">
      <c r="A5027" t="str">
        <f>"20190312161115122"</f>
        <v>20190312161115122</v>
      </c>
      <c r="B5027" t="str">
        <f>"1552378275111660"</f>
        <v>1552378275111660</v>
      </c>
      <c r="C5027" t="s">
        <v>40</v>
      </c>
      <c r="D5027">
        <v>5.0592360000000003</v>
      </c>
      <c r="E5027">
        <v>0.44378699999999999</v>
      </c>
      <c r="F5027" t="s">
        <v>78</v>
      </c>
      <c r="G5027">
        <v>-419.96839999999997</v>
      </c>
      <c r="H5027" s="1">
        <v>-3.445297E-6</v>
      </c>
      <c r="I5027">
        <v>34.090110000000003</v>
      </c>
      <c r="J5027">
        <v>-423.10739999999998</v>
      </c>
      <c r="K5027">
        <v>1.110617</v>
      </c>
      <c r="L5027">
        <v>55.41339</v>
      </c>
      <c r="M5027">
        <v>-7.6676039999999997E-3</v>
      </c>
      <c r="N5027">
        <v>0</v>
      </c>
      <c r="O5027">
        <v>-0.99988200000000005</v>
      </c>
      <c r="P5027">
        <v>-4.1006640000000004E-3</v>
      </c>
      <c r="Q5027">
        <v>-2.7121739999999999E-3</v>
      </c>
      <c r="R5027">
        <v>-0.99998819999999999</v>
      </c>
      <c r="S5027">
        <v>0.43688959999999999</v>
      </c>
      <c r="T5027">
        <v>-0.154635299999999</v>
      </c>
      <c r="U5027">
        <v>-3.002075</v>
      </c>
      <c r="V5027">
        <v>-3.5782800000000001E-3</v>
      </c>
      <c r="W5027">
        <v>1.0600190000000001E-2</v>
      </c>
      <c r="X5027">
        <v>0.99993739999999998</v>
      </c>
      <c r="Y5027">
        <v>-0.15140979999999901</v>
      </c>
      <c r="Z5027">
        <v>5.0875209999999997E-2</v>
      </c>
      <c r="AA5027">
        <v>0.98716099999999996</v>
      </c>
      <c r="AB5027">
        <v>25</v>
      </c>
      <c r="AC5027">
        <v>3.1389999999999998</v>
      </c>
      <c r="AD5027">
        <v>-1.1106204452970001</v>
      </c>
      <c r="AE5027">
        <v>-21.32328</v>
      </c>
      <c r="AF5027">
        <v>-3.2936749926062099</v>
      </c>
      <c r="AG5027">
        <v>-1.1106204452970001</v>
      </c>
      <c r="AH5027">
        <v>21.2421781254818</v>
      </c>
      <c r="AI5027">
        <v>92.957634199993805</v>
      </c>
      <c r="AJ5027">
        <v>98.813728810008598</v>
      </c>
      <c r="AK5027">
        <v>21.5246812809186</v>
      </c>
      <c r="AL5027">
        <v>89.392642467918606</v>
      </c>
      <c r="AM5027">
        <v>90.205032301802504</v>
      </c>
      <c r="AN5027">
        <v>0.99999998601727702</v>
      </c>
    </row>
    <row r="5028" spans="1:40" x14ac:dyDescent="0.25">
      <c r="A5028" t="str">
        <f>"20190312161115145"</f>
        <v>20190312161115145</v>
      </c>
      <c r="B5028" t="str">
        <f>"1552378275132156"</f>
        <v>1552378275132156</v>
      </c>
      <c r="C5028" t="s">
        <v>40</v>
      </c>
      <c r="D5028">
        <v>5.0554480000000002</v>
      </c>
      <c r="E5028">
        <v>0.44424999999999998</v>
      </c>
      <c r="F5028" t="s">
        <v>78</v>
      </c>
      <c r="G5028">
        <v>-420.05779999999999</v>
      </c>
      <c r="H5028" s="1">
        <v>-3.244298E-6</v>
      </c>
      <c r="I5028">
        <v>34.494770000000003</v>
      </c>
      <c r="J5028">
        <v>-423.10849999999999</v>
      </c>
      <c r="K5028">
        <v>1.1106689999999999</v>
      </c>
      <c r="L5028">
        <v>55.163730000000001</v>
      </c>
      <c r="M5028">
        <v>-6.9810319999999999E-3</v>
      </c>
      <c r="N5028">
        <v>0</v>
      </c>
      <c r="O5028">
        <v>-0.99988619999999995</v>
      </c>
      <c r="P5028">
        <v>-2.4666570000000001E-3</v>
      </c>
      <c r="Q5028">
        <v>-2.9845940000000001E-3</v>
      </c>
      <c r="R5028">
        <v>-0.99999269999999996</v>
      </c>
      <c r="S5028">
        <v>0.43756099999999998</v>
      </c>
      <c r="T5028">
        <v>-0.15935179999999999</v>
      </c>
      <c r="U5028">
        <v>-3.001404</v>
      </c>
      <c r="V5028">
        <v>-4.5266569999999999E-3</v>
      </c>
      <c r="W5028">
        <v>1.03985E-2</v>
      </c>
      <c r="X5028">
        <v>0.99993569999999998</v>
      </c>
      <c r="Y5028">
        <v>-0.15096709999999999</v>
      </c>
      <c r="Z5028">
        <v>5.2435610000000001E-2</v>
      </c>
      <c r="AA5028">
        <v>0.9871472</v>
      </c>
      <c r="AB5028">
        <v>25</v>
      </c>
      <c r="AC5028">
        <v>3.0507</v>
      </c>
      <c r="AD5028">
        <v>-1.1106722442979999</v>
      </c>
      <c r="AE5028">
        <v>-20.668959999999998</v>
      </c>
      <c r="AF5028">
        <v>-3.1859257398343899</v>
      </c>
      <c r="AG5028">
        <v>-1.1106722442979999</v>
      </c>
      <c r="AH5028">
        <v>20.5889725018577</v>
      </c>
      <c r="AI5028">
        <v>93.0515802531568</v>
      </c>
      <c r="AJ5028">
        <v>98.796152765874396</v>
      </c>
      <c r="AK5028">
        <v>20.8635927954954</v>
      </c>
      <c r="AL5028">
        <v>89.404199106216794</v>
      </c>
      <c r="AM5028">
        <v>90.2593732474257</v>
      </c>
      <c r="AN5028">
        <v>1.00000001178016</v>
      </c>
    </row>
    <row r="5029" spans="1:40" x14ac:dyDescent="0.25">
      <c r="A5029" t="str">
        <f>"20190312161115168"</f>
        <v>20190312161115168</v>
      </c>
      <c r="B5029" t="str">
        <f>"1552378275162412"</f>
        <v>1552378275162412</v>
      </c>
      <c r="C5029" t="s">
        <v>40</v>
      </c>
      <c r="D5029">
        <v>5.1166460000000002</v>
      </c>
      <c r="E5029">
        <v>0.44470090000000001</v>
      </c>
      <c r="F5029" t="s">
        <v>78</v>
      </c>
      <c r="G5029">
        <v>-420.1447</v>
      </c>
      <c r="H5029" s="1">
        <v>-3.0195929999999999E-6</v>
      </c>
      <c r="I5029">
        <v>34.904220000000002</v>
      </c>
      <c r="J5029">
        <v>-423.10939999999999</v>
      </c>
      <c r="K5029">
        <v>1.1107089999999999</v>
      </c>
      <c r="L5029">
        <v>54.909880000000001</v>
      </c>
      <c r="M5029">
        <v>-6.2107159999999998E-3</v>
      </c>
      <c r="N5029">
        <v>0</v>
      </c>
      <c r="O5029">
        <v>-0.99989039999999996</v>
      </c>
      <c r="P5029">
        <v>-9.2582630000000003E-4</v>
      </c>
      <c r="Q5029">
        <v>-2.85162E-3</v>
      </c>
      <c r="R5029">
        <v>-0.99999559999999998</v>
      </c>
      <c r="S5029">
        <v>0.43896479999999999</v>
      </c>
      <c r="T5029">
        <v>-0.16450020000000001</v>
      </c>
      <c r="U5029">
        <v>-3.00061</v>
      </c>
      <c r="V5029">
        <v>-5.2981180000000001E-3</v>
      </c>
      <c r="W5029">
        <v>1.059304E-2</v>
      </c>
      <c r="X5029">
        <v>0.99992979999999998</v>
      </c>
      <c r="Y5029">
        <v>-0.1506818</v>
      </c>
      <c r="Z5029">
        <v>5.4138690000000003E-2</v>
      </c>
      <c r="AA5029">
        <v>0.98709880000000005</v>
      </c>
      <c r="AB5029">
        <v>25</v>
      </c>
      <c r="AC5029">
        <v>2.9646999999999899</v>
      </c>
      <c r="AD5029">
        <v>-1.110712019593</v>
      </c>
      <c r="AE5029">
        <v>-20.005659999999999</v>
      </c>
      <c r="AF5029">
        <v>-3.0796147149098201</v>
      </c>
      <c r="AG5029">
        <v>-1.110712019593</v>
      </c>
      <c r="AH5029">
        <v>19.926756067721598</v>
      </c>
      <c r="AI5029">
        <v>93.152994925598307</v>
      </c>
      <c r="AJ5029">
        <v>98.785369319442296</v>
      </c>
      <c r="AK5029">
        <v>20.193893021535899</v>
      </c>
      <c r="AL5029">
        <v>89.393052130088606</v>
      </c>
      <c r="AM5029">
        <v>90.303578271292594</v>
      </c>
      <c r="AN5029">
        <v>0.99999994373941004</v>
      </c>
    </row>
    <row r="5030" spans="1:40" x14ac:dyDescent="0.25">
      <c r="A5030" t="str">
        <f>"20190312161115192"</f>
        <v>20190312161115192</v>
      </c>
      <c r="B5030" t="str">
        <f>"1552378275181932"</f>
        <v>1552378275181932</v>
      </c>
      <c r="C5030" t="s">
        <v>40</v>
      </c>
      <c r="D5030">
        <v>5.045077</v>
      </c>
      <c r="E5030">
        <v>0.4451194</v>
      </c>
      <c r="F5030" t="s">
        <v>78</v>
      </c>
      <c r="G5030">
        <v>-420.18299999999999</v>
      </c>
      <c r="H5030" s="1">
        <v>-2.988092E-6</v>
      </c>
      <c r="I5030">
        <v>34.962179999999996</v>
      </c>
      <c r="J5030">
        <v>-423.11009999999999</v>
      </c>
      <c r="K5030">
        <v>1.1107590000000001</v>
      </c>
      <c r="L5030">
        <v>54.635469999999998</v>
      </c>
      <c r="M5030">
        <v>-5.3212750000000003E-3</v>
      </c>
      <c r="N5030">
        <v>0</v>
      </c>
      <c r="O5030">
        <v>-0.99989479999999997</v>
      </c>
      <c r="P5030">
        <v>7.1112529999999897E-4</v>
      </c>
      <c r="Q5030">
        <v>-2.5580720000000002E-3</v>
      </c>
      <c r="R5030">
        <v>-0.99999680000000002</v>
      </c>
      <c r="S5030">
        <v>0.44009399999999999</v>
      </c>
      <c r="T5030">
        <v>-0.1670402</v>
      </c>
      <c r="U5030">
        <v>-2.9999389999999999</v>
      </c>
      <c r="V5030">
        <v>-6.0471519999999897E-3</v>
      </c>
      <c r="W5030">
        <v>1.094207E-2</v>
      </c>
      <c r="X5030">
        <v>0.99992190000000003</v>
      </c>
      <c r="Y5030">
        <v>-0.1501912</v>
      </c>
      <c r="Z5030">
        <v>5.4985230000000003E-2</v>
      </c>
      <c r="AA5030">
        <v>0.98712679999999997</v>
      </c>
      <c r="AB5030">
        <v>25</v>
      </c>
      <c r="AC5030">
        <v>2.9270999999999301</v>
      </c>
      <c r="AD5030">
        <v>-1.1107619880920001</v>
      </c>
      <c r="AE5030">
        <v>-19.673289999999898</v>
      </c>
      <c r="AF5030">
        <v>-3.0223292157118999</v>
      </c>
      <c r="AG5030">
        <v>-1.1107619880920001</v>
      </c>
      <c r="AH5030">
        <v>19.5963183114884</v>
      </c>
      <c r="AI5030">
        <v>93.206348489061199</v>
      </c>
      <c r="AJ5030">
        <v>98.767613990488698</v>
      </c>
      <c r="AK5030">
        <v>19.859102634497599</v>
      </c>
      <c r="AL5030">
        <v>89.373053091130501</v>
      </c>
      <c r="AM5030">
        <v>90.346499125368297</v>
      </c>
      <c r="AN5030">
        <v>1.0000000515214</v>
      </c>
    </row>
    <row r="5031" spans="1:40" x14ac:dyDescent="0.25">
      <c r="A5031" t="str">
        <f>"20190312161115213"</f>
        <v>20190312161115213</v>
      </c>
      <c r="B5031" t="str">
        <f>"1552378275202429"</f>
        <v>1552378275202429</v>
      </c>
      <c r="C5031" t="s">
        <v>40</v>
      </c>
      <c r="D5031">
        <v>5.1254160000000004</v>
      </c>
      <c r="E5031">
        <v>0.44536140000000002</v>
      </c>
      <c r="F5031" t="s">
        <v>78</v>
      </c>
      <c r="G5031">
        <v>-420.26870000000002</v>
      </c>
      <c r="H5031" s="1">
        <v>-2.7722150000000001E-6</v>
      </c>
      <c r="I5031">
        <v>35.32056</v>
      </c>
      <c r="J5031">
        <v>-423.1105</v>
      </c>
      <c r="K5031">
        <v>1.1107899999999999</v>
      </c>
      <c r="L5031">
        <v>54.412199999999999</v>
      </c>
      <c r="M5031">
        <v>-4.5603390000000001E-3</v>
      </c>
      <c r="N5031">
        <v>0</v>
      </c>
      <c r="O5031">
        <v>-0.9998977</v>
      </c>
      <c r="P5031">
        <v>1.93676E-3</v>
      </c>
      <c r="Q5031">
        <v>-2.6343740000000001E-3</v>
      </c>
      <c r="R5031">
        <v>-0.99999479999999996</v>
      </c>
      <c r="S5031">
        <v>0.44122309999999998</v>
      </c>
      <c r="T5031">
        <v>-0.17248189999999999</v>
      </c>
      <c r="U5031">
        <v>-2.9992679999999998</v>
      </c>
      <c r="V5031">
        <v>-6.5120339999999999E-3</v>
      </c>
      <c r="W5031">
        <v>1.0905349999999999E-2</v>
      </c>
      <c r="X5031">
        <v>0.99991940000000001</v>
      </c>
      <c r="Y5031">
        <v>-0.1498197</v>
      </c>
      <c r="Z5031">
        <v>5.6783670000000001E-2</v>
      </c>
      <c r="AA5031">
        <v>0.9870814</v>
      </c>
      <c r="AB5031">
        <v>25</v>
      </c>
      <c r="AC5031">
        <v>2.8417999999999699</v>
      </c>
      <c r="AD5031">
        <v>-1.1107927722149999</v>
      </c>
      <c r="AE5031">
        <v>-19.091640000000002</v>
      </c>
      <c r="AF5031">
        <v>-2.9191751142604501</v>
      </c>
      <c r="AG5031">
        <v>-1.1107927722149999</v>
      </c>
      <c r="AH5031">
        <v>19.015505398323601</v>
      </c>
      <c r="AI5031">
        <v>93.304515163631805</v>
      </c>
      <c r="AJ5031">
        <v>98.727655179142005</v>
      </c>
      <c r="AK5031">
        <v>19.270311089450502</v>
      </c>
      <c r="AL5031">
        <v>89.375157129049697</v>
      </c>
      <c r="AM5031">
        <v>90.373136864224506</v>
      </c>
      <c r="AN5031">
        <v>1.00000006987089</v>
      </c>
    </row>
    <row r="5032" spans="1:40" x14ac:dyDescent="0.25">
      <c r="A5032" t="str">
        <f>"20190312161115234"</f>
        <v>20190312161115234</v>
      </c>
      <c r="B5032" t="str">
        <f>"1552378275221948"</f>
        <v>1552378275221948</v>
      </c>
      <c r="C5032" t="s">
        <v>40</v>
      </c>
      <c r="D5032">
        <v>5.1264250000000002</v>
      </c>
      <c r="E5032">
        <v>0.44552219999999998</v>
      </c>
      <c r="F5032" t="s">
        <v>78</v>
      </c>
      <c r="G5032">
        <v>-420.32100000000003</v>
      </c>
      <c r="H5032" s="1">
        <v>-2.653981E-6</v>
      </c>
      <c r="I5032">
        <v>35.518030000000003</v>
      </c>
      <c r="J5032">
        <v>-423.11059999999998</v>
      </c>
      <c r="K5032">
        <v>1.1108180000000001</v>
      </c>
      <c r="L5032">
        <v>54.178040000000003</v>
      </c>
      <c r="M5032">
        <v>-3.7253659999999999E-3</v>
      </c>
      <c r="N5032">
        <v>0</v>
      </c>
      <c r="O5032">
        <v>-0.99990089999999998</v>
      </c>
      <c r="P5032">
        <v>2.6265220000000001E-3</v>
      </c>
      <c r="Q5032">
        <v>-2.8440280000000002E-3</v>
      </c>
      <c r="R5032">
        <v>-0.99999280000000002</v>
      </c>
      <c r="S5032">
        <v>0.44271850000000001</v>
      </c>
      <c r="T5032">
        <v>-0.17629349999999999</v>
      </c>
      <c r="U5032">
        <v>-2.998688</v>
      </c>
      <c r="V5032">
        <v>-6.3670990000000002E-3</v>
      </c>
      <c r="W5032">
        <v>1.073227E-2</v>
      </c>
      <c r="X5032">
        <v>0.99992219999999998</v>
      </c>
      <c r="Y5032">
        <v>-0.14949270000000001</v>
      </c>
      <c r="Z5032">
        <v>5.8044999999999999E-2</v>
      </c>
      <c r="AA5032">
        <v>0.98705759999999998</v>
      </c>
      <c r="AB5032">
        <v>25</v>
      </c>
      <c r="AC5032">
        <v>2.7896000000000001</v>
      </c>
      <c r="AD5032">
        <v>-1.1108206539809999</v>
      </c>
      <c r="AE5032">
        <v>-18.66001</v>
      </c>
      <c r="AF5032">
        <v>-2.8492261678682498</v>
      </c>
      <c r="AG5032">
        <v>-1.1108206539809999</v>
      </c>
      <c r="AH5032">
        <v>18.585066018377699</v>
      </c>
      <c r="AI5032">
        <v>93.381063789963704</v>
      </c>
      <c r="AJ5032">
        <v>98.715999249700403</v>
      </c>
      <c r="AK5032">
        <v>18.834985829260201</v>
      </c>
      <c r="AL5032">
        <v>89.385074458572902</v>
      </c>
      <c r="AM5032">
        <v>90.364831353909395</v>
      </c>
      <c r="AN5032">
        <v>1.0000000638109301</v>
      </c>
    </row>
    <row r="5033" spans="1:40" x14ac:dyDescent="0.25">
      <c r="A5033" t="str">
        <f>"20190312161115257"</f>
        <v>20190312161115257</v>
      </c>
      <c r="B5033" t="str">
        <f>"1552378275252204"</f>
        <v>1552378275252204</v>
      </c>
      <c r="C5033" t="s">
        <v>40</v>
      </c>
      <c r="D5033">
        <v>5.1417529999999996</v>
      </c>
      <c r="E5033">
        <v>0.44581029999999999</v>
      </c>
      <c r="F5033" t="s">
        <v>78</v>
      </c>
      <c r="G5033">
        <v>-420.35700000000003</v>
      </c>
      <c r="H5033" s="1">
        <v>-2.6316279999999999E-6</v>
      </c>
      <c r="I5033">
        <v>35.561079999999997</v>
      </c>
      <c r="J5033">
        <v>-423.1105</v>
      </c>
      <c r="K5033">
        <v>1.1108389999999999</v>
      </c>
      <c r="L5033">
        <v>53.935490000000001</v>
      </c>
      <c r="M5033">
        <v>-2.8204720000000001E-3</v>
      </c>
      <c r="N5033">
        <v>0</v>
      </c>
      <c r="O5033">
        <v>-0.9999036</v>
      </c>
      <c r="P5033">
        <v>3.6087850000000002E-3</v>
      </c>
      <c r="Q5033">
        <v>-3.187647E-3</v>
      </c>
      <c r="R5033">
        <v>-0.99998889999999996</v>
      </c>
      <c r="S5033">
        <v>0.44348140000000003</v>
      </c>
      <c r="T5033">
        <v>-0.17890309999999901</v>
      </c>
      <c r="U5033">
        <v>-2.9983520000000001</v>
      </c>
      <c r="V5033">
        <v>-6.4443620000000004E-3</v>
      </c>
      <c r="W5033">
        <v>1.0421390000000001E-2</v>
      </c>
      <c r="X5033">
        <v>0.99992499999999995</v>
      </c>
      <c r="Y5033">
        <v>-0.14885219999999999</v>
      </c>
      <c r="Z5033">
        <v>5.8909759999999999E-2</v>
      </c>
      <c r="AA5033">
        <v>0.98710319999999996</v>
      </c>
      <c r="AB5033">
        <v>25</v>
      </c>
      <c r="AC5033">
        <v>2.75350000000003</v>
      </c>
      <c r="AD5033">
        <v>-1.1108416316280001</v>
      </c>
      <c r="AE5033">
        <v>-18.374410000000001</v>
      </c>
      <c r="AF5033">
        <v>-2.7953260534487701</v>
      </c>
      <c r="AG5033">
        <v>-1.1108416316280001</v>
      </c>
      <c r="AH5033">
        <v>18.301149944668399</v>
      </c>
      <c r="AI5033">
        <v>93.433746620538201</v>
      </c>
      <c r="AJ5033">
        <v>98.684265163476795</v>
      </c>
      <c r="AK5033">
        <v>18.5466952898052</v>
      </c>
      <c r="AL5033">
        <v>89.402887569774506</v>
      </c>
      <c r="AM5033">
        <v>90.369257326499294</v>
      </c>
      <c r="AN5033">
        <v>1.0000000703980501</v>
      </c>
    </row>
    <row r="5034" spans="1:40" x14ac:dyDescent="0.25">
      <c r="A5034" t="str">
        <f>"20190312161115279"</f>
        <v>20190312161115279</v>
      </c>
      <c r="B5034" t="str">
        <f>"1552378275271725"</f>
        <v>1552378275271725</v>
      </c>
      <c r="C5034" t="s">
        <v>40</v>
      </c>
      <c r="D5034">
        <v>5.1427040000000002</v>
      </c>
      <c r="E5034">
        <v>0.44607400000000003</v>
      </c>
      <c r="F5034" t="s">
        <v>78</v>
      </c>
      <c r="G5034">
        <v>-420.4273</v>
      </c>
      <c r="H5034" s="1">
        <v>-2.4602050000000001E-6</v>
      </c>
      <c r="I5034">
        <v>35.846170000000001</v>
      </c>
      <c r="J5034">
        <v>-423.11</v>
      </c>
      <c r="K5034">
        <v>1.110873</v>
      </c>
      <c r="L5034">
        <v>53.690769999999901</v>
      </c>
      <c r="M5034">
        <v>-1.864817E-3</v>
      </c>
      <c r="N5034">
        <v>0</v>
      </c>
      <c r="O5034">
        <v>-0.99990509999999999</v>
      </c>
      <c r="P5034">
        <v>4.495944E-3</v>
      </c>
      <c r="Q5034">
        <v>-3.1650929999999999E-3</v>
      </c>
      <c r="R5034">
        <v>-0.99998489999999995</v>
      </c>
      <c r="S5034">
        <v>0.4446716</v>
      </c>
      <c r="T5034">
        <v>-0.18409310000000001</v>
      </c>
      <c r="U5034">
        <v>-2.997833</v>
      </c>
      <c r="V5034">
        <v>-6.3766530000000004E-3</v>
      </c>
      <c r="W5034">
        <v>1.0471930000000001E-2</v>
      </c>
      <c r="X5034">
        <v>0.99992479999999995</v>
      </c>
      <c r="Y5034">
        <v>-0.1483003</v>
      </c>
      <c r="Z5034">
        <v>6.062381E-2</v>
      </c>
      <c r="AA5034">
        <v>0.98708249999999997</v>
      </c>
      <c r="AB5034">
        <v>25</v>
      </c>
      <c r="AC5034">
        <v>2.6827000000000099</v>
      </c>
      <c r="AD5034">
        <v>-1.1108754602049999</v>
      </c>
      <c r="AE5034">
        <v>-17.8445999999999</v>
      </c>
      <c r="AF5034">
        <v>-2.7057213345150299</v>
      </c>
      <c r="AG5034">
        <v>-1.1108754602049999</v>
      </c>
      <c r="AH5034">
        <v>17.772213467669999</v>
      </c>
      <c r="AI5034">
        <v>93.536054340697206</v>
      </c>
      <c r="AJ5034">
        <v>98.656493230244706</v>
      </c>
      <c r="AK5034">
        <v>18.011289342203298</v>
      </c>
      <c r="AL5034">
        <v>89.399991619620096</v>
      </c>
      <c r="AM5034">
        <v>90.365377828118397</v>
      </c>
      <c r="AN5034">
        <v>0.99999996433822202</v>
      </c>
    </row>
    <row r="5035" spans="1:40" x14ac:dyDescent="0.25">
      <c r="A5035" t="str">
        <f>"20190312161115301"</f>
        <v>20190312161115301</v>
      </c>
      <c r="B5035" t="str">
        <f>"1552378275292220"</f>
        <v>1552378275292220</v>
      </c>
      <c r="C5035" t="s">
        <v>40</v>
      </c>
      <c r="D5035">
        <v>5.1741279999999996</v>
      </c>
      <c r="E5035">
        <v>0.4462643</v>
      </c>
      <c r="F5035" t="s">
        <v>78</v>
      </c>
      <c r="G5035">
        <v>-420.49169999999998</v>
      </c>
      <c r="H5035" s="1">
        <v>-2.3313340000000001E-6</v>
      </c>
      <c r="I5035">
        <v>36.063040000000001</v>
      </c>
      <c r="J5035">
        <v>-423.10939999999999</v>
      </c>
      <c r="K5035">
        <v>1.110914</v>
      </c>
      <c r="L5035">
        <v>53.447539999999996</v>
      </c>
      <c r="M5035">
        <v>-8.6851059999999995E-4</v>
      </c>
      <c r="N5035">
        <v>0</v>
      </c>
      <c r="O5035">
        <v>-0.99990639999999997</v>
      </c>
      <c r="P5035">
        <v>5.7333660000000002E-3</v>
      </c>
      <c r="Q5035">
        <v>-3.1405920000000002E-3</v>
      </c>
      <c r="R5035">
        <v>-0.99997899999999995</v>
      </c>
      <c r="S5035">
        <v>0.44522089999999998</v>
      </c>
      <c r="T5035">
        <v>-0.18889439999999999</v>
      </c>
      <c r="U5035">
        <v>-2.9974370000000001</v>
      </c>
      <c r="V5035">
        <v>-6.6193409999999999E-3</v>
      </c>
      <c r="W5035">
        <v>1.0520089999999999E-2</v>
      </c>
      <c r="X5035">
        <v>0.9999228</v>
      </c>
      <c r="Y5035">
        <v>-0.14749660000000001</v>
      </c>
      <c r="Z5035">
        <v>6.220999E-2</v>
      </c>
      <c r="AA5035">
        <v>0.98710419999999999</v>
      </c>
      <c r="AB5035">
        <v>24</v>
      </c>
      <c r="AC5035">
        <v>2.6177000000000099</v>
      </c>
      <c r="AD5035">
        <v>-1.110916331334</v>
      </c>
      <c r="AE5035">
        <v>-17.384499999999999</v>
      </c>
      <c r="AF5035">
        <v>-2.6223280373822999</v>
      </c>
      <c r="AG5035">
        <v>-1.110916331334</v>
      </c>
      <c r="AH5035">
        <v>17.313088241844401</v>
      </c>
      <c r="AI5035">
        <v>93.6301314081431</v>
      </c>
      <c r="AJ5035">
        <v>98.612842824054496</v>
      </c>
      <c r="AK5035">
        <v>17.545761992594102</v>
      </c>
      <c r="AL5035">
        <v>89.397232152579306</v>
      </c>
      <c r="AM5035">
        <v>90.379284043294206</v>
      </c>
      <c r="AN5035">
        <v>1.00000004696436</v>
      </c>
    </row>
    <row r="5036" spans="1:40" x14ac:dyDescent="0.25">
      <c r="A5036" t="str">
        <f>"20190312161115323"</f>
        <v>20190312161115323</v>
      </c>
      <c r="B5036" t="str">
        <f>"1552378275311740"</f>
        <v>1552378275311740</v>
      </c>
      <c r="C5036" t="s">
        <v>40</v>
      </c>
      <c r="D5036">
        <v>5.1827360000000002</v>
      </c>
      <c r="E5036">
        <v>0.4462467</v>
      </c>
      <c r="F5036" t="s">
        <v>78</v>
      </c>
      <c r="G5036">
        <v>-420.52730000000003</v>
      </c>
      <c r="H5036" s="1">
        <v>-2.287733E-6</v>
      </c>
      <c r="I5036">
        <v>36.139429999999997</v>
      </c>
      <c r="J5036">
        <v>-423.10840000000002</v>
      </c>
      <c r="K5036">
        <v>1.110959</v>
      </c>
      <c r="L5036">
        <v>53.209470000000003</v>
      </c>
      <c r="M5036">
        <v>1.582829E-4</v>
      </c>
      <c r="N5036">
        <v>0</v>
      </c>
      <c r="O5036">
        <v>-0.99990630000000003</v>
      </c>
      <c r="P5036">
        <v>6.9504459999999999E-3</v>
      </c>
      <c r="Q5036">
        <v>-3.6102180000000001E-3</v>
      </c>
      <c r="R5036">
        <v>-0.99996940000000001</v>
      </c>
      <c r="S5036">
        <v>0.44708249999999999</v>
      </c>
      <c r="T5036">
        <v>-0.19235630000000001</v>
      </c>
      <c r="U5036">
        <v>-2.996918</v>
      </c>
      <c r="V5036">
        <v>-6.8091380000000002E-3</v>
      </c>
      <c r="W5036">
        <v>1.0069979999999999E-2</v>
      </c>
      <c r="X5036">
        <v>0.99992610000000004</v>
      </c>
      <c r="Y5036">
        <v>-0.147095</v>
      </c>
      <c r="Z5036">
        <v>6.3355439999999999E-2</v>
      </c>
      <c r="AA5036">
        <v>0.98709119999999995</v>
      </c>
      <c r="AB5036">
        <v>24</v>
      </c>
      <c r="AC5036">
        <v>2.58109999999999</v>
      </c>
      <c r="AD5036">
        <v>-1.110961287733</v>
      </c>
      <c r="AE5036">
        <v>-17.070039999999999</v>
      </c>
      <c r="AF5036">
        <v>-2.5677645613253799</v>
      </c>
      <c r="AG5036">
        <v>-1.110961287733</v>
      </c>
      <c r="AH5036">
        <v>17.0000502025452</v>
      </c>
      <c r="AI5036">
        <v>93.697171217340099</v>
      </c>
      <c r="AJ5036">
        <v>98.589286748891894</v>
      </c>
      <c r="AK5036">
        <v>17.2287363644087</v>
      </c>
      <c r="AL5036">
        <v>89.423022887184104</v>
      </c>
      <c r="AM5036">
        <v>90.390157671999404</v>
      </c>
      <c r="AN5036">
        <v>0.99999998715935601</v>
      </c>
    </row>
    <row r="5037" spans="1:40" x14ac:dyDescent="0.25">
      <c r="A5037" t="str">
        <f>"20190312161115346"</f>
        <v>20190312161115346</v>
      </c>
      <c r="B5037" t="str">
        <f>"1552378275341996"</f>
        <v>1552378275341996</v>
      </c>
      <c r="C5037" t="s">
        <v>40</v>
      </c>
      <c r="D5037">
        <v>5.1761929999999996</v>
      </c>
      <c r="E5037">
        <v>0.44621080000000002</v>
      </c>
      <c r="F5037" t="s">
        <v>78</v>
      </c>
      <c r="G5037">
        <v>-420.52370000000002</v>
      </c>
      <c r="H5037" s="1">
        <v>-2.3423060000000002E-6</v>
      </c>
      <c r="I5037">
        <v>36.052790000000002</v>
      </c>
      <c r="J5037">
        <v>-423.10700000000003</v>
      </c>
      <c r="K5037">
        <v>1.111</v>
      </c>
      <c r="L5037">
        <v>52.955869999999997</v>
      </c>
      <c r="M5037">
        <v>1.321416E-3</v>
      </c>
      <c r="N5037">
        <v>0</v>
      </c>
      <c r="O5037">
        <v>-0.99990500000000004</v>
      </c>
      <c r="P5037">
        <v>8.2094479999999994E-3</v>
      </c>
      <c r="Q5037">
        <v>-4.1381539999999998E-3</v>
      </c>
      <c r="R5037">
        <v>-0.99995769999999995</v>
      </c>
      <c r="S5037">
        <v>0.4513855</v>
      </c>
      <c r="T5037">
        <v>-0.19401850000000001</v>
      </c>
      <c r="U5037">
        <v>-2.9962460000000002</v>
      </c>
      <c r="V5037">
        <v>-6.9054869999999897E-3</v>
      </c>
      <c r="W5037">
        <v>9.5597879999999996E-3</v>
      </c>
      <c r="X5037">
        <v>0.9999304</v>
      </c>
      <c r="Y5037">
        <v>-0.14735799999999999</v>
      </c>
      <c r="Z5037">
        <v>6.3906669999999999E-2</v>
      </c>
      <c r="AA5037">
        <v>0.98701649999999996</v>
      </c>
      <c r="AB5037">
        <v>24</v>
      </c>
      <c r="AC5037">
        <v>2.5832999999999502</v>
      </c>
      <c r="AD5037">
        <v>-1.111002342306</v>
      </c>
      <c r="AE5037">
        <v>-16.9030799999999</v>
      </c>
      <c r="AF5037">
        <v>-2.55019389169049</v>
      </c>
      <c r="AG5037">
        <v>-1.111002342306</v>
      </c>
      <c r="AH5037">
        <v>16.8354078011883</v>
      </c>
      <c r="AI5037">
        <v>93.733125006385507</v>
      </c>
      <c r="AJ5037">
        <v>98.613567280233795</v>
      </c>
      <c r="AK5037">
        <v>17.0636681555326</v>
      </c>
      <c r="AL5037">
        <v>89.452256118506895</v>
      </c>
      <c r="AM5037">
        <v>90.395676509932599</v>
      </c>
      <c r="AN5037">
        <v>0.99999994007073401</v>
      </c>
    </row>
    <row r="5038" spans="1:40" x14ac:dyDescent="0.25">
      <c r="A5038" t="str">
        <f>"20190312161115391"</f>
        <v>20190312161115391</v>
      </c>
      <c r="B5038" t="str">
        <f>"1552378275382012"</f>
        <v>1552378275382012</v>
      </c>
      <c r="C5038" t="s">
        <v>40</v>
      </c>
      <c r="D5038">
        <v>5.2225299999999999</v>
      </c>
      <c r="E5038">
        <v>0.4460346</v>
      </c>
      <c r="F5038" t="s">
        <v>78</v>
      </c>
      <c r="G5038">
        <v>-420.48079999999999</v>
      </c>
      <c r="H5038" s="1">
        <v>-2.5682700000000001E-6</v>
      </c>
      <c r="I5038">
        <v>35.687869999999997</v>
      </c>
      <c r="J5038">
        <v>-423.10329999999999</v>
      </c>
      <c r="K5038">
        <v>1.1110799999999901</v>
      </c>
      <c r="L5038">
        <v>52.469729999999998</v>
      </c>
      <c r="M5038">
        <v>3.737546E-3</v>
      </c>
      <c r="N5038">
        <v>0</v>
      </c>
      <c r="O5038">
        <v>-0.99989890000000003</v>
      </c>
      <c r="P5038">
        <v>9.7384259999999997E-3</v>
      </c>
      <c r="Q5038">
        <v>-4.3164459999999998E-3</v>
      </c>
      <c r="R5038">
        <v>-0.99994340000000004</v>
      </c>
      <c r="S5038">
        <v>0.45559690000000003</v>
      </c>
      <c r="T5038">
        <v>-0.19273380000000001</v>
      </c>
      <c r="U5038">
        <v>-2.9956049999999999</v>
      </c>
      <c r="V5038">
        <v>-6.0195919999999998E-3</v>
      </c>
      <c r="W5038">
        <v>9.4095919999999996E-3</v>
      </c>
      <c r="X5038">
        <v>0.99993759999999998</v>
      </c>
      <c r="Y5038">
        <v>-0.14635960000000001</v>
      </c>
      <c r="Z5038">
        <v>6.3496150000000001E-2</v>
      </c>
      <c r="AA5038">
        <v>0.9871915</v>
      </c>
      <c r="AB5038">
        <v>24</v>
      </c>
      <c r="AC5038">
        <v>2.6225000000000001</v>
      </c>
      <c r="AD5038">
        <v>-1.1110825682699901</v>
      </c>
      <c r="AE5038">
        <v>-16.781860000000002</v>
      </c>
      <c r="AF5038">
        <v>-2.5488464880953998</v>
      </c>
      <c r="AG5038">
        <v>-1.1110825682699901</v>
      </c>
      <c r="AH5038">
        <v>16.720001825826401</v>
      </c>
      <c r="AI5038">
        <v>93.758551886476596</v>
      </c>
      <c r="AJ5038">
        <v>98.667607279970397</v>
      </c>
      <c r="AK5038">
        <v>16.949618991264298</v>
      </c>
      <c r="AL5038">
        <v>89.460862129900093</v>
      </c>
      <c r="AM5038">
        <v>90.344914572391005</v>
      </c>
      <c r="AN5038">
        <v>0.99999998990160599</v>
      </c>
    </row>
    <row r="5039" spans="1:40" x14ac:dyDescent="0.25">
      <c r="A5039" t="str">
        <f>"20190312161115414"</f>
        <v>20190312161115414</v>
      </c>
      <c r="B5039" t="str">
        <f>"1552378275402509"</f>
        <v>1552378275402509</v>
      </c>
      <c r="C5039" t="s">
        <v>40</v>
      </c>
      <c r="D5039">
        <v>5.2584220000000004</v>
      </c>
      <c r="E5039">
        <v>0.4459843</v>
      </c>
      <c r="F5039" t="s">
        <v>78</v>
      </c>
      <c r="G5039">
        <v>-420.37849999999997</v>
      </c>
      <c r="H5039" s="1">
        <v>-3.1440209999999998E-6</v>
      </c>
      <c r="I5039">
        <v>34.75967</v>
      </c>
      <c r="J5039">
        <v>-423.101</v>
      </c>
      <c r="K5039">
        <v>1.1111089999999999</v>
      </c>
      <c r="L5039">
        <v>52.230870000000003</v>
      </c>
      <c r="M5039">
        <v>5.0017909999999898E-3</v>
      </c>
      <c r="N5039">
        <v>0</v>
      </c>
      <c r="O5039">
        <v>-0.99989309999999998</v>
      </c>
      <c r="P5039">
        <v>1.0117610000000001E-2</v>
      </c>
      <c r="Q5039">
        <v>-5.2932480000000004E-3</v>
      </c>
      <c r="R5039">
        <v>-0.99993500000000002</v>
      </c>
      <c r="S5039">
        <v>0.4607849</v>
      </c>
      <c r="T5039">
        <v>-0.18789059999999999</v>
      </c>
      <c r="U5039">
        <v>-2.9948730000000001</v>
      </c>
      <c r="V5039">
        <v>-5.1327719999999999E-3</v>
      </c>
      <c r="W5039">
        <v>8.4449880000000005E-3</v>
      </c>
      <c r="X5039">
        <v>0.99995120000000004</v>
      </c>
      <c r="Y5039">
        <v>-0.14683089999999999</v>
      </c>
      <c r="Z5039">
        <v>6.1911029999999999E-2</v>
      </c>
      <c r="AA5039">
        <v>0.98722220000000005</v>
      </c>
      <c r="AB5039">
        <v>24</v>
      </c>
      <c r="AC5039">
        <v>2.7225000000000201</v>
      </c>
      <c r="AD5039">
        <v>-1.1111121440209999</v>
      </c>
      <c r="AE5039">
        <v>-17.4712</v>
      </c>
      <c r="AF5039">
        <v>-2.6247063033325801</v>
      </c>
      <c r="AG5039">
        <v>-1.1111121440209999</v>
      </c>
      <c r="AH5039">
        <v>17.415830735937998</v>
      </c>
      <c r="AI5039">
        <v>93.609809630824799</v>
      </c>
      <c r="AJ5039">
        <v>98.570438390859906</v>
      </c>
      <c r="AK5039">
        <v>17.6475157911301</v>
      </c>
      <c r="AL5039">
        <v>89.516132093903707</v>
      </c>
      <c r="AM5039">
        <v>90.294097941970307</v>
      </c>
      <c r="AN5039">
        <v>1.0000000327760801</v>
      </c>
    </row>
    <row r="5040" spans="1:40" x14ac:dyDescent="0.25">
      <c r="A5040" t="str">
        <f>"20190312161115435"</f>
        <v>20190312161115435</v>
      </c>
      <c r="B5040" t="str">
        <f>"1552378275431789"</f>
        <v>1552378275431789</v>
      </c>
      <c r="C5040" t="s">
        <v>40</v>
      </c>
      <c r="D5040">
        <v>5.1460160000000004</v>
      </c>
      <c r="E5040">
        <v>0.44591999999999998</v>
      </c>
      <c r="F5040" t="s">
        <v>78</v>
      </c>
      <c r="G5040">
        <v>-420.37599999999998</v>
      </c>
      <c r="H5040" s="1">
        <v>-3.248497E-6</v>
      </c>
      <c r="I5040">
        <v>34.576860000000003</v>
      </c>
      <c r="J5040">
        <v>-423.09840000000003</v>
      </c>
      <c r="K5040">
        <v>1.1111340000000001</v>
      </c>
      <c r="L5040">
        <v>51.998840000000001</v>
      </c>
      <c r="M5040">
        <v>6.2782630000000001E-3</v>
      </c>
      <c r="N5040">
        <v>0</v>
      </c>
      <c r="O5040">
        <v>-0.99988580000000005</v>
      </c>
      <c r="P5040">
        <v>1.140043E-2</v>
      </c>
      <c r="Q5040">
        <v>-6.3572780000000001E-3</v>
      </c>
      <c r="R5040">
        <v>-0.99991490000000005</v>
      </c>
      <c r="S5040">
        <v>0.4622192</v>
      </c>
      <c r="T5040">
        <v>-0.1884711</v>
      </c>
      <c r="U5040">
        <v>-2.9945369999999998</v>
      </c>
      <c r="V5040">
        <v>-5.1375819999999999E-3</v>
      </c>
      <c r="W5040">
        <v>7.3893040000000002E-3</v>
      </c>
      <c r="X5040">
        <v>0.9999595</v>
      </c>
      <c r="Y5040">
        <v>-0.146044799999999</v>
      </c>
      <c r="Z5040">
        <v>6.2109110000000002E-2</v>
      </c>
      <c r="AA5040">
        <v>0.98732640000000005</v>
      </c>
      <c r="AB5040">
        <v>24</v>
      </c>
      <c r="AC5040">
        <v>2.7224000000000501</v>
      </c>
      <c r="AD5040">
        <v>-1.1111372484969999</v>
      </c>
      <c r="AE5040">
        <v>-17.421980000000001</v>
      </c>
      <c r="AF5040">
        <v>-2.6026220870432599</v>
      </c>
      <c r="AG5040">
        <v>-1.1111372484969999</v>
      </c>
      <c r="AH5040">
        <v>17.3697606363286</v>
      </c>
      <c r="AI5040">
        <v>93.619902570971604</v>
      </c>
      <c r="AJ5040">
        <v>98.521597047216005</v>
      </c>
      <c r="AK5040">
        <v>17.5987741697061</v>
      </c>
      <c r="AL5040">
        <v>89.576620213936707</v>
      </c>
      <c r="AM5040">
        <v>90.294371097494704</v>
      </c>
      <c r="AN5040">
        <v>0.99999999910132997</v>
      </c>
    </row>
    <row r="5041" spans="1:40" x14ac:dyDescent="0.25">
      <c r="A5041" t="str">
        <f>"20190312161115458"</f>
        <v>20190312161115458</v>
      </c>
      <c r="B5041" t="str">
        <f>"1552378275452284"</f>
        <v>1552378275452284</v>
      </c>
      <c r="C5041" t="s">
        <v>40</v>
      </c>
      <c r="D5041">
        <v>5.2754599999999998</v>
      </c>
      <c r="E5041">
        <v>0.44588709999999998</v>
      </c>
      <c r="F5041" t="s">
        <v>78</v>
      </c>
      <c r="G5041">
        <v>-420.36079999999998</v>
      </c>
      <c r="H5041" s="1">
        <v>-3.2938359999999998E-6</v>
      </c>
      <c r="I5041">
        <v>34.440130000000003</v>
      </c>
      <c r="J5041">
        <v>-423.09530000000001</v>
      </c>
      <c r="K5041">
        <v>1.111175</v>
      </c>
      <c r="L5041">
        <v>51.753300000000003</v>
      </c>
      <c r="M5041">
        <v>7.6922029999999999E-3</v>
      </c>
      <c r="N5041">
        <v>0</v>
      </c>
      <c r="O5041">
        <v>-0.99987570000000003</v>
      </c>
      <c r="P5041">
        <v>1.2883230000000001E-2</v>
      </c>
      <c r="Q5041">
        <v>-6.1878080000000004E-3</v>
      </c>
      <c r="R5041">
        <v>-0.99989799999999995</v>
      </c>
      <c r="S5041">
        <v>0.46676640000000003</v>
      </c>
      <c r="T5041">
        <v>-0.1894479</v>
      </c>
      <c r="U5041">
        <v>-2.993744</v>
      </c>
      <c r="V5041">
        <v>-5.2071909999999999E-3</v>
      </c>
      <c r="W5041">
        <v>7.5662059999999998E-3</v>
      </c>
      <c r="X5041">
        <v>0.99995780000000001</v>
      </c>
      <c r="Y5041">
        <v>-0.14614659999999999</v>
      </c>
      <c r="Z5041">
        <v>6.2437439999999997E-2</v>
      </c>
      <c r="AA5041">
        <v>0.98729060000000002</v>
      </c>
      <c r="AB5041">
        <v>24</v>
      </c>
      <c r="AC5041">
        <v>2.7345000000000201</v>
      </c>
      <c r="AD5041">
        <v>-1.111178293836</v>
      </c>
      <c r="AE5041">
        <v>-17.31317</v>
      </c>
      <c r="AF5041">
        <v>-2.5908176675424301</v>
      </c>
      <c r="AG5041">
        <v>-1.111178293836</v>
      </c>
      <c r="AH5041">
        <v>17.264309501415202</v>
      </c>
      <c r="AI5041">
        <v>93.641964637523799</v>
      </c>
      <c r="AJ5041">
        <v>98.534567088457706</v>
      </c>
      <c r="AK5041">
        <v>17.492953894291201</v>
      </c>
      <c r="AL5041">
        <v>89.566484185142102</v>
      </c>
      <c r="AM5041">
        <v>90.298359961453897</v>
      </c>
      <c r="AN5041">
        <v>0.99999998204609197</v>
      </c>
    </row>
    <row r="5042" spans="1:40" x14ac:dyDescent="0.25">
      <c r="A5042" t="str">
        <f>"20190312161115480"</f>
        <v>20190312161115480</v>
      </c>
      <c r="B5042" t="str">
        <f>"1552378275471805"</f>
        <v>1552378275471805</v>
      </c>
      <c r="C5042" t="s">
        <v>40</v>
      </c>
      <c r="D5042">
        <v>5.2946309999999999</v>
      </c>
      <c r="E5042">
        <v>0.4458085</v>
      </c>
      <c r="F5042" t="s">
        <v>78</v>
      </c>
      <c r="G5042">
        <v>-420.30540000000002</v>
      </c>
      <c r="H5042" s="1">
        <v>-3.496419E-6</v>
      </c>
      <c r="I5042">
        <v>34.028170000000003</v>
      </c>
      <c r="J5042">
        <v>-423.09179999999998</v>
      </c>
      <c r="K5042">
        <v>1.1112229999999901</v>
      </c>
      <c r="L5042">
        <v>51.512569999999997</v>
      </c>
      <c r="M5042">
        <v>9.1454339999999992E-3</v>
      </c>
      <c r="N5042">
        <v>0</v>
      </c>
      <c r="O5042">
        <v>-0.99986350000000002</v>
      </c>
      <c r="P5042">
        <v>1.453788E-2</v>
      </c>
      <c r="Q5042">
        <v>-6.7442639999999998E-3</v>
      </c>
      <c r="R5042">
        <v>-0.99987179999999998</v>
      </c>
      <c r="S5042">
        <v>0.47109990000000002</v>
      </c>
      <c r="T5042">
        <v>-0.1876341</v>
      </c>
      <c r="U5042">
        <v>-2.9930729999999999</v>
      </c>
      <c r="V5042">
        <v>-5.4084299999999997E-3</v>
      </c>
      <c r="W5042">
        <v>7.0154730000000004E-3</v>
      </c>
      <c r="X5042">
        <v>0.99996079999999998</v>
      </c>
      <c r="Y5042">
        <v>-0.14614349999999901</v>
      </c>
      <c r="Z5042">
        <v>6.184767E-2</v>
      </c>
      <c r="AA5042">
        <v>0.98732819999999999</v>
      </c>
      <c r="AB5042">
        <v>24</v>
      </c>
      <c r="AC5042">
        <v>2.7863999999999498</v>
      </c>
      <c r="AD5042">
        <v>-1.111226496419</v>
      </c>
      <c r="AE5042">
        <v>-17.484400000000001</v>
      </c>
      <c r="AF5042">
        <v>-2.6160606127031198</v>
      </c>
      <c r="AG5042">
        <v>-1.111226496419</v>
      </c>
      <c r="AH5042">
        <v>17.440451916375501</v>
      </c>
      <c r="AI5042">
        <v>93.605471582982702</v>
      </c>
      <c r="AJ5042">
        <v>98.530742557950006</v>
      </c>
      <c r="AK5042">
        <v>17.670539338206002</v>
      </c>
      <c r="AL5042">
        <v>89.598039722533002</v>
      </c>
      <c r="AM5042">
        <v>90.309889338822899</v>
      </c>
      <c r="AN5042">
        <v>1.0000000347565501</v>
      </c>
    </row>
    <row r="5043" spans="1:40" x14ac:dyDescent="0.25">
      <c r="A5043" t="str">
        <f>"20190312161115502"</f>
        <v>20190312161115502</v>
      </c>
      <c r="B5043" t="str">
        <f>"1552378275492301"</f>
        <v>1552378275492301</v>
      </c>
      <c r="C5043" t="s">
        <v>40</v>
      </c>
      <c r="D5043">
        <v>5.185079</v>
      </c>
      <c r="E5043">
        <v>0.44575799999999999</v>
      </c>
      <c r="F5043" t="s">
        <v>78</v>
      </c>
      <c r="G5043">
        <v>-420.25110000000001</v>
      </c>
      <c r="H5043" s="1">
        <v>-3.6583460000000002E-6</v>
      </c>
      <c r="I5043">
        <v>33.704189999999997</v>
      </c>
      <c r="J5043">
        <v>-423.08800000000002</v>
      </c>
      <c r="K5043">
        <v>1.1112799999999901</v>
      </c>
      <c r="L5043">
        <v>51.276339999999998</v>
      </c>
      <c r="M5043">
        <v>1.063763E-2</v>
      </c>
      <c r="N5043">
        <v>0</v>
      </c>
      <c r="O5043">
        <v>-0.99984870000000003</v>
      </c>
      <c r="P5043">
        <v>1.602754E-2</v>
      </c>
      <c r="Q5043">
        <v>-6.9975139999999998E-3</v>
      </c>
      <c r="R5043">
        <v>-0.99984740000000005</v>
      </c>
      <c r="S5043">
        <v>0.47729490000000002</v>
      </c>
      <c r="T5043">
        <v>-0.18670980000000001</v>
      </c>
      <c r="U5043">
        <v>-2.9921880000000001</v>
      </c>
      <c r="V5043">
        <v>-5.4060549999999999E-3</v>
      </c>
      <c r="W5043">
        <v>6.7675239999999996E-3</v>
      </c>
      <c r="X5043">
        <v>0.99996249999999998</v>
      </c>
      <c r="Y5043">
        <v>-0.14670899999999901</v>
      </c>
      <c r="Z5043">
        <v>6.1548230000000002E-2</v>
      </c>
      <c r="AA5043">
        <v>0.987263</v>
      </c>
      <c r="AB5043">
        <v>24</v>
      </c>
      <c r="AC5043">
        <v>2.8369000000000102</v>
      </c>
      <c r="AD5043">
        <v>-1.11128365834599</v>
      </c>
      <c r="AE5043">
        <v>-17.572150000000001</v>
      </c>
      <c r="AF5043">
        <v>-2.6395073017358199</v>
      </c>
      <c r="AG5043">
        <v>-1.11128365834599</v>
      </c>
      <c r="AH5043">
        <v>17.5329952373814</v>
      </c>
      <c r="AI5043">
        <v>93.586388071117199</v>
      </c>
      <c r="AJ5043">
        <v>98.561310332781503</v>
      </c>
      <c r="AK5043">
        <v>17.765355953632401</v>
      </c>
      <c r="AL5043">
        <v>89.612246482279303</v>
      </c>
      <c r="AM5043">
        <v>90.309752733401098</v>
      </c>
      <c r="AN5043">
        <v>1.0000000131090001</v>
      </c>
    </row>
    <row r="5044" spans="1:40" x14ac:dyDescent="0.25">
      <c r="A5044" t="str">
        <f>"20190312161115525"</f>
        <v>20190312161115525</v>
      </c>
      <c r="B5044" t="str">
        <f>"1552378275522201"</f>
        <v>1552378275522201</v>
      </c>
      <c r="C5044" t="s">
        <v>40</v>
      </c>
      <c r="D5044">
        <v>5.3612640000000003</v>
      </c>
      <c r="E5044">
        <v>0.44565280000000002</v>
      </c>
      <c r="F5044" t="s">
        <v>78</v>
      </c>
      <c r="G5044">
        <v>-420.19600000000003</v>
      </c>
      <c r="H5044" s="1">
        <v>-3.8426820000000004E-6</v>
      </c>
      <c r="I5044">
        <v>33.336150000000004</v>
      </c>
      <c r="J5044">
        <v>-423.08359999999999</v>
      </c>
      <c r="K5044">
        <v>1.111337</v>
      </c>
      <c r="L5044">
        <v>51.034149999999997</v>
      </c>
      <c r="M5044">
        <v>1.2241180000000001E-2</v>
      </c>
      <c r="N5044">
        <v>0</v>
      </c>
      <c r="O5044">
        <v>-0.99982990000000005</v>
      </c>
      <c r="P5044">
        <v>1.754957E-2</v>
      </c>
      <c r="Q5044">
        <v>-7.0560019999999996E-3</v>
      </c>
      <c r="R5044">
        <v>-0.99982079999999995</v>
      </c>
      <c r="S5044">
        <v>0.48220829999999998</v>
      </c>
      <c r="T5044">
        <v>-0.1853002</v>
      </c>
      <c r="U5044">
        <v>-2.991425</v>
      </c>
      <c r="V5044">
        <v>-5.3249969999999997E-3</v>
      </c>
      <c r="W5044">
        <v>6.7131650000000001E-3</v>
      </c>
      <c r="X5044">
        <v>0.9999633</v>
      </c>
      <c r="Y5044">
        <v>-0.14674709999999999</v>
      </c>
      <c r="Z5044">
        <v>6.109096E-2</v>
      </c>
      <c r="AA5044">
        <v>0.98728570000000004</v>
      </c>
      <c r="AB5044">
        <v>24</v>
      </c>
      <c r="AC5044">
        <v>2.8876000000000199</v>
      </c>
      <c r="AD5044">
        <v>-1.111340842682</v>
      </c>
      <c r="AE5044">
        <v>-17.697999999999901</v>
      </c>
      <c r="AF5044">
        <v>-2.6604997953473699</v>
      </c>
      <c r="AG5044">
        <v>-1.111340842682</v>
      </c>
      <c r="AH5044">
        <v>17.6641778937963</v>
      </c>
      <c r="AI5044">
        <v>93.559968480169402</v>
      </c>
      <c r="AJ5044">
        <v>98.565254597943706</v>
      </c>
      <c r="AK5044">
        <v>17.897947320665999</v>
      </c>
      <c r="AL5044">
        <v>89.615361093752099</v>
      </c>
      <c r="AM5044">
        <v>90.305108167564498</v>
      </c>
      <c r="AN5044">
        <v>1.0000000117621199</v>
      </c>
    </row>
    <row r="5045" spans="1:40" x14ac:dyDescent="0.25">
      <c r="A5045" t="str">
        <f>"20190312161115548"</f>
        <v>20190312161115548</v>
      </c>
      <c r="B5045" t="str">
        <f>"1552378275541721"</f>
        <v>1552378275541721</v>
      </c>
      <c r="C5045" t="s">
        <v>40</v>
      </c>
      <c r="D5045">
        <v>5.1986119999999998</v>
      </c>
      <c r="E5045">
        <v>0.44549080000000002</v>
      </c>
      <c r="F5045" t="s">
        <v>78</v>
      </c>
      <c r="G5045">
        <v>-420.1173</v>
      </c>
      <c r="H5045" s="1">
        <v>-4.0911209999999996E-6</v>
      </c>
      <c r="I5045">
        <v>32.839599999999997</v>
      </c>
      <c r="J5045">
        <v>-423.07850000000002</v>
      </c>
      <c r="K5045">
        <v>1.111391</v>
      </c>
      <c r="L5045">
        <v>50.783909999999999</v>
      </c>
      <c r="M5045">
        <v>1.3986139999999999E-2</v>
      </c>
      <c r="N5045">
        <v>0</v>
      </c>
      <c r="O5045">
        <v>-0.99980740000000001</v>
      </c>
      <c r="P5045">
        <v>1.9713680000000001E-2</v>
      </c>
      <c r="Q5045">
        <v>-7.1772249999999998E-3</v>
      </c>
      <c r="R5045">
        <v>-0.99978</v>
      </c>
      <c r="S5045">
        <v>0.48757929999999999</v>
      </c>
      <c r="T5045">
        <v>-0.18267439999999999</v>
      </c>
      <c r="U5045">
        <v>-2.9906920000000001</v>
      </c>
      <c r="V5045">
        <v>-5.7450799999999996E-3</v>
      </c>
      <c r="W5045">
        <v>6.5944360000000004E-3</v>
      </c>
      <c r="X5045">
        <v>0.99996169999999995</v>
      </c>
      <c r="Y5045">
        <v>-0.14679489999999901</v>
      </c>
      <c r="Z5045">
        <v>6.0232109999999998E-2</v>
      </c>
      <c r="AA5045">
        <v>0.98733139999999997</v>
      </c>
      <c r="AB5045">
        <v>24</v>
      </c>
      <c r="AC5045">
        <v>2.9612000000000198</v>
      </c>
      <c r="AD5045">
        <v>-1.111395091121</v>
      </c>
      <c r="AE5045">
        <v>-17.944310000000002</v>
      </c>
      <c r="AF5045">
        <v>-2.6998327706244298</v>
      </c>
      <c r="AG5045">
        <v>-1.111395091121</v>
      </c>
      <c r="AH5045">
        <v>17.917065639744699</v>
      </c>
      <c r="AI5045">
        <v>93.509983427551404</v>
      </c>
      <c r="AJ5045">
        <v>98.569144887527003</v>
      </c>
      <c r="AK5045">
        <v>18.153389137481302</v>
      </c>
      <c r="AL5045">
        <v>89.622163890403996</v>
      </c>
      <c r="AM5045">
        <v>90.329177822760499</v>
      </c>
      <c r="AN5045">
        <v>0.99999994699862504</v>
      </c>
    </row>
    <row r="5046" spans="1:40" x14ac:dyDescent="0.25">
      <c r="A5046" t="str">
        <f>"20190312161115594"</f>
        <v>20190312161115594</v>
      </c>
      <c r="B5046" t="str">
        <f>"1552378275581737"</f>
        <v>1552378275581737</v>
      </c>
      <c r="C5046" t="s">
        <v>40</v>
      </c>
      <c r="D5046">
        <v>5.4214969999999996</v>
      </c>
      <c r="E5046">
        <v>0.3901443</v>
      </c>
      <c r="F5046" t="s">
        <v>78</v>
      </c>
      <c r="G5046">
        <v>-420.0634</v>
      </c>
      <c r="H5046" s="1">
        <v>-4.2144090000000003E-6</v>
      </c>
      <c r="I5046">
        <v>32.59149</v>
      </c>
      <c r="J5046">
        <v>-423.06700000000001</v>
      </c>
      <c r="K5046">
        <v>1.111464</v>
      </c>
      <c r="L5046">
        <v>50.292110000000001</v>
      </c>
      <c r="M5046">
        <v>1.7616949999999999E-2</v>
      </c>
      <c r="N5046">
        <v>0</v>
      </c>
      <c r="O5046">
        <v>-0.99974980000000002</v>
      </c>
      <c r="P5046">
        <v>2.4244999999999999E-2</v>
      </c>
      <c r="Q5046">
        <v>-8.1240110000000004E-3</v>
      </c>
      <c r="R5046">
        <v>-0.99967340000000005</v>
      </c>
      <c r="S5046">
        <v>0.49548340000000002</v>
      </c>
      <c r="T5046">
        <v>-0.18263769999999999</v>
      </c>
      <c r="U5046">
        <v>-2.9895939999999999</v>
      </c>
      <c r="V5046">
        <v>-6.6443969999999998E-3</v>
      </c>
      <c r="W5046">
        <v>5.6507930000000003E-3</v>
      </c>
      <c r="X5046">
        <v>0.99996200000000002</v>
      </c>
      <c r="Y5046">
        <v>-0.14580199999999999</v>
      </c>
      <c r="Z5046">
        <v>6.0228280000000002E-2</v>
      </c>
      <c r="AA5046">
        <v>0.98747879999999999</v>
      </c>
      <c r="AB5046">
        <v>24</v>
      </c>
      <c r="AC5046">
        <v>3.0035999999999401</v>
      </c>
      <c r="AD5046">
        <v>-1.111468214409</v>
      </c>
      <c r="AE5046">
        <v>-17.700620000000001</v>
      </c>
      <c r="AF5046">
        <v>-2.6809981416891802</v>
      </c>
      <c r="AG5046">
        <v>-1.111468214409</v>
      </c>
      <c r="AH5046">
        <v>17.683020631907901</v>
      </c>
      <c r="AI5046">
        <v>93.556067911894402</v>
      </c>
      <c r="AJ5046">
        <v>98.621199336778204</v>
      </c>
      <c r="AK5046">
        <v>17.9196074537325</v>
      </c>
      <c r="AL5046">
        <v>89.676231700215695</v>
      </c>
      <c r="AM5046">
        <v>90.380704769690794</v>
      </c>
      <c r="AN5046">
        <v>1.0000000404585101</v>
      </c>
    </row>
    <row r="5047" spans="1:40" x14ac:dyDescent="0.25">
      <c r="A5047" t="str">
        <f>"20190312161115614"</f>
        <v>20190312161115614</v>
      </c>
      <c r="B5047" t="str">
        <f>"1552378275602233"</f>
        <v>1552378275602233</v>
      </c>
      <c r="C5047" t="s">
        <v>40</v>
      </c>
      <c r="D5047">
        <v>5.4822839999999999</v>
      </c>
      <c r="E5047">
        <v>0.33017190000000002</v>
      </c>
      <c r="F5047" t="s">
        <v>78</v>
      </c>
      <c r="G5047">
        <v>-416.74579999999997</v>
      </c>
      <c r="H5047" s="1">
        <v>-5.8965750000000004E-6</v>
      </c>
      <c r="I5047">
        <v>30.486509999999999</v>
      </c>
      <c r="J5047">
        <v>-423.06130000000002</v>
      </c>
      <c r="K5047">
        <v>1.111491</v>
      </c>
      <c r="L5047">
        <v>50.073180000000001</v>
      </c>
      <c r="M5047">
        <v>1.9315969999999998E-2</v>
      </c>
      <c r="N5047">
        <v>0</v>
      </c>
      <c r="O5047">
        <v>-0.9997182</v>
      </c>
      <c r="P5047">
        <v>2.6806360000000001E-2</v>
      </c>
      <c r="Q5047">
        <v>-8.9303170000000001E-3</v>
      </c>
      <c r="R5047">
        <v>-0.99960079999999996</v>
      </c>
      <c r="S5047">
        <v>0.95001219999999997</v>
      </c>
      <c r="T5047">
        <v>-0.16704330000000001</v>
      </c>
      <c r="U5047">
        <v>-2.9765929999999998</v>
      </c>
      <c r="V5047">
        <v>-7.505561E-3</v>
      </c>
      <c r="W5047">
        <v>4.8430419999999997E-3</v>
      </c>
      <c r="X5047">
        <v>0.99996010000000002</v>
      </c>
      <c r="Y5047">
        <v>-0.2851552</v>
      </c>
      <c r="Z5047">
        <v>5.3526160000000003E-2</v>
      </c>
      <c r="AA5047">
        <v>0.95698559999999999</v>
      </c>
      <c r="AB5047">
        <v>24</v>
      </c>
      <c r="AC5047">
        <v>6.3155000000000401</v>
      </c>
      <c r="AD5047">
        <v>-1.1114968965750001</v>
      </c>
      <c r="AE5047">
        <v>-19.586670000000002</v>
      </c>
      <c r="AF5047">
        <v>-5.9186850133608004</v>
      </c>
      <c r="AG5047">
        <v>-1.1114968965750001</v>
      </c>
      <c r="AH5047">
        <v>19.647703894664801</v>
      </c>
      <c r="AI5047">
        <v>93.100509631609299</v>
      </c>
      <c r="AJ5047">
        <v>106.764431074095</v>
      </c>
      <c r="AK5047">
        <v>20.549903308067002</v>
      </c>
      <c r="AL5047">
        <v>89.722513047268393</v>
      </c>
      <c r="AM5047">
        <v>90.430046051489199</v>
      </c>
      <c r="AN5047">
        <v>0.99999999504687398</v>
      </c>
    </row>
    <row r="5048" spans="1:40" x14ac:dyDescent="0.25">
      <c r="A5048" t="str">
        <f>"20190312161115636"</f>
        <v>20190312161115636</v>
      </c>
      <c r="B5048" t="str">
        <f>"1552378275632095"</f>
        <v>1552378275632095</v>
      </c>
      <c r="C5048" t="s">
        <v>40</v>
      </c>
      <c r="D5048">
        <v>5.4900469999999997</v>
      </c>
      <c r="E5048">
        <v>0.33187040000000001</v>
      </c>
      <c r="F5048" t="s">
        <v>78</v>
      </c>
      <c r="G5048">
        <v>-402.36939999999998</v>
      </c>
      <c r="H5048">
        <v>7.9986940000000006E-2</v>
      </c>
      <c r="I5048">
        <v>7.3541639999999999</v>
      </c>
      <c r="J5048">
        <v>-423.05450000000002</v>
      </c>
      <c r="K5048">
        <v>1.11151</v>
      </c>
      <c r="L5048">
        <v>49.835720000000002</v>
      </c>
      <c r="M5048">
        <v>2.1211979999999998E-2</v>
      </c>
      <c r="N5048">
        <v>0</v>
      </c>
      <c r="O5048">
        <v>-0.99968000000000001</v>
      </c>
      <c r="P5048">
        <v>2.9095900000000001E-2</v>
      </c>
      <c r="Q5048">
        <v>-8.7142939999999992E-3</v>
      </c>
      <c r="R5048">
        <v>-0.99953899999999996</v>
      </c>
      <c r="S5048">
        <v>1.4347529999999999</v>
      </c>
      <c r="T5048">
        <v>-7.1523550000000005E-2</v>
      </c>
      <c r="U5048">
        <v>-2.962097</v>
      </c>
      <c r="V5048">
        <v>-7.9003579999999997E-3</v>
      </c>
      <c r="W5048">
        <v>5.0600000000000003E-3</v>
      </c>
      <c r="X5048">
        <v>0.99995599999999996</v>
      </c>
      <c r="Y5048">
        <v>-0.41663149999999899</v>
      </c>
      <c r="Z5048">
        <v>2.1821790000000001E-2</v>
      </c>
      <c r="AA5048">
        <v>0.90881350000000005</v>
      </c>
      <c r="AB5048">
        <v>24</v>
      </c>
      <c r="AC5048">
        <v>20.685099999999998</v>
      </c>
      <c r="AD5048">
        <v>-1.03152306</v>
      </c>
      <c r="AE5048">
        <v>-42.481555999999998</v>
      </c>
      <c r="AF5048">
        <v>-19.769819141392301</v>
      </c>
      <c r="AG5048">
        <v>-1.03152306</v>
      </c>
      <c r="AH5048">
        <v>42.890367847155403</v>
      </c>
      <c r="AI5048">
        <v>91.251233277157397</v>
      </c>
      <c r="AJ5048">
        <v>114.746792517149</v>
      </c>
      <c r="AK5048">
        <v>47.238685870491501</v>
      </c>
      <c r="AL5048">
        <v>89.710082121569997</v>
      </c>
      <c r="AM5048">
        <v>90.452667669312305</v>
      </c>
      <c r="AN5048">
        <v>1.0000000105962601</v>
      </c>
    </row>
    <row r="5049" spans="1:40" x14ac:dyDescent="0.25">
      <c r="A5049" t="str">
        <f>"20190312161115658"</f>
        <v>20190312161115658</v>
      </c>
      <c r="B5049" t="str">
        <f>"1552378275651615"</f>
        <v>1552378275651615</v>
      </c>
      <c r="C5049" t="s">
        <v>40</v>
      </c>
      <c r="D5049">
        <v>5.4886670000000004</v>
      </c>
      <c r="E5049">
        <v>0.33200259999999998</v>
      </c>
      <c r="F5049" t="s">
        <v>78</v>
      </c>
      <c r="G5049">
        <v>-403.42099999999999</v>
      </c>
      <c r="H5049">
        <v>7.9986799999999997E-2</v>
      </c>
      <c r="I5049">
        <v>9.1468889999999998</v>
      </c>
      <c r="J5049">
        <v>-423.04739999999998</v>
      </c>
      <c r="K5049">
        <v>1.1115489999999999</v>
      </c>
      <c r="L5049">
        <v>49.60004</v>
      </c>
      <c r="M5049">
        <v>2.314254E-2</v>
      </c>
      <c r="N5049">
        <v>0</v>
      </c>
      <c r="O5049">
        <v>-0.99963679999999999</v>
      </c>
      <c r="P5049">
        <v>3.0871309999999999E-2</v>
      </c>
      <c r="Q5049">
        <v>-9.3496329999999996E-3</v>
      </c>
      <c r="R5049">
        <v>-0.99947949999999997</v>
      </c>
      <c r="S5049">
        <v>1.4278869999999999</v>
      </c>
      <c r="T5049">
        <v>-7.5019359999999993E-2</v>
      </c>
      <c r="U5049">
        <v>-2.9591669999999999</v>
      </c>
      <c r="V5049">
        <v>-7.7439839999999998E-3</v>
      </c>
      <c r="W5049">
        <v>4.4262909999999997E-3</v>
      </c>
      <c r="X5049">
        <v>0.99996019999999997</v>
      </c>
      <c r="Y5049">
        <v>-0.4135067</v>
      </c>
      <c r="Z5049">
        <v>2.2934690000000001E-2</v>
      </c>
      <c r="AA5049">
        <v>0.91021220000000003</v>
      </c>
      <c r="AB5049">
        <v>24</v>
      </c>
      <c r="AC5049">
        <v>19.626399999999901</v>
      </c>
      <c r="AD5049">
        <v>-1.0315622</v>
      </c>
      <c r="AE5049">
        <v>-40.453150999999998</v>
      </c>
      <c r="AF5049">
        <v>-18.675034806617699</v>
      </c>
      <c r="AG5049">
        <v>-1.0315622</v>
      </c>
      <c r="AH5049">
        <v>40.875047593534198</v>
      </c>
      <c r="AI5049">
        <v>91.314973554673998</v>
      </c>
      <c r="AJ5049">
        <v>114.554762733695</v>
      </c>
      <c r="AK5049">
        <v>44.950979537431003</v>
      </c>
      <c r="AL5049">
        <v>89.746391373978398</v>
      </c>
      <c r="AM5049">
        <v>90.443706389534498</v>
      </c>
      <c r="AN5049">
        <v>0.99999998146212399</v>
      </c>
    </row>
    <row r="5050" spans="1:40" x14ac:dyDescent="0.25">
      <c r="A5050" t="str">
        <f>"20190312161115681"</f>
        <v>20190312161115681</v>
      </c>
      <c r="B5050" t="str">
        <f>"1552378275672111"</f>
        <v>1552378275672111</v>
      </c>
      <c r="C5050" t="s">
        <v>40</v>
      </c>
      <c r="D5050">
        <v>5.4918490000000002</v>
      </c>
      <c r="E5050">
        <v>0.33257740000000002</v>
      </c>
      <c r="F5050" t="s">
        <v>78</v>
      </c>
      <c r="G5050">
        <v>-403.67599999999999</v>
      </c>
      <c r="H5050">
        <v>5.8947230000000003E-2</v>
      </c>
      <c r="I5050">
        <v>9.6072710000000008</v>
      </c>
      <c r="J5050">
        <v>-423.0394</v>
      </c>
      <c r="K5050">
        <v>1.11158</v>
      </c>
      <c r="L5050">
        <v>49.356229999999996</v>
      </c>
      <c r="M5050">
        <v>2.5185530000000001E-2</v>
      </c>
      <c r="N5050">
        <v>0</v>
      </c>
      <c r="O5050">
        <v>-0.99958769999999997</v>
      </c>
      <c r="P5050">
        <v>3.1872959999999999E-2</v>
      </c>
      <c r="Q5050">
        <v>-1.0179300000000001E-2</v>
      </c>
      <c r="R5050">
        <v>-0.99944029999999995</v>
      </c>
      <c r="S5050">
        <v>1.4320980000000001</v>
      </c>
      <c r="T5050">
        <v>-7.7817200000000003E-2</v>
      </c>
      <c r="U5050">
        <v>-2.956604</v>
      </c>
      <c r="V5050">
        <v>-6.7002479999999998E-3</v>
      </c>
      <c r="W5050">
        <v>3.600415E-3</v>
      </c>
      <c r="X5050">
        <v>0.9999711</v>
      </c>
      <c r="Y5050">
        <v>-0.41299659999999999</v>
      </c>
      <c r="Z5050">
        <v>2.3802139999999999E-2</v>
      </c>
      <c r="AA5050">
        <v>0.91042149999999999</v>
      </c>
      <c r="AB5050">
        <v>24</v>
      </c>
      <c r="AC5050">
        <v>19.363399999999999</v>
      </c>
      <c r="AD5050">
        <v>-1.05263277</v>
      </c>
      <c r="AE5050">
        <v>-39.748958999999999</v>
      </c>
      <c r="AF5050">
        <v>-18.3456646764356</v>
      </c>
      <c r="AG5050">
        <v>-1.05263277</v>
      </c>
      <c r="AH5050">
        <v>40.201286047647002</v>
      </c>
      <c r="AI5050">
        <v>91.3645795963875</v>
      </c>
      <c r="AJ5050">
        <v>114.52935836357</v>
      </c>
      <c r="AK5050">
        <v>44.201977874903299</v>
      </c>
      <c r="AL5050">
        <v>89.793710976210093</v>
      </c>
      <c r="AM5050">
        <v>90.383901281872596</v>
      </c>
      <c r="AN5050">
        <v>1.0000000285733199</v>
      </c>
    </row>
    <row r="5051" spans="1:40" x14ac:dyDescent="0.25">
      <c r="A5051" t="str">
        <f>"20190312161115703"</f>
        <v>20190312161115703</v>
      </c>
      <c r="B5051" t="str">
        <f>"1552378275692607"</f>
        <v>1552378275692607</v>
      </c>
      <c r="C5051" t="s">
        <v>40</v>
      </c>
      <c r="D5051">
        <v>5.4876110000000002</v>
      </c>
      <c r="E5051">
        <v>0.33268540000000002</v>
      </c>
      <c r="F5051" t="s">
        <v>78</v>
      </c>
      <c r="G5051">
        <v>-404.62029999999999</v>
      </c>
      <c r="H5051" s="1">
        <v>-4.7280019999999999E-6</v>
      </c>
      <c r="I5051">
        <v>11.30658</v>
      </c>
      <c r="J5051">
        <v>-423.03149999999999</v>
      </c>
      <c r="K5051">
        <v>1.1116090000000001</v>
      </c>
      <c r="L5051">
        <v>49.128749999999997</v>
      </c>
      <c r="M5051">
        <v>2.713637E-2</v>
      </c>
      <c r="N5051">
        <v>0</v>
      </c>
      <c r="O5051">
        <v>-0.99953630000000004</v>
      </c>
      <c r="P5051">
        <v>3.2889939999999999E-2</v>
      </c>
      <c r="Q5051">
        <v>-1.0791210000000001E-2</v>
      </c>
      <c r="R5051">
        <v>-0.99940079999999998</v>
      </c>
      <c r="S5051">
        <v>1.430542</v>
      </c>
      <c r="T5051">
        <v>-8.6332439999999996E-2</v>
      </c>
      <c r="U5051">
        <v>-2.9551699999999999</v>
      </c>
      <c r="V5051">
        <v>-5.7647289999999997E-3</v>
      </c>
      <c r="W5051">
        <v>2.9924510000000001E-3</v>
      </c>
      <c r="X5051">
        <v>0.9999789</v>
      </c>
      <c r="Y5051">
        <v>-0.41097450000000002</v>
      </c>
      <c r="Z5051">
        <v>2.642976E-2</v>
      </c>
      <c r="AA5051">
        <v>0.91126359999999995</v>
      </c>
      <c r="AB5051">
        <v>24</v>
      </c>
      <c r="AC5051">
        <v>18.411200000000001</v>
      </c>
      <c r="AD5051">
        <v>-1.111613728002</v>
      </c>
      <c r="AE5051">
        <v>-37.82217</v>
      </c>
      <c r="AF5051">
        <v>-17.365837220069398</v>
      </c>
      <c r="AG5051">
        <v>-1.111613728002</v>
      </c>
      <c r="AH5051">
        <v>38.281166946289297</v>
      </c>
      <c r="AI5051">
        <v>91.514797542197002</v>
      </c>
      <c r="AJ5051">
        <v>114.400905819013</v>
      </c>
      <c r="AK5051">
        <v>42.050632934640902</v>
      </c>
      <c r="AL5051">
        <v>89.828544930321698</v>
      </c>
      <c r="AM5051">
        <v>90.330297952147106</v>
      </c>
      <c r="AN5051">
        <v>0.99999999365432002</v>
      </c>
    </row>
    <row r="5052" spans="1:40" x14ac:dyDescent="0.25">
      <c r="A5052" t="str">
        <f>"20190312161115726"</f>
        <v>20190312161115726</v>
      </c>
      <c r="B5052" t="str">
        <f>"1552378275722482"</f>
        <v>1552378275722482</v>
      </c>
      <c r="C5052" t="s">
        <v>40</v>
      </c>
      <c r="D5052">
        <v>5.4967670000000002</v>
      </c>
      <c r="E5052">
        <v>0.33261030000000003</v>
      </c>
      <c r="F5052" t="s">
        <v>78</v>
      </c>
      <c r="G5052">
        <v>-404.91120000000001</v>
      </c>
      <c r="H5052" s="1">
        <v>-4.675824E-6</v>
      </c>
      <c r="I5052">
        <v>11.774699999999999</v>
      </c>
      <c r="J5052">
        <v>-423.02260000000001</v>
      </c>
      <c r="K5052">
        <v>1.1116360000000001</v>
      </c>
      <c r="L5052">
        <v>48.891509999999997</v>
      </c>
      <c r="M5052">
        <v>2.9220119999999999E-2</v>
      </c>
      <c r="N5052">
        <v>0</v>
      </c>
      <c r="O5052">
        <v>-0.99947790000000003</v>
      </c>
      <c r="P5052">
        <v>3.4607869999999999E-2</v>
      </c>
      <c r="Q5052">
        <v>-1.052701E-2</v>
      </c>
      <c r="R5052">
        <v>-0.99934579999999995</v>
      </c>
      <c r="S5052">
        <v>1.432831</v>
      </c>
      <c r="T5052">
        <v>-8.7898850000000001E-2</v>
      </c>
      <c r="U5052">
        <v>-2.9537049999999998</v>
      </c>
      <c r="V5052">
        <v>-5.3999510000000001E-3</v>
      </c>
      <c r="W5052">
        <v>3.2580479999999999E-3</v>
      </c>
      <c r="X5052">
        <v>0.99998010000000004</v>
      </c>
      <c r="Y5052">
        <v>-0.40981709999999899</v>
      </c>
      <c r="Z5052">
        <v>2.6921480000000001E-2</v>
      </c>
      <c r="AA5052">
        <v>0.91177030000000003</v>
      </c>
      <c r="AB5052">
        <v>24</v>
      </c>
      <c r="AC5052">
        <v>18.1114</v>
      </c>
      <c r="AD5052">
        <v>-1.1116406758239901</v>
      </c>
      <c r="AE5052">
        <v>-37.116810000000001</v>
      </c>
      <c r="AF5052">
        <v>-17.006683093229601</v>
      </c>
      <c r="AG5052">
        <v>-1.1116406758239901</v>
      </c>
      <c r="AH5052">
        <v>37.602982833459002</v>
      </c>
      <c r="AI5052">
        <v>91.542935462929606</v>
      </c>
      <c r="AJ5052">
        <v>114.335789863687</v>
      </c>
      <c r="AK5052">
        <v>41.284952861776397</v>
      </c>
      <c r="AL5052">
        <v>89.813327267539194</v>
      </c>
      <c r="AM5052">
        <v>90.309397551562597</v>
      </c>
      <c r="AN5052">
        <v>0.99999998737179097</v>
      </c>
    </row>
    <row r="5053" spans="1:40" x14ac:dyDescent="0.25">
      <c r="A5053" t="str">
        <f>"20190312161115748"</f>
        <v>20190312161115748</v>
      </c>
      <c r="B5053" t="str">
        <f>"1552378275742002"</f>
        <v>1552378275742002</v>
      </c>
      <c r="C5053" t="s">
        <v>40</v>
      </c>
      <c r="D5053">
        <v>5.4732640000000004</v>
      </c>
      <c r="E5053">
        <v>0.3324202</v>
      </c>
      <c r="F5053" t="s">
        <v>78</v>
      </c>
      <c r="G5053">
        <v>-404.93</v>
      </c>
      <c r="H5053" s="1">
        <v>-4.6671980000000003E-6</v>
      </c>
      <c r="I5053">
        <v>11.77553</v>
      </c>
      <c r="J5053">
        <v>-423.0129</v>
      </c>
      <c r="K5053">
        <v>1.111664</v>
      </c>
      <c r="L5053">
        <v>48.646999999999998</v>
      </c>
      <c r="M5053">
        <v>3.1418679999999997E-2</v>
      </c>
      <c r="N5053">
        <v>0</v>
      </c>
      <c r="O5053">
        <v>-0.99941100000000005</v>
      </c>
      <c r="P5053">
        <v>3.6888310000000001E-2</v>
      </c>
      <c r="Q5053">
        <v>-1.0052E-2</v>
      </c>
      <c r="R5053">
        <v>-0.99926919999999997</v>
      </c>
      <c r="S5053">
        <v>1.438599</v>
      </c>
      <c r="T5053">
        <v>-8.8389869999999995E-2</v>
      </c>
      <c r="U5053">
        <v>-2.9512019999999999</v>
      </c>
      <c r="V5053">
        <v>-5.4838639999999998E-3</v>
      </c>
      <c r="W5053">
        <v>3.733452E-3</v>
      </c>
      <c r="X5053">
        <v>0.99997800000000003</v>
      </c>
      <c r="Y5053">
        <v>-0.40955330000000001</v>
      </c>
      <c r="Z5053">
        <v>2.7080280000000002E-2</v>
      </c>
      <c r="AA5053">
        <v>0.91188420000000003</v>
      </c>
      <c r="AB5053">
        <v>24</v>
      </c>
      <c r="AC5053">
        <v>18.082899999999899</v>
      </c>
      <c r="AD5053">
        <v>-1.1116686671980001</v>
      </c>
      <c r="AE5053">
        <v>-36.871470000000002</v>
      </c>
      <c r="AF5053">
        <v>-16.903021731768</v>
      </c>
      <c r="AG5053">
        <v>-1.1116686671980001</v>
      </c>
      <c r="AH5053">
        <v>37.394057392525397</v>
      </c>
      <c r="AI5053">
        <v>91.551733675496905</v>
      </c>
      <c r="AJ5053">
        <v>114.324123353369</v>
      </c>
      <c r="AK5053">
        <v>41.051960722549303</v>
      </c>
      <c r="AL5053">
        <v>89.786088461717199</v>
      </c>
      <c r="AM5053">
        <v>90.314206025430906</v>
      </c>
      <c r="AN5053">
        <v>1.0000000059561001</v>
      </c>
    </row>
    <row r="5054" spans="1:40" x14ac:dyDescent="0.25">
      <c r="A5054" t="str">
        <f>"20190312161115773"</f>
        <v>20190312161115773</v>
      </c>
      <c r="B5054" t="str">
        <f>"1552378275762498"</f>
        <v>1552378275762498</v>
      </c>
      <c r="C5054" t="s">
        <v>40</v>
      </c>
      <c r="D5054">
        <v>5.5094770000000004</v>
      </c>
      <c r="E5054">
        <v>0.33226559999999999</v>
      </c>
      <c r="F5054" t="s">
        <v>78</v>
      </c>
      <c r="G5054">
        <v>-404.19979999999998</v>
      </c>
      <c r="H5054" s="1">
        <v>-4.7481759999999999E-6</v>
      </c>
      <c r="I5054">
        <v>10.31958</v>
      </c>
      <c r="J5054">
        <v>-423.00229999999999</v>
      </c>
      <c r="K5054">
        <v>1.111688</v>
      </c>
      <c r="L5054">
        <v>48.392400000000002</v>
      </c>
      <c r="M5054">
        <v>3.3749220000000003E-2</v>
      </c>
      <c r="N5054">
        <v>0</v>
      </c>
      <c r="O5054">
        <v>-0.99933510000000003</v>
      </c>
      <c r="P5054">
        <v>3.9221489999999998E-2</v>
      </c>
      <c r="Q5054">
        <v>-1.011666E-2</v>
      </c>
      <c r="R5054">
        <v>-0.99917959999999995</v>
      </c>
      <c r="S5054">
        <v>1.4469909999999999</v>
      </c>
      <c r="T5054">
        <v>-8.5502620000000001E-2</v>
      </c>
      <c r="U5054">
        <v>-2.9479060000000001</v>
      </c>
      <c r="V5054">
        <v>-5.4872030000000004E-3</v>
      </c>
      <c r="W5054">
        <v>3.668602E-3</v>
      </c>
      <c r="X5054">
        <v>0.99997820000000004</v>
      </c>
      <c r="Y5054">
        <v>-0.40993210000000002</v>
      </c>
      <c r="Z5054">
        <v>2.6201729999999999E-2</v>
      </c>
      <c r="AA5054">
        <v>0.91173959999999998</v>
      </c>
      <c r="AB5054">
        <v>24</v>
      </c>
      <c r="AC5054">
        <v>18.802499999999998</v>
      </c>
      <c r="AD5054">
        <v>-1.1116927481759999</v>
      </c>
      <c r="AE5054">
        <v>-38.07282</v>
      </c>
      <c r="AF5054">
        <v>-17.494745276202899</v>
      </c>
      <c r="AG5054">
        <v>-1.1116927481759999</v>
      </c>
      <c r="AH5054">
        <v>38.659259358102901</v>
      </c>
      <c r="AI5054">
        <v>91.5007173892797</v>
      </c>
      <c r="AJ5054">
        <v>114.348511505294</v>
      </c>
      <c r="AK5054">
        <v>42.448089558455301</v>
      </c>
      <c r="AL5054">
        <v>89.789804113883804</v>
      </c>
      <c r="AM5054">
        <v>90.314397271611199</v>
      </c>
      <c r="AN5054">
        <v>0.99999998425631798</v>
      </c>
    </row>
    <row r="5055" spans="1:40" x14ac:dyDescent="0.25">
      <c r="A5055" t="str">
        <f>"20190312161115795"</f>
        <v>20190312161115795</v>
      </c>
      <c r="B5055" t="str">
        <f>"1552378275791779"</f>
        <v>1552378275791779</v>
      </c>
      <c r="C5055" t="s">
        <v>40</v>
      </c>
      <c r="D5055">
        <v>5.6171579999999999</v>
      </c>
      <c r="E5055">
        <v>0.3321384</v>
      </c>
      <c r="F5055" t="s">
        <v>78</v>
      </c>
      <c r="G5055">
        <v>-404.15679999999998</v>
      </c>
      <c r="H5055" s="1">
        <v>-4.7573810000000001E-6</v>
      </c>
      <c r="I5055">
        <v>10.25882</v>
      </c>
      <c r="J5055">
        <v>-422.99169999999998</v>
      </c>
      <c r="K5055">
        <v>1.111702</v>
      </c>
      <c r="L5055">
        <v>48.155610000000003</v>
      </c>
      <c r="M5055">
        <v>3.5951160000000003E-2</v>
      </c>
      <c r="N5055">
        <v>0</v>
      </c>
      <c r="O5055">
        <v>-0.99925819999999999</v>
      </c>
      <c r="P5055">
        <v>4.1981289999999997E-2</v>
      </c>
      <c r="Q5055">
        <v>-1.038381E-2</v>
      </c>
      <c r="R5055">
        <v>-0.99906450000000002</v>
      </c>
      <c r="S5055">
        <v>1.455139</v>
      </c>
      <c r="T5055">
        <v>-8.5838559999999994E-2</v>
      </c>
      <c r="U5055">
        <v>-2.944458</v>
      </c>
      <c r="V5055">
        <v>-6.0446179999999999E-3</v>
      </c>
      <c r="W5055">
        <v>3.3991910000000002E-3</v>
      </c>
      <c r="X5055">
        <v>0.99997599999999998</v>
      </c>
      <c r="Y5055">
        <v>-0.4103734</v>
      </c>
      <c r="Z5055">
        <v>2.6311109999999999E-2</v>
      </c>
      <c r="AA5055">
        <v>0.91153790000000001</v>
      </c>
      <c r="AB5055">
        <v>24</v>
      </c>
      <c r="AC5055">
        <v>18.834900000000001</v>
      </c>
      <c r="AD5055">
        <v>-1.111706757381</v>
      </c>
      <c r="AE5055">
        <v>-37.896790000000003</v>
      </c>
      <c r="AF5055">
        <v>-17.448117696083099</v>
      </c>
      <c r="AG5055">
        <v>-1.111706757381</v>
      </c>
      <c r="AH5055">
        <v>38.522903727756898</v>
      </c>
      <c r="AI5055">
        <v>91.505824489725896</v>
      </c>
      <c r="AJ5055">
        <v>114.367123092311</v>
      </c>
      <c r="AK5055">
        <v>42.304690220693097</v>
      </c>
      <c r="AL5055">
        <v>89.805240335887405</v>
      </c>
      <c r="AM5055">
        <v>90.346335194090003</v>
      </c>
      <c r="AN5055">
        <v>1.0000000462411001</v>
      </c>
    </row>
    <row r="5056" spans="1:40" x14ac:dyDescent="0.25">
      <c r="A5056" t="str">
        <f>"20190312161115814"</f>
        <v>20190312161115814</v>
      </c>
      <c r="B5056" t="str">
        <f>"1552378275802515"</f>
        <v>1552378275802515</v>
      </c>
      <c r="C5056" t="s">
        <v>40</v>
      </c>
      <c r="D5056">
        <v>5.4777050000000003</v>
      </c>
      <c r="E5056">
        <v>0.33370860000000002</v>
      </c>
      <c r="F5056" t="s">
        <v>78</v>
      </c>
      <c r="G5056">
        <v>-404.0437</v>
      </c>
      <c r="H5056" s="1">
        <v>-4.7832759999999998E-6</v>
      </c>
      <c r="I5056">
        <v>10.108230000000001</v>
      </c>
      <c r="J5056">
        <v>-422.98230000000001</v>
      </c>
      <c r="K5056">
        <v>1.1117159999999999</v>
      </c>
      <c r="L5056">
        <v>47.953310000000002</v>
      </c>
      <c r="M5056">
        <v>3.785964E-2</v>
      </c>
      <c r="N5056">
        <v>0</v>
      </c>
      <c r="O5056">
        <v>-0.99918770000000001</v>
      </c>
      <c r="P5056">
        <v>4.4185460000000003E-2</v>
      </c>
      <c r="Q5056">
        <v>-1.0476940000000001E-2</v>
      </c>
      <c r="R5056">
        <v>-0.99896839999999998</v>
      </c>
      <c r="S5056">
        <v>1.4643550000000001</v>
      </c>
      <c r="T5056">
        <v>-8.5915569999999997E-2</v>
      </c>
      <c r="U5056">
        <v>-2.9403990000000002</v>
      </c>
      <c r="V5056">
        <v>-6.3407289999999998E-3</v>
      </c>
      <c r="W5056">
        <v>3.3043009999999999E-3</v>
      </c>
      <c r="X5056">
        <v>0.99997440000000004</v>
      </c>
      <c r="Y5056">
        <v>-0.41142299999999998</v>
      </c>
      <c r="Z5056">
        <v>2.6340490000000001E-2</v>
      </c>
      <c r="AA5056">
        <v>0.91106379999999998</v>
      </c>
      <c r="AB5056">
        <v>24</v>
      </c>
      <c r="AC5056">
        <v>18.938600000000001</v>
      </c>
      <c r="AD5056">
        <v>-1.1117207832760001</v>
      </c>
      <c r="AE5056">
        <v>-37.845080000000003</v>
      </c>
      <c r="AF5056">
        <v>-17.480018992437699</v>
      </c>
      <c r="AG5056">
        <v>-1.1117207832760001</v>
      </c>
      <c r="AH5056">
        <v>38.508444481539698</v>
      </c>
      <c r="AI5056">
        <v>91.505843295131797</v>
      </c>
      <c r="AJ5056">
        <v>114.41457616593399</v>
      </c>
      <c r="AK5056">
        <v>42.3046957613901</v>
      </c>
      <c r="AL5056">
        <v>89.810677146737504</v>
      </c>
      <c r="AM5056">
        <v>90.363301442354697</v>
      </c>
      <c r="AN5056">
        <v>0.99999996195235397</v>
      </c>
    </row>
    <row r="5057" spans="1:40" x14ac:dyDescent="0.25">
      <c r="A5057" t="str">
        <f>"20190312161115838"</f>
        <v>20190312161115838</v>
      </c>
      <c r="B5057" t="str">
        <f>"1552378275832392"</f>
        <v>1552378275832392</v>
      </c>
      <c r="C5057" t="s">
        <v>40</v>
      </c>
      <c r="D5057">
        <v>5.5016230000000004</v>
      </c>
      <c r="E5057">
        <v>0.41633799999999999</v>
      </c>
      <c r="F5057" t="s">
        <v>78</v>
      </c>
      <c r="G5057">
        <v>-407.05579999999998</v>
      </c>
      <c r="H5057" s="1">
        <v>-4.3271310000000003E-6</v>
      </c>
      <c r="I5057">
        <v>15.868729999999999</v>
      </c>
      <c r="J5057">
        <v>-422.97030000000001</v>
      </c>
      <c r="K5057">
        <v>1.1117319999999999</v>
      </c>
      <c r="L5057">
        <v>47.708739999999999</v>
      </c>
      <c r="M5057">
        <v>4.0198919999999999E-2</v>
      </c>
      <c r="N5057">
        <v>0</v>
      </c>
      <c r="O5057">
        <v>-0.99909650000000005</v>
      </c>
      <c r="P5057">
        <v>4.6084069999999998E-2</v>
      </c>
      <c r="Q5057">
        <v>-9.9194599999999997E-3</v>
      </c>
      <c r="R5057">
        <v>-0.99888860000000002</v>
      </c>
      <c r="S5057">
        <v>1.4581599999999999</v>
      </c>
      <c r="T5057">
        <v>-0.1017845</v>
      </c>
      <c r="U5057">
        <v>-2.9375309999999999</v>
      </c>
      <c r="V5057">
        <v>-5.9025140000000002E-3</v>
      </c>
      <c r="W5057">
        <v>3.862674E-3</v>
      </c>
      <c r="X5057">
        <v>0.99997510000000001</v>
      </c>
      <c r="Y5057">
        <v>-0.40803840000000002</v>
      </c>
      <c r="Z5057">
        <v>3.1262390000000001E-2</v>
      </c>
      <c r="AA5057">
        <v>0.9124293</v>
      </c>
      <c r="AB5057">
        <v>24</v>
      </c>
      <c r="AC5057">
        <v>15.9145</v>
      </c>
      <c r="AD5057">
        <v>-1.1117363271309999</v>
      </c>
      <c r="AE5057">
        <v>-31.8400099999999</v>
      </c>
      <c r="AF5057">
        <v>-14.607329242968101</v>
      </c>
      <c r="AG5057">
        <v>-1.1117363271309999</v>
      </c>
      <c r="AH5057">
        <v>32.422448647202401</v>
      </c>
      <c r="AI5057">
        <v>91.790639911465306</v>
      </c>
      <c r="AJ5057">
        <v>114.253057167649</v>
      </c>
      <c r="AK5057">
        <v>35.578437311860803</v>
      </c>
      <c r="AL5057">
        <v>89.7786845274493</v>
      </c>
      <c r="AM5057">
        <v>90.338193634158699</v>
      </c>
      <c r="AN5057">
        <v>0.99999998027098003</v>
      </c>
    </row>
    <row r="5058" spans="1:40" x14ac:dyDescent="0.25">
      <c r="A5058" t="str">
        <f>"20190312161115860"</f>
        <v>20190312161115860</v>
      </c>
      <c r="B5058" t="str">
        <f>"1552378275851908"</f>
        <v>1552378275851908</v>
      </c>
      <c r="C5058" t="s">
        <v>40</v>
      </c>
      <c r="D5058">
        <v>5.5109000000000004</v>
      </c>
      <c r="E5058">
        <v>0.41867779999999999</v>
      </c>
      <c r="F5058" t="s">
        <v>78</v>
      </c>
      <c r="G5058">
        <v>-419.18830000000003</v>
      </c>
      <c r="H5058" s="1">
        <v>-3.7531670000000001E-6</v>
      </c>
      <c r="I5058">
        <v>33.81955</v>
      </c>
      <c r="J5058">
        <v>-422.95830000000001</v>
      </c>
      <c r="K5058">
        <v>1.111745</v>
      </c>
      <c r="L5058">
        <v>47.473880000000001</v>
      </c>
      <c r="M5058">
        <v>4.2479299999999998E-2</v>
      </c>
      <c r="N5058">
        <v>0</v>
      </c>
      <c r="O5058">
        <v>-0.99900219999999995</v>
      </c>
      <c r="P5058">
        <v>4.7922729999999997E-2</v>
      </c>
      <c r="Q5058">
        <v>-1.00725E-2</v>
      </c>
      <c r="R5058">
        <v>-0.99880040000000003</v>
      </c>
      <c r="S5058">
        <v>0.80703740000000002</v>
      </c>
      <c r="T5058">
        <v>-0.23722779999999999</v>
      </c>
      <c r="U5058">
        <v>-2.9637449999999999</v>
      </c>
      <c r="V5058">
        <v>-5.4605000000000001E-3</v>
      </c>
      <c r="W5058">
        <v>3.7110400000000001E-3</v>
      </c>
      <c r="X5058">
        <v>0.99997820000000004</v>
      </c>
      <c r="Y5058">
        <v>-0.22072330000000001</v>
      </c>
      <c r="Z5058">
        <v>7.7298660000000005E-2</v>
      </c>
      <c r="AA5058">
        <v>0.97226849999999998</v>
      </c>
      <c r="AB5058">
        <v>24</v>
      </c>
      <c r="AC5058">
        <v>3.76999999999998</v>
      </c>
      <c r="AD5058">
        <v>-1.1117487531670001</v>
      </c>
      <c r="AE5058">
        <v>-13.65433</v>
      </c>
      <c r="AF5058">
        <v>-3.1670067143758001</v>
      </c>
      <c r="AG5058">
        <v>-1.1117487531670001</v>
      </c>
      <c r="AH5058">
        <v>13.7176667015404</v>
      </c>
      <c r="AI5058">
        <v>94.515152507376598</v>
      </c>
      <c r="AJ5058">
        <v>103.00013409699</v>
      </c>
      <c r="AK5058">
        <v>14.1223332545872</v>
      </c>
      <c r="AL5058">
        <v>89.787372581217596</v>
      </c>
      <c r="AM5058">
        <v>90.312867314900998</v>
      </c>
      <c r="AN5058">
        <v>0.99999999467668499</v>
      </c>
    </row>
    <row r="5059" spans="1:40" x14ac:dyDescent="0.25">
      <c r="A5059" t="str">
        <f>"20190312161115882"</f>
        <v>20190312161115882</v>
      </c>
      <c r="B5059" t="str">
        <f>"1552378275872405"</f>
        <v>1552378275872405</v>
      </c>
      <c r="C5059" t="s">
        <v>40</v>
      </c>
      <c r="D5059">
        <v>5.5401379999999998</v>
      </c>
      <c r="E5059">
        <v>0.42022759999999998</v>
      </c>
      <c r="F5059" t="s">
        <v>78</v>
      </c>
      <c r="G5059">
        <v>-419.16059999999999</v>
      </c>
      <c r="H5059" s="1">
        <v>-4.0268250000000002E-6</v>
      </c>
      <c r="I5059">
        <v>33.294519999999999</v>
      </c>
      <c r="J5059">
        <v>-422.9461</v>
      </c>
      <c r="K5059">
        <v>1.1117699999999999</v>
      </c>
      <c r="L5059">
        <v>47.247920000000001</v>
      </c>
      <c r="M5059">
        <v>4.4706969999999999E-2</v>
      </c>
      <c r="N5059">
        <v>0</v>
      </c>
      <c r="O5059">
        <v>-0.99890489999999998</v>
      </c>
      <c r="P5059">
        <v>4.8901340000000001E-2</v>
      </c>
      <c r="Q5059">
        <v>-1.0352800000000001E-2</v>
      </c>
      <c r="R5059">
        <v>-0.99875029999999998</v>
      </c>
      <c r="S5059">
        <v>0.79364009999999996</v>
      </c>
      <c r="T5059">
        <v>-0.23233280000000001</v>
      </c>
      <c r="U5059">
        <v>-2.9631959999999999</v>
      </c>
      <c r="V5059">
        <v>-4.2093069999999998E-3</v>
      </c>
      <c r="W5059">
        <v>3.434E-3</v>
      </c>
      <c r="X5059">
        <v>0.99998520000000002</v>
      </c>
      <c r="Y5059">
        <v>-0.2145223</v>
      </c>
      <c r="Z5059">
        <v>7.5812169999999998E-2</v>
      </c>
      <c r="AA5059">
        <v>0.97377239999999998</v>
      </c>
      <c r="AB5059">
        <v>24</v>
      </c>
      <c r="AC5059">
        <v>3.7855000000000101</v>
      </c>
      <c r="AD5059">
        <v>-1.111774026825</v>
      </c>
      <c r="AE5059">
        <v>-13.9534</v>
      </c>
      <c r="AF5059">
        <v>-3.1392772408422802</v>
      </c>
      <c r="AG5059">
        <v>-1.111774026825</v>
      </c>
      <c r="AH5059">
        <v>14.0257617574745</v>
      </c>
      <c r="AI5059">
        <v>94.423175403740601</v>
      </c>
      <c r="AJ5059">
        <v>102.616137559611</v>
      </c>
      <c r="AK5059">
        <v>14.4157239138042</v>
      </c>
      <c r="AL5059">
        <v>89.803245897680398</v>
      </c>
      <c r="AM5059">
        <v>90.241177670773396</v>
      </c>
      <c r="AN5059">
        <v>0.99999995542022901</v>
      </c>
    </row>
    <row r="5060" spans="1:40" x14ac:dyDescent="0.25">
      <c r="A5060" t="str">
        <f>"20190312161115905"</f>
        <v>20190312161115905</v>
      </c>
      <c r="B5060" t="str">
        <f>"1552378275891925"</f>
        <v>1552378275891925</v>
      </c>
      <c r="C5060" t="s">
        <v>40</v>
      </c>
      <c r="D5060">
        <v>5.478224</v>
      </c>
      <c r="E5060">
        <v>0.42112100000000002</v>
      </c>
      <c r="F5060" t="s">
        <v>78</v>
      </c>
      <c r="G5060">
        <v>-419.18950000000001</v>
      </c>
      <c r="H5060" s="1">
        <v>-4.1377820000000004E-6</v>
      </c>
      <c r="I5060">
        <v>33.064160000000001</v>
      </c>
      <c r="J5060">
        <v>-422.93290000000002</v>
      </c>
      <c r="K5060">
        <v>1.1117919999999999</v>
      </c>
      <c r="L5060">
        <v>47.012270000000001</v>
      </c>
      <c r="M5060">
        <v>4.7073299999999998E-2</v>
      </c>
      <c r="N5060">
        <v>0</v>
      </c>
      <c r="O5060">
        <v>-0.99879629999999997</v>
      </c>
      <c r="P5060">
        <v>5.088554E-2</v>
      </c>
      <c r="Q5060">
        <v>-1.0148290000000001E-2</v>
      </c>
      <c r="R5060">
        <v>-0.99865320000000002</v>
      </c>
      <c r="S5060">
        <v>0.78472900000000001</v>
      </c>
      <c r="T5060">
        <v>-0.23224439999999999</v>
      </c>
      <c r="U5060">
        <v>-2.9629210000000001</v>
      </c>
      <c r="V5060">
        <v>-3.8278399999999999E-3</v>
      </c>
      <c r="W5060">
        <v>3.6390379999999998E-3</v>
      </c>
      <c r="X5060">
        <v>0.99998609999999999</v>
      </c>
      <c r="Y5060">
        <v>-0.20949309999999999</v>
      </c>
      <c r="Z5060">
        <v>7.584834E-2</v>
      </c>
      <c r="AA5060">
        <v>0.97486390000000001</v>
      </c>
      <c r="AB5060">
        <v>24</v>
      </c>
      <c r="AC5060">
        <v>3.7433999999999998</v>
      </c>
      <c r="AD5060">
        <v>-1.111796137782</v>
      </c>
      <c r="AE5060">
        <v>-13.94811</v>
      </c>
      <c r="AF5060">
        <v>-3.0644414042161401</v>
      </c>
      <c r="AG5060">
        <v>-1.111796137782</v>
      </c>
      <c r="AH5060">
        <v>14.0257491475972</v>
      </c>
      <c r="AI5060">
        <v>94.428225821310207</v>
      </c>
      <c r="AJ5060">
        <v>102.32469628418799</v>
      </c>
      <c r="AK5060">
        <v>14.399601762659399</v>
      </c>
      <c r="AL5060">
        <v>89.791498030845403</v>
      </c>
      <c r="AM5060">
        <v>90.219321054012994</v>
      </c>
      <c r="AN5060">
        <v>1.00000004757491</v>
      </c>
    </row>
    <row r="5061" spans="1:40" x14ac:dyDescent="0.25">
      <c r="A5061" t="str">
        <f>"20190312161115929"</f>
        <v>20190312161115929</v>
      </c>
      <c r="B5061" t="str">
        <f>"1552378275921997"</f>
        <v>1552378275921997</v>
      </c>
      <c r="C5061" t="s">
        <v>40</v>
      </c>
      <c r="D5061">
        <v>5.5275840000000001</v>
      </c>
      <c r="E5061">
        <v>0.42181020000000002</v>
      </c>
      <c r="F5061" t="s">
        <v>78</v>
      </c>
      <c r="G5061">
        <v>-419.19240000000002</v>
      </c>
      <c r="H5061" s="1">
        <v>-4.2334120000000003E-6</v>
      </c>
      <c r="I5061">
        <v>32.875210000000003</v>
      </c>
      <c r="J5061">
        <v>-422.91730000000001</v>
      </c>
      <c r="K5061">
        <v>1.111823</v>
      </c>
      <c r="L5061">
        <v>46.749969999999998</v>
      </c>
      <c r="M5061">
        <v>4.977848E-2</v>
      </c>
      <c r="N5061">
        <v>0</v>
      </c>
      <c r="O5061">
        <v>-0.99866509999999997</v>
      </c>
      <c r="P5061">
        <v>5.2819579999999998E-2</v>
      </c>
      <c r="Q5061">
        <v>-1.0454160000000001E-2</v>
      </c>
      <c r="R5061">
        <v>-0.99854940000000003</v>
      </c>
      <c r="S5061">
        <v>0.78363039999999995</v>
      </c>
      <c r="T5061">
        <v>-0.2329252</v>
      </c>
      <c r="U5061">
        <v>-2.9617610000000001</v>
      </c>
      <c r="V5061">
        <v>-3.0558529999999999E-3</v>
      </c>
      <c r="W5061">
        <v>3.3352949999999998E-3</v>
      </c>
      <c r="X5061">
        <v>0.99998969999999998</v>
      </c>
      <c r="Y5061">
        <v>-0.20659549999999999</v>
      </c>
      <c r="Z5061">
        <v>7.6110200000000003E-2</v>
      </c>
      <c r="AA5061">
        <v>0.97546169999999999</v>
      </c>
      <c r="AB5061">
        <v>24</v>
      </c>
      <c r="AC5061">
        <v>3.7248999999999901</v>
      </c>
      <c r="AD5061">
        <v>-1.1118272334119901</v>
      </c>
      <c r="AE5061">
        <v>-13.87476</v>
      </c>
      <c r="AF5061">
        <v>-3.0115133661567701</v>
      </c>
      <c r="AG5061">
        <v>-1.1118272334119901</v>
      </c>
      <c r="AH5061">
        <v>13.9593821142142</v>
      </c>
      <c r="AI5061">
        <v>94.451848540298798</v>
      </c>
      <c r="AJ5061">
        <v>102.174071196315</v>
      </c>
      <c r="AK5061">
        <v>14.3237467710841</v>
      </c>
      <c r="AL5061">
        <v>89.808901305630101</v>
      </c>
      <c r="AM5061">
        <v>90.175088738115406</v>
      </c>
      <c r="AN5061">
        <v>0.99999993126818998</v>
      </c>
    </row>
    <row r="5062" spans="1:40" x14ac:dyDescent="0.25">
      <c r="A5062" t="str">
        <f>"20190312161115951"</f>
        <v>20190312161115951</v>
      </c>
      <c r="B5062" t="str">
        <f>"1552378275942494"</f>
        <v>1552378275942494</v>
      </c>
      <c r="C5062" t="s">
        <v>40</v>
      </c>
      <c r="D5062">
        <v>5.5411910000000004</v>
      </c>
      <c r="E5062">
        <v>0.42199389999999998</v>
      </c>
      <c r="F5062" t="s">
        <v>78</v>
      </c>
      <c r="G5062">
        <v>-419.24200000000002</v>
      </c>
      <c r="H5062" s="1">
        <v>-4.224631E-6</v>
      </c>
      <c r="I5062">
        <v>32.870869999999996</v>
      </c>
      <c r="J5062">
        <v>-422.90370000000001</v>
      </c>
      <c r="K5062">
        <v>1.1118600000000001</v>
      </c>
      <c r="L5062">
        <v>46.52975</v>
      </c>
      <c r="M5062">
        <v>5.2098110000000003E-2</v>
      </c>
      <c r="N5062">
        <v>0</v>
      </c>
      <c r="O5062">
        <v>-0.99854679999999996</v>
      </c>
      <c r="P5062">
        <v>5.4401369999999998E-2</v>
      </c>
      <c r="Q5062">
        <v>-9.7290629999999996E-3</v>
      </c>
      <c r="R5062">
        <v>-0.99847200000000003</v>
      </c>
      <c r="S5062">
        <v>0.78393550000000001</v>
      </c>
      <c r="T5062">
        <v>-0.23715320000000001</v>
      </c>
      <c r="U5062">
        <v>-2.9604189999999999</v>
      </c>
      <c r="V5062">
        <v>-2.3196169999999999E-3</v>
      </c>
      <c r="W5062">
        <v>4.0629439999999998E-3</v>
      </c>
      <c r="X5062">
        <v>0.99998900000000002</v>
      </c>
      <c r="Y5062">
        <v>-0.20449819999999999</v>
      </c>
      <c r="Z5062">
        <v>7.7519560000000001E-2</v>
      </c>
      <c r="AA5062">
        <v>0.97579260000000001</v>
      </c>
      <c r="AB5062">
        <v>23</v>
      </c>
      <c r="AC5062">
        <v>3.6617000000000499</v>
      </c>
      <c r="AD5062">
        <v>-1.111864224631</v>
      </c>
      <c r="AE5062">
        <v>-13.6588799999999</v>
      </c>
      <c r="AF5062">
        <v>-2.9269622816142999</v>
      </c>
      <c r="AG5062">
        <v>-1.111864224631</v>
      </c>
      <c r="AH5062">
        <v>13.7461339077086</v>
      </c>
      <c r="AI5062">
        <v>94.523364888481396</v>
      </c>
      <c r="AJ5062">
        <v>102.020461955036</v>
      </c>
      <c r="AK5062">
        <v>14.098210796433101</v>
      </c>
      <c r="AL5062">
        <v>89.767209802928093</v>
      </c>
      <c r="AM5062">
        <v>90.132905487773399</v>
      </c>
      <c r="AN5062">
        <v>0.99999994412898496</v>
      </c>
    </row>
    <row r="5063" spans="1:40" x14ac:dyDescent="0.25">
      <c r="A5063" t="str">
        <f>"20190312161115975"</f>
        <v>20190312161115975</v>
      </c>
      <c r="B5063" t="str">
        <f>"1552378275962013"</f>
        <v>1552378275962013</v>
      </c>
      <c r="C5063" t="s">
        <v>40</v>
      </c>
      <c r="D5063">
        <v>5.5368370000000002</v>
      </c>
      <c r="E5063">
        <v>0.42210219999999998</v>
      </c>
      <c r="F5063" t="s">
        <v>78</v>
      </c>
      <c r="G5063">
        <v>-419.1662</v>
      </c>
      <c r="H5063" s="1">
        <v>-4.4403429999999998E-6</v>
      </c>
      <c r="I5063">
        <v>32.480530000000002</v>
      </c>
      <c r="J5063">
        <v>-422.88720000000001</v>
      </c>
      <c r="K5063">
        <v>1.1119059999999901</v>
      </c>
      <c r="L5063">
        <v>46.275269999999999</v>
      </c>
      <c r="M5063">
        <v>5.4850910000000003E-2</v>
      </c>
      <c r="N5063">
        <v>0</v>
      </c>
      <c r="O5063">
        <v>-0.99839909999999998</v>
      </c>
      <c r="P5063">
        <v>5.7118130000000003E-2</v>
      </c>
      <c r="Q5063">
        <v>-9.1782289999999996E-3</v>
      </c>
      <c r="R5063">
        <v>-0.99832520000000002</v>
      </c>
      <c r="S5063">
        <v>0.78729249999999995</v>
      </c>
      <c r="T5063">
        <v>-0.23420949999999999</v>
      </c>
      <c r="U5063">
        <v>-2.9594119999999999</v>
      </c>
      <c r="V5063">
        <v>-2.2862329999999999E-3</v>
      </c>
      <c r="W5063">
        <v>4.6136859999999997E-3</v>
      </c>
      <c r="X5063">
        <v>0.99998679999999995</v>
      </c>
      <c r="Y5063">
        <v>-0.20293449999999999</v>
      </c>
      <c r="Z5063">
        <v>7.6572879999999996E-2</v>
      </c>
      <c r="AA5063">
        <v>0.97619370000000005</v>
      </c>
      <c r="AB5063">
        <v>23</v>
      </c>
      <c r="AC5063">
        <v>3.7210000000000001</v>
      </c>
      <c r="AD5063">
        <v>-1.11191044034299</v>
      </c>
      <c r="AE5063">
        <v>-13.7947399999999</v>
      </c>
      <c r="AF5063">
        <v>-2.9408601653635902</v>
      </c>
      <c r="AG5063">
        <v>-1.11191044034299</v>
      </c>
      <c r="AH5063">
        <v>13.893942120005701</v>
      </c>
      <c r="AI5063">
        <v>94.476771225013707</v>
      </c>
      <c r="AJ5063">
        <v>101.951112278427</v>
      </c>
      <c r="AK5063">
        <v>14.245231868019401</v>
      </c>
      <c r="AL5063">
        <v>89.735654341334396</v>
      </c>
      <c r="AM5063">
        <v>90.130993002761002</v>
      </c>
      <c r="AN5063">
        <v>1.0000000565670299</v>
      </c>
    </row>
    <row r="5064" spans="1:40" x14ac:dyDescent="0.25">
      <c r="A5064" t="str">
        <f>"20190312161116001"</f>
        <v>20190312161116001</v>
      </c>
      <c r="B5064" t="str">
        <f>"1552378275992269"</f>
        <v>1552378275992269</v>
      </c>
      <c r="C5064" t="s">
        <v>40</v>
      </c>
      <c r="D5064">
        <v>5.55382</v>
      </c>
      <c r="E5064">
        <v>0.42220750000000001</v>
      </c>
      <c r="F5064" t="s">
        <v>78</v>
      </c>
      <c r="G5064">
        <v>-419.08019999999999</v>
      </c>
      <c r="H5064" s="1">
        <v>-4.6521029999999998E-6</v>
      </c>
      <c r="I5064">
        <v>32.102350000000001</v>
      </c>
      <c r="J5064">
        <v>-422.86919999999998</v>
      </c>
      <c r="K5064">
        <v>1.111958</v>
      </c>
      <c r="L5064">
        <v>46.010039999999996</v>
      </c>
      <c r="M5064">
        <v>5.7817889999999997E-2</v>
      </c>
      <c r="N5064">
        <v>0</v>
      </c>
      <c r="O5064">
        <v>-0.99823189999999995</v>
      </c>
      <c r="P5064">
        <v>6.0736690000000003E-2</v>
      </c>
      <c r="Q5064">
        <v>-7.9670899999999996E-3</v>
      </c>
      <c r="R5064">
        <v>-0.99812219999999996</v>
      </c>
      <c r="S5064">
        <v>0.79440310000000003</v>
      </c>
      <c r="T5064">
        <v>-0.2320219</v>
      </c>
      <c r="U5064">
        <v>-2.9574579999999999</v>
      </c>
      <c r="V5064">
        <v>-2.9437640000000002E-3</v>
      </c>
      <c r="W5064">
        <v>5.8224519999999997E-3</v>
      </c>
      <c r="X5064">
        <v>0.9999787</v>
      </c>
      <c r="Y5064">
        <v>-0.20238929999999999</v>
      </c>
      <c r="Z5064">
        <v>7.5872170000000003E-2</v>
      </c>
      <c r="AA5064">
        <v>0.97636160000000005</v>
      </c>
      <c r="AB5064">
        <v>23</v>
      </c>
      <c r="AC5064">
        <v>3.7889999999999802</v>
      </c>
      <c r="AD5064">
        <v>-1.1119626521029999</v>
      </c>
      <c r="AE5064">
        <v>-13.907690000000001</v>
      </c>
      <c r="AF5064">
        <v>-2.9608511378535098</v>
      </c>
      <c r="AG5064">
        <v>-1.1119626521029999</v>
      </c>
      <c r="AH5064">
        <v>14.020082052904201</v>
      </c>
      <c r="AI5064">
        <v>94.437290303119994</v>
      </c>
      <c r="AJ5064">
        <v>101.924870044619</v>
      </c>
      <c r="AK5064">
        <v>14.3723971963749</v>
      </c>
      <c r="AL5064">
        <v>89.6663961835702</v>
      </c>
      <c r="AM5064">
        <v>90.168668358496902</v>
      </c>
      <c r="AN5064">
        <v>0.99999998357373399</v>
      </c>
    </row>
    <row r="5065" spans="1:40" x14ac:dyDescent="0.25">
      <c r="A5065" t="str">
        <f>"20190312161116021"</f>
        <v>20190312161116021</v>
      </c>
      <c r="B5065" t="str">
        <f>"1552378276012298"</f>
        <v>1552378276012298</v>
      </c>
      <c r="C5065" t="s">
        <v>40</v>
      </c>
      <c r="D5065">
        <v>5.5419539999999996</v>
      </c>
      <c r="E5065">
        <v>0.4224349</v>
      </c>
      <c r="F5065" t="s">
        <v>78</v>
      </c>
      <c r="G5065">
        <v>-418.9468</v>
      </c>
      <c r="H5065" s="1">
        <v>-4.9356230000000002E-6</v>
      </c>
      <c r="I5065">
        <v>31.60398</v>
      </c>
      <c r="J5065">
        <v>-422.85390000000001</v>
      </c>
      <c r="K5065">
        <v>1.1120159999999999</v>
      </c>
      <c r="L5065">
        <v>45.795810000000003</v>
      </c>
      <c r="M5065">
        <v>6.0304379999999998E-2</v>
      </c>
      <c r="N5065">
        <v>0</v>
      </c>
      <c r="O5065">
        <v>-0.99808459999999999</v>
      </c>
      <c r="P5065">
        <v>6.4845410000000006E-2</v>
      </c>
      <c r="Q5065">
        <v>-7.1706239999999996E-3</v>
      </c>
      <c r="R5065">
        <v>-0.99786949999999996</v>
      </c>
      <c r="S5065">
        <v>0.80453490000000005</v>
      </c>
      <c r="T5065">
        <v>-0.22807769999999999</v>
      </c>
      <c r="U5065">
        <v>-2.9548649999999999</v>
      </c>
      <c r="V5065">
        <v>-4.5730550000000003E-3</v>
      </c>
      <c r="W5065">
        <v>6.6120789999999999E-3</v>
      </c>
      <c r="X5065">
        <v>0.99996770000000001</v>
      </c>
      <c r="Y5065">
        <v>-0.2033095</v>
      </c>
      <c r="Z5065">
        <v>7.4596250000000003E-2</v>
      </c>
      <c r="AA5065">
        <v>0.97626880000000005</v>
      </c>
      <c r="AB5065">
        <v>23</v>
      </c>
      <c r="AC5065">
        <v>3.90710000000001</v>
      </c>
      <c r="AD5065">
        <v>-1.112020935623</v>
      </c>
      <c r="AE5065">
        <v>-14.1918299999999</v>
      </c>
      <c r="AF5065">
        <v>-3.0268023623249101</v>
      </c>
      <c r="AG5065">
        <v>-1.112020935623</v>
      </c>
      <c r="AH5065">
        <v>14.3199080930509</v>
      </c>
      <c r="AI5065">
        <v>94.344809103231</v>
      </c>
      <c r="AJ5065">
        <v>101.93495113586</v>
      </c>
      <c r="AK5065">
        <v>14.678483944033999</v>
      </c>
      <c r="AL5065">
        <v>89.621153025291903</v>
      </c>
      <c r="AM5065">
        <v>90.262023387737401</v>
      </c>
      <c r="AN5065">
        <v>1.00000001673201</v>
      </c>
    </row>
    <row r="5066" spans="1:40" x14ac:dyDescent="0.25">
      <c r="A5066" t="str">
        <f>"20190312161116041"</f>
        <v>20190312161116041</v>
      </c>
      <c r="B5066" t="str">
        <f>"1552378276031818"</f>
        <v>1552378276031818</v>
      </c>
      <c r="C5066" t="s">
        <v>40</v>
      </c>
      <c r="D5066">
        <v>5.5100239999999996</v>
      </c>
      <c r="E5066">
        <v>0.42275279999999998</v>
      </c>
      <c r="F5066" t="s">
        <v>78</v>
      </c>
      <c r="G5066">
        <v>-418.87369999999999</v>
      </c>
      <c r="H5066" s="1">
        <v>-5.0713309999999998E-6</v>
      </c>
      <c r="I5066">
        <v>31.369450000000001</v>
      </c>
      <c r="J5066">
        <v>-422.83839999999998</v>
      </c>
      <c r="K5066">
        <v>1.112077</v>
      </c>
      <c r="L5066">
        <v>45.58661</v>
      </c>
      <c r="M5066">
        <v>6.2814250000000002E-2</v>
      </c>
      <c r="N5066">
        <v>0</v>
      </c>
      <c r="O5066">
        <v>-0.99792990000000004</v>
      </c>
      <c r="P5066">
        <v>6.8816020000000006E-2</v>
      </c>
      <c r="Q5066">
        <v>-6.6831130000000001E-3</v>
      </c>
      <c r="R5066">
        <v>-0.99760709999999997</v>
      </c>
      <c r="S5066">
        <v>0.8144226</v>
      </c>
      <c r="T5066">
        <v>-0.22753580000000001</v>
      </c>
      <c r="U5066">
        <v>-2.9518430000000002</v>
      </c>
      <c r="V5066">
        <v>-6.0402099999999999E-3</v>
      </c>
      <c r="W5066">
        <v>7.0936719999999997E-3</v>
      </c>
      <c r="X5066">
        <v>0.99995659999999997</v>
      </c>
      <c r="Y5066">
        <v>-0.2041453</v>
      </c>
      <c r="Z5066">
        <v>7.4436970000000005E-2</v>
      </c>
      <c r="AA5066">
        <v>0.97610649999999999</v>
      </c>
      <c r="AB5066">
        <v>23</v>
      </c>
      <c r="AC5066">
        <v>3.9646999999999899</v>
      </c>
      <c r="AD5066">
        <v>-1.112082071331</v>
      </c>
      <c r="AE5066">
        <v>-14.21716</v>
      </c>
      <c r="AF5066">
        <v>-3.0464490778451201</v>
      </c>
      <c r="AG5066">
        <v>-1.112082071331</v>
      </c>
      <c r="AH5066">
        <v>14.3566390248453</v>
      </c>
      <c r="AI5066">
        <v>94.333248551685401</v>
      </c>
      <c r="AJ5066">
        <v>101.980338704136</v>
      </c>
      <c r="AK5066">
        <v>14.718378395971101</v>
      </c>
      <c r="AL5066">
        <v>89.593559125665294</v>
      </c>
      <c r="AM5066">
        <v>90.346089351584993</v>
      </c>
      <c r="AN5066">
        <v>1.00000000310142</v>
      </c>
    </row>
    <row r="5067" spans="1:40" x14ac:dyDescent="0.25">
      <c r="A5067" t="str">
        <f>"20190312161116063"</f>
        <v>20190312161116063</v>
      </c>
      <c r="B5067" t="str">
        <f>"1552378276052314"</f>
        <v>1552378276052314</v>
      </c>
      <c r="C5067" t="s">
        <v>40</v>
      </c>
      <c r="D5067">
        <v>5.4867210000000002</v>
      </c>
      <c r="E5067">
        <v>0.42323050000000001</v>
      </c>
      <c r="F5067" t="s">
        <v>78</v>
      </c>
      <c r="G5067">
        <v>-418.86579999999998</v>
      </c>
      <c r="H5067" s="1">
        <v>-5.074552E-6</v>
      </c>
      <c r="I5067">
        <v>31.366579999999999</v>
      </c>
      <c r="J5067">
        <v>-422.8218</v>
      </c>
      <c r="K5067">
        <v>1.112139</v>
      </c>
      <c r="L5067">
        <v>45.370570000000001</v>
      </c>
      <c r="M5067">
        <v>6.5490599999999996E-2</v>
      </c>
      <c r="N5067">
        <v>0</v>
      </c>
      <c r="O5067">
        <v>-0.99775780000000003</v>
      </c>
      <c r="P5067">
        <v>7.3044639999999994E-2</v>
      </c>
      <c r="Q5067">
        <v>-6.0182880000000001E-3</v>
      </c>
      <c r="R5067">
        <v>-0.99731069999999999</v>
      </c>
      <c r="S5067">
        <v>0.82382199999999906</v>
      </c>
      <c r="T5067">
        <v>-0.2306136</v>
      </c>
      <c r="U5067">
        <v>-2.9488219999999998</v>
      </c>
      <c r="V5067">
        <v>-7.6012619999999897E-3</v>
      </c>
      <c r="W5067">
        <v>7.75121199999999E-3</v>
      </c>
      <c r="X5067">
        <v>0.99994110000000003</v>
      </c>
      <c r="Y5067">
        <v>-0.2046442</v>
      </c>
      <c r="Z5067">
        <v>7.5457090000000004E-2</v>
      </c>
      <c r="AA5067">
        <v>0.97592369999999995</v>
      </c>
      <c r="AB5067">
        <v>23</v>
      </c>
      <c r="AC5067">
        <v>3.9560000000000102</v>
      </c>
      <c r="AD5067">
        <v>-1.1121440745519999</v>
      </c>
      <c r="AE5067">
        <v>-14.00399</v>
      </c>
      <c r="AF5067">
        <v>-3.0126919477270802</v>
      </c>
      <c r="AG5067">
        <v>-1.1121440745519999</v>
      </c>
      <c r="AH5067">
        <v>14.150375813262</v>
      </c>
      <c r="AI5067">
        <v>94.395780492406701</v>
      </c>
      <c r="AJ5067">
        <v>102.01912365866499</v>
      </c>
      <c r="AK5067">
        <v>14.510214087704201</v>
      </c>
      <c r="AL5067">
        <v>89.555883833233295</v>
      </c>
      <c r="AM5067">
        <v>90.435537496033106</v>
      </c>
      <c r="AN5067">
        <v>1.0000000319703299</v>
      </c>
    </row>
    <row r="5068" spans="1:40" x14ac:dyDescent="0.25">
      <c r="A5068" t="str">
        <f>"20190312161116083"</f>
        <v>20190312161116083</v>
      </c>
      <c r="B5068" t="str">
        <f>"1552378276071834"</f>
        <v>1552378276071834</v>
      </c>
      <c r="C5068" t="s">
        <v>40</v>
      </c>
      <c r="D5068">
        <v>5.5334469999999998</v>
      </c>
      <c r="E5068">
        <v>0.4235081</v>
      </c>
      <c r="F5068" t="s">
        <v>78</v>
      </c>
      <c r="G5068">
        <v>-418.87810000000002</v>
      </c>
      <c r="H5068" s="1">
        <v>-5.0486640000000003E-6</v>
      </c>
      <c r="I5068">
        <v>31.411989999999999</v>
      </c>
      <c r="J5068">
        <v>-422.8048</v>
      </c>
      <c r="K5068">
        <v>1.112206</v>
      </c>
      <c r="L5068">
        <v>45.157780000000002</v>
      </c>
      <c r="M5068">
        <v>6.8211060000000004E-2</v>
      </c>
      <c r="N5068">
        <v>0</v>
      </c>
      <c r="O5068">
        <v>-0.99757549999999995</v>
      </c>
      <c r="P5068">
        <v>7.6797359999999995E-2</v>
      </c>
      <c r="Q5068">
        <v>-5.2752719999999897E-3</v>
      </c>
      <c r="R5068">
        <v>-0.99703299999999995</v>
      </c>
      <c r="S5068">
        <v>0.83224489999999995</v>
      </c>
      <c r="T5068">
        <v>-0.23469789999999999</v>
      </c>
      <c r="U5068">
        <v>-2.9457089999999999</v>
      </c>
      <c r="V5068">
        <v>-8.6420779999999992E-3</v>
      </c>
      <c r="W5068">
        <v>8.4902859999999997E-3</v>
      </c>
      <c r="X5068">
        <v>0.9999266</v>
      </c>
      <c r="Y5068">
        <v>-0.20480080000000001</v>
      </c>
      <c r="Z5068">
        <v>7.68118E-2</v>
      </c>
      <c r="AA5068">
        <v>0.97578509999999996</v>
      </c>
      <c r="AB5068">
        <v>23</v>
      </c>
      <c r="AC5068">
        <v>3.9266999999999799</v>
      </c>
      <c r="AD5068">
        <v>-1.112211048664</v>
      </c>
      <c r="AE5068">
        <v>-13.7457899999999</v>
      </c>
      <c r="AF5068">
        <v>-2.9619201394788401</v>
      </c>
      <c r="AG5068">
        <v>-1.112211048664</v>
      </c>
      <c r="AH5068">
        <v>13.897517787233699</v>
      </c>
      <c r="AI5068">
        <v>94.475505599096707</v>
      </c>
      <c r="AJ5068">
        <v>102.031203624881</v>
      </c>
      <c r="AK5068">
        <v>14.253104397846</v>
      </c>
      <c r="AL5068">
        <v>89.513536594900103</v>
      </c>
      <c r="AM5068">
        <v>90.495178613517595</v>
      </c>
      <c r="AN5068">
        <v>0.99999998792803901</v>
      </c>
    </row>
    <row r="5069" spans="1:40" x14ac:dyDescent="0.25">
      <c r="A5069" t="str">
        <f>"20190312161116105"</f>
        <v>20190312161116105</v>
      </c>
      <c r="B5069" t="str">
        <f>"1552378276102089"</f>
        <v>1552378276102089</v>
      </c>
      <c r="C5069" t="s">
        <v>40</v>
      </c>
      <c r="D5069">
        <v>5.4379160000000004</v>
      </c>
      <c r="E5069">
        <v>0.42381809999999998</v>
      </c>
      <c r="F5069" t="s">
        <v>78</v>
      </c>
      <c r="G5069">
        <v>-418.84519999999998</v>
      </c>
      <c r="H5069" s="1">
        <v>-5.1077630000000001E-6</v>
      </c>
      <c r="I5069">
        <v>31.31033</v>
      </c>
      <c r="J5069">
        <v>-422.78530000000001</v>
      </c>
      <c r="K5069">
        <v>1.1122650000000001</v>
      </c>
      <c r="L5069">
        <v>44.925109999999997</v>
      </c>
      <c r="M5069">
        <v>7.128052E-2</v>
      </c>
      <c r="N5069">
        <v>0</v>
      </c>
      <c r="O5069">
        <v>-0.9973611</v>
      </c>
      <c r="P5069">
        <v>7.9751130000000003E-2</v>
      </c>
      <c r="Q5069">
        <v>-4.6463269999999996E-3</v>
      </c>
      <c r="R5069">
        <v>-0.99680440000000003</v>
      </c>
      <c r="S5069">
        <v>0.84149169999999995</v>
      </c>
      <c r="T5069">
        <v>-0.2363682</v>
      </c>
      <c r="U5069">
        <v>-2.9428709999999998</v>
      </c>
      <c r="V5069">
        <v>-8.5318909999999998E-3</v>
      </c>
      <c r="W5069">
        <v>9.1196860000000001E-3</v>
      </c>
      <c r="X5069">
        <v>0.99992199999999998</v>
      </c>
      <c r="Y5069">
        <v>-0.20486019999999999</v>
      </c>
      <c r="Z5069">
        <v>7.7368480000000003E-2</v>
      </c>
      <c r="AA5069">
        <v>0.97572859999999995</v>
      </c>
      <c r="AB5069">
        <v>23</v>
      </c>
      <c r="AC5069">
        <v>3.9401000000000201</v>
      </c>
      <c r="AD5069">
        <v>-1.1122701077629999</v>
      </c>
      <c r="AE5069">
        <v>-13.6147799999999</v>
      </c>
      <c r="AF5069">
        <v>-2.9414005376738399</v>
      </c>
      <c r="AG5069">
        <v>-1.1122701077629999</v>
      </c>
      <c r="AH5069">
        <v>13.776181114024</v>
      </c>
      <c r="AI5069">
        <v>94.514645438438393</v>
      </c>
      <c r="AJ5069">
        <v>102.052447786242</v>
      </c>
      <c r="AK5069">
        <v>14.130539550988299</v>
      </c>
      <c r="AL5069">
        <v>89.477473230187201</v>
      </c>
      <c r="AM5069">
        <v>90.488867614471005</v>
      </c>
      <c r="AN5069">
        <v>0.99999998396038703</v>
      </c>
    </row>
    <row r="5070" spans="1:40" x14ac:dyDescent="0.25">
      <c r="A5070" t="str">
        <f>"20190312161116128"</f>
        <v>20190312161116128</v>
      </c>
      <c r="B5070" t="str">
        <f>"1552378276122586"</f>
        <v>1552378276122586</v>
      </c>
      <c r="C5070" t="s">
        <v>40</v>
      </c>
      <c r="D5070">
        <v>5.5017880000000003</v>
      </c>
      <c r="E5070">
        <v>0.43141770000000002</v>
      </c>
      <c r="F5070" t="s">
        <v>78</v>
      </c>
      <c r="G5070">
        <v>-418.8356</v>
      </c>
      <c r="H5070" s="1">
        <v>-5.1570050000000003E-6</v>
      </c>
      <c r="I5070">
        <v>31.217870000000001</v>
      </c>
      <c r="J5070">
        <v>-422.76499999999999</v>
      </c>
      <c r="K5070">
        <v>1.1123160000000001</v>
      </c>
      <c r="L5070">
        <v>44.691679999999998</v>
      </c>
      <c r="M5070">
        <v>7.4454110000000004E-2</v>
      </c>
      <c r="N5070">
        <v>0</v>
      </c>
      <c r="O5070">
        <v>-0.99712880000000004</v>
      </c>
      <c r="P5070">
        <v>8.2136360000000005E-2</v>
      </c>
      <c r="Q5070">
        <v>-4.5946800000000003E-3</v>
      </c>
      <c r="R5070">
        <v>-0.99661049999999995</v>
      </c>
      <c r="S5070">
        <v>0.84735110000000002</v>
      </c>
      <c r="T5070">
        <v>-0.2386228</v>
      </c>
      <c r="U5070">
        <v>-2.9407040000000002</v>
      </c>
      <c r="V5070">
        <v>-7.7442119999999899E-3</v>
      </c>
      <c r="W5070">
        <v>9.1754750000000006E-3</v>
      </c>
      <c r="X5070">
        <v>0.99992789999999998</v>
      </c>
      <c r="Y5070">
        <v>-0.20371549999999999</v>
      </c>
      <c r="Z5070">
        <v>7.8118069999999998E-2</v>
      </c>
      <c r="AA5070">
        <v>0.97590860000000001</v>
      </c>
      <c r="AB5070">
        <v>23</v>
      </c>
      <c r="AC5070">
        <v>3.9293999999999798</v>
      </c>
      <c r="AD5070">
        <v>-1.112321157005</v>
      </c>
      <c r="AE5070">
        <v>-13.473809999999901</v>
      </c>
      <c r="AF5070">
        <v>-2.8970191859726602</v>
      </c>
      <c r="AG5070">
        <v>-1.112321157005</v>
      </c>
      <c r="AH5070">
        <v>13.6432995789377</v>
      </c>
      <c r="AI5070">
        <v>94.559725725516898</v>
      </c>
      <c r="AJ5070">
        <v>101.988131605633</v>
      </c>
      <c r="AK5070">
        <v>13.9917690775991</v>
      </c>
      <c r="AL5070">
        <v>89.474276621998598</v>
      </c>
      <c r="AM5070">
        <v>90.443733785307302</v>
      </c>
      <c r="AN5070">
        <v>0.99999998367969301</v>
      </c>
    </row>
    <row r="5071" spans="1:40" x14ac:dyDescent="0.25">
      <c r="A5071" t="str">
        <f>"20190312161116150"</f>
        <v>20190312161116150</v>
      </c>
      <c r="B5071" t="str">
        <f>"1552378276142106"</f>
        <v>1552378276142106</v>
      </c>
      <c r="C5071" t="s">
        <v>40</v>
      </c>
      <c r="D5071">
        <v>5.5047499999999996</v>
      </c>
      <c r="E5071">
        <v>0.43013610000000002</v>
      </c>
      <c r="F5071" t="s">
        <v>78</v>
      </c>
      <c r="G5071">
        <v>-420.13889999999998</v>
      </c>
      <c r="H5071" s="1">
        <v>-2.9770960000000002E-6</v>
      </c>
      <c r="I5071">
        <v>34.969809999999903</v>
      </c>
      <c r="J5071">
        <v>-422.74459999999999</v>
      </c>
      <c r="K5071">
        <v>1.1123540000000001</v>
      </c>
      <c r="L5071">
        <v>44.467649999999999</v>
      </c>
      <c r="M5071">
        <v>7.7566510000000005E-2</v>
      </c>
      <c r="N5071">
        <v>0</v>
      </c>
      <c r="O5071">
        <v>-0.99689150000000004</v>
      </c>
      <c r="P5071">
        <v>8.4471199999999996E-2</v>
      </c>
      <c r="Q5071">
        <v>-4.463931E-3</v>
      </c>
      <c r="R5071">
        <v>-0.99641590000000002</v>
      </c>
      <c r="S5071">
        <v>0.79498290000000005</v>
      </c>
      <c r="T5071">
        <v>-0.33673360000000002</v>
      </c>
      <c r="U5071">
        <v>-2.9431150000000001</v>
      </c>
      <c r="V5071">
        <v>-6.9665350000000003E-3</v>
      </c>
      <c r="W5071">
        <v>9.3108900000000005E-3</v>
      </c>
      <c r="X5071">
        <v>0.99993240000000005</v>
      </c>
      <c r="Y5071">
        <v>-0.1835041</v>
      </c>
      <c r="Z5071">
        <v>0.1102495</v>
      </c>
      <c r="AA5071">
        <v>0.97681689999999999</v>
      </c>
      <c r="AB5071">
        <v>23</v>
      </c>
      <c r="AC5071">
        <v>2.6057000000000099</v>
      </c>
      <c r="AD5071">
        <v>-1.112356977096</v>
      </c>
      <c r="AE5071">
        <v>-9.4978400000000001</v>
      </c>
      <c r="AF5071">
        <v>-1.83762225634663</v>
      </c>
      <c r="AG5071">
        <v>-1.112356977096</v>
      </c>
      <c r="AH5071">
        <v>9.5495373783031692</v>
      </c>
      <c r="AI5071">
        <v>96.525375571434594</v>
      </c>
      <c r="AJ5071">
        <v>100.892312344779</v>
      </c>
      <c r="AK5071">
        <v>9.7881488413858904</v>
      </c>
      <c r="AL5071">
        <v>89.466517599093805</v>
      </c>
      <c r="AM5071">
        <v>90.399173579465895</v>
      </c>
      <c r="AN5071">
        <v>1.0000000149261199</v>
      </c>
    </row>
    <row r="5072" spans="1:40" x14ac:dyDescent="0.25">
      <c r="A5072" t="str">
        <f>"20190312161116174"</f>
        <v>20190312161116174</v>
      </c>
      <c r="B5072" t="str">
        <f>"1552378276162602"</f>
        <v>1552378276162602</v>
      </c>
      <c r="C5072" t="s">
        <v>40</v>
      </c>
      <c r="D5072">
        <v>5.4787089999999896</v>
      </c>
      <c r="E5072">
        <v>0.43025439999999998</v>
      </c>
      <c r="F5072" t="s">
        <v>78</v>
      </c>
      <c r="G5072">
        <v>-419.38670000000002</v>
      </c>
      <c r="H5072" s="1">
        <v>-4.4858630000000002E-6</v>
      </c>
      <c r="I5072">
        <v>32.295209999999997</v>
      </c>
      <c r="J5072">
        <v>-422.72160000000002</v>
      </c>
      <c r="K5072">
        <v>1.112393</v>
      </c>
      <c r="L5072">
        <v>44.22363</v>
      </c>
      <c r="M5072">
        <v>8.1027550000000004E-2</v>
      </c>
      <c r="N5072">
        <v>0</v>
      </c>
      <c r="O5072">
        <v>-0.99661639999999996</v>
      </c>
      <c r="P5072">
        <v>8.7368260000000003E-2</v>
      </c>
      <c r="Q5072">
        <v>-4.0256060000000001E-3</v>
      </c>
      <c r="R5072">
        <v>-0.9961681</v>
      </c>
      <c r="S5072">
        <v>0.81124879999999999</v>
      </c>
      <c r="T5072">
        <v>-0.26873979999999997</v>
      </c>
      <c r="U5072">
        <v>-2.9407960000000002</v>
      </c>
      <c r="V5072">
        <v>-6.4053069999999998E-3</v>
      </c>
      <c r="W5072">
        <v>9.7524199999999995E-3</v>
      </c>
      <c r="X5072">
        <v>0.99993189999999998</v>
      </c>
      <c r="Y5072">
        <v>-0.18589990000000001</v>
      </c>
      <c r="Z5072">
        <v>8.8133749999999997E-2</v>
      </c>
      <c r="AA5072">
        <v>0.97860800000000003</v>
      </c>
      <c r="AB5072">
        <v>23</v>
      </c>
      <c r="AC5072">
        <v>3.3349000000000002</v>
      </c>
      <c r="AD5072">
        <v>-1.1123974858629999</v>
      </c>
      <c r="AE5072">
        <v>-11.928419999999999</v>
      </c>
      <c r="AF5072">
        <v>-2.3384472581611502</v>
      </c>
      <c r="AG5072">
        <v>-1.1123974858629999</v>
      </c>
      <c r="AH5072">
        <v>12.062138908601799</v>
      </c>
      <c r="AI5072">
        <v>95.173258553604597</v>
      </c>
      <c r="AJ5072">
        <v>100.97164192535401</v>
      </c>
      <c r="AK5072">
        <v>12.336975269334101</v>
      </c>
      <c r="AL5072">
        <v>89.441218620010901</v>
      </c>
      <c r="AM5072">
        <v>90.367017031838799</v>
      </c>
      <c r="AN5072">
        <v>0.99999997114561401</v>
      </c>
    </row>
    <row r="5073" spans="1:40" x14ac:dyDescent="0.25">
      <c r="A5073" t="str">
        <f>"20190312161116197"</f>
        <v>20190312161116197</v>
      </c>
      <c r="B5073" t="str">
        <f>"1552378276192858"</f>
        <v>1552378276192858</v>
      </c>
      <c r="C5073" t="s">
        <v>40</v>
      </c>
      <c r="D5073">
        <v>5.5148739999999998</v>
      </c>
      <c r="E5073">
        <v>0.4305717</v>
      </c>
      <c r="F5073" t="s">
        <v>78</v>
      </c>
      <c r="G5073">
        <v>-419.38299999999998</v>
      </c>
      <c r="H5073" s="1">
        <v>-4.5133709999999997E-6</v>
      </c>
      <c r="I5073">
        <v>32.24286</v>
      </c>
      <c r="J5073">
        <v>-422.6986</v>
      </c>
      <c r="K5073">
        <v>1.11243</v>
      </c>
      <c r="L5073">
        <v>43.98874</v>
      </c>
      <c r="M5073">
        <v>8.4427680000000005E-2</v>
      </c>
      <c r="N5073">
        <v>0</v>
      </c>
      <c r="O5073">
        <v>-0.99633389999999999</v>
      </c>
      <c r="P5073">
        <v>9.0373960000000003E-2</v>
      </c>
      <c r="Q5073">
        <v>-3.1920920000000001E-3</v>
      </c>
      <c r="R5073">
        <v>-0.99590279999999998</v>
      </c>
      <c r="S5073">
        <v>0.81890869999999905</v>
      </c>
      <c r="T5073">
        <v>-0.27284750000000002</v>
      </c>
      <c r="U5073">
        <v>-2.9386290000000002</v>
      </c>
      <c r="V5073">
        <v>-6.0152299999999999E-3</v>
      </c>
      <c r="W5073">
        <v>1.058827E-2</v>
      </c>
      <c r="X5073">
        <v>0.99992590000000003</v>
      </c>
      <c r="Y5073">
        <v>-0.18506919999999999</v>
      </c>
      <c r="Z5073">
        <v>8.9471759999999997E-2</v>
      </c>
      <c r="AA5073">
        <v>0.97864410000000002</v>
      </c>
      <c r="AB5073">
        <v>23</v>
      </c>
      <c r="AC5073">
        <v>3.3155999999999599</v>
      </c>
      <c r="AD5073">
        <v>-1.1124345133710001</v>
      </c>
      <c r="AE5073">
        <v>-11.74588</v>
      </c>
      <c r="AF5073">
        <v>-2.2929386515008798</v>
      </c>
      <c r="AG5073">
        <v>-1.1124345133710001</v>
      </c>
      <c r="AH5073">
        <v>11.885151078829301</v>
      </c>
      <c r="AI5073">
        <v>95.250959569856704</v>
      </c>
      <c r="AJ5073">
        <v>100.91961174010299</v>
      </c>
      <c r="AK5073">
        <v>12.1553237049731</v>
      </c>
      <c r="AL5073">
        <v>89.393325510751694</v>
      </c>
      <c r="AM5073">
        <v>90.344668674433294</v>
      </c>
      <c r="AN5073">
        <v>1.00000004997217</v>
      </c>
    </row>
    <row r="5074" spans="1:40" x14ac:dyDescent="0.25">
      <c r="A5074" t="str">
        <f>"20190312161116217"</f>
        <v>20190312161116217</v>
      </c>
      <c r="B5074" t="str">
        <f>"1552378276212381"</f>
        <v>1552378276212381</v>
      </c>
      <c r="C5074" t="s">
        <v>40</v>
      </c>
      <c r="D5074">
        <v>5.521255</v>
      </c>
      <c r="E5074">
        <v>0.4306681</v>
      </c>
      <c r="F5074" t="s">
        <v>78</v>
      </c>
      <c r="G5074">
        <v>-419.32549999999998</v>
      </c>
      <c r="H5074" s="1">
        <v>-4.6576500000000002E-6</v>
      </c>
      <c r="I5074">
        <v>31.9847</v>
      </c>
      <c r="J5074">
        <v>-422.678</v>
      </c>
      <c r="K5074">
        <v>1.112466</v>
      </c>
      <c r="L5074">
        <v>43.78595</v>
      </c>
      <c r="M5074">
        <v>8.7421579999999999E-2</v>
      </c>
      <c r="N5074">
        <v>0</v>
      </c>
      <c r="O5074">
        <v>-0.99607570000000001</v>
      </c>
      <c r="P5074">
        <v>9.3416429999999995E-2</v>
      </c>
      <c r="Q5074">
        <v>-1.852853E-3</v>
      </c>
      <c r="R5074">
        <v>-0.99562539999999999</v>
      </c>
      <c r="S5074">
        <v>0.82516480000000003</v>
      </c>
      <c r="T5074">
        <v>-0.2721382</v>
      </c>
      <c r="U5074">
        <v>-2.9365839999999999</v>
      </c>
      <c r="V5074">
        <v>-6.0728300000000004E-3</v>
      </c>
      <c r="W5074">
        <v>1.192762E-2</v>
      </c>
      <c r="X5074">
        <v>0.99991039999999998</v>
      </c>
      <c r="Y5074">
        <v>-0.18423120000000001</v>
      </c>
      <c r="Z5074">
        <v>8.9247889999999996E-2</v>
      </c>
      <c r="AA5074">
        <v>0.97882259999999999</v>
      </c>
      <c r="AB5074">
        <v>23</v>
      </c>
      <c r="AC5074">
        <v>3.3525000000000702</v>
      </c>
      <c r="AD5074">
        <v>-1.1124706576500001</v>
      </c>
      <c r="AE5074">
        <v>-11.80125</v>
      </c>
      <c r="AF5074">
        <v>-2.2890576186420502</v>
      </c>
      <c r="AG5074">
        <v>-1.1124706576500001</v>
      </c>
      <c r="AH5074">
        <v>11.950899082575701</v>
      </c>
      <c r="AI5074">
        <v>95.223734963237106</v>
      </c>
      <c r="AJ5074">
        <v>100.843022810056</v>
      </c>
      <c r="AK5074">
        <v>12.2188937562901</v>
      </c>
      <c r="AL5074">
        <v>89.316581493696603</v>
      </c>
      <c r="AM5074">
        <v>90.347974429187701</v>
      </c>
      <c r="AN5074">
        <v>0.99999997770561599</v>
      </c>
    </row>
    <row r="5075" spans="1:40" x14ac:dyDescent="0.25">
      <c r="A5075" t="str">
        <f>"20190312161116240"</f>
        <v>20190312161116240</v>
      </c>
      <c r="B5075" t="str">
        <f>"1552378276231897"</f>
        <v>1552378276231897</v>
      </c>
      <c r="C5075" t="s">
        <v>40</v>
      </c>
      <c r="D5075">
        <v>5.6402489999999998</v>
      </c>
      <c r="E5075">
        <v>0.43192779999999997</v>
      </c>
      <c r="F5075" t="s">
        <v>78</v>
      </c>
      <c r="G5075">
        <v>-419.24040000000002</v>
      </c>
      <c r="H5075" s="1">
        <v>-4.8303259999999996E-6</v>
      </c>
      <c r="I5075">
        <v>31.682829999999999</v>
      </c>
      <c r="J5075">
        <v>-422.65320000000003</v>
      </c>
      <c r="K5075">
        <v>1.112514</v>
      </c>
      <c r="L5075">
        <v>43.549770000000002</v>
      </c>
      <c r="M5075">
        <v>9.0978749999999997E-2</v>
      </c>
      <c r="N5075">
        <v>0</v>
      </c>
      <c r="O5075">
        <v>-0.995757</v>
      </c>
      <c r="P5075">
        <v>9.7741960000000003E-2</v>
      </c>
      <c r="Q5075">
        <v>-4.6193070000000001E-4</v>
      </c>
      <c r="R5075">
        <v>-0.99521179999999998</v>
      </c>
      <c r="S5075">
        <v>0.83346559999999903</v>
      </c>
      <c r="T5075">
        <v>-0.26972560000000001</v>
      </c>
      <c r="U5075">
        <v>-2.9344790000000001</v>
      </c>
      <c r="V5075">
        <v>-6.8551289999999997E-3</v>
      </c>
      <c r="W5075">
        <v>1.331559E-2</v>
      </c>
      <c r="X5075">
        <v>0.99988779999999999</v>
      </c>
      <c r="Y5075">
        <v>-0.18348729999999999</v>
      </c>
      <c r="Z5075">
        <v>8.8454279999999996E-2</v>
      </c>
      <c r="AA5075">
        <v>0.97903439999999997</v>
      </c>
      <c r="AB5075">
        <v>23</v>
      </c>
      <c r="AC5075">
        <v>3.4127999999999998</v>
      </c>
      <c r="AD5075">
        <v>-1.1125188303260001</v>
      </c>
      <c r="AE5075">
        <v>-11.86694</v>
      </c>
      <c r="AF5075">
        <v>-2.3002291539325501</v>
      </c>
      <c r="AG5075">
        <v>-1.1125188303260001</v>
      </c>
      <c r="AH5075">
        <v>12.030579233990199</v>
      </c>
      <c r="AI5075">
        <v>95.189874415654899</v>
      </c>
      <c r="AJ5075">
        <v>100.824230977741</v>
      </c>
      <c r="AK5075">
        <v>12.2989263358128</v>
      </c>
      <c r="AL5075">
        <v>89.237050310137604</v>
      </c>
      <c r="AM5075">
        <v>90.392807879101895</v>
      </c>
      <c r="AN5075">
        <v>0.99999995515974605</v>
      </c>
    </row>
    <row r="5076" spans="1:40" x14ac:dyDescent="0.25">
      <c r="A5076" t="str">
        <f>"20190312161116262"</f>
        <v>20190312161116262</v>
      </c>
      <c r="B5076" t="str">
        <f>"1552378276252395"</f>
        <v>1552378276252395</v>
      </c>
      <c r="C5076" t="s">
        <v>40</v>
      </c>
      <c r="D5076">
        <v>5.786314</v>
      </c>
      <c r="E5076">
        <v>0.47840949999999999</v>
      </c>
      <c r="F5076" t="s">
        <v>78</v>
      </c>
      <c r="G5076">
        <v>-419.15100000000001</v>
      </c>
      <c r="H5076" s="1">
        <v>-5.0653699999999901E-6</v>
      </c>
      <c r="I5076">
        <v>31.260470000000002</v>
      </c>
      <c r="J5076">
        <v>-422.6293</v>
      </c>
      <c r="K5076">
        <v>1.112565</v>
      </c>
      <c r="L5076">
        <v>43.330779999999997</v>
      </c>
      <c r="M5076">
        <v>9.4351980000000002E-2</v>
      </c>
      <c r="N5076">
        <v>0</v>
      </c>
      <c r="O5076">
        <v>-0.99544330000000003</v>
      </c>
      <c r="P5076">
        <v>0.10182860000000001</v>
      </c>
      <c r="Q5076">
        <v>1.1829039999999999E-4</v>
      </c>
      <c r="R5076">
        <v>-0.99480230000000003</v>
      </c>
      <c r="S5076">
        <v>0.83563229999999999</v>
      </c>
      <c r="T5076">
        <v>-0.26544899999999999</v>
      </c>
      <c r="U5076">
        <v>-2.9322509999999999</v>
      </c>
      <c r="V5076">
        <v>-7.578825E-3</v>
      </c>
      <c r="W5076">
        <v>1.389203E-2</v>
      </c>
      <c r="X5076">
        <v>0.99987479999999995</v>
      </c>
      <c r="Y5076">
        <v>-0.18105399999999999</v>
      </c>
      <c r="Z5076">
        <v>8.7096069999999998E-2</v>
      </c>
      <c r="AA5076">
        <v>0.97960899999999995</v>
      </c>
      <c r="AB5076">
        <v>23</v>
      </c>
      <c r="AC5076">
        <v>3.4782999999999902</v>
      </c>
      <c r="AD5076">
        <v>-1.1125700653699999</v>
      </c>
      <c r="AE5076">
        <v>-12.0703099999999</v>
      </c>
      <c r="AF5076">
        <v>-2.3057263734607201</v>
      </c>
      <c r="AG5076">
        <v>-1.1125700653699999</v>
      </c>
      <c r="AH5076">
        <v>12.248582970750901</v>
      </c>
      <c r="AI5076">
        <v>95.100972576681798</v>
      </c>
      <c r="AJ5076">
        <v>100.660848650777</v>
      </c>
      <c r="AK5076">
        <v>12.513271796416699</v>
      </c>
      <c r="AL5076">
        <v>89.204019725243498</v>
      </c>
      <c r="AM5076">
        <v>90.434280742379102</v>
      </c>
      <c r="AN5076">
        <v>1.0000000213804701</v>
      </c>
    </row>
    <row r="5077" spans="1:40" x14ac:dyDescent="0.25">
      <c r="A5077" t="str">
        <f>"20190312161116283"</f>
        <v>20190312161116283</v>
      </c>
      <c r="B5077" t="str">
        <f>"1552378276271913"</f>
        <v>1552378276271913</v>
      </c>
      <c r="C5077" t="s">
        <v>40</v>
      </c>
      <c r="D5077">
        <v>5.6393500000000003</v>
      </c>
      <c r="E5077">
        <v>0.53229110000000002</v>
      </c>
      <c r="F5077" t="s">
        <v>42</v>
      </c>
      <c r="G5077">
        <v>-422.51139999999998</v>
      </c>
      <c r="H5077">
        <v>1.0053160000000001</v>
      </c>
      <c r="I5077">
        <v>42.60266</v>
      </c>
      <c r="J5077">
        <v>-422.60399999999998</v>
      </c>
      <c r="K5077">
        <v>1.112622</v>
      </c>
      <c r="L5077">
        <v>43.106870000000001</v>
      </c>
      <c r="M5077">
        <v>9.7875859999999995E-2</v>
      </c>
      <c r="N5077">
        <v>0</v>
      </c>
      <c r="O5077">
        <v>-0.99510290000000001</v>
      </c>
      <c r="P5077">
        <v>0.105392</v>
      </c>
      <c r="Q5077">
        <v>9.1934510000000005E-4</v>
      </c>
      <c r="R5077">
        <v>-0.9944307</v>
      </c>
      <c r="S5077">
        <v>0.48104859999999999</v>
      </c>
      <c r="T5077">
        <v>-0.43736269999999999</v>
      </c>
      <c r="U5077">
        <v>-2.9664920000000001</v>
      </c>
      <c r="V5077">
        <v>-7.6268919999999997E-3</v>
      </c>
      <c r="W5077">
        <v>1.4694459999999999E-2</v>
      </c>
      <c r="X5077">
        <v>0.99986299999999995</v>
      </c>
      <c r="Y5077">
        <v>-6.1008189999999997E-2</v>
      </c>
      <c r="Z5077">
        <v>0.14376439999999999</v>
      </c>
      <c r="AA5077">
        <v>0.98772959999999999</v>
      </c>
      <c r="AB5077">
        <v>23</v>
      </c>
      <c r="AC5077">
        <v>9.26000000000613E-2</v>
      </c>
      <c r="AD5077">
        <v>-0.107306</v>
      </c>
      <c r="AE5077">
        <v>-0.50421000000000005</v>
      </c>
      <c r="AF5077">
        <v>-4.1004044320694301E-2</v>
      </c>
      <c r="AG5077">
        <v>-0.107306</v>
      </c>
      <c r="AH5077">
        <v>0.48940953953392802</v>
      </c>
      <c r="AI5077">
        <v>102.32489913072899</v>
      </c>
      <c r="AJ5077">
        <v>94.789209021636793</v>
      </c>
      <c r="AK5077">
        <v>0.50271026115792095</v>
      </c>
      <c r="AL5077">
        <v>89.158039206140899</v>
      </c>
      <c r="AM5077">
        <v>90.4370401217367</v>
      </c>
      <c r="AN5077">
        <v>1.00000005770263</v>
      </c>
    </row>
    <row r="5078" spans="1:40" x14ac:dyDescent="0.25">
      <c r="A5078" t="str">
        <f>"20190312161116307"</f>
        <v>20190312161116307</v>
      </c>
      <c r="B5078" t="str">
        <f>"1552378276302171"</f>
        <v>1552378276302171</v>
      </c>
      <c r="C5078" t="s">
        <v>40</v>
      </c>
      <c r="D5078">
        <v>5.6456419999999996</v>
      </c>
      <c r="E5078">
        <v>0.54512950000000004</v>
      </c>
      <c r="F5078" t="s">
        <v>42</v>
      </c>
      <c r="G5078">
        <v>-422.58890000000002</v>
      </c>
      <c r="H5078">
        <v>0.96471859999999998</v>
      </c>
      <c r="I5078">
        <v>42.414149999999999</v>
      </c>
      <c r="J5078">
        <v>-422.57729999999998</v>
      </c>
      <c r="K5078">
        <v>1.112673</v>
      </c>
      <c r="L5078">
        <v>42.878480000000003</v>
      </c>
      <c r="M5078">
        <v>0.1015578</v>
      </c>
      <c r="N5078">
        <v>0</v>
      </c>
      <c r="O5078">
        <v>-0.9947338</v>
      </c>
      <c r="P5078">
        <v>0.1091435</v>
      </c>
      <c r="Q5078">
        <v>1.7249679999999999E-3</v>
      </c>
      <c r="R5078">
        <v>-0.99402460000000004</v>
      </c>
      <c r="S5078">
        <v>6.7321779999999998E-2</v>
      </c>
      <c r="T5078">
        <v>-0.64341139999999997</v>
      </c>
      <c r="U5078">
        <v>-3.010284</v>
      </c>
      <c r="V5078">
        <v>-7.7049900000000001E-3</v>
      </c>
      <c r="W5078">
        <v>1.550023E-2</v>
      </c>
      <c r="X5078">
        <v>0.99985020000000002</v>
      </c>
      <c r="Y5078">
        <v>7.9782909999999999E-2</v>
      </c>
      <c r="Z5078">
        <v>0.20705270000000001</v>
      </c>
      <c r="AA5078">
        <v>0.97507120000000003</v>
      </c>
      <c r="AB5078">
        <v>23</v>
      </c>
      <c r="AC5078">
        <v>-1.1600000000044E-2</v>
      </c>
      <c r="AD5078">
        <v>-0.14795440000000001</v>
      </c>
      <c r="AE5078">
        <v>-0.46432999999999602</v>
      </c>
      <c r="AF5078">
        <v>5.32932545940581E-2</v>
      </c>
      <c r="AG5078">
        <v>-0.14795440000000001</v>
      </c>
      <c r="AH5078">
        <v>0.418305741276712</v>
      </c>
      <c r="AI5078">
        <v>109.334091716684</v>
      </c>
      <c r="AJ5078">
        <v>82.739480863121798</v>
      </c>
      <c r="AK5078">
        <v>0.446889660486396</v>
      </c>
      <c r="AL5078">
        <v>89.111866694327205</v>
      </c>
      <c r="AM5078">
        <v>90.441520809600803</v>
      </c>
      <c r="AN5078">
        <v>1.00000002322049</v>
      </c>
    </row>
    <row r="5079" spans="1:40" x14ac:dyDescent="0.25">
      <c r="A5079" t="str">
        <f>"20190312161116329"</f>
        <v>20190312161116329</v>
      </c>
      <c r="B5079" t="str">
        <f>"1552378276322666"</f>
        <v>1552378276322666</v>
      </c>
      <c r="C5079" t="s">
        <v>40</v>
      </c>
      <c r="D5079">
        <v>5.631875</v>
      </c>
      <c r="E5079">
        <v>0.54492529999999995</v>
      </c>
      <c r="F5079" t="s">
        <v>42</v>
      </c>
      <c r="G5079">
        <v>-422.58390000000003</v>
      </c>
      <c r="H5079">
        <v>0.92215170000000002</v>
      </c>
      <c r="I5079">
        <v>42.02561</v>
      </c>
      <c r="J5079">
        <v>-422.54910000000001</v>
      </c>
      <c r="K5079">
        <v>1.1127049999999901</v>
      </c>
      <c r="L5079">
        <v>42.646700000000003</v>
      </c>
      <c r="M5079">
        <v>0.1053722</v>
      </c>
      <c r="N5079">
        <v>0</v>
      </c>
      <c r="O5079">
        <v>-0.99433700000000003</v>
      </c>
      <c r="P5079">
        <v>0.11261069999999999</v>
      </c>
      <c r="Q5079">
        <v>1.437397E-3</v>
      </c>
      <c r="R5079">
        <v>-0.99363840000000003</v>
      </c>
      <c r="S5079">
        <v>-2.3010249999999999E-2</v>
      </c>
      <c r="T5079">
        <v>-0.67520369999999996</v>
      </c>
      <c r="U5079">
        <v>-3.0217290000000001</v>
      </c>
      <c r="V5079">
        <v>-7.3584119999999999E-3</v>
      </c>
      <c r="W5079">
        <v>1.5215589999999999E-2</v>
      </c>
      <c r="X5079">
        <v>0.9998572</v>
      </c>
      <c r="Y5079">
        <v>0.11276319999999999</v>
      </c>
      <c r="Z5079">
        <v>0.21556529999999999</v>
      </c>
      <c r="AA5079">
        <v>0.96995679999999995</v>
      </c>
      <c r="AB5079">
        <v>23</v>
      </c>
      <c r="AC5079">
        <v>-3.4800000000018302E-2</v>
      </c>
      <c r="AD5079">
        <v>-0.19055329999999901</v>
      </c>
      <c r="AE5079">
        <v>-0.62109000000000203</v>
      </c>
      <c r="AF5079">
        <v>9.1474609841664903E-2</v>
      </c>
      <c r="AG5079">
        <v>-0.19055329999999901</v>
      </c>
      <c r="AH5079">
        <v>0.56129545507880996</v>
      </c>
      <c r="AI5079">
        <v>108.52435062709201</v>
      </c>
      <c r="AJ5079">
        <v>80.743850704235001</v>
      </c>
      <c r="AK5079">
        <v>0.599775584930483</v>
      </c>
      <c r="AL5079">
        <v>89.128177303327803</v>
      </c>
      <c r="AM5079">
        <v>90.421658552976197</v>
      </c>
      <c r="AN5079">
        <v>1.0000000403990199</v>
      </c>
    </row>
    <row r="5080" spans="1:40" x14ac:dyDescent="0.25">
      <c r="A5080" t="str">
        <f>"20190312161116350"</f>
        <v>20190312161116350</v>
      </c>
      <c r="B5080" t="str">
        <f>"1552378276342186"</f>
        <v>1552378276342186</v>
      </c>
      <c r="C5080" t="s">
        <v>40</v>
      </c>
      <c r="D5080">
        <v>5.6479609999999996</v>
      </c>
      <c r="E5080">
        <v>0.54450909999999997</v>
      </c>
      <c r="F5080" t="s">
        <v>42</v>
      </c>
      <c r="G5080">
        <v>-422.55220000000003</v>
      </c>
      <c r="H5080">
        <v>0.92857330000000005</v>
      </c>
      <c r="I5080">
        <v>41.821539999999999</v>
      </c>
      <c r="J5080">
        <v>-422.5222</v>
      </c>
      <c r="K5080">
        <v>1.112727</v>
      </c>
      <c r="L5080">
        <v>42.431550000000001</v>
      </c>
      <c r="M5080">
        <v>0.1089682</v>
      </c>
      <c r="N5080">
        <v>0</v>
      </c>
      <c r="O5080">
        <v>-0.99394910000000003</v>
      </c>
      <c r="P5080">
        <v>0.115637</v>
      </c>
      <c r="Q5080">
        <v>1.5077510000000001E-3</v>
      </c>
      <c r="R5080">
        <v>-0.99329060000000002</v>
      </c>
      <c r="S5080">
        <v>-1.1444090000000001E-2</v>
      </c>
      <c r="T5080">
        <v>-0.67418929999999999</v>
      </c>
      <c r="U5080">
        <v>-3.0214840000000001</v>
      </c>
      <c r="V5080">
        <v>-6.7891409999999899E-3</v>
      </c>
      <c r="W5080">
        <v>1.529092E-2</v>
      </c>
      <c r="X5080">
        <v>0.99985999999999997</v>
      </c>
      <c r="Y5080">
        <v>0.1126451</v>
      </c>
      <c r="Z5080">
        <v>0.21515210000000001</v>
      </c>
      <c r="AA5080">
        <v>0.97006219999999999</v>
      </c>
      <c r="AB5080">
        <v>23</v>
      </c>
      <c r="AC5080">
        <v>-3.00000000000295E-2</v>
      </c>
      <c r="AD5080">
        <v>-0.1841537</v>
      </c>
      <c r="AE5080">
        <v>-0.61001000000000205</v>
      </c>
      <c r="AF5080">
        <v>8.8273902684229605E-2</v>
      </c>
      <c r="AG5080">
        <v>-0.1841537</v>
      </c>
      <c r="AH5080">
        <v>0.55284528240372899</v>
      </c>
      <c r="AI5080">
        <v>108.20784307600699</v>
      </c>
      <c r="AJ5080">
        <v>80.928048874071706</v>
      </c>
      <c r="AK5080">
        <v>0.58935793317376695</v>
      </c>
      <c r="AL5080">
        <v>89.123860641672493</v>
      </c>
      <c r="AM5080">
        <v>90.389037613091205</v>
      </c>
      <c r="AN5080">
        <v>0.99999996213498099</v>
      </c>
    </row>
    <row r="5081" spans="1:40" x14ac:dyDescent="0.25">
      <c r="A5081" t="str">
        <f>"20190312161116375"</f>
        <v>20190312161116375</v>
      </c>
      <c r="B5081" t="str">
        <f>"1552378276372442"</f>
        <v>1552378276372442</v>
      </c>
      <c r="C5081" t="s">
        <v>40</v>
      </c>
      <c r="D5081">
        <v>5.6283500000000002</v>
      </c>
      <c r="E5081">
        <v>0.54754999999999998</v>
      </c>
      <c r="F5081" t="s">
        <v>42</v>
      </c>
      <c r="G5081">
        <v>-422.5224</v>
      </c>
      <c r="H5081">
        <v>0.93732760000000004</v>
      </c>
      <c r="I5081">
        <v>41.616340000000001</v>
      </c>
      <c r="J5081">
        <v>-422.49029999999999</v>
      </c>
      <c r="K5081">
        <v>1.1127469999999999</v>
      </c>
      <c r="L5081">
        <v>42.185270000000003</v>
      </c>
      <c r="M5081">
        <v>0.1131408</v>
      </c>
      <c r="N5081">
        <v>0</v>
      </c>
      <c r="O5081">
        <v>-0.99348289999999995</v>
      </c>
      <c r="P5081">
        <v>0.11925479999999999</v>
      </c>
      <c r="Q5081">
        <v>1.7332560000000001E-3</v>
      </c>
      <c r="R5081">
        <v>-0.99286220000000003</v>
      </c>
      <c r="S5081">
        <v>6.1035159999999996E-4</v>
      </c>
      <c r="T5081">
        <v>-0.6506885</v>
      </c>
      <c r="U5081">
        <v>-3.0211790000000001</v>
      </c>
      <c r="V5081">
        <v>-6.2351109999999998E-3</v>
      </c>
      <c r="W5081">
        <v>1.551978E-2</v>
      </c>
      <c r="X5081">
        <v>0.99986010000000003</v>
      </c>
      <c r="Y5081">
        <v>0.11294709999999999</v>
      </c>
      <c r="Z5081">
        <v>0.2078612</v>
      </c>
      <c r="AA5081">
        <v>0.97161549999999997</v>
      </c>
      <c r="AB5081">
        <v>23</v>
      </c>
      <c r="AC5081">
        <v>-3.2100000000013999E-2</v>
      </c>
      <c r="AD5081">
        <v>-0.175419399999999</v>
      </c>
      <c r="AE5081">
        <v>-0.56893000000000105</v>
      </c>
      <c r="AF5081">
        <v>8.7935773757363001E-2</v>
      </c>
      <c r="AG5081">
        <v>-0.175419399999999</v>
      </c>
      <c r="AH5081">
        <v>0.51302606243529703</v>
      </c>
      <c r="AI5081">
        <v>108.62463180506801</v>
      </c>
      <c r="AJ5081">
        <v>80.273674688240405</v>
      </c>
      <c r="AK5081">
        <v>0.54927261623034795</v>
      </c>
      <c r="AL5081">
        <v>89.110746388562603</v>
      </c>
      <c r="AM5081">
        <v>90.357290899406294</v>
      </c>
      <c r="AN5081">
        <v>0.99999997987622002</v>
      </c>
    </row>
    <row r="5082" spans="1:40" x14ac:dyDescent="0.25">
      <c r="A5082" t="str">
        <f>"20190312161116398"</f>
        <v>20190312161116398</v>
      </c>
      <c r="B5082" t="str">
        <f>"1552378276391962"</f>
        <v>1552378276391962</v>
      </c>
      <c r="C5082" t="s">
        <v>40</v>
      </c>
      <c r="D5082">
        <v>5.688021</v>
      </c>
      <c r="E5082">
        <v>0.54600209999999905</v>
      </c>
      <c r="F5082" t="s">
        <v>42</v>
      </c>
      <c r="G5082">
        <v>-422.49310000000003</v>
      </c>
      <c r="H5082">
        <v>0.93593170000000003</v>
      </c>
      <c r="I5082">
        <v>41.4163</v>
      </c>
      <c r="J5082">
        <v>-422.45960000000002</v>
      </c>
      <c r="K5082">
        <v>1.1127659999999999</v>
      </c>
      <c r="L5082">
        <v>41.955930000000002</v>
      </c>
      <c r="M5082">
        <v>0.11707480000000001</v>
      </c>
      <c r="N5082">
        <v>0</v>
      </c>
      <c r="O5082">
        <v>-0.99302690000000005</v>
      </c>
      <c r="P5082">
        <v>0.1231539</v>
      </c>
      <c r="Q5082">
        <v>2.034915E-3</v>
      </c>
      <c r="R5082">
        <v>-0.99238559999999998</v>
      </c>
      <c r="S5082">
        <v>-1.095581E-2</v>
      </c>
      <c r="T5082">
        <v>-0.69555230000000001</v>
      </c>
      <c r="U5082">
        <v>-3.0240779999999998</v>
      </c>
      <c r="V5082">
        <v>-6.2050439999999998E-3</v>
      </c>
      <c r="W5082">
        <v>1.5822530000000001E-2</v>
      </c>
      <c r="X5082">
        <v>0.99985559999999996</v>
      </c>
      <c r="Y5082">
        <v>0.1205818</v>
      </c>
      <c r="Z5082">
        <v>0.22103999999999999</v>
      </c>
      <c r="AA5082">
        <v>0.96778169999999997</v>
      </c>
      <c r="AB5082">
        <v>23</v>
      </c>
      <c r="AC5082">
        <v>-3.3500000000003603E-2</v>
      </c>
      <c r="AD5082">
        <v>-0.176834299999999</v>
      </c>
      <c r="AE5082">
        <v>-0.53963000000000205</v>
      </c>
      <c r="AF5082">
        <v>8.7132001048101204E-2</v>
      </c>
      <c r="AG5082">
        <v>-0.176834299999999</v>
      </c>
      <c r="AH5082">
        <v>0.48058659027429401</v>
      </c>
      <c r="AI5082">
        <v>109.902927281987</v>
      </c>
      <c r="AJ5082">
        <v>79.723705001978104</v>
      </c>
      <c r="AK5082">
        <v>0.51944761623729596</v>
      </c>
      <c r="AL5082">
        <v>89.093398013155294</v>
      </c>
      <c r="AM5082">
        <v>90.355569613084796</v>
      </c>
      <c r="AN5082">
        <v>1.0000000379389999</v>
      </c>
    </row>
    <row r="5083" spans="1:40" x14ac:dyDescent="0.25">
      <c r="A5083" t="str">
        <f>"20190312161116419"</f>
        <v>20190312161116419</v>
      </c>
      <c r="B5083" t="str">
        <f>"1552378276412458"</f>
        <v>1552378276412458</v>
      </c>
      <c r="C5083" t="s">
        <v>40</v>
      </c>
      <c r="D5083">
        <v>5.6326419999999997</v>
      </c>
      <c r="E5083">
        <v>0.54515519999999995</v>
      </c>
      <c r="F5083" t="s">
        <v>42</v>
      </c>
      <c r="G5083">
        <v>-422.45659999999998</v>
      </c>
      <c r="H5083">
        <v>0.94836319999999996</v>
      </c>
      <c r="I5083">
        <v>41.210769999999997</v>
      </c>
      <c r="J5083">
        <v>-422.4314</v>
      </c>
      <c r="K5083">
        <v>1.112787</v>
      </c>
      <c r="L5083">
        <v>41.751370000000001</v>
      </c>
      <c r="M5083">
        <v>0.1206198</v>
      </c>
      <c r="N5083">
        <v>0</v>
      </c>
      <c r="O5083">
        <v>-0.9926026</v>
      </c>
      <c r="P5083">
        <v>0.12673599999999999</v>
      </c>
      <c r="Q5083">
        <v>2.294211E-3</v>
      </c>
      <c r="R5083">
        <v>-0.99193410000000004</v>
      </c>
      <c r="S5083">
        <v>1.3488770000000001E-2</v>
      </c>
      <c r="T5083">
        <v>-0.66763439999999996</v>
      </c>
      <c r="U5083">
        <v>-3.0227360000000001</v>
      </c>
      <c r="V5083">
        <v>-6.2469739999999998E-3</v>
      </c>
      <c r="W5083">
        <v>1.6081419999999999E-2</v>
      </c>
      <c r="X5083">
        <v>0.99985119999999905</v>
      </c>
      <c r="Y5083">
        <v>0.1162933</v>
      </c>
      <c r="Z5083">
        <v>0.21259729999999999</v>
      </c>
      <c r="AA5083">
        <v>0.97019489999999997</v>
      </c>
      <c r="AB5083">
        <v>23</v>
      </c>
      <c r="AC5083">
        <v>-2.5199999999983898E-2</v>
      </c>
      <c r="AD5083">
        <v>-0.16442379999999901</v>
      </c>
      <c r="AE5083">
        <v>-0.54059999999999697</v>
      </c>
      <c r="AF5083">
        <v>8.2604308740241605E-2</v>
      </c>
      <c r="AG5083">
        <v>-0.16442379999999901</v>
      </c>
      <c r="AH5083">
        <v>0.488518609647841</v>
      </c>
      <c r="AI5083">
        <v>108.35922137738601</v>
      </c>
      <c r="AJ5083">
        <v>80.402557473523103</v>
      </c>
      <c r="AK5083">
        <v>0.52202403182339496</v>
      </c>
      <c r="AL5083">
        <v>89.078562813851093</v>
      </c>
      <c r="AM5083">
        <v>90.357973854187406</v>
      </c>
      <c r="AN5083">
        <v>1.0000000294474001</v>
      </c>
    </row>
    <row r="5084" spans="1:40" x14ac:dyDescent="0.25">
      <c r="A5084" t="str">
        <f>"20190312161116441"</f>
        <v>20190312161116441</v>
      </c>
      <c r="B5084" t="str">
        <f>"1552378276431978"</f>
        <v>1552378276431978</v>
      </c>
      <c r="C5084" t="s">
        <v>40</v>
      </c>
      <c r="D5084">
        <v>5.5863230000000001</v>
      </c>
      <c r="E5084">
        <v>0.54539249999999995</v>
      </c>
      <c r="F5084" t="s">
        <v>42</v>
      </c>
      <c r="G5084">
        <v>-422.4239</v>
      </c>
      <c r="H5084">
        <v>0.95360299999999998</v>
      </c>
      <c r="I5084">
        <v>41.008490000000002</v>
      </c>
      <c r="J5084">
        <v>-422.39920000000001</v>
      </c>
      <c r="K5084">
        <v>1.1128100000000001</v>
      </c>
      <c r="L5084">
        <v>41.524410000000003</v>
      </c>
      <c r="M5084">
        <v>0.1245936</v>
      </c>
      <c r="N5084">
        <v>0</v>
      </c>
      <c r="O5084">
        <v>-0.99211179999999999</v>
      </c>
      <c r="P5084">
        <v>0.13083819999999999</v>
      </c>
      <c r="Q5084">
        <v>2.0312559999999999E-3</v>
      </c>
      <c r="R5084">
        <v>-0.99140170000000005</v>
      </c>
      <c r="S5084">
        <v>3.07312E-2</v>
      </c>
      <c r="T5084">
        <v>-0.64759709999999904</v>
      </c>
      <c r="U5084">
        <v>-3.021973</v>
      </c>
      <c r="V5084">
        <v>-6.3785880000000001E-3</v>
      </c>
      <c r="W5084">
        <v>1.5818720000000001E-2</v>
      </c>
      <c r="X5084">
        <v>0.99985449999999998</v>
      </c>
      <c r="Y5084">
        <v>0.11472110000000001</v>
      </c>
      <c r="Z5084">
        <v>0.2064126</v>
      </c>
      <c r="AA5084">
        <v>0.97171649999999998</v>
      </c>
      <c r="AB5084">
        <v>23</v>
      </c>
      <c r="AC5084">
        <v>-2.4699999999995701E-2</v>
      </c>
      <c r="AD5084">
        <v>-0.15920699999999999</v>
      </c>
      <c r="AE5084">
        <v>-0.51591999999999405</v>
      </c>
      <c r="AF5084">
        <v>8.10896941085614E-2</v>
      </c>
      <c r="AG5084">
        <v>-0.15920699999999999</v>
      </c>
      <c r="AH5084">
        <v>0.46467316551729898</v>
      </c>
      <c r="AI5084">
        <v>108.650602259688</v>
      </c>
      <c r="AJ5084">
        <v>80.101047701540395</v>
      </c>
      <c r="AK5084">
        <v>0.49783888768504903</v>
      </c>
      <c r="AL5084">
        <v>89.093616275561303</v>
      </c>
      <c r="AM5084">
        <v>90.365514396176707</v>
      </c>
      <c r="AN5084">
        <v>0.99999996972878002</v>
      </c>
    </row>
    <row r="5085" spans="1:40" x14ac:dyDescent="0.25">
      <c r="A5085" t="str">
        <f>"20190312161116466"</f>
        <v>20190312161116466</v>
      </c>
      <c r="B5085" t="str">
        <f>"1552378276452474"</f>
        <v>1552378276452474</v>
      </c>
      <c r="C5085" t="s">
        <v>40</v>
      </c>
      <c r="D5085">
        <v>5.650817</v>
      </c>
      <c r="E5085">
        <v>0.54607469999999902</v>
      </c>
      <c r="F5085" t="s">
        <v>42</v>
      </c>
      <c r="G5085">
        <v>-422.38990000000001</v>
      </c>
      <c r="H5085">
        <v>0.95835630000000005</v>
      </c>
      <c r="I5085">
        <v>40.806950000000001</v>
      </c>
      <c r="J5085">
        <v>-422.36419999999998</v>
      </c>
      <c r="K5085">
        <v>1.1128340000000001</v>
      </c>
      <c r="L5085">
        <v>41.285429999999998</v>
      </c>
      <c r="M5085">
        <v>0.12882750000000001</v>
      </c>
      <c r="N5085">
        <v>0</v>
      </c>
      <c r="O5085">
        <v>-0.99157070000000003</v>
      </c>
      <c r="P5085">
        <v>0.13528399999999999</v>
      </c>
      <c r="Q5085">
        <v>1.636794E-3</v>
      </c>
      <c r="R5085">
        <v>-0.99080550000000001</v>
      </c>
      <c r="S5085">
        <v>4.110718E-2</v>
      </c>
      <c r="T5085">
        <v>-0.65153380000000005</v>
      </c>
      <c r="U5085">
        <v>-3.0219420000000001</v>
      </c>
      <c r="V5085">
        <v>-6.5936519999999898E-3</v>
      </c>
      <c r="W5085">
        <v>1.5422989999999999E-2</v>
      </c>
      <c r="X5085">
        <v>0.99985930000000001</v>
      </c>
      <c r="Y5085">
        <v>0.1156282</v>
      </c>
      <c r="Z5085">
        <v>0.20743</v>
      </c>
      <c r="AA5085">
        <v>0.97139229999999999</v>
      </c>
      <c r="AB5085">
        <v>23</v>
      </c>
      <c r="AC5085">
        <v>-2.5700000000028901E-2</v>
      </c>
      <c r="AD5085">
        <v>-0.1544777</v>
      </c>
      <c r="AE5085">
        <v>-0.47847999999999702</v>
      </c>
      <c r="AF5085">
        <v>7.8929683673891193E-2</v>
      </c>
      <c r="AG5085">
        <v>-0.1544777</v>
      </c>
      <c r="AH5085">
        <v>0.42682023721732898</v>
      </c>
      <c r="AI5085">
        <v>109.590274249431</v>
      </c>
      <c r="AJ5085">
        <v>79.522943211315095</v>
      </c>
      <c r="AK5085">
        <v>0.46072635008257101</v>
      </c>
      <c r="AL5085">
        <v>89.116292713179703</v>
      </c>
      <c r="AM5085">
        <v>90.377836116380394</v>
      </c>
      <c r="AN5085">
        <v>0.99999998233186305</v>
      </c>
    </row>
    <row r="5086" spans="1:40" x14ac:dyDescent="0.25">
      <c r="A5086" t="str">
        <f>"20190312161116486"</f>
        <v>20190312161116486</v>
      </c>
      <c r="B5086" t="str">
        <f>"1552378276482730"</f>
        <v>1552378276482730</v>
      </c>
      <c r="C5086" t="s">
        <v>40</v>
      </c>
      <c r="D5086">
        <v>5.658277</v>
      </c>
      <c r="E5086">
        <v>0.54564669999999904</v>
      </c>
      <c r="F5086" t="s">
        <v>42</v>
      </c>
      <c r="G5086">
        <v>-422.3501</v>
      </c>
      <c r="H5086">
        <v>0.92341390000000001</v>
      </c>
      <c r="I5086">
        <v>40.42212</v>
      </c>
      <c r="J5086">
        <v>-422.33460000000002</v>
      </c>
      <c r="K5086">
        <v>1.1128549999999999</v>
      </c>
      <c r="L5086">
        <v>41.088929999999998</v>
      </c>
      <c r="M5086">
        <v>0.13235239999999901</v>
      </c>
      <c r="N5086">
        <v>0</v>
      </c>
      <c r="O5086">
        <v>-0.99110640000000005</v>
      </c>
      <c r="P5086">
        <v>0.13823079999999999</v>
      </c>
      <c r="Q5086">
        <v>9.6267659999999997E-4</v>
      </c>
      <c r="R5086">
        <v>-0.99039949999999999</v>
      </c>
      <c r="S5086">
        <v>4.9713130000000001E-2</v>
      </c>
      <c r="T5086">
        <v>-0.66330169999999999</v>
      </c>
      <c r="U5086">
        <v>-3.0221559999999998</v>
      </c>
      <c r="V5086">
        <v>-6.0096680000000001E-3</v>
      </c>
      <c r="W5086">
        <v>1.475311E-2</v>
      </c>
      <c r="X5086">
        <v>0.99987309999999996</v>
      </c>
      <c r="Y5086">
        <v>0.116407</v>
      </c>
      <c r="Z5086">
        <v>0.21083089999999999</v>
      </c>
      <c r="AA5086">
        <v>0.9705667</v>
      </c>
      <c r="AB5086">
        <v>23</v>
      </c>
      <c r="AC5086">
        <v>-1.5499999999974499E-2</v>
      </c>
      <c r="AD5086">
        <v>-0.189441099999999</v>
      </c>
      <c r="AE5086">
        <v>-0.66680999999999802</v>
      </c>
      <c r="AF5086">
        <v>9.5890503718728898E-2</v>
      </c>
      <c r="AG5086">
        <v>-0.189441099999999</v>
      </c>
      <c r="AH5086">
        <v>0.60970637038791697</v>
      </c>
      <c r="AI5086">
        <v>107.063130856074</v>
      </c>
      <c r="AJ5086">
        <v>81.062119006676497</v>
      </c>
      <c r="AK5086">
        <v>0.64561968461645303</v>
      </c>
      <c r="AL5086">
        <v>89.154678390055906</v>
      </c>
      <c r="AM5086">
        <v>90.344368166762806</v>
      </c>
      <c r="AN5086">
        <v>0.99999999323387601</v>
      </c>
    </row>
    <row r="5087" spans="1:40" x14ac:dyDescent="0.25">
      <c r="A5087" t="str">
        <f>"20190312161116508"</f>
        <v>20190312161116508</v>
      </c>
      <c r="B5087" t="str">
        <f>"1552378276502250"</f>
        <v>1552378276502250</v>
      </c>
      <c r="C5087" t="s">
        <v>40</v>
      </c>
      <c r="D5087">
        <v>5.4654499999999997</v>
      </c>
      <c r="E5087">
        <v>0.49839060000000002</v>
      </c>
      <c r="F5087" t="s">
        <v>42</v>
      </c>
      <c r="G5087">
        <v>-422.3168</v>
      </c>
      <c r="H5087">
        <v>0.92228569999999999</v>
      </c>
      <c r="I5087">
        <v>40.224150000000002</v>
      </c>
      <c r="J5087">
        <v>-422.29930000000002</v>
      </c>
      <c r="K5087">
        <v>1.1128910000000001</v>
      </c>
      <c r="L5087">
        <v>40.861240000000002</v>
      </c>
      <c r="M5087">
        <v>0.1364842</v>
      </c>
      <c r="N5087">
        <v>0</v>
      </c>
      <c r="O5087">
        <v>-0.99054589999999998</v>
      </c>
      <c r="P5087">
        <v>0.14167489999999999</v>
      </c>
      <c r="Q5087">
        <v>1.9967980000000001E-3</v>
      </c>
      <c r="R5087">
        <v>-0.9899114</v>
      </c>
      <c r="S5087">
        <v>6.2286380000000002E-2</v>
      </c>
      <c r="T5087">
        <v>-0.66581689999999905</v>
      </c>
      <c r="U5087">
        <v>-3.0210270000000001</v>
      </c>
      <c r="V5087">
        <v>-5.3249300000000003E-3</v>
      </c>
      <c r="W5087">
        <v>1.579154E-2</v>
      </c>
      <c r="X5087">
        <v>0.99986109999999995</v>
      </c>
      <c r="Y5087">
        <v>0.11650770000000001</v>
      </c>
      <c r="Z5087">
        <v>0.21148169999999999</v>
      </c>
      <c r="AA5087">
        <v>0.97041299999999997</v>
      </c>
      <c r="AB5087">
        <v>23</v>
      </c>
      <c r="AC5087">
        <v>-1.7499999999984001E-2</v>
      </c>
      <c r="AD5087">
        <v>-0.19060530000000001</v>
      </c>
      <c r="AE5087">
        <v>-0.63709000000000005</v>
      </c>
      <c r="AF5087">
        <v>9.5734551015234703E-2</v>
      </c>
      <c r="AG5087">
        <v>-0.19060530000000001</v>
      </c>
      <c r="AH5087">
        <v>0.57711976164339795</v>
      </c>
      <c r="AI5087">
        <v>108.04651800828</v>
      </c>
      <c r="AJ5087">
        <v>80.581351888517602</v>
      </c>
      <c r="AK5087">
        <v>0.61527449477896501</v>
      </c>
      <c r="AL5087">
        <v>89.095173772811506</v>
      </c>
      <c r="AM5087">
        <v>90.305135514119698</v>
      </c>
      <c r="AN5087">
        <v>0.99999997345414204</v>
      </c>
    </row>
    <row r="5088" spans="1:40" x14ac:dyDescent="0.25">
      <c r="A5088" t="str">
        <f>"20190312161116530"</f>
        <v>20190312161116530</v>
      </c>
      <c r="B5088" t="str">
        <f>"1552378276521770"</f>
        <v>1552378276521770</v>
      </c>
      <c r="C5088" t="s">
        <v>40</v>
      </c>
      <c r="D5088">
        <v>5.416112</v>
      </c>
      <c r="E5088">
        <v>0.4824543</v>
      </c>
      <c r="F5088" t="s">
        <v>42</v>
      </c>
      <c r="G5088">
        <v>-422.17340000000002</v>
      </c>
      <c r="H5088">
        <v>0.96427700000000005</v>
      </c>
      <c r="I5088">
        <v>40.01999</v>
      </c>
      <c r="J5088">
        <v>-422.26440000000002</v>
      </c>
      <c r="K5088">
        <v>1.1129199999999999</v>
      </c>
      <c r="L5088">
        <v>40.64264</v>
      </c>
      <c r="M5088">
        <v>0.1405014</v>
      </c>
      <c r="N5088">
        <v>0</v>
      </c>
      <c r="O5088">
        <v>-0.98998399999999998</v>
      </c>
      <c r="P5088">
        <v>0.14539279999999999</v>
      </c>
      <c r="Q5088">
        <v>3.9423359999999899E-3</v>
      </c>
      <c r="R5088">
        <v>-0.98936650000000004</v>
      </c>
      <c r="S5088">
        <v>0.44552609999999898</v>
      </c>
      <c r="T5088">
        <v>-0.52500999999999998</v>
      </c>
      <c r="U5088">
        <v>-2.9678650000000002</v>
      </c>
      <c r="V5088">
        <v>-5.0391790000000004E-3</v>
      </c>
      <c r="W5088">
        <v>1.7739149999999999E-2</v>
      </c>
      <c r="X5088">
        <v>0.99982990000000005</v>
      </c>
      <c r="Y5088">
        <v>-5.8214879999999997E-3</v>
      </c>
      <c r="Z5088">
        <v>0.1707079</v>
      </c>
      <c r="AA5088">
        <v>0.98530450000000003</v>
      </c>
      <c r="AB5088">
        <v>23</v>
      </c>
      <c r="AC5088">
        <v>9.1000000000008199E-2</v>
      </c>
      <c r="AD5088">
        <v>-0.148643</v>
      </c>
      <c r="AE5088">
        <v>-0.62265000000000004</v>
      </c>
      <c r="AF5088">
        <v>-2.46789162652506E-3</v>
      </c>
      <c r="AG5088">
        <v>-0.148643</v>
      </c>
      <c r="AH5088">
        <v>0.59600321104033605</v>
      </c>
      <c r="AI5088">
        <v>104.00375013577499</v>
      </c>
      <c r="AJ5088">
        <v>90.237245309676794</v>
      </c>
      <c r="AK5088">
        <v>0.61426432381220997</v>
      </c>
      <c r="AL5088">
        <v>88.983568209094898</v>
      </c>
      <c r="AM5088">
        <v>90.2887703640707</v>
      </c>
      <c r="AN5088">
        <v>0.99999994985086205</v>
      </c>
    </row>
    <row r="5089" spans="1:40" x14ac:dyDescent="0.25">
      <c r="A5089" t="str">
        <f>"20190312161116552"</f>
        <v>20190312161116552</v>
      </c>
      <c r="B5089" t="str">
        <f>"1552378276542267"</f>
        <v>1552378276542267</v>
      </c>
      <c r="C5089" t="s">
        <v>40</v>
      </c>
      <c r="D5089">
        <v>5.2461209999999996</v>
      </c>
      <c r="E5089">
        <v>0.47407480000000002</v>
      </c>
      <c r="F5089" t="s">
        <v>42</v>
      </c>
      <c r="G5089">
        <v>-422.10149999999999</v>
      </c>
      <c r="H5089">
        <v>0.98388039999999999</v>
      </c>
      <c r="I5089">
        <v>39.817329999999998</v>
      </c>
      <c r="J5089">
        <v>-422.22899999999998</v>
      </c>
      <c r="K5089">
        <v>1.112943</v>
      </c>
      <c r="L5089">
        <v>40.426909999999999</v>
      </c>
      <c r="M5089">
        <v>0.1445177</v>
      </c>
      <c r="N5089">
        <v>0</v>
      </c>
      <c r="O5089">
        <v>-0.9894058</v>
      </c>
      <c r="P5089">
        <v>0.15021489999999901</v>
      </c>
      <c r="Q5089">
        <v>4.7420309999999999E-3</v>
      </c>
      <c r="R5089">
        <v>-0.98864209999999997</v>
      </c>
      <c r="S5089">
        <v>0.58197019999999899</v>
      </c>
      <c r="T5089">
        <v>-0.46107480000000001</v>
      </c>
      <c r="U5089">
        <v>-2.948547</v>
      </c>
      <c r="V5089">
        <v>-5.863404E-3</v>
      </c>
      <c r="W5089">
        <v>1.8533899999999999E-2</v>
      </c>
      <c r="X5089">
        <v>0.99981109999999895</v>
      </c>
      <c r="Y5089">
        <v>-4.7579549999999998E-2</v>
      </c>
      <c r="Z5089">
        <v>0.15059049999999999</v>
      </c>
      <c r="AA5089">
        <v>0.98745059999999996</v>
      </c>
      <c r="AB5089">
        <v>23</v>
      </c>
      <c r="AC5089">
        <v>0.12750000000005399</v>
      </c>
      <c r="AD5089">
        <v>-0.1290626</v>
      </c>
      <c r="AE5089">
        <v>-0.60958000000000101</v>
      </c>
      <c r="AF5089">
        <v>-3.6490570953174303E-2</v>
      </c>
      <c r="AG5089">
        <v>-0.1290626</v>
      </c>
      <c r="AH5089">
        <v>0.59600982249561096</v>
      </c>
      <c r="AI5089">
        <v>102.196280386407</v>
      </c>
      <c r="AJ5089">
        <v>93.503548276533706</v>
      </c>
      <c r="AK5089">
        <v>0.61091441708188399</v>
      </c>
      <c r="AL5089">
        <v>88.938025011192806</v>
      </c>
      <c r="AM5089">
        <v>90.336007923389104</v>
      </c>
      <c r="AN5089">
        <v>1.0000000603194401</v>
      </c>
    </row>
    <row r="5090" spans="1:40" x14ac:dyDescent="0.25">
      <c r="A5090" t="str">
        <f>"20190312161116575"</f>
        <v>20190312161116575</v>
      </c>
      <c r="B5090" t="str">
        <f>"1552378276561786"</f>
        <v>1552378276561786</v>
      </c>
      <c r="C5090" t="s">
        <v>40</v>
      </c>
      <c r="D5090">
        <v>5.3024829999999996</v>
      </c>
      <c r="E5090">
        <v>0.4698367</v>
      </c>
      <c r="F5090" t="s">
        <v>78</v>
      </c>
      <c r="G5090">
        <v>-420.3143</v>
      </c>
      <c r="H5090" s="1">
        <v>-4.5703199999999998E-6</v>
      </c>
      <c r="I5090">
        <v>31.921569999999999</v>
      </c>
      <c r="J5090">
        <v>-422.1902</v>
      </c>
      <c r="K5090">
        <v>1.112968</v>
      </c>
      <c r="L5090">
        <v>40.196660000000001</v>
      </c>
      <c r="M5090">
        <v>0.14886279999999999</v>
      </c>
      <c r="N5090">
        <v>0</v>
      </c>
      <c r="O5090">
        <v>-0.98876140000000001</v>
      </c>
      <c r="P5090">
        <v>0.15507079999999901</v>
      </c>
      <c r="Q5090">
        <v>4.3078429999999996E-3</v>
      </c>
      <c r="R5090">
        <v>-0.98789439999999995</v>
      </c>
      <c r="S5090">
        <v>0.66091919999999904</v>
      </c>
      <c r="T5090">
        <v>-0.38416860000000003</v>
      </c>
      <c r="U5090">
        <v>-2.935883</v>
      </c>
      <c r="V5090">
        <v>-6.3816790000000003E-3</v>
      </c>
      <c r="W5090">
        <v>1.8097189999999999E-2</v>
      </c>
      <c r="X5090">
        <v>0.99981589999999998</v>
      </c>
      <c r="Y5090">
        <v>-7.0166110000000004E-2</v>
      </c>
      <c r="Z5090">
        <v>0.12589539999999999</v>
      </c>
      <c r="AA5090">
        <v>0.98955899999999997</v>
      </c>
      <c r="AB5090">
        <v>23</v>
      </c>
      <c r="AC5090">
        <v>1.8758999999999999</v>
      </c>
      <c r="AD5090">
        <v>-1.11297257032</v>
      </c>
      <c r="AE5090">
        <v>-8.2750899999999898</v>
      </c>
      <c r="AF5090">
        <v>-0.61248592362274701</v>
      </c>
      <c r="AG5090">
        <v>-1.11297257032</v>
      </c>
      <c r="AH5090">
        <v>8.3190180478840006</v>
      </c>
      <c r="AI5090">
        <v>97.599826016794907</v>
      </c>
      <c r="AJ5090">
        <v>94.210792120167895</v>
      </c>
      <c r="AK5090">
        <v>8.4154565075187993</v>
      </c>
      <c r="AL5090">
        <v>88.963050820386798</v>
      </c>
      <c r="AM5090">
        <v>90.365705633899495</v>
      </c>
      <c r="AN5090">
        <v>1.0000000340027799</v>
      </c>
    </row>
    <row r="5091" spans="1:40" x14ac:dyDescent="0.25">
      <c r="A5091" t="str">
        <f>"20190312161116597"</f>
        <v>20190312161116597</v>
      </c>
      <c r="B5091" t="str">
        <f>"1552378276592042"</f>
        <v>1552378276592042</v>
      </c>
      <c r="C5091" t="s">
        <v>40</v>
      </c>
      <c r="D5091">
        <v>5.2554349999999896</v>
      </c>
      <c r="E5091">
        <v>0.46871990000000002</v>
      </c>
      <c r="F5091" t="s">
        <v>78</v>
      </c>
      <c r="G5091">
        <v>-419.96800000000002</v>
      </c>
      <c r="H5091" s="1">
        <v>-5.0116259999999999E-6</v>
      </c>
      <c r="I5091">
        <v>31.016030000000001</v>
      </c>
      <c r="J5091">
        <v>-422.15219999999999</v>
      </c>
      <c r="K5091">
        <v>1.1129880000000001</v>
      </c>
      <c r="L5091">
        <v>39.97681</v>
      </c>
      <c r="M5091">
        <v>0.15306729999999999</v>
      </c>
      <c r="N5091">
        <v>0</v>
      </c>
      <c r="O5091">
        <v>-0.98811890000000002</v>
      </c>
      <c r="P5091">
        <v>0.15873129999999999</v>
      </c>
      <c r="Q5091">
        <v>3.875777E-3</v>
      </c>
      <c r="R5091">
        <v>-0.98731420000000003</v>
      </c>
      <c r="S5091">
        <v>0.70852660000000001</v>
      </c>
      <c r="T5091">
        <v>-0.35485339999999999</v>
      </c>
      <c r="U5091">
        <v>-2.9270939999999999</v>
      </c>
      <c r="V5091">
        <v>-5.8325069999999998E-3</v>
      </c>
      <c r="W5091">
        <v>1.7669540000000001E-2</v>
      </c>
      <c r="X5091">
        <v>0.99982680000000002</v>
      </c>
      <c r="Y5091">
        <v>-8.2089570000000001E-2</v>
      </c>
      <c r="Z5091">
        <v>0.11638759999999999</v>
      </c>
      <c r="AA5091">
        <v>0.98980559999999995</v>
      </c>
      <c r="AB5091">
        <v>23</v>
      </c>
      <c r="AC5091">
        <v>2.1841999999999699</v>
      </c>
      <c r="AD5091">
        <v>-1.1129930116259901</v>
      </c>
      <c r="AE5091">
        <v>-8.9607799999999997</v>
      </c>
      <c r="AF5091">
        <v>-0.77543023206004202</v>
      </c>
      <c r="AG5091">
        <v>-1.1129930116259901</v>
      </c>
      <c r="AH5091">
        <v>9.0576262854639999</v>
      </c>
      <c r="AI5091">
        <v>96.980057280811394</v>
      </c>
      <c r="AJ5091">
        <v>94.893203837760197</v>
      </c>
      <c r="AK5091">
        <v>9.1586374213552801</v>
      </c>
      <c r="AL5091">
        <v>88.987557174012906</v>
      </c>
      <c r="AM5091">
        <v>90.334232133478906</v>
      </c>
      <c r="AN5091">
        <v>0.99999993038997503</v>
      </c>
    </row>
    <row r="5092" spans="1:40" x14ac:dyDescent="0.25">
      <c r="A5092" t="str">
        <f>"20190312161116622"</f>
        <v>20190312161116622</v>
      </c>
      <c r="B5092" t="str">
        <f>"1552378276612538"</f>
        <v>1552378276612538</v>
      </c>
      <c r="C5092" t="s">
        <v>40</v>
      </c>
      <c r="D5092">
        <v>5.2407550000000001</v>
      </c>
      <c r="E5092">
        <v>0.4678737</v>
      </c>
      <c r="F5092" t="s">
        <v>78</v>
      </c>
      <c r="G5092">
        <v>-419.7525</v>
      </c>
      <c r="H5092" s="1">
        <v>-5.3979800000000001E-6</v>
      </c>
      <c r="I5092">
        <v>30.345929999999999</v>
      </c>
      <c r="J5092">
        <v>-422.11</v>
      </c>
      <c r="K5092">
        <v>1.11302099999999</v>
      </c>
      <c r="L5092">
        <v>39.739620000000002</v>
      </c>
      <c r="M5092">
        <v>0.1576642</v>
      </c>
      <c r="N5092">
        <v>0</v>
      </c>
      <c r="O5092">
        <v>-0.9873961</v>
      </c>
      <c r="P5092">
        <v>0.16319220000000001</v>
      </c>
      <c r="Q5092">
        <v>4.4954649999999997E-3</v>
      </c>
      <c r="R5092">
        <v>-0.98658420000000002</v>
      </c>
      <c r="S5092">
        <v>0.72824100000000003</v>
      </c>
      <c r="T5092">
        <v>-0.33777269999999998</v>
      </c>
      <c r="U5092">
        <v>-2.9227910000000001</v>
      </c>
      <c r="V5092">
        <v>-5.7041959999999999E-3</v>
      </c>
      <c r="W5092">
        <v>1.8291229999999999E-2</v>
      </c>
      <c r="X5092">
        <v>0.99981640000000005</v>
      </c>
      <c r="Y5092">
        <v>-8.42363E-2</v>
      </c>
      <c r="Z5092">
        <v>0.1107966</v>
      </c>
      <c r="AA5092">
        <v>0.9902668</v>
      </c>
      <c r="AB5092">
        <v>23</v>
      </c>
      <c r="AC5092">
        <v>2.3575000000000101</v>
      </c>
      <c r="AD5092">
        <v>-1.1130263979799999</v>
      </c>
      <c r="AE5092">
        <v>-9.3936899999999994</v>
      </c>
      <c r="AF5092">
        <v>-0.83578019667887304</v>
      </c>
      <c r="AG5092">
        <v>-1.1130263979799999</v>
      </c>
      <c r="AH5092">
        <v>9.5221461938799603</v>
      </c>
      <c r="AI5092">
        <v>96.641641447118602</v>
      </c>
      <c r="AJ5092">
        <v>95.016124488958297</v>
      </c>
      <c r="AK5092">
        <v>9.6233374895294794</v>
      </c>
      <c r="AL5092">
        <v>88.951931240353105</v>
      </c>
      <c r="AM5092">
        <v>90.326882826027003</v>
      </c>
      <c r="AN5092">
        <v>0.99999997032793897</v>
      </c>
    </row>
    <row r="5093" spans="1:40" x14ac:dyDescent="0.25">
      <c r="A5093" t="str">
        <f>"20190312161116641"</f>
        <v>20190312161116641</v>
      </c>
      <c r="B5093" t="str">
        <f>"1552378276632058"</f>
        <v>1552378276632058</v>
      </c>
      <c r="C5093" t="s">
        <v>40</v>
      </c>
      <c r="D5093">
        <v>5.2133139999999996</v>
      </c>
      <c r="E5093">
        <v>0.46746680000000002</v>
      </c>
      <c r="F5093" t="s">
        <v>78</v>
      </c>
      <c r="G5093">
        <v>-419.43970000000002</v>
      </c>
      <c r="H5093" s="1">
        <v>-7.4356539999999998E-6</v>
      </c>
      <c r="I5093">
        <v>29.321680000000001</v>
      </c>
      <c r="J5093">
        <v>-422.07400000000001</v>
      </c>
      <c r="K5093">
        <v>1.1130500000000001</v>
      </c>
      <c r="L5093">
        <v>39.542299999999997</v>
      </c>
      <c r="M5093">
        <v>0.16154760000000001</v>
      </c>
      <c r="N5093">
        <v>0</v>
      </c>
      <c r="O5093">
        <v>-0.98676819999999998</v>
      </c>
      <c r="P5093">
        <v>0.1666096</v>
      </c>
      <c r="Q5093">
        <v>4.9523969999999999E-3</v>
      </c>
      <c r="R5093">
        <v>-0.98601079999999997</v>
      </c>
      <c r="S5093">
        <v>0.7480774</v>
      </c>
      <c r="T5093">
        <v>-0.31180099999999999</v>
      </c>
      <c r="U5093">
        <v>-2.9184570000000001</v>
      </c>
      <c r="V5093">
        <v>-5.239797E-3</v>
      </c>
      <c r="W5093">
        <v>1.8751779999999999E-2</v>
      </c>
      <c r="X5093">
        <v>0.99981050000000005</v>
      </c>
      <c r="Y5093">
        <v>-8.7214550000000002E-2</v>
      </c>
      <c r="Z5093">
        <v>0.10232529999999999</v>
      </c>
      <c r="AA5093">
        <v>0.99092040000000003</v>
      </c>
      <c r="AB5093">
        <v>22</v>
      </c>
      <c r="AC5093">
        <v>2.6342999999999899</v>
      </c>
      <c r="AD5093">
        <v>-1.1130574356539999</v>
      </c>
      <c r="AE5093">
        <v>-10.22062</v>
      </c>
      <c r="AF5093">
        <v>-0.93798593345563197</v>
      </c>
      <c r="AG5093">
        <v>-1.1130574356539999</v>
      </c>
      <c r="AH5093">
        <v>10.396332407718599</v>
      </c>
      <c r="AI5093">
        <v>96.086416908900802</v>
      </c>
      <c r="AJ5093">
        <v>95.155425671742293</v>
      </c>
      <c r="AK5093">
        <v>10.4977350889707</v>
      </c>
      <c r="AL5093">
        <v>88.9255392375414</v>
      </c>
      <c r="AM5093">
        <v>90.300272406685295</v>
      </c>
      <c r="AN5093">
        <v>1.0000000603179999</v>
      </c>
    </row>
    <row r="5094" spans="1:40" x14ac:dyDescent="0.25">
      <c r="A5094" t="str">
        <f>"20190312161116663"</f>
        <v>20190312161116663</v>
      </c>
      <c r="B5094" t="str">
        <f>"1552378276652555"</f>
        <v>1552378276652555</v>
      </c>
      <c r="C5094" t="s">
        <v>40</v>
      </c>
      <c r="D5094">
        <v>5.216666</v>
      </c>
      <c r="E5094">
        <v>0.46711989999999998</v>
      </c>
      <c r="F5094" t="s">
        <v>78</v>
      </c>
      <c r="G5094">
        <v>-419.20460000000003</v>
      </c>
      <c r="H5094" s="1">
        <v>-7.4312780000000001E-6</v>
      </c>
      <c r="I5094">
        <v>28.54926</v>
      </c>
      <c r="J5094">
        <v>-422.03480000000002</v>
      </c>
      <c r="K5094">
        <v>1.113078</v>
      </c>
      <c r="L5094">
        <v>39.333010000000002</v>
      </c>
      <c r="M5094">
        <v>0.1657284</v>
      </c>
      <c r="N5094">
        <v>0</v>
      </c>
      <c r="O5094">
        <v>-0.98607440000000002</v>
      </c>
      <c r="P5094">
        <v>0.1698827</v>
      </c>
      <c r="Q5094">
        <v>4.0643459999999999E-3</v>
      </c>
      <c r="R5094">
        <v>-0.985456</v>
      </c>
      <c r="S5094">
        <v>0.7609863</v>
      </c>
      <c r="T5094">
        <v>-0.29519450000000003</v>
      </c>
      <c r="U5094">
        <v>-2.9154659999999999</v>
      </c>
      <c r="V5094">
        <v>-4.3168829999999997E-3</v>
      </c>
      <c r="W5094">
        <v>1.7871689999999999E-2</v>
      </c>
      <c r="X5094">
        <v>0.99983100000000003</v>
      </c>
      <c r="Y5094">
        <v>-8.7488199999999905E-2</v>
      </c>
      <c r="Z5094">
        <v>9.6869880000000005E-2</v>
      </c>
      <c r="AA5094">
        <v>0.9914444</v>
      </c>
      <c r="AB5094">
        <v>22</v>
      </c>
      <c r="AC5094">
        <v>2.8301999999999898</v>
      </c>
      <c r="AD5094">
        <v>-1.1130854312780001</v>
      </c>
      <c r="AE5094">
        <v>-10.7837499999999</v>
      </c>
      <c r="AF5094">
        <v>-0.99380438778815094</v>
      </c>
      <c r="AG5094">
        <v>-1.1130854312780001</v>
      </c>
      <c r="AH5094">
        <v>10.9941026205417</v>
      </c>
      <c r="AI5094">
        <v>95.757829508415398</v>
      </c>
      <c r="AJ5094">
        <v>95.165174887491105</v>
      </c>
      <c r="AK5094">
        <v>11.094904180276201</v>
      </c>
      <c r="AL5094">
        <v>88.975973104805306</v>
      </c>
      <c r="AM5094">
        <v>90.247379446747999</v>
      </c>
      <c r="AN5094">
        <v>1.0000000306716399</v>
      </c>
    </row>
    <row r="5095" spans="1:40" x14ac:dyDescent="0.25">
      <c r="A5095" t="str">
        <f>"20190312161116687"</f>
        <v>20190312161116687</v>
      </c>
      <c r="B5095" t="str">
        <f>"1552378276681835"</f>
        <v>1552378276681835</v>
      </c>
      <c r="C5095" t="s">
        <v>40</v>
      </c>
      <c r="D5095">
        <v>5.1799030000000004</v>
      </c>
      <c r="E5095">
        <v>0.46739439999999999</v>
      </c>
      <c r="F5095" t="s">
        <v>78</v>
      </c>
      <c r="G5095">
        <v>-419.02269999999999</v>
      </c>
      <c r="H5095" s="1">
        <v>-7.4324420000000001E-6</v>
      </c>
      <c r="I5095">
        <v>27.992100000000001</v>
      </c>
      <c r="J5095">
        <v>-421.99040000000002</v>
      </c>
      <c r="K5095">
        <v>1.1131180000000001</v>
      </c>
      <c r="L5095">
        <v>39.102200000000003</v>
      </c>
      <c r="M5095">
        <v>0.17043239999999901</v>
      </c>
      <c r="N5095">
        <v>0</v>
      </c>
      <c r="O5095">
        <v>-0.98527220000000004</v>
      </c>
      <c r="P5095">
        <v>0.1727754</v>
      </c>
      <c r="Q5095">
        <v>3.2654200000000002E-3</v>
      </c>
      <c r="R5095">
        <v>-0.98495569999999999</v>
      </c>
      <c r="S5095">
        <v>0.7734375</v>
      </c>
      <c r="T5095">
        <v>-0.28581699999999999</v>
      </c>
      <c r="U5095">
        <v>-2.9121090000000001</v>
      </c>
      <c r="V5095">
        <v>-2.4771070000000001E-3</v>
      </c>
      <c r="W5095">
        <v>1.708693E-2</v>
      </c>
      <c r="X5095">
        <v>0.99985089999999999</v>
      </c>
      <c r="Y5095">
        <v>-8.7054270000000003E-2</v>
      </c>
      <c r="Z5095">
        <v>9.3762899999999996E-2</v>
      </c>
      <c r="AA5095">
        <v>0.99178120000000003</v>
      </c>
      <c r="AB5095">
        <v>22</v>
      </c>
      <c r="AC5095">
        <v>2.96770000000003</v>
      </c>
      <c r="AD5095">
        <v>-1.1131254324419999</v>
      </c>
      <c r="AE5095">
        <v>-11.110099999999999</v>
      </c>
      <c r="AF5095">
        <v>-1.0210035995537201</v>
      </c>
      <c r="AG5095">
        <v>-1.1131254324419999</v>
      </c>
      <c r="AH5095">
        <v>11.3470444841657</v>
      </c>
      <c r="AI5095">
        <v>95.580289380093205</v>
      </c>
      <c r="AJ5095">
        <v>95.141610501303106</v>
      </c>
      <c r="AK5095">
        <v>11.447135672485301</v>
      </c>
      <c r="AL5095">
        <v>89.020943342361406</v>
      </c>
      <c r="AM5095">
        <v>90.141948650668198</v>
      </c>
      <c r="AN5095">
        <v>0.99999996073336095</v>
      </c>
    </row>
    <row r="5096" spans="1:40" x14ac:dyDescent="0.25">
      <c r="A5096" t="str">
        <f>"20190312161116709"</f>
        <v>20190312161116709</v>
      </c>
      <c r="B5096" t="str">
        <f>"1552378276702334"</f>
        <v>1552378276702334</v>
      </c>
      <c r="C5096" t="s">
        <v>40</v>
      </c>
      <c r="D5096">
        <v>5.2176439999999999</v>
      </c>
      <c r="E5096">
        <v>0.46695510000000001</v>
      </c>
      <c r="F5096" t="s">
        <v>78</v>
      </c>
      <c r="G5096">
        <v>-419.01119999999997</v>
      </c>
      <c r="H5096" s="1">
        <v>-7.4365059999999996E-6</v>
      </c>
      <c r="I5096">
        <v>27.99212</v>
      </c>
      <c r="J5096">
        <v>-421.94799999999998</v>
      </c>
      <c r="K5096">
        <v>1.1131599999999999</v>
      </c>
      <c r="L5096">
        <v>38.887970000000003</v>
      </c>
      <c r="M5096">
        <v>0.17488329999999999</v>
      </c>
      <c r="N5096">
        <v>0</v>
      </c>
      <c r="O5096">
        <v>-0.98449189999999998</v>
      </c>
      <c r="P5096">
        <v>0.17588309999999999</v>
      </c>
      <c r="Q5096">
        <v>2.6715110000000001E-3</v>
      </c>
      <c r="R5096">
        <v>-0.98440740000000004</v>
      </c>
      <c r="S5096">
        <v>0.780304</v>
      </c>
      <c r="T5096">
        <v>-0.29154570000000002</v>
      </c>
      <c r="U5096">
        <v>-2.9099119999999998</v>
      </c>
      <c r="V5096">
        <v>-1.1111809999999999E-3</v>
      </c>
      <c r="W5096">
        <v>1.6505269999999999E-2</v>
      </c>
      <c r="X5096">
        <v>0.9998631</v>
      </c>
      <c r="Y5096">
        <v>-8.4876919999999995E-2</v>
      </c>
      <c r="Z5096">
        <v>9.5561789999999994E-2</v>
      </c>
      <c r="AA5096">
        <v>0.99179830000000002</v>
      </c>
      <c r="AB5096">
        <v>22</v>
      </c>
      <c r="AC5096">
        <v>2.9368000000000598</v>
      </c>
      <c r="AD5096">
        <v>-1.113167436506</v>
      </c>
      <c r="AE5096">
        <v>-10.895849999999999</v>
      </c>
      <c r="AF5096">
        <v>-0.97634753712142996</v>
      </c>
      <c r="AG5096">
        <v>-1.113167436506</v>
      </c>
      <c r="AH5096">
        <v>11.1332166382827</v>
      </c>
      <c r="AI5096">
        <v>95.688120255892002</v>
      </c>
      <c r="AJ5096">
        <v>95.011834869193393</v>
      </c>
      <c r="AK5096">
        <v>11.2312469908677</v>
      </c>
      <c r="AL5096">
        <v>89.054274688284593</v>
      </c>
      <c r="AM5096">
        <v>90.063674672427297</v>
      </c>
      <c r="AN5096">
        <v>0.999999938701297</v>
      </c>
    </row>
    <row r="5097" spans="1:40" x14ac:dyDescent="0.25">
      <c r="A5097" t="str">
        <f>"20190312161116730"</f>
        <v>20190312161116730</v>
      </c>
      <c r="B5097" t="str">
        <f>"1552378276721854"</f>
        <v>1552378276721854</v>
      </c>
      <c r="C5097" t="s">
        <v>40</v>
      </c>
      <c r="D5097">
        <v>5.2646990000000002</v>
      </c>
      <c r="E5097">
        <v>0.41791319999999998</v>
      </c>
      <c r="F5097" t="s">
        <v>78</v>
      </c>
      <c r="G5097">
        <v>-418.87</v>
      </c>
      <c r="H5097" s="1">
        <v>-7.4424649999999902E-6</v>
      </c>
      <c r="I5097">
        <v>27.604600000000001</v>
      </c>
      <c r="J5097">
        <v>-421.90589999999997</v>
      </c>
      <c r="K5097">
        <v>1.1132089999999999</v>
      </c>
      <c r="L5097">
        <v>38.680480000000003</v>
      </c>
      <c r="M5097">
        <v>0.1792667</v>
      </c>
      <c r="N5097">
        <v>0</v>
      </c>
      <c r="O5097">
        <v>-0.98370310000000005</v>
      </c>
      <c r="P5097">
        <v>0.1792464</v>
      </c>
      <c r="Q5097">
        <v>2.2729730000000002E-3</v>
      </c>
      <c r="R5097">
        <v>-0.98380179999999995</v>
      </c>
      <c r="S5097">
        <v>0.79290769999999899</v>
      </c>
      <c r="T5097">
        <v>-0.28675709999999999</v>
      </c>
      <c r="U5097">
        <v>-2.906647</v>
      </c>
      <c r="V5097" s="1">
        <v>-7.3350589999999995E-5</v>
      </c>
      <c r="W5097">
        <v>1.6116700000000001E-2</v>
      </c>
      <c r="X5097">
        <v>0.99987009999999998</v>
      </c>
      <c r="Y5097">
        <v>-8.4765289999999993E-2</v>
      </c>
      <c r="Z5097">
        <v>9.3944169999999994E-2</v>
      </c>
      <c r="AA5097">
        <v>0.99196240000000002</v>
      </c>
      <c r="AB5097">
        <v>22</v>
      </c>
      <c r="AC5097">
        <v>3.0358999999999599</v>
      </c>
      <c r="AD5097">
        <v>-1.113216442465</v>
      </c>
      <c r="AE5097">
        <v>-11.0758799999999</v>
      </c>
      <c r="AF5097">
        <v>-0.99166605371810701</v>
      </c>
      <c r="AG5097">
        <v>-1.113216442465</v>
      </c>
      <c r="AH5097">
        <v>11.3342138085786</v>
      </c>
      <c r="AI5097">
        <v>95.588235890188002</v>
      </c>
      <c r="AJ5097">
        <v>95.000255027207501</v>
      </c>
      <c r="AK5097">
        <v>11.4318439050069</v>
      </c>
      <c r="AL5097">
        <v>89.076541115883302</v>
      </c>
      <c r="AM5097">
        <v>90.004203225223193</v>
      </c>
      <c r="AN5097">
        <v>0.99999998513660404</v>
      </c>
    </row>
    <row r="5098" spans="1:40" x14ac:dyDescent="0.25">
      <c r="A5098" t="str">
        <f>"20190312161116754"</f>
        <v>20190312161116754</v>
      </c>
      <c r="B5098" t="str">
        <f>"1552378276742347"</f>
        <v>1552378276742347</v>
      </c>
      <c r="C5098" t="s">
        <v>40</v>
      </c>
      <c r="D5098">
        <v>5.261946</v>
      </c>
      <c r="E5098">
        <v>0.39652559999999998</v>
      </c>
      <c r="F5098" t="s">
        <v>78</v>
      </c>
      <c r="G5098">
        <v>-416.24110000000002</v>
      </c>
      <c r="H5098" s="1">
        <v>-8.0895870000000007E-6</v>
      </c>
      <c r="I5098">
        <v>25.153790000000001</v>
      </c>
      <c r="J5098">
        <v>-421.86130000000003</v>
      </c>
      <c r="K5098">
        <v>1.113256</v>
      </c>
      <c r="L5098">
        <v>38.465580000000003</v>
      </c>
      <c r="M5098">
        <v>0.18389140000000001</v>
      </c>
      <c r="N5098">
        <v>0</v>
      </c>
      <c r="O5098">
        <v>-0.98284910000000003</v>
      </c>
      <c r="P5098">
        <v>0.1829162</v>
      </c>
      <c r="Q5098">
        <v>2.5434540000000001E-3</v>
      </c>
      <c r="R5098">
        <v>-0.98312529999999998</v>
      </c>
      <c r="S5098">
        <v>1.1867369999999999</v>
      </c>
      <c r="T5098">
        <v>-0.2332079</v>
      </c>
      <c r="U5098">
        <v>-2.83371</v>
      </c>
      <c r="V5098">
        <v>8.9462179999999904E-4</v>
      </c>
      <c r="W5098">
        <v>1.6397040000000002E-2</v>
      </c>
      <c r="X5098">
        <v>0.99986520000000001</v>
      </c>
      <c r="Y5098">
        <v>-0.20893600000000001</v>
      </c>
      <c r="Z5098">
        <v>7.5877330000000007E-2</v>
      </c>
      <c r="AA5098">
        <v>0.97498119999999999</v>
      </c>
      <c r="AB5098">
        <v>22</v>
      </c>
      <c r="AC5098">
        <v>5.6202000000000103</v>
      </c>
      <c r="AD5098">
        <v>-1.1132640895870001</v>
      </c>
      <c r="AE5098">
        <v>-13.311789999999901</v>
      </c>
      <c r="AF5098">
        <v>-3.05802740829153</v>
      </c>
      <c r="AG5098">
        <v>-1.1132640895870001</v>
      </c>
      <c r="AH5098">
        <v>14.035029469920699</v>
      </c>
      <c r="AI5098">
        <v>94.431681973314795</v>
      </c>
      <c r="AJ5098">
        <v>102.291800695041</v>
      </c>
      <c r="AK5098">
        <v>14.407391880023599</v>
      </c>
      <c r="AL5098">
        <v>89.0604767460499</v>
      </c>
      <c r="AM5098">
        <v>89.948735049762703</v>
      </c>
      <c r="AN5098">
        <v>1.0000000407199801</v>
      </c>
    </row>
    <row r="5099" spans="1:40" x14ac:dyDescent="0.25">
      <c r="A5099" t="str">
        <f>"20190312161116776"</f>
        <v>20190312161116776</v>
      </c>
      <c r="B5099" t="str">
        <f>"1552378276772603"</f>
        <v>1552378276772603</v>
      </c>
      <c r="C5099" t="s">
        <v>40</v>
      </c>
      <c r="D5099">
        <v>5.2881349999999996</v>
      </c>
      <c r="E5099">
        <v>0.38658340000000002</v>
      </c>
      <c r="F5099" t="s">
        <v>78</v>
      </c>
      <c r="G5099">
        <v>-414.26229999999998</v>
      </c>
      <c r="H5099" s="1">
        <v>-8.5596750000000003E-6</v>
      </c>
      <c r="I5099">
        <v>22.88683</v>
      </c>
      <c r="J5099">
        <v>-421.8141</v>
      </c>
      <c r="K5099">
        <v>1.113307</v>
      </c>
      <c r="L5099">
        <v>38.244169999999997</v>
      </c>
      <c r="M5099">
        <v>0.18876009999999999</v>
      </c>
      <c r="N5099">
        <v>0</v>
      </c>
      <c r="O5099">
        <v>-0.98192559999999995</v>
      </c>
      <c r="P5099">
        <v>0.18740109999999999</v>
      </c>
      <c r="Q5099">
        <v>3.051294E-3</v>
      </c>
      <c r="R5099">
        <v>-0.98227889999999995</v>
      </c>
      <c r="S5099">
        <v>1.364838</v>
      </c>
      <c r="T5099">
        <v>-0.19995089999999999</v>
      </c>
      <c r="U5099">
        <v>-2.7980649999999998</v>
      </c>
      <c r="V5099">
        <v>1.2809049999999999E-3</v>
      </c>
      <c r="W5099">
        <v>1.691148E-2</v>
      </c>
      <c r="X5099">
        <v>0.99985619999999997</v>
      </c>
      <c r="Y5099">
        <v>-0.2599284</v>
      </c>
      <c r="Z5099">
        <v>6.4546779999999998E-2</v>
      </c>
      <c r="AA5099">
        <v>0.9634682</v>
      </c>
      <c r="AB5099">
        <v>22</v>
      </c>
      <c r="AC5099">
        <v>7.5518000000000098</v>
      </c>
      <c r="AD5099">
        <v>-1.113315559675</v>
      </c>
      <c r="AE5099">
        <v>-15.357340000000001</v>
      </c>
      <c r="AF5099">
        <v>-4.4978506547452604</v>
      </c>
      <c r="AG5099">
        <v>-1.113315559675</v>
      </c>
      <c r="AH5099">
        <v>16.437263145264801</v>
      </c>
      <c r="AI5099">
        <v>93.737792765248201</v>
      </c>
      <c r="AJ5099">
        <v>105.30364607800099</v>
      </c>
      <c r="AK5099">
        <v>17.077873162501401</v>
      </c>
      <c r="AL5099">
        <v>89.030997406965298</v>
      </c>
      <c r="AM5099">
        <v>89.926599034633099</v>
      </c>
      <c r="AN5099">
        <v>1.00000002977592</v>
      </c>
    </row>
    <row r="5100" spans="1:40" x14ac:dyDescent="0.25">
      <c r="A5100" t="str">
        <f>"20190312161116810"</f>
        <v>20190312161116810</v>
      </c>
      <c r="B5100" t="str">
        <f>"1552378276801882"</f>
        <v>1552378276801882</v>
      </c>
      <c r="C5100" t="s">
        <v>40</v>
      </c>
      <c r="D5100">
        <v>5.3114610000000004</v>
      </c>
      <c r="E5100">
        <v>0.38359890000000002</v>
      </c>
      <c r="F5100" t="s">
        <v>78</v>
      </c>
      <c r="G5100">
        <v>-413.15660000000003</v>
      </c>
      <c r="H5100" s="1">
        <v>-8.8449870000000003E-6</v>
      </c>
      <c r="I5100">
        <v>21.71847</v>
      </c>
      <c r="J5100">
        <v>-421.74169999999998</v>
      </c>
      <c r="K5100">
        <v>1.1134040000000001</v>
      </c>
      <c r="L5100">
        <v>37.916170000000001</v>
      </c>
      <c r="M5100">
        <v>0.1961939</v>
      </c>
      <c r="N5100">
        <v>0</v>
      </c>
      <c r="O5100">
        <v>-0.98046730000000004</v>
      </c>
      <c r="P5100">
        <v>0.19587679999999999</v>
      </c>
      <c r="Q5100">
        <v>3.118708E-3</v>
      </c>
      <c r="R5100">
        <v>-0.98062360000000004</v>
      </c>
      <c r="S5100">
        <v>1.454895</v>
      </c>
      <c r="T5100">
        <v>-0.18709390000000001</v>
      </c>
      <c r="U5100">
        <v>-2.777161</v>
      </c>
      <c r="V5100">
        <v>2.1681700000000001E-4</v>
      </c>
      <c r="W5100">
        <v>1.697918E-2</v>
      </c>
      <c r="X5100">
        <v>0.99985579999999996</v>
      </c>
      <c r="Y5100">
        <v>-0.28037980000000001</v>
      </c>
      <c r="Z5100">
        <v>6.008761E-2</v>
      </c>
      <c r="AA5100">
        <v>0.95800660000000004</v>
      </c>
      <c r="AB5100">
        <v>22</v>
      </c>
      <c r="AC5100">
        <v>8.5850999999999509</v>
      </c>
      <c r="AD5100">
        <v>-1.113412844987</v>
      </c>
      <c r="AE5100">
        <v>-16.197700000000001</v>
      </c>
      <c r="AF5100">
        <v>-5.2207642154120704</v>
      </c>
      <c r="AG5100">
        <v>-1.113412844987</v>
      </c>
      <c r="AH5100">
        <v>17.502780454780499</v>
      </c>
      <c r="AI5100">
        <v>93.488400495383601</v>
      </c>
      <c r="AJ5100">
        <v>106.608894595382</v>
      </c>
      <c r="AK5100">
        <v>18.298726480401701</v>
      </c>
      <c r="AL5100">
        <v>89.027117877524503</v>
      </c>
      <c r="AM5100">
        <v>89.987575509556507</v>
      </c>
      <c r="AN5100">
        <v>0.999999980178361</v>
      </c>
    </row>
    <row r="5101" spans="1:40" x14ac:dyDescent="0.25">
      <c r="A5101" t="str">
        <f>"20190312161116842"</f>
        <v>20190312161116842</v>
      </c>
      <c r="B5101" t="str">
        <f>"1552378276832139"</f>
        <v>1552378276832139</v>
      </c>
      <c r="C5101" t="s">
        <v>40</v>
      </c>
      <c r="D5101">
        <v>5.343</v>
      </c>
      <c r="E5101">
        <v>0.3827081</v>
      </c>
      <c r="F5101" t="s">
        <v>78</v>
      </c>
      <c r="G5101">
        <v>-412.7115</v>
      </c>
      <c r="H5101" s="1">
        <v>-8.9679639999999994E-6</v>
      </c>
      <c r="I5101">
        <v>21.329470000000001</v>
      </c>
      <c r="J5101">
        <v>-421.67099999999999</v>
      </c>
      <c r="K5101">
        <v>1.113497</v>
      </c>
      <c r="L5101">
        <v>37.607300000000002</v>
      </c>
      <c r="M5101">
        <v>0.2034377</v>
      </c>
      <c r="N5101">
        <v>0</v>
      </c>
      <c r="O5101">
        <v>-0.97898960000000002</v>
      </c>
      <c r="P5101">
        <v>0.2045507</v>
      </c>
      <c r="Q5101">
        <v>3.327109E-3</v>
      </c>
      <c r="R5101">
        <v>-0.97885040000000001</v>
      </c>
      <c r="S5101">
        <v>1.502472</v>
      </c>
      <c r="T5101">
        <v>-0.18525230000000001</v>
      </c>
      <c r="U5101">
        <v>-2.759735</v>
      </c>
      <c r="V5101">
        <v>-1.248477E-3</v>
      </c>
      <c r="W5101">
        <v>1.7185140000000002E-2</v>
      </c>
      <c r="X5101">
        <v>0.9998515</v>
      </c>
      <c r="Y5101">
        <v>-0.2886087</v>
      </c>
      <c r="Z5101">
        <v>5.9392029999999998E-2</v>
      </c>
      <c r="AA5101">
        <v>0.95560330000000004</v>
      </c>
      <c r="AB5101">
        <v>22</v>
      </c>
      <c r="AC5101">
        <v>8.9594999999999896</v>
      </c>
      <c r="AD5101">
        <v>-1.113505967964</v>
      </c>
      <c r="AE5101">
        <v>-16.277829999999899</v>
      </c>
      <c r="AF5101">
        <v>-5.4407187207850098</v>
      </c>
      <c r="AG5101">
        <v>-1.113505967964</v>
      </c>
      <c r="AH5101">
        <v>17.696679735739998</v>
      </c>
      <c r="AI5101">
        <v>93.441822602177794</v>
      </c>
      <c r="AJ5101">
        <v>107.08967447824099</v>
      </c>
      <c r="AK5101">
        <v>18.547608724812601</v>
      </c>
      <c r="AL5101">
        <v>89.015315491528298</v>
      </c>
      <c r="AM5101">
        <v>90.071543049885307</v>
      </c>
      <c r="AN5101">
        <v>0.99999995489194304</v>
      </c>
    </row>
    <row r="5102" spans="1:40" x14ac:dyDescent="0.25">
      <c r="A5102" t="str">
        <f>"20190312161116865"</f>
        <v>20190312161116865</v>
      </c>
      <c r="B5102" t="str">
        <f>"1552378276862395"</f>
        <v>1552378276862395</v>
      </c>
      <c r="C5102" t="s">
        <v>40</v>
      </c>
      <c r="D5102">
        <v>5.3794259999999996</v>
      </c>
      <c r="E5102">
        <v>0.38231470000000001</v>
      </c>
      <c r="F5102" t="s">
        <v>78</v>
      </c>
      <c r="G5102">
        <v>-412.62310000000002</v>
      </c>
      <c r="H5102" s="1">
        <v>-9.0090449999999994E-6</v>
      </c>
      <c r="I5102">
        <v>21.419090000000001</v>
      </c>
      <c r="J5102">
        <v>-421.62049999999999</v>
      </c>
      <c r="K5102">
        <v>1.113567</v>
      </c>
      <c r="L5102">
        <v>37.39423</v>
      </c>
      <c r="M5102">
        <v>0.20858460000000001</v>
      </c>
      <c r="N5102">
        <v>0</v>
      </c>
      <c r="O5102">
        <v>-0.97790600000000005</v>
      </c>
      <c r="P5102">
        <v>0.2104885</v>
      </c>
      <c r="Q5102">
        <v>3.1762470000000001E-3</v>
      </c>
      <c r="R5102">
        <v>-0.97759130000000005</v>
      </c>
      <c r="S5102">
        <v>1.534149</v>
      </c>
      <c r="T5102">
        <v>-0.1888061</v>
      </c>
      <c r="U5102">
        <v>-2.7448730000000001</v>
      </c>
      <c r="V5102">
        <v>-2.0599379999999999E-3</v>
      </c>
      <c r="W5102">
        <v>1.7034009999999999E-2</v>
      </c>
      <c r="X5102">
        <v>0.99985279999999999</v>
      </c>
      <c r="Y5102">
        <v>-0.29414990000000002</v>
      </c>
      <c r="Z5102">
        <v>6.0501329999999999E-2</v>
      </c>
      <c r="AA5102">
        <v>0.95384250000000004</v>
      </c>
      <c r="AB5102">
        <v>22</v>
      </c>
      <c r="AC5102">
        <v>8.9973999999999705</v>
      </c>
      <c r="AD5102">
        <v>-1.113576009045</v>
      </c>
      <c r="AE5102">
        <v>-15.97514</v>
      </c>
      <c r="AF5102">
        <v>-5.4468760510384104</v>
      </c>
      <c r="AG5102">
        <v>-1.113576009045</v>
      </c>
      <c r="AH5102">
        <v>17.436266775515499</v>
      </c>
      <c r="AI5102">
        <v>93.488450692532794</v>
      </c>
      <c r="AJ5102">
        <v>107.348164905443</v>
      </c>
      <c r="AK5102">
        <v>18.301145027299299</v>
      </c>
      <c r="AL5102">
        <v>89.023975925803597</v>
      </c>
      <c r="AM5102">
        <v>90.118042962392593</v>
      </c>
      <c r="AN5102">
        <v>1.00000001125454</v>
      </c>
    </row>
    <row r="5103" spans="1:40" x14ac:dyDescent="0.25">
      <c r="A5103" t="str">
        <f>"20190312161116887"</f>
        <v>20190312161116887</v>
      </c>
      <c r="B5103" t="str">
        <f>"1552378276881915"</f>
        <v>1552378276881915</v>
      </c>
      <c r="C5103" t="s">
        <v>40</v>
      </c>
      <c r="D5103">
        <v>5.429373</v>
      </c>
      <c r="E5103">
        <v>0.38190590000000002</v>
      </c>
      <c r="F5103" t="s">
        <v>78</v>
      </c>
      <c r="G5103">
        <v>-412.62790000000001</v>
      </c>
      <c r="H5103" s="1">
        <v>-9.0223729999999997E-6</v>
      </c>
      <c r="I5103">
        <v>21.569880000000001</v>
      </c>
      <c r="J5103">
        <v>-421.56799999999998</v>
      </c>
      <c r="K5103">
        <v>1.1136490000000001</v>
      </c>
      <c r="L5103">
        <v>37.178620000000002</v>
      </c>
      <c r="M5103">
        <v>0.21395459999999999</v>
      </c>
      <c r="N5103">
        <v>0</v>
      </c>
      <c r="O5103">
        <v>-0.97674510000000003</v>
      </c>
      <c r="P5103">
        <v>0.21623539999999999</v>
      </c>
      <c r="Q5103">
        <v>3.6082459999999998E-3</v>
      </c>
      <c r="R5103">
        <v>-0.97633479999999995</v>
      </c>
      <c r="S5103">
        <v>1.554108</v>
      </c>
      <c r="T5103">
        <v>-0.19244890000000001</v>
      </c>
      <c r="U5103">
        <v>-2.734772</v>
      </c>
      <c r="V5103">
        <v>-2.4551600000000001E-3</v>
      </c>
      <c r="W5103">
        <v>1.7469299999999899E-2</v>
      </c>
      <c r="X5103">
        <v>0.99984439999999997</v>
      </c>
      <c r="Y5103">
        <v>-0.29564170000000001</v>
      </c>
      <c r="Z5103">
        <v>6.1634029999999999E-2</v>
      </c>
      <c r="AA5103">
        <v>0.95330859999999995</v>
      </c>
      <c r="AB5103">
        <v>22</v>
      </c>
      <c r="AC5103">
        <v>8.9401000000000295</v>
      </c>
      <c r="AD5103">
        <v>-1.1136580223729999</v>
      </c>
      <c r="AE5103">
        <v>-15.608739999999999</v>
      </c>
      <c r="AF5103">
        <v>-5.3725624701508696</v>
      </c>
      <c r="AG5103">
        <v>-1.1136580223729999</v>
      </c>
      <c r="AH5103">
        <v>17.094661325770399</v>
      </c>
      <c r="AI5103">
        <v>93.556326265617301</v>
      </c>
      <c r="AJ5103">
        <v>107.447050012156</v>
      </c>
      <c r="AK5103">
        <v>17.953609874597898</v>
      </c>
      <c r="AL5103">
        <v>88.999031936817204</v>
      </c>
      <c r="AM5103">
        <v>90.140691914959604</v>
      </c>
      <c r="AN5103">
        <v>1.0000000142322301</v>
      </c>
    </row>
    <row r="5104" spans="1:40" x14ac:dyDescent="0.25">
      <c r="A5104" t="str">
        <f>"20190312161116911"</f>
        <v>20190312161116911</v>
      </c>
      <c r="B5104" t="str">
        <f>"1552378276902410"</f>
        <v>1552378276902410</v>
      </c>
      <c r="C5104" t="s">
        <v>40</v>
      </c>
      <c r="D5104">
        <v>5.427772</v>
      </c>
      <c r="E5104">
        <v>0.38168269999999999</v>
      </c>
      <c r="F5104" t="s">
        <v>78</v>
      </c>
      <c r="G5104">
        <v>-412.34359999999998</v>
      </c>
      <c r="H5104" s="1">
        <v>-9.0890349999999996E-6</v>
      </c>
      <c r="I5104">
        <v>21.20223</v>
      </c>
      <c r="J5104">
        <v>-421.51339999999999</v>
      </c>
      <c r="K5104">
        <v>1.1137280000000001</v>
      </c>
      <c r="L5104">
        <v>36.960450000000002</v>
      </c>
      <c r="M5104">
        <v>0.21953039999999999</v>
      </c>
      <c r="N5104">
        <v>0</v>
      </c>
      <c r="O5104">
        <v>-0.97550689999999995</v>
      </c>
      <c r="P5104">
        <v>0.2221156</v>
      </c>
      <c r="Q5104">
        <v>3.2312510000000001E-3</v>
      </c>
      <c r="R5104">
        <v>-0.97501519999999997</v>
      </c>
      <c r="S5104">
        <v>1.573334</v>
      </c>
      <c r="T5104">
        <v>-0.18994630000000001</v>
      </c>
      <c r="U5104">
        <v>-2.724945</v>
      </c>
      <c r="V5104">
        <v>-2.7693639999999999E-3</v>
      </c>
      <c r="W5104">
        <v>1.7098370000000002E-2</v>
      </c>
      <c r="X5104">
        <v>0.99985000000000002</v>
      </c>
      <c r="Y5104">
        <v>-0.29674669999999997</v>
      </c>
      <c r="Z5104">
        <v>6.0799760000000001E-2</v>
      </c>
      <c r="AA5104">
        <v>0.95301880000000005</v>
      </c>
      <c r="AB5104">
        <v>22</v>
      </c>
      <c r="AC5104">
        <v>9.1698000000000093</v>
      </c>
      <c r="AD5104">
        <v>-1.113737089035</v>
      </c>
      <c r="AE5104">
        <v>-15.75822</v>
      </c>
      <c r="AF5104">
        <v>-5.4659267666796101</v>
      </c>
      <c r="AG5104">
        <v>-1.113737089035</v>
      </c>
      <c r="AH5104">
        <v>17.322337341529099</v>
      </c>
      <c r="AI5104">
        <v>93.508687182656701</v>
      </c>
      <c r="AJ5104">
        <v>107.51267943741701</v>
      </c>
      <c r="AK5104">
        <v>18.1983553294228</v>
      </c>
      <c r="AL5104">
        <v>89.020287843922105</v>
      </c>
      <c r="AM5104">
        <v>90.158696267815102</v>
      </c>
      <c r="AN5104">
        <v>1.00000002306681</v>
      </c>
    </row>
    <row r="5105" spans="1:40" x14ac:dyDescent="0.25">
      <c r="A5105" t="str">
        <f>"20190312161116932"</f>
        <v>20190312161116932</v>
      </c>
      <c r="B5105" t="str">
        <f>"1552378276921931"</f>
        <v>1552378276921931</v>
      </c>
      <c r="C5105" t="s">
        <v>40</v>
      </c>
      <c r="D5105">
        <v>5.4826360000000003</v>
      </c>
      <c r="E5105">
        <v>0.3819476</v>
      </c>
      <c r="F5105" t="s">
        <v>78</v>
      </c>
      <c r="G5105">
        <v>-412.22719999999998</v>
      </c>
      <c r="H5105" s="1">
        <v>-9.1226690000000001E-6</v>
      </c>
      <c r="I5105">
        <v>21.115539999999999</v>
      </c>
      <c r="J5105">
        <v>-421.4615</v>
      </c>
      <c r="K5105">
        <v>1.113801</v>
      </c>
      <c r="L5105">
        <v>36.758299999999998</v>
      </c>
      <c r="M5105">
        <v>0.22482170000000001</v>
      </c>
      <c r="N5105">
        <v>0</v>
      </c>
      <c r="O5105">
        <v>-0.97430090000000003</v>
      </c>
      <c r="P5105">
        <v>0.2272719</v>
      </c>
      <c r="Q5105">
        <v>2.293373E-3</v>
      </c>
      <c r="R5105">
        <v>-0.9738289</v>
      </c>
      <c r="S5105">
        <v>1.5911869999999999</v>
      </c>
      <c r="T5105">
        <v>-0.19083890000000001</v>
      </c>
      <c r="U5105">
        <v>-2.7150270000000001</v>
      </c>
      <c r="V5105">
        <v>-2.628282E-3</v>
      </c>
      <c r="W5105">
        <v>1.6169619999999999E-2</v>
      </c>
      <c r="X5105">
        <v>0.99986580000000003</v>
      </c>
      <c r="Y5105">
        <v>-0.29774010000000001</v>
      </c>
      <c r="Z5105">
        <v>6.1059740000000001E-2</v>
      </c>
      <c r="AA5105">
        <v>0.95269230000000005</v>
      </c>
      <c r="AB5105">
        <v>22</v>
      </c>
      <c r="AC5105">
        <v>9.2343000000000099</v>
      </c>
      <c r="AD5105">
        <v>-1.113810122669</v>
      </c>
      <c r="AE5105">
        <v>-15.642760000000001</v>
      </c>
      <c r="AF5105">
        <v>-5.4601553016664504</v>
      </c>
      <c r="AG5105">
        <v>-1.113810122669</v>
      </c>
      <c r="AH5105">
        <v>17.2536291152296</v>
      </c>
      <c r="AI5105">
        <v>93.521924145977906</v>
      </c>
      <c r="AJ5105">
        <v>107.560713018711</v>
      </c>
      <c r="AK5105">
        <v>18.131232350658699</v>
      </c>
      <c r="AL5105">
        <v>89.073508633683105</v>
      </c>
      <c r="AM5105">
        <v>90.150609330900096</v>
      </c>
      <c r="AN5105">
        <v>0.99999999124342798</v>
      </c>
    </row>
    <row r="5106" spans="1:40" x14ac:dyDescent="0.25">
      <c r="A5106" t="str">
        <f>"20190312161116955"</f>
        <v>20190312161116955</v>
      </c>
      <c r="B5106" t="str">
        <f>"1552378276952186"</f>
        <v>1552378276952186</v>
      </c>
      <c r="C5106" t="s">
        <v>40</v>
      </c>
      <c r="D5106">
        <v>6.3341089999999998</v>
      </c>
      <c r="E5106">
        <v>0.3820482</v>
      </c>
      <c r="F5106" t="s">
        <v>78</v>
      </c>
      <c r="G5106">
        <v>-412.34820000000002</v>
      </c>
      <c r="H5106" s="1">
        <v>-9.1046310000000007E-6</v>
      </c>
      <c r="I5106">
        <v>21.375150000000001</v>
      </c>
      <c r="J5106">
        <v>-421.40499999999997</v>
      </c>
      <c r="K5106">
        <v>1.1138749999999999</v>
      </c>
      <c r="L5106">
        <v>36.543880000000001</v>
      </c>
      <c r="M5106">
        <v>0.2305788</v>
      </c>
      <c r="N5106">
        <v>0</v>
      </c>
      <c r="O5106">
        <v>-0.97295430000000005</v>
      </c>
      <c r="P5106">
        <v>0.2328626</v>
      </c>
      <c r="Q5106">
        <v>1.6991790000000001E-3</v>
      </c>
      <c r="R5106">
        <v>-0.97250829999999999</v>
      </c>
      <c r="S5106">
        <v>1.603607</v>
      </c>
      <c r="T5106">
        <v>-0.1959882</v>
      </c>
      <c r="U5106">
        <v>-2.7068479999999999</v>
      </c>
      <c r="V5106">
        <v>-2.4576200000000002E-3</v>
      </c>
      <c r="W5106">
        <v>1.5585089999999999E-2</v>
      </c>
      <c r="X5106">
        <v>0.99987550000000003</v>
      </c>
      <c r="Y5106">
        <v>-0.29654069999999999</v>
      </c>
      <c r="Z5106">
        <v>6.2677769999999994E-2</v>
      </c>
      <c r="AA5106">
        <v>0.95296119999999995</v>
      </c>
      <c r="AB5106">
        <v>22</v>
      </c>
      <c r="AC5106">
        <v>9.0567999999999493</v>
      </c>
      <c r="AD5106">
        <v>-1.113884104631</v>
      </c>
      <c r="AE5106">
        <v>-15.168729999999901</v>
      </c>
      <c r="AF5106">
        <v>-5.2937348694496498</v>
      </c>
      <c r="AG5106">
        <v>-1.113884104631</v>
      </c>
      <c r="AH5106">
        <v>16.7817046291884</v>
      </c>
      <c r="AI5106">
        <v>93.622001074813099</v>
      </c>
      <c r="AJ5106">
        <v>107.507712773102</v>
      </c>
      <c r="AK5106">
        <v>17.6320723945854</v>
      </c>
      <c r="AL5106">
        <v>89.107003944327502</v>
      </c>
      <c r="AM5106">
        <v>90.140828503230907</v>
      </c>
      <c r="AN5106">
        <v>0.99999997521331097</v>
      </c>
    </row>
    <row r="5107" spans="1:40" x14ac:dyDescent="0.25">
      <c r="A5107" t="str">
        <f>"20190312161117022"</f>
        <v>20190312161117022</v>
      </c>
      <c r="B5107" t="str">
        <f>"1552378277012699"</f>
        <v>1552378277012699</v>
      </c>
      <c r="C5107" t="s">
        <v>40</v>
      </c>
      <c r="D5107">
        <v>5.5699969999999999</v>
      </c>
      <c r="E5107">
        <v>0.3824246</v>
      </c>
      <c r="F5107" t="s">
        <v>78</v>
      </c>
      <c r="G5107">
        <v>-412.34730000000002</v>
      </c>
      <c r="H5107" s="1">
        <v>-9.1119E-6</v>
      </c>
      <c r="I5107">
        <v>21.444759999999999</v>
      </c>
      <c r="J5107">
        <v>-421.23129999999998</v>
      </c>
      <c r="K5107">
        <v>1.114134</v>
      </c>
      <c r="L5107">
        <v>35.918209999999902</v>
      </c>
      <c r="M5107">
        <v>0.24830559999999999</v>
      </c>
      <c r="N5107">
        <v>0</v>
      </c>
      <c r="O5107">
        <v>-0.96858169999999999</v>
      </c>
      <c r="P5107">
        <v>0.25141590000000003</v>
      </c>
      <c r="Q5107">
        <v>2.0096480000000002E-3</v>
      </c>
      <c r="R5107">
        <v>-0.9678774</v>
      </c>
      <c r="S5107">
        <v>1.6182859999999999</v>
      </c>
      <c r="T5107">
        <v>-0.1990104</v>
      </c>
      <c r="U5107">
        <v>-2.6976619999999998</v>
      </c>
      <c r="V5107">
        <v>-3.3334419999999998E-3</v>
      </c>
      <c r="W5107">
        <v>1.591884E-2</v>
      </c>
      <c r="X5107">
        <v>0.99986770000000003</v>
      </c>
      <c r="Y5107">
        <v>-0.28429779999999999</v>
      </c>
      <c r="Z5107">
        <v>6.343994E-2</v>
      </c>
      <c r="AA5107">
        <v>0.95663480000000001</v>
      </c>
      <c r="AB5107">
        <v>22</v>
      </c>
      <c r="AC5107">
        <v>8.8839999999999506</v>
      </c>
      <c r="AD5107">
        <v>-1.1141431119</v>
      </c>
      <c r="AE5107">
        <v>-14.4734499999999</v>
      </c>
      <c r="AF5107">
        <v>-4.9900494014279699</v>
      </c>
      <c r="AG5107">
        <v>-1.1141431119</v>
      </c>
      <c r="AH5107">
        <v>16.1566990651949</v>
      </c>
      <c r="AI5107">
        <v>93.769634563616705</v>
      </c>
      <c r="AJ5107">
        <v>107.16347463815799</v>
      </c>
      <c r="AK5107">
        <v>16.9464106106796</v>
      </c>
      <c r="AL5107">
        <v>89.087879099234996</v>
      </c>
      <c r="AM5107">
        <v>90.191016721756895</v>
      </c>
      <c r="AN5107">
        <v>0.99999996940290103</v>
      </c>
    </row>
    <row r="5108" spans="1:40" x14ac:dyDescent="0.25">
      <c r="A5108" t="str">
        <f>"20190312161117043"</f>
        <v>20190312161117043</v>
      </c>
      <c r="B5108" t="str">
        <f>"1552378277032219"</f>
        <v>1552378277032219</v>
      </c>
      <c r="C5108" t="s">
        <v>40</v>
      </c>
      <c r="D5108">
        <v>5.5708869999999999</v>
      </c>
      <c r="E5108">
        <v>0.38262200000000002</v>
      </c>
      <c r="F5108" t="s">
        <v>78</v>
      </c>
      <c r="G5108">
        <v>-411.92829999999998</v>
      </c>
      <c r="H5108" s="1">
        <v>-9.2229510000000006E-6</v>
      </c>
      <c r="I5108">
        <v>21.031490000000002</v>
      </c>
      <c r="J5108">
        <v>-421.17250000000001</v>
      </c>
      <c r="K5108">
        <v>1.1142209999999999</v>
      </c>
      <c r="L5108">
        <v>35.717289999999998</v>
      </c>
      <c r="M5108">
        <v>0.25430190000000003</v>
      </c>
      <c r="N5108">
        <v>0</v>
      </c>
      <c r="O5108">
        <v>-0.96702429999999995</v>
      </c>
      <c r="P5108">
        <v>0.2586792</v>
      </c>
      <c r="Q5108">
        <v>2.250588E-3</v>
      </c>
      <c r="R5108">
        <v>-0.96596079999999995</v>
      </c>
      <c r="S5108">
        <v>1.66668699999999</v>
      </c>
      <c r="T5108">
        <v>-0.1996059</v>
      </c>
      <c r="U5108">
        <v>-2.6670530000000001</v>
      </c>
      <c r="V5108">
        <v>-4.6550380000000002E-3</v>
      </c>
      <c r="W5108">
        <v>1.6157700000000001E-2</v>
      </c>
      <c r="X5108">
        <v>0.99985860000000004</v>
      </c>
      <c r="Y5108">
        <v>-0.29574489999999998</v>
      </c>
      <c r="Z5108">
        <v>6.3701129999999995E-2</v>
      </c>
      <c r="AA5108">
        <v>0.95314069999999995</v>
      </c>
      <c r="AB5108">
        <v>22</v>
      </c>
      <c r="AC5108">
        <v>9.2442000000000295</v>
      </c>
      <c r="AD5108">
        <v>-1.1142302229509999</v>
      </c>
      <c r="AE5108">
        <v>-14.6858</v>
      </c>
      <c r="AF5108">
        <v>-5.1838731543763998</v>
      </c>
      <c r="AG5108">
        <v>-1.1142302229509999</v>
      </c>
      <c r="AH5108">
        <v>16.4859839909738</v>
      </c>
      <c r="AI5108">
        <v>93.688996036696693</v>
      </c>
      <c r="AJ5108">
        <v>107.455297670867</v>
      </c>
      <c r="AK5108">
        <v>17.317670686932701</v>
      </c>
      <c r="AL5108">
        <v>89.074191678502601</v>
      </c>
      <c r="AM5108">
        <v>90.266749822268906</v>
      </c>
      <c r="AN5108">
        <v>0.999999980321015</v>
      </c>
    </row>
    <row r="5109" spans="1:40" x14ac:dyDescent="0.25">
      <c r="A5109" t="str">
        <f>"20190312161117067"</f>
        <v>20190312161117067</v>
      </c>
      <c r="B5109" t="str">
        <f>"1552378277062475"</f>
        <v>1552378277062475</v>
      </c>
      <c r="C5109" t="s">
        <v>40</v>
      </c>
      <c r="D5109">
        <v>5.1298879999999896</v>
      </c>
      <c r="E5109">
        <v>0.38297039999999999</v>
      </c>
      <c r="F5109" t="s">
        <v>78</v>
      </c>
      <c r="G5109">
        <v>-411.77370000000002</v>
      </c>
      <c r="H5109" s="1">
        <v>-9.2671180000000007E-6</v>
      </c>
      <c r="I5109">
        <v>20.910959999999999</v>
      </c>
      <c r="J5109">
        <v>-421.10950000000003</v>
      </c>
      <c r="K5109">
        <v>1.1143209999999999</v>
      </c>
      <c r="L5109">
        <v>35.508000000000003</v>
      </c>
      <c r="M5109">
        <v>0.26075310000000002</v>
      </c>
      <c r="N5109">
        <v>0</v>
      </c>
      <c r="O5109">
        <v>-0.96530470000000002</v>
      </c>
      <c r="P5109">
        <v>0.26589629999999997</v>
      </c>
      <c r="Q5109">
        <v>1.486067E-3</v>
      </c>
      <c r="R5109">
        <v>-0.96400079999999999</v>
      </c>
      <c r="S5109">
        <v>1.6852720000000001</v>
      </c>
      <c r="T5109">
        <v>-0.1997893</v>
      </c>
      <c r="U5109">
        <v>-2.6548769999999999</v>
      </c>
      <c r="V5109">
        <v>-5.4536919999999996E-3</v>
      </c>
      <c r="W5109">
        <v>1.5398200000000001E-2</v>
      </c>
      <c r="X5109">
        <v>0.99986649999999999</v>
      </c>
      <c r="Y5109">
        <v>-0.29609950000000002</v>
      </c>
      <c r="Z5109">
        <v>6.3723740000000001E-2</v>
      </c>
      <c r="AA5109">
        <v>0.95302900000000002</v>
      </c>
      <c r="AB5109">
        <v>22</v>
      </c>
      <c r="AC5109">
        <v>9.3358000000000008</v>
      </c>
      <c r="AD5109">
        <v>-1.114330267118</v>
      </c>
      <c r="AE5109">
        <v>-14.59704</v>
      </c>
      <c r="AF5109">
        <v>-5.1847312594524997</v>
      </c>
      <c r="AG5109">
        <v>-1.114330267118</v>
      </c>
      <c r="AH5109">
        <v>16.458467695566299</v>
      </c>
      <c r="AI5109">
        <v>93.694867560783507</v>
      </c>
      <c r="AJ5109">
        <v>107.485421547768</v>
      </c>
      <c r="AK5109">
        <v>17.291741643424999</v>
      </c>
      <c r="AL5109">
        <v>89.117713200360598</v>
      </c>
      <c r="AM5109">
        <v>90.312512156023601</v>
      </c>
      <c r="AN5109">
        <v>0.99999993257095798</v>
      </c>
    </row>
    <row r="5110" spans="1:40" x14ac:dyDescent="0.25">
      <c r="A5110" t="str">
        <f>"20190312161117089"</f>
        <v>20190312161117089</v>
      </c>
      <c r="B5110" t="str">
        <f>"1552378277081994"</f>
        <v>1552378277081994</v>
      </c>
      <c r="C5110" t="s">
        <v>40</v>
      </c>
      <c r="D5110">
        <v>5.360163</v>
      </c>
      <c r="E5110">
        <v>0.38333970000000001</v>
      </c>
      <c r="F5110" t="s">
        <v>78</v>
      </c>
      <c r="G5110">
        <v>-411.69009999999997</v>
      </c>
      <c r="H5110" s="1">
        <v>-9.2950339999999996E-6</v>
      </c>
      <c r="I5110">
        <v>20.886060000000001</v>
      </c>
      <c r="J5110">
        <v>-421.04390000000001</v>
      </c>
      <c r="K5110">
        <v>1.1144339999999999</v>
      </c>
      <c r="L5110">
        <v>35.296169999999996</v>
      </c>
      <c r="M5110">
        <v>0.26747690000000002</v>
      </c>
      <c r="N5110">
        <v>0</v>
      </c>
      <c r="O5110">
        <v>-0.96346310000000002</v>
      </c>
      <c r="P5110">
        <v>0.27295809999999998</v>
      </c>
      <c r="Q5110">
        <v>1.426994E-3</v>
      </c>
      <c r="R5110">
        <v>-0.96202489999999996</v>
      </c>
      <c r="S5110">
        <v>1.7024539999999999</v>
      </c>
      <c r="T5110">
        <v>-0.20140359999999999</v>
      </c>
      <c r="U5110">
        <v>-2.6427610000000001</v>
      </c>
      <c r="V5110">
        <v>-5.8179499999999997E-3</v>
      </c>
      <c r="W5110">
        <v>1.5350519999999999E-2</v>
      </c>
      <c r="X5110">
        <v>0.99986520000000001</v>
      </c>
      <c r="Y5110">
        <v>-0.29578949999999998</v>
      </c>
      <c r="Z5110">
        <v>6.420083E-2</v>
      </c>
      <c r="AA5110">
        <v>0.95309330000000003</v>
      </c>
      <c r="AB5110">
        <v>22</v>
      </c>
      <c r="AC5110">
        <v>9.3538000000000299</v>
      </c>
      <c r="AD5110">
        <v>-1.114443295034</v>
      </c>
      <c r="AE5110">
        <v>-14.41011</v>
      </c>
      <c r="AF5110">
        <v>-5.1365575599931796</v>
      </c>
      <c r="AG5110">
        <v>-1.114443295034</v>
      </c>
      <c r="AH5110">
        <v>16.318463311369399</v>
      </c>
      <c r="AI5110">
        <v>93.727121209790496</v>
      </c>
      <c r="AJ5110">
        <v>107.472421651077</v>
      </c>
      <c r="AK5110">
        <v>17.144050054449799</v>
      </c>
      <c r="AL5110">
        <v>89.120445403844201</v>
      </c>
      <c r="AM5110">
        <v>90.333385158730493</v>
      </c>
      <c r="AN5110">
        <v>0.99999995258875496</v>
      </c>
    </row>
    <row r="5111" spans="1:40" x14ac:dyDescent="0.25">
      <c r="A5111" t="str">
        <f>"20190312161117111"</f>
        <v>20190312161117111</v>
      </c>
      <c r="B5111" t="str">
        <f>"1552378277102494"</f>
        <v>1552378277102494</v>
      </c>
      <c r="C5111" t="s">
        <v>40</v>
      </c>
      <c r="D5111">
        <v>5.5927720000000001</v>
      </c>
      <c r="E5111">
        <v>0.38366460000000002</v>
      </c>
      <c r="F5111" t="s">
        <v>78</v>
      </c>
      <c r="G5111">
        <v>-411.6105</v>
      </c>
      <c r="H5111" s="1">
        <v>-9.3211490000000003E-6</v>
      </c>
      <c r="I5111">
        <v>20.85755</v>
      </c>
      <c r="J5111">
        <v>-420.98110000000003</v>
      </c>
      <c r="K5111">
        <v>1.114525</v>
      </c>
      <c r="L5111">
        <v>35.098750000000003</v>
      </c>
      <c r="M5111">
        <v>0.27389380000000002</v>
      </c>
      <c r="N5111">
        <v>0</v>
      </c>
      <c r="O5111">
        <v>-0.96165840000000002</v>
      </c>
      <c r="P5111">
        <v>0.27989550000000002</v>
      </c>
      <c r="Q5111">
        <v>2.6258050000000002E-3</v>
      </c>
      <c r="R5111">
        <v>-0.96002719999999997</v>
      </c>
      <c r="S5111">
        <v>1.7189639999999999</v>
      </c>
      <c r="T5111">
        <v>-0.20307449999999999</v>
      </c>
      <c r="U5111">
        <v>-2.6310120000000001</v>
      </c>
      <c r="V5111">
        <v>-6.3866169999999998E-3</v>
      </c>
      <c r="W5111">
        <v>1.6557240000000001E-2</v>
      </c>
      <c r="X5111">
        <v>0.99984249999999997</v>
      </c>
      <c r="Y5111">
        <v>-0.29554279999999999</v>
      </c>
      <c r="Z5111">
        <v>6.4693459999999994E-2</v>
      </c>
      <c r="AA5111">
        <v>0.95313650000000005</v>
      </c>
      <c r="AB5111">
        <v>22</v>
      </c>
      <c r="AC5111">
        <v>9.3706000000000191</v>
      </c>
      <c r="AD5111">
        <v>-1.114534321149</v>
      </c>
      <c r="AE5111">
        <v>-14.241199999999999</v>
      </c>
      <c r="AF5111">
        <v>-5.0894851641791403</v>
      </c>
      <c r="AG5111">
        <v>-1.114534321149</v>
      </c>
      <c r="AH5111">
        <v>16.194089263459102</v>
      </c>
      <c r="AI5111">
        <v>93.756495051375893</v>
      </c>
      <c r="AJ5111">
        <v>107.44691231609799</v>
      </c>
      <c r="AK5111">
        <v>17.011571739915802</v>
      </c>
      <c r="AL5111">
        <v>89.051296656714698</v>
      </c>
      <c r="AM5111">
        <v>90.365978864452302</v>
      </c>
      <c r="AN5111">
        <v>0.99999997793968598</v>
      </c>
    </row>
    <row r="5112" spans="1:40" x14ac:dyDescent="0.25">
      <c r="A5112" t="str">
        <f>"20190312161117132"</f>
        <v>20190312161117132</v>
      </c>
      <c r="B5112" t="str">
        <f>"1552378277122010"</f>
        <v>1552378277122010</v>
      </c>
      <c r="C5112" t="s">
        <v>40</v>
      </c>
      <c r="D5112">
        <v>5.5855220000000001</v>
      </c>
      <c r="E5112">
        <v>0.3840131</v>
      </c>
      <c r="F5112" t="s">
        <v>78</v>
      </c>
      <c r="G5112">
        <v>-411.38630000000001</v>
      </c>
      <c r="H5112" s="1">
        <v>-9.3783949999999995E-6</v>
      </c>
      <c r="I5112">
        <v>20.61469</v>
      </c>
      <c r="J5112">
        <v>-420.91699999999997</v>
      </c>
      <c r="K5112">
        <v>1.1146100000000001</v>
      </c>
      <c r="L5112">
        <v>34.901980000000002</v>
      </c>
      <c r="M5112">
        <v>0.2804314</v>
      </c>
      <c r="N5112">
        <v>0</v>
      </c>
      <c r="O5112">
        <v>-0.95977219999999996</v>
      </c>
      <c r="P5112">
        <v>0.28750350000000002</v>
      </c>
      <c r="Q5112">
        <v>2.5665800000000002E-3</v>
      </c>
      <c r="R5112">
        <v>-0.95777650000000003</v>
      </c>
      <c r="S5112">
        <v>1.7352909999999999</v>
      </c>
      <c r="T5112">
        <v>-0.20157059999999999</v>
      </c>
      <c r="U5112">
        <v>-2.6195369999999998</v>
      </c>
      <c r="V5112">
        <v>-7.5179769999999899E-3</v>
      </c>
      <c r="W5112">
        <v>1.6499070000000001E-2</v>
      </c>
      <c r="X5112">
        <v>0.99983560000000005</v>
      </c>
      <c r="Y5112">
        <v>-0.29511150000000003</v>
      </c>
      <c r="Z5112">
        <v>6.4167349999999998E-2</v>
      </c>
      <c r="AA5112">
        <v>0.95330570000000003</v>
      </c>
      <c r="AB5112">
        <v>22</v>
      </c>
      <c r="AC5112">
        <v>9.5306999999999604</v>
      </c>
      <c r="AD5112">
        <v>-1.114619378395</v>
      </c>
      <c r="AE5112">
        <v>-14.28729</v>
      </c>
      <c r="AF5112">
        <v>-5.1196349644165302</v>
      </c>
      <c r="AG5112">
        <v>-1.114619378395</v>
      </c>
      <c r="AH5112">
        <v>16.318121648242201</v>
      </c>
      <c r="AI5112">
        <v>93.728881980230796</v>
      </c>
      <c r="AJ5112">
        <v>107.41868762147401</v>
      </c>
      <c r="AK5112">
        <v>17.1386735967052</v>
      </c>
      <c r="AL5112">
        <v>89.054630012550206</v>
      </c>
      <c r="AM5112">
        <v>90.430811060225295</v>
      </c>
      <c r="AN5112">
        <v>0.99999998315819805</v>
      </c>
    </row>
    <row r="5113" spans="1:40" x14ac:dyDescent="0.25">
      <c r="A5113" t="str">
        <f>"20190312161117156"</f>
        <v>20190312161117156</v>
      </c>
      <c r="B5113" t="str">
        <f>"1552378277152267"</f>
        <v>1552378277152267</v>
      </c>
      <c r="C5113" t="s">
        <v>40</v>
      </c>
      <c r="D5113">
        <v>5.4039029999999997</v>
      </c>
      <c r="E5113">
        <v>0.3845981</v>
      </c>
      <c r="F5113" t="s">
        <v>78</v>
      </c>
      <c r="G5113">
        <v>-411.28930000000003</v>
      </c>
      <c r="H5113" s="1">
        <v>-9.4113389999999992E-6</v>
      </c>
      <c r="I5113">
        <v>20.591539999999998</v>
      </c>
      <c r="J5113">
        <v>-420.84829999999999</v>
      </c>
      <c r="K5113">
        <v>1.114684</v>
      </c>
      <c r="L5113">
        <v>34.696689999999997</v>
      </c>
      <c r="M5113">
        <v>0.28741230000000001</v>
      </c>
      <c r="N5113">
        <v>0</v>
      </c>
      <c r="O5113">
        <v>-0.95770440000000001</v>
      </c>
      <c r="P5113">
        <v>0.29635739999999999</v>
      </c>
      <c r="Q5113">
        <v>2.5799619999999999E-3</v>
      </c>
      <c r="R5113">
        <v>-0.95507370000000003</v>
      </c>
      <c r="S5113">
        <v>1.7535400000000001</v>
      </c>
      <c r="T5113">
        <v>-0.2030122</v>
      </c>
      <c r="U5113">
        <v>-2.6064449999999999</v>
      </c>
      <c r="V5113">
        <v>-9.4969860000000007E-3</v>
      </c>
      <c r="W5113">
        <v>1.6503839999999999E-2</v>
      </c>
      <c r="X5113">
        <v>0.99981869999999995</v>
      </c>
      <c r="Y5113">
        <v>-0.29495080000000001</v>
      </c>
      <c r="Z5113">
        <v>6.4573340000000007E-2</v>
      </c>
      <c r="AA5113">
        <v>0.95332799999999995</v>
      </c>
      <c r="AB5113">
        <v>22</v>
      </c>
      <c r="AC5113">
        <v>9.5589999999999602</v>
      </c>
      <c r="AD5113">
        <v>-1.1146934113389999</v>
      </c>
      <c r="AE5113">
        <v>-14.10515</v>
      </c>
      <c r="AF5113">
        <v>-5.0794649642477099</v>
      </c>
      <c r="AG5113">
        <v>-1.1146934113389999</v>
      </c>
      <c r="AH5113">
        <v>16.1882535556074</v>
      </c>
      <c r="AI5113">
        <v>93.758921951068203</v>
      </c>
      <c r="AJ5113">
        <v>107.420539437719</v>
      </c>
      <c r="AK5113">
        <v>17.003030874080601</v>
      </c>
      <c r="AL5113">
        <v>89.054356691497901</v>
      </c>
      <c r="AM5113">
        <v>90.544219518770007</v>
      </c>
      <c r="AN5113">
        <v>1.00000000117375</v>
      </c>
    </row>
    <row r="5114" spans="1:40" x14ac:dyDescent="0.25">
      <c r="A5114" t="str">
        <f>"20190312161117179"</f>
        <v>20190312161117179</v>
      </c>
      <c r="B5114" t="str">
        <f>"1552378277171786"</f>
        <v>1552378277171786</v>
      </c>
      <c r="C5114" t="s">
        <v>40</v>
      </c>
      <c r="D5114">
        <v>5.4597110000000004</v>
      </c>
      <c r="E5114">
        <v>0.39510089999999998</v>
      </c>
      <c r="F5114" t="s">
        <v>78</v>
      </c>
      <c r="G5114">
        <v>-411.13940000000002</v>
      </c>
      <c r="H5114" s="1">
        <v>-9.457866E-6</v>
      </c>
      <c r="I5114">
        <v>20.511579999999999</v>
      </c>
      <c r="J5114">
        <v>-420.77530000000002</v>
      </c>
      <c r="K5114">
        <v>1.11476</v>
      </c>
      <c r="L5114">
        <v>34.484340000000003</v>
      </c>
      <c r="M5114">
        <v>0.2948054</v>
      </c>
      <c r="N5114">
        <v>0</v>
      </c>
      <c r="O5114">
        <v>-0.95545420000000003</v>
      </c>
      <c r="P5114">
        <v>0.30533909999999997</v>
      </c>
      <c r="Q5114">
        <v>2.4266320000000002E-3</v>
      </c>
      <c r="R5114">
        <v>-0.9522408</v>
      </c>
      <c r="S5114">
        <v>1.7736209999999999</v>
      </c>
      <c r="T5114">
        <v>-0.20363249999999999</v>
      </c>
      <c r="U5114">
        <v>-2.5913390000000001</v>
      </c>
      <c r="V5114">
        <v>-1.118804E-2</v>
      </c>
      <c r="W5114">
        <v>1.63465E-2</v>
      </c>
      <c r="X5114">
        <v>0.99980380000000002</v>
      </c>
      <c r="Y5114">
        <v>-0.29517880000000002</v>
      </c>
      <c r="Z5114">
        <v>6.4724279999999995E-2</v>
      </c>
      <c r="AA5114">
        <v>0.95324719999999996</v>
      </c>
      <c r="AB5114">
        <v>22</v>
      </c>
      <c r="AC5114">
        <v>9.6358999999999906</v>
      </c>
      <c r="AD5114">
        <v>-1.1147694578659999</v>
      </c>
      <c r="AE5114">
        <v>-13.972759999999999</v>
      </c>
      <c r="AF5114">
        <v>-5.0660641458160001</v>
      </c>
      <c r="AG5114">
        <v>-1.1147694578659999</v>
      </c>
      <c r="AH5114">
        <v>16.123093773836601</v>
      </c>
      <c r="AI5114">
        <v>93.773856201491995</v>
      </c>
      <c r="AJ5114">
        <v>107.443327052714</v>
      </c>
      <c r="AK5114">
        <v>16.9369970689506</v>
      </c>
      <c r="AL5114">
        <v>89.0633728334452</v>
      </c>
      <c r="AM5114">
        <v>90.641126507274706</v>
      </c>
      <c r="AN5114">
        <v>1.00000000939786</v>
      </c>
    </row>
    <row r="5115" spans="1:40" x14ac:dyDescent="0.25">
      <c r="A5115" t="str">
        <f>"20190312161117201"</f>
        <v>20190312161117201</v>
      </c>
      <c r="B5115" t="str">
        <f>"1552378277192283"</f>
        <v>1552378277192283</v>
      </c>
      <c r="C5115" t="s">
        <v>40</v>
      </c>
      <c r="D5115">
        <v>5.6774849999999999</v>
      </c>
      <c r="E5115">
        <v>0.3955939</v>
      </c>
      <c r="F5115" t="s">
        <v>78</v>
      </c>
      <c r="G5115">
        <v>-412.50869999999998</v>
      </c>
      <c r="H5115" s="1">
        <v>-9.1067739999999995E-6</v>
      </c>
      <c r="I5115">
        <v>21.980969999999999</v>
      </c>
      <c r="J5115">
        <v>-420.70609999999999</v>
      </c>
      <c r="K5115">
        <v>1.114827</v>
      </c>
      <c r="L5115">
        <v>34.288539999999998</v>
      </c>
      <c r="M5115">
        <v>0.30177670000000001</v>
      </c>
      <c r="N5115">
        <v>0</v>
      </c>
      <c r="O5115">
        <v>-0.95327499999999998</v>
      </c>
      <c r="P5115">
        <v>0.31370999999999999</v>
      </c>
      <c r="Q5115">
        <v>2.526379E-3</v>
      </c>
      <c r="R5115">
        <v>-0.94951529999999995</v>
      </c>
      <c r="S5115">
        <v>1.7189029999999901</v>
      </c>
      <c r="T5115">
        <v>-0.23179910000000001</v>
      </c>
      <c r="U5115">
        <v>-2.5998839999999999</v>
      </c>
      <c r="V5115">
        <v>-1.2690699999999999E-2</v>
      </c>
      <c r="W5115">
        <v>1.6443289999999999E-2</v>
      </c>
      <c r="X5115">
        <v>0.99978420000000001</v>
      </c>
      <c r="Y5115">
        <v>-0.27247009999999899</v>
      </c>
      <c r="Z5115">
        <v>7.3831599999999997E-2</v>
      </c>
      <c r="AA5115">
        <v>0.95932729999999999</v>
      </c>
      <c r="AB5115">
        <v>22</v>
      </c>
      <c r="AC5115">
        <v>8.1974000000000107</v>
      </c>
      <c r="AD5115">
        <v>-1.114836106774</v>
      </c>
      <c r="AE5115">
        <v>-12.30757</v>
      </c>
      <c r="AF5115">
        <v>-4.07746896960768</v>
      </c>
      <c r="AG5115">
        <v>-1.114836106774</v>
      </c>
      <c r="AH5115">
        <v>14.1273920511405</v>
      </c>
      <c r="AI5115">
        <v>94.335774751464996</v>
      </c>
      <c r="AJ5115">
        <v>106.09927663132</v>
      </c>
      <c r="AK5115">
        <v>14.746247621334399</v>
      </c>
      <c r="AL5115">
        <v>89.057826365186102</v>
      </c>
      <c r="AM5115">
        <v>90.727241439338002</v>
      </c>
      <c r="AN5115">
        <v>0.99999994111107504</v>
      </c>
    </row>
    <row r="5116" spans="1:40" x14ac:dyDescent="0.25">
      <c r="A5116" t="str">
        <f>"20190312161117222"</f>
        <v>20190312161117222</v>
      </c>
      <c r="B5116" t="str">
        <f>"1552378277211803"</f>
        <v>1552378277211803</v>
      </c>
      <c r="C5116" t="s">
        <v>40</v>
      </c>
      <c r="D5116">
        <v>5.6208999999999998</v>
      </c>
      <c r="E5116">
        <v>0.39581660000000002</v>
      </c>
      <c r="F5116" t="s">
        <v>78</v>
      </c>
      <c r="G5116">
        <v>-412.47359999999998</v>
      </c>
      <c r="H5116" s="1">
        <v>-9.1251009999999995E-6</v>
      </c>
      <c r="I5116">
        <v>22.03661</v>
      </c>
      <c r="J5116">
        <v>-420.63720000000001</v>
      </c>
      <c r="K5116">
        <v>1.114906</v>
      </c>
      <c r="L5116">
        <v>34.098390000000002</v>
      </c>
      <c r="M5116">
        <v>0.30869029999999997</v>
      </c>
      <c r="N5116">
        <v>0</v>
      </c>
      <c r="O5116">
        <v>-0.95105859999999998</v>
      </c>
      <c r="P5116">
        <v>0.32175730000000002</v>
      </c>
      <c r="Q5116">
        <v>2.4020159999999999E-3</v>
      </c>
      <c r="R5116">
        <v>-0.94681939999999998</v>
      </c>
      <c r="S5116">
        <v>1.7376400000000001</v>
      </c>
      <c r="T5116">
        <v>-0.23530970000000001</v>
      </c>
      <c r="U5116">
        <v>-2.5860289999999999</v>
      </c>
      <c r="V5116">
        <v>-1.39183E-2</v>
      </c>
      <c r="W5116">
        <v>1.6318849999999999E-2</v>
      </c>
      <c r="X5116">
        <v>0.99977000000000005</v>
      </c>
      <c r="Y5116">
        <v>-0.27260430000000002</v>
      </c>
      <c r="Z5116">
        <v>7.4878710000000001E-2</v>
      </c>
      <c r="AA5116">
        <v>0.95920799999999995</v>
      </c>
      <c r="AB5116">
        <v>22</v>
      </c>
      <c r="AC5116">
        <v>8.1636000000000202</v>
      </c>
      <c r="AD5116">
        <v>-1.1149151251010001</v>
      </c>
      <c r="AE5116">
        <v>-12.061780000000001</v>
      </c>
      <c r="AF5116">
        <v>-4.0175653022055799</v>
      </c>
      <c r="AG5116">
        <v>-1.1149151251010001</v>
      </c>
      <c r="AH5116">
        <v>13.9113508143039</v>
      </c>
      <c r="AI5116">
        <v>94.402950910558801</v>
      </c>
      <c r="AJ5116">
        <v>106.10859272453899</v>
      </c>
      <c r="AK5116">
        <v>14.5227252322799</v>
      </c>
      <c r="AL5116">
        <v>89.064957300217102</v>
      </c>
      <c r="AM5116">
        <v>90.797591782006407</v>
      </c>
      <c r="AN5116">
        <v>1.0000000384201</v>
      </c>
    </row>
    <row r="5117" spans="1:40" x14ac:dyDescent="0.25">
      <c r="A5117" t="str">
        <f>"20190312161117244"</f>
        <v>20190312161117244</v>
      </c>
      <c r="B5117" t="str">
        <f>"1552378277232299"</f>
        <v>1552378277232299</v>
      </c>
      <c r="C5117" t="s">
        <v>40</v>
      </c>
      <c r="D5117">
        <v>5.6351079999999998</v>
      </c>
      <c r="E5117">
        <v>0.39617059999999998</v>
      </c>
      <c r="F5117" t="s">
        <v>78</v>
      </c>
      <c r="G5117">
        <v>-412.56110000000001</v>
      </c>
      <c r="H5117" s="1">
        <v>-9.1183459999999996E-6</v>
      </c>
      <c r="I5117">
        <v>22.28754</v>
      </c>
      <c r="J5117">
        <v>-420.56420000000003</v>
      </c>
      <c r="K5117">
        <v>1.1149899999999999</v>
      </c>
      <c r="L5117">
        <v>33.902009999999997</v>
      </c>
      <c r="M5117">
        <v>0.31597649999999999</v>
      </c>
      <c r="N5117">
        <v>0</v>
      </c>
      <c r="O5117">
        <v>-0.94866260000000002</v>
      </c>
      <c r="P5117">
        <v>0.33002209999999899</v>
      </c>
      <c r="Q5117">
        <v>2.6001039999999998E-3</v>
      </c>
      <c r="R5117">
        <v>-0.94396979999999997</v>
      </c>
      <c r="S5117">
        <v>1.75839199999999</v>
      </c>
      <c r="T5117">
        <v>-0.2427493</v>
      </c>
      <c r="U5117">
        <v>-2.571564</v>
      </c>
      <c r="V5117">
        <v>-1.499518E-2</v>
      </c>
      <c r="W5117">
        <v>1.6517670000000002E-2</v>
      </c>
      <c r="X5117">
        <v>0.99975119999999895</v>
      </c>
      <c r="Y5117">
        <v>-0.27291029999999999</v>
      </c>
      <c r="Z5117">
        <v>7.7138330000000005E-2</v>
      </c>
      <c r="AA5117">
        <v>0.95894190000000001</v>
      </c>
      <c r="AB5117">
        <v>22</v>
      </c>
      <c r="AC5117">
        <v>8.0031000000000105</v>
      </c>
      <c r="AD5117">
        <v>-1.114999118346</v>
      </c>
      <c r="AE5117">
        <v>-11.614469999999899</v>
      </c>
      <c r="AF5117">
        <v>-3.8983695292069198</v>
      </c>
      <c r="AG5117">
        <v>-1.114999118346</v>
      </c>
      <c r="AH5117">
        <v>13.4642083385151</v>
      </c>
      <c r="AI5117">
        <v>94.548016961428303</v>
      </c>
      <c r="AJ5117">
        <v>106.147619377239</v>
      </c>
      <c r="AK5117">
        <v>14.0614869129514</v>
      </c>
      <c r="AL5117">
        <v>89.053564253071499</v>
      </c>
      <c r="AM5117">
        <v>90.859309904348393</v>
      </c>
      <c r="AN5117">
        <v>1.0000000753734399</v>
      </c>
    </row>
    <row r="5118" spans="1:40" x14ac:dyDescent="0.25">
      <c r="A5118" t="str">
        <f>"20190312161117268"</f>
        <v>20190312161117268</v>
      </c>
      <c r="B5118" t="str">
        <f>"1552378277262560"</f>
        <v>1552378277262560</v>
      </c>
      <c r="C5118" t="s">
        <v>40</v>
      </c>
      <c r="D5118">
        <v>5.644469</v>
      </c>
      <c r="E5118">
        <v>0.39723969999999997</v>
      </c>
      <c r="F5118" t="s">
        <v>78</v>
      </c>
      <c r="G5118">
        <v>-412.46499999999997</v>
      </c>
      <c r="H5118" s="1">
        <v>-9.1499119999999998E-6</v>
      </c>
      <c r="I5118">
        <v>22.253740000000001</v>
      </c>
      <c r="J5118">
        <v>-420.48430000000002</v>
      </c>
      <c r="K5118">
        <v>1.115073</v>
      </c>
      <c r="L5118">
        <v>33.693269999999998</v>
      </c>
      <c r="M5118">
        <v>0.32389849999999998</v>
      </c>
      <c r="N5118">
        <v>0</v>
      </c>
      <c r="O5118">
        <v>-0.94598689999999996</v>
      </c>
      <c r="P5118">
        <v>0.3385724</v>
      </c>
      <c r="Q5118">
        <v>2.4070670000000001E-3</v>
      </c>
      <c r="R5118">
        <v>-0.94093760000000004</v>
      </c>
      <c r="S5118">
        <v>1.7779849999999999</v>
      </c>
      <c r="T5118">
        <v>-0.2447714</v>
      </c>
      <c r="U5118">
        <v>-2.5570979999999999</v>
      </c>
      <c r="V5118">
        <v>-1.5706009999999999E-2</v>
      </c>
      <c r="W5118">
        <v>1.6331249999999999E-2</v>
      </c>
      <c r="X5118">
        <v>0.9997433</v>
      </c>
      <c r="Y5118">
        <v>-0.27233410000000002</v>
      </c>
      <c r="Z5118">
        <v>7.7666429999999995E-2</v>
      </c>
      <c r="AA5118">
        <v>0.95906309999999995</v>
      </c>
      <c r="AB5118">
        <v>22</v>
      </c>
      <c r="AC5118">
        <v>8.0193000000000403</v>
      </c>
      <c r="AD5118">
        <v>-1.1150821499120001</v>
      </c>
      <c r="AE5118">
        <v>-11.4395299999999</v>
      </c>
      <c r="AF5118">
        <v>-3.85672094512667</v>
      </c>
      <c r="AG5118">
        <v>-1.1150821499120001</v>
      </c>
      <c r="AH5118">
        <v>13.3354591455861</v>
      </c>
      <c r="AI5118">
        <v>94.592480277624404</v>
      </c>
      <c r="AJ5118">
        <v>106.13029007820001</v>
      </c>
      <c r="AK5118">
        <v>13.926671363726101</v>
      </c>
      <c r="AL5118">
        <v>89.0642467273736</v>
      </c>
      <c r="AM5118">
        <v>90.900045106103903</v>
      </c>
      <c r="AN5118">
        <v>1.0000000271857801</v>
      </c>
    </row>
    <row r="5119" spans="1:40" x14ac:dyDescent="0.25">
      <c r="A5119" t="str">
        <f>"20190312161117290"</f>
        <v>20190312161117290</v>
      </c>
      <c r="B5119" t="str">
        <f>"1552378277282075"</f>
        <v>1552378277282075</v>
      </c>
      <c r="C5119" t="s">
        <v>40</v>
      </c>
      <c r="D5119">
        <v>5.6444359999999998</v>
      </c>
      <c r="E5119">
        <v>0.40188879999999999</v>
      </c>
      <c r="F5119" t="s">
        <v>78</v>
      </c>
      <c r="G5119">
        <v>-412.4117</v>
      </c>
      <c r="H5119" s="1">
        <v>-9.1677110000000004E-6</v>
      </c>
      <c r="I5119">
        <v>22.23779</v>
      </c>
      <c r="J5119">
        <v>-420.40719999999999</v>
      </c>
      <c r="K5119">
        <v>1.115143</v>
      </c>
      <c r="L5119">
        <v>33.496729999999999</v>
      </c>
      <c r="M5119">
        <v>0.33148680000000003</v>
      </c>
      <c r="N5119">
        <v>0</v>
      </c>
      <c r="O5119">
        <v>-0.94335440000000004</v>
      </c>
      <c r="P5119">
        <v>0.34672989999999998</v>
      </c>
      <c r="Q5119">
        <v>1.8222329999999999E-3</v>
      </c>
      <c r="R5119">
        <v>-0.93796349999999995</v>
      </c>
      <c r="S5119">
        <v>1.79269399999999</v>
      </c>
      <c r="T5119">
        <v>-0.24762609999999999</v>
      </c>
      <c r="U5119">
        <v>-2.5439150000000001</v>
      </c>
      <c r="V5119">
        <v>-1.635211E-2</v>
      </c>
      <c r="W5119">
        <v>1.5751970000000001E-2</v>
      </c>
      <c r="X5119">
        <v>0.99974220000000003</v>
      </c>
      <c r="Y5119">
        <v>-0.27060659999999997</v>
      </c>
      <c r="Z5119">
        <v>7.8477740000000004E-2</v>
      </c>
      <c r="AA5119">
        <v>0.9594859</v>
      </c>
      <c r="AB5119">
        <v>21</v>
      </c>
      <c r="AC5119">
        <v>7.9954999999999901</v>
      </c>
      <c r="AD5119">
        <v>-1.1151521677109999</v>
      </c>
      <c r="AE5119">
        <v>-11.258940000000001</v>
      </c>
      <c r="AF5119">
        <v>-3.78608891592109</v>
      </c>
      <c r="AG5119">
        <v>-1.1151521677109999</v>
      </c>
      <c r="AH5119">
        <v>13.186897718489</v>
      </c>
      <c r="AI5119">
        <v>94.646865595119706</v>
      </c>
      <c r="AJ5119">
        <v>106.01929661877899</v>
      </c>
      <c r="AK5119">
        <v>13.7648939361806</v>
      </c>
      <c r="AL5119">
        <v>89.097441264972801</v>
      </c>
      <c r="AM5119">
        <v>90.937064927827905</v>
      </c>
      <c r="AN5119">
        <v>0.99999999126058603</v>
      </c>
    </row>
    <row r="5120" spans="1:40" x14ac:dyDescent="0.25">
      <c r="A5120" t="str">
        <f>"20190312161117312"</f>
        <v>20190312161117312</v>
      </c>
      <c r="B5120" t="str">
        <f>"1552378277302575"</f>
        <v>1552378277302575</v>
      </c>
      <c r="C5120" t="s">
        <v>40</v>
      </c>
      <c r="D5120">
        <v>5.6351699999999996</v>
      </c>
      <c r="E5120">
        <v>0.40794999999999998</v>
      </c>
      <c r="F5120" t="s">
        <v>78</v>
      </c>
      <c r="G5120">
        <v>-412.79379999999998</v>
      </c>
      <c r="H5120" s="1">
        <v>-9.0680560000000001E-6</v>
      </c>
      <c r="I5120">
        <v>22.630949999999999</v>
      </c>
      <c r="J5120">
        <v>-420.33049999999997</v>
      </c>
      <c r="K5120">
        <v>1.1151930000000001</v>
      </c>
      <c r="L5120">
        <v>33.306150000000002</v>
      </c>
      <c r="M5120">
        <v>0.33896229999999999</v>
      </c>
      <c r="N5120">
        <v>0</v>
      </c>
      <c r="O5120">
        <v>-0.94069400000000003</v>
      </c>
      <c r="P5120">
        <v>0.3546164</v>
      </c>
      <c r="Q5120">
        <v>2.5149579999999999E-3</v>
      </c>
      <c r="R5120">
        <v>-0.93500859999999997</v>
      </c>
      <c r="S5120">
        <v>1.7803040000000001</v>
      </c>
      <c r="T5120">
        <v>-0.26076480000000002</v>
      </c>
      <c r="U5120">
        <v>-2.5408330000000001</v>
      </c>
      <c r="V5120">
        <v>-1.6848169999999999E-2</v>
      </c>
      <c r="W5120">
        <v>1.645139E-2</v>
      </c>
      <c r="X5120">
        <v>0.99972269999999996</v>
      </c>
      <c r="Y5120">
        <v>-0.26016669999999997</v>
      </c>
      <c r="Z5120">
        <v>8.2578289999999999E-2</v>
      </c>
      <c r="AA5120">
        <v>0.9620261</v>
      </c>
      <c r="AB5120">
        <v>21</v>
      </c>
      <c r="AC5120">
        <v>7.53669999999999</v>
      </c>
      <c r="AD5120">
        <v>-1.115202068056</v>
      </c>
      <c r="AE5120">
        <v>-10.6752</v>
      </c>
      <c r="AF5120">
        <v>-3.4464830880091299</v>
      </c>
      <c r="AG5120">
        <v>-1.115202068056</v>
      </c>
      <c r="AH5120">
        <v>12.5069203609153</v>
      </c>
      <c r="AI5120">
        <v>94.913218958042904</v>
      </c>
      <c r="AJ5120">
        <v>105.406400812961</v>
      </c>
      <c r="AK5120">
        <v>13.020943830721601</v>
      </c>
      <c r="AL5120">
        <v>89.057362255457804</v>
      </c>
      <c r="AM5120">
        <v>90.965505393356196</v>
      </c>
      <c r="AN5120">
        <v>0.99999999298028497</v>
      </c>
    </row>
    <row r="5121" spans="1:40" x14ac:dyDescent="0.25">
      <c r="A5121" t="str">
        <f>"20190312161117334"</f>
        <v>20190312161117334</v>
      </c>
      <c r="B5121" t="str">
        <f>"1552378277322091"</f>
        <v>1552378277322091</v>
      </c>
      <c r="C5121" t="s">
        <v>40</v>
      </c>
      <c r="D5121">
        <v>5.6092040000000001</v>
      </c>
      <c r="E5121">
        <v>0.40919250000000001</v>
      </c>
      <c r="F5121" t="s">
        <v>78</v>
      </c>
      <c r="G5121">
        <v>-414.04579999999999</v>
      </c>
      <c r="H5121" s="1">
        <v>-8.7711020000000002E-6</v>
      </c>
      <c r="I5121">
        <v>24.215319999999998</v>
      </c>
      <c r="J5121">
        <v>-420.25170000000003</v>
      </c>
      <c r="K5121">
        <v>1.115245</v>
      </c>
      <c r="L5121">
        <v>33.115169999999999</v>
      </c>
      <c r="M5121">
        <v>0.3465762</v>
      </c>
      <c r="N5121">
        <v>0</v>
      </c>
      <c r="O5121">
        <v>-0.9379151</v>
      </c>
      <c r="P5121">
        <v>0.3627206</v>
      </c>
      <c r="Q5121">
        <v>3.0461210000000002E-3</v>
      </c>
      <c r="R5121">
        <v>-0.93189330000000004</v>
      </c>
      <c r="S5121">
        <v>1.7578130000000001</v>
      </c>
      <c r="T5121">
        <v>-0.31192029999999998</v>
      </c>
      <c r="U5121">
        <v>-2.542694</v>
      </c>
      <c r="V5121">
        <v>-1.7432929999999999E-2</v>
      </c>
      <c r="W5121">
        <v>1.6986810000000001E-2</v>
      </c>
      <c r="X5121">
        <v>0.99970369999999997</v>
      </c>
      <c r="Y5121">
        <v>-0.24537220000000001</v>
      </c>
      <c r="Z5121">
        <v>9.8551630000000001E-2</v>
      </c>
      <c r="AA5121">
        <v>0.9644066</v>
      </c>
      <c r="AB5121">
        <v>21</v>
      </c>
      <c r="AC5121">
        <v>6.2059000000000397</v>
      </c>
      <c r="AD5121">
        <v>-1.1152537711020001</v>
      </c>
      <c r="AE5121">
        <v>-8.89984999999999</v>
      </c>
      <c r="AF5121">
        <v>-2.7077955040789301</v>
      </c>
      <c r="AG5121">
        <v>-1.1152537711020001</v>
      </c>
      <c r="AH5121">
        <v>10.389401452196299</v>
      </c>
      <c r="AI5121">
        <v>95.930345454101897</v>
      </c>
      <c r="AJ5121">
        <v>104.60805171279</v>
      </c>
      <c r="AK5121">
        <v>10.794239667561801</v>
      </c>
      <c r="AL5121">
        <v>89.026680640943397</v>
      </c>
      <c r="AM5121">
        <v>90.999028099891405</v>
      </c>
      <c r="AN5121">
        <v>0.99999997327802503</v>
      </c>
    </row>
    <row r="5122" spans="1:40" x14ac:dyDescent="0.25">
      <c r="A5122" t="str">
        <f>"20190312161117357"</f>
        <v>20190312161117357</v>
      </c>
      <c r="B5122" t="str">
        <f>"1552378277352347"</f>
        <v>1552378277352347</v>
      </c>
      <c r="C5122" t="s">
        <v>40</v>
      </c>
      <c r="D5122">
        <v>5.6431740000000001</v>
      </c>
      <c r="E5122">
        <v>0.41047699999999998</v>
      </c>
      <c r="F5122" t="s">
        <v>78</v>
      </c>
      <c r="G5122">
        <v>-413.96949999999998</v>
      </c>
      <c r="H5122" s="1">
        <v>-8.7910570000000003E-6</v>
      </c>
      <c r="I5122">
        <v>24.137160000000002</v>
      </c>
      <c r="J5122">
        <v>-420.16699999999997</v>
      </c>
      <c r="K5122">
        <v>1.1153059999999999</v>
      </c>
      <c r="L5122">
        <v>32.914790000000004</v>
      </c>
      <c r="M5122">
        <v>0.35469260000000002</v>
      </c>
      <c r="N5122">
        <v>0</v>
      </c>
      <c r="O5122">
        <v>-0.93487600000000004</v>
      </c>
      <c r="P5122">
        <v>0.37137900000000001</v>
      </c>
      <c r="Q5122">
        <v>3.6091220000000002E-3</v>
      </c>
      <c r="R5122">
        <v>-0.92847469999999999</v>
      </c>
      <c r="S5122">
        <v>1.770996</v>
      </c>
      <c r="T5122">
        <v>-0.31439499999999998</v>
      </c>
      <c r="U5122">
        <v>-2.530945</v>
      </c>
      <c r="V5122">
        <v>-1.8083439999999999E-2</v>
      </c>
      <c r="W5122">
        <v>1.7554159999999999E-2</v>
      </c>
      <c r="X5122">
        <v>0.99968239999999997</v>
      </c>
      <c r="Y5122">
        <v>-0.24240220000000001</v>
      </c>
      <c r="Z5122">
        <v>9.9133890000000002E-2</v>
      </c>
      <c r="AA5122">
        <v>0.96509769999999995</v>
      </c>
      <c r="AB5122">
        <v>21</v>
      </c>
      <c r="AC5122">
        <v>6.19749999999999</v>
      </c>
      <c r="AD5122">
        <v>-1.1153147910569901</v>
      </c>
      <c r="AE5122">
        <v>-8.7776300000000003</v>
      </c>
      <c r="AF5122">
        <v>-2.6522264952235699</v>
      </c>
      <c r="AG5122">
        <v>-1.1153147910569901</v>
      </c>
      <c r="AH5122">
        <v>10.294332014894399</v>
      </c>
      <c r="AI5122">
        <v>95.989359319284205</v>
      </c>
      <c r="AJ5122">
        <v>104.447460312518</v>
      </c>
      <c r="AK5122">
        <v>10.688849521721</v>
      </c>
      <c r="AL5122">
        <v>88.994169087317999</v>
      </c>
      <c r="AM5122">
        <v>91.036320937864105</v>
      </c>
      <c r="AN5122">
        <v>1.0000000301026399</v>
      </c>
    </row>
    <row r="5123" spans="1:40" x14ac:dyDescent="0.25">
      <c r="A5123" t="str">
        <f>"20190312161117379"</f>
        <v>20190312161117379</v>
      </c>
      <c r="B5123" t="str">
        <f>"1552378277371871"</f>
        <v>1552378277371871</v>
      </c>
      <c r="C5123" t="s">
        <v>40</v>
      </c>
      <c r="D5123">
        <v>5.4079990000000002</v>
      </c>
      <c r="E5123">
        <v>0.41099780000000002</v>
      </c>
      <c r="F5123" t="s">
        <v>78</v>
      </c>
      <c r="G5123">
        <v>-414.12709999999998</v>
      </c>
      <c r="H5123" s="1">
        <v>-8.759678E-6</v>
      </c>
      <c r="I5123">
        <v>24.39677</v>
      </c>
      <c r="J5123">
        <v>-420.08350000000002</v>
      </c>
      <c r="K5123">
        <v>1.1153569999999999</v>
      </c>
      <c r="L5123">
        <v>32.722259999999999</v>
      </c>
      <c r="M5123">
        <v>0.36261080000000001</v>
      </c>
      <c r="N5123">
        <v>0</v>
      </c>
      <c r="O5123">
        <v>-0.93183300000000002</v>
      </c>
      <c r="P5123">
        <v>0.37921929999999998</v>
      </c>
      <c r="Q5123">
        <v>2.8384209999999998E-3</v>
      </c>
      <c r="R5123">
        <v>-0.92530270000000003</v>
      </c>
      <c r="S5123">
        <v>1.7855829999999999</v>
      </c>
      <c r="T5123">
        <v>-0.32972109999999999</v>
      </c>
      <c r="U5123">
        <v>-2.5181879999999999</v>
      </c>
      <c r="V5123">
        <v>-1.8050779999999999E-2</v>
      </c>
      <c r="W5123">
        <v>1.6797059999999999E-2</v>
      </c>
      <c r="X5123">
        <v>0.99969600000000003</v>
      </c>
      <c r="Y5123">
        <v>-0.23990320000000001</v>
      </c>
      <c r="Z5123">
        <v>0.10371710000000001</v>
      </c>
      <c r="AA5123">
        <v>0.96524049999999995</v>
      </c>
      <c r="AB5123">
        <v>21</v>
      </c>
      <c r="AC5123">
        <v>5.9564000000000297</v>
      </c>
      <c r="AD5123">
        <v>-1.115365759678</v>
      </c>
      <c r="AE5123">
        <v>-8.3254899999999896</v>
      </c>
      <c r="AF5123">
        <v>-2.5020089978726801</v>
      </c>
      <c r="AG5123">
        <v>-1.115365759678</v>
      </c>
      <c r="AH5123">
        <v>9.8024470850978194</v>
      </c>
      <c r="AI5123">
        <v>96.291436313187205</v>
      </c>
      <c r="AJ5123">
        <v>104.318640344074</v>
      </c>
      <c r="AK5123">
        <v>10.17801840534</v>
      </c>
      <c r="AL5123">
        <v>89.037554123487496</v>
      </c>
      <c r="AM5123">
        <v>91.034435604669099</v>
      </c>
      <c r="AN5123">
        <v>1.0000000321496201</v>
      </c>
    </row>
    <row r="5124" spans="1:40" x14ac:dyDescent="0.25">
      <c r="A5124" t="str">
        <f>"20190312161117402"</f>
        <v>20190312161117402</v>
      </c>
      <c r="B5124" t="str">
        <f>"1552378277392363"</f>
        <v>1552378277392363</v>
      </c>
      <c r="C5124" t="s">
        <v>40</v>
      </c>
      <c r="D5124">
        <v>5.6580170000000001</v>
      </c>
      <c r="E5124">
        <v>0.41039629999999999</v>
      </c>
      <c r="F5124" t="s">
        <v>78</v>
      </c>
      <c r="G5124">
        <v>-413.93419999999998</v>
      </c>
      <c r="H5124" s="1">
        <v>-8.8079719999999994E-6</v>
      </c>
      <c r="I5124">
        <v>24.178329999999999</v>
      </c>
      <c r="J5124">
        <v>-419.99849999999998</v>
      </c>
      <c r="K5124">
        <v>1.1154109999999999</v>
      </c>
      <c r="L5124">
        <v>32.530909999999999</v>
      </c>
      <c r="M5124">
        <v>0.37059599999999998</v>
      </c>
      <c r="N5124">
        <v>0</v>
      </c>
      <c r="O5124">
        <v>-0.92868580000000001</v>
      </c>
      <c r="P5124">
        <v>0.38661329999999999</v>
      </c>
      <c r="Q5124">
        <v>2.0041210000000002E-3</v>
      </c>
      <c r="R5124">
        <v>-0.9222399</v>
      </c>
      <c r="S5124">
        <v>1.802521</v>
      </c>
      <c r="T5124">
        <v>-0.32694380000000001</v>
      </c>
      <c r="U5124">
        <v>-2.5044559999999998</v>
      </c>
      <c r="V5124">
        <v>-1.74623E-2</v>
      </c>
      <c r="W5124">
        <v>1.5982730000000001E-2</v>
      </c>
      <c r="X5124">
        <v>0.99971980000000005</v>
      </c>
      <c r="Y5124">
        <v>-0.2384426</v>
      </c>
      <c r="Z5124">
        <v>0.10263899999999999</v>
      </c>
      <c r="AA5124">
        <v>0.96571759999999995</v>
      </c>
      <c r="AB5124">
        <v>21</v>
      </c>
      <c r="AC5124">
        <v>6.0643000000000002</v>
      </c>
      <c r="AD5124">
        <v>-1.1154198079719999</v>
      </c>
      <c r="AE5124">
        <v>-8.3525799999999997</v>
      </c>
      <c r="AF5124">
        <v>-2.5073714544856598</v>
      </c>
      <c r="AG5124">
        <v>-1.1154198079719999</v>
      </c>
      <c r="AH5124">
        <v>9.8898438261116794</v>
      </c>
      <c r="AI5124">
        <v>96.239112019827999</v>
      </c>
      <c r="AJ5124">
        <v>104.226438051611</v>
      </c>
      <c r="AK5124">
        <v>10.2635317441738</v>
      </c>
      <c r="AL5124">
        <v>89.084218060622703</v>
      </c>
      <c r="AM5124">
        <v>91.000694750437503</v>
      </c>
      <c r="AN5124">
        <v>1.00000002904579</v>
      </c>
    </row>
    <row r="5125" spans="1:40" x14ac:dyDescent="0.25">
      <c r="A5125" t="str">
        <f>"20190312161117424"</f>
        <v>20190312161117424</v>
      </c>
      <c r="B5125" t="str">
        <f>"1552378277411882"</f>
        <v>1552378277411882</v>
      </c>
      <c r="C5125" t="s">
        <v>40</v>
      </c>
      <c r="D5125">
        <v>4.8922089999999896</v>
      </c>
      <c r="E5125">
        <v>0.36945879999999998</v>
      </c>
      <c r="F5125" t="s">
        <v>78</v>
      </c>
      <c r="G5125">
        <v>-413.71069999999997</v>
      </c>
      <c r="H5125" s="1">
        <v>-8.8682629999999999E-6</v>
      </c>
      <c r="I5125">
        <v>23.96828</v>
      </c>
      <c r="J5125">
        <v>-419.91329999999999</v>
      </c>
      <c r="K5125">
        <v>1.115467</v>
      </c>
      <c r="L5125">
        <v>32.343989999999998</v>
      </c>
      <c r="M5125">
        <v>0.37851220000000002</v>
      </c>
      <c r="N5125">
        <v>0</v>
      </c>
      <c r="O5125">
        <v>-0.92548750000000002</v>
      </c>
      <c r="P5125">
        <v>0.393646</v>
      </c>
      <c r="Q5125">
        <v>2.251879E-3</v>
      </c>
      <c r="R5125">
        <v>-0.91925999999999997</v>
      </c>
      <c r="S5125">
        <v>1.8268740000000001</v>
      </c>
      <c r="T5125">
        <v>-0.32407900000000001</v>
      </c>
      <c r="U5125">
        <v>-2.4878230000000001</v>
      </c>
      <c r="V5125">
        <v>-1.6567439999999999E-2</v>
      </c>
      <c r="W5125">
        <v>1.6253529999999999E-2</v>
      </c>
      <c r="X5125">
        <v>0.99973060000000002</v>
      </c>
      <c r="Y5125">
        <v>-0.2394445</v>
      </c>
      <c r="Z5125">
        <v>0.1015088</v>
      </c>
      <c r="AA5125">
        <v>0.96558909999999998</v>
      </c>
      <c r="AB5125">
        <v>21</v>
      </c>
      <c r="AC5125">
        <v>6.2026000000000101</v>
      </c>
      <c r="AD5125">
        <v>-1.1154758682629999</v>
      </c>
      <c r="AE5125">
        <v>-8.3757099999999998</v>
      </c>
      <c r="AF5125">
        <v>-2.54126920285771</v>
      </c>
      <c r="AG5125">
        <v>-1.1154758682629999</v>
      </c>
      <c r="AH5125">
        <v>9.9860031281746604</v>
      </c>
      <c r="AI5125">
        <v>96.178413778465696</v>
      </c>
      <c r="AJ5125">
        <v>104.27774134904</v>
      </c>
      <c r="AK5125">
        <v>10.3644871580789</v>
      </c>
      <c r="AL5125">
        <v>89.068700288391696</v>
      </c>
      <c r="AM5125">
        <v>90.949413279221005</v>
      </c>
      <c r="AN5125">
        <v>0.99999996494098597</v>
      </c>
    </row>
    <row r="5126" spans="1:40" x14ac:dyDescent="0.25">
      <c r="A5126" t="str">
        <f>"20190312161117447"</f>
        <v>20190312161117447</v>
      </c>
      <c r="B5126" t="str">
        <f>"1552378277442139"</f>
        <v>1552378277442139</v>
      </c>
      <c r="C5126" t="s">
        <v>40</v>
      </c>
      <c r="D5126">
        <v>5.5902139999999996</v>
      </c>
      <c r="E5126">
        <v>0.3647048</v>
      </c>
      <c r="F5126" t="s">
        <v>78</v>
      </c>
      <c r="G5126">
        <v>-403.3775</v>
      </c>
      <c r="H5126" s="1">
        <v>-5.8264620000000003E-6</v>
      </c>
      <c r="I5126">
        <v>14.225059999999999</v>
      </c>
      <c r="J5126">
        <v>-419.82569999999998</v>
      </c>
      <c r="K5126">
        <v>1.1155250000000001</v>
      </c>
      <c r="L5126">
        <v>32.156649999999999</v>
      </c>
      <c r="M5126">
        <v>0.38657409999999998</v>
      </c>
      <c r="N5126">
        <v>0</v>
      </c>
      <c r="O5126">
        <v>-0.92214890000000005</v>
      </c>
      <c r="P5126">
        <v>0.40118740000000003</v>
      </c>
      <c r="Q5126">
        <v>2.3254539999999998E-3</v>
      </c>
      <c r="R5126">
        <v>-0.91599339999999996</v>
      </c>
      <c r="S5126">
        <v>2.1416930000000001</v>
      </c>
      <c r="T5126">
        <v>-0.14447449999999901</v>
      </c>
      <c r="U5126">
        <v>-2.3467410000000002</v>
      </c>
      <c r="V5126">
        <v>-1.606258E-2</v>
      </c>
      <c r="W5126">
        <v>1.6346030000000001E-2</v>
      </c>
      <c r="X5126">
        <v>0.9997374</v>
      </c>
      <c r="Y5126">
        <v>-0.33539010000000002</v>
      </c>
      <c r="Z5126">
        <v>4.4932649999999998E-2</v>
      </c>
      <c r="AA5126">
        <v>0.94100720000000004</v>
      </c>
      <c r="AB5126">
        <v>21</v>
      </c>
      <c r="AC5126">
        <v>16.4481999999999</v>
      </c>
      <c r="AD5126">
        <v>-1.1155308264620001</v>
      </c>
      <c r="AE5126">
        <v>-17.93159</v>
      </c>
      <c r="AF5126">
        <v>-8.2193577324503995</v>
      </c>
      <c r="AG5126">
        <v>-1.1155308264620001</v>
      </c>
      <c r="AH5126">
        <v>22.848334029557599</v>
      </c>
      <c r="AI5126">
        <v>92.630381016091306</v>
      </c>
      <c r="AJ5126">
        <v>109.785461129147</v>
      </c>
      <c r="AK5126">
        <v>24.307377861155999</v>
      </c>
      <c r="AL5126">
        <v>89.063399789165899</v>
      </c>
      <c r="AM5126">
        <v>90.920480581631196</v>
      </c>
      <c r="AN5126">
        <v>1.0000000340658799</v>
      </c>
    </row>
    <row r="5127" spans="1:40" x14ac:dyDescent="0.25">
      <c r="A5127" t="str">
        <f>"20190312161117469"</f>
        <v>20190312161117469</v>
      </c>
      <c r="B5127" t="str">
        <f>"1552378277462638"</f>
        <v>1552378277462638</v>
      </c>
      <c r="C5127" t="s">
        <v>40</v>
      </c>
      <c r="D5127">
        <v>5.5235349999999999</v>
      </c>
      <c r="E5127">
        <v>0.36423100000000003</v>
      </c>
      <c r="F5127" t="s">
        <v>41</v>
      </c>
      <c r="G5127">
        <v>-399.81869999999998</v>
      </c>
      <c r="H5127" s="1">
        <v>-2.3282150000000002E-6</v>
      </c>
      <c r="I5127">
        <v>11.06836</v>
      </c>
      <c r="J5127">
        <v>-419.73160000000001</v>
      </c>
      <c r="K5127">
        <v>1.1155809999999999</v>
      </c>
      <c r="L5127">
        <v>31.960509999999999</v>
      </c>
      <c r="M5127">
        <v>0.39513710000000002</v>
      </c>
      <c r="N5127">
        <v>0</v>
      </c>
      <c r="O5127">
        <v>-0.91851179999999999</v>
      </c>
      <c r="P5127">
        <v>0.40896339999999998</v>
      </c>
      <c r="Q5127">
        <v>2.1881399999999999E-3</v>
      </c>
      <c r="R5127">
        <v>-0.91254840000000004</v>
      </c>
      <c r="S5127">
        <v>2.1953130000000001</v>
      </c>
      <c r="T5127">
        <v>-0.122404</v>
      </c>
      <c r="U5127">
        <v>-2.313965</v>
      </c>
      <c r="V5127">
        <v>-1.526364E-2</v>
      </c>
      <c r="W5127">
        <v>1.6231599999999999E-2</v>
      </c>
      <c r="X5127">
        <v>0.99975170000000002</v>
      </c>
      <c r="Y5127">
        <v>-0.34502579999999999</v>
      </c>
      <c r="Z5127">
        <v>3.7926380000000003E-2</v>
      </c>
      <c r="AA5127">
        <v>0.93782659999999995</v>
      </c>
      <c r="AB5127">
        <v>21</v>
      </c>
      <c r="AC5127">
        <v>19.9129</v>
      </c>
      <c r="AD5127">
        <v>-1.1155833282149901</v>
      </c>
      <c r="AE5127">
        <v>-20.892150000000001</v>
      </c>
      <c r="AF5127">
        <v>-10.021015896253999</v>
      </c>
      <c r="AG5127">
        <v>-1.1155833282149901</v>
      </c>
      <c r="AH5127">
        <v>27.0203862493094</v>
      </c>
      <c r="AI5127">
        <v>92.216829444535094</v>
      </c>
      <c r="AJ5127">
        <v>110.348241464406</v>
      </c>
      <c r="AK5127">
        <v>28.840363361390501</v>
      </c>
      <c r="AL5127">
        <v>89.069956939178496</v>
      </c>
      <c r="AM5127">
        <v>90.874691397076404</v>
      </c>
      <c r="AN5127">
        <v>0.99999995259874797</v>
      </c>
    </row>
    <row r="5128" spans="1:40" x14ac:dyDescent="0.25">
      <c r="A5128" t="str">
        <f>"20190312161117848"</f>
        <v>20190312161117848</v>
      </c>
      <c r="B5128" t="str">
        <f>"1552378277841831"</f>
        <v>1552378277841831</v>
      </c>
      <c r="C5128" t="s">
        <v>40</v>
      </c>
      <c r="D5128">
        <v>5.4541909999999998</v>
      </c>
      <c r="E5128">
        <v>0.35089989999999999</v>
      </c>
      <c r="F5128" t="s">
        <v>41</v>
      </c>
      <c r="G5128">
        <v>-399.12490000000003</v>
      </c>
      <c r="H5128" s="1">
        <v>-2.7043070000000001E-6</v>
      </c>
      <c r="I5128">
        <v>10.65621</v>
      </c>
      <c r="J5128">
        <v>-417.97219999999999</v>
      </c>
      <c r="K5128">
        <v>1.1154759999999999</v>
      </c>
      <c r="L5128">
        <v>28.967500000000001</v>
      </c>
      <c r="M5128">
        <v>0.53280640000000001</v>
      </c>
      <c r="N5128">
        <v>0</v>
      </c>
      <c r="O5128">
        <v>-0.84611650000000005</v>
      </c>
      <c r="P5128">
        <v>0.5527012</v>
      </c>
      <c r="Q5128">
        <v>1.1430710000000001E-3</v>
      </c>
      <c r="R5128">
        <v>-0.83337890000000003</v>
      </c>
      <c r="S5128">
        <v>2.2184750000000002</v>
      </c>
      <c r="T5128">
        <v>-0.1201016</v>
      </c>
      <c r="U5128">
        <v>-2.2935789999999998</v>
      </c>
      <c r="V5128">
        <v>-2.3812389999999999E-2</v>
      </c>
      <c r="W5128">
        <v>1.5137869999999999E-2</v>
      </c>
      <c r="X5128">
        <v>0.99960179999999998</v>
      </c>
      <c r="Y5128">
        <v>-0.20483879999999999</v>
      </c>
      <c r="Z5128">
        <v>3.39058E-2</v>
      </c>
      <c r="AA5128">
        <v>0.97820830000000003</v>
      </c>
      <c r="AB5128">
        <v>21</v>
      </c>
      <c r="AC5128">
        <v>18.847299999999901</v>
      </c>
      <c r="AD5128">
        <v>-1.11547870430699</v>
      </c>
      <c r="AE5128">
        <v>-18.31129</v>
      </c>
      <c r="AF5128">
        <v>-6.18013487361827</v>
      </c>
      <c r="AG5128">
        <v>-1.11547870430699</v>
      </c>
      <c r="AH5128">
        <v>25.492118714798199</v>
      </c>
      <c r="AI5128">
        <v>92.435088712567804</v>
      </c>
      <c r="AJ5128">
        <v>103.627477391802</v>
      </c>
      <c r="AK5128">
        <v>26.254265869858902</v>
      </c>
      <c r="AL5128">
        <v>89.132630784551196</v>
      </c>
      <c r="AM5128">
        <v>91.364634851409093</v>
      </c>
      <c r="AN5128">
        <v>0.999999971794444</v>
      </c>
    </row>
    <row r="5129" spans="1:40" x14ac:dyDescent="0.25">
      <c r="A5129" t="str">
        <f>"20190312161117871"</f>
        <v>20190312161117871</v>
      </c>
      <c r="B5129" t="str">
        <f>"1552378277862325"</f>
        <v>1552378277862325</v>
      </c>
      <c r="C5129" t="s">
        <v>40</v>
      </c>
      <c r="D5129">
        <v>5.5792169999999999</v>
      </c>
      <c r="E5129">
        <v>0.2858791</v>
      </c>
      <c r="F5129" t="s">
        <v>78</v>
      </c>
      <c r="G5129">
        <v>-404.6798</v>
      </c>
      <c r="H5129" s="1">
        <v>-3.9871310000000001E-6</v>
      </c>
      <c r="I5129">
        <v>19.75611</v>
      </c>
      <c r="J5129">
        <v>-417.85770000000002</v>
      </c>
      <c r="K5129">
        <v>1.115462</v>
      </c>
      <c r="L5129">
        <v>28.805389999999999</v>
      </c>
      <c r="M5129">
        <v>0.54035979999999995</v>
      </c>
      <c r="N5129">
        <v>0</v>
      </c>
      <c r="O5129">
        <v>-0.84131299999999898</v>
      </c>
      <c r="P5129">
        <v>0.56055149999999998</v>
      </c>
      <c r="Q5129">
        <v>1.2521050000000001E-3</v>
      </c>
      <c r="R5129">
        <v>-0.82811900000000005</v>
      </c>
      <c r="S5129">
        <v>2.6545719999999999</v>
      </c>
      <c r="T5129">
        <v>-0.22276779999999999</v>
      </c>
      <c r="U5129">
        <v>-1.839569</v>
      </c>
      <c r="V5129">
        <v>-2.430949E-2</v>
      </c>
      <c r="W5129">
        <v>1.5238E-2</v>
      </c>
      <c r="X5129">
        <v>0.99958840000000004</v>
      </c>
      <c r="Y5129">
        <v>-0.38173119999999999</v>
      </c>
      <c r="Z5129">
        <v>6.5308640000000001E-2</v>
      </c>
      <c r="AA5129">
        <v>0.92196319999999998</v>
      </c>
      <c r="AB5129">
        <v>21</v>
      </c>
      <c r="AC5129">
        <v>13.177899999999999</v>
      </c>
      <c r="AD5129">
        <v>-1.115465987131</v>
      </c>
      <c r="AE5129">
        <v>-9.0492799999999995</v>
      </c>
      <c r="AF5129">
        <v>-6.1674731406138603</v>
      </c>
      <c r="AG5129">
        <v>-1.115465987131</v>
      </c>
      <c r="AH5129">
        <v>14.6641849778224</v>
      </c>
      <c r="AI5129">
        <v>94.010912713281002</v>
      </c>
      <c r="AJ5129">
        <v>112.81068233263601</v>
      </c>
      <c r="AK5129">
        <v>15.947423314518</v>
      </c>
      <c r="AL5129">
        <v>89.126893172047602</v>
      </c>
      <c r="AM5129">
        <v>91.393130097733902</v>
      </c>
      <c r="AN5129">
        <v>1.0000000586813</v>
      </c>
    </row>
    <row r="5130" spans="1:40" x14ac:dyDescent="0.25">
      <c r="A5130" t="str">
        <f>"20190312161117883"</f>
        <v>20190312161117883</v>
      </c>
      <c r="B5130" t="str">
        <f>"1552378277872085"</f>
        <v>1552378277872085</v>
      </c>
      <c r="C5130" t="s">
        <v>40</v>
      </c>
      <c r="D5130">
        <v>5.6246960000000001</v>
      </c>
      <c r="E5130">
        <v>0.28943269999999999</v>
      </c>
      <c r="F5130" t="s">
        <v>96</v>
      </c>
      <c r="G5130">
        <v>-360.33960000000002</v>
      </c>
      <c r="H5130">
        <v>5.7751910000000004</v>
      </c>
      <c r="I5130">
        <v>0.32180740000000002</v>
      </c>
      <c r="J5130">
        <v>-417.78800000000001</v>
      </c>
      <c r="K5130">
        <v>1.1154520000000001</v>
      </c>
      <c r="L5130">
        <v>28.70795</v>
      </c>
      <c r="M5130">
        <v>0.54489719999999997</v>
      </c>
      <c r="N5130">
        <v>0</v>
      </c>
      <c r="O5130">
        <v>-0.83838140000000005</v>
      </c>
      <c r="P5130">
        <v>0.56517359999999905</v>
      </c>
      <c r="Q5130">
        <v>1.5737469999999999E-3</v>
      </c>
      <c r="R5130">
        <v>-0.82497069999999995</v>
      </c>
      <c r="S5130">
        <v>3.0903930000000002</v>
      </c>
      <c r="T5130">
        <v>0.2503628</v>
      </c>
      <c r="U5130">
        <v>-1.5303960000000001</v>
      </c>
      <c r="V5130">
        <v>-2.4502409999999999E-2</v>
      </c>
      <c r="W5130">
        <v>1.555553E-2</v>
      </c>
      <c r="X5130">
        <v>0.99957870000000004</v>
      </c>
      <c r="Y5130">
        <v>-0.50691739999999996</v>
      </c>
      <c r="Z5130">
        <v>-7.1503990000000003E-2</v>
      </c>
      <c r="AA5130">
        <v>0.85902389999999995</v>
      </c>
      <c r="AB5130">
        <v>21</v>
      </c>
      <c r="AC5130">
        <v>57.4483999999999</v>
      </c>
      <c r="AD5130">
        <v>4.6597390000000001</v>
      </c>
      <c r="AE5130">
        <v>-28.386142599999999</v>
      </c>
      <c r="AF5130">
        <v>-32.527464058598099</v>
      </c>
      <c r="AG5130">
        <v>4.6597390000000001</v>
      </c>
      <c r="AH5130">
        <v>54.817620784636098</v>
      </c>
      <c r="AI5130">
        <v>85.818919201819995</v>
      </c>
      <c r="AJ5130">
        <v>120.683879406112</v>
      </c>
      <c r="AK5130">
        <v>63.911819205211799</v>
      </c>
      <c r="AL5130">
        <v>89.108697799435802</v>
      </c>
      <c r="AM5130">
        <v>91.404195183592606</v>
      </c>
      <c r="AN5130">
        <v>0.99999996005153802</v>
      </c>
    </row>
    <row r="5131" spans="1:40" x14ac:dyDescent="0.25">
      <c r="A5131" t="str">
        <f>"20190312161118006"</f>
        <v>20190312161118006</v>
      </c>
      <c r="B5131" t="str">
        <f>"1552378278001894"</f>
        <v>1552378278001894</v>
      </c>
      <c r="C5131" t="s">
        <v>40</v>
      </c>
      <c r="D5131">
        <v>5.5209449999999904</v>
      </c>
      <c r="E5131">
        <v>0.35222120000000001</v>
      </c>
      <c r="F5131" t="s">
        <v>96</v>
      </c>
      <c r="G5131">
        <v>-360.36399999999998</v>
      </c>
      <c r="H5131">
        <v>5.4921829999999998</v>
      </c>
      <c r="I5131">
        <v>0.16518160000000001</v>
      </c>
      <c r="J5131">
        <v>-417.12560000000002</v>
      </c>
      <c r="K5131">
        <v>1.1153569999999999</v>
      </c>
      <c r="L5131">
        <v>27.83597</v>
      </c>
      <c r="M5131">
        <v>0.58566890000000005</v>
      </c>
      <c r="N5131">
        <v>0</v>
      </c>
      <c r="O5131">
        <v>-0.8104249</v>
      </c>
      <c r="P5131">
        <v>0.60859240000000003</v>
      </c>
      <c r="Q5131">
        <v>3.1910370000000002E-4</v>
      </c>
      <c r="R5131">
        <v>-0.79348319999999894</v>
      </c>
      <c r="S5131">
        <v>3.075806</v>
      </c>
      <c r="T5131">
        <v>0.23443140000000001</v>
      </c>
      <c r="U5131">
        <v>-1.5288389999999901</v>
      </c>
      <c r="V5131">
        <v>-2.8677609999999999E-2</v>
      </c>
      <c r="W5131">
        <v>1.4232460000000001E-2</v>
      </c>
      <c r="X5131">
        <v>0.99948740000000003</v>
      </c>
      <c r="Y5131">
        <v>-0.46283639999999998</v>
      </c>
      <c r="Z5131">
        <v>-6.5017099999999994E-2</v>
      </c>
      <c r="AA5131">
        <v>0.88405610000000001</v>
      </c>
      <c r="AB5131">
        <v>20</v>
      </c>
      <c r="AC5131">
        <v>56.761599999999902</v>
      </c>
      <c r="AD5131">
        <v>4.3768259999999897</v>
      </c>
      <c r="AE5131">
        <v>-27.6707883999999</v>
      </c>
      <c r="AF5131">
        <v>-29.655655937129801</v>
      </c>
      <c r="AG5131">
        <v>4.3768259999999897</v>
      </c>
      <c r="AH5131">
        <v>55.4080766445325</v>
      </c>
      <c r="AI5131">
        <v>86.016090587852403</v>
      </c>
      <c r="AJ5131">
        <v>118.156697046213</v>
      </c>
      <c r="AK5131">
        <v>62.997376868740297</v>
      </c>
      <c r="AL5131">
        <v>89.184512589716505</v>
      </c>
      <c r="AM5131">
        <v>91.643497803904296</v>
      </c>
      <c r="AN5131">
        <v>1.0000000154958599</v>
      </c>
    </row>
    <row r="5132" spans="1:40" x14ac:dyDescent="0.25">
      <c r="A5132" t="str">
        <f>"20190312161118028"</f>
        <v>20190312161118028</v>
      </c>
      <c r="B5132" t="str">
        <f>"1552378278022389"</f>
        <v>1552378278022389</v>
      </c>
      <c r="C5132" t="s">
        <v>40</v>
      </c>
      <c r="D5132">
        <v>5.4978790000000002</v>
      </c>
      <c r="E5132">
        <v>0.35886469999999998</v>
      </c>
      <c r="F5132" t="s">
        <v>41</v>
      </c>
      <c r="G5132">
        <v>-392.8877</v>
      </c>
      <c r="H5132" s="1">
        <v>-4.4672210000000001E-6</v>
      </c>
      <c r="I5132">
        <v>13.27576</v>
      </c>
      <c r="J5132">
        <v>-417.00139999999999</v>
      </c>
      <c r="K5132">
        <v>1.1153470000000001</v>
      </c>
      <c r="L5132">
        <v>27.682040000000001</v>
      </c>
      <c r="M5132">
        <v>0.59288879999999999</v>
      </c>
      <c r="N5132">
        <v>0</v>
      </c>
      <c r="O5132">
        <v>-0.80515829999999999</v>
      </c>
      <c r="P5132">
        <v>0.61692389999999997</v>
      </c>
      <c r="Q5132">
        <v>-1.129908E-4</v>
      </c>
      <c r="R5132">
        <v>-0.78702320000000003</v>
      </c>
      <c r="S5132">
        <v>2.7643740000000001</v>
      </c>
      <c r="T5132">
        <v>-0.12720870000000001</v>
      </c>
      <c r="U5132">
        <v>-1.660614</v>
      </c>
      <c r="V5132">
        <v>-3.0275779999999999E-2</v>
      </c>
      <c r="W5132">
        <v>1.377712E-2</v>
      </c>
      <c r="X5132">
        <v>0.99944659999999996</v>
      </c>
      <c r="Y5132">
        <v>-0.38424459999999999</v>
      </c>
      <c r="Z5132">
        <v>3.641614E-2</v>
      </c>
      <c r="AA5132">
        <v>0.92251280000000002</v>
      </c>
      <c r="AB5132">
        <v>20</v>
      </c>
      <c r="AC5132">
        <v>24.113699999999898</v>
      </c>
      <c r="AD5132">
        <v>-1.1153514672210001</v>
      </c>
      <c r="AE5132">
        <v>-14.406279999999899</v>
      </c>
      <c r="AF5132">
        <v>-10.8580079536247</v>
      </c>
      <c r="AG5132">
        <v>-1.1153514672210001</v>
      </c>
      <c r="AH5132">
        <v>25.857937822596298</v>
      </c>
      <c r="AI5132">
        <v>92.277446150472301</v>
      </c>
      <c r="AJ5132">
        <v>112.77802461536299</v>
      </c>
      <c r="AK5132">
        <v>28.067299372288499</v>
      </c>
      <c r="AL5132">
        <v>89.210604171985295</v>
      </c>
      <c r="AM5132">
        <v>91.7351043129635</v>
      </c>
      <c r="AN5132">
        <v>0.99999996907083</v>
      </c>
    </row>
    <row r="5133" spans="1:40" x14ac:dyDescent="0.25">
      <c r="A5133" t="str">
        <f>"20190312161118050"</f>
        <v>20190312161118050</v>
      </c>
      <c r="B5133" t="str">
        <f>"1552378278041909"</f>
        <v>1552378278041909</v>
      </c>
      <c r="C5133" t="s">
        <v>40</v>
      </c>
      <c r="D5133">
        <v>5.2081470000000003</v>
      </c>
      <c r="E5133">
        <v>0.36232789999999998</v>
      </c>
      <c r="F5133" t="s">
        <v>41</v>
      </c>
      <c r="G5133">
        <v>-398.3039</v>
      </c>
      <c r="H5133" s="1">
        <v>-1.508328E-6</v>
      </c>
      <c r="I5133">
        <v>16.33616</v>
      </c>
      <c r="J5133">
        <v>-416.87240000000003</v>
      </c>
      <c r="K5133">
        <v>1.115327</v>
      </c>
      <c r="L5133">
        <v>27.525179999999999</v>
      </c>
      <c r="M5133">
        <v>0.60025260000000003</v>
      </c>
      <c r="N5133">
        <v>0</v>
      </c>
      <c r="O5133">
        <v>-0.79968349999999999</v>
      </c>
      <c r="P5133">
        <v>0.62527109999999997</v>
      </c>
      <c r="Q5133">
        <v>-1.360085E-3</v>
      </c>
      <c r="R5133">
        <v>-0.78040659999999995</v>
      </c>
      <c r="S5133">
        <v>2.7409970000000001</v>
      </c>
      <c r="T5133">
        <v>-0.1635065</v>
      </c>
      <c r="U5133">
        <v>-1.6632690000000001</v>
      </c>
      <c r="V5133">
        <v>-3.1734100000000001E-2</v>
      </c>
      <c r="W5133">
        <v>1.2509320000000001E-2</v>
      </c>
      <c r="X5133">
        <v>0.99941809999999998</v>
      </c>
      <c r="Y5133">
        <v>-0.37117440000000002</v>
      </c>
      <c r="Z5133">
        <v>4.663279E-2</v>
      </c>
      <c r="AA5133">
        <v>0.92739150000000004</v>
      </c>
      <c r="AB5133">
        <v>20</v>
      </c>
      <c r="AC5133">
        <v>18.5685</v>
      </c>
      <c r="AD5133">
        <v>-1.115328508328</v>
      </c>
      <c r="AE5133">
        <v>-11.189019999999999</v>
      </c>
      <c r="AF5133">
        <v>-8.1120397428645905</v>
      </c>
      <c r="AG5133">
        <v>-1.115328508328</v>
      </c>
      <c r="AH5133">
        <v>20.042457421205299</v>
      </c>
      <c r="AI5133">
        <v>92.952891017297702</v>
      </c>
      <c r="AJ5133">
        <v>112.03528494540301</v>
      </c>
      <c r="AK5133">
        <v>21.650617680614399</v>
      </c>
      <c r="AL5133">
        <v>89.283250092192304</v>
      </c>
      <c r="AM5133">
        <v>91.818677592190397</v>
      </c>
      <c r="AN5133">
        <v>1.00000003739864</v>
      </c>
    </row>
    <row r="5134" spans="1:40" x14ac:dyDescent="0.25">
      <c r="A5134" t="str">
        <f>"20190312161118072"</f>
        <v>20190312161118072</v>
      </c>
      <c r="B5134" t="str">
        <f>"1552378278062407"</f>
        <v>1552378278062407</v>
      </c>
      <c r="C5134" t="s">
        <v>40</v>
      </c>
      <c r="D5134">
        <v>4.8826479999999997</v>
      </c>
      <c r="E5134">
        <v>0.3627821</v>
      </c>
      <c r="F5134" t="s">
        <v>41</v>
      </c>
      <c r="G5134">
        <v>-398.2398</v>
      </c>
      <c r="H5134" s="1">
        <v>-1.5471439999999999E-6</v>
      </c>
      <c r="I5134">
        <v>16.28266</v>
      </c>
      <c r="J5134">
        <v>-416.75189999999998</v>
      </c>
      <c r="K5134">
        <v>1.11531</v>
      </c>
      <c r="L5134">
        <v>27.381260000000001</v>
      </c>
      <c r="M5134">
        <v>0.60701499999999997</v>
      </c>
      <c r="N5134">
        <v>0</v>
      </c>
      <c r="O5134">
        <v>-0.79456260000000001</v>
      </c>
      <c r="P5134">
        <v>0.63283069999999997</v>
      </c>
      <c r="Q5134">
        <v>-1.8369180000000001E-3</v>
      </c>
      <c r="R5134">
        <v>-0.77428839999999999</v>
      </c>
      <c r="S5134">
        <v>2.7366030000000001</v>
      </c>
      <c r="T5134">
        <v>-0.16381080000000001</v>
      </c>
      <c r="U5134">
        <v>-1.6512150000000001</v>
      </c>
      <c r="V5134">
        <v>-3.2969060000000001E-2</v>
      </c>
      <c r="W5134">
        <v>1.2013930000000001E-2</v>
      </c>
      <c r="X5134">
        <v>0.99938419999999895</v>
      </c>
      <c r="Y5134">
        <v>-0.36561840000000001</v>
      </c>
      <c r="Z5134">
        <v>4.6573660000000003E-2</v>
      </c>
      <c r="AA5134">
        <v>0.92959890000000001</v>
      </c>
      <c r="AB5134">
        <v>20</v>
      </c>
      <c r="AC5134">
        <v>18.512099999999901</v>
      </c>
      <c r="AD5134">
        <v>-1.1153115471439901</v>
      </c>
      <c r="AE5134">
        <v>-11.0985999999999</v>
      </c>
      <c r="AF5134">
        <v>-7.9515839452642103</v>
      </c>
      <c r="AG5134">
        <v>-1.1153115471439901</v>
      </c>
      <c r="AH5134">
        <v>20.004278795086599</v>
      </c>
      <c r="AI5134">
        <v>92.965877470759906</v>
      </c>
      <c r="AJ5134">
        <v>111.677531775041</v>
      </c>
      <c r="AK5134">
        <v>21.555574156058299</v>
      </c>
      <c r="AL5134">
        <v>89.311635980845097</v>
      </c>
      <c r="AM5134">
        <v>91.889466712073201</v>
      </c>
      <c r="AN5134">
        <v>1.00000003632048</v>
      </c>
    </row>
    <row r="5135" spans="1:40" x14ac:dyDescent="0.25">
      <c r="A5135" t="str">
        <f>"20190312161118084"</f>
        <v>20190312161118084</v>
      </c>
      <c r="B5135" t="str">
        <f>"1552378278072166"</f>
        <v>1552378278072166</v>
      </c>
      <c r="C5135" t="s">
        <v>40</v>
      </c>
      <c r="D5135">
        <v>5.6685299999999996</v>
      </c>
      <c r="E5135">
        <v>0.36337209999999998</v>
      </c>
      <c r="F5135" t="s">
        <v>41</v>
      </c>
      <c r="G5135">
        <v>-396.83909999999997</v>
      </c>
      <c r="H5135" s="1">
        <v>-2.2675490000000002E-6</v>
      </c>
      <c r="I5135">
        <v>15.596819999999999</v>
      </c>
      <c r="J5135">
        <v>-416.6807</v>
      </c>
      <c r="K5135">
        <v>1.11531</v>
      </c>
      <c r="L5135">
        <v>27.297059999999998</v>
      </c>
      <c r="M5135">
        <v>0.61096810000000001</v>
      </c>
      <c r="N5135">
        <v>0</v>
      </c>
      <c r="O5135">
        <v>-0.79152699999999998</v>
      </c>
      <c r="P5135">
        <v>0.6372949</v>
      </c>
      <c r="Q5135">
        <v>-2.077663E-3</v>
      </c>
      <c r="R5135">
        <v>-0.77061740000000001</v>
      </c>
      <c r="S5135">
        <v>2.7493590000000001</v>
      </c>
      <c r="T5135">
        <v>-0.15399099999999999</v>
      </c>
      <c r="U5135">
        <v>-1.627075</v>
      </c>
      <c r="V5135">
        <v>-3.376067E-2</v>
      </c>
      <c r="W5135">
        <v>1.17617E-2</v>
      </c>
      <c r="X5135">
        <v>0.99936069999999999</v>
      </c>
      <c r="Y5135">
        <v>-0.36904189999999998</v>
      </c>
      <c r="Z5135">
        <v>4.375246E-2</v>
      </c>
      <c r="AA5135">
        <v>0.92838229999999999</v>
      </c>
      <c r="AB5135">
        <v>20</v>
      </c>
      <c r="AC5135">
        <v>19.8416</v>
      </c>
      <c r="AD5135">
        <v>-1.1153122675489999</v>
      </c>
      <c r="AE5135">
        <v>-11.7002399999999</v>
      </c>
      <c r="AF5135">
        <v>-8.5375415972624396</v>
      </c>
      <c r="AG5135">
        <v>-1.1153122675489999</v>
      </c>
      <c r="AH5135">
        <v>21.335790793773501</v>
      </c>
      <c r="AI5135">
        <v>92.778549215805498</v>
      </c>
      <c r="AJ5135">
        <v>111.808875704052</v>
      </c>
      <c r="AK5135">
        <v>23.007596718797</v>
      </c>
      <c r="AL5135">
        <v>89.326088667733501</v>
      </c>
      <c r="AM5135">
        <v>91.934845503503396</v>
      </c>
      <c r="AN5135">
        <v>0.99999996456511298</v>
      </c>
    </row>
    <row r="5136" spans="1:40" x14ac:dyDescent="0.25">
      <c r="A5136" t="str">
        <f>"20190312161118098"</f>
        <v>20190312161118098</v>
      </c>
      <c r="B5136" t="str">
        <f>"1552378278092661"</f>
        <v>1552378278092661</v>
      </c>
      <c r="C5136" t="s">
        <v>40</v>
      </c>
      <c r="D5136">
        <v>5.3335369999999998</v>
      </c>
      <c r="E5136">
        <v>0.3610583</v>
      </c>
      <c r="F5136" t="s">
        <v>41</v>
      </c>
      <c r="G5136">
        <v>-396.32389999999998</v>
      </c>
      <c r="H5136" s="1">
        <v>-2.5259959999999999E-6</v>
      </c>
      <c r="I5136">
        <v>15.369</v>
      </c>
      <c r="J5136">
        <v>-416.59769999999997</v>
      </c>
      <c r="K5136">
        <v>1.1153</v>
      </c>
      <c r="L5136">
        <v>27.200559999999999</v>
      </c>
      <c r="M5136">
        <v>0.61551119999999904</v>
      </c>
      <c r="N5136">
        <v>0</v>
      </c>
      <c r="O5136">
        <v>-0.78799960000000002</v>
      </c>
      <c r="P5136">
        <v>0.64213290000000001</v>
      </c>
      <c r="Q5136">
        <v>-2.0016140000000001E-3</v>
      </c>
      <c r="R5136">
        <v>-0.76659109999999997</v>
      </c>
      <c r="S5136">
        <v>2.7549440000000001</v>
      </c>
      <c r="T5136">
        <v>-0.150938299999999</v>
      </c>
      <c r="U5136">
        <v>-1.614258</v>
      </c>
      <c r="V5136">
        <v>-3.4302470000000002E-2</v>
      </c>
      <c r="W5136">
        <v>1.182893E-2</v>
      </c>
      <c r="X5136">
        <v>0.99934149999999999</v>
      </c>
      <c r="Y5136">
        <v>-0.36777300000000002</v>
      </c>
      <c r="Z5136">
        <v>4.2763229999999999E-2</v>
      </c>
      <c r="AA5136">
        <v>0.92893179999999997</v>
      </c>
      <c r="AB5136">
        <v>20</v>
      </c>
      <c r="AC5136">
        <v>20.273799999999898</v>
      </c>
      <c r="AD5136">
        <v>-1.1153025259960001</v>
      </c>
      <c r="AE5136">
        <v>-11.8315599999999</v>
      </c>
      <c r="AF5136">
        <v>-8.6745866345168601</v>
      </c>
      <c r="AG5136">
        <v>-1.1153025259960001</v>
      </c>
      <c r="AH5136">
        <v>21.7551126104118</v>
      </c>
      <c r="AI5136">
        <v>92.726376501854801</v>
      </c>
      <c r="AJ5136">
        <v>111.739040659686</v>
      </c>
      <c r="AK5136">
        <v>23.447329862820801</v>
      </c>
      <c r="AL5136">
        <v>89.322236434010605</v>
      </c>
      <c r="AM5136">
        <v>91.965909974932302</v>
      </c>
      <c r="AN5136">
        <v>1.0000000083276399</v>
      </c>
    </row>
    <row r="5137" spans="1:40" x14ac:dyDescent="0.25">
      <c r="A5137" t="str">
        <f>"20190312161118111"</f>
        <v>20190312161118111</v>
      </c>
      <c r="B5137" t="str">
        <f>"1552378278102422"</f>
        <v>1552378278102422</v>
      </c>
      <c r="C5137" t="s">
        <v>40</v>
      </c>
      <c r="D5137">
        <v>5.727087</v>
      </c>
      <c r="E5137">
        <v>0.3610583</v>
      </c>
      <c r="F5137" t="s">
        <v>41</v>
      </c>
      <c r="G5137">
        <v>-394.6653</v>
      </c>
      <c r="H5137" s="1">
        <v>-3.3760770000000002E-6</v>
      </c>
      <c r="I5137">
        <v>14.68981</v>
      </c>
      <c r="J5137">
        <v>-416.52300000000002</v>
      </c>
      <c r="K5137">
        <v>1.115292</v>
      </c>
      <c r="L5137">
        <v>27.114409999999999</v>
      </c>
      <c r="M5137">
        <v>0.619565699999999</v>
      </c>
      <c r="N5137">
        <v>0</v>
      </c>
      <c r="O5137">
        <v>-0.7848155</v>
      </c>
      <c r="P5137">
        <v>0.64670719999999904</v>
      </c>
      <c r="Q5137">
        <v>-2.0683260000000001E-3</v>
      </c>
      <c r="R5137">
        <v>-0.76273590000000002</v>
      </c>
      <c r="S5137">
        <v>2.7790530000000002</v>
      </c>
      <c r="T5137">
        <v>-0.14132</v>
      </c>
      <c r="U5137">
        <v>-1.5852360000000001</v>
      </c>
      <c r="V5137">
        <v>-3.5127829999999999E-2</v>
      </c>
      <c r="W5137">
        <v>1.175025E-2</v>
      </c>
      <c r="X5137">
        <v>0.99931380000000003</v>
      </c>
      <c r="Y5137">
        <v>-0.37390459999999998</v>
      </c>
      <c r="Z5137">
        <v>3.9950359999999997E-2</v>
      </c>
      <c r="AA5137">
        <v>0.92660640000000005</v>
      </c>
      <c r="AB5137">
        <v>20</v>
      </c>
      <c r="AC5137">
        <v>21.857700000000001</v>
      </c>
      <c r="AD5137">
        <v>-1.1152953760769999</v>
      </c>
      <c r="AE5137">
        <v>-12.4245999999999</v>
      </c>
      <c r="AF5137">
        <v>-9.4387922679921807</v>
      </c>
      <c r="AG5137">
        <v>-1.1152953760769999</v>
      </c>
      <c r="AH5137">
        <v>23.249913789522001</v>
      </c>
      <c r="AI5137">
        <v>92.544939331913895</v>
      </c>
      <c r="AJ5137">
        <v>112.095729199877</v>
      </c>
      <c r="AK5137">
        <v>25.1175869556455</v>
      </c>
      <c r="AL5137">
        <v>89.326744808532894</v>
      </c>
      <c r="AM5137">
        <v>92.013229500248599</v>
      </c>
      <c r="AN5137">
        <v>1.0000000518429999</v>
      </c>
    </row>
    <row r="5138" spans="1:40" x14ac:dyDescent="0.25">
      <c r="A5138" t="str">
        <f>"20190312161118128"</f>
        <v>20190312161118128</v>
      </c>
      <c r="B5138" t="str">
        <f>"1552378278121945"</f>
        <v>1552378278121945</v>
      </c>
      <c r="C5138" t="s">
        <v>40</v>
      </c>
      <c r="D5138">
        <v>5.7421309999999997</v>
      </c>
      <c r="E5138">
        <v>0.319913</v>
      </c>
      <c r="F5138" t="s">
        <v>41</v>
      </c>
      <c r="G5138">
        <v>-394.48090000000002</v>
      </c>
      <c r="H5138" s="1">
        <v>-3.458484E-6</v>
      </c>
      <c r="I5138">
        <v>14.716699999999999</v>
      </c>
      <c r="J5138">
        <v>-416.42349999999999</v>
      </c>
      <c r="K5138">
        <v>1.1152820000000001</v>
      </c>
      <c r="L5138">
        <v>27.001069999999999</v>
      </c>
      <c r="M5138">
        <v>0.62490219999999996</v>
      </c>
      <c r="N5138">
        <v>0</v>
      </c>
      <c r="O5138">
        <v>-0.78057339999999997</v>
      </c>
      <c r="P5138">
        <v>0.65265329999999999</v>
      </c>
      <c r="Q5138">
        <v>-2.6412639999999999E-3</v>
      </c>
      <c r="R5138">
        <v>-0.75765260000000001</v>
      </c>
      <c r="S5138">
        <v>2.7885740000000001</v>
      </c>
      <c r="T5138">
        <v>-0.14109749999999999</v>
      </c>
      <c r="U5138">
        <v>-1.568451</v>
      </c>
      <c r="V5138">
        <v>-3.6124429999999999E-2</v>
      </c>
      <c r="W5138">
        <v>1.116283E-2</v>
      </c>
      <c r="X5138">
        <v>0.99928490000000003</v>
      </c>
      <c r="Y5138">
        <v>-0.37317729999999999</v>
      </c>
      <c r="Z5138">
        <v>3.9734989999999998E-2</v>
      </c>
      <c r="AA5138">
        <v>0.92690879999999998</v>
      </c>
      <c r="AB5138">
        <v>20</v>
      </c>
      <c r="AC5138">
        <v>21.942599999999899</v>
      </c>
      <c r="AD5138">
        <v>-1.115285458484</v>
      </c>
      <c r="AE5138">
        <v>-12.284369999999999</v>
      </c>
      <c r="AF5138">
        <v>-9.43368119383417</v>
      </c>
      <c r="AG5138">
        <v>-1.115285458484</v>
      </c>
      <c r="AH5138">
        <v>23.257443915699</v>
      </c>
      <c r="AI5138">
        <v>92.544404761221799</v>
      </c>
      <c r="AJ5138">
        <v>112.078451809079</v>
      </c>
      <c r="AK5138">
        <v>25.122637202584698</v>
      </c>
      <c r="AL5138">
        <v>89.360403636176798</v>
      </c>
      <c r="AM5138">
        <v>92.070356970326401</v>
      </c>
      <c r="AN5138">
        <v>0.99999994729221997</v>
      </c>
    </row>
    <row r="5139" spans="1:40" x14ac:dyDescent="0.25">
      <c r="A5139" t="str">
        <f>"20190312161118150"</f>
        <v>20190312161118150</v>
      </c>
      <c r="B5139" t="str">
        <f>"1552378278142441"</f>
        <v>1552378278142441</v>
      </c>
      <c r="C5139" t="s">
        <v>40</v>
      </c>
      <c r="D5139">
        <v>5.731992</v>
      </c>
      <c r="E5139">
        <v>0.3250979</v>
      </c>
      <c r="F5139" t="s">
        <v>43</v>
      </c>
      <c r="G5139">
        <v>-353.03089999999997</v>
      </c>
      <c r="H5139">
        <v>-0.05</v>
      </c>
      <c r="I5139">
        <v>-0.75093080000000001</v>
      </c>
      <c r="J5139">
        <v>-416.29320000000001</v>
      </c>
      <c r="K5139">
        <v>1.115265</v>
      </c>
      <c r="L5139">
        <v>26.85492</v>
      </c>
      <c r="M5139">
        <v>0.63178970000000001</v>
      </c>
      <c r="N5139">
        <v>0</v>
      </c>
      <c r="O5139">
        <v>-0.77500930000000001</v>
      </c>
      <c r="P5139">
        <v>0.66054709999999905</v>
      </c>
      <c r="Q5139">
        <v>-4.0421520000000002E-3</v>
      </c>
      <c r="R5139">
        <v>-0.7507741</v>
      </c>
      <c r="S5139">
        <v>3.047577</v>
      </c>
      <c r="T5139">
        <v>-5.6020500000000001E-2</v>
      </c>
      <c r="U5139">
        <v>-1.3341670000000001</v>
      </c>
      <c r="V5139">
        <v>-3.7721209999999998E-2</v>
      </c>
      <c r="W5139">
        <v>9.7390710000000002E-3</v>
      </c>
      <c r="X5139">
        <v>0.99924080000000004</v>
      </c>
      <c r="Y5139">
        <v>-0.45649640000000002</v>
      </c>
      <c r="Z5139">
        <v>1.5620449999999999E-2</v>
      </c>
      <c r="AA5139">
        <v>0.88958809999999999</v>
      </c>
      <c r="AB5139">
        <v>20</v>
      </c>
      <c r="AC5139">
        <v>63.262300000000003</v>
      </c>
      <c r="AD5139">
        <v>-1.165265</v>
      </c>
      <c r="AE5139">
        <v>-27.605850799999999</v>
      </c>
      <c r="AF5139">
        <v>-31.581974017697199</v>
      </c>
      <c r="AG5139">
        <v>-1.165265</v>
      </c>
      <c r="AH5139">
        <v>61.351984420552803</v>
      </c>
      <c r="AI5139">
        <v>90.967463862533606</v>
      </c>
      <c r="AJ5139">
        <v>117.237912833629</v>
      </c>
      <c r="AK5139">
        <v>69.013367674056298</v>
      </c>
      <c r="AL5139">
        <v>89.441983490263397</v>
      </c>
      <c r="AM5139">
        <v>92.161881669254996</v>
      </c>
      <c r="AN5139">
        <v>0.99999995778622197</v>
      </c>
    </row>
    <row r="5140" spans="1:40" x14ac:dyDescent="0.25">
      <c r="A5140" t="str">
        <f>"20190312161118161"</f>
        <v>20190312161118161</v>
      </c>
      <c r="B5140" t="str">
        <f>"1552378278152198"</f>
        <v>1552378278152198</v>
      </c>
      <c r="C5140" t="s">
        <v>40</v>
      </c>
      <c r="D5140">
        <v>5.6980579999999996</v>
      </c>
      <c r="E5140">
        <v>0.32687749999999999</v>
      </c>
      <c r="F5140" t="s">
        <v>97</v>
      </c>
      <c r="G5140">
        <v>-381.4554</v>
      </c>
      <c r="H5140" s="1">
        <v>-5.4640760000000001E-6</v>
      </c>
      <c r="I5140">
        <v>11.585279999999999</v>
      </c>
      <c r="J5140">
        <v>-416.21969999999999</v>
      </c>
      <c r="K5140">
        <v>1.1152550000000001</v>
      </c>
      <c r="L5140">
        <v>26.773530000000001</v>
      </c>
      <c r="M5140">
        <v>0.63562399999999997</v>
      </c>
      <c r="N5140">
        <v>0</v>
      </c>
      <c r="O5140">
        <v>-0.77186759999999999</v>
      </c>
      <c r="P5140">
        <v>0.66464109999999998</v>
      </c>
      <c r="Q5140">
        <v>-4.5641199999999996E-3</v>
      </c>
      <c r="R5140">
        <v>-0.74714899999999995</v>
      </c>
      <c r="S5140">
        <v>3.0310969999999999</v>
      </c>
      <c r="T5140">
        <v>-9.7035410000000002E-2</v>
      </c>
      <c r="U5140">
        <v>-1.328552</v>
      </c>
      <c r="V5140">
        <v>-3.822503E-2</v>
      </c>
      <c r="W5140">
        <v>9.2093279999999993E-3</v>
      </c>
      <c r="X5140">
        <v>0.99922670000000002</v>
      </c>
      <c r="Y5140">
        <v>-0.4514069</v>
      </c>
      <c r="Z5140">
        <v>2.7072019999999999E-2</v>
      </c>
      <c r="AA5140">
        <v>0.89190749999999996</v>
      </c>
      <c r="AB5140">
        <v>20</v>
      </c>
      <c r="AC5140">
        <v>34.764299999999899</v>
      </c>
      <c r="AD5140">
        <v>-1.115260464076</v>
      </c>
      <c r="AE5140">
        <v>-15.188249999999901</v>
      </c>
      <c r="AF5140">
        <v>-17.166325282896899</v>
      </c>
      <c r="AG5140">
        <v>-1.115260464076</v>
      </c>
      <c r="AH5140">
        <v>33.794561367880497</v>
      </c>
      <c r="AI5140">
        <v>91.685319665879007</v>
      </c>
      <c r="AJ5140">
        <v>116.928801550119</v>
      </c>
      <c r="AK5140">
        <v>37.9209560489764</v>
      </c>
      <c r="AL5140">
        <v>89.472336904741198</v>
      </c>
      <c r="AM5140">
        <v>92.190759584200094</v>
      </c>
      <c r="AN5140">
        <v>0.99999998131680101</v>
      </c>
    </row>
    <row r="5141" spans="1:40" x14ac:dyDescent="0.25">
      <c r="A5141" t="str">
        <f>"20190312161118183"</f>
        <v>20190312161118183</v>
      </c>
      <c r="B5141" t="str">
        <f>"1552378278172694"</f>
        <v>1552378278172694</v>
      </c>
      <c r="C5141" t="s">
        <v>40</v>
      </c>
      <c r="D5141">
        <v>5.7299939999999996</v>
      </c>
      <c r="E5141">
        <v>0.329459</v>
      </c>
      <c r="F5141" t="s">
        <v>97</v>
      </c>
      <c r="G5141">
        <v>-385.38159999999999</v>
      </c>
      <c r="H5141" s="1">
        <v>-3.4496150000000002E-6</v>
      </c>
      <c r="I5141">
        <v>13.318669999999999</v>
      </c>
      <c r="J5141">
        <v>-416.0985</v>
      </c>
      <c r="K5141">
        <v>1.1152260000000001</v>
      </c>
      <c r="L5141">
        <v>26.641269999999999</v>
      </c>
      <c r="M5141">
        <v>0.64186529999999997</v>
      </c>
      <c r="N5141">
        <v>0</v>
      </c>
      <c r="O5141">
        <v>-0.76668549999999902</v>
      </c>
      <c r="P5141">
        <v>0.67164869999999899</v>
      </c>
      <c r="Q5141">
        <v>-5.7322789999999998E-3</v>
      </c>
      <c r="R5141">
        <v>-0.74084759999999905</v>
      </c>
      <c r="S5141">
        <v>3.027863</v>
      </c>
      <c r="T5141">
        <v>-0.10950260000000001</v>
      </c>
      <c r="U5141">
        <v>-1.321075</v>
      </c>
      <c r="V5141">
        <v>-3.9520920000000001E-2</v>
      </c>
      <c r="W5141">
        <v>8.0225239999999996E-3</v>
      </c>
      <c r="X5141">
        <v>0.99918649999999998</v>
      </c>
      <c r="Y5141">
        <v>-0.44554529999999998</v>
      </c>
      <c r="Z5141">
        <v>3.0406820000000001E-2</v>
      </c>
      <c r="AA5141">
        <v>0.89474290000000001</v>
      </c>
      <c r="AB5141">
        <v>20</v>
      </c>
      <c r="AC5141">
        <v>30.716899999999999</v>
      </c>
      <c r="AD5141">
        <v>-1.1152294496149999</v>
      </c>
      <c r="AE5141">
        <v>-13.3226</v>
      </c>
      <c r="AF5141">
        <v>-14.9837803697312</v>
      </c>
      <c r="AG5141">
        <v>-1.1152294496149999</v>
      </c>
      <c r="AH5141">
        <v>29.900210740035199</v>
      </c>
      <c r="AI5141">
        <v>91.909857364034096</v>
      </c>
      <c r="AJ5141">
        <v>116.616651242047</v>
      </c>
      <c r="AK5141">
        <v>33.4631142183771</v>
      </c>
      <c r="AL5141">
        <v>89.540338285905705</v>
      </c>
      <c r="AM5141">
        <v>92.265044804100995</v>
      </c>
      <c r="AN5141">
        <v>0.99999996289561199</v>
      </c>
    </row>
    <row r="5142" spans="1:40" x14ac:dyDescent="0.25">
      <c r="A5142" t="str">
        <f>"20190312161118207"</f>
        <v>20190312161118207</v>
      </c>
      <c r="B5142" t="str">
        <f>"1552378278201974"</f>
        <v>1552378278201974</v>
      </c>
      <c r="C5142" t="s">
        <v>40</v>
      </c>
      <c r="D5142">
        <v>5.7222749999999998</v>
      </c>
      <c r="E5142">
        <v>0.33197389999999999</v>
      </c>
      <c r="F5142" t="s">
        <v>97</v>
      </c>
      <c r="G5142">
        <v>-389.33350000000002</v>
      </c>
      <c r="H5142" s="1">
        <v>-1.4613629999999999E-6</v>
      </c>
      <c r="I5142">
        <v>15.08752</v>
      </c>
      <c r="J5142">
        <v>-415.96030000000002</v>
      </c>
      <c r="K5142">
        <v>1.1152070000000001</v>
      </c>
      <c r="L5142">
        <v>26.493130000000001</v>
      </c>
      <c r="M5142">
        <v>0.64886219999999994</v>
      </c>
      <c r="N5142">
        <v>0</v>
      </c>
      <c r="O5142">
        <v>-0.76077299999999903</v>
      </c>
      <c r="P5142">
        <v>0.67900050000000001</v>
      </c>
      <c r="Q5142">
        <v>-6.4795390000000003E-3</v>
      </c>
      <c r="R5142">
        <v>-0.73410940000000002</v>
      </c>
      <c r="S5142">
        <v>3.0251459999999999</v>
      </c>
      <c r="T5142">
        <v>-0.1260501</v>
      </c>
      <c r="U5142">
        <v>-1.3058780000000001</v>
      </c>
      <c r="V5142">
        <v>-4.0322049999999998E-2</v>
      </c>
      <c r="W5142">
        <v>7.2624680000000002E-3</v>
      </c>
      <c r="X5142">
        <v>0.9991603</v>
      </c>
      <c r="Y5142">
        <v>-0.44065530000000003</v>
      </c>
      <c r="Z5142">
        <v>3.4853629999999997E-2</v>
      </c>
      <c r="AA5142">
        <v>0.89699949999999995</v>
      </c>
      <c r="AB5142">
        <v>20</v>
      </c>
      <c r="AC5142">
        <v>26.626799999999999</v>
      </c>
      <c r="AD5142">
        <v>-1.115208461363</v>
      </c>
      <c r="AE5142">
        <v>-11.4056099999999</v>
      </c>
      <c r="AF5142">
        <v>-12.8385523381471</v>
      </c>
      <c r="AG5142">
        <v>-1.115208461363</v>
      </c>
      <c r="AH5142">
        <v>25.918412974022399</v>
      </c>
      <c r="AI5142">
        <v>92.208038385793003</v>
      </c>
      <c r="AJ5142">
        <v>116.351277663388</v>
      </c>
      <c r="AK5142">
        <v>28.945401139794399</v>
      </c>
      <c r="AL5142">
        <v>89.583887559405397</v>
      </c>
      <c r="AM5142">
        <v>92.310970855601099</v>
      </c>
      <c r="AN5142">
        <v>0.99999995812687004</v>
      </c>
    </row>
    <row r="5143" spans="1:40" x14ac:dyDescent="0.25">
      <c r="A5143" t="str">
        <f>"20190312161118230"</f>
        <v>20190312161118230</v>
      </c>
      <c r="B5143" t="str">
        <f>"1552378278222469"</f>
        <v>1552378278222469</v>
      </c>
      <c r="C5143" t="s">
        <v>40</v>
      </c>
      <c r="D5143">
        <v>5.7121639999999996</v>
      </c>
      <c r="E5143">
        <v>0.33431870000000002</v>
      </c>
      <c r="F5143" t="s">
        <v>42</v>
      </c>
      <c r="G5143">
        <v>-415.05079999999998</v>
      </c>
      <c r="H5143">
        <v>1.073226</v>
      </c>
      <c r="I5143">
        <v>26.105399999999999</v>
      </c>
      <c r="J5143">
        <v>-415.81689999999998</v>
      </c>
      <c r="K5143">
        <v>1.1151869999999999</v>
      </c>
      <c r="L5143">
        <v>26.342220000000001</v>
      </c>
      <c r="M5143">
        <v>0.65599940000000001</v>
      </c>
      <c r="N5143">
        <v>0</v>
      </c>
      <c r="O5143">
        <v>-0.75462739999999995</v>
      </c>
      <c r="P5143">
        <v>0.68597419999999998</v>
      </c>
      <c r="Q5143">
        <v>-6.9541369999999896E-3</v>
      </c>
      <c r="R5143">
        <v>-0.72759249999999998</v>
      </c>
      <c r="S5143">
        <v>3.0233460000000001</v>
      </c>
      <c r="T5143">
        <v>-0.13955609999999999</v>
      </c>
      <c r="U5143">
        <v>-1.289032</v>
      </c>
      <c r="V5143">
        <v>-4.0441299999999999E-2</v>
      </c>
      <c r="W5143">
        <v>6.7837359999999899E-3</v>
      </c>
      <c r="X5143">
        <v>0.99915889999999996</v>
      </c>
      <c r="Y5143">
        <v>-0.4360657</v>
      </c>
      <c r="Z5143">
        <v>3.8415789999999998E-2</v>
      </c>
      <c r="AA5143">
        <v>0.89909450000000002</v>
      </c>
      <c r="AB5143">
        <v>20</v>
      </c>
      <c r="AC5143">
        <v>0.76609999999999401</v>
      </c>
      <c r="AD5143">
        <v>-4.1961000000000102E-2</v>
      </c>
      <c r="AE5143">
        <v>-0.236820000000001</v>
      </c>
      <c r="AF5143">
        <v>-0.42165440903704099</v>
      </c>
      <c r="AG5143">
        <v>-4.1961000000000102E-2</v>
      </c>
      <c r="AH5143">
        <v>0.67948027373793096</v>
      </c>
      <c r="AI5143">
        <v>93.003688337894005</v>
      </c>
      <c r="AJ5143">
        <v>121.821847997506</v>
      </c>
      <c r="AK5143">
        <v>0.80077875132919896</v>
      </c>
      <c r="AL5143">
        <v>89.611317581606798</v>
      </c>
      <c r="AM5143">
        <v>92.317801211943703</v>
      </c>
      <c r="AN5143">
        <v>1.0000000126344999</v>
      </c>
    </row>
    <row r="5144" spans="1:40" x14ac:dyDescent="0.25">
      <c r="A5144" t="str">
        <f>"20190312161118251"</f>
        <v>20190312161118251</v>
      </c>
      <c r="B5144" t="str">
        <f>"1552378278241989"</f>
        <v>1552378278241989</v>
      </c>
      <c r="C5144" t="s">
        <v>40</v>
      </c>
      <c r="D5144">
        <v>5.6955229999999997</v>
      </c>
      <c r="E5144">
        <v>0.33532990000000001</v>
      </c>
      <c r="F5144" t="s">
        <v>42</v>
      </c>
      <c r="G5144">
        <v>-414.89569999999998</v>
      </c>
      <c r="H5144">
        <v>1.0697410000000001</v>
      </c>
      <c r="I5144">
        <v>25.95429</v>
      </c>
      <c r="J5144">
        <v>-415.6841</v>
      </c>
      <c r="K5144">
        <v>1.1151759999999999</v>
      </c>
      <c r="L5144">
        <v>26.20496</v>
      </c>
      <c r="M5144">
        <v>0.66249709999999995</v>
      </c>
      <c r="N5144">
        <v>0</v>
      </c>
      <c r="O5144">
        <v>-0.74892969999999903</v>
      </c>
      <c r="P5144">
        <v>0.69213080000000005</v>
      </c>
      <c r="Q5144">
        <v>-7.4046379999999998E-3</v>
      </c>
      <c r="R5144">
        <v>-0.72173449999999995</v>
      </c>
      <c r="S5144">
        <v>3.0220639999999999</v>
      </c>
      <c r="T5144">
        <v>-0.14908080000000001</v>
      </c>
      <c r="U5144">
        <v>-1.272583</v>
      </c>
      <c r="V5144">
        <v>-4.0291340000000002E-2</v>
      </c>
      <c r="W5144">
        <v>6.331705E-3</v>
      </c>
      <c r="X5144">
        <v>0.9991679</v>
      </c>
      <c r="Y5144">
        <v>-0.43217739999999999</v>
      </c>
      <c r="Z5144">
        <v>4.0869719999999998E-2</v>
      </c>
      <c r="AA5144">
        <v>0.90086200000000005</v>
      </c>
      <c r="AB5144">
        <v>20</v>
      </c>
      <c r="AC5144">
        <v>0.78840000000002397</v>
      </c>
      <c r="AD5144">
        <v>-4.5434999999999802E-2</v>
      </c>
      <c r="AE5144">
        <v>-0.250669999999999</v>
      </c>
      <c r="AF5144">
        <v>-0.42315454305126099</v>
      </c>
      <c r="AG5144">
        <v>-4.5434999999999802E-2</v>
      </c>
      <c r="AH5144">
        <v>0.70798316920780402</v>
      </c>
      <c r="AI5144">
        <v>93.153001985799307</v>
      </c>
      <c r="AJ5144">
        <v>120.86634370707201</v>
      </c>
      <c r="AK5144">
        <v>0.82605343314548896</v>
      </c>
      <c r="AL5144">
        <v>89.637217597787398</v>
      </c>
      <c r="AM5144">
        <v>92.309195139036007</v>
      </c>
      <c r="AN5144">
        <v>0.99999998747880603</v>
      </c>
    </row>
    <row r="5145" spans="1:40" x14ac:dyDescent="0.25">
      <c r="A5145" t="str">
        <f>"20190312161118272"</f>
        <v>20190312161118272</v>
      </c>
      <c r="B5145" t="str">
        <f>"1552378278261952"</f>
        <v>1552378278261952</v>
      </c>
      <c r="C5145" t="s">
        <v>40</v>
      </c>
      <c r="D5145">
        <v>5.7053710000000004</v>
      </c>
      <c r="E5145">
        <v>0.34994180000000003</v>
      </c>
      <c r="F5145" t="s">
        <v>42</v>
      </c>
      <c r="G5145">
        <v>-414.74400000000003</v>
      </c>
      <c r="H5145">
        <v>1.0673589999999999</v>
      </c>
      <c r="I5145">
        <v>25.81588</v>
      </c>
      <c r="J5145">
        <v>-415.55360000000002</v>
      </c>
      <c r="K5145">
        <v>1.1151599999999999</v>
      </c>
      <c r="L5145">
        <v>26.07245</v>
      </c>
      <c r="M5145">
        <v>0.6687729</v>
      </c>
      <c r="N5145">
        <v>0</v>
      </c>
      <c r="O5145">
        <v>-0.74333079999999996</v>
      </c>
      <c r="P5145">
        <v>0.69797629999999999</v>
      </c>
      <c r="Q5145">
        <v>-8.0088989999999999E-3</v>
      </c>
      <c r="R5145">
        <v>-0.71607609999999999</v>
      </c>
      <c r="S5145">
        <v>3.0270389999999998</v>
      </c>
      <c r="T5145">
        <v>-0.153942</v>
      </c>
      <c r="U5145">
        <v>-1.252197</v>
      </c>
      <c r="V5145">
        <v>-4.0008479999999999E-2</v>
      </c>
      <c r="W5145">
        <v>5.7285160000000003E-3</v>
      </c>
      <c r="X5145">
        <v>0.99918289999999998</v>
      </c>
      <c r="Y5145">
        <v>-0.4302298</v>
      </c>
      <c r="Z5145">
        <v>4.2011010000000001E-2</v>
      </c>
      <c r="AA5145">
        <v>0.90174129999999997</v>
      </c>
      <c r="AB5145">
        <v>20</v>
      </c>
      <c r="AC5145">
        <v>0.809599999999989</v>
      </c>
      <c r="AD5145">
        <v>-4.7800999999999899E-2</v>
      </c>
      <c r="AE5145">
        <v>-0.25657000000000002</v>
      </c>
      <c r="AF5145">
        <v>-0.42889833676988998</v>
      </c>
      <c r="AG5145">
        <v>-4.7800999999999899E-2</v>
      </c>
      <c r="AH5145">
        <v>0.72991663518308803</v>
      </c>
      <c r="AI5145">
        <v>93.231620250695102</v>
      </c>
      <c r="AJ5145">
        <v>120.438455417014</v>
      </c>
      <c r="AK5145">
        <v>0.84794870906321895</v>
      </c>
      <c r="AL5145">
        <v>89.671778408929598</v>
      </c>
      <c r="AM5145">
        <v>92.292966720262697</v>
      </c>
      <c r="AN5145">
        <v>0.99999998100994103</v>
      </c>
    </row>
    <row r="5146" spans="1:40" x14ac:dyDescent="0.25">
      <c r="A5146" t="str">
        <f>"20190312161118295"</f>
        <v>20190312161118295</v>
      </c>
      <c r="B5146" t="str">
        <f>"1552378278292208"</f>
        <v>1552378278292208</v>
      </c>
      <c r="C5146" t="s">
        <v>40</v>
      </c>
      <c r="D5146">
        <v>5.6572760000000004</v>
      </c>
      <c r="E5146">
        <v>0.34462979999999999</v>
      </c>
      <c r="F5146" t="s">
        <v>78</v>
      </c>
      <c r="G5146">
        <v>-400.85300000000001</v>
      </c>
      <c r="H5146" s="1">
        <v>-7.4188519999999998E-6</v>
      </c>
      <c r="I5146">
        <v>19.569769999999998</v>
      </c>
      <c r="J5146">
        <v>-415.41410000000002</v>
      </c>
      <c r="K5146">
        <v>1.1151450000000001</v>
      </c>
      <c r="L5146">
        <v>25.933039999999998</v>
      </c>
      <c r="M5146">
        <v>0.67538219999999904</v>
      </c>
      <c r="N5146">
        <v>0</v>
      </c>
      <c r="O5146">
        <v>-0.73733090000000001</v>
      </c>
      <c r="P5146">
        <v>0.70410109999999904</v>
      </c>
      <c r="Q5146">
        <v>-8.2366049999999993E-3</v>
      </c>
      <c r="R5146">
        <v>-0.71005209999999996</v>
      </c>
      <c r="S5146">
        <v>2.9546809999999999</v>
      </c>
      <c r="T5146">
        <v>-0.2241378</v>
      </c>
      <c r="U5146">
        <v>-1.3069759999999999</v>
      </c>
      <c r="V5146">
        <v>-3.966977E-2</v>
      </c>
      <c r="W5146">
        <v>5.5024990000000001E-3</v>
      </c>
      <c r="X5146">
        <v>0.99919769999999997</v>
      </c>
      <c r="Y5146">
        <v>-0.39892569999999999</v>
      </c>
      <c r="Z5146">
        <v>6.0808969999999997E-2</v>
      </c>
      <c r="AA5146">
        <v>0.91496469999999996</v>
      </c>
      <c r="AB5146">
        <v>20</v>
      </c>
      <c r="AC5146">
        <v>14.5611</v>
      </c>
      <c r="AD5146">
        <v>-1.1151524188519999</v>
      </c>
      <c r="AE5146">
        <v>-6.3632699999999902</v>
      </c>
      <c r="AF5146">
        <v>-6.4078037834311798</v>
      </c>
      <c r="AG5146">
        <v>-1.1151524188519999</v>
      </c>
      <c r="AH5146">
        <v>14.4564176656489</v>
      </c>
      <c r="AI5146">
        <v>94.033915452472499</v>
      </c>
      <c r="AJ5146">
        <v>113.905304452039</v>
      </c>
      <c r="AK5146">
        <v>15.852177325778101</v>
      </c>
      <c r="AL5146">
        <v>89.684728441437699</v>
      </c>
      <c r="AM5146">
        <v>92.273541384236793</v>
      </c>
      <c r="AN5146">
        <v>1.00000000591619</v>
      </c>
    </row>
    <row r="5147" spans="1:40" x14ac:dyDescent="0.25">
      <c r="A5147" t="str">
        <f>"20190312161118317"</f>
        <v>20190312161118317</v>
      </c>
      <c r="B5147" t="str">
        <f>"1552378278312704"</f>
        <v>1552378278312704</v>
      </c>
      <c r="C5147" t="s">
        <v>40</v>
      </c>
      <c r="D5147">
        <v>5.6744719999999997</v>
      </c>
      <c r="E5147">
        <v>0.34474339999999998</v>
      </c>
      <c r="F5147" t="s">
        <v>41</v>
      </c>
      <c r="G5147">
        <v>-396.61059999999998</v>
      </c>
      <c r="H5147" s="1">
        <v>-1.8573260000000001E-6</v>
      </c>
      <c r="I5147">
        <v>18.067969999999999</v>
      </c>
      <c r="J5147">
        <v>-415.27260000000001</v>
      </c>
      <c r="K5147">
        <v>1.1151329999999999</v>
      </c>
      <c r="L5147">
        <v>25.794250000000002</v>
      </c>
      <c r="M5147">
        <v>0.68196869999999998</v>
      </c>
      <c r="N5147">
        <v>0</v>
      </c>
      <c r="O5147">
        <v>-0.73124330000000004</v>
      </c>
      <c r="P5147">
        <v>0.70981740000000004</v>
      </c>
      <c r="Q5147">
        <v>-7.87038199999999E-3</v>
      </c>
      <c r="R5147">
        <v>-0.70434169999999996</v>
      </c>
      <c r="S5147">
        <v>2.9952390000000002</v>
      </c>
      <c r="T5147">
        <v>-0.17763329999999999</v>
      </c>
      <c r="U5147">
        <v>-1.2528379999999999</v>
      </c>
      <c r="V5147">
        <v>-3.8784899999999997E-2</v>
      </c>
      <c r="W5147">
        <v>5.8763330000000001E-3</v>
      </c>
      <c r="X5147">
        <v>0.99923030000000002</v>
      </c>
      <c r="Y5147">
        <v>-0.41009689999999999</v>
      </c>
      <c r="Z5147">
        <v>4.7967089999999997E-2</v>
      </c>
      <c r="AA5147">
        <v>0.91077969999999997</v>
      </c>
      <c r="AB5147">
        <v>20</v>
      </c>
      <c r="AC5147">
        <v>18.661999999999999</v>
      </c>
      <c r="AD5147">
        <v>-1.115134857326</v>
      </c>
      <c r="AE5147">
        <v>-7.7262799999999903</v>
      </c>
      <c r="AF5147">
        <v>-8.3527670956730002</v>
      </c>
      <c r="AG5147">
        <v>-1.115134857326</v>
      </c>
      <c r="AH5147">
        <v>18.322696367324099</v>
      </c>
      <c r="AI5147">
        <v>93.169688815188806</v>
      </c>
      <c r="AJ5147">
        <v>114.506817953332</v>
      </c>
      <c r="AK5147">
        <v>20.167633626028898</v>
      </c>
      <c r="AL5147">
        <v>89.6633089810245</v>
      </c>
      <c r="AM5147">
        <v>92.222806996457095</v>
      </c>
      <c r="AN5147">
        <v>0.99999999609781298</v>
      </c>
    </row>
    <row r="5148" spans="1:40" x14ac:dyDescent="0.25">
      <c r="A5148" t="str">
        <f>"20190312161118340"</f>
        <v>20190312161118340</v>
      </c>
      <c r="B5148" t="str">
        <f>"1552378278332224"</f>
        <v>1552378278332224</v>
      </c>
      <c r="C5148" t="s">
        <v>40</v>
      </c>
      <c r="D5148">
        <v>8.459517</v>
      </c>
      <c r="E5148">
        <v>0.34481790000000001</v>
      </c>
      <c r="F5148" t="s">
        <v>41</v>
      </c>
      <c r="G5148">
        <v>-395.45580000000001</v>
      </c>
      <c r="H5148" s="1">
        <v>-2.471233E-6</v>
      </c>
      <c r="I5148">
        <v>17.684419999999999</v>
      </c>
      <c r="J5148">
        <v>-415.1311</v>
      </c>
      <c r="K5148">
        <v>1.1151219999999999</v>
      </c>
      <c r="L5148">
        <v>25.657869999999999</v>
      </c>
      <c r="M5148">
        <v>0.68844780000000005</v>
      </c>
      <c r="N5148">
        <v>0</v>
      </c>
      <c r="O5148">
        <v>-0.72514679999999998</v>
      </c>
      <c r="P5148">
        <v>0.71584650000000005</v>
      </c>
      <c r="Q5148">
        <v>-7.7714209999999997E-3</v>
      </c>
      <c r="R5148">
        <v>-0.69821440000000001</v>
      </c>
      <c r="S5148">
        <v>3.004486</v>
      </c>
      <c r="T5148">
        <v>-0.16906869999999999</v>
      </c>
      <c r="U5148">
        <v>-1.2295529999999999</v>
      </c>
      <c r="V5148">
        <v>-3.8485169999999999E-2</v>
      </c>
      <c r="W5148">
        <v>5.9759899999999996E-3</v>
      </c>
      <c r="X5148">
        <v>0.9992413</v>
      </c>
      <c r="Y5148">
        <v>-0.40915180000000001</v>
      </c>
      <c r="Z5148">
        <v>4.5399639999999998E-2</v>
      </c>
      <c r="AA5148">
        <v>0.91133620000000004</v>
      </c>
      <c r="AB5148">
        <v>20</v>
      </c>
      <c r="AC5148">
        <v>19.6753</v>
      </c>
      <c r="AD5148">
        <v>-1.115124471233</v>
      </c>
      <c r="AE5148">
        <v>-7.9734499999999997</v>
      </c>
      <c r="AF5148">
        <v>-8.7549067758129695</v>
      </c>
      <c r="AG5148">
        <v>-1.115124471233</v>
      </c>
      <c r="AH5148">
        <v>19.276104176703299</v>
      </c>
      <c r="AI5148">
        <v>93.015094120045006</v>
      </c>
      <c r="AJ5148">
        <v>114.426810205001</v>
      </c>
      <c r="AK5148">
        <v>21.200473755806399</v>
      </c>
      <c r="AL5148">
        <v>89.657598955952196</v>
      </c>
      <c r="AM5148">
        <v>92.205621902474604</v>
      </c>
      <c r="AN5148">
        <v>0.99999999819604901</v>
      </c>
    </row>
    <row r="5149" spans="1:40" x14ac:dyDescent="0.25">
      <c r="A5149" t="str">
        <f>"20190312161118361"</f>
        <v>20190312161118361</v>
      </c>
      <c r="B5149" t="str">
        <f>"1552378278352724"</f>
        <v>1552378278352724</v>
      </c>
      <c r="C5149" t="s">
        <v>40</v>
      </c>
      <c r="D5149">
        <v>5.7942539999999996</v>
      </c>
      <c r="E5149">
        <v>0.33153470000000002</v>
      </c>
      <c r="F5149" t="s">
        <v>41</v>
      </c>
      <c r="G5149">
        <v>-394.92450000000002</v>
      </c>
      <c r="H5149" s="1">
        <v>-2.73974E-6</v>
      </c>
      <c r="I5149">
        <v>17.586559999999999</v>
      </c>
      <c r="J5149">
        <v>-414.99400000000003</v>
      </c>
      <c r="K5149">
        <v>1.1151040000000001</v>
      </c>
      <c r="L5149">
        <v>25.527950000000001</v>
      </c>
      <c r="M5149">
        <v>0.69462440000000003</v>
      </c>
      <c r="N5149">
        <v>0</v>
      </c>
      <c r="O5149">
        <v>-0.7192326</v>
      </c>
      <c r="P5149">
        <v>0.72184589999999904</v>
      </c>
      <c r="Q5149">
        <v>-7.3807339999999999E-3</v>
      </c>
      <c r="R5149">
        <v>-0.69201489999999999</v>
      </c>
      <c r="S5149">
        <v>3.0145569999999999</v>
      </c>
      <c r="T5149">
        <v>-0.1663618</v>
      </c>
      <c r="U5149">
        <v>-1.204132</v>
      </c>
      <c r="V5149">
        <v>-3.8564660000000001E-2</v>
      </c>
      <c r="W5149">
        <v>6.3631740000000001E-3</v>
      </c>
      <c r="X5149">
        <v>0.99923589999999995</v>
      </c>
      <c r="Y5149">
        <v>-0.40907320000000003</v>
      </c>
      <c r="Z5149">
        <v>4.4440180000000003E-2</v>
      </c>
      <c r="AA5149">
        <v>0.91141879999999997</v>
      </c>
      <c r="AB5149">
        <v>20</v>
      </c>
      <c r="AC5149">
        <v>20.069500000000001</v>
      </c>
      <c r="AD5149">
        <v>-1.1151067397399901</v>
      </c>
      <c r="AE5149">
        <v>-7.9413899999999904</v>
      </c>
      <c r="AF5149">
        <v>-8.8955094826574594</v>
      </c>
      <c r="AG5149">
        <v>-1.1151067397399901</v>
      </c>
      <c r="AH5149">
        <v>19.602127749250201</v>
      </c>
      <c r="AI5149">
        <v>92.965414798074505</v>
      </c>
      <c r="AJ5149">
        <v>114.408701942749</v>
      </c>
      <c r="AK5149">
        <v>21.554975395369599</v>
      </c>
      <c r="AL5149">
        <v>89.635414544596202</v>
      </c>
      <c r="AM5149">
        <v>92.210184969365301</v>
      </c>
      <c r="AN5149">
        <v>1.0000000534165301</v>
      </c>
    </row>
    <row r="5150" spans="1:40" x14ac:dyDescent="0.25">
      <c r="A5150" t="str">
        <f>"20190312161118384"</f>
        <v>20190312161118384</v>
      </c>
      <c r="B5150" t="str">
        <f>"1552378278382000"</f>
        <v>1552378278382000</v>
      </c>
      <c r="C5150" t="s">
        <v>40</v>
      </c>
      <c r="D5150">
        <v>5.751004</v>
      </c>
      <c r="E5150">
        <v>0.32606590000000002</v>
      </c>
      <c r="F5150" t="s">
        <v>98</v>
      </c>
      <c r="G5150">
        <v>-360.86680000000001</v>
      </c>
      <c r="H5150">
        <v>7.9986329999999994E-2</v>
      </c>
      <c r="I5150">
        <v>6.21732</v>
      </c>
      <c r="J5150">
        <v>-414.85140000000001</v>
      </c>
      <c r="K5150">
        <v>1.1150880000000001</v>
      </c>
      <c r="L5150">
        <v>25.39526</v>
      </c>
      <c r="M5150">
        <v>0.70094029999999996</v>
      </c>
      <c r="N5150">
        <v>0</v>
      </c>
      <c r="O5150">
        <v>-0.71307909999999997</v>
      </c>
      <c r="P5150">
        <v>0.72818050000000001</v>
      </c>
      <c r="Q5150">
        <v>-6.992814E-3</v>
      </c>
      <c r="R5150">
        <v>-0.68534989999999996</v>
      </c>
      <c r="S5150">
        <v>3.0963750000000001</v>
      </c>
      <c r="T5150">
        <v>-5.9214469999999998E-2</v>
      </c>
      <c r="U5150">
        <v>-1.1046750000000001</v>
      </c>
      <c r="V5150">
        <v>-3.8944779999999998E-2</v>
      </c>
      <c r="W5150">
        <v>6.7441589999999996E-3</v>
      </c>
      <c r="X5150">
        <v>0.99921859999999996</v>
      </c>
      <c r="Y5150">
        <v>-0.43597469999999999</v>
      </c>
      <c r="Z5150">
        <v>1.5740859999999999E-2</v>
      </c>
      <c r="AA5150">
        <v>0.89982119999999999</v>
      </c>
      <c r="AB5150">
        <v>20</v>
      </c>
      <c r="AC5150">
        <v>53.9846</v>
      </c>
      <c r="AD5150">
        <v>-1.03510167</v>
      </c>
      <c r="AE5150">
        <v>-19.17794</v>
      </c>
      <c r="AF5150">
        <v>-25.047039315940001</v>
      </c>
      <c r="AG5150">
        <v>-1.03510167</v>
      </c>
      <c r="AH5150">
        <v>51.503732090140801</v>
      </c>
      <c r="AI5150">
        <v>91.035433454432095</v>
      </c>
      <c r="AJ5150">
        <v>115.934351519668</v>
      </c>
      <c r="AK5150">
        <v>57.280537996552297</v>
      </c>
      <c r="AL5150">
        <v>89.613585221733999</v>
      </c>
      <c r="AM5150">
        <v>92.231986762137197</v>
      </c>
      <c r="AN5150">
        <v>0.99999999507791204</v>
      </c>
    </row>
    <row r="5151" spans="1:40" x14ac:dyDescent="0.25">
      <c r="A5151" t="str">
        <f>"20190312161118408"</f>
        <v>20190312161118408</v>
      </c>
      <c r="B5151" t="str">
        <f>"1552378278402496"</f>
        <v>1552378278402496</v>
      </c>
      <c r="C5151" t="s">
        <v>40</v>
      </c>
      <c r="D5151">
        <v>5.7498009999999997</v>
      </c>
      <c r="E5151">
        <v>0.32552700000000001</v>
      </c>
      <c r="F5151" t="s">
        <v>99</v>
      </c>
      <c r="G5151">
        <v>-372.08359999999999</v>
      </c>
      <c r="H5151" s="1">
        <v>-5.2729970000000003E-6</v>
      </c>
      <c r="I5151">
        <v>11.164720000000001</v>
      </c>
      <c r="J5151">
        <v>-414.69990000000001</v>
      </c>
      <c r="K5151">
        <v>1.115073</v>
      </c>
      <c r="L5151">
        <v>25.256989999999998</v>
      </c>
      <c r="M5151">
        <v>0.70753379999999999</v>
      </c>
      <c r="N5151">
        <v>0</v>
      </c>
      <c r="O5151">
        <v>-0.70653719999999998</v>
      </c>
      <c r="P5151">
        <v>0.73447910000000005</v>
      </c>
      <c r="Q5151">
        <v>-7.1541E-3</v>
      </c>
      <c r="R5151">
        <v>-0.67859389999999997</v>
      </c>
      <c r="S5151">
        <v>3.1367799999999999</v>
      </c>
      <c r="T5151">
        <v>-8.1785919999999998E-2</v>
      </c>
      <c r="U5151">
        <v>-1.0437320000000001</v>
      </c>
      <c r="V5151">
        <v>-3.8890510000000003E-2</v>
      </c>
      <c r="W5151">
        <v>6.5801310000000003E-3</v>
      </c>
      <c r="X5151">
        <v>0.99922180000000005</v>
      </c>
      <c r="Y5151">
        <v>-0.44676280000000002</v>
      </c>
      <c r="Z5151">
        <v>2.160494E-2</v>
      </c>
      <c r="AA5151">
        <v>0.89439150000000001</v>
      </c>
      <c r="AB5151">
        <v>20</v>
      </c>
      <c r="AC5151">
        <v>42.616300000000003</v>
      </c>
      <c r="AD5151">
        <v>-1.1150782729969999</v>
      </c>
      <c r="AE5151">
        <v>-14.092269999999999</v>
      </c>
      <c r="AF5151">
        <v>-20.128846769701401</v>
      </c>
      <c r="AG5151">
        <v>-1.1150782729969999</v>
      </c>
      <c r="AH5151">
        <v>40.088478747117101</v>
      </c>
      <c r="AI5151">
        <v>91.423957009444095</v>
      </c>
      <c r="AJ5151">
        <v>116.661708437372</v>
      </c>
      <c r="AK5151">
        <v>44.872040293384202</v>
      </c>
      <c r="AL5151">
        <v>89.622983539718305</v>
      </c>
      <c r="AM5151">
        <v>92.228872471210906</v>
      </c>
      <c r="AN5151">
        <v>0.99999998774363796</v>
      </c>
    </row>
    <row r="5152" spans="1:40" x14ac:dyDescent="0.25">
      <c r="A5152" t="str">
        <f>"20190312161118430"</f>
        <v>20190312161118430</v>
      </c>
      <c r="B5152" t="str">
        <f>"1552378278422017"</f>
        <v>1552378278422017</v>
      </c>
      <c r="C5152" t="s">
        <v>40</v>
      </c>
      <c r="D5152">
        <v>5.6859199999999896</v>
      </c>
      <c r="E5152">
        <v>0.3254822</v>
      </c>
      <c r="F5152" t="s">
        <v>99</v>
      </c>
      <c r="G5152">
        <v>-377.0872</v>
      </c>
      <c r="H5152" s="1">
        <v>-2.8155200000000001E-6</v>
      </c>
      <c r="I5152">
        <v>13.179259999999999</v>
      </c>
      <c r="J5152">
        <v>-414.55360000000002</v>
      </c>
      <c r="K5152">
        <v>1.1150659999999999</v>
      </c>
      <c r="L5152">
        <v>25.12585</v>
      </c>
      <c r="M5152">
        <v>0.7137926</v>
      </c>
      <c r="N5152">
        <v>0</v>
      </c>
      <c r="O5152">
        <v>-0.70021369999999905</v>
      </c>
      <c r="P5152">
        <v>0.74093989999999998</v>
      </c>
      <c r="Q5152">
        <v>-6.9225739999999999E-3</v>
      </c>
      <c r="R5152">
        <v>-0.67153580000000002</v>
      </c>
      <c r="S5152">
        <v>3.149292</v>
      </c>
      <c r="T5152">
        <v>-9.3364600000000006E-2</v>
      </c>
      <c r="U5152">
        <v>-1.011261</v>
      </c>
      <c r="V5152">
        <v>-3.9563210000000001E-2</v>
      </c>
      <c r="W5152">
        <v>6.8013780000000003E-3</v>
      </c>
      <c r="X5152">
        <v>0.99919389999999997</v>
      </c>
      <c r="Y5152">
        <v>-0.44811289999999998</v>
      </c>
      <c r="Z5152">
        <v>2.4528029999999999E-2</v>
      </c>
      <c r="AA5152">
        <v>0.89364049999999995</v>
      </c>
      <c r="AB5152">
        <v>20</v>
      </c>
      <c r="AC5152">
        <v>37.4664</v>
      </c>
      <c r="AD5152">
        <v>-1.1150688155199999</v>
      </c>
      <c r="AE5152">
        <v>-11.94659</v>
      </c>
      <c r="AF5152">
        <v>-17.694651111932401</v>
      </c>
      <c r="AG5152">
        <v>-1.1150688155199999</v>
      </c>
      <c r="AH5152">
        <v>35.083724183444197</v>
      </c>
      <c r="AI5152">
        <v>91.625505941757396</v>
      </c>
      <c r="AJ5152">
        <v>116.76432095937101</v>
      </c>
      <c r="AK5152">
        <v>39.309181612141799</v>
      </c>
      <c r="AL5152">
        <v>89.610306732685103</v>
      </c>
      <c r="AM5152">
        <v>92.267449248180696</v>
      </c>
      <c r="AN5152">
        <v>0.99999997806270602</v>
      </c>
    </row>
    <row r="5153" spans="1:40" x14ac:dyDescent="0.25">
      <c r="A5153" t="str">
        <f>"20190312161118451"</f>
        <v>20190312161118451</v>
      </c>
      <c r="B5153" t="str">
        <f>"1552378278442516"</f>
        <v>1552378278442516</v>
      </c>
      <c r="C5153" t="s">
        <v>40</v>
      </c>
      <c r="D5153">
        <v>5.6847289999999999</v>
      </c>
      <c r="E5153">
        <v>0.3257311</v>
      </c>
      <c r="F5153" t="s">
        <v>99</v>
      </c>
      <c r="G5153">
        <v>-379.46100000000001</v>
      </c>
      <c r="H5153" s="1">
        <v>-1.6234490000000001E-6</v>
      </c>
      <c r="I5153">
        <v>14.233420000000001</v>
      </c>
      <c r="J5153">
        <v>-414.41460000000001</v>
      </c>
      <c r="K5153">
        <v>1.1150580000000001</v>
      </c>
      <c r="L5153">
        <v>25.003360000000001</v>
      </c>
      <c r="M5153">
        <v>0.71964379999999994</v>
      </c>
      <c r="N5153">
        <v>0</v>
      </c>
      <c r="O5153">
        <v>-0.6941986</v>
      </c>
      <c r="P5153">
        <v>0.74653990000000003</v>
      </c>
      <c r="Q5153">
        <v>-6.5954219999999897E-3</v>
      </c>
      <c r="R5153">
        <v>-0.66530809999999996</v>
      </c>
      <c r="S5153">
        <v>3.1592099999999999</v>
      </c>
      <c r="T5153">
        <v>-0.1003839</v>
      </c>
      <c r="U5153">
        <v>-0.98059079999999998</v>
      </c>
      <c r="V5153">
        <v>-3.954978E-2</v>
      </c>
      <c r="W5153">
        <v>7.12562E-3</v>
      </c>
      <c r="X5153">
        <v>0.99919219999999997</v>
      </c>
      <c r="Y5153">
        <v>-0.44925999999999999</v>
      </c>
      <c r="Z5153">
        <v>2.6243639999999999E-2</v>
      </c>
      <c r="AA5153">
        <v>0.89301549999999996</v>
      </c>
      <c r="AB5153">
        <v>20</v>
      </c>
      <c r="AC5153">
        <v>34.953599999999902</v>
      </c>
      <c r="AD5153">
        <v>-1.11505962344899</v>
      </c>
      <c r="AE5153">
        <v>-10.76994</v>
      </c>
      <c r="AF5153">
        <v>-16.500544123717699</v>
      </c>
      <c r="AG5153">
        <v>-1.11505962344899</v>
      </c>
      <c r="AH5153">
        <v>32.603597207294897</v>
      </c>
      <c r="AI5153">
        <v>91.747843922711795</v>
      </c>
      <c r="AJ5153">
        <v>116.843780949091</v>
      </c>
      <c r="AK5153">
        <v>36.5582530381052</v>
      </c>
      <c r="AL5153">
        <v>89.591728595046106</v>
      </c>
      <c r="AM5153">
        <v>92.266684202580393</v>
      </c>
      <c r="AN5153">
        <v>1.0000000060496299</v>
      </c>
    </row>
    <row r="5154" spans="1:40" x14ac:dyDescent="0.25">
      <c r="A5154" t="str">
        <f>"20190312161118473"</f>
        <v>20190312161118473</v>
      </c>
      <c r="B5154" t="str">
        <f>"1552378278462032"</f>
        <v>1552378278462032</v>
      </c>
      <c r="C5154" t="s">
        <v>40</v>
      </c>
      <c r="D5154">
        <v>5.6692770000000001</v>
      </c>
      <c r="E5154">
        <v>0.32632610000000001</v>
      </c>
      <c r="F5154" t="s">
        <v>97</v>
      </c>
      <c r="G5154">
        <v>-380.95740000000001</v>
      </c>
      <c r="H5154" s="1">
        <v>-5.1106389999999998E-6</v>
      </c>
      <c r="I5154">
        <v>14.905099999999999</v>
      </c>
      <c r="J5154">
        <v>-414.27229999999997</v>
      </c>
      <c r="K5154">
        <v>1.1150439999999999</v>
      </c>
      <c r="L5154">
        <v>24.880130000000001</v>
      </c>
      <c r="M5154">
        <v>0.72553749999999995</v>
      </c>
      <c r="N5154">
        <v>0</v>
      </c>
      <c r="O5154">
        <v>-0.68803669999999995</v>
      </c>
      <c r="P5154">
        <v>0.75211280000000003</v>
      </c>
      <c r="Q5154">
        <v>-6.9401209999999996E-3</v>
      </c>
      <c r="R5154">
        <v>-0.65899830000000004</v>
      </c>
      <c r="S5154">
        <v>3.1659549999999999</v>
      </c>
      <c r="T5154">
        <v>-0.105515</v>
      </c>
      <c r="U5154">
        <v>-0.95556640000000004</v>
      </c>
      <c r="V5154">
        <v>-3.9436949999999998E-2</v>
      </c>
      <c r="W5154">
        <v>6.7799210000000004E-3</v>
      </c>
      <c r="X5154">
        <v>0.99919899999999995</v>
      </c>
      <c r="Y5154">
        <v>-0.44859139999999997</v>
      </c>
      <c r="Z5154">
        <v>2.7430510000000002E-2</v>
      </c>
      <c r="AA5154">
        <v>0.89331589999999905</v>
      </c>
      <c r="AB5154">
        <v>20</v>
      </c>
      <c r="AC5154">
        <v>33.314899999999902</v>
      </c>
      <c r="AD5154">
        <v>-1.1150491106389999</v>
      </c>
      <c r="AE5154">
        <v>-9.9750300000000003</v>
      </c>
      <c r="AF5154">
        <v>-15.6700807965307</v>
      </c>
      <c r="AG5154">
        <v>-1.1150491106389999</v>
      </c>
      <c r="AH5154">
        <v>31.005636806363299</v>
      </c>
      <c r="AI5154">
        <v>91.8383650116929</v>
      </c>
      <c r="AJ5154">
        <v>116.811786575621</v>
      </c>
      <c r="AK5154">
        <v>34.758369933830998</v>
      </c>
      <c r="AL5154">
        <v>89.611536142193202</v>
      </c>
      <c r="AM5154">
        <v>92.260209019340195</v>
      </c>
      <c r="AN5154">
        <v>0.99999994097753198</v>
      </c>
    </row>
    <row r="5155" spans="1:40" x14ac:dyDescent="0.25">
      <c r="A5155" t="str">
        <f>"20190312161118497"</f>
        <v>20190312161118497</v>
      </c>
      <c r="B5155" t="str">
        <f>"1552378278492288"</f>
        <v>1552378278492288</v>
      </c>
      <c r="C5155" t="s">
        <v>40</v>
      </c>
      <c r="D5155">
        <v>4.4689690000000004</v>
      </c>
      <c r="E5155">
        <v>0.32701079999999999</v>
      </c>
      <c r="F5155" t="s">
        <v>97</v>
      </c>
      <c r="G5155">
        <v>-382.6558</v>
      </c>
      <c r="H5155" s="1">
        <v>-4.1872119999999998E-6</v>
      </c>
      <c r="I5155">
        <v>15.58487</v>
      </c>
      <c r="J5155">
        <v>-414.11610000000002</v>
      </c>
      <c r="K5155">
        <v>1.1150230000000001</v>
      </c>
      <c r="L5155">
        <v>24.74719</v>
      </c>
      <c r="M5155">
        <v>0.73190069999999996</v>
      </c>
      <c r="N5155">
        <v>0</v>
      </c>
      <c r="O5155">
        <v>-0.68126379999999997</v>
      </c>
      <c r="P5155">
        <v>0.75770969999999904</v>
      </c>
      <c r="Q5155">
        <v>-7.4064219999999898E-3</v>
      </c>
      <c r="R5155">
        <v>-0.65254990000000002</v>
      </c>
      <c r="S5155">
        <v>3.1709290000000001</v>
      </c>
      <c r="T5155">
        <v>-0.1118319</v>
      </c>
      <c r="U5155">
        <v>-0.93225100000000005</v>
      </c>
      <c r="V5155">
        <v>-3.8676629999999997E-2</v>
      </c>
      <c r="W5155">
        <v>6.3193069999999997E-3</v>
      </c>
      <c r="X5155">
        <v>0.9992318</v>
      </c>
      <c r="Y5155">
        <v>-0.44664870000000001</v>
      </c>
      <c r="Z5155">
        <v>2.8881739999999999E-2</v>
      </c>
      <c r="AA5155">
        <v>0.89424309999999996</v>
      </c>
      <c r="AB5155">
        <v>20</v>
      </c>
      <c r="AC5155">
        <v>31.4603</v>
      </c>
      <c r="AD5155">
        <v>-1.1150271872119999</v>
      </c>
      <c r="AE5155">
        <v>-9.1623199999999994</v>
      </c>
      <c r="AF5155">
        <v>-14.7113004782871</v>
      </c>
      <c r="AG5155">
        <v>-1.1150271872119999</v>
      </c>
      <c r="AH5155">
        <v>29.2368596666958</v>
      </c>
      <c r="AI5155">
        <v>91.951198996406404</v>
      </c>
      <c r="AJ5155">
        <v>116.71046576013001</v>
      </c>
      <c r="AK5155">
        <v>32.748429131192403</v>
      </c>
      <c r="AL5155">
        <v>89.637927970608303</v>
      </c>
      <c r="AM5155">
        <v>92.216604792917707</v>
      </c>
      <c r="AN5155">
        <v>1.0000000027401701</v>
      </c>
    </row>
    <row r="5156" spans="1:40" x14ac:dyDescent="0.25">
      <c r="A5156" t="str">
        <f>"20190312161118519"</f>
        <v>20190312161118519</v>
      </c>
      <c r="B5156" t="str">
        <f>"1552378278512784"</f>
        <v>1552378278512784</v>
      </c>
      <c r="C5156" t="s">
        <v>40</v>
      </c>
      <c r="D5156">
        <v>5.7112290000000003</v>
      </c>
      <c r="E5156">
        <v>0.32691999999999999</v>
      </c>
      <c r="F5156" t="s">
        <v>97</v>
      </c>
      <c r="G5156">
        <v>-383.95440000000002</v>
      </c>
      <c r="H5156" s="1">
        <v>-3.4801220000000001E-6</v>
      </c>
      <c r="I5156">
        <v>16.110489999999999</v>
      </c>
      <c r="J5156">
        <v>-413.96789999999999</v>
      </c>
      <c r="K5156">
        <v>1.1150070000000001</v>
      </c>
      <c r="L5156">
        <v>24.623259999999998</v>
      </c>
      <c r="M5156">
        <v>0.73783809999999905</v>
      </c>
      <c r="N5156">
        <v>0</v>
      </c>
      <c r="O5156">
        <v>-0.67482909999999996</v>
      </c>
      <c r="P5156">
        <v>0.76298940000000004</v>
      </c>
      <c r="Q5156">
        <v>-8.4087039999999995E-3</v>
      </c>
      <c r="R5156">
        <v>-0.64635629999999999</v>
      </c>
      <c r="S5156">
        <v>3.1751100000000001</v>
      </c>
      <c r="T5156">
        <v>-0.117378</v>
      </c>
      <c r="U5156">
        <v>-0.90917969999999904</v>
      </c>
      <c r="V5156">
        <v>-3.804743E-2</v>
      </c>
      <c r="W5156">
        <v>5.3217799999999999E-3</v>
      </c>
      <c r="X5156">
        <v>0.99926170000000003</v>
      </c>
      <c r="Y5156">
        <v>-0.44507400000000003</v>
      </c>
      <c r="Z5156">
        <v>3.0131979999999999E-2</v>
      </c>
      <c r="AA5156">
        <v>0.89498670000000002</v>
      </c>
      <c r="AB5156">
        <v>20</v>
      </c>
      <c r="AC5156">
        <v>30.013499999999901</v>
      </c>
      <c r="AD5156">
        <v>-1.115010480122</v>
      </c>
      <c r="AE5156">
        <v>-8.5127699999999997</v>
      </c>
      <c r="AF5156">
        <v>-13.956511199651599</v>
      </c>
      <c r="AG5156">
        <v>-1.115010480122</v>
      </c>
      <c r="AH5156">
        <v>27.856982785793999</v>
      </c>
      <c r="AI5156">
        <v>92.049520991815896</v>
      </c>
      <c r="AJ5156">
        <v>116.611137163509</v>
      </c>
      <c r="AK5156">
        <v>31.177539081281001</v>
      </c>
      <c r="AL5156">
        <v>89.695083007907201</v>
      </c>
      <c r="AM5156">
        <v>92.180514487571401</v>
      </c>
      <c r="AN5156">
        <v>0.99999993667942899</v>
      </c>
    </row>
    <row r="5157" spans="1:40" x14ac:dyDescent="0.25">
      <c r="A5157" t="str">
        <f>"20190312161118541"</f>
        <v>20190312161118541</v>
      </c>
      <c r="B5157" t="str">
        <f>"1552378278532304"</f>
        <v>1552378278532304</v>
      </c>
      <c r="C5157" t="s">
        <v>40</v>
      </c>
      <c r="D5157">
        <v>5.6996180000000001</v>
      </c>
      <c r="E5157">
        <v>0.32706649999999998</v>
      </c>
      <c r="F5157" t="s">
        <v>97</v>
      </c>
      <c r="G5157">
        <v>-383.517</v>
      </c>
      <c r="H5157" s="1">
        <v>-3.6747320000000002E-6</v>
      </c>
      <c r="I5157">
        <v>16.178820000000002</v>
      </c>
      <c r="J5157">
        <v>-413.82549999999998</v>
      </c>
      <c r="K5157">
        <v>1.1149929999999999</v>
      </c>
      <c r="L5157">
        <v>24.506319999999999</v>
      </c>
      <c r="M5157">
        <v>0.74344739999999998</v>
      </c>
      <c r="N5157">
        <v>0</v>
      </c>
      <c r="O5157">
        <v>-0.66864419999999902</v>
      </c>
      <c r="P5157">
        <v>0.76776580000000005</v>
      </c>
      <c r="Q5157">
        <v>-8.7159460000000005E-3</v>
      </c>
      <c r="R5157">
        <v>-0.64067109999999905</v>
      </c>
      <c r="S5157">
        <v>3.1828919999999998</v>
      </c>
      <c r="T5157">
        <v>-0.1165471</v>
      </c>
      <c r="U5157">
        <v>-0.88265990000000005</v>
      </c>
      <c r="V5157">
        <v>-3.7119760000000002E-2</v>
      </c>
      <c r="W5157">
        <v>5.0228060000000003E-3</v>
      </c>
      <c r="X5157">
        <v>0.99929820000000003</v>
      </c>
      <c r="Y5157">
        <v>-0.44509840000000001</v>
      </c>
      <c r="Z5157">
        <v>2.9744920000000001E-2</v>
      </c>
      <c r="AA5157">
        <v>0.89498750000000005</v>
      </c>
      <c r="AB5157">
        <v>20</v>
      </c>
      <c r="AC5157">
        <v>30.308499999999899</v>
      </c>
      <c r="AD5157">
        <v>-1.1149966747319999</v>
      </c>
      <c r="AE5157">
        <v>-8.3275000000000006</v>
      </c>
      <c r="AF5157">
        <v>-14.058267879039199</v>
      </c>
      <c r="AG5157">
        <v>-1.1149966747319999</v>
      </c>
      <c r="AH5157">
        <v>28.068412549029301</v>
      </c>
      <c r="AI5157">
        <v>92.0341914435907</v>
      </c>
      <c r="AJ5157">
        <v>116.604331078652</v>
      </c>
      <c r="AK5157">
        <v>31.412002425283202</v>
      </c>
      <c r="AL5157">
        <v>89.712213204469904</v>
      </c>
      <c r="AM5157">
        <v>92.127321149841904</v>
      </c>
      <c r="AN5157">
        <v>0.99999999884290502</v>
      </c>
    </row>
    <row r="5158" spans="1:40" x14ac:dyDescent="0.25">
      <c r="A5158" t="str">
        <f>"20190312161118575"</f>
        <v>20190312161118575</v>
      </c>
      <c r="B5158" t="str">
        <f>"1552378278572320"</f>
        <v>1552378278572320</v>
      </c>
      <c r="C5158" t="s">
        <v>40</v>
      </c>
      <c r="D5158">
        <v>5.6324059999999996</v>
      </c>
      <c r="E5158">
        <v>0.32745550000000001</v>
      </c>
      <c r="F5158" t="s">
        <v>97</v>
      </c>
      <c r="G5158">
        <v>-382.98689999999999</v>
      </c>
      <c r="H5158" s="1">
        <v>-3.9234319999999996E-6</v>
      </c>
      <c r="I5158">
        <v>16.18939</v>
      </c>
      <c r="J5158">
        <v>-413.59840000000003</v>
      </c>
      <c r="K5158">
        <v>1.114968</v>
      </c>
      <c r="L5158">
        <v>24.32404</v>
      </c>
      <c r="M5158">
        <v>0.75220949999999998</v>
      </c>
      <c r="N5158">
        <v>0</v>
      </c>
      <c r="O5158">
        <v>-0.65877189999999997</v>
      </c>
      <c r="P5158">
        <v>0.77591529999999997</v>
      </c>
      <c r="Q5158">
        <v>-8.9271230000000003E-3</v>
      </c>
      <c r="R5158">
        <v>-0.6307741</v>
      </c>
      <c r="S5158">
        <v>3.1885379999999999</v>
      </c>
      <c r="T5158">
        <v>-0.1152844</v>
      </c>
      <c r="U5158">
        <v>-0.85992429999999997</v>
      </c>
      <c r="V5158">
        <v>-3.6736680000000001E-2</v>
      </c>
      <c r="W5158">
        <v>4.8120480000000002E-3</v>
      </c>
      <c r="X5158">
        <v>0.99931340000000002</v>
      </c>
      <c r="Y5158">
        <v>-0.43963790000000003</v>
      </c>
      <c r="Z5158">
        <v>2.9070909999999998E-2</v>
      </c>
      <c r="AA5158">
        <v>0.89770450000000002</v>
      </c>
      <c r="AB5158">
        <v>20</v>
      </c>
      <c r="AC5158">
        <v>30.611499999999999</v>
      </c>
      <c r="AD5158">
        <v>-1.1149719234319999</v>
      </c>
      <c r="AE5158">
        <v>-8.1346500000000006</v>
      </c>
      <c r="AF5158">
        <v>-14.031056486061599</v>
      </c>
      <c r="AG5158">
        <v>-1.1149719234319999</v>
      </c>
      <c r="AH5158">
        <v>28.352851809912799</v>
      </c>
      <c r="AI5158">
        <v>92.018566212423195</v>
      </c>
      <c r="AJ5158">
        <v>116.329558138972</v>
      </c>
      <c r="AK5158">
        <v>31.654350637155201</v>
      </c>
      <c r="AL5158">
        <v>89.724288896226795</v>
      </c>
      <c r="AM5158">
        <v>92.105354827038596</v>
      </c>
      <c r="AN5158">
        <v>1.0000000054414599</v>
      </c>
    </row>
    <row r="5159" spans="1:40" x14ac:dyDescent="0.25">
      <c r="A5159" t="str">
        <f>"20190312161118597"</f>
        <v>20190312161118597</v>
      </c>
      <c r="B5159" t="str">
        <f>"1552378278592817"</f>
        <v>1552378278592817</v>
      </c>
      <c r="C5159" t="s">
        <v>40</v>
      </c>
      <c r="D5159">
        <v>5.6803100000000004</v>
      </c>
      <c r="E5159">
        <v>0.32795229999999997</v>
      </c>
      <c r="F5159" t="s">
        <v>97</v>
      </c>
      <c r="G5159">
        <v>-381.62009999999998</v>
      </c>
      <c r="H5159" s="1">
        <v>-4.5842080000000003E-6</v>
      </c>
      <c r="I5159">
        <v>16.106719999999999</v>
      </c>
      <c r="J5159">
        <v>-413.4468</v>
      </c>
      <c r="K5159">
        <v>1.1149530000000001</v>
      </c>
      <c r="L5159">
        <v>24.205020000000001</v>
      </c>
      <c r="M5159">
        <v>0.75793730000000004</v>
      </c>
      <c r="N5159">
        <v>0</v>
      </c>
      <c r="O5159">
        <v>-0.65217419999999904</v>
      </c>
      <c r="P5159">
        <v>0.78139689999999995</v>
      </c>
      <c r="Q5159">
        <v>-9.1043440000000003E-3</v>
      </c>
      <c r="R5159">
        <v>-0.62396809999999903</v>
      </c>
      <c r="S5159">
        <v>3.197174</v>
      </c>
      <c r="T5159">
        <v>-0.1114745</v>
      </c>
      <c r="U5159">
        <v>-0.82156369999999901</v>
      </c>
      <c r="V5159">
        <v>-3.6736240000000003E-2</v>
      </c>
      <c r="W5159">
        <v>4.6318059999999996E-3</v>
      </c>
      <c r="X5159">
        <v>0.99931420000000004</v>
      </c>
      <c r="Y5159">
        <v>-0.44251249999999998</v>
      </c>
      <c r="Z5159">
        <v>2.7988220000000001E-2</v>
      </c>
      <c r="AA5159">
        <v>0.896325499999999</v>
      </c>
      <c r="AB5159">
        <v>20</v>
      </c>
      <c r="AC5159">
        <v>31.826699999999999</v>
      </c>
      <c r="AD5159">
        <v>-1.114957584208</v>
      </c>
      <c r="AE5159">
        <v>-8.0982999999999894</v>
      </c>
      <c r="AF5159">
        <v>-14.603178055200001</v>
      </c>
      <c r="AG5159">
        <v>-1.114957584208</v>
      </c>
      <c r="AH5159">
        <v>29.3732279062271</v>
      </c>
      <c r="AI5159">
        <v>91.946703212815507</v>
      </c>
      <c r="AJ5159">
        <v>116.434702426559</v>
      </c>
      <c r="AK5159">
        <v>32.821981313711397</v>
      </c>
      <c r="AL5159">
        <v>89.734616099213298</v>
      </c>
      <c r="AM5159">
        <v>92.1053279497185</v>
      </c>
      <c r="AN5159">
        <v>0.99999993763889705</v>
      </c>
    </row>
    <row r="5160" spans="1:40" x14ac:dyDescent="0.25">
      <c r="A5160" t="str">
        <f>"20190312161118620"</f>
        <v>20190312161118620</v>
      </c>
      <c r="B5160" t="str">
        <f>"1552378278612337"</f>
        <v>1552378278612337</v>
      </c>
      <c r="C5160" t="s">
        <v>40</v>
      </c>
      <c r="D5160">
        <v>5.6449629999999997</v>
      </c>
      <c r="E5160">
        <v>0.34737750000000001</v>
      </c>
      <c r="F5160" t="s">
        <v>97</v>
      </c>
      <c r="G5160">
        <v>-382.07</v>
      </c>
      <c r="H5160" s="1">
        <v>-4.3199940000000004E-6</v>
      </c>
      <c r="I5160">
        <v>16.39723</v>
      </c>
      <c r="J5160">
        <v>-413.29419999999999</v>
      </c>
      <c r="K5160">
        <v>1.1149359999999999</v>
      </c>
      <c r="L5160">
        <v>24.087250000000001</v>
      </c>
      <c r="M5160">
        <v>0.76361020000000002</v>
      </c>
      <c r="N5160">
        <v>0</v>
      </c>
      <c r="O5160">
        <v>-0.6455225</v>
      </c>
      <c r="P5160">
        <v>0.78707910000000003</v>
      </c>
      <c r="Q5160">
        <v>-9.0524830000000001E-3</v>
      </c>
      <c r="R5160">
        <v>-0.61678580000000005</v>
      </c>
      <c r="S5160">
        <v>3.2017519999999999</v>
      </c>
      <c r="T5160">
        <v>-0.113772499999999</v>
      </c>
      <c r="U5160">
        <v>-0.79672240000000005</v>
      </c>
      <c r="V5160">
        <v>-3.7151740000000003E-2</v>
      </c>
      <c r="W5160">
        <v>4.6761509999999999E-3</v>
      </c>
      <c r="X5160">
        <v>0.99929869999999998</v>
      </c>
      <c r="Y5160">
        <v>-0.44149909999999998</v>
      </c>
      <c r="Z5160">
        <v>2.8379789999999998E-2</v>
      </c>
      <c r="AA5160">
        <v>0.89681270000000002</v>
      </c>
      <c r="AB5160">
        <v>20</v>
      </c>
      <c r="AC5160">
        <v>31.2242</v>
      </c>
      <c r="AD5160">
        <v>-1.114940319994</v>
      </c>
      <c r="AE5160">
        <v>-7.6900199999999996</v>
      </c>
      <c r="AF5160">
        <v>-14.2680238878532</v>
      </c>
      <c r="AG5160">
        <v>-1.114940319994</v>
      </c>
      <c r="AH5160">
        <v>28.775490605489001</v>
      </c>
      <c r="AI5160">
        <v>91.988122342658201</v>
      </c>
      <c r="AJ5160">
        <v>116.374029138667</v>
      </c>
      <c r="AK5160">
        <v>32.137959754285603</v>
      </c>
      <c r="AL5160">
        <v>89.732075308242798</v>
      </c>
      <c r="AM5160">
        <v>92.129151162631899</v>
      </c>
      <c r="AN5160">
        <v>1.00000000499744</v>
      </c>
    </row>
    <row r="5161" spans="1:40" x14ac:dyDescent="0.25">
      <c r="A5161" t="str">
        <f>"20190312161118643"</f>
        <v>20190312161118643</v>
      </c>
      <c r="B5161" t="str">
        <f>"1552378278632832"</f>
        <v>1552378278632832</v>
      </c>
      <c r="C5161" t="s">
        <v>40</v>
      </c>
      <c r="D5161">
        <v>5.5045989999999998</v>
      </c>
      <c r="E5161">
        <v>0.34279080000000001</v>
      </c>
      <c r="F5161" t="s">
        <v>41</v>
      </c>
      <c r="G5161">
        <v>-395.03039999999999</v>
      </c>
      <c r="H5161" s="1">
        <v>-2.459451E-6</v>
      </c>
      <c r="I5161">
        <v>18.884589999999999</v>
      </c>
      <c r="J5161">
        <v>-413.13760000000002</v>
      </c>
      <c r="K5161">
        <v>1.114924</v>
      </c>
      <c r="L5161">
        <v>23.96857</v>
      </c>
      <c r="M5161">
        <v>0.76933289999999999</v>
      </c>
      <c r="N5161">
        <v>0</v>
      </c>
      <c r="O5161">
        <v>-0.63869140000000002</v>
      </c>
      <c r="P5161">
        <v>0.79268509999999903</v>
      </c>
      <c r="Q5161">
        <v>-1.000612E-2</v>
      </c>
      <c r="R5161">
        <v>-0.60954919999999901</v>
      </c>
      <c r="S5161">
        <v>3.1141969999999999</v>
      </c>
      <c r="T5161">
        <v>-0.19011030000000001</v>
      </c>
      <c r="U5161">
        <v>-0.88711549999999995</v>
      </c>
      <c r="V5161">
        <v>-3.7382510000000001E-2</v>
      </c>
      <c r="W5161">
        <v>3.7162860000000001E-3</v>
      </c>
      <c r="X5161">
        <v>0.99929409999999996</v>
      </c>
      <c r="Y5161">
        <v>-0.4019508</v>
      </c>
      <c r="Z5161">
        <v>4.6931309999999997E-2</v>
      </c>
      <c r="AA5161">
        <v>0.91445770000000004</v>
      </c>
      <c r="AB5161">
        <v>20</v>
      </c>
      <c r="AC5161">
        <v>18.107199999999999</v>
      </c>
      <c r="AD5161">
        <v>-1.114926459451</v>
      </c>
      <c r="AE5161">
        <v>-5.0839800000000004</v>
      </c>
      <c r="AF5161">
        <v>-7.6276005343303499</v>
      </c>
      <c r="AG5161">
        <v>-1.114926459451</v>
      </c>
      <c r="AH5161">
        <v>17.119117289964699</v>
      </c>
      <c r="AI5161">
        <v>93.404493955497799</v>
      </c>
      <c r="AJ5161">
        <v>114.015859074387</v>
      </c>
      <c r="AK5161">
        <v>18.774651200724499</v>
      </c>
      <c r="AL5161">
        <v>89.787072002479206</v>
      </c>
      <c r="AM5161">
        <v>92.142374064899002</v>
      </c>
      <c r="AN5161">
        <v>0.99999998056517103</v>
      </c>
    </row>
    <row r="5162" spans="1:40" x14ac:dyDescent="0.25">
      <c r="A5162" t="str">
        <f>"20190312161118665"</f>
        <v>20190312161118665</v>
      </c>
      <c r="B5162" t="str">
        <f>"1552378278652352"</f>
        <v>1552378278652352</v>
      </c>
      <c r="C5162" t="s">
        <v>40</v>
      </c>
      <c r="D5162">
        <v>5.5512829999999997</v>
      </c>
      <c r="E5162">
        <v>0.33805770000000002</v>
      </c>
      <c r="F5162" t="s">
        <v>41</v>
      </c>
      <c r="G5162">
        <v>-391.09750000000003</v>
      </c>
      <c r="H5162" s="1">
        <v>-4.4491439999999998E-6</v>
      </c>
      <c r="I5162">
        <v>18.148250000000001</v>
      </c>
      <c r="J5162">
        <v>-412.99</v>
      </c>
      <c r="K5162">
        <v>1.1149070000000001</v>
      </c>
      <c r="L5162">
        <v>23.85886</v>
      </c>
      <c r="M5162">
        <v>0.77463199999999999</v>
      </c>
      <c r="N5162">
        <v>0</v>
      </c>
      <c r="O5162">
        <v>-0.63225419999999999</v>
      </c>
      <c r="P5162">
        <v>0.79768509999999904</v>
      </c>
      <c r="Q5162">
        <v>-1.015953E-2</v>
      </c>
      <c r="R5162">
        <v>-0.60298879999999999</v>
      </c>
      <c r="S5162">
        <v>3.144104</v>
      </c>
      <c r="T5162">
        <v>-0.1590492</v>
      </c>
      <c r="U5162">
        <v>-0.83029169999999997</v>
      </c>
      <c r="V5162">
        <v>-3.7291049999999999E-2</v>
      </c>
      <c r="W5162">
        <v>3.5613149999999998E-3</v>
      </c>
      <c r="X5162">
        <v>0.99929809999999997</v>
      </c>
      <c r="Y5162">
        <v>-0.41244960000000003</v>
      </c>
      <c r="Z5162">
        <v>3.907679E-2</v>
      </c>
      <c r="AA5162">
        <v>0.91014189999999995</v>
      </c>
      <c r="AB5162">
        <v>19</v>
      </c>
      <c r="AC5162">
        <v>21.892499999999899</v>
      </c>
      <c r="AD5162">
        <v>-1.114911449144</v>
      </c>
      <c r="AE5162">
        <v>-5.7106099999999902</v>
      </c>
      <c r="AF5162">
        <v>-9.3961286619038908</v>
      </c>
      <c r="AG5162">
        <v>-1.114911449144</v>
      </c>
      <c r="AH5162">
        <v>20.521412232201801</v>
      </c>
      <c r="AI5162">
        <v>92.827964945057303</v>
      </c>
      <c r="AJ5162">
        <v>114.60159858454401</v>
      </c>
      <c r="AK5162">
        <v>22.597756998747599</v>
      </c>
      <c r="AL5162">
        <v>89.795951249457801</v>
      </c>
      <c r="AM5162">
        <v>92.137128854975501</v>
      </c>
      <c r="AN5162">
        <v>0.99999999901911996</v>
      </c>
    </row>
    <row r="5163" spans="1:40" x14ac:dyDescent="0.25">
      <c r="A5163" t="str">
        <f>"20190312161118686"</f>
        <v>20190312161118686</v>
      </c>
      <c r="B5163" t="str">
        <f>"1552378278682608"</f>
        <v>1552378278682608</v>
      </c>
      <c r="C5163" t="s">
        <v>40</v>
      </c>
      <c r="D5163">
        <v>5.5443860000000003</v>
      </c>
      <c r="E5163">
        <v>0.33702270000000001</v>
      </c>
      <c r="F5163" t="s">
        <v>97</v>
      </c>
      <c r="G5163">
        <v>-383.78930000000003</v>
      </c>
      <c r="H5163" s="1">
        <v>-3.4491990000000001E-6</v>
      </c>
      <c r="I5163">
        <v>16.724589999999999</v>
      </c>
      <c r="J5163">
        <v>-412.83620000000002</v>
      </c>
      <c r="K5163">
        <v>1.1148929999999999</v>
      </c>
      <c r="L5163">
        <v>23.74661</v>
      </c>
      <c r="M5163">
        <v>0.78006229999999999</v>
      </c>
      <c r="N5163">
        <v>0</v>
      </c>
      <c r="O5163">
        <v>-0.6255423</v>
      </c>
      <c r="P5163">
        <v>0.80261899999999997</v>
      </c>
      <c r="Q5163">
        <v>-1.0017069999999999E-2</v>
      </c>
      <c r="R5163">
        <v>-0.59640819999999894</v>
      </c>
      <c r="S5163">
        <v>3.1733090000000002</v>
      </c>
      <c r="T5163">
        <v>-0.1211603</v>
      </c>
      <c r="U5163">
        <v>-0.77529910000000002</v>
      </c>
      <c r="V5163">
        <v>-3.6883619999999999E-2</v>
      </c>
      <c r="W5163">
        <v>3.705795E-3</v>
      </c>
      <c r="X5163">
        <v>0.99931270000000005</v>
      </c>
      <c r="Y5163">
        <v>-0.42193039999999998</v>
      </c>
      <c r="Z5163">
        <v>2.9595159999999999E-2</v>
      </c>
      <c r="AA5163">
        <v>0.90614499999999998</v>
      </c>
      <c r="AB5163">
        <v>19</v>
      </c>
      <c r="AC5163">
        <v>29.046899999999901</v>
      </c>
      <c r="AD5163">
        <v>-1.1148964491990001</v>
      </c>
      <c r="AE5163">
        <v>-7.0220200000000004</v>
      </c>
      <c r="AF5163">
        <v>-12.6760751040777</v>
      </c>
      <c r="AG5163">
        <v>-1.1148964491990001</v>
      </c>
      <c r="AH5163">
        <v>27.016059611818498</v>
      </c>
      <c r="AI5163">
        <v>92.139567482963898</v>
      </c>
      <c r="AJ5163">
        <v>115.136212883596</v>
      </c>
      <c r="AK5163">
        <v>29.8629092870401</v>
      </c>
      <c r="AL5163">
        <v>89.787673101493098</v>
      </c>
      <c r="AM5163">
        <v>92.113769716929397</v>
      </c>
      <c r="AN5163">
        <v>1.0000000033610801</v>
      </c>
    </row>
    <row r="5164" spans="1:40" x14ac:dyDescent="0.25">
      <c r="A5164" t="str">
        <f>"20190312161118709"</f>
        <v>20190312161118709</v>
      </c>
      <c r="B5164" t="str">
        <f>"1552378278702128"</f>
        <v>1552378278702128</v>
      </c>
      <c r="C5164" t="s">
        <v>40</v>
      </c>
      <c r="D5164">
        <v>5.5685449999999896</v>
      </c>
      <c r="E5164">
        <v>0.33625749999999999</v>
      </c>
      <c r="F5164" t="s">
        <v>97</v>
      </c>
      <c r="G5164">
        <v>-382.1764</v>
      </c>
      <c r="H5164" s="1">
        <v>-4.2345349999999998E-6</v>
      </c>
      <c r="I5164">
        <v>16.595489999999899</v>
      </c>
      <c r="J5164">
        <v>-412.67520000000002</v>
      </c>
      <c r="K5164">
        <v>1.114876</v>
      </c>
      <c r="L5164">
        <v>23.631260000000001</v>
      </c>
      <c r="M5164">
        <v>0.78564969999999901</v>
      </c>
      <c r="N5164">
        <v>0</v>
      </c>
      <c r="O5164">
        <v>-0.61851020000000001</v>
      </c>
      <c r="P5164">
        <v>0.80754930000000003</v>
      </c>
      <c r="Q5164">
        <v>-1.1077389999999999E-2</v>
      </c>
      <c r="R5164">
        <v>-0.5896962</v>
      </c>
      <c r="S5164">
        <v>3.184418</v>
      </c>
      <c r="T5164">
        <v>-0.1157966</v>
      </c>
      <c r="U5164">
        <v>-0.74273679999999997</v>
      </c>
      <c r="V5164">
        <v>-3.6218050000000002E-2</v>
      </c>
      <c r="W5164">
        <v>2.6500830000000001E-3</v>
      </c>
      <c r="X5164">
        <v>0.99934040000000002</v>
      </c>
      <c r="Y5164">
        <v>-0.42334440000000001</v>
      </c>
      <c r="Z5164">
        <v>2.8075630000000001E-2</v>
      </c>
      <c r="AA5164">
        <v>0.9055337</v>
      </c>
      <c r="AB5164">
        <v>19</v>
      </c>
      <c r="AC5164">
        <v>30.498799999999999</v>
      </c>
      <c r="AD5164">
        <v>-1.114880234535</v>
      </c>
      <c r="AE5164">
        <v>-7.0357700000000003</v>
      </c>
      <c r="AF5164">
        <v>-13.3205996097265</v>
      </c>
      <c r="AG5164">
        <v>-1.114880234535</v>
      </c>
      <c r="AH5164">
        <v>28.280015807582</v>
      </c>
      <c r="AI5164">
        <v>92.042563672367905</v>
      </c>
      <c r="AJ5164">
        <v>115.221616464947</v>
      </c>
      <c r="AK5164">
        <v>31.280035581455</v>
      </c>
      <c r="AL5164">
        <v>89.848161251406097</v>
      </c>
      <c r="AM5164">
        <v>92.075602638269004</v>
      </c>
      <c r="AN5164">
        <v>1.00000000257893</v>
      </c>
    </row>
    <row r="5165" spans="1:40" x14ac:dyDescent="0.25">
      <c r="A5165" t="str">
        <f>"20190312161118720"</f>
        <v>20190312161118720</v>
      </c>
      <c r="B5165" t="str">
        <f>"1552378278712865"</f>
        <v>1552378278712865</v>
      </c>
      <c r="C5165" t="s">
        <v>40</v>
      </c>
      <c r="D5165">
        <v>5.5654170000000001</v>
      </c>
      <c r="E5165">
        <v>0.33613490000000001</v>
      </c>
      <c r="F5165" t="s">
        <v>99</v>
      </c>
      <c r="G5165">
        <v>-378.4735</v>
      </c>
      <c r="H5165" s="1">
        <v>-1.530077E-6</v>
      </c>
      <c r="I5165">
        <v>16.009529999999899</v>
      </c>
      <c r="J5165">
        <v>-412.59629999999999</v>
      </c>
      <c r="K5165">
        <v>1.1148659999999999</v>
      </c>
      <c r="L5165">
        <v>23.575379999999999</v>
      </c>
      <c r="M5165">
        <v>0.7883561</v>
      </c>
      <c r="N5165">
        <v>0</v>
      </c>
      <c r="O5165">
        <v>-0.61505690000000002</v>
      </c>
      <c r="P5165">
        <v>0.8100368</v>
      </c>
      <c r="Q5165">
        <v>-1.1173789999999999E-2</v>
      </c>
      <c r="R5165">
        <v>-0.58627280000000004</v>
      </c>
      <c r="S5165">
        <v>3.1938170000000001</v>
      </c>
      <c r="T5165">
        <v>-0.1041093</v>
      </c>
      <c r="U5165">
        <v>-0.711731</v>
      </c>
      <c r="V5165">
        <v>-3.6060809999999999E-2</v>
      </c>
      <c r="W5165">
        <v>2.5542389999999998E-3</v>
      </c>
      <c r="X5165">
        <v>0.99934630000000002</v>
      </c>
      <c r="Y5165">
        <v>-0.4284232</v>
      </c>
      <c r="Z5165">
        <v>2.520946E-2</v>
      </c>
      <c r="AA5165">
        <v>0.90322650000000004</v>
      </c>
      <c r="AB5165">
        <v>19</v>
      </c>
      <c r="AC5165">
        <v>34.122799999999899</v>
      </c>
      <c r="AD5165">
        <v>-1.1148675300769999</v>
      </c>
      <c r="AE5165">
        <v>-7.5658500000000002</v>
      </c>
      <c r="AF5165">
        <v>-15.0091085383012</v>
      </c>
      <c r="AG5165">
        <v>-1.1148675300769999</v>
      </c>
      <c r="AH5165">
        <v>31.525420797507699</v>
      </c>
      <c r="AI5165">
        <v>91.828833491168396</v>
      </c>
      <c r="AJ5165">
        <v>115.458905415779</v>
      </c>
      <c r="AK5165">
        <v>34.933771986203503</v>
      </c>
      <c r="AL5165">
        <v>89.853652721432695</v>
      </c>
      <c r="AM5165">
        <v>92.066587087643697</v>
      </c>
      <c r="AN5165">
        <v>0.99999996673920699</v>
      </c>
    </row>
    <row r="5166" spans="1:40" x14ac:dyDescent="0.25">
      <c r="A5166" t="str">
        <f>"20190312161118733"</f>
        <v>20190312161118733</v>
      </c>
      <c r="B5166" t="str">
        <f>"1552378278722625"</f>
        <v>1552378278722625</v>
      </c>
      <c r="C5166" t="s">
        <v>40</v>
      </c>
      <c r="D5166">
        <v>5.574681</v>
      </c>
      <c r="E5166">
        <v>0.33663090000000001</v>
      </c>
      <c r="F5166" t="s">
        <v>99</v>
      </c>
      <c r="G5166">
        <v>-376.22109999999998</v>
      </c>
      <c r="H5166" s="1">
        <v>-2.4938109999999998E-6</v>
      </c>
      <c r="I5166">
        <v>15.638299999999999</v>
      </c>
      <c r="J5166">
        <v>-412.51369999999997</v>
      </c>
      <c r="K5166">
        <v>1.1148559999999901</v>
      </c>
      <c r="L5166">
        <v>23.51764</v>
      </c>
      <c r="M5166">
        <v>0.79115800000000003</v>
      </c>
      <c r="N5166">
        <v>0</v>
      </c>
      <c r="O5166">
        <v>-0.61144860000000001</v>
      </c>
      <c r="P5166">
        <v>0.81226489999999996</v>
      </c>
      <c r="Q5166">
        <v>-1.133584E-2</v>
      </c>
      <c r="R5166">
        <v>-0.58317909999999995</v>
      </c>
      <c r="S5166">
        <v>3.1972049999999999</v>
      </c>
      <c r="T5166">
        <v>-9.7991700000000001E-2</v>
      </c>
      <c r="U5166">
        <v>-0.69763180000000002</v>
      </c>
      <c r="V5166">
        <v>-3.5303609999999999E-2</v>
      </c>
      <c r="W5166">
        <v>2.3987909999999999E-3</v>
      </c>
      <c r="X5166">
        <v>0.99937370000000003</v>
      </c>
      <c r="Y5166">
        <v>-0.42835279999999998</v>
      </c>
      <c r="Z5166">
        <v>2.3636839999999999E-2</v>
      </c>
      <c r="AA5166">
        <v>0.90330239999999995</v>
      </c>
      <c r="AB5166">
        <v>19</v>
      </c>
      <c r="AC5166">
        <v>36.292599999999901</v>
      </c>
      <c r="AD5166">
        <v>-1.11485849381099</v>
      </c>
      <c r="AE5166">
        <v>-7.87934</v>
      </c>
      <c r="AF5166">
        <v>-15.944481098364299</v>
      </c>
      <c r="AG5166">
        <v>-1.11485849381099</v>
      </c>
      <c r="AH5166">
        <v>33.504147106222298</v>
      </c>
      <c r="AI5166">
        <v>91.721010462582598</v>
      </c>
      <c r="AJ5166">
        <v>115.449578119099</v>
      </c>
      <c r="AK5166">
        <v>37.121385484282499</v>
      </c>
      <c r="AL5166">
        <v>89.8625592604877</v>
      </c>
      <c r="AM5166">
        <v>92.023174197256793</v>
      </c>
      <c r="AN5166">
        <v>0.99999994566449002</v>
      </c>
    </row>
    <row r="5167" spans="1:40" x14ac:dyDescent="0.25">
      <c r="A5167" t="str">
        <f>"20190312161118745"</f>
        <v>20190312161118745</v>
      </c>
      <c r="B5167" t="str">
        <f>"1552378278742144"</f>
        <v>1552378278742144</v>
      </c>
      <c r="C5167" t="s">
        <v>40</v>
      </c>
      <c r="D5167">
        <v>5.5606960000000001</v>
      </c>
      <c r="E5167">
        <v>0.33746199999999998</v>
      </c>
      <c r="F5167" t="s">
        <v>99</v>
      </c>
      <c r="G5167">
        <v>-377.38350000000003</v>
      </c>
      <c r="H5167" s="1">
        <v>-1.9634589999999998E-6</v>
      </c>
      <c r="I5167">
        <v>15.953900000000001</v>
      </c>
      <c r="J5167">
        <v>-412.43239999999997</v>
      </c>
      <c r="K5167">
        <v>1.114846</v>
      </c>
      <c r="L5167">
        <v>23.46115</v>
      </c>
      <c r="M5167">
        <v>0.79389319999999997</v>
      </c>
      <c r="N5167">
        <v>0</v>
      </c>
      <c r="O5167">
        <v>-0.60789329999999997</v>
      </c>
      <c r="P5167">
        <v>0.8148107</v>
      </c>
      <c r="Q5167">
        <v>-1.1217929999999999E-2</v>
      </c>
      <c r="R5167">
        <v>-0.579619</v>
      </c>
      <c r="S5167">
        <v>3.1976619999999998</v>
      </c>
      <c r="T5167">
        <v>-0.1014781</v>
      </c>
      <c r="U5167">
        <v>-0.68847659999999999</v>
      </c>
      <c r="V5167">
        <v>-3.519543E-2</v>
      </c>
      <c r="W5167">
        <v>2.5165690000000002E-3</v>
      </c>
      <c r="X5167">
        <v>0.99937730000000002</v>
      </c>
      <c r="Y5167">
        <v>-0.42676750000000002</v>
      </c>
      <c r="Z5167">
        <v>2.4374659999999999E-2</v>
      </c>
      <c r="AA5167">
        <v>0.90403279999999997</v>
      </c>
      <c r="AB5167">
        <v>19</v>
      </c>
      <c r="AC5167">
        <v>35.048899999999897</v>
      </c>
      <c r="AD5167">
        <v>-1.1148479634590001</v>
      </c>
      <c r="AE5167">
        <v>-7.5072499999999902</v>
      </c>
      <c r="AF5167">
        <v>-15.3327336763895</v>
      </c>
      <c r="AG5167">
        <v>-1.1148479634590001</v>
      </c>
      <c r="AH5167">
        <v>32.360613440315603</v>
      </c>
      <c r="AI5167">
        <v>91.783211504087404</v>
      </c>
      <c r="AJ5167">
        <v>115.35199184356701</v>
      </c>
      <c r="AK5167">
        <v>35.826595012731197</v>
      </c>
      <c r="AL5167">
        <v>89.855811068075695</v>
      </c>
      <c r="AM5167">
        <v>92.016972502196893</v>
      </c>
      <c r="AN5167">
        <v>1.0000000195838501</v>
      </c>
    </row>
    <row r="5168" spans="1:40" x14ac:dyDescent="0.25">
      <c r="A5168" t="str">
        <f>"20190312161118757"</f>
        <v>20190312161118757</v>
      </c>
      <c r="B5168" t="str">
        <f>"1552378278751904"</f>
        <v>1552378278751904</v>
      </c>
      <c r="C5168" t="s">
        <v>40</v>
      </c>
      <c r="D5168">
        <v>5.572832</v>
      </c>
      <c r="E5168">
        <v>0.33810950000000001</v>
      </c>
      <c r="F5168" t="s">
        <v>99</v>
      </c>
      <c r="G5168">
        <v>-377.95420000000001</v>
      </c>
      <c r="H5168" s="1">
        <v>-1.697843E-6</v>
      </c>
      <c r="I5168">
        <v>16.128599999999999</v>
      </c>
      <c r="J5168">
        <v>-412.34309999999999</v>
      </c>
      <c r="K5168">
        <v>1.1148359999999999</v>
      </c>
      <c r="L5168">
        <v>23.399989999999999</v>
      </c>
      <c r="M5168">
        <v>0.79686330000000005</v>
      </c>
      <c r="N5168">
        <v>0</v>
      </c>
      <c r="O5168">
        <v>-0.60399440000000004</v>
      </c>
      <c r="P5168">
        <v>0.81753750000000003</v>
      </c>
      <c r="Q5168">
        <v>-1.160683E-2</v>
      </c>
      <c r="R5168">
        <v>-0.57575859999999901</v>
      </c>
      <c r="S5168">
        <v>3.1968079999999999</v>
      </c>
      <c r="T5168">
        <v>-0.10336819999999999</v>
      </c>
      <c r="U5168">
        <v>-0.67987059999999999</v>
      </c>
      <c r="V5168">
        <v>-3.5016279999999997E-2</v>
      </c>
      <c r="W5168">
        <v>2.1279480000000002E-3</v>
      </c>
      <c r="X5168">
        <v>0.99938450000000001</v>
      </c>
      <c r="Y5168">
        <v>-0.42459619999999998</v>
      </c>
      <c r="Z5168">
        <v>2.4714440000000001E-2</v>
      </c>
      <c r="AA5168">
        <v>0.9050454</v>
      </c>
      <c r="AB5168">
        <v>19</v>
      </c>
      <c r="AC5168">
        <v>34.3888999999999</v>
      </c>
      <c r="AD5168">
        <v>-1.1148376978429999</v>
      </c>
      <c r="AE5168">
        <v>-7.2713899999999896</v>
      </c>
      <c r="AF5168">
        <v>-14.962842017710299</v>
      </c>
      <c r="AG5168">
        <v>-1.1148376978429999</v>
      </c>
      <c r="AH5168">
        <v>31.766349084965402</v>
      </c>
      <c r="AI5168">
        <v>91.818482254740502</v>
      </c>
      <c r="AJ5168">
        <v>115.221751738824</v>
      </c>
      <c r="AK5168">
        <v>35.131615939597403</v>
      </c>
      <c r="AL5168">
        <v>89.878077471419502</v>
      </c>
      <c r="AM5168">
        <v>92.006699780467798</v>
      </c>
      <c r="AN5168">
        <v>1.0000000234339801</v>
      </c>
    </row>
    <row r="5169" spans="1:40" x14ac:dyDescent="0.25">
      <c r="A5169" t="str">
        <f>"20190312161118776"</f>
        <v>20190312161118776</v>
      </c>
      <c r="B5169" t="str">
        <f>"1552378278772400"</f>
        <v>1552378278772400</v>
      </c>
      <c r="C5169" t="s">
        <v>40</v>
      </c>
      <c r="D5169">
        <v>5.5892480000000004</v>
      </c>
      <c r="E5169">
        <v>0.33917890000000001</v>
      </c>
      <c r="F5169" t="s">
        <v>99</v>
      </c>
      <c r="G5169">
        <v>-379.34930000000003</v>
      </c>
      <c r="H5169" s="1">
        <v>-1.063627E-6</v>
      </c>
      <c r="I5169">
        <v>16.498570000000001</v>
      </c>
      <c r="J5169">
        <v>-412.21359999999999</v>
      </c>
      <c r="K5169">
        <v>1.1148169999999999</v>
      </c>
      <c r="L5169">
        <v>23.312159999999999</v>
      </c>
      <c r="M5169">
        <v>0.80112119999999998</v>
      </c>
      <c r="N5169">
        <v>0</v>
      </c>
      <c r="O5169">
        <v>-0.59833559999999997</v>
      </c>
      <c r="P5169">
        <v>0.8214418</v>
      </c>
      <c r="Q5169">
        <v>-1.1760369999999999E-2</v>
      </c>
      <c r="R5169">
        <v>-0.57017119999999999</v>
      </c>
      <c r="S5169">
        <v>3.1970209999999999</v>
      </c>
      <c r="T5169">
        <v>-0.1080251</v>
      </c>
      <c r="U5169">
        <v>-0.66873169999999904</v>
      </c>
      <c r="V5169">
        <v>-3.4748939999999999E-2</v>
      </c>
      <c r="W5169">
        <v>1.9744070000000001E-3</v>
      </c>
      <c r="X5169">
        <v>0.99939409999999895</v>
      </c>
      <c r="Y5169">
        <v>-0.42117389999999999</v>
      </c>
      <c r="Z5169">
        <v>2.5635499999999999E-2</v>
      </c>
      <c r="AA5169">
        <v>0.90661760000000002</v>
      </c>
      <c r="AB5169">
        <v>19</v>
      </c>
      <c r="AC5169">
        <v>32.864299999999901</v>
      </c>
      <c r="AD5169">
        <v>-1.114818063627</v>
      </c>
      <c r="AE5169">
        <v>-6.8135899999999996</v>
      </c>
      <c r="AF5169">
        <v>-14.191128627443099</v>
      </c>
      <c r="AG5169">
        <v>-1.114818063627</v>
      </c>
      <c r="AH5169">
        <v>30.374620331450199</v>
      </c>
      <c r="AI5169">
        <v>91.904506168271695</v>
      </c>
      <c r="AJ5169">
        <v>115.04214552820901</v>
      </c>
      <c r="AK5169">
        <v>33.544724045896899</v>
      </c>
      <c r="AL5169">
        <v>89.886874735770803</v>
      </c>
      <c r="AM5169">
        <v>91.991372429576998</v>
      </c>
      <c r="AN5169">
        <v>0.99999997711446698</v>
      </c>
    </row>
    <row r="5170" spans="1:40" x14ac:dyDescent="0.25">
      <c r="A5170" t="str">
        <f>"20190312161118788"</f>
        <v>20190312161118788</v>
      </c>
      <c r="B5170" t="str">
        <f>"1552378278782161"</f>
        <v>1552378278782161</v>
      </c>
      <c r="C5170" t="s">
        <v>40</v>
      </c>
      <c r="D5170">
        <v>5.5932719999999998</v>
      </c>
      <c r="E5170">
        <v>0.33972380000000002</v>
      </c>
      <c r="F5170" t="s">
        <v>97</v>
      </c>
      <c r="G5170">
        <v>-381.05720000000002</v>
      </c>
      <c r="H5170" s="1">
        <v>-4.7025210000000002E-6</v>
      </c>
      <c r="I5170">
        <v>16.939900000000002</v>
      </c>
      <c r="J5170">
        <v>-412.12689999999998</v>
      </c>
      <c r="K5170">
        <v>1.1148039999999999</v>
      </c>
      <c r="L5170">
        <v>23.254090000000001</v>
      </c>
      <c r="M5170">
        <v>0.8039345</v>
      </c>
      <c r="N5170">
        <v>0</v>
      </c>
      <c r="O5170">
        <v>-0.59455040000000003</v>
      </c>
      <c r="P5170">
        <v>0.82402770000000003</v>
      </c>
      <c r="Q5170">
        <v>-1.204008E-2</v>
      </c>
      <c r="R5170">
        <v>-0.56642190000000003</v>
      </c>
      <c r="S5170">
        <v>3.1967159999999999</v>
      </c>
      <c r="T5170">
        <v>-0.11438329999999999</v>
      </c>
      <c r="U5170">
        <v>-0.65380859999999996</v>
      </c>
      <c r="V5170">
        <v>-3.4583599999999999E-2</v>
      </c>
      <c r="W5170">
        <v>1.6949809999999999E-3</v>
      </c>
      <c r="X5170">
        <v>0.99940039999999997</v>
      </c>
      <c r="Y5170">
        <v>-0.42087770000000002</v>
      </c>
      <c r="Z5170">
        <v>2.7055309999999999E-2</v>
      </c>
      <c r="AA5170">
        <v>0.90671380000000001</v>
      </c>
      <c r="AB5170">
        <v>19</v>
      </c>
      <c r="AC5170">
        <v>31.069699999999902</v>
      </c>
      <c r="AD5170">
        <v>-1.1148087025210001</v>
      </c>
      <c r="AE5170">
        <v>-6.3141899999999902</v>
      </c>
      <c r="AF5170">
        <v>-13.3810974059624</v>
      </c>
      <c r="AG5170">
        <v>-1.1148087025210001</v>
      </c>
      <c r="AH5170">
        <v>28.699485899225198</v>
      </c>
      <c r="AI5170">
        <v>92.016299568382394</v>
      </c>
      <c r="AJ5170">
        <v>114.997224265459</v>
      </c>
      <c r="AK5170">
        <v>31.685281395482299</v>
      </c>
      <c r="AL5170">
        <v>89.902884698653693</v>
      </c>
      <c r="AM5170">
        <v>91.981892310077299</v>
      </c>
      <c r="AN5170">
        <v>1.0000000289348501</v>
      </c>
    </row>
    <row r="5171" spans="1:40" x14ac:dyDescent="0.25">
      <c r="A5171" t="str">
        <f>"20190312161118799"</f>
        <v>20190312161118799</v>
      </c>
      <c r="B5171" t="str">
        <f>"1552378278792896"</f>
        <v>1552378278792896</v>
      </c>
      <c r="C5171" t="s">
        <v>40</v>
      </c>
      <c r="D5171">
        <v>5.5898269999999997</v>
      </c>
      <c r="E5171">
        <v>0.34019369999999999</v>
      </c>
      <c r="F5171" t="s">
        <v>97</v>
      </c>
      <c r="G5171">
        <v>-381.8329</v>
      </c>
      <c r="H5171" s="1">
        <v>-4.2959569999999999E-6</v>
      </c>
      <c r="I5171">
        <v>17.1646</v>
      </c>
      <c r="J5171">
        <v>-412.0421</v>
      </c>
      <c r="K5171">
        <v>1.1147879999999999</v>
      </c>
      <c r="L5171">
        <v>23.197849999999999</v>
      </c>
      <c r="M5171">
        <v>0.80665790000000004</v>
      </c>
      <c r="N5171">
        <v>0</v>
      </c>
      <c r="O5171">
        <v>-0.59085019999999999</v>
      </c>
      <c r="P5171">
        <v>0.82658089999999995</v>
      </c>
      <c r="Q5171">
        <v>-1.1832759999999999E-2</v>
      </c>
      <c r="R5171">
        <v>-0.56269349999999996</v>
      </c>
      <c r="S5171">
        <v>3.1971440000000002</v>
      </c>
      <c r="T5171">
        <v>-0.1176541</v>
      </c>
      <c r="U5171">
        <v>-0.64266969999999901</v>
      </c>
      <c r="V5171">
        <v>-3.4510209999999999E-2</v>
      </c>
      <c r="W5171">
        <v>1.9009739999999999E-3</v>
      </c>
      <c r="X5171">
        <v>0.99940249999999997</v>
      </c>
      <c r="Y5171">
        <v>-0.41973729999999998</v>
      </c>
      <c r="Z5171">
        <v>2.7712770000000001E-2</v>
      </c>
      <c r="AA5171">
        <v>0.90722239999999998</v>
      </c>
      <c r="AB5171">
        <v>19</v>
      </c>
      <c r="AC5171">
        <v>30.209199999999999</v>
      </c>
      <c r="AD5171">
        <v>-1.11479229595699</v>
      </c>
      <c r="AE5171">
        <v>-6.03324999999999</v>
      </c>
      <c r="AF5171">
        <v>-12.9666549580046</v>
      </c>
      <c r="AG5171">
        <v>-1.11479229595699</v>
      </c>
      <c r="AH5171">
        <v>27.899481707705402</v>
      </c>
      <c r="AI5171">
        <v>92.075213690887793</v>
      </c>
      <c r="AJ5171">
        <v>114.92727543596899</v>
      </c>
      <c r="AK5171">
        <v>30.785678199800302</v>
      </c>
      <c r="AL5171">
        <v>89.891082143168404</v>
      </c>
      <c r="AM5171">
        <v>91.977685719278597</v>
      </c>
      <c r="AN5171">
        <v>0.99999996265131996</v>
      </c>
    </row>
    <row r="5172" spans="1:40" x14ac:dyDescent="0.25">
      <c r="A5172" t="str">
        <f>"20190312161118812"</f>
        <v>20190312161118812</v>
      </c>
      <c r="B5172" t="str">
        <f>"1552378278802657"</f>
        <v>1552378278802657</v>
      </c>
      <c r="C5172" t="s">
        <v>40</v>
      </c>
      <c r="D5172">
        <v>5.5885160000000003</v>
      </c>
      <c r="E5172">
        <v>0.34067150000000002</v>
      </c>
      <c r="F5172" t="s">
        <v>97</v>
      </c>
      <c r="G5172">
        <v>-382.04059999999998</v>
      </c>
      <c r="H5172" s="1">
        <v>-4.1780240000000003E-6</v>
      </c>
      <c r="I5172">
        <v>17.276109999999999</v>
      </c>
      <c r="J5172">
        <v>-411.95979999999997</v>
      </c>
      <c r="K5172">
        <v>1.1147750000000001</v>
      </c>
      <c r="L5172">
        <v>23.143889999999999</v>
      </c>
      <c r="M5172">
        <v>0.80926880000000001</v>
      </c>
      <c r="N5172">
        <v>0</v>
      </c>
      <c r="O5172">
        <v>-0.58726909999999999</v>
      </c>
      <c r="P5172">
        <v>0.82885030000000004</v>
      </c>
      <c r="Q5172">
        <v>-1.2121399999999999E-2</v>
      </c>
      <c r="R5172">
        <v>-0.55933949999999999</v>
      </c>
      <c r="S5172">
        <v>3.1979980000000001</v>
      </c>
      <c r="T5172">
        <v>-0.1188309</v>
      </c>
      <c r="U5172">
        <v>-0.63122559999999905</v>
      </c>
      <c r="V5172">
        <v>-3.412515E-2</v>
      </c>
      <c r="W5172">
        <v>1.6148720000000001E-3</v>
      </c>
      <c r="X5172">
        <v>0.99941630000000004</v>
      </c>
      <c r="Y5172">
        <v>-0.41887439999999998</v>
      </c>
      <c r="Z5172">
        <v>2.7877519999999999E-2</v>
      </c>
      <c r="AA5172">
        <v>0.90761610000000004</v>
      </c>
      <c r="AB5172">
        <v>19</v>
      </c>
      <c r="AC5172">
        <v>29.919199999999901</v>
      </c>
      <c r="AD5172">
        <v>-1.114779178024</v>
      </c>
      <c r="AE5172">
        <v>-5.8677799999999998</v>
      </c>
      <c r="AF5172">
        <v>-12.806166368760399</v>
      </c>
      <c r="AG5172">
        <v>-1.114779178024</v>
      </c>
      <c r="AH5172">
        <v>27.624463500472899</v>
      </c>
      <c r="AI5172">
        <v>92.096776663382002</v>
      </c>
      <c r="AJ5172">
        <v>114.871525836749</v>
      </c>
      <c r="AK5172">
        <v>30.468863014052399</v>
      </c>
      <c r="AL5172">
        <v>89.907474613172297</v>
      </c>
      <c r="AM5172">
        <v>91.955609232833396</v>
      </c>
      <c r="AN5172">
        <v>1.0000000371898901</v>
      </c>
    </row>
    <row r="5173" spans="1:40" x14ac:dyDescent="0.25">
      <c r="A5173" t="str">
        <f>"20190312161118825"</f>
        <v>20190312161118825</v>
      </c>
      <c r="B5173" t="str">
        <f>"1552378278822176"</f>
        <v>1552378278822176</v>
      </c>
      <c r="C5173" t="s">
        <v>40</v>
      </c>
      <c r="D5173">
        <v>5.6315039999999996</v>
      </c>
      <c r="E5173">
        <v>0.34169719999999998</v>
      </c>
      <c r="F5173" t="s">
        <v>97</v>
      </c>
      <c r="G5173">
        <v>-382.55239999999998</v>
      </c>
      <c r="H5173" s="1">
        <v>-3.9085269999999996E-6</v>
      </c>
      <c r="I5173">
        <v>17.43139</v>
      </c>
      <c r="J5173">
        <v>-411.87150000000003</v>
      </c>
      <c r="K5173">
        <v>1.1147549999999999</v>
      </c>
      <c r="L5173">
        <v>23.086400000000001</v>
      </c>
      <c r="M5173">
        <v>0.8120444</v>
      </c>
      <c r="N5173">
        <v>0</v>
      </c>
      <c r="O5173">
        <v>-0.58342490000000002</v>
      </c>
      <c r="P5173">
        <v>0.83140639999999999</v>
      </c>
      <c r="Q5173">
        <v>-1.245899E-2</v>
      </c>
      <c r="R5173">
        <v>-0.55552480000000004</v>
      </c>
      <c r="S5173">
        <v>3.1984249999999999</v>
      </c>
      <c r="T5173">
        <v>-0.12124649999999999</v>
      </c>
      <c r="U5173">
        <v>-0.62130739999999995</v>
      </c>
      <c r="V5173">
        <v>-3.3971719999999997E-2</v>
      </c>
      <c r="W5173">
        <v>1.2767950000000001E-3</v>
      </c>
      <c r="X5173">
        <v>0.99942200000000003</v>
      </c>
      <c r="Y5173">
        <v>-0.41727989999999998</v>
      </c>
      <c r="Z5173">
        <v>2.8308639999999999E-2</v>
      </c>
      <c r="AA5173">
        <v>0.90833699999999995</v>
      </c>
      <c r="AB5173">
        <v>19</v>
      </c>
      <c r="AC5173">
        <v>29.319099999999999</v>
      </c>
      <c r="AD5173">
        <v>-1.114758908527</v>
      </c>
      <c r="AE5173">
        <v>-5.6550099999999999</v>
      </c>
      <c r="AF5173">
        <v>-12.4972023181037</v>
      </c>
      <c r="AG5173">
        <v>-1.114758908527</v>
      </c>
      <c r="AH5173">
        <v>27.0726524149031</v>
      </c>
      <c r="AI5173">
        <v>92.141036014354995</v>
      </c>
      <c r="AJ5173">
        <v>114.77886014372299</v>
      </c>
      <c r="AK5173">
        <v>29.838754363778602</v>
      </c>
      <c r="AL5173">
        <v>89.926845016858294</v>
      </c>
      <c r="AM5173">
        <v>91.946812309668502</v>
      </c>
      <c r="AN5173">
        <v>1.0000000210246101</v>
      </c>
    </row>
    <row r="5174" spans="1:40" x14ac:dyDescent="0.25">
      <c r="A5174" t="str">
        <f>"20190312161118837"</f>
        <v>20190312161118837</v>
      </c>
      <c r="B5174" t="str">
        <f>"1552378278831937"</f>
        <v>1552378278831937</v>
      </c>
      <c r="C5174" t="s">
        <v>40</v>
      </c>
      <c r="D5174">
        <v>5.5746739999999999</v>
      </c>
      <c r="E5174">
        <v>0.3421997</v>
      </c>
      <c r="F5174" t="s">
        <v>97</v>
      </c>
      <c r="G5174">
        <v>-383.90350000000001</v>
      </c>
      <c r="H5174" s="1">
        <v>-3.2186509999999999E-6</v>
      </c>
      <c r="I5174">
        <v>17.72007</v>
      </c>
      <c r="J5174">
        <v>-411.77710000000002</v>
      </c>
      <c r="K5174">
        <v>1.114733</v>
      </c>
      <c r="L5174">
        <v>23.025880000000001</v>
      </c>
      <c r="M5174">
        <v>0.81497059999999999</v>
      </c>
      <c r="N5174">
        <v>0</v>
      </c>
      <c r="O5174">
        <v>-0.57933059999999903</v>
      </c>
      <c r="P5174">
        <v>0.83395649999999999</v>
      </c>
      <c r="Q5174">
        <v>-1.221436E-2</v>
      </c>
      <c r="R5174">
        <v>-0.5516953</v>
      </c>
      <c r="S5174">
        <v>3.1965940000000002</v>
      </c>
      <c r="T5174">
        <v>-0.12741089999999999</v>
      </c>
      <c r="U5174">
        <v>-0.61334230000000001</v>
      </c>
      <c r="V5174">
        <v>-3.3542799999999998E-2</v>
      </c>
      <c r="W5174">
        <v>1.523796E-3</v>
      </c>
      <c r="X5174">
        <v>0.99943610000000005</v>
      </c>
      <c r="Y5174">
        <v>-0.41472700000000001</v>
      </c>
      <c r="Z5174">
        <v>2.9594869999999999E-2</v>
      </c>
      <c r="AA5174">
        <v>0.90946450000000001</v>
      </c>
      <c r="AB5174">
        <v>19</v>
      </c>
      <c r="AC5174">
        <v>27.8736</v>
      </c>
      <c r="AD5174">
        <v>-1.1147362186509999</v>
      </c>
      <c r="AE5174">
        <v>-5.3058099999999904</v>
      </c>
      <c r="AF5174">
        <v>-11.8069030898727</v>
      </c>
      <c r="AG5174">
        <v>-1.1147362186509999</v>
      </c>
      <c r="AH5174">
        <v>25.752799936986001</v>
      </c>
      <c r="AI5174">
        <v>92.253297684534601</v>
      </c>
      <c r="AJ5174">
        <v>114.630066578165</v>
      </c>
      <c r="AK5174">
        <v>28.352289184565802</v>
      </c>
      <c r="AL5174">
        <v>89.912692884800194</v>
      </c>
      <c r="AM5174">
        <v>91.922223714370006</v>
      </c>
      <c r="AN5174">
        <v>0.99999997968464904</v>
      </c>
    </row>
    <row r="5175" spans="1:40" x14ac:dyDescent="0.25">
      <c r="A5175" t="str">
        <f>"20190312161118855"</f>
        <v>20190312161118855</v>
      </c>
      <c r="B5175" t="str">
        <f>"1552378278852433"</f>
        <v>1552378278852433</v>
      </c>
      <c r="C5175" t="s">
        <v>40</v>
      </c>
      <c r="D5175">
        <v>5.6226330000000004</v>
      </c>
      <c r="E5175">
        <v>0.34317900000000001</v>
      </c>
      <c r="F5175" t="s">
        <v>97</v>
      </c>
      <c r="G5175">
        <v>-384.21530000000001</v>
      </c>
      <c r="H5175" s="1">
        <v>-3.0504099999999999E-6</v>
      </c>
      <c r="I5175">
        <v>17.837769999999999</v>
      </c>
      <c r="J5175">
        <v>-411.65159999999997</v>
      </c>
      <c r="K5175">
        <v>1.114711</v>
      </c>
      <c r="L5175">
        <v>22.946200000000001</v>
      </c>
      <c r="M5175">
        <v>0.81880989999999998</v>
      </c>
      <c r="N5175">
        <v>0</v>
      </c>
      <c r="O5175">
        <v>-0.57389169999999901</v>
      </c>
      <c r="P5175">
        <v>0.83729739999999997</v>
      </c>
      <c r="Q5175">
        <v>-1.226856E-2</v>
      </c>
      <c r="R5175">
        <v>-0.5466105</v>
      </c>
      <c r="S5175">
        <v>3.1972659999999999</v>
      </c>
      <c r="T5175">
        <v>-0.12931300000000001</v>
      </c>
      <c r="U5175">
        <v>-0.60183719999999996</v>
      </c>
      <c r="V5175">
        <v>-3.2968539999999998E-2</v>
      </c>
      <c r="W5175">
        <v>1.4722979999999999E-3</v>
      </c>
      <c r="X5175">
        <v>0.99945530000000005</v>
      </c>
      <c r="Y5175">
        <v>-0.41184579999999998</v>
      </c>
      <c r="Z5175">
        <v>2.981321E-2</v>
      </c>
      <c r="AA5175">
        <v>0.91076570000000001</v>
      </c>
      <c r="AB5175">
        <v>19</v>
      </c>
      <c r="AC5175">
        <v>27.4362999999999</v>
      </c>
      <c r="AD5175">
        <v>-1.1147140504099999</v>
      </c>
      <c r="AE5175">
        <v>-5.1084299999999896</v>
      </c>
      <c r="AF5175">
        <v>-11.5453608049132</v>
      </c>
      <c r="AG5175">
        <v>-1.1147140504099999</v>
      </c>
      <c r="AH5175">
        <v>25.3588646932571</v>
      </c>
      <c r="AI5175">
        <v>92.290978067810002</v>
      </c>
      <c r="AJ5175">
        <v>114.478781659172</v>
      </c>
      <c r="AK5175">
        <v>27.885658716636598</v>
      </c>
      <c r="AL5175">
        <v>89.915643507473902</v>
      </c>
      <c r="AM5175">
        <v>91.889302617553099</v>
      </c>
      <c r="AN5175">
        <v>0.99999999449461097</v>
      </c>
    </row>
    <row r="5176" spans="1:40" x14ac:dyDescent="0.25">
      <c r="A5176" t="str">
        <f>"20190312161118870"</f>
        <v>20190312161118870</v>
      </c>
      <c r="B5176" t="str">
        <f>"1552378278862193"</f>
        <v>1552378278862193</v>
      </c>
      <c r="C5176" t="s">
        <v>40</v>
      </c>
      <c r="D5176">
        <v>5.5972499999999998</v>
      </c>
      <c r="E5176">
        <v>0.3437289</v>
      </c>
      <c r="F5176" t="s">
        <v>97</v>
      </c>
      <c r="G5176">
        <v>-384.86290000000002</v>
      </c>
      <c r="H5176" s="1">
        <v>-2.713396E-6</v>
      </c>
      <c r="I5176">
        <v>18.01182</v>
      </c>
      <c r="J5176">
        <v>-411.55200000000002</v>
      </c>
      <c r="K5176">
        <v>1.114687</v>
      </c>
      <c r="L5176">
        <v>22.88373</v>
      </c>
      <c r="M5176">
        <v>0.82181139999999997</v>
      </c>
      <c r="N5176">
        <v>0</v>
      </c>
      <c r="O5176">
        <v>-0.56958549999999997</v>
      </c>
      <c r="P5176">
        <v>0.8400396</v>
      </c>
      <c r="Q5176">
        <v>-1.1965470000000001E-2</v>
      </c>
      <c r="R5176">
        <v>-0.54239340000000003</v>
      </c>
      <c r="S5176">
        <v>3.196625</v>
      </c>
      <c r="T5176">
        <v>-0.13301579999999999</v>
      </c>
      <c r="U5176">
        <v>-0.58880619999999995</v>
      </c>
      <c r="V5176">
        <v>-3.27531E-2</v>
      </c>
      <c r="W5176">
        <v>1.7746120000000001E-3</v>
      </c>
      <c r="X5176">
        <v>0.99946190000000001</v>
      </c>
      <c r="Y5176">
        <v>-0.41057909999999997</v>
      </c>
      <c r="Z5176">
        <v>3.0520439999999999E-2</v>
      </c>
      <c r="AA5176">
        <v>0.91131399999999996</v>
      </c>
      <c r="AB5176">
        <v>19</v>
      </c>
      <c r="AC5176">
        <v>26.6890999999999</v>
      </c>
      <c r="AD5176">
        <v>-1.1146897133959901</v>
      </c>
      <c r="AE5176">
        <v>-4.8719099999999997</v>
      </c>
      <c r="AF5176">
        <v>-11.180170564717599</v>
      </c>
      <c r="AG5176">
        <v>-1.1146897133959901</v>
      </c>
      <c r="AH5176">
        <v>24.669182479474902</v>
      </c>
      <c r="AI5176">
        <v>92.356743746842398</v>
      </c>
      <c r="AJ5176">
        <v>114.380220716175</v>
      </c>
      <c r="AK5176">
        <v>27.107329474128601</v>
      </c>
      <c r="AL5176">
        <v>89.898322168980101</v>
      </c>
      <c r="AM5176">
        <v>91.8769530383926</v>
      </c>
      <c r="AN5176">
        <v>1.0000000021794799</v>
      </c>
    </row>
    <row r="5177" spans="1:40" x14ac:dyDescent="0.25">
      <c r="A5177" t="str">
        <f>"20190312161118890"</f>
        <v>20190312161118890</v>
      </c>
      <c r="B5177" t="str">
        <f>"1552378278882499"</f>
        <v>1552378278882499</v>
      </c>
      <c r="C5177" t="s">
        <v>40</v>
      </c>
      <c r="D5177">
        <v>5.6719910000000002</v>
      </c>
      <c r="E5177">
        <v>0.34464309999999998</v>
      </c>
      <c r="F5177" t="s">
        <v>97</v>
      </c>
      <c r="G5177">
        <v>-385.26069999999999</v>
      </c>
      <c r="H5177" s="1">
        <v>-2.5019289999999999E-6</v>
      </c>
      <c r="I5177">
        <v>18.143899999999999</v>
      </c>
      <c r="J5177">
        <v>-411.40570000000002</v>
      </c>
      <c r="K5177">
        <v>1.114655</v>
      </c>
      <c r="L5177">
        <v>22.793299999999999</v>
      </c>
      <c r="M5177">
        <v>0.82614330000000002</v>
      </c>
      <c r="N5177">
        <v>0</v>
      </c>
      <c r="O5177">
        <v>-0.56328400000000001</v>
      </c>
      <c r="P5177">
        <v>0.84376509999999905</v>
      </c>
      <c r="Q5177">
        <v>-1.218345E-2</v>
      </c>
      <c r="R5177">
        <v>-0.53657410000000005</v>
      </c>
      <c r="S5177">
        <v>3.1971440000000002</v>
      </c>
      <c r="T5177">
        <v>-0.13555149999999999</v>
      </c>
      <c r="U5177">
        <v>-0.5763855</v>
      </c>
      <c r="V5177">
        <v>-3.2013930000000003E-2</v>
      </c>
      <c r="W5177">
        <v>1.5600360000000001E-3</v>
      </c>
      <c r="X5177">
        <v>0.99948619999999999</v>
      </c>
      <c r="Y5177">
        <v>-0.40703509999999998</v>
      </c>
      <c r="Z5177">
        <v>3.082418E-2</v>
      </c>
      <c r="AA5177">
        <v>0.91289229999999999</v>
      </c>
      <c r="AB5177">
        <v>19</v>
      </c>
      <c r="AC5177">
        <v>26.145</v>
      </c>
      <c r="AD5177">
        <v>-1.1146575019289999</v>
      </c>
      <c r="AE5177">
        <v>-4.6494</v>
      </c>
      <c r="AF5177">
        <v>-10.8679211618431</v>
      </c>
      <c r="AG5177">
        <v>-1.1146575019289999</v>
      </c>
      <c r="AH5177">
        <v>24.178251885000702</v>
      </c>
      <c r="AI5177">
        <v>92.407816930392499</v>
      </c>
      <c r="AJ5177">
        <v>114.20351693692</v>
      </c>
      <c r="AK5177">
        <v>26.531905999026598</v>
      </c>
      <c r="AL5177">
        <v>89.910616484582803</v>
      </c>
      <c r="AM5177">
        <v>91.834578782284495</v>
      </c>
      <c r="AN5177">
        <v>0.99999999470840295</v>
      </c>
    </row>
    <row r="5178" spans="1:40" x14ac:dyDescent="0.25">
      <c r="A5178" t="str">
        <f>"20190312161118902"</f>
        <v>20190312161118902</v>
      </c>
      <c r="B5178" t="str">
        <f>"1552378278892260"</f>
        <v>1552378278892260</v>
      </c>
      <c r="C5178" t="s">
        <v>40</v>
      </c>
      <c r="D5178">
        <v>5.6754810000000004</v>
      </c>
      <c r="E5178">
        <v>0.34513630000000001</v>
      </c>
      <c r="F5178" t="s">
        <v>97</v>
      </c>
      <c r="G5178">
        <v>-385.48140000000001</v>
      </c>
      <c r="H5178" s="1">
        <v>-2.3786099999999998E-6</v>
      </c>
      <c r="I5178">
        <v>18.250920000000001</v>
      </c>
      <c r="J5178">
        <v>-411.31490000000002</v>
      </c>
      <c r="K5178">
        <v>1.114633</v>
      </c>
      <c r="L5178">
        <v>22.73779</v>
      </c>
      <c r="M5178">
        <v>0.82879150000000001</v>
      </c>
      <c r="N5178">
        <v>0</v>
      </c>
      <c r="O5178">
        <v>-0.55938049999999995</v>
      </c>
      <c r="P5178">
        <v>0.846064699999999</v>
      </c>
      <c r="Q5178">
        <v>-1.2095089999999999E-2</v>
      </c>
      <c r="R5178">
        <v>-0.53294330000000001</v>
      </c>
      <c r="S5178">
        <v>3.197235</v>
      </c>
      <c r="T5178">
        <v>-0.13747019999999999</v>
      </c>
      <c r="U5178">
        <v>-0.56021119999999902</v>
      </c>
      <c r="V5178">
        <v>-3.1595480000000002E-2</v>
      </c>
      <c r="W5178">
        <v>1.6501580000000001E-3</v>
      </c>
      <c r="X5178">
        <v>0.99949940000000004</v>
      </c>
      <c r="Y5178">
        <v>-0.40718779999999999</v>
      </c>
      <c r="Z5178">
        <v>3.1148180000000001E-2</v>
      </c>
      <c r="AA5178">
        <v>0.91281319999999999</v>
      </c>
      <c r="AB5178">
        <v>19</v>
      </c>
      <c r="AC5178">
        <v>25.833500000000001</v>
      </c>
      <c r="AD5178">
        <v>-1.1146353786100001</v>
      </c>
      <c r="AE5178">
        <v>-4.4868699999999997</v>
      </c>
      <c r="AF5178">
        <v>-10.713778330254801</v>
      </c>
      <c r="AG5178">
        <v>-1.1146353786100001</v>
      </c>
      <c r="AH5178">
        <v>23.8796686310294</v>
      </c>
      <c r="AI5178">
        <v>92.438598666786902</v>
      </c>
      <c r="AJ5178">
        <v>114.163718643065</v>
      </c>
      <c r="AK5178">
        <v>26.196679790860099</v>
      </c>
      <c r="AL5178">
        <v>89.905452870429301</v>
      </c>
      <c r="AM5178">
        <v>91.810591407544393</v>
      </c>
      <c r="AN5178">
        <v>1.0000000239891</v>
      </c>
    </row>
    <row r="5179" spans="1:40" x14ac:dyDescent="0.25">
      <c r="A5179" t="str">
        <f>"20190312161118923"</f>
        <v>20190312161118923</v>
      </c>
      <c r="B5179" t="str">
        <f>"1552378278912756"</f>
        <v>1552378278912756</v>
      </c>
      <c r="C5179" t="s">
        <v>40</v>
      </c>
      <c r="D5179">
        <v>5.6829890000000001</v>
      </c>
      <c r="E5179">
        <v>0.3460802</v>
      </c>
      <c r="F5179" t="s">
        <v>97</v>
      </c>
      <c r="G5179">
        <v>-385.30399999999997</v>
      </c>
      <c r="H5179" s="1">
        <v>-2.4597630000000002E-6</v>
      </c>
      <c r="I5179">
        <v>18.266190000000002</v>
      </c>
      <c r="J5179">
        <v>-411.16750000000002</v>
      </c>
      <c r="K5179">
        <v>1.114595</v>
      </c>
      <c r="L5179">
        <v>22.649170000000002</v>
      </c>
      <c r="M5179">
        <v>0.83300909999999995</v>
      </c>
      <c r="N5179">
        <v>0</v>
      </c>
      <c r="O5179">
        <v>-0.55308059999999903</v>
      </c>
      <c r="P5179">
        <v>0.84918899999999997</v>
      </c>
      <c r="Q5179">
        <v>-1.191297E-2</v>
      </c>
      <c r="R5179">
        <v>-0.52795519999999996</v>
      </c>
      <c r="S5179">
        <v>3.197632</v>
      </c>
      <c r="T5179">
        <v>-0.13702690000000001</v>
      </c>
      <c r="U5179">
        <v>-0.54971309999999995</v>
      </c>
      <c r="V5179">
        <v>-2.9902539999999998E-2</v>
      </c>
      <c r="W5179">
        <v>1.8451839999999999E-3</v>
      </c>
      <c r="X5179">
        <v>0.99955110000000003</v>
      </c>
      <c r="Y5179">
        <v>-0.40320159999999999</v>
      </c>
      <c r="Z5179">
        <v>3.075311E-2</v>
      </c>
      <c r="AA5179">
        <v>0.91459429999999997</v>
      </c>
      <c r="AB5179">
        <v>19</v>
      </c>
      <c r="AC5179">
        <v>25.863499999999899</v>
      </c>
      <c r="AD5179">
        <v>-1.114597459763</v>
      </c>
      <c r="AE5179">
        <v>-4.3829799999999999</v>
      </c>
      <c r="AF5179">
        <v>-10.6353903185092</v>
      </c>
      <c r="AG5179">
        <v>-1.114597459763</v>
      </c>
      <c r="AH5179">
        <v>23.927843114459201</v>
      </c>
      <c r="AI5179">
        <v>92.437397349817701</v>
      </c>
      <c r="AJ5179">
        <v>113.964075355885</v>
      </c>
      <c r="AK5179">
        <v>26.208691894761301</v>
      </c>
      <c r="AL5179">
        <v>89.894278682697703</v>
      </c>
      <c r="AM5179">
        <v>91.713547713114906</v>
      </c>
      <c r="AN5179">
        <v>0.999999984056827</v>
      </c>
    </row>
    <row r="5180" spans="1:40" x14ac:dyDescent="0.25">
      <c r="A5180" t="str">
        <f>"20190312161118945"</f>
        <v>20190312161118945</v>
      </c>
      <c r="B5180" t="str">
        <f>"1552378278942036"</f>
        <v>1552378278942036</v>
      </c>
      <c r="C5180" t="s">
        <v>40</v>
      </c>
      <c r="D5180">
        <v>5.3769410000000004</v>
      </c>
      <c r="E5180">
        <v>0.34614909999999999</v>
      </c>
      <c r="F5180" t="s">
        <v>97</v>
      </c>
      <c r="G5180">
        <v>-385.48590000000002</v>
      </c>
      <c r="H5180" s="1">
        <v>-2.361616E-6</v>
      </c>
      <c r="I5180">
        <v>18.33466</v>
      </c>
      <c r="J5180">
        <v>-411.00599999999997</v>
      </c>
      <c r="K5180">
        <v>1.114557</v>
      </c>
      <c r="L5180">
        <v>22.553619999999999</v>
      </c>
      <c r="M5180">
        <v>0.83753599999999995</v>
      </c>
      <c r="N5180">
        <v>0</v>
      </c>
      <c r="O5180">
        <v>-0.54620150000000001</v>
      </c>
      <c r="P5180">
        <v>0.85283180000000003</v>
      </c>
      <c r="Q5180">
        <v>-1.1800359999999999E-2</v>
      </c>
      <c r="R5180">
        <v>-0.52205290000000004</v>
      </c>
      <c r="S5180">
        <v>3.1968990000000002</v>
      </c>
      <c r="T5180">
        <v>-0.13874729999999999</v>
      </c>
      <c r="U5180">
        <v>-0.53707890000000003</v>
      </c>
      <c r="V5180">
        <v>-2.8604190000000002E-2</v>
      </c>
      <c r="W5180">
        <v>1.9648700000000001E-3</v>
      </c>
      <c r="X5180">
        <v>0.9995889</v>
      </c>
      <c r="Y5180">
        <v>-0.3991285</v>
      </c>
      <c r="Z5180">
        <v>3.0829450000000001E-2</v>
      </c>
      <c r="AA5180">
        <v>0.91637659999999999</v>
      </c>
      <c r="AB5180">
        <v>19</v>
      </c>
      <c r="AC5180">
        <v>25.5200999999999</v>
      </c>
      <c r="AD5180">
        <v>-1.1145593616159899</v>
      </c>
      <c r="AE5180">
        <v>-4.21896</v>
      </c>
      <c r="AF5180">
        <v>-10.3873273483355</v>
      </c>
      <c r="AG5180">
        <v>-1.1145593616159899</v>
      </c>
      <c r="AH5180">
        <v>23.636856285732001</v>
      </c>
      <c r="AI5180">
        <v>92.471863141774193</v>
      </c>
      <c r="AJ5180">
        <v>113.723312983806</v>
      </c>
      <c r="AK5180">
        <v>25.842596368871099</v>
      </c>
      <c r="AL5180">
        <v>89.887421170924</v>
      </c>
      <c r="AM5180">
        <v>91.639126077735796</v>
      </c>
      <c r="AN5180">
        <v>1.0000000147014401</v>
      </c>
    </row>
    <row r="5181" spans="1:40" x14ac:dyDescent="0.25">
      <c r="A5181" t="str">
        <f>"20190312161118967"</f>
        <v>20190312161118967</v>
      </c>
      <c r="B5181" t="str">
        <f>"1552378278962532"</f>
        <v>1552378278962532</v>
      </c>
      <c r="C5181" t="s">
        <v>40</v>
      </c>
      <c r="D5181">
        <v>5.6836710000000004</v>
      </c>
      <c r="E5181">
        <v>0.346539599999999</v>
      </c>
      <c r="F5181" t="s">
        <v>97</v>
      </c>
      <c r="G5181">
        <v>-383.93130000000002</v>
      </c>
      <c r="H5181" s="1">
        <v>-3.1219670000000001E-6</v>
      </c>
      <c r="I5181">
        <v>18.19106</v>
      </c>
      <c r="J5181">
        <v>-410.84890000000001</v>
      </c>
      <c r="K5181">
        <v>1.1145080000000001</v>
      </c>
      <c r="L5181">
        <v>22.46246</v>
      </c>
      <c r="M5181">
        <v>0.8418369</v>
      </c>
      <c r="N5181">
        <v>0</v>
      </c>
      <c r="O5181">
        <v>-0.53954869999999899</v>
      </c>
      <c r="P5181">
        <v>0.85630399999999995</v>
      </c>
      <c r="Q5181">
        <v>-1.176903E-2</v>
      </c>
      <c r="R5181">
        <v>-0.51633779999999996</v>
      </c>
      <c r="S5181">
        <v>3.2002259999999998</v>
      </c>
      <c r="T5181">
        <v>-0.1317412</v>
      </c>
      <c r="U5181">
        <v>-0.51565550000000004</v>
      </c>
      <c r="V5181">
        <v>-2.7370140000000001E-2</v>
      </c>
      <c r="W5181">
        <v>2.0025400000000001E-3</v>
      </c>
      <c r="X5181">
        <v>0.99962340000000005</v>
      </c>
      <c r="Y5181">
        <v>-0.39807890000000001</v>
      </c>
      <c r="Z5181">
        <v>2.9021660000000001E-2</v>
      </c>
      <c r="AA5181">
        <v>0.91689200000000004</v>
      </c>
      <c r="AB5181">
        <v>19</v>
      </c>
      <c r="AC5181">
        <v>26.9176</v>
      </c>
      <c r="AD5181">
        <v>-1.1145111219670001</v>
      </c>
      <c r="AE5181">
        <v>-4.2713999999999999</v>
      </c>
      <c r="AF5181">
        <v>-10.9103703959006</v>
      </c>
      <c r="AG5181">
        <v>-1.1145111219670001</v>
      </c>
      <c r="AH5181">
        <v>24.925645688723399</v>
      </c>
      <c r="AI5181">
        <v>92.345597080661804</v>
      </c>
      <c r="AJ5181">
        <v>113.639796304714</v>
      </c>
      <c r="AK5181">
        <v>27.231711848807901</v>
      </c>
      <c r="AL5181">
        <v>89.885262837399907</v>
      </c>
      <c r="AM5181">
        <v>91.568392453589695</v>
      </c>
      <c r="AN5181">
        <v>1.0000000382788099</v>
      </c>
    </row>
    <row r="5182" spans="1:40" x14ac:dyDescent="0.25">
      <c r="A5182" t="str">
        <f>"20190312161118991"</f>
        <v>20190312161118991</v>
      </c>
      <c r="B5182" t="str">
        <f>"1552378278982052"</f>
        <v>1552378278982052</v>
      </c>
      <c r="C5182" t="s">
        <v>40</v>
      </c>
      <c r="D5182">
        <v>5.3731900000000001</v>
      </c>
      <c r="E5182">
        <v>0.34705449999999999</v>
      </c>
      <c r="F5182" t="s">
        <v>97</v>
      </c>
      <c r="G5182">
        <v>-383.51949999999999</v>
      </c>
      <c r="H5182" s="1">
        <v>-3.3113930000000002E-6</v>
      </c>
      <c r="I5182">
        <v>18.220649999999999</v>
      </c>
      <c r="J5182">
        <v>-410.673</v>
      </c>
      <c r="K5182">
        <v>1.1144750000000001</v>
      </c>
      <c r="L5182">
        <v>22.36234</v>
      </c>
      <c r="M5182">
        <v>0.84654689999999999</v>
      </c>
      <c r="N5182">
        <v>0</v>
      </c>
      <c r="O5182">
        <v>-0.53212890000000002</v>
      </c>
      <c r="P5182">
        <v>0.86023069999999902</v>
      </c>
      <c r="Q5182">
        <v>-1.178946E-2</v>
      </c>
      <c r="R5182">
        <v>-0.50976920000000003</v>
      </c>
      <c r="S5182">
        <v>3.201965</v>
      </c>
      <c r="T5182">
        <v>-0.13057830000000001</v>
      </c>
      <c r="U5182">
        <v>-0.4969788</v>
      </c>
      <c r="V5182">
        <v>-2.6234250000000001E-2</v>
      </c>
      <c r="W5182">
        <v>1.9863279999999999E-3</v>
      </c>
      <c r="X5182">
        <v>0.99965389999999998</v>
      </c>
      <c r="Y5182">
        <v>-0.3953314</v>
      </c>
      <c r="Z5182">
        <v>2.8463680000000002E-2</v>
      </c>
      <c r="AA5182">
        <v>0.91809739999999995</v>
      </c>
      <c r="AB5182">
        <v>19</v>
      </c>
      <c r="AC5182">
        <v>27.153500000000001</v>
      </c>
      <c r="AD5182">
        <v>-1.1144783113929999</v>
      </c>
      <c r="AE5182">
        <v>-4.1416899999999996</v>
      </c>
      <c r="AF5182">
        <v>-10.926118846234999</v>
      </c>
      <c r="AG5182">
        <v>-1.1144783113929999</v>
      </c>
      <c r="AH5182">
        <v>25.151701380926799</v>
      </c>
      <c r="AI5182">
        <v>92.327286315653595</v>
      </c>
      <c r="AJ5182">
        <v>113.480547580959</v>
      </c>
      <c r="AK5182">
        <v>27.4450399399223</v>
      </c>
      <c r="AL5182">
        <v>89.886191719789096</v>
      </c>
      <c r="AM5182">
        <v>91.503287163262698</v>
      </c>
      <c r="AN5182">
        <v>1.00000005057859</v>
      </c>
    </row>
    <row r="5183" spans="1:40" x14ac:dyDescent="0.25">
      <c r="A5183" t="str">
        <f>"20190312161119012"</f>
        <v>20190312161119012</v>
      </c>
      <c r="B5183" t="str">
        <f>"1552378279002551"</f>
        <v>1552378279002551</v>
      </c>
      <c r="C5183" t="s">
        <v>40</v>
      </c>
      <c r="D5183">
        <v>5.7335949999999896</v>
      </c>
      <c r="E5183">
        <v>0.34746759999999999</v>
      </c>
      <c r="F5183" t="s">
        <v>97</v>
      </c>
      <c r="G5183">
        <v>-382.93959999999998</v>
      </c>
      <c r="H5183" s="1">
        <v>-3.5817069999999999E-6</v>
      </c>
      <c r="I5183">
        <v>18.24202</v>
      </c>
      <c r="J5183">
        <v>-410.52170000000001</v>
      </c>
      <c r="K5183">
        <v>1.114455</v>
      </c>
      <c r="L5183">
        <v>22.277709999999999</v>
      </c>
      <c r="M5183">
        <v>0.85051480000000002</v>
      </c>
      <c r="N5183">
        <v>0</v>
      </c>
      <c r="O5183">
        <v>-0.52576409999999996</v>
      </c>
      <c r="P5183">
        <v>0.86389169999999904</v>
      </c>
      <c r="Q5183">
        <v>-1.1205329999999999E-2</v>
      </c>
      <c r="R5183">
        <v>-0.50355369999999999</v>
      </c>
      <c r="S5183">
        <v>3.2035830000000001</v>
      </c>
      <c r="T5183">
        <v>-0.12873760000000001</v>
      </c>
      <c r="U5183">
        <v>-0.47595209999999999</v>
      </c>
      <c r="V5183">
        <v>-2.5953449999999999E-2</v>
      </c>
      <c r="W5183">
        <v>2.5666370000000001E-3</v>
      </c>
      <c r="X5183">
        <v>0.99965979999999999</v>
      </c>
      <c r="Y5183">
        <v>-0.39442719999999998</v>
      </c>
      <c r="Z5183">
        <v>2.7838580000000002E-2</v>
      </c>
      <c r="AA5183">
        <v>0.91850540000000003</v>
      </c>
      <c r="AB5183">
        <v>19</v>
      </c>
      <c r="AC5183">
        <v>27.582100000000001</v>
      </c>
      <c r="AD5183">
        <v>-1.1144585817070001</v>
      </c>
      <c r="AE5183">
        <v>-4.03568999999999</v>
      </c>
      <c r="AF5183">
        <v>-11.0526865138883</v>
      </c>
      <c r="AG5183">
        <v>-1.1144585817070001</v>
      </c>
      <c r="AH5183">
        <v>25.542495219717999</v>
      </c>
      <c r="AI5183">
        <v>92.293090508551103</v>
      </c>
      <c r="AJ5183">
        <v>113.39898316825</v>
      </c>
      <c r="AK5183">
        <v>27.853598675107499</v>
      </c>
      <c r="AL5183">
        <v>89.852942362436394</v>
      </c>
      <c r="AM5183">
        <v>91.487195123226002</v>
      </c>
      <c r="AN5183">
        <v>0.99999994246421398</v>
      </c>
    </row>
    <row r="5184" spans="1:40" x14ac:dyDescent="0.25">
      <c r="A5184" t="str">
        <f>"20190312161119024"</f>
        <v>20190312161119024</v>
      </c>
      <c r="B5184" t="str">
        <f>"1552378279022068"</f>
        <v>1552378279022068</v>
      </c>
      <c r="C5184" t="s">
        <v>40</v>
      </c>
      <c r="D5184">
        <v>5.4195840000000004</v>
      </c>
      <c r="E5184">
        <v>0.3477268</v>
      </c>
      <c r="F5184" t="s">
        <v>97</v>
      </c>
      <c r="G5184">
        <v>-381.69279999999998</v>
      </c>
      <c r="H5184" s="1">
        <v>-4.1822569999999996E-6</v>
      </c>
      <c r="I5184">
        <v>18.179010000000002</v>
      </c>
      <c r="J5184">
        <v>-410.43119999999999</v>
      </c>
      <c r="K5184">
        <v>1.1144430000000001</v>
      </c>
      <c r="L5184">
        <v>22.227599999999999</v>
      </c>
      <c r="M5184">
        <v>0.8528578</v>
      </c>
      <c r="N5184">
        <v>0</v>
      </c>
      <c r="O5184">
        <v>-0.52195499999999995</v>
      </c>
      <c r="P5184">
        <v>0.86610450000000005</v>
      </c>
      <c r="Q5184">
        <v>-1.0877070000000001E-2</v>
      </c>
      <c r="R5184">
        <v>-0.49974540000000001</v>
      </c>
      <c r="S5184">
        <v>3.2053829999999999</v>
      </c>
      <c r="T5184">
        <v>-0.1239127</v>
      </c>
      <c r="U5184">
        <v>-0.45571899999999999</v>
      </c>
      <c r="V5184">
        <v>-2.5888129999999999E-2</v>
      </c>
      <c r="W5184">
        <v>2.8923159999999998E-3</v>
      </c>
      <c r="X5184">
        <v>0.99966069999999996</v>
      </c>
      <c r="Y5184">
        <v>-0.39612140000000001</v>
      </c>
      <c r="Z5184">
        <v>2.670952E-2</v>
      </c>
      <c r="AA5184">
        <v>0.9178096</v>
      </c>
      <c r="AB5184">
        <v>19</v>
      </c>
      <c r="AC5184">
        <v>28.738399999999999</v>
      </c>
      <c r="AD5184">
        <v>-1.1144471822569999</v>
      </c>
      <c r="AE5184">
        <v>-4.0485899999999901</v>
      </c>
      <c r="AF5184">
        <v>-11.5314113691719</v>
      </c>
      <c r="AG5184">
        <v>-1.1144471822569999</v>
      </c>
      <c r="AH5184">
        <v>26.586364281173001</v>
      </c>
      <c r="AI5184">
        <v>92.202308262990698</v>
      </c>
      <c r="AJ5184">
        <v>113.44801951583101</v>
      </c>
      <c r="AK5184">
        <v>29.000865614294</v>
      </c>
      <c r="AL5184">
        <v>89.834282275417806</v>
      </c>
      <c r="AM5184">
        <v>91.4834524697483</v>
      </c>
      <c r="AN5184">
        <v>1.00000003794561</v>
      </c>
    </row>
    <row r="5185" spans="1:40" x14ac:dyDescent="0.25">
      <c r="A5185" t="str">
        <f>"20190312161119046"</f>
        <v>20190312161119046</v>
      </c>
      <c r="B5185" t="str">
        <f>"1552378279042564"</f>
        <v>1552378279042564</v>
      </c>
      <c r="C5185" t="s">
        <v>40</v>
      </c>
      <c r="D5185">
        <v>5.7794400000000001</v>
      </c>
      <c r="E5185">
        <v>0.34816760000000002</v>
      </c>
      <c r="F5185" t="s">
        <v>97</v>
      </c>
      <c r="G5185">
        <v>-381.21559999999999</v>
      </c>
      <c r="H5185" s="1">
        <v>-4.40633E-6</v>
      </c>
      <c r="I5185">
        <v>18.187609999999999</v>
      </c>
      <c r="J5185">
        <v>-410.27449999999999</v>
      </c>
      <c r="K5185">
        <v>1.1144259999999999</v>
      </c>
      <c r="L5185">
        <v>22.142430000000001</v>
      </c>
      <c r="M5185">
        <v>0.85684570000000004</v>
      </c>
      <c r="N5185">
        <v>0</v>
      </c>
      <c r="O5185">
        <v>-0.51538209999999995</v>
      </c>
      <c r="P5185">
        <v>0.87000010000000005</v>
      </c>
      <c r="Q5185">
        <v>-1.102643E-2</v>
      </c>
      <c r="R5185">
        <v>-0.49292839999999999</v>
      </c>
      <c r="S5185">
        <v>3.2064210000000002</v>
      </c>
      <c r="T5185">
        <v>-0.122311</v>
      </c>
      <c r="U5185">
        <v>-0.4433899</v>
      </c>
      <c r="V5185">
        <v>-2.6050210000000001E-2</v>
      </c>
      <c r="W5185">
        <v>2.7349599999999998E-3</v>
      </c>
      <c r="X5185">
        <v>0.99965689999999996</v>
      </c>
      <c r="Y5185">
        <v>-0.39258490000000001</v>
      </c>
      <c r="Z5185">
        <v>2.608804E-2</v>
      </c>
      <c r="AA5185">
        <v>0.91934570000000004</v>
      </c>
      <c r="AB5185">
        <v>19</v>
      </c>
      <c r="AC5185">
        <v>29.058899999999898</v>
      </c>
      <c r="AD5185">
        <v>-1.1144304063299999</v>
      </c>
      <c r="AE5185">
        <v>-3.95481999999999</v>
      </c>
      <c r="AF5185">
        <v>-11.5721958072655</v>
      </c>
      <c r="AG5185">
        <v>-1.1144304063299999</v>
      </c>
      <c r="AH5185">
        <v>26.901041138040998</v>
      </c>
      <c r="AI5185">
        <v>92.1793566467761</v>
      </c>
      <c r="AJ5185">
        <v>113.276239063169</v>
      </c>
      <c r="AK5185">
        <v>29.305693734201501</v>
      </c>
      <c r="AL5185">
        <v>89.843298140382103</v>
      </c>
      <c r="AM5185">
        <v>91.492741528479797</v>
      </c>
      <c r="AN5185">
        <v>1.0000000055824201</v>
      </c>
    </row>
    <row r="5186" spans="1:40" x14ac:dyDescent="0.25">
      <c r="A5186" t="str">
        <f>"20190312161119060"</f>
        <v>20190312161119060</v>
      </c>
      <c r="B5186" t="str">
        <f>"1552378279052324"</f>
        <v>1552378279052324</v>
      </c>
      <c r="C5186" t="s">
        <v>40</v>
      </c>
      <c r="D5186">
        <v>5.8799149999999996</v>
      </c>
      <c r="E5186">
        <v>0.34847430000000001</v>
      </c>
      <c r="F5186" t="s">
        <v>97</v>
      </c>
      <c r="G5186">
        <v>-380.64089999999999</v>
      </c>
      <c r="H5186" s="1">
        <v>-4.6668309999999997E-6</v>
      </c>
      <c r="I5186">
        <v>18.25055</v>
      </c>
      <c r="J5186">
        <v>-410.16809999999998</v>
      </c>
      <c r="K5186">
        <v>1.1144160000000001</v>
      </c>
      <c r="L5186">
        <v>22.085509999999999</v>
      </c>
      <c r="M5186">
        <v>0.85951169999999999</v>
      </c>
      <c r="N5186">
        <v>0</v>
      </c>
      <c r="O5186">
        <v>-0.51092389999999999</v>
      </c>
      <c r="P5186">
        <v>0.87268409999999996</v>
      </c>
      <c r="Q5186">
        <v>-1.1160969999999999E-2</v>
      </c>
      <c r="R5186">
        <v>-0.48815770000000003</v>
      </c>
      <c r="S5186">
        <v>3.2080690000000001</v>
      </c>
      <c r="T5186">
        <v>-0.1206458</v>
      </c>
      <c r="U5186">
        <v>-0.42132570000000003</v>
      </c>
      <c r="V5186">
        <v>-2.6327650000000001E-2</v>
      </c>
      <c r="W5186">
        <v>2.5938160000000001E-3</v>
      </c>
      <c r="X5186">
        <v>0.99965000000000004</v>
      </c>
      <c r="Y5186">
        <v>-0.39409939999999999</v>
      </c>
      <c r="Z5186">
        <v>2.5625249999999999E-2</v>
      </c>
      <c r="AA5186">
        <v>0.91871049999999999</v>
      </c>
      <c r="AB5186">
        <v>19</v>
      </c>
      <c r="AC5186">
        <v>29.527200000000001</v>
      </c>
      <c r="AD5186">
        <v>-1.1144206668309999</v>
      </c>
      <c r="AE5186">
        <v>-3.8349599999999899</v>
      </c>
      <c r="AF5186">
        <v>-11.774622791379</v>
      </c>
      <c r="AG5186">
        <v>-1.1144206668309999</v>
      </c>
      <c r="AH5186">
        <v>27.302784818420399</v>
      </c>
      <c r="AI5186">
        <v>92.146455236827904</v>
      </c>
      <c r="AJ5186">
        <v>113.32864630830601</v>
      </c>
      <c r="AK5186">
        <v>29.754423774338001</v>
      </c>
      <c r="AL5186">
        <v>89.8513851233905</v>
      </c>
      <c r="AM5186">
        <v>91.508642627406203</v>
      </c>
      <c r="AN5186">
        <v>0.99999999776798199</v>
      </c>
    </row>
    <row r="5187" spans="1:40" x14ac:dyDescent="0.25">
      <c r="A5187" t="str">
        <f>"20190312161119074"</f>
        <v>20190312161119074</v>
      </c>
      <c r="B5187" t="str">
        <f>"1552378279062085"</f>
        <v>1552378279062085</v>
      </c>
      <c r="C5187" t="s">
        <v>40</v>
      </c>
      <c r="D5187">
        <v>5.6760979999999996</v>
      </c>
      <c r="E5187">
        <v>0.34877039999999998</v>
      </c>
      <c r="F5187" t="s">
        <v>97</v>
      </c>
      <c r="G5187">
        <v>-380.48669999999998</v>
      </c>
      <c r="H5187" s="1">
        <v>-4.7252680000000003E-6</v>
      </c>
      <c r="I5187">
        <v>18.332080000000001</v>
      </c>
      <c r="J5187">
        <v>-410.0675</v>
      </c>
      <c r="K5187">
        <v>1.1144080000000001</v>
      </c>
      <c r="L5187">
        <v>22.032350000000001</v>
      </c>
      <c r="M5187">
        <v>0.86200169999999998</v>
      </c>
      <c r="N5187">
        <v>0</v>
      </c>
      <c r="O5187">
        <v>-0.50671179999999905</v>
      </c>
      <c r="P5187">
        <v>0.87510959999999904</v>
      </c>
      <c r="Q5187">
        <v>-1.1421499999999999E-2</v>
      </c>
      <c r="R5187">
        <v>-0.48379030000000001</v>
      </c>
      <c r="S5187">
        <v>3.2091669999999999</v>
      </c>
      <c r="T5187">
        <v>-0.1204916</v>
      </c>
      <c r="U5187">
        <v>-0.40582279999999998</v>
      </c>
      <c r="V5187">
        <v>-2.6427280000000001E-2</v>
      </c>
      <c r="W5187">
        <v>2.3286959999999999E-3</v>
      </c>
      <c r="X5187">
        <v>0.99964799999999998</v>
      </c>
      <c r="Y5187">
        <v>-0.3940128</v>
      </c>
      <c r="Z5187">
        <v>2.5460239999999999E-2</v>
      </c>
      <c r="AA5187">
        <v>0.91875229999999997</v>
      </c>
      <c r="AB5187">
        <v>19</v>
      </c>
      <c r="AC5187">
        <v>29.5808</v>
      </c>
      <c r="AD5187">
        <v>-1.1144127252680001</v>
      </c>
      <c r="AE5187">
        <v>-3.7002700000000002</v>
      </c>
      <c r="AF5187">
        <v>-11.7839919149836</v>
      </c>
      <c r="AG5187">
        <v>-1.1144127252680001</v>
      </c>
      <c r="AH5187">
        <v>27.338153313515999</v>
      </c>
      <c r="AI5187">
        <v>92.143833201478998</v>
      </c>
      <c r="AJ5187">
        <v>113.3182477055</v>
      </c>
      <c r="AK5187">
        <v>29.7905858916528</v>
      </c>
      <c r="AL5187">
        <v>89.866575423362505</v>
      </c>
      <c r="AM5187">
        <v>91.5143520597709</v>
      </c>
      <c r="AN5187">
        <v>0.99999997392862805</v>
      </c>
    </row>
    <row r="5188" spans="1:40" x14ac:dyDescent="0.25">
      <c r="A5188" t="str">
        <f>"20190312161119090"</f>
        <v>20190312161119090</v>
      </c>
      <c r="B5188" t="str">
        <f>"1552378279082583"</f>
        <v>1552378279082583</v>
      </c>
      <c r="C5188" t="s">
        <v>40</v>
      </c>
      <c r="D5188">
        <v>5.8037070000000002</v>
      </c>
      <c r="E5188">
        <v>0.349412</v>
      </c>
      <c r="F5188" t="s">
        <v>97</v>
      </c>
      <c r="G5188">
        <v>-380.51240000000001</v>
      </c>
      <c r="H5188" s="1">
        <v>-4.6966570000000002E-6</v>
      </c>
      <c r="I5188">
        <v>18.424779999999998</v>
      </c>
      <c r="J5188">
        <v>-409.94389999999999</v>
      </c>
      <c r="K5188">
        <v>1.1144000000000001</v>
      </c>
      <c r="L5188">
        <v>21.967829999999999</v>
      </c>
      <c r="M5188">
        <v>0.86502559999999995</v>
      </c>
      <c r="N5188">
        <v>0</v>
      </c>
      <c r="O5188">
        <v>-0.50153230000000004</v>
      </c>
      <c r="P5188">
        <v>0.87796469999999904</v>
      </c>
      <c r="Q5188">
        <v>-1.142933E-2</v>
      </c>
      <c r="R5188">
        <v>-0.47858869999999998</v>
      </c>
      <c r="S5188">
        <v>3.2099609999999998</v>
      </c>
      <c r="T5188">
        <v>-0.12103559999999999</v>
      </c>
      <c r="U5188">
        <v>-0.39181519999999997</v>
      </c>
      <c r="V5188">
        <v>-2.6362940000000001E-2</v>
      </c>
      <c r="W5188">
        <v>2.3167750000000001E-3</v>
      </c>
      <c r="X5188">
        <v>0.99964980000000003</v>
      </c>
      <c r="Y5188">
        <v>-0.39247549999999998</v>
      </c>
      <c r="Z5188">
        <v>2.5383780000000002E-2</v>
      </c>
      <c r="AA5188">
        <v>0.91941209999999995</v>
      </c>
      <c r="AB5188">
        <v>19</v>
      </c>
      <c r="AC5188">
        <v>29.4314999999999</v>
      </c>
      <c r="AD5188">
        <v>-1.114404696657</v>
      </c>
      <c r="AE5188">
        <v>-3.54305</v>
      </c>
      <c r="AF5188">
        <v>-11.6806582439969</v>
      </c>
      <c r="AG5188">
        <v>-1.114404696657</v>
      </c>
      <c r="AH5188">
        <v>27.200185261068</v>
      </c>
      <c r="AI5188">
        <v>92.155942288546498</v>
      </c>
      <c r="AJ5188">
        <v>113.24028384601699</v>
      </c>
      <c r="AK5188">
        <v>29.623128684819999</v>
      </c>
      <c r="AL5188">
        <v>89.867258457955998</v>
      </c>
      <c r="AM5188">
        <v>91.510664201604001</v>
      </c>
      <c r="AN5188">
        <v>1.0000000473459401</v>
      </c>
    </row>
    <row r="5189" spans="1:40" x14ac:dyDescent="0.25">
      <c r="A5189" t="str">
        <f>"20190312161119103"</f>
        <v>20190312161119103</v>
      </c>
      <c r="B5189" t="str">
        <f>"1552378279092340"</f>
        <v>1552378279092340</v>
      </c>
      <c r="C5189" t="s">
        <v>40</v>
      </c>
      <c r="D5189">
        <v>5.4704730000000001</v>
      </c>
      <c r="E5189">
        <v>0.34974290000000002</v>
      </c>
      <c r="F5189" t="s">
        <v>97</v>
      </c>
      <c r="G5189">
        <v>-380.35509999999999</v>
      </c>
      <c r="H5189" s="1">
        <v>-4.7593030000000002E-6</v>
      </c>
      <c r="I5189">
        <v>18.4907</v>
      </c>
      <c r="J5189">
        <v>-409.85239999999999</v>
      </c>
      <c r="K5189">
        <v>1.114392</v>
      </c>
      <c r="L5189">
        <v>21.920470000000002</v>
      </c>
      <c r="M5189">
        <v>0.86724100000000004</v>
      </c>
      <c r="N5189">
        <v>0</v>
      </c>
      <c r="O5189">
        <v>-0.49769140000000001</v>
      </c>
      <c r="P5189">
        <v>0.87998339999999997</v>
      </c>
      <c r="Q5189">
        <v>-1.1309619999999999E-2</v>
      </c>
      <c r="R5189">
        <v>-0.47486990000000001</v>
      </c>
      <c r="S5189">
        <v>3.209778</v>
      </c>
      <c r="T5189">
        <v>-0.12089</v>
      </c>
      <c r="U5189">
        <v>-0.37719730000000001</v>
      </c>
      <c r="V5189">
        <v>-2.6161299999999998E-2</v>
      </c>
      <c r="W5189">
        <v>2.435984E-3</v>
      </c>
      <c r="X5189">
        <v>0.99965479999999995</v>
      </c>
      <c r="Y5189">
        <v>-0.39252219999999999</v>
      </c>
      <c r="Z5189">
        <v>2.5242529999999999E-2</v>
      </c>
      <c r="AA5189">
        <v>0.91939599999999999</v>
      </c>
      <c r="AB5189">
        <v>19</v>
      </c>
      <c r="AC5189">
        <v>29.497299999999999</v>
      </c>
      <c r="AD5189">
        <v>-1.114396759303</v>
      </c>
      <c r="AE5189">
        <v>-3.42977</v>
      </c>
      <c r="AF5189">
        <v>-11.690800907767001</v>
      </c>
      <c r="AG5189">
        <v>-1.114396759303</v>
      </c>
      <c r="AH5189">
        <v>27.252535299330901</v>
      </c>
      <c r="AI5189">
        <v>92.1521422543223</v>
      </c>
      <c r="AJ5189">
        <v>113.218379274753</v>
      </c>
      <c r="AK5189">
        <v>29.675198166877799</v>
      </c>
      <c r="AL5189">
        <v>89.860428264463096</v>
      </c>
      <c r="AM5189">
        <v>91.499107509650997</v>
      </c>
      <c r="AN5189">
        <v>1.0000000333993799</v>
      </c>
    </row>
    <row r="5190" spans="1:40" x14ac:dyDescent="0.25">
      <c r="A5190" t="str">
        <f>"20190312161119114"</f>
        <v>20190312161119114</v>
      </c>
      <c r="B5190" t="str">
        <f>"1552378279102100"</f>
        <v>1552378279102100</v>
      </c>
      <c r="C5190" t="s">
        <v>40</v>
      </c>
      <c r="D5190">
        <v>5.798495</v>
      </c>
      <c r="E5190">
        <v>0.35006599999999999</v>
      </c>
      <c r="F5190" t="s">
        <v>97</v>
      </c>
      <c r="G5190">
        <v>-380.20080000000002</v>
      </c>
      <c r="H5190" s="1">
        <v>-4.8234240000000001E-6</v>
      </c>
      <c r="I5190">
        <v>18.540389999999999</v>
      </c>
      <c r="J5190">
        <v>-409.76760000000002</v>
      </c>
      <c r="K5190">
        <v>1.1143879999999999</v>
      </c>
      <c r="L5190">
        <v>21.877410000000001</v>
      </c>
      <c r="M5190">
        <v>0.8692685</v>
      </c>
      <c r="N5190">
        <v>0</v>
      </c>
      <c r="O5190">
        <v>-0.49414190000000002</v>
      </c>
      <c r="P5190">
        <v>0.88180579999999997</v>
      </c>
      <c r="Q5190">
        <v>-1.135562E-2</v>
      </c>
      <c r="R5190">
        <v>-0.47147610000000001</v>
      </c>
      <c r="S5190">
        <v>3.2101440000000001</v>
      </c>
      <c r="T5190">
        <v>-0.1206473</v>
      </c>
      <c r="U5190">
        <v>-0.36593629999999999</v>
      </c>
      <c r="V5190">
        <v>-2.5924869999999999E-2</v>
      </c>
      <c r="W5190">
        <v>2.3892539999999999E-3</v>
      </c>
      <c r="X5190">
        <v>0.99966100000000002</v>
      </c>
      <c r="Y5190">
        <v>-0.39196209999999998</v>
      </c>
      <c r="Z5190">
        <v>2.5071840000000001E-2</v>
      </c>
      <c r="AA5190">
        <v>0.9196396</v>
      </c>
      <c r="AB5190">
        <v>19</v>
      </c>
      <c r="AC5190">
        <v>29.566800000000001</v>
      </c>
      <c r="AD5190">
        <v>-1.1143928234239999</v>
      </c>
      <c r="AE5190">
        <v>-3.3370199999999999</v>
      </c>
      <c r="AF5190">
        <v>-11.694172747460399</v>
      </c>
      <c r="AG5190">
        <v>-1.1143928234239999</v>
      </c>
      <c r="AH5190">
        <v>27.314815796135498</v>
      </c>
      <c r="AI5190">
        <v>92.147896101634103</v>
      </c>
      <c r="AJ5190">
        <v>113.17700817345199</v>
      </c>
      <c r="AK5190">
        <v>29.733730166078299</v>
      </c>
      <c r="AL5190">
        <v>89.863105694055093</v>
      </c>
      <c r="AM5190">
        <v>91.485556372268505</v>
      </c>
      <c r="AN5190">
        <v>0.99999996117009604</v>
      </c>
    </row>
    <row r="5191" spans="1:40" x14ac:dyDescent="0.25">
      <c r="A5191" t="str">
        <f>"20190312161119134"</f>
        <v>20190312161119134</v>
      </c>
      <c r="B5191" t="str">
        <f>"1552378279122596"</f>
        <v>1552378279122596</v>
      </c>
      <c r="C5191" t="s">
        <v>40</v>
      </c>
      <c r="D5191">
        <v>5.8546420000000001</v>
      </c>
      <c r="E5191">
        <v>0.36762539999999999</v>
      </c>
      <c r="F5191" t="s">
        <v>97</v>
      </c>
      <c r="G5191">
        <v>-380.12090000000001</v>
      </c>
      <c r="H5191" s="1">
        <v>-4.8521279999999996E-6</v>
      </c>
      <c r="I5191">
        <v>18.591619999999999</v>
      </c>
      <c r="J5191">
        <v>-409.62549999999999</v>
      </c>
      <c r="K5191">
        <v>1.114379</v>
      </c>
      <c r="L5191">
        <v>21.80585</v>
      </c>
      <c r="M5191">
        <v>0.87263080000000004</v>
      </c>
      <c r="N5191">
        <v>0</v>
      </c>
      <c r="O5191">
        <v>-0.4881799</v>
      </c>
      <c r="P5191">
        <v>0.8847045</v>
      </c>
      <c r="Q5191">
        <v>-1.089232E-2</v>
      </c>
      <c r="R5191">
        <v>-0.46602539999999998</v>
      </c>
      <c r="S5191">
        <v>3.2103269999999999</v>
      </c>
      <c r="T5191">
        <v>-0.12067319999999999</v>
      </c>
      <c r="U5191">
        <v>-0.35580440000000002</v>
      </c>
      <c r="V5191">
        <v>-2.525844E-2</v>
      </c>
      <c r="W5191">
        <v>2.8551219999999999E-3</v>
      </c>
      <c r="X5191">
        <v>0.99967689999999998</v>
      </c>
      <c r="Y5191">
        <v>-0.38854040000000001</v>
      </c>
      <c r="Z5191">
        <v>2.4824490000000001E-2</v>
      </c>
      <c r="AA5191">
        <v>0.92109719999999995</v>
      </c>
      <c r="AB5191">
        <v>19</v>
      </c>
      <c r="AC5191">
        <v>29.5045999999999</v>
      </c>
      <c r="AD5191">
        <v>-1.1143838521280001</v>
      </c>
      <c r="AE5191">
        <v>-3.2142299999999899</v>
      </c>
      <c r="AF5191">
        <v>-11.5835218997188</v>
      </c>
      <c r="AG5191">
        <v>-1.1143838521280001</v>
      </c>
      <c r="AH5191">
        <v>27.279960701014002</v>
      </c>
      <c r="AI5191">
        <v>92.153342461604694</v>
      </c>
      <c r="AJ5191">
        <v>113.00687899933099</v>
      </c>
      <c r="AK5191">
        <v>29.6583223871482</v>
      </c>
      <c r="AL5191">
        <v>89.836413340825402</v>
      </c>
      <c r="AM5191">
        <v>91.447361804397701</v>
      </c>
      <c r="AN5191">
        <v>1.0000000224532299</v>
      </c>
    </row>
    <row r="5192" spans="1:40" x14ac:dyDescent="0.25">
      <c r="A5192" t="str">
        <f>"20190312161119146"</f>
        <v>20190312161119146</v>
      </c>
      <c r="B5192" t="str">
        <f>"1552378279142116"</f>
        <v>1552378279142116</v>
      </c>
      <c r="C5192" t="s">
        <v>40</v>
      </c>
      <c r="D5192">
        <v>9.6312010000000008</v>
      </c>
      <c r="E5192">
        <v>0.36885560000000001</v>
      </c>
      <c r="F5192" t="s">
        <v>97</v>
      </c>
      <c r="G5192">
        <v>-383.62470000000002</v>
      </c>
      <c r="H5192" s="1">
        <v>-3.298867E-6</v>
      </c>
      <c r="I5192">
        <v>18.010809999999999</v>
      </c>
      <c r="J5192">
        <v>-409.52699999999999</v>
      </c>
      <c r="K5192">
        <v>1.114374</v>
      </c>
      <c r="L5192">
        <v>21.756900000000002</v>
      </c>
      <c r="M5192">
        <v>0.87492879999999995</v>
      </c>
      <c r="N5192">
        <v>0</v>
      </c>
      <c r="O5192">
        <v>-0.48404940000000002</v>
      </c>
      <c r="P5192">
        <v>0.88676949999999999</v>
      </c>
      <c r="Q5192">
        <v>-1.0847509999999999E-2</v>
      </c>
      <c r="R5192">
        <v>-0.46208440000000001</v>
      </c>
      <c r="S5192">
        <v>3.1473390000000001</v>
      </c>
      <c r="T5192">
        <v>-0.13489370000000001</v>
      </c>
      <c r="U5192">
        <v>-0.45938109999999999</v>
      </c>
      <c r="V5192">
        <v>-2.4981010000000001E-2</v>
      </c>
      <c r="W5192">
        <v>2.9004220000000002E-3</v>
      </c>
      <c r="X5192">
        <v>0.99968369999999995</v>
      </c>
      <c r="Y5192">
        <v>-0.35193459999999899</v>
      </c>
      <c r="Z5192">
        <v>2.72634E-2</v>
      </c>
      <c r="AA5192">
        <v>0.93562749999999995</v>
      </c>
      <c r="AB5192">
        <v>19</v>
      </c>
      <c r="AC5192">
        <v>25.902299999999901</v>
      </c>
      <c r="AD5192">
        <v>-1.114377298867</v>
      </c>
      <c r="AE5192">
        <v>-3.7460900000000001</v>
      </c>
      <c r="AF5192">
        <v>-9.2445769321943008</v>
      </c>
      <c r="AG5192">
        <v>-1.114377298867</v>
      </c>
      <c r="AH5192">
        <v>24.434058145429201</v>
      </c>
      <c r="AI5192">
        <v>92.442558660229807</v>
      </c>
      <c r="AJ5192">
        <v>110.724036080453</v>
      </c>
      <c r="AK5192">
        <v>26.148178461868099</v>
      </c>
      <c r="AL5192">
        <v>89.833817824547694</v>
      </c>
      <c r="AM5192">
        <v>91.431461399344897</v>
      </c>
      <c r="AN5192">
        <v>0.99999998167704296</v>
      </c>
    </row>
    <row r="5193" spans="1:40" x14ac:dyDescent="0.25">
      <c r="A5193" t="str">
        <f>"20190312161119158"</f>
        <v>20190312161119158</v>
      </c>
      <c r="B5193" t="str">
        <f>"1552378279151876"</f>
        <v>1552378279151876</v>
      </c>
      <c r="C5193" t="s">
        <v>40</v>
      </c>
      <c r="D5193">
        <v>5.8778110000000003</v>
      </c>
      <c r="E5193">
        <v>0.36943130000000002</v>
      </c>
      <c r="F5193" t="s">
        <v>97</v>
      </c>
      <c r="G5193">
        <v>-384.899</v>
      </c>
      <c r="H5193" s="1">
        <v>-2.6623389999999999E-6</v>
      </c>
      <c r="I5193">
        <v>18.203379999999999</v>
      </c>
      <c r="J5193">
        <v>-409.43700000000001</v>
      </c>
      <c r="K5193">
        <v>1.1143559999999999</v>
      </c>
      <c r="L5193">
        <v>21.712769999999999</v>
      </c>
      <c r="M5193">
        <v>0.87700689999999903</v>
      </c>
      <c r="N5193">
        <v>0</v>
      </c>
      <c r="O5193">
        <v>-0.48027409999999998</v>
      </c>
      <c r="P5193">
        <v>0.88877729999999999</v>
      </c>
      <c r="Q5193">
        <v>-1.0606519999999999E-2</v>
      </c>
      <c r="R5193">
        <v>-0.45821689999999998</v>
      </c>
      <c r="S5193">
        <v>3.1448670000000001</v>
      </c>
      <c r="T5193">
        <v>-0.14230019999999999</v>
      </c>
      <c r="U5193">
        <v>-0.4537659</v>
      </c>
      <c r="V5193">
        <v>-2.5031520000000002E-2</v>
      </c>
      <c r="W5193">
        <v>3.1378859999999999E-3</v>
      </c>
      <c r="X5193">
        <v>0.99968170000000001</v>
      </c>
      <c r="Y5193">
        <v>-0.34935519999999998</v>
      </c>
      <c r="Z5193">
        <v>2.8580290000000001E-2</v>
      </c>
      <c r="AA5193">
        <v>0.93655440000000001</v>
      </c>
      <c r="AB5193">
        <v>19</v>
      </c>
      <c r="AC5193">
        <v>24.537999999999901</v>
      </c>
      <c r="AD5193">
        <v>-1.1143586623389901</v>
      </c>
      <c r="AE5193">
        <v>-3.5093899999999998</v>
      </c>
      <c r="AF5193">
        <v>-8.6904947199128202</v>
      </c>
      <c r="AG5193">
        <v>-1.1143586623389901</v>
      </c>
      <c r="AH5193">
        <v>23.160925763216198</v>
      </c>
      <c r="AI5193">
        <v>92.5792594123985</v>
      </c>
      <c r="AJ5193">
        <v>110.567208540306</v>
      </c>
      <c r="AK5193">
        <v>24.762773994736001</v>
      </c>
      <c r="AL5193">
        <v>89.820212073789406</v>
      </c>
      <c r="AM5193">
        <v>91.434357383007594</v>
      </c>
      <c r="AN5193">
        <v>0.99999996231847399</v>
      </c>
    </row>
    <row r="5194" spans="1:40" x14ac:dyDescent="0.25">
      <c r="A5194" t="str">
        <f>"20190312161119171"</f>
        <v>20190312161119171</v>
      </c>
      <c r="B5194" t="str">
        <f>"1552378279162612"</f>
        <v>1552378279162612</v>
      </c>
      <c r="C5194" t="s">
        <v>40</v>
      </c>
      <c r="D5194">
        <v>5.6882769999999896</v>
      </c>
      <c r="E5194">
        <v>0.36968459999999997</v>
      </c>
      <c r="F5194" t="s">
        <v>97</v>
      </c>
      <c r="G5194">
        <v>-385.12310000000002</v>
      </c>
      <c r="H5194" s="1">
        <v>-2.542938E-6</v>
      </c>
      <c r="I5194">
        <v>18.279250000000001</v>
      </c>
      <c r="J5194">
        <v>-409.34879999999998</v>
      </c>
      <c r="K5194">
        <v>1.1143510000000001</v>
      </c>
      <c r="L5194">
        <v>21.670010000000001</v>
      </c>
      <c r="M5194">
        <v>0.87902099999999905</v>
      </c>
      <c r="N5194">
        <v>0</v>
      </c>
      <c r="O5194">
        <v>-0.476578</v>
      </c>
      <c r="P5194">
        <v>0.89061060000000003</v>
      </c>
      <c r="Q5194">
        <v>-1.0483019999999999E-2</v>
      </c>
      <c r="R5194">
        <v>-0.45464650000000001</v>
      </c>
      <c r="S5194">
        <v>3.1447449999999999</v>
      </c>
      <c r="T5194">
        <v>-0.14413090000000001</v>
      </c>
      <c r="U5194">
        <v>-0.44409179999999998</v>
      </c>
      <c r="V5194">
        <v>-2.4837020000000001E-2</v>
      </c>
      <c r="W5194">
        <v>3.2609090000000002E-3</v>
      </c>
      <c r="X5194">
        <v>0.99968619999999997</v>
      </c>
      <c r="Y5194">
        <v>-0.34821299999999999</v>
      </c>
      <c r="Z5194">
        <v>2.878489E-2</v>
      </c>
      <c r="AA5194">
        <v>0.93697339999999996</v>
      </c>
      <c r="AB5194">
        <v>19</v>
      </c>
      <c r="AC5194">
        <v>24.2256999999999</v>
      </c>
      <c r="AD5194">
        <v>-1.114353542938</v>
      </c>
      <c r="AE5194">
        <v>-3.39075999999999</v>
      </c>
      <c r="AF5194">
        <v>-8.5479846217266804</v>
      </c>
      <c r="AG5194">
        <v>-1.114353542938</v>
      </c>
      <c r="AH5194">
        <v>22.8656487943523</v>
      </c>
      <c r="AI5194">
        <v>92.613697830942399</v>
      </c>
      <c r="AJ5194">
        <v>110.497513198023</v>
      </c>
      <c r="AK5194">
        <v>24.4366061411686</v>
      </c>
      <c r="AL5194">
        <v>89.813163346693699</v>
      </c>
      <c r="AM5194">
        <v>91.423210332552699</v>
      </c>
      <c r="AN5194">
        <v>1.00000000478021</v>
      </c>
    </row>
    <row r="5195" spans="1:40" x14ac:dyDescent="0.25">
      <c r="A5195" t="str">
        <f>"20190312161119182"</f>
        <v>20190312161119182</v>
      </c>
      <c r="B5195" t="str">
        <f>"1552378279172372"</f>
        <v>1552378279172372</v>
      </c>
      <c r="C5195" t="s">
        <v>40</v>
      </c>
      <c r="D5195">
        <v>5.8924620000000001</v>
      </c>
      <c r="E5195">
        <v>0.37033969999999999</v>
      </c>
      <c r="F5195" t="s">
        <v>97</v>
      </c>
      <c r="G5195">
        <v>-385.02190000000002</v>
      </c>
      <c r="H5195" s="1">
        <v>-2.5835989999999999E-6</v>
      </c>
      <c r="I5195">
        <v>18.319700000000001</v>
      </c>
      <c r="J5195">
        <v>-409.26150000000001</v>
      </c>
      <c r="K5195">
        <v>1.1143430000000001</v>
      </c>
      <c r="L5195">
        <v>21.62799</v>
      </c>
      <c r="M5195">
        <v>0.88099470000000002</v>
      </c>
      <c r="N5195">
        <v>0</v>
      </c>
      <c r="O5195">
        <v>-0.47291919999999998</v>
      </c>
      <c r="P5195">
        <v>0.89247779999999999</v>
      </c>
      <c r="Q5195">
        <v>-1.0435399999999999E-2</v>
      </c>
      <c r="R5195">
        <v>-0.4509705</v>
      </c>
      <c r="S5195">
        <v>3.1456909999999998</v>
      </c>
      <c r="T5195">
        <v>-0.14409640000000001</v>
      </c>
      <c r="U5195">
        <v>-0.43322749999999999</v>
      </c>
      <c r="V5195">
        <v>-2.4803169999999999E-2</v>
      </c>
      <c r="W5195">
        <v>3.3066850000000002E-3</v>
      </c>
      <c r="X5195">
        <v>0.99968690000000004</v>
      </c>
      <c r="Y5195">
        <v>-0.34753390000000001</v>
      </c>
      <c r="Z5195">
        <v>2.8618330000000001E-2</v>
      </c>
      <c r="AA5195">
        <v>0.93723060000000002</v>
      </c>
      <c r="AB5195">
        <v>19</v>
      </c>
      <c r="AC5195">
        <v>24.239599999999999</v>
      </c>
      <c r="AD5195">
        <v>-1.1143455835989999</v>
      </c>
      <c r="AE5195">
        <v>-3.3082899999999902</v>
      </c>
      <c r="AF5195">
        <v>-8.5319212828497299</v>
      </c>
      <c r="AG5195">
        <v>-1.1143455835989999</v>
      </c>
      <c r="AH5195">
        <v>22.874297493493199</v>
      </c>
      <c r="AI5195">
        <v>92.613413734853296</v>
      </c>
      <c r="AJ5195">
        <v>110.45509390051799</v>
      </c>
      <c r="AK5195">
        <v>24.439086166983799</v>
      </c>
      <c r="AL5195">
        <v>89.810540562845006</v>
      </c>
      <c r="AM5195">
        <v>91.421270461998105</v>
      </c>
      <c r="AN5195">
        <v>1.0000000147196699</v>
      </c>
    </row>
    <row r="5196" spans="1:40" x14ac:dyDescent="0.25">
      <c r="A5196" t="str">
        <f>"20190312161119194"</f>
        <v>20190312161119194</v>
      </c>
      <c r="B5196" t="str">
        <f>"1552378279191891"</f>
        <v>1552378279191891</v>
      </c>
      <c r="C5196" t="s">
        <v>40</v>
      </c>
      <c r="D5196">
        <v>5.9063589999999904</v>
      </c>
      <c r="E5196">
        <v>0.371637</v>
      </c>
      <c r="F5196" t="s">
        <v>97</v>
      </c>
      <c r="G5196">
        <v>-385.31880000000001</v>
      </c>
      <c r="H5196" s="1">
        <v>-2.430007E-6</v>
      </c>
      <c r="I5196">
        <v>18.39433</v>
      </c>
      <c r="J5196">
        <v>-409.17329999999998</v>
      </c>
      <c r="K5196">
        <v>1.1143400000000001</v>
      </c>
      <c r="L5196">
        <v>21.586210000000001</v>
      </c>
      <c r="M5196">
        <v>0.88296289999999999</v>
      </c>
      <c r="N5196">
        <v>0</v>
      </c>
      <c r="O5196">
        <v>-0.4692345</v>
      </c>
      <c r="P5196">
        <v>0.89434179999999996</v>
      </c>
      <c r="Q5196">
        <v>-1.0352760000000001E-2</v>
      </c>
      <c r="R5196">
        <v>-0.44726510000000003</v>
      </c>
      <c r="S5196">
        <v>3.145111</v>
      </c>
      <c r="T5196">
        <v>-0.1463807</v>
      </c>
      <c r="U5196">
        <v>-0.42477419999999999</v>
      </c>
      <c r="V5196">
        <v>-2.4773610000000001E-2</v>
      </c>
      <c r="W5196">
        <v>3.3863159999999999E-3</v>
      </c>
      <c r="X5196">
        <v>0.9996874</v>
      </c>
      <c r="Y5196">
        <v>-0.346045099999999</v>
      </c>
      <c r="Z5196">
        <v>2.89003E-2</v>
      </c>
      <c r="AA5196">
        <v>0.93777259999999996</v>
      </c>
      <c r="AB5196">
        <v>19</v>
      </c>
      <c r="AC5196">
        <v>23.854499999999899</v>
      </c>
      <c r="AD5196">
        <v>-1.114342430007</v>
      </c>
      <c r="AE5196">
        <v>-3.1918799999999998</v>
      </c>
      <c r="AF5196">
        <v>-8.3579435555172505</v>
      </c>
      <c r="AG5196">
        <v>-1.114342430007</v>
      </c>
      <c r="AH5196">
        <v>22.514317515497901</v>
      </c>
      <c r="AI5196">
        <v>92.656661446137207</v>
      </c>
      <c r="AJ5196">
        <v>110.36633249248899</v>
      </c>
      <c r="AK5196">
        <v>24.041453215585399</v>
      </c>
      <c r="AL5196">
        <v>89.805978023660401</v>
      </c>
      <c r="AM5196">
        <v>91.419576599617301</v>
      </c>
      <c r="AN5196">
        <v>1.00000004830362</v>
      </c>
    </row>
    <row r="5197" spans="1:40" x14ac:dyDescent="0.25">
      <c r="A5197" t="str">
        <f>"20190312161119213"</f>
        <v>20190312161119213</v>
      </c>
      <c r="B5197" t="str">
        <f>"1552378279202670"</f>
        <v>1552378279202670</v>
      </c>
      <c r="C5197" t="s">
        <v>40</v>
      </c>
      <c r="D5197">
        <v>5.922688</v>
      </c>
      <c r="E5197">
        <v>0.37219279999999999</v>
      </c>
      <c r="F5197" t="s">
        <v>97</v>
      </c>
      <c r="G5197">
        <v>-385.83300000000003</v>
      </c>
      <c r="H5197" s="1">
        <v>-2.1751769999999999E-6</v>
      </c>
      <c r="I5197">
        <v>18.460750000000001</v>
      </c>
      <c r="J5197">
        <v>-409.03910000000002</v>
      </c>
      <c r="K5197">
        <v>1.114323</v>
      </c>
      <c r="L5197">
        <v>21.523319999999998</v>
      </c>
      <c r="M5197">
        <v>0.88591969999999998</v>
      </c>
      <c r="N5197">
        <v>0</v>
      </c>
      <c r="O5197">
        <v>-0.46362799999999998</v>
      </c>
      <c r="P5197">
        <v>0.89708080000000001</v>
      </c>
      <c r="Q5197">
        <v>-9.9940099999999994E-3</v>
      </c>
      <c r="R5197">
        <v>-0.44175350000000002</v>
      </c>
      <c r="S5197">
        <v>3.1422729999999999</v>
      </c>
      <c r="T5197">
        <v>-0.15002209999999999</v>
      </c>
      <c r="U5197">
        <v>-0.42077639999999999</v>
      </c>
      <c r="V5197">
        <v>-2.459339E-2</v>
      </c>
      <c r="W5197">
        <v>3.7434650000000001E-3</v>
      </c>
      <c r="X5197">
        <v>0.99969050000000004</v>
      </c>
      <c r="Y5197">
        <v>-0.34112150000000002</v>
      </c>
      <c r="Z5197">
        <v>2.9296139999999998E-2</v>
      </c>
      <c r="AA5197">
        <v>0.93956260000000003</v>
      </c>
      <c r="AB5197">
        <v>19</v>
      </c>
      <c r="AC5197">
        <v>23.2060999999999</v>
      </c>
      <c r="AD5197">
        <v>-1.114325175177</v>
      </c>
      <c r="AE5197">
        <v>-3.06257</v>
      </c>
      <c r="AF5197">
        <v>-8.0283977808410896</v>
      </c>
      <c r="AG5197">
        <v>-1.114325175177</v>
      </c>
      <c r="AH5197">
        <v>21.931078793675798</v>
      </c>
      <c r="AI5197">
        <v>92.731724242541603</v>
      </c>
      <c r="AJ5197">
        <v>110.106364817673</v>
      </c>
      <c r="AK5197">
        <v>23.3809561091471</v>
      </c>
      <c r="AL5197">
        <v>89.785514747804498</v>
      </c>
      <c r="AM5197">
        <v>91.409249450463804</v>
      </c>
      <c r="AN5197">
        <v>0.99999997207607305</v>
      </c>
    </row>
    <row r="5198" spans="1:40" x14ac:dyDescent="0.25">
      <c r="A5198" t="str">
        <f>"20190312161119225"</f>
        <v>20190312161119225</v>
      </c>
      <c r="B5198" t="str">
        <f>"1552378279222187"</f>
        <v>1552378279222187</v>
      </c>
      <c r="C5198" t="s">
        <v>40</v>
      </c>
      <c r="D5198">
        <v>5.9398569999999999</v>
      </c>
      <c r="E5198">
        <v>0.37292429999999999</v>
      </c>
      <c r="F5198" t="s">
        <v>97</v>
      </c>
      <c r="G5198">
        <v>-385.63889999999998</v>
      </c>
      <c r="H5198" s="1">
        <v>-2.258928E-6</v>
      </c>
      <c r="I5198">
        <v>18.505739999999999</v>
      </c>
      <c r="J5198">
        <v>-408.94920000000002</v>
      </c>
      <c r="K5198">
        <v>1.1143069999999999</v>
      </c>
      <c r="L5198">
        <v>21.4816</v>
      </c>
      <c r="M5198">
        <v>0.88787280000000002</v>
      </c>
      <c r="N5198">
        <v>0</v>
      </c>
      <c r="O5198">
        <v>-0.45987689999999998</v>
      </c>
      <c r="P5198">
        <v>0.89887859999999997</v>
      </c>
      <c r="Q5198">
        <v>-9.8215219999999992E-3</v>
      </c>
      <c r="R5198">
        <v>-0.43808770000000002</v>
      </c>
      <c r="S5198">
        <v>3.1429749999999999</v>
      </c>
      <c r="T5198">
        <v>-0.1496701</v>
      </c>
      <c r="U5198">
        <v>-0.405304</v>
      </c>
      <c r="V5198">
        <v>-2.4448460000000002E-2</v>
      </c>
      <c r="W5198">
        <v>3.9141719999999996E-3</v>
      </c>
      <c r="X5198">
        <v>0.99969350000000001</v>
      </c>
      <c r="Y5198">
        <v>-0.34172740000000001</v>
      </c>
      <c r="Z5198">
        <v>2.909277E-2</v>
      </c>
      <c r="AA5198">
        <v>0.93934870000000004</v>
      </c>
      <c r="AB5198">
        <v>19</v>
      </c>
      <c r="AC5198">
        <v>23.310300000000002</v>
      </c>
      <c r="AD5198">
        <v>-1.1143092589279999</v>
      </c>
      <c r="AE5198">
        <v>-2.9758599999999999</v>
      </c>
      <c r="AF5198">
        <v>-8.0603477873083893</v>
      </c>
      <c r="AG5198">
        <v>-1.1143092589279999</v>
      </c>
      <c r="AH5198">
        <v>22.0177565367322</v>
      </c>
      <c r="AI5198">
        <v>92.720938851471402</v>
      </c>
      <c r="AJ5198">
        <v>110.10686859810301</v>
      </c>
      <c r="AK5198">
        <v>23.473229315279902</v>
      </c>
      <c r="AL5198">
        <v>89.775733907364994</v>
      </c>
      <c r="AM5198">
        <v>91.400943794404597</v>
      </c>
      <c r="AN5198">
        <v>1.0000000709405299</v>
      </c>
    </row>
    <row r="5199" spans="1:40" x14ac:dyDescent="0.25">
      <c r="A5199" t="str">
        <f>"20190312161119238"</f>
        <v>20190312161119238</v>
      </c>
      <c r="B5199" t="str">
        <f>"1552378279231948"</f>
        <v>1552378279231948</v>
      </c>
      <c r="C5199" t="s">
        <v>40</v>
      </c>
      <c r="D5199">
        <v>5.9138380000000002</v>
      </c>
      <c r="E5199">
        <v>0.37292429999999999</v>
      </c>
      <c r="F5199" t="s">
        <v>97</v>
      </c>
      <c r="G5199">
        <v>-385.7636</v>
      </c>
      <c r="H5199" s="1">
        <v>-2.1925959999999999E-6</v>
      </c>
      <c r="I5199">
        <v>18.547599999999999</v>
      </c>
      <c r="J5199">
        <v>-408.84649999999999</v>
      </c>
      <c r="K5199">
        <v>1.114285</v>
      </c>
      <c r="L5199">
        <v>21.434750000000001</v>
      </c>
      <c r="M5199">
        <v>0.89006700000000005</v>
      </c>
      <c r="N5199">
        <v>0</v>
      </c>
      <c r="O5199">
        <v>-0.45561590000000002</v>
      </c>
      <c r="P5199">
        <v>0.9009201</v>
      </c>
      <c r="Q5199">
        <v>-9.7484430000000007E-3</v>
      </c>
      <c r="R5199">
        <v>-0.43387619999999999</v>
      </c>
      <c r="S5199">
        <v>3.14209</v>
      </c>
      <c r="T5199">
        <v>-0.15101029999999999</v>
      </c>
      <c r="U5199">
        <v>-0.39761350000000001</v>
      </c>
      <c r="V5199">
        <v>-2.4336429999999999E-2</v>
      </c>
      <c r="W5199">
        <v>3.9852200000000003E-3</v>
      </c>
      <c r="X5199">
        <v>0.99969589999999997</v>
      </c>
      <c r="Y5199">
        <v>-0.33944200000000002</v>
      </c>
      <c r="Z5199">
        <v>2.9132350000000001E-2</v>
      </c>
      <c r="AA5199">
        <v>0.94017580000000001</v>
      </c>
      <c r="AB5199">
        <v>19</v>
      </c>
      <c r="AC5199">
        <v>23.082899999999899</v>
      </c>
      <c r="AD5199">
        <v>-1.1142871925960001</v>
      </c>
      <c r="AE5199">
        <v>-2.8871500000000001</v>
      </c>
      <c r="AF5199">
        <v>-7.9297596785537801</v>
      </c>
      <c r="AG5199">
        <v>-1.1142871925960001</v>
      </c>
      <c r="AH5199">
        <v>21.812841802236601</v>
      </c>
      <c r="AI5199">
        <v>92.748656920842805</v>
      </c>
      <c r="AJ5199">
        <v>109.978042424028</v>
      </c>
      <c r="AK5199">
        <v>23.23623876613</v>
      </c>
      <c r="AL5199">
        <v>89.771663113301301</v>
      </c>
      <c r="AM5199">
        <v>91.394523454090006</v>
      </c>
      <c r="AN5199">
        <v>1.0000000181402</v>
      </c>
    </row>
    <row r="5200" spans="1:40" x14ac:dyDescent="0.25">
      <c r="A5200" t="str">
        <f>"20190312161119259"</f>
        <v>20190312161119259</v>
      </c>
      <c r="B5200" t="str">
        <f>"1552378279252443"</f>
        <v>1552378279252443</v>
      </c>
      <c r="C5200" t="s">
        <v>40</v>
      </c>
      <c r="D5200">
        <v>5.9376110000000004</v>
      </c>
      <c r="E5200">
        <v>0.38129279999999999</v>
      </c>
      <c r="F5200" t="s">
        <v>97</v>
      </c>
      <c r="G5200">
        <v>-385.61779999999999</v>
      </c>
      <c r="H5200" s="1">
        <v>-2.251233E-6</v>
      </c>
      <c r="I5200">
        <v>18.605440000000002</v>
      </c>
      <c r="J5200">
        <v>-408.6977</v>
      </c>
      <c r="K5200">
        <v>1.1142479999999999</v>
      </c>
      <c r="L5200">
        <v>21.367740000000001</v>
      </c>
      <c r="M5200">
        <v>0.89319190000000004</v>
      </c>
      <c r="N5200">
        <v>0</v>
      </c>
      <c r="O5200">
        <v>-0.449459</v>
      </c>
      <c r="P5200">
        <v>0.90372710000000001</v>
      </c>
      <c r="Q5200">
        <v>-9.9694299999999996E-3</v>
      </c>
      <c r="R5200">
        <v>-0.4279927</v>
      </c>
      <c r="S5200">
        <v>3.1438899999999999</v>
      </c>
      <c r="T5200">
        <v>-0.15081359999999999</v>
      </c>
      <c r="U5200">
        <v>-0.38293460000000001</v>
      </c>
      <c r="V5200">
        <v>-2.3947469999999998E-2</v>
      </c>
      <c r="W5200">
        <v>3.7625390000000001E-3</v>
      </c>
      <c r="X5200">
        <v>0.99970610000000004</v>
      </c>
      <c r="Y5200">
        <v>-0.3373485</v>
      </c>
      <c r="Z5200">
        <v>2.8778970000000001E-2</v>
      </c>
      <c r="AA5200">
        <v>0.94093979999999999</v>
      </c>
      <c r="AB5200">
        <v>19</v>
      </c>
      <c r="AC5200">
        <v>23.079899999999999</v>
      </c>
      <c r="AD5200">
        <v>-1.1142502512329999</v>
      </c>
      <c r="AE5200">
        <v>-2.7623000000000002</v>
      </c>
      <c r="AF5200">
        <v>-7.8888477599953397</v>
      </c>
      <c r="AG5200">
        <v>-1.1142502512329999</v>
      </c>
      <c r="AH5200">
        <v>21.8083376629817</v>
      </c>
      <c r="AI5200">
        <v>92.750717466615598</v>
      </c>
      <c r="AJ5200">
        <v>109.88685093660401</v>
      </c>
      <c r="AK5200">
        <v>23.218076238684802</v>
      </c>
      <c r="AL5200">
        <v>89.784421878249503</v>
      </c>
      <c r="AM5200">
        <v>91.372229906334695</v>
      </c>
      <c r="AN5200">
        <v>0.999999962198168</v>
      </c>
    </row>
    <row r="5201" spans="1:40" x14ac:dyDescent="0.25">
      <c r="A5201" t="str">
        <f>"20190312161119280"</f>
        <v>20190312161119280</v>
      </c>
      <c r="B5201" t="str">
        <f>"1552378279271963"</f>
        <v>1552378279271963</v>
      </c>
      <c r="C5201" t="s">
        <v>40</v>
      </c>
      <c r="D5201">
        <v>5.9859929999999997</v>
      </c>
      <c r="E5201">
        <v>0.38183410000000001</v>
      </c>
      <c r="F5201" t="s">
        <v>97</v>
      </c>
      <c r="G5201">
        <v>-388.96910000000003</v>
      </c>
      <c r="H5201" s="1">
        <v>-6.5053129999999999E-7</v>
      </c>
      <c r="I5201">
        <v>18.69866</v>
      </c>
      <c r="J5201">
        <v>-408.53230000000002</v>
      </c>
      <c r="K5201">
        <v>1.1142000000000001</v>
      </c>
      <c r="L5201">
        <v>21.29468</v>
      </c>
      <c r="M5201">
        <v>0.89657909999999996</v>
      </c>
      <c r="N5201">
        <v>0</v>
      </c>
      <c r="O5201">
        <v>-0.44266369999999999</v>
      </c>
      <c r="P5201">
        <v>0.90646329999999997</v>
      </c>
      <c r="Q5201">
        <v>-1.022821E-2</v>
      </c>
      <c r="R5201">
        <v>-0.42215999999999998</v>
      </c>
      <c r="S5201">
        <v>3.1178590000000002</v>
      </c>
      <c r="T5201">
        <v>-0.1760931</v>
      </c>
      <c r="U5201">
        <v>-0.42181400000000002</v>
      </c>
      <c r="V5201">
        <v>-2.279482E-2</v>
      </c>
      <c r="W5201">
        <v>3.5083860000000001E-3</v>
      </c>
      <c r="X5201">
        <v>0.99973400000000001</v>
      </c>
      <c r="Y5201">
        <v>-0.31736110000000001</v>
      </c>
      <c r="Z5201">
        <v>3.2925309999999999E-2</v>
      </c>
      <c r="AA5201">
        <v>0.94773300000000005</v>
      </c>
      <c r="AB5201">
        <v>19</v>
      </c>
      <c r="AC5201">
        <v>19.563199999999899</v>
      </c>
      <c r="AD5201">
        <v>-1.1142006505313</v>
      </c>
      <c r="AE5201">
        <v>-2.5960200000000002</v>
      </c>
      <c r="AF5201">
        <v>-6.3128749534670403</v>
      </c>
      <c r="AG5201">
        <v>-1.1142006505313</v>
      </c>
      <c r="AH5201">
        <v>18.631550101904999</v>
      </c>
      <c r="AI5201">
        <v>93.241709303055401</v>
      </c>
      <c r="AJ5201">
        <v>108.71777545330799</v>
      </c>
      <c r="AK5201">
        <v>19.703514723712399</v>
      </c>
      <c r="AL5201">
        <v>89.798983875245</v>
      </c>
      <c r="AM5201">
        <v>91.306168162673103</v>
      </c>
      <c r="AN5201">
        <v>0.999999991673578</v>
      </c>
    </row>
    <row r="5202" spans="1:40" x14ac:dyDescent="0.25">
      <c r="A5202" t="str">
        <f>"20190312161119293"</f>
        <v>20190312161119293</v>
      </c>
      <c r="B5202" t="str">
        <f>"1552378279282699"</f>
        <v>1552378279282699</v>
      </c>
      <c r="C5202" t="s">
        <v>40</v>
      </c>
      <c r="D5202">
        <v>5.9272689999999999</v>
      </c>
      <c r="E5202">
        <v>0.38646259999999999</v>
      </c>
      <c r="F5202" t="s">
        <v>97</v>
      </c>
      <c r="G5202">
        <v>-388.80329999999998</v>
      </c>
      <c r="H5202" s="1">
        <v>-7.2338509999999998E-7</v>
      </c>
      <c r="I5202">
        <v>18.729769999999998</v>
      </c>
      <c r="J5202">
        <v>-408.4384</v>
      </c>
      <c r="K5202">
        <v>1.1141719999999999</v>
      </c>
      <c r="L5202">
        <v>21.253810000000001</v>
      </c>
      <c r="M5202">
        <v>0.89845900000000001</v>
      </c>
      <c r="N5202">
        <v>0</v>
      </c>
      <c r="O5202">
        <v>-0.43883610000000001</v>
      </c>
      <c r="P5202">
        <v>0.90793279999999998</v>
      </c>
      <c r="Q5202">
        <v>-1.0440359999999999E-2</v>
      </c>
      <c r="R5202">
        <v>-0.41898580000000002</v>
      </c>
      <c r="S5202">
        <v>3.118744</v>
      </c>
      <c r="T5202">
        <v>-0.17613139999999999</v>
      </c>
      <c r="U5202">
        <v>-0.4054565</v>
      </c>
      <c r="V5202">
        <v>-2.2025889999999999E-2</v>
      </c>
      <c r="W5202">
        <v>3.299532E-3</v>
      </c>
      <c r="X5202">
        <v>0.99975199999999997</v>
      </c>
      <c r="Y5202">
        <v>-0.318241099999999</v>
      </c>
      <c r="Z5202">
        <v>3.2772759999999998E-2</v>
      </c>
      <c r="AA5202">
        <v>0.94744309999999998</v>
      </c>
      <c r="AB5202">
        <v>19</v>
      </c>
      <c r="AC5202">
        <v>19.635100000000001</v>
      </c>
      <c r="AD5202">
        <v>-1.1141727233851</v>
      </c>
      <c r="AE5202">
        <v>-2.5240399999999901</v>
      </c>
      <c r="AF5202">
        <v>-6.3294125254160498</v>
      </c>
      <c r="AG5202">
        <v>-1.1141727233851</v>
      </c>
      <c r="AH5202">
        <v>18.691587733952701</v>
      </c>
      <c r="AI5202">
        <v>93.2314376138917</v>
      </c>
      <c r="AJ5202">
        <v>108.707312903241</v>
      </c>
      <c r="AK5202">
        <v>19.765583618767199</v>
      </c>
      <c r="AL5202">
        <v>89.810950407344293</v>
      </c>
      <c r="AM5202">
        <v>91.262099415230594</v>
      </c>
      <c r="AN5202">
        <v>1.00000004412285</v>
      </c>
    </row>
    <row r="5203" spans="1:40" x14ac:dyDescent="0.25">
      <c r="A5203" t="str">
        <f>"20190312161119312"</f>
        <v>20190312161119312</v>
      </c>
      <c r="B5203" t="str">
        <f>"1552378279302219"</f>
        <v>1552378279302219</v>
      </c>
      <c r="C5203" t="s">
        <v>40</v>
      </c>
      <c r="D5203">
        <v>6.0044259999999996</v>
      </c>
      <c r="E5203">
        <v>0.3867931</v>
      </c>
      <c r="F5203" t="s">
        <v>41</v>
      </c>
      <c r="G5203">
        <v>-391.22649999999999</v>
      </c>
      <c r="H5203" s="1">
        <v>-4.2573979999999996E-6</v>
      </c>
      <c r="I5203">
        <v>18.885619999999999</v>
      </c>
      <c r="J5203">
        <v>-408.29020000000003</v>
      </c>
      <c r="K5203">
        <v>1.1141179999999999</v>
      </c>
      <c r="L5203">
        <v>21.190280000000001</v>
      </c>
      <c r="M5203">
        <v>0.90136320000000003</v>
      </c>
      <c r="N5203">
        <v>0</v>
      </c>
      <c r="O5203">
        <v>-0.43283969999999999</v>
      </c>
      <c r="P5203">
        <v>0.91032950000000001</v>
      </c>
      <c r="Q5203">
        <v>-1.0225939999999999E-2</v>
      </c>
      <c r="R5203">
        <v>-0.41375830000000002</v>
      </c>
      <c r="S5203">
        <v>3.1047669999999998</v>
      </c>
      <c r="T5203">
        <v>-0.20097989999999999</v>
      </c>
      <c r="U5203">
        <v>-0.42718509999999998</v>
      </c>
      <c r="V5203">
        <v>-2.1115809999999999E-2</v>
      </c>
      <c r="W5203">
        <v>3.5155379999999999E-3</v>
      </c>
      <c r="X5203">
        <v>0.99977090000000002</v>
      </c>
      <c r="Y5203">
        <v>-0.30452180000000001</v>
      </c>
      <c r="Z5203">
        <v>3.6736190000000002E-2</v>
      </c>
      <c r="AA5203">
        <v>0.95179669999999905</v>
      </c>
      <c r="AB5203">
        <v>19</v>
      </c>
      <c r="AC5203">
        <v>17.063700000000001</v>
      </c>
      <c r="AD5203">
        <v>-1.1141222573980001</v>
      </c>
      <c r="AE5203">
        <v>-2.3046599999999899</v>
      </c>
      <c r="AF5203">
        <v>-5.2868920893751099</v>
      </c>
      <c r="AG5203">
        <v>-1.1141222573980001</v>
      </c>
      <c r="AH5203">
        <v>16.311439372024601</v>
      </c>
      <c r="AI5203">
        <v>93.717587649055005</v>
      </c>
      <c r="AJ5203">
        <v>107.958636539358</v>
      </c>
      <c r="AK5203">
        <v>17.183001797019099</v>
      </c>
      <c r="AL5203">
        <v>89.798574103932694</v>
      </c>
      <c r="AM5203">
        <v>91.209944143457406</v>
      </c>
      <c r="AN5203">
        <v>1.0000000444630901</v>
      </c>
    </row>
    <row r="5204" spans="1:40" x14ac:dyDescent="0.25">
      <c r="A5204" t="str">
        <f>"20190312161119335"</f>
        <v>20190312161119335</v>
      </c>
      <c r="B5204" t="str">
        <f>"1552378279332475"</f>
        <v>1552378279332475</v>
      </c>
      <c r="C5204" t="s">
        <v>40</v>
      </c>
      <c r="D5204">
        <v>5.977608</v>
      </c>
      <c r="E5204">
        <v>0.38791809999999899</v>
      </c>
      <c r="F5204" t="s">
        <v>41</v>
      </c>
      <c r="G5204">
        <v>-391.28539999999998</v>
      </c>
      <c r="H5204" s="1">
        <v>-4.220887E-6</v>
      </c>
      <c r="I5204">
        <v>18.93449</v>
      </c>
      <c r="J5204">
        <v>-408.12299999999999</v>
      </c>
      <c r="K5204">
        <v>1.114044</v>
      </c>
      <c r="L5204">
        <v>21.119810000000001</v>
      </c>
      <c r="M5204">
        <v>0.90454639999999997</v>
      </c>
      <c r="N5204">
        <v>0</v>
      </c>
      <c r="O5204">
        <v>-0.42614790000000002</v>
      </c>
      <c r="P5204">
        <v>0.91299019999999997</v>
      </c>
      <c r="Q5204">
        <v>-1.039762E-2</v>
      </c>
      <c r="R5204">
        <v>-0.40784920000000002</v>
      </c>
      <c r="S5204">
        <v>3.1059269999999999</v>
      </c>
      <c r="T5204">
        <v>-0.2034938</v>
      </c>
      <c r="U5204">
        <v>-0.41201779999999999</v>
      </c>
      <c r="V5204">
        <v>-2.0183340000000001E-2</v>
      </c>
      <c r="W5204">
        <v>3.3438780000000002E-3</v>
      </c>
      <c r="X5204">
        <v>0.99979070000000003</v>
      </c>
      <c r="Y5204">
        <v>-0.30205729999999997</v>
      </c>
      <c r="Z5204">
        <v>3.6725559999999997E-2</v>
      </c>
      <c r="AA5204">
        <v>0.95258209999999999</v>
      </c>
      <c r="AB5204">
        <v>19</v>
      </c>
      <c r="AC5204">
        <v>16.837599999999998</v>
      </c>
      <c r="AD5204">
        <v>-1.114048220887</v>
      </c>
      <c r="AE5204">
        <v>-2.1853199999999999</v>
      </c>
      <c r="AF5204">
        <v>-5.1768011594457102</v>
      </c>
      <c r="AG5204">
        <v>-1.114048220887</v>
      </c>
      <c r="AH5204">
        <v>16.093938554565501</v>
      </c>
      <c r="AI5204">
        <v>93.770138772923801</v>
      </c>
      <c r="AJ5204">
        <v>107.830986590442</v>
      </c>
      <c r="AK5204">
        <v>16.9427043851042</v>
      </c>
      <c r="AL5204">
        <v>89.808409545632202</v>
      </c>
      <c r="AM5204">
        <v>91.156505198439902</v>
      </c>
      <c r="AN5204">
        <v>0.99999999627006197</v>
      </c>
    </row>
    <row r="5205" spans="1:40" x14ac:dyDescent="0.25">
      <c r="A5205" t="str">
        <f>"20190312161119349"</f>
        <v>20190312161119349</v>
      </c>
      <c r="B5205" t="str">
        <f>"1552378279342236"</f>
        <v>1552378279342236</v>
      </c>
      <c r="C5205" t="s">
        <v>40</v>
      </c>
      <c r="D5205">
        <v>6.0033719999999997</v>
      </c>
      <c r="E5205">
        <v>0.38831890000000002</v>
      </c>
      <c r="F5205" t="s">
        <v>41</v>
      </c>
      <c r="G5205">
        <v>-391.19389999999999</v>
      </c>
      <c r="H5205" s="1">
        <v>-4.2633520000000001E-6</v>
      </c>
      <c r="I5205">
        <v>18.938749999999999</v>
      </c>
      <c r="J5205">
        <v>-408.01850000000002</v>
      </c>
      <c r="K5205">
        <v>1.114001</v>
      </c>
      <c r="L5205">
        <v>21.076450000000001</v>
      </c>
      <c r="M5205">
        <v>0.90648629999999997</v>
      </c>
      <c r="N5205">
        <v>0</v>
      </c>
      <c r="O5205">
        <v>-0.4220061</v>
      </c>
      <c r="P5205">
        <v>0.91467719999999997</v>
      </c>
      <c r="Q5205">
        <v>-1.0847860000000001E-2</v>
      </c>
      <c r="R5205">
        <v>-0.40404000000000001</v>
      </c>
      <c r="S5205">
        <v>3.1049190000000002</v>
      </c>
      <c r="T5205">
        <v>-0.20432520000000001</v>
      </c>
      <c r="U5205">
        <v>-0.4000244</v>
      </c>
      <c r="V5205">
        <v>-1.9770989999999999E-2</v>
      </c>
      <c r="W5205">
        <v>2.8913620000000002E-3</v>
      </c>
      <c r="X5205">
        <v>0.99980029999999998</v>
      </c>
      <c r="Y5205">
        <v>-0.30127110000000001</v>
      </c>
      <c r="Z5205">
        <v>3.6629929999999998E-2</v>
      </c>
      <c r="AA5205">
        <v>0.95283470000000003</v>
      </c>
      <c r="AB5205">
        <v>19</v>
      </c>
      <c r="AC5205">
        <v>16.8246</v>
      </c>
      <c r="AD5205">
        <v>-1.1140052633519999</v>
      </c>
      <c r="AE5205">
        <v>-2.1377000000000002</v>
      </c>
      <c r="AF5205">
        <v>-5.1406083116190997</v>
      </c>
      <c r="AG5205">
        <v>-1.1140052633519999</v>
      </c>
      <c r="AH5205">
        <v>16.085553401556702</v>
      </c>
      <c r="AI5205">
        <v>93.774231043569898</v>
      </c>
      <c r="AJ5205">
        <v>107.72279850937799</v>
      </c>
      <c r="AK5205">
        <v>16.923707920387699</v>
      </c>
      <c r="AL5205">
        <v>89.834336920577599</v>
      </c>
      <c r="AM5205">
        <v>91.132872894086901</v>
      </c>
      <c r="AN5205">
        <v>0.99999994594994102</v>
      </c>
    </row>
    <row r="5206" spans="1:40" x14ac:dyDescent="0.25">
      <c r="A5206" t="str">
        <f>"20190312161119360"</f>
        <v>20190312161119360</v>
      </c>
      <c r="B5206" t="str">
        <f>"1552378279351996"</f>
        <v>1552378279351996</v>
      </c>
      <c r="C5206" t="s">
        <v>40</v>
      </c>
      <c r="D5206">
        <v>6.0133859999999997</v>
      </c>
      <c r="E5206">
        <v>0.38831890000000002</v>
      </c>
      <c r="F5206" t="s">
        <v>41</v>
      </c>
      <c r="G5206">
        <v>-391.15350000000001</v>
      </c>
      <c r="H5206" s="1">
        <v>-4.2789229999999901E-6</v>
      </c>
      <c r="I5206">
        <v>18.958690000000001</v>
      </c>
      <c r="J5206">
        <v>-407.92660000000001</v>
      </c>
      <c r="K5206">
        <v>1.113958</v>
      </c>
      <c r="L5206">
        <v>21.038699999999999</v>
      </c>
      <c r="M5206">
        <v>0.90816229999999998</v>
      </c>
      <c r="N5206">
        <v>0</v>
      </c>
      <c r="O5206">
        <v>-0.41838720000000001</v>
      </c>
      <c r="P5206">
        <v>0.91606480000000001</v>
      </c>
      <c r="Q5206">
        <v>-1.0928780000000001E-2</v>
      </c>
      <c r="R5206">
        <v>-0.40088180000000001</v>
      </c>
      <c r="S5206">
        <v>3.105194</v>
      </c>
      <c r="T5206">
        <v>-0.2051113</v>
      </c>
      <c r="U5206">
        <v>-0.38992310000000002</v>
      </c>
      <c r="V5206">
        <v>-1.9231789999999999E-2</v>
      </c>
      <c r="W5206">
        <v>2.8098229999999999E-3</v>
      </c>
      <c r="X5206">
        <v>0.99981109999999895</v>
      </c>
      <c r="Y5206">
        <v>-0.30052630000000002</v>
      </c>
      <c r="Z5206">
        <v>3.6538590000000003E-2</v>
      </c>
      <c r="AA5206">
        <v>0.95307339999999996</v>
      </c>
      <c r="AB5206">
        <v>19</v>
      </c>
      <c r="AC5206">
        <v>16.773099999999999</v>
      </c>
      <c r="AD5206">
        <v>-1.1139622789229999</v>
      </c>
      <c r="AE5206">
        <v>-2.0800099999999899</v>
      </c>
      <c r="AF5206">
        <v>-5.1069751312907004</v>
      </c>
      <c r="AG5206">
        <v>-1.1139622789229999</v>
      </c>
      <c r="AH5206">
        <v>16.034849066422399</v>
      </c>
      <c r="AI5206">
        <v>93.787173669211597</v>
      </c>
      <c r="AJ5206">
        <v>107.66627396820699</v>
      </c>
      <c r="AK5206">
        <v>16.865304371206399</v>
      </c>
      <c r="AL5206">
        <v>89.839008788479404</v>
      </c>
      <c r="AM5206">
        <v>91.101972690677897</v>
      </c>
      <c r="AN5206">
        <v>0.99999999626755198</v>
      </c>
    </row>
    <row r="5207" spans="1:40" x14ac:dyDescent="0.25">
      <c r="A5207" t="str">
        <f>"20190312161119372"</f>
        <v>20190312161119372</v>
      </c>
      <c r="B5207" t="str">
        <f>"1552378279362731"</f>
        <v>1552378279362731</v>
      </c>
      <c r="C5207" t="s">
        <v>40</v>
      </c>
      <c r="D5207">
        <v>5.9053269999999998</v>
      </c>
      <c r="E5207">
        <v>0.38003690000000001</v>
      </c>
      <c r="F5207" t="s">
        <v>41</v>
      </c>
      <c r="G5207">
        <v>-391.01620000000003</v>
      </c>
      <c r="H5207" s="1">
        <v>-4.3408760000000004E-6</v>
      </c>
      <c r="I5207">
        <v>18.97533</v>
      </c>
      <c r="J5207">
        <v>-407.83920000000001</v>
      </c>
      <c r="K5207">
        <v>1.1139209999999999</v>
      </c>
      <c r="L5207">
        <v>21.003270000000001</v>
      </c>
      <c r="M5207">
        <v>0.90972549999999996</v>
      </c>
      <c r="N5207">
        <v>0</v>
      </c>
      <c r="O5207">
        <v>-0.4149776</v>
      </c>
      <c r="P5207">
        <v>0.91736989999999996</v>
      </c>
      <c r="Q5207">
        <v>-1.1098469999999999E-2</v>
      </c>
      <c r="R5207">
        <v>-0.3978815</v>
      </c>
      <c r="S5207">
        <v>3.106598</v>
      </c>
      <c r="T5207">
        <v>-0.2046453</v>
      </c>
      <c r="U5207">
        <v>-0.37905879999999997</v>
      </c>
      <c r="V5207">
        <v>-1.8750760000000002E-2</v>
      </c>
      <c r="W5207">
        <v>2.6386389999999999E-3</v>
      </c>
      <c r="X5207">
        <v>0.99982070000000001</v>
      </c>
      <c r="Y5207">
        <v>-0.3002997</v>
      </c>
      <c r="Z5207">
        <v>3.6240939999999999E-2</v>
      </c>
      <c r="AA5207">
        <v>0.95315620000000001</v>
      </c>
      <c r="AB5207">
        <v>19</v>
      </c>
      <c r="AC5207">
        <v>16.822999999999901</v>
      </c>
      <c r="AD5207">
        <v>-1.1139253408759999</v>
      </c>
      <c r="AE5207">
        <v>-2.0279400000000001</v>
      </c>
      <c r="AF5207">
        <v>-5.1146920189963598</v>
      </c>
      <c r="AG5207">
        <v>-1.1139253408759999</v>
      </c>
      <c r="AH5207">
        <v>16.077939252339601</v>
      </c>
      <c r="AI5207">
        <v>93.777334962015701</v>
      </c>
      <c r="AJ5207">
        <v>107.646836612542</v>
      </c>
      <c r="AK5207">
        <v>16.9086083021683</v>
      </c>
      <c r="AL5207">
        <v>89.848816945116596</v>
      </c>
      <c r="AM5207">
        <v>91.074406123734803</v>
      </c>
      <c r="AN5207">
        <v>0.99999999278241902</v>
      </c>
    </row>
    <row r="5208" spans="1:40" x14ac:dyDescent="0.25">
      <c r="A5208" t="str">
        <f>"20190312161119386"</f>
        <v>20190312161119386</v>
      </c>
      <c r="B5208" t="str">
        <f>"1552378279382251"</f>
        <v>1552378279382251</v>
      </c>
      <c r="C5208" t="s">
        <v>40</v>
      </c>
      <c r="D5208">
        <v>5.9567160000000001</v>
      </c>
      <c r="E5208">
        <v>0.37925340000000002</v>
      </c>
      <c r="F5208" t="s">
        <v>97</v>
      </c>
      <c r="G5208">
        <v>-386.48759999999999</v>
      </c>
      <c r="H5208" s="1">
        <v>-1.789255E-6</v>
      </c>
      <c r="I5208">
        <v>18.892019999999999</v>
      </c>
      <c r="J5208">
        <v>-407.74180000000001</v>
      </c>
      <c r="K5208">
        <v>1.11388</v>
      </c>
      <c r="L5208">
        <v>20.964020000000001</v>
      </c>
      <c r="M5208">
        <v>0.91144159999999996</v>
      </c>
      <c r="N5208">
        <v>0</v>
      </c>
      <c r="O5208">
        <v>-0.41119519999999998</v>
      </c>
      <c r="P5208">
        <v>0.91891829999999997</v>
      </c>
      <c r="Q5208">
        <v>-1.137781E-2</v>
      </c>
      <c r="R5208">
        <v>-0.39428479999999999</v>
      </c>
      <c r="S5208">
        <v>3.1338499999999998</v>
      </c>
      <c r="T5208">
        <v>-0.16349449999999999</v>
      </c>
      <c r="U5208">
        <v>-0.30987550000000003</v>
      </c>
      <c r="V5208">
        <v>-1.851001E-2</v>
      </c>
      <c r="W5208">
        <v>2.3553990000000002E-3</v>
      </c>
      <c r="X5208">
        <v>0.99982590000000005</v>
      </c>
      <c r="Y5208">
        <v>-0.31859690000000002</v>
      </c>
      <c r="Z5208">
        <v>2.9070309999999999E-2</v>
      </c>
      <c r="AA5208">
        <v>0.94744439999999996</v>
      </c>
      <c r="AB5208">
        <v>19</v>
      </c>
      <c r="AC5208">
        <v>21.254200000000001</v>
      </c>
      <c r="AD5208">
        <v>-1.1138817892549999</v>
      </c>
      <c r="AE5208">
        <v>-2.0719999999999898</v>
      </c>
      <c r="AF5208">
        <v>-6.8331872262108204</v>
      </c>
      <c r="AG5208">
        <v>-1.1138817892549999</v>
      </c>
      <c r="AH5208">
        <v>20.171028210420801</v>
      </c>
      <c r="AI5208">
        <v>92.993970179057399</v>
      </c>
      <c r="AJ5208">
        <v>108.714451033244</v>
      </c>
      <c r="AK5208">
        <v>21.326123871310401</v>
      </c>
      <c r="AL5208">
        <v>89.865045453355904</v>
      </c>
      <c r="AM5208">
        <v>91.060608964963507</v>
      </c>
      <c r="AN5208">
        <v>0.99999999934272898</v>
      </c>
    </row>
    <row r="5209" spans="1:40" x14ac:dyDescent="0.25">
      <c r="A5209" t="str">
        <f>"20190312161119402"</f>
        <v>20190312161119402</v>
      </c>
      <c r="B5209" t="str">
        <f>"1552378279392011"</f>
        <v>1552378279392011</v>
      </c>
      <c r="C5209" t="s">
        <v>40</v>
      </c>
      <c r="D5209">
        <v>5.9608030000000003</v>
      </c>
      <c r="E5209">
        <v>0.3793763</v>
      </c>
      <c r="F5209" t="s">
        <v>97</v>
      </c>
      <c r="G5209">
        <v>-385.08</v>
      </c>
      <c r="H5209" s="1">
        <v>-2.4614950000000001E-6</v>
      </c>
      <c r="I5209">
        <v>18.853400000000001</v>
      </c>
      <c r="J5209">
        <v>-407.61200000000002</v>
      </c>
      <c r="K5209">
        <v>1.1138300000000001</v>
      </c>
      <c r="L5209">
        <v>20.912510000000001</v>
      </c>
      <c r="M5209">
        <v>0.91367330000000002</v>
      </c>
      <c r="N5209">
        <v>0</v>
      </c>
      <c r="O5209">
        <v>-0.40621239999999997</v>
      </c>
      <c r="P5209">
        <v>0.9208712</v>
      </c>
      <c r="Q5209">
        <v>-1.1444640000000001E-2</v>
      </c>
      <c r="R5209">
        <v>-0.38969979999999999</v>
      </c>
      <c r="S5209">
        <v>3.1374209999999998</v>
      </c>
      <c r="T5209">
        <v>-0.15421199999999999</v>
      </c>
      <c r="U5209">
        <v>-0.29220580000000002</v>
      </c>
      <c r="V5209">
        <v>-1.8032780000000002E-2</v>
      </c>
      <c r="W5209">
        <v>2.2843500000000001E-3</v>
      </c>
      <c r="X5209">
        <v>0.99983480000000002</v>
      </c>
      <c r="Y5209">
        <v>-0.31892589999999998</v>
      </c>
      <c r="Z5209">
        <v>2.7187869999999999E-2</v>
      </c>
      <c r="AA5209">
        <v>0.94738960000000005</v>
      </c>
      <c r="AB5209">
        <v>18</v>
      </c>
      <c r="AC5209">
        <v>22.531999999999901</v>
      </c>
      <c r="AD5209">
        <v>-1.1138324614949999</v>
      </c>
      <c r="AE5209">
        <v>-2.05911</v>
      </c>
      <c r="AF5209">
        <v>-7.2545434678971299</v>
      </c>
      <c r="AG5209">
        <v>-1.1138324614949999</v>
      </c>
      <c r="AH5209">
        <v>21.373588892518502</v>
      </c>
      <c r="AI5209">
        <v>92.8251131956156</v>
      </c>
      <c r="AJ5209">
        <v>108.748047427057</v>
      </c>
      <c r="AK5209">
        <v>22.598657611156401</v>
      </c>
      <c r="AL5209">
        <v>89.869116273985597</v>
      </c>
      <c r="AM5209">
        <v>91.0332608738061</v>
      </c>
      <c r="AN5209">
        <v>1.00000001335024</v>
      </c>
    </row>
    <row r="5210" spans="1:40" x14ac:dyDescent="0.25">
      <c r="A5210" t="str">
        <f>"20190312161119414"</f>
        <v>20190312161119414</v>
      </c>
      <c r="B5210" t="str">
        <f>"1552378279402747"</f>
        <v>1552378279402747</v>
      </c>
      <c r="C5210" t="s">
        <v>40</v>
      </c>
      <c r="D5210">
        <v>5.9443859999999997</v>
      </c>
      <c r="E5210">
        <v>0.37966359999999999</v>
      </c>
      <c r="F5210" t="s">
        <v>97</v>
      </c>
      <c r="G5210">
        <v>-385.0797</v>
      </c>
      <c r="H5210" s="1">
        <v>-2.4498159999999998E-6</v>
      </c>
      <c r="I5210">
        <v>18.920010000000001</v>
      </c>
      <c r="J5210">
        <v>-407.52820000000003</v>
      </c>
      <c r="K5210">
        <v>1.113794</v>
      </c>
      <c r="L5210">
        <v>20.87979</v>
      </c>
      <c r="M5210">
        <v>0.91507930000000004</v>
      </c>
      <c r="N5210">
        <v>0</v>
      </c>
      <c r="O5210">
        <v>-0.40303539999999999</v>
      </c>
      <c r="P5210">
        <v>0.92220210000000002</v>
      </c>
      <c r="Q5210">
        <v>-1.16285E-2</v>
      </c>
      <c r="R5210">
        <v>-0.38653349999999997</v>
      </c>
      <c r="S5210">
        <v>3.1384280000000002</v>
      </c>
      <c r="T5210">
        <v>-0.1551411</v>
      </c>
      <c r="U5210">
        <v>-0.27752690000000002</v>
      </c>
      <c r="V5210">
        <v>-1.799131E-2</v>
      </c>
      <c r="W5210">
        <v>2.0950460000000001E-3</v>
      </c>
      <c r="X5210">
        <v>0.99983599999999995</v>
      </c>
      <c r="Y5210">
        <v>-0.3200482</v>
      </c>
      <c r="Z5210">
        <v>2.7236690000000001E-2</v>
      </c>
      <c r="AA5210">
        <v>0.94700969999999995</v>
      </c>
      <c r="AB5210">
        <v>18</v>
      </c>
      <c r="AC5210">
        <v>22.448499999999999</v>
      </c>
      <c r="AD5210">
        <v>-1.113796449816</v>
      </c>
      <c r="AE5210">
        <v>-1.9597799999999901</v>
      </c>
      <c r="AF5210">
        <v>-7.2372026637147302</v>
      </c>
      <c r="AG5210">
        <v>-1.113796449816</v>
      </c>
      <c r="AH5210">
        <v>21.282076148383499</v>
      </c>
      <c r="AI5210">
        <v>92.836593636043602</v>
      </c>
      <c r="AJ5210">
        <v>108.78116258669399</v>
      </c>
      <c r="AK5210">
        <v>22.506541496038299</v>
      </c>
      <c r="AL5210">
        <v>89.8799626247053</v>
      </c>
      <c r="AM5210">
        <v>91.030883959247404</v>
      </c>
      <c r="AN5210">
        <v>1.0000000516746199</v>
      </c>
    </row>
    <row r="5211" spans="1:40" x14ac:dyDescent="0.25">
      <c r="A5211" t="str">
        <f>"20190312161119426"</f>
        <v>20190312161119426</v>
      </c>
      <c r="B5211" t="str">
        <f>"1552378279422267"</f>
        <v>1552378279422267</v>
      </c>
      <c r="C5211" t="s">
        <v>40</v>
      </c>
      <c r="D5211">
        <v>6.0292629999999896</v>
      </c>
      <c r="E5211">
        <v>0.38086589999999998</v>
      </c>
      <c r="F5211" t="s">
        <v>97</v>
      </c>
      <c r="G5211">
        <v>-385.5077</v>
      </c>
      <c r="H5211" s="1">
        <v>-2.234362E-6</v>
      </c>
      <c r="I5211">
        <v>18.994</v>
      </c>
      <c r="J5211">
        <v>-407.43380000000002</v>
      </c>
      <c r="K5211">
        <v>1.113758</v>
      </c>
      <c r="L5211">
        <v>20.84308</v>
      </c>
      <c r="M5211">
        <v>0.91664279999999998</v>
      </c>
      <c r="N5211">
        <v>0</v>
      </c>
      <c r="O5211">
        <v>-0.39946680000000001</v>
      </c>
      <c r="P5211">
        <v>0.92364579999999996</v>
      </c>
      <c r="Q5211">
        <v>-1.1754779999999999E-2</v>
      </c>
      <c r="R5211">
        <v>-0.38306709999999999</v>
      </c>
      <c r="S5211">
        <v>3.1384280000000002</v>
      </c>
      <c r="T5211">
        <v>-0.15874170000000001</v>
      </c>
      <c r="U5211">
        <v>-0.26876830000000002</v>
      </c>
      <c r="V5211">
        <v>-1.7848760000000002E-2</v>
      </c>
      <c r="W5211">
        <v>1.963439E-3</v>
      </c>
      <c r="X5211">
        <v>0.99983880000000003</v>
      </c>
      <c r="Y5211">
        <v>-0.318945599999999</v>
      </c>
      <c r="Z5211">
        <v>2.7680360000000001E-2</v>
      </c>
      <c r="AA5211">
        <v>0.94736869999999995</v>
      </c>
      <c r="AB5211">
        <v>18</v>
      </c>
      <c r="AC5211">
        <v>21.926100000000002</v>
      </c>
      <c r="AD5211">
        <v>-1.1137602343619999</v>
      </c>
      <c r="AE5211">
        <v>-1.8490800000000001</v>
      </c>
      <c r="AF5211">
        <v>-7.0464291433325901</v>
      </c>
      <c r="AG5211">
        <v>-1.1137602343619999</v>
      </c>
      <c r="AH5211">
        <v>20.785797373979602</v>
      </c>
      <c r="AI5211">
        <v>92.905045549828699</v>
      </c>
      <c r="AJ5211">
        <v>108.726767238837</v>
      </c>
      <c r="AK5211">
        <v>21.9759413451117</v>
      </c>
      <c r="AL5211">
        <v>89.887503163023695</v>
      </c>
      <c r="AM5211">
        <v>91.022714865999205</v>
      </c>
      <c r="AN5211">
        <v>1.00000002965584</v>
      </c>
    </row>
    <row r="5212" spans="1:40" x14ac:dyDescent="0.25">
      <c r="A5212" t="str">
        <f>"20190312161119440"</f>
        <v>20190312161119440</v>
      </c>
      <c r="B5212" t="str">
        <f>"1552378279432027"</f>
        <v>1552378279432027</v>
      </c>
      <c r="C5212" t="s">
        <v>40</v>
      </c>
      <c r="D5212">
        <v>5.9731439999999996</v>
      </c>
      <c r="E5212">
        <v>0.38129229999999997</v>
      </c>
      <c r="F5212" t="s">
        <v>97</v>
      </c>
      <c r="G5212">
        <v>-386.18529999999998</v>
      </c>
      <c r="H5212" s="1">
        <v>-1.905309E-6</v>
      </c>
      <c r="I5212">
        <v>19.04335</v>
      </c>
      <c r="J5212">
        <v>-407.32420000000002</v>
      </c>
      <c r="K5212">
        <v>1.113712</v>
      </c>
      <c r="L5212">
        <v>20.80106</v>
      </c>
      <c r="M5212">
        <v>0.91841899999999999</v>
      </c>
      <c r="N5212">
        <v>0</v>
      </c>
      <c r="O5212">
        <v>-0.39536640000000001</v>
      </c>
      <c r="P5212">
        <v>0.92538140000000002</v>
      </c>
      <c r="Q5212">
        <v>-1.19411E-2</v>
      </c>
      <c r="R5212">
        <v>-0.37884960000000001</v>
      </c>
      <c r="S5212">
        <v>3.135742</v>
      </c>
      <c r="T5212">
        <v>-0.1643628</v>
      </c>
      <c r="U5212">
        <v>-0.26559450000000001</v>
      </c>
      <c r="V5212">
        <v>-1.7938880000000001E-2</v>
      </c>
      <c r="W5212">
        <v>1.76889E-3</v>
      </c>
      <c r="X5212">
        <v>0.99983750000000005</v>
      </c>
      <c r="Y5212">
        <v>-0.31553639999999999</v>
      </c>
      <c r="Z5212">
        <v>2.8398670000000001E-2</v>
      </c>
      <c r="AA5212">
        <v>0.94848840000000001</v>
      </c>
      <c r="AB5212">
        <v>18</v>
      </c>
      <c r="AC5212">
        <v>21.1389</v>
      </c>
      <c r="AD5212">
        <v>-1.1137139053089999</v>
      </c>
      <c r="AE5212">
        <v>-1.7577099999999899</v>
      </c>
      <c r="AF5212">
        <v>-6.72540386653223</v>
      </c>
      <c r="AG5212">
        <v>-1.1137139053089999</v>
      </c>
      <c r="AH5212">
        <v>20.055948830481</v>
      </c>
      <c r="AI5212">
        <v>93.013786462966806</v>
      </c>
      <c r="AJ5212">
        <v>108.53795684902499</v>
      </c>
      <c r="AK5212">
        <v>21.182835016156801</v>
      </c>
      <c r="AL5212">
        <v>89.898650013635404</v>
      </c>
      <c r="AM5212">
        <v>91.027878876742804</v>
      </c>
      <c r="AN5212">
        <v>0.99999997939686802</v>
      </c>
    </row>
    <row r="5213" spans="1:40" x14ac:dyDescent="0.25">
      <c r="A5213" t="str">
        <f>"20190312161119462"</f>
        <v>20190312161119462</v>
      </c>
      <c r="B5213" t="str">
        <f>"1552378279452523"</f>
        <v>1552378279452523</v>
      </c>
      <c r="C5213" t="s">
        <v>40</v>
      </c>
      <c r="D5213">
        <v>5.9685350000000001</v>
      </c>
      <c r="E5213">
        <v>0.38129990000000002</v>
      </c>
      <c r="F5213" t="s">
        <v>97</v>
      </c>
      <c r="G5213">
        <v>-386.03550000000001</v>
      </c>
      <c r="H5213" s="1">
        <v>-1.9708299999999998E-6</v>
      </c>
      <c r="I5213">
        <v>19.073060000000002</v>
      </c>
      <c r="J5213">
        <v>-407.16669999999999</v>
      </c>
      <c r="K5213">
        <v>1.113648</v>
      </c>
      <c r="L5213">
        <v>20.74155</v>
      </c>
      <c r="M5213">
        <v>0.92090839999999996</v>
      </c>
      <c r="N5213">
        <v>0</v>
      </c>
      <c r="O5213">
        <v>-0.38953349999999998</v>
      </c>
      <c r="P5213">
        <v>0.92785669999999998</v>
      </c>
      <c r="Q5213">
        <v>-1.224811E-2</v>
      </c>
      <c r="R5213">
        <v>-0.37273630000000002</v>
      </c>
      <c r="S5213">
        <v>3.1356199999999999</v>
      </c>
      <c r="T5213">
        <v>-0.1640394</v>
      </c>
      <c r="U5213">
        <v>-0.25451659999999998</v>
      </c>
      <c r="V5213">
        <v>-1.8189670000000002E-2</v>
      </c>
      <c r="W5213">
        <v>1.4489329999999999E-3</v>
      </c>
      <c r="X5213">
        <v>0.99983350000000004</v>
      </c>
      <c r="Y5213">
        <v>-0.31285689999999999</v>
      </c>
      <c r="Z5213">
        <v>2.799979E-2</v>
      </c>
      <c r="AA5213">
        <v>0.94938750000000005</v>
      </c>
      <c r="AB5213">
        <v>18</v>
      </c>
      <c r="AC5213">
        <v>21.1311999999999</v>
      </c>
      <c r="AD5213">
        <v>-1.1136499708299901</v>
      </c>
      <c r="AE5213">
        <v>-1.66848999999999</v>
      </c>
      <c r="AF5213">
        <v>-6.6769942883276201</v>
      </c>
      <c r="AG5213">
        <v>-1.1136499708299901</v>
      </c>
      <c r="AH5213">
        <v>20.056395971554</v>
      </c>
      <c r="AI5213">
        <v>93.015736467130793</v>
      </c>
      <c r="AJ5213">
        <v>108.413166521634</v>
      </c>
      <c r="AK5213">
        <v>21.167935382357399</v>
      </c>
      <c r="AL5213">
        <v>89.916982224890404</v>
      </c>
      <c r="AM5213">
        <v>91.042249899657406</v>
      </c>
      <c r="AN5213">
        <v>0.99999999561189801</v>
      </c>
    </row>
    <row r="5214" spans="1:40" x14ac:dyDescent="0.25">
      <c r="A5214" t="str">
        <f>"20190312161119481"</f>
        <v>20190312161119481</v>
      </c>
      <c r="B5214" t="str">
        <f>"1552378279472043"</f>
        <v>1552378279472043</v>
      </c>
      <c r="C5214" t="s">
        <v>40</v>
      </c>
      <c r="D5214">
        <v>5.7692870000000003</v>
      </c>
      <c r="E5214">
        <v>0.38126529999999997</v>
      </c>
      <c r="F5214" t="s">
        <v>97</v>
      </c>
      <c r="G5214">
        <v>-384.48899999999998</v>
      </c>
      <c r="H5214" s="1">
        <v>-2.7064009999999999E-6</v>
      </c>
      <c r="I5214">
        <v>19.04749</v>
      </c>
      <c r="J5214">
        <v>-407.01240000000001</v>
      </c>
      <c r="K5214">
        <v>1.113588</v>
      </c>
      <c r="L5214">
        <v>20.684170000000002</v>
      </c>
      <c r="M5214">
        <v>0.92327709999999996</v>
      </c>
      <c r="N5214">
        <v>0</v>
      </c>
      <c r="O5214">
        <v>-0.3838858</v>
      </c>
      <c r="P5214">
        <v>0.93034430000000001</v>
      </c>
      <c r="Q5214">
        <v>-1.273898E-2</v>
      </c>
      <c r="R5214">
        <v>-0.36646669999999998</v>
      </c>
      <c r="S5214">
        <v>3.1370849999999999</v>
      </c>
      <c r="T5214">
        <v>-0.1540552</v>
      </c>
      <c r="U5214">
        <v>-0.23434450000000001</v>
      </c>
      <c r="V5214">
        <v>-1.880565E-2</v>
      </c>
      <c r="W5214">
        <v>9.4157850000000005E-4</v>
      </c>
      <c r="X5214">
        <v>0.99982269999999895</v>
      </c>
      <c r="Y5214">
        <v>-0.31325950000000002</v>
      </c>
      <c r="Z5214">
        <v>2.60507E-2</v>
      </c>
      <c r="AA5214">
        <v>0.94931019999999999</v>
      </c>
      <c r="AB5214">
        <v>18</v>
      </c>
      <c r="AC5214">
        <v>22.523399999999899</v>
      </c>
      <c r="AD5214">
        <v>-1.113590706401</v>
      </c>
      <c r="AE5214">
        <v>-1.6366799999999999</v>
      </c>
      <c r="AF5214">
        <v>-7.1186761693421801</v>
      </c>
      <c r="AG5214">
        <v>-1.113590706401</v>
      </c>
      <c r="AH5214">
        <v>21.373712056280699</v>
      </c>
      <c r="AI5214">
        <v>92.829906565108701</v>
      </c>
      <c r="AJ5214">
        <v>108.420726541479</v>
      </c>
      <c r="AK5214">
        <v>22.5555137766831</v>
      </c>
      <c r="AL5214">
        <v>89.946051517101793</v>
      </c>
      <c r="AM5214">
        <v>91.077548388903693</v>
      </c>
      <c r="AN5214">
        <v>0.99999998523864198</v>
      </c>
    </row>
    <row r="5215" spans="1:40" x14ac:dyDescent="0.25">
      <c r="A5215" t="str">
        <f>"20190312161119496"</f>
        <v>20190312161119496</v>
      </c>
      <c r="B5215" t="str">
        <f>"1552378279492617"</f>
        <v>1552378279492617</v>
      </c>
      <c r="C5215" t="s">
        <v>40</v>
      </c>
      <c r="D5215">
        <v>5.9535499999999999</v>
      </c>
      <c r="E5215">
        <v>0.3908586</v>
      </c>
      <c r="F5215" t="s">
        <v>97</v>
      </c>
      <c r="G5215">
        <v>-383.10500000000002</v>
      </c>
      <c r="H5215" s="1">
        <v>-3.358448E-6</v>
      </c>
      <c r="I5215">
        <v>19.05997</v>
      </c>
      <c r="J5215">
        <v>-406.90109999999999</v>
      </c>
      <c r="K5215">
        <v>1.1135539999999999</v>
      </c>
      <c r="L5215">
        <v>20.64349</v>
      </c>
      <c r="M5215">
        <v>0.92493979999999998</v>
      </c>
      <c r="N5215">
        <v>0</v>
      </c>
      <c r="O5215">
        <v>-0.37986249999999999</v>
      </c>
      <c r="P5215">
        <v>0.93218500000000004</v>
      </c>
      <c r="Q5215">
        <v>-1.293425E-2</v>
      </c>
      <c r="R5215">
        <v>-0.3617513</v>
      </c>
      <c r="S5215">
        <v>3.1385800000000001</v>
      </c>
      <c r="T5215">
        <v>-0.14619299999999999</v>
      </c>
      <c r="U5215">
        <v>-0.21322630000000001</v>
      </c>
      <c r="V5215">
        <v>-1.9512189999999999E-2</v>
      </c>
      <c r="W5215">
        <v>7.3367750000000002E-4</v>
      </c>
      <c r="X5215">
        <v>0.99980930000000001</v>
      </c>
      <c r="Y5215">
        <v>-0.31559599999999999</v>
      </c>
      <c r="Z5215">
        <v>2.4602619999999999E-2</v>
      </c>
      <c r="AA5215">
        <v>0.94857469999999999</v>
      </c>
      <c r="AB5215">
        <v>18</v>
      </c>
      <c r="AC5215">
        <v>23.7960999999999</v>
      </c>
      <c r="AD5215">
        <v>-1.1135573584479901</v>
      </c>
      <c r="AE5215">
        <v>-1.58352</v>
      </c>
      <c r="AF5215">
        <v>-7.5588285676370797</v>
      </c>
      <c r="AG5215">
        <v>-1.1135573584479901</v>
      </c>
      <c r="AH5215">
        <v>22.564443010423101</v>
      </c>
      <c r="AI5215">
        <v>92.679162738115906</v>
      </c>
      <c r="AJ5215">
        <v>108.520256259492</v>
      </c>
      <c r="AK5215">
        <v>23.822887895385598</v>
      </c>
      <c r="AL5215">
        <v>89.957963369857495</v>
      </c>
      <c r="AM5215">
        <v>91.118037444668701</v>
      </c>
      <c r="AN5215">
        <v>0.99999995010387799</v>
      </c>
    </row>
    <row r="5216" spans="1:40" x14ac:dyDescent="0.25">
      <c r="A5216" t="str">
        <f>"20190312161119515"</f>
        <v>20190312161119515</v>
      </c>
      <c r="B5216" t="str">
        <f>"1552378279512133"</f>
        <v>1552378279512133</v>
      </c>
      <c r="C5216" t="s">
        <v>40</v>
      </c>
      <c r="D5216">
        <v>6.0592079999999999</v>
      </c>
      <c r="E5216">
        <v>0.39225959999999899</v>
      </c>
      <c r="F5216" t="s">
        <v>97</v>
      </c>
      <c r="G5216">
        <v>-389.99810000000002</v>
      </c>
      <c r="H5216" s="1">
        <v>-1.126463E-7</v>
      </c>
      <c r="I5216">
        <v>19.197279999999999</v>
      </c>
      <c r="J5216">
        <v>-406.7654</v>
      </c>
      <c r="K5216">
        <v>1.113502</v>
      </c>
      <c r="L5216">
        <v>20.594480000000001</v>
      </c>
      <c r="M5216">
        <v>0.92692209999999997</v>
      </c>
      <c r="N5216">
        <v>0</v>
      </c>
      <c r="O5216">
        <v>-0.37499959999999999</v>
      </c>
      <c r="P5216">
        <v>0.93427229999999994</v>
      </c>
      <c r="Q5216">
        <v>-1.253982E-2</v>
      </c>
      <c r="R5216">
        <v>-0.35633959999999998</v>
      </c>
      <c r="S5216">
        <v>3.1120610000000002</v>
      </c>
      <c r="T5216">
        <v>-0.2050197</v>
      </c>
      <c r="U5216">
        <v>-0.2662659</v>
      </c>
      <c r="V5216">
        <v>-2.0063299999999999E-2</v>
      </c>
      <c r="W5216">
        <v>1.1141930000000001E-3</v>
      </c>
      <c r="X5216">
        <v>0.99979810000000002</v>
      </c>
      <c r="Y5216">
        <v>-0.29324830000000002</v>
      </c>
      <c r="Z5216">
        <v>3.3702240000000001E-2</v>
      </c>
      <c r="AA5216">
        <v>0.95544209999999996</v>
      </c>
      <c r="AB5216">
        <v>18</v>
      </c>
      <c r="AC5216">
        <v>16.767299999999899</v>
      </c>
      <c r="AD5216">
        <v>-1.1135021126463001</v>
      </c>
      <c r="AE5216">
        <v>-1.39719999999999</v>
      </c>
      <c r="AF5216">
        <v>-4.9713381182335796</v>
      </c>
      <c r="AG5216">
        <v>-1.1135021126463001</v>
      </c>
      <c r="AH5216">
        <v>15.9973978243579</v>
      </c>
      <c r="AI5216">
        <v>93.802835346898107</v>
      </c>
      <c r="AJ5216">
        <v>107.263111462735</v>
      </c>
      <c r="AK5216">
        <v>16.789009106896099</v>
      </c>
      <c r="AL5216">
        <v>89.936161430909294</v>
      </c>
      <c r="AM5216">
        <v>91.149620252332895</v>
      </c>
      <c r="AN5216">
        <v>1.0000000090982699</v>
      </c>
    </row>
    <row r="5217" spans="1:40" x14ac:dyDescent="0.25">
      <c r="A5217" t="str">
        <f>"20190312161119529"</f>
        <v>20190312161119529</v>
      </c>
      <c r="B5217" t="str">
        <f>"1552378279521893"</f>
        <v>1552378279521893</v>
      </c>
      <c r="C5217" t="s">
        <v>40</v>
      </c>
      <c r="D5217">
        <v>9.9293829999999996</v>
      </c>
      <c r="E5217">
        <v>0.39225959999999899</v>
      </c>
      <c r="F5217" t="s">
        <v>97</v>
      </c>
      <c r="G5217">
        <v>-389.59010000000001</v>
      </c>
      <c r="H5217" s="1">
        <v>-2.7799099999999999E-7</v>
      </c>
      <c r="I5217">
        <v>19.164770000000001</v>
      </c>
      <c r="J5217">
        <v>-406.65269999999998</v>
      </c>
      <c r="K5217">
        <v>1.1134649999999999</v>
      </c>
      <c r="L5217">
        <v>20.554320000000001</v>
      </c>
      <c r="M5217">
        <v>0.92853220000000003</v>
      </c>
      <c r="N5217">
        <v>0</v>
      </c>
      <c r="O5217">
        <v>-0.37099559999999998</v>
      </c>
      <c r="P5217">
        <v>0.93591899999999995</v>
      </c>
      <c r="Q5217">
        <v>-1.2341950000000001E-2</v>
      </c>
      <c r="R5217">
        <v>-0.35199899999999901</v>
      </c>
      <c r="S5217">
        <v>3.1096189999999999</v>
      </c>
      <c r="T5217">
        <v>-0.201601</v>
      </c>
      <c r="U5217">
        <v>-0.25885010000000003</v>
      </c>
      <c r="V5217">
        <v>-2.0392239999999999E-2</v>
      </c>
      <c r="W5217">
        <v>1.3025440000000001E-3</v>
      </c>
      <c r="X5217">
        <v>0.99979119999999999</v>
      </c>
      <c r="Y5217">
        <v>-0.29137669999999999</v>
      </c>
      <c r="Z5217">
        <v>3.2871089999999999E-2</v>
      </c>
      <c r="AA5217">
        <v>0.95604350000000005</v>
      </c>
      <c r="AB5217">
        <v>18</v>
      </c>
      <c r="AC5217">
        <v>17.0625999999999</v>
      </c>
      <c r="AD5217">
        <v>-1.1134652779909999</v>
      </c>
      <c r="AE5217">
        <v>-1.3895499999999901</v>
      </c>
      <c r="AF5217">
        <v>-5.0191534667076203</v>
      </c>
      <c r="AG5217">
        <v>-1.1134652779909999</v>
      </c>
      <c r="AH5217">
        <v>16.291326014168199</v>
      </c>
      <c r="AI5217">
        <v>93.737107736314897</v>
      </c>
      <c r="AJ5217">
        <v>107.123409818765</v>
      </c>
      <c r="AK5217">
        <v>17.0832962202138</v>
      </c>
      <c r="AL5217">
        <v>89.925369704457296</v>
      </c>
      <c r="AM5217">
        <v>91.1684712807198</v>
      </c>
      <c r="AN5217">
        <v>0.999999991835264</v>
      </c>
    </row>
    <row r="5218" spans="1:40" x14ac:dyDescent="0.25">
      <c r="A5218" t="str">
        <f>"20190312161119540"</f>
        <v>20190312161119540</v>
      </c>
      <c r="B5218" t="str">
        <f>"1552378279532630"</f>
        <v>1552378279532630</v>
      </c>
      <c r="C5218" t="s">
        <v>40</v>
      </c>
      <c r="D5218">
        <v>5.9744190000000001</v>
      </c>
      <c r="E5218">
        <v>0.3870267</v>
      </c>
      <c r="F5218" t="s">
        <v>97</v>
      </c>
      <c r="G5218">
        <v>-389.43049999999999</v>
      </c>
      <c r="H5218" s="1">
        <v>-3.432879E-7</v>
      </c>
      <c r="I5218">
        <v>19.20101</v>
      </c>
      <c r="J5218">
        <v>-406.56020000000001</v>
      </c>
      <c r="K5218">
        <v>1.113435</v>
      </c>
      <c r="L5218">
        <v>20.521699999999999</v>
      </c>
      <c r="M5218">
        <v>0.92982860000000001</v>
      </c>
      <c r="N5218">
        <v>0</v>
      </c>
      <c r="O5218">
        <v>-0.36773430000000001</v>
      </c>
      <c r="P5218">
        <v>0.9371197</v>
      </c>
      <c r="Q5218">
        <v>-1.2247279999999999E-2</v>
      </c>
      <c r="R5218">
        <v>-0.34879339999999998</v>
      </c>
      <c r="S5218">
        <v>3.1108090000000002</v>
      </c>
      <c r="T5218">
        <v>-0.20112360000000001</v>
      </c>
      <c r="U5218">
        <v>-0.24444579999999999</v>
      </c>
      <c r="V5218">
        <v>-2.030595E-2</v>
      </c>
      <c r="W5218">
        <v>1.3912359999999999E-3</v>
      </c>
      <c r="X5218">
        <v>0.99979289999999998</v>
      </c>
      <c r="Y5218">
        <v>-0.29245880000000002</v>
      </c>
      <c r="Z5218">
        <v>3.2630310000000003E-2</v>
      </c>
      <c r="AA5218">
        <v>0.9557213</v>
      </c>
      <c r="AB5218">
        <v>18</v>
      </c>
      <c r="AC5218">
        <v>17.1297</v>
      </c>
      <c r="AD5218">
        <v>-1.1134353432878901</v>
      </c>
      <c r="AE5218">
        <v>-1.3206899999999899</v>
      </c>
      <c r="AF5218">
        <v>-5.0504332175825004</v>
      </c>
      <c r="AG5218">
        <v>-1.1134353432878901</v>
      </c>
      <c r="AH5218">
        <v>16.346254185432201</v>
      </c>
      <c r="AI5218">
        <v>93.723566682717802</v>
      </c>
      <c r="AJ5218">
        <v>107.16935936434101</v>
      </c>
      <c r="AK5218">
        <v>17.144872115116598</v>
      </c>
      <c r="AL5218">
        <v>89.920288027564496</v>
      </c>
      <c r="AM5218">
        <v>91.163526265207096</v>
      </c>
      <c r="AN5218">
        <v>1.0000000550167001</v>
      </c>
    </row>
    <row r="5219" spans="1:40" x14ac:dyDescent="0.25">
      <c r="A5219" t="str">
        <f>"20190312161119561"</f>
        <v>20190312161119561</v>
      </c>
      <c r="B5219" t="str">
        <f>"1552378279553125"</f>
        <v>1552378279553125</v>
      </c>
      <c r="C5219" t="s">
        <v>40</v>
      </c>
      <c r="D5219">
        <v>5.9588780000000003</v>
      </c>
      <c r="E5219">
        <v>0.38714700000000002</v>
      </c>
      <c r="F5219" t="s">
        <v>99</v>
      </c>
      <c r="G5219">
        <v>-371.71319999999997</v>
      </c>
      <c r="H5219" s="1">
        <v>-4.1301880000000004E-6</v>
      </c>
      <c r="I5219">
        <v>18.305689999999998</v>
      </c>
      <c r="J5219">
        <v>-406.40300000000002</v>
      </c>
      <c r="K5219">
        <v>1.113389</v>
      </c>
      <c r="L5219">
        <v>20.467130000000001</v>
      </c>
      <c r="M5219">
        <v>0.93197960000000002</v>
      </c>
      <c r="N5219">
        <v>0</v>
      </c>
      <c r="O5219">
        <v>-0.36224840000000003</v>
      </c>
      <c r="P5219">
        <v>0.93915590000000004</v>
      </c>
      <c r="Q5219">
        <v>-1.175299E-2</v>
      </c>
      <c r="R5219">
        <v>-0.34328999999999998</v>
      </c>
      <c r="S5219">
        <v>3.126007</v>
      </c>
      <c r="T5219">
        <v>-9.9882960000000007E-2</v>
      </c>
      <c r="U5219">
        <v>-0.19879150000000001</v>
      </c>
      <c r="V5219">
        <v>-2.0284960000000001E-2</v>
      </c>
      <c r="W5219">
        <v>1.8752249999999999E-3</v>
      </c>
      <c r="X5219">
        <v>0.99979249999999997</v>
      </c>
      <c r="Y5219">
        <v>-0.30207000000000001</v>
      </c>
      <c r="Z5219">
        <v>1.6144639999999998E-2</v>
      </c>
      <c r="AA5219">
        <v>0.95314900000000002</v>
      </c>
      <c r="AB5219">
        <v>18</v>
      </c>
      <c r="AC5219">
        <v>34.689799999999998</v>
      </c>
      <c r="AD5219">
        <v>-1.113393130188</v>
      </c>
      <c r="AE5219">
        <v>-2.16143999999999</v>
      </c>
      <c r="AF5219">
        <v>-10.5420920126649</v>
      </c>
      <c r="AG5219">
        <v>-1.113393130188</v>
      </c>
      <c r="AH5219">
        <v>33.082364869405197</v>
      </c>
      <c r="AI5219">
        <v>91.836642463122999</v>
      </c>
      <c r="AJ5219">
        <v>107.675103011353</v>
      </c>
      <c r="AK5219">
        <v>34.739289192761198</v>
      </c>
      <c r="AL5219">
        <v>89.892557460994695</v>
      </c>
      <c r="AM5219">
        <v>91.162324338052699</v>
      </c>
      <c r="AN5219">
        <v>1.0000000195636201</v>
      </c>
    </row>
    <row r="5220" spans="1:40" x14ac:dyDescent="0.25">
      <c r="A5220" t="str">
        <f>"20190312161119574"</f>
        <v>20190312161119574</v>
      </c>
      <c r="B5220" t="str">
        <f>"1552378279561909"</f>
        <v>1552378279561909</v>
      </c>
      <c r="C5220" t="s">
        <v>40</v>
      </c>
      <c r="D5220">
        <v>5.9644760000000003</v>
      </c>
      <c r="E5220">
        <v>0.39600639999999998</v>
      </c>
      <c r="F5220" t="s">
        <v>99</v>
      </c>
      <c r="G5220">
        <v>-370.5052</v>
      </c>
      <c r="H5220" s="1">
        <v>-4.6873209999999999E-6</v>
      </c>
      <c r="I5220">
        <v>18.383880000000001</v>
      </c>
      <c r="J5220">
        <v>-406.30770000000001</v>
      </c>
      <c r="K5220">
        <v>1.113362</v>
      </c>
      <c r="L5220">
        <v>20.434570000000001</v>
      </c>
      <c r="M5220">
        <v>0.93324949999999995</v>
      </c>
      <c r="N5220">
        <v>0</v>
      </c>
      <c r="O5220">
        <v>-0.35896460000000002</v>
      </c>
      <c r="P5220">
        <v>0.94033650000000002</v>
      </c>
      <c r="Q5220">
        <v>-1.197091E-2</v>
      </c>
      <c r="R5220">
        <v>-0.34003519999999998</v>
      </c>
      <c r="S5220">
        <v>3.1268009999999999</v>
      </c>
      <c r="T5220">
        <v>-9.6979979999999993E-2</v>
      </c>
      <c r="U5220">
        <v>-0.18145749999999999</v>
      </c>
      <c r="V5220">
        <v>-2.022442E-2</v>
      </c>
      <c r="W5220">
        <v>1.6515879999999901E-3</v>
      </c>
      <c r="X5220">
        <v>0.99979410000000002</v>
      </c>
      <c r="Y5220">
        <v>-0.30401209999999901</v>
      </c>
      <c r="Z5220">
        <v>1.561152E-2</v>
      </c>
      <c r="AA5220">
        <v>0.95254030000000001</v>
      </c>
      <c r="AB5220">
        <v>18</v>
      </c>
      <c r="AC5220">
        <v>35.802500000000002</v>
      </c>
      <c r="AD5220">
        <v>-1.113366687321</v>
      </c>
      <c r="AE5220">
        <v>-2.0506899999999999</v>
      </c>
      <c r="AF5220">
        <v>-10.928528873437999</v>
      </c>
      <c r="AG5220">
        <v>-1.113366687321</v>
      </c>
      <c r="AH5220">
        <v>34.119144208150402</v>
      </c>
      <c r="AI5220">
        <v>91.779979186408397</v>
      </c>
      <c r="AJ5220">
        <v>107.760516690847</v>
      </c>
      <c r="AK5220">
        <v>35.843944121909502</v>
      </c>
      <c r="AL5220">
        <v>89.905370934957205</v>
      </c>
      <c r="AM5220">
        <v>91.158854500953197</v>
      </c>
      <c r="AN5220">
        <v>0.99999999865103395</v>
      </c>
    </row>
    <row r="5221" spans="1:40" x14ac:dyDescent="0.25">
      <c r="A5221" t="str">
        <f>"20190312161119595"</f>
        <v>20190312161119595</v>
      </c>
      <c r="B5221" t="str">
        <f>"1552378279582409"</f>
        <v>1552378279582409</v>
      </c>
      <c r="C5221" t="s">
        <v>40</v>
      </c>
      <c r="D5221">
        <v>6.0371290000000002</v>
      </c>
      <c r="E5221">
        <v>0.39865810000000002</v>
      </c>
      <c r="F5221" t="s">
        <v>97</v>
      </c>
      <c r="G5221">
        <v>-389.45859999999999</v>
      </c>
      <c r="H5221" s="1">
        <v>-3.3541750000000001E-7</v>
      </c>
      <c r="I5221">
        <v>19.170629999999999</v>
      </c>
      <c r="J5221">
        <v>-406.15309999999999</v>
      </c>
      <c r="K5221">
        <v>1.1133139999999999</v>
      </c>
      <c r="L5221">
        <v>20.38232</v>
      </c>
      <c r="M5221">
        <v>0.93526379999999998</v>
      </c>
      <c r="N5221">
        <v>0</v>
      </c>
      <c r="O5221">
        <v>-0.3536842</v>
      </c>
      <c r="P5221">
        <v>0.94223860000000004</v>
      </c>
      <c r="Q5221">
        <v>-1.1511449999999999E-2</v>
      </c>
      <c r="R5221">
        <v>-0.33474480000000001</v>
      </c>
      <c r="S5221">
        <v>3.1036069999999998</v>
      </c>
      <c r="T5221">
        <v>-0.20508129999999999</v>
      </c>
      <c r="U5221">
        <v>-0.23281859999999999</v>
      </c>
      <c r="V5221">
        <v>-2.019818E-2</v>
      </c>
      <c r="W5221">
        <v>2.1017219999999999E-3</v>
      </c>
      <c r="X5221">
        <v>0.99979379999999995</v>
      </c>
      <c r="Y5221">
        <v>-0.28141460000000001</v>
      </c>
      <c r="Z5221">
        <v>3.2123249999999999E-2</v>
      </c>
      <c r="AA5221">
        <v>0.95904840000000002</v>
      </c>
      <c r="AB5221">
        <v>18</v>
      </c>
      <c r="AC5221">
        <v>16.694500000000001</v>
      </c>
      <c r="AD5221">
        <v>-1.1133143354174999</v>
      </c>
      <c r="AE5221">
        <v>-1.2116899999999999</v>
      </c>
      <c r="AF5221">
        <v>-4.7507653118684798</v>
      </c>
      <c r="AG5221">
        <v>-1.1133143354174999</v>
      </c>
      <c r="AH5221">
        <v>15.973170244594099</v>
      </c>
      <c r="AI5221">
        <v>93.822067020337698</v>
      </c>
      <c r="AJ5221">
        <v>106.563613030855</v>
      </c>
      <c r="AK5221">
        <v>16.701838447329202</v>
      </c>
      <c r="AL5221">
        <v>89.8795801126155</v>
      </c>
      <c r="AM5221">
        <v>91.157351711538297</v>
      </c>
      <c r="AN5221">
        <v>1.0000000131145499</v>
      </c>
    </row>
    <row r="5222" spans="1:40" x14ac:dyDescent="0.25">
      <c r="A5222" t="str">
        <f>"20190312161119607"</f>
        <v>20190312161119607</v>
      </c>
      <c r="B5222" t="str">
        <f>"1552378279601925"</f>
        <v>1552378279601925</v>
      </c>
      <c r="C5222" t="s">
        <v>40</v>
      </c>
      <c r="D5222">
        <v>6.0895429999999999</v>
      </c>
      <c r="E5222">
        <v>0.3993041</v>
      </c>
      <c r="F5222" t="s">
        <v>41</v>
      </c>
      <c r="G5222">
        <v>-390.66120000000001</v>
      </c>
      <c r="H5222" s="1">
        <v>-4.4672619999999998E-6</v>
      </c>
      <c r="I5222">
        <v>19.208880000000001</v>
      </c>
      <c r="J5222">
        <v>-406.05579999999998</v>
      </c>
      <c r="K5222">
        <v>1.1132839999999999</v>
      </c>
      <c r="L5222">
        <v>20.34985</v>
      </c>
      <c r="M5222">
        <v>0.93649979999999999</v>
      </c>
      <c r="N5222">
        <v>0</v>
      </c>
      <c r="O5222">
        <v>-0.3503984</v>
      </c>
      <c r="P5222">
        <v>0.94335250000000004</v>
      </c>
      <c r="Q5222">
        <v>-1.184406E-2</v>
      </c>
      <c r="R5222">
        <v>-0.33158110000000002</v>
      </c>
      <c r="S5222">
        <v>3.097839</v>
      </c>
      <c r="T5222">
        <v>-0.2226253</v>
      </c>
      <c r="U5222">
        <v>-0.23464969999999999</v>
      </c>
      <c r="V5222">
        <v>-2.003897E-2</v>
      </c>
      <c r="W5222">
        <v>1.7641219999999999E-3</v>
      </c>
      <c r="X5222">
        <v>0.99979759999999995</v>
      </c>
      <c r="Y5222">
        <v>-0.2771209</v>
      </c>
      <c r="Z5222">
        <v>3.4551859999999997E-2</v>
      </c>
      <c r="AA5222">
        <v>0.9602136</v>
      </c>
      <c r="AB5222">
        <v>18</v>
      </c>
      <c r="AC5222">
        <v>15.394599999999899</v>
      </c>
      <c r="AD5222">
        <v>-1.113288467262</v>
      </c>
      <c r="AE5222">
        <v>-1.14097</v>
      </c>
      <c r="AF5222">
        <v>-4.3037496010760199</v>
      </c>
      <c r="AG5222">
        <v>-1.113288467262</v>
      </c>
      <c r="AH5222">
        <v>14.7415618066706</v>
      </c>
      <c r="AI5222">
        <v>94.146353355740402</v>
      </c>
      <c r="AJ5222">
        <v>106.274987833433</v>
      </c>
      <c r="AK5222">
        <v>15.397250285034399</v>
      </c>
      <c r="AL5222">
        <v>89.898923198050397</v>
      </c>
      <c r="AM5222">
        <v>91.148227099158007</v>
      </c>
      <c r="AN5222">
        <v>0.99999995670542496</v>
      </c>
    </row>
    <row r="5223" spans="1:40" x14ac:dyDescent="0.25">
      <c r="A5223" t="str">
        <f>"20190312161119626"</f>
        <v>20190312161119626</v>
      </c>
      <c r="B5223" t="str">
        <f>"1552378279622421"</f>
        <v>1552378279622421</v>
      </c>
      <c r="C5223" t="s">
        <v>40</v>
      </c>
      <c r="D5223">
        <v>6.0105300000000002</v>
      </c>
      <c r="E5223">
        <v>0.40020270000000002</v>
      </c>
      <c r="F5223" t="s">
        <v>41</v>
      </c>
      <c r="G5223">
        <v>-390.67439999999999</v>
      </c>
      <c r="H5223" s="1">
        <v>-4.4603679999999996E-6</v>
      </c>
      <c r="I5223">
        <v>19.212599999999998</v>
      </c>
      <c r="J5223">
        <v>-405.91840000000002</v>
      </c>
      <c r="K5223">
        <v>1.1132379999999999</v>
      </c>
      <c r="L5223">
        <v>20.304600000000001</v>
      </c>
      <c r="M5223">
        <v>0.93820650000000005</v>
      </c>
      <c r="N5223">
        <v>0</v>
      </c>
      <c r="O5223">
        <v>-0.34580319999999998</v>
      </c>
      <c r="P5223">
        <v>0.94465440000000001</v>
      </c>
      <c r="Q5223">
        <v>-1.142366E-2</v>
      </c>
      <c r="R5223">
        <v>-0.32786850000000001</v>
      </c>
      <c r="S5223">
        <v>3.0968930000000001</v>
      </c>
      <c r="T5223">
        <v>-0.22414890000000001</v>
      </c>
      <c r="U5223">
        <v>-0.22897339999999999</v>
      </c>
      <c r="V5223">
        <v>-1.9074020000000001E-2</v>
      </c>
      <c r="W5223">
        <v>2.1827840000000001E-3</v>
      </c>
      <c r="X5223">
        <v>0.99981569999999997</v>
      </c>
      <c r="Y5223">
        <v>-0.27413490000000001</v>
      </c>
      <c r="Z5223">
        <v>3.4381990000000001E-2</v>
      </c>
      <c r="AA5223">
        <v>0.96107640000000005</v>
      </c>
      <c r="AB5223">
        <v>18</v>
      </c>
      <c r="AC5223">
        <v>15.244</v>
      </c>
      <c r="AD5223">
        <v>-1.113242460368</v>
      </c>
      <c r="AE5223">
        <v>-1.0920000000000001</v>
      </c>
      <c r="AF5223">
        <v>-4.2248864477526897</v>
      </c>
      <c r="AG5223">
        <v>-1.113242460368</v>
      </c>
      <c r="AH5223">
        <v>14.603537422298199</v>
      </c>
      <c r="AI5223">
        <v>94.188183996999499</v>
      </c>
      <c r="AJ5223">
        <v>106.135457137709</v>
      </c>
      <c r="AK5223">
        <v>15.243105966844</v>
      </c>
      <c r="AL5223">
        <v>89.874935590946095</v>
      </c>
      <c r="AM5223">
        <v>91.092929717138205</v>
      </c>
      <c r="AN5223">
        <v>1.0000000083757199</v>
      </c>
    </row>
    <row r="5224" spans="1:40" x14ac:dyDescent="0.25">
      <c r="A5224" t="str">
        <f>"20190312161119650"</f>
        <v>20190312161119650</v>
      </c>
      <c r="B5224" t="str">
        <f>"1552378279641941"</f>
        <v>1552378279641941</v>
      </c>
      <c r="C5224" t="s">
        <v>40</v>
      </c>
      <c r="D5224">
        <v>6.0602450000000001</v>
      </c>
      <c r="E5224">
        <v>0.40111229999999998</v>
      </c>
      <c r="F5224" t="s">
        <v>41</v>
      </c>
      <c r="G5224">
        <v>-390.45209999999997</v>
      </c>
      <c r="H5224" s="1">
        <v>-4.5697800000000001E-6</v>
      </c>
      <c r="I5224">
        <v>19.188310000000001</v>
      </c>
      <c r="J5224">
        <v>-405.72770000000003</v>
      </c>
      <c r="K5224">
        <v>1.1131709999999999</v>
      </c>
      <c r="L5224">
        <v>20.243010000000002</v>
      </c>
      <c r="M5224">
        <v>0.94049389999999999</v>
      </c>
      <c r="N5224">
        <v>0</v>
      </c>
      <c r="O5224">
        <v>-0.33953339999999999</v>
      </c>
      <c r="P5224">
        <v>0.94655769999999995</v>
      </c>
      <c r="Q5224">
        <v>-1.1120990000000001E-2</v>
      </c>
      <c r="R5224">
        <v>-0.32234309999999899</v>
      </c>
      <c r="S5224">
        <v>3.09552</v>
      </c>
      <c r="T5224">
        <v>-0.22281090000000001</v>
      </c>
      <c r="U5224">
        <v>-0.22341920000000001</v>
      </c>
      <c r="V5224">
        <v>-1.824541E-2</v>
      </c>
      <c r="W5224">
        <v>2.4788990000000001E-3</v>
      </c>
      <c r="X5224">
        <v>0.99983049999999996</v>
      </c>
      <c r="Y5224">
        <v>-0.26944289999999999</v>
      </c>
      <c r="Z5224">
        <v>3.3602609999999998E-2</v>
      </c>
      <c r="AA5224">
        <v>0.96242989999999995</v>
      </c>
      <c r="AB5224">
        <v>18</v>
      </c>
      <c r="AC5224">
        <v>15.275600000000001</v>
      </c>
      <c r="AD5224">
        <v>-1.1131755697800001</v>
      </c>
      <c r="AE5224">
        <v>-1.0547</v>
      </c>
      <c r="AF5224">
        <v>-4.1729772397846698</v>
      </c>
      <c r="AG5224">
        <v>-1.1131755697800001</v>
      </c>
      <c r="AH5224">
        <v>14.6486790858013</v>
      </c>
      <c r="AI5224">
        <v>94.179970028124799</v>
      </c>
      <c r="AJ5224">
        <v>105.90069183955001</v>
      </c>
      <c r="AK5224">
        <v>15.272088850308201</v>
      </c>
      <c r="AL5224">
        <v>89.857969408874595</v>
      </c>
      <c r="AM5224">
        <v>91.045446174317405</v>
      </c>
      <c r="AN5224">
        <v>1.00000003432828</v>
      </c>
    </row>
    <row r="5225" spans="1:40" x14ac:dyDescent="0.25">
      <c r="A5225" t="str">
        <f>"20190312161119674"</f>
        <v>20190312161119674</v>
      </c>
      <c r="B5225" t="str">
        <f>"1552378279662438"</f>
        <v>1552378279662438</v>
      </c>
      <c r="C5225" t="s">
        <v>40</v>
      </c>
      <c r="D5225">
        <v>6.0671530000000002</v>
      </c>
      <c r="E5225">
        <v>0.40154469999999998</v>
      </c>
      <c r="F5225" t="s">
        <v>41</v>
      </c>
      <c r="G5225">
        <v>-390.2</v>
      </c>
      <c r="H5225" s="1">
        <v>-4.6907120000000002E-6</v>
      </c>
      <c r="I5225">
        <v>19.178290000000001</v>
      </c>
      <c r="J5225">
        <v>-405.55380000000002</v>
      </c>
      <c r="K5225">
        <v>1.113111</v>
      </c>
      <c r="L5225">
        <v>20.187899999999999</v>
      </c>
      <c r="M5225">
        <v>0.94250639999999997</v>
      </c>
      <c r="N5225">
        <v>0</v>
      </c>
      <c r="O5225">
        <v>-0.33390720000000002</v>
      </c>
      <c r="P5225">
        <v>0.94810899999999998</v>
      </c>
      <c r="Q5225">
        <v>-1.10177E-2</v>
      </c>
      <c r="R5225">
        <v>-0.31775569999999997</v>
      </c>
      <c r="S5225">
        <v>3.0945130000000001</v>
      </c>
      <c r="T5225">
        <v>-0.22184490000000001</v>
      </c>
      <c r="U5225">
        <v>-0.21218870000000001</v>
      </c>
      <c r="V5225">
        <v>-1.7113099999999899E-2</v>
      </c>
      <c r="W5225">
        <v>2.5790349999999999E-3</v>
      </c>
      <c r="X5225">
        <v>0.99985020000000002</v>
      </c>
      <c r="Y5225">
        <v>-0.2671731</v>
      </c>
      <c r="Z5225">
        <v>3.3013699999999903E-2</v>
      </c>
      <c r="AA5225">
        <v>0.96308289999999996</v>
      </c>
      <c r="AB5225">
        <v>18</v>
      </c>
      <c r="AC5225">
        <v>15.3538</v>
      </c>
      <c r="AD5225">
        <v>-1.1131156907119999</v>
      </c>
      <c r="AE5225">
        <v>-1.0096099999999899</v>
      </c>
      <c r="AF5225">
        <v>-4.1538340783959402</v>
      </c>
      <c r="AG5225">
        <v>-1.1131156907119999</v>
      </c>
      <c r="AH5225">
        <v>14.732461229342899</v>
      </c>
      <c r="AI5225">
        <v>94.159232757281501</v>
      </c>
      <c r="AJ5225">
        <v>105.745858046205</v>
      </c>
      <c r="AK5225">
        <v>15.3472726556168</v>
      </c>
      <c r="AL5225">
        <v>89.8522320104518</v>
      </c>
      <c r="AM5225">
        <v>90.980559563710798</v>
      </c>
      <c r="AN5225">
        <v>0.99999996602659003</v>
      </c>
    </row>
    <row r="5226" spans="1:40" x14ac:dyDescent="0.25">
      <c r="A5226" t="str">
        <f>"20190312161119694"</f>
        <v>20190312161119694</v>
      </c>
      <c r="B5226" t="str">
        <f>"1552378279681972"</f>
        <v>1552378279681972</v>
      </c>
      <c r="C5226" t="s">
        <v>40</v>
      </c>
      <c r="D5226">
        <v>6.0574009999999996</v>
      </c>
      <c r="E5226">
        <v>0.4021825</v>
      </c>
      <c r="F5226" t="s">
        <v>97</v>
      </c>
      <c r="G5226">
        <v>-389.9393</v>
      </c>
      <c r="H5226" s="1">
        <v>-1.408581E-7</v>
      </c>
      <c r="I5226">
        <v>19.176169999999999</v>
      </c>
      <c r="J5226">
        <v>-405.39260000000002</v>
      </c>
      <c r="K5226">
        <v>1.113059</v>
      </c>
      <c r="L5226">
        <v>20.13766</v>
      </c>
      <c r="M5226">
        <v>0.94430820000000004</v>
      </c>
      <c r="N5226">
        <v>0</v>
      </c>
      <c r="O5226">
        <v>-0.32877679999999998</v>
      </c>
      <c r="P5226">
        <v>0.94947760000000003</v>
      </c>
      <c r="Q5226">
        <v>-1.096956E-2</v>
      </c>
      <c r="R5226">
        <v>-0.31364340000000002</v>
      </c>
      <c r="S5226">
        <v>3.0944210000000001</v>
      </c>
      <c r="T5226">
        <v>-0.22059229999999999</v>
      </c>
      <c r="U5226">
        <v>-0.2005005</v>
      </c>
      <c r="V5226">
        <v>-1.6009369999999998E-2</v>
      </c>
      <c r="W5226">
        <v>2.6243339999999999E-3</v>
      </c>
      <c r="X5226">
        <v>0.99986839999999999</v>
      </c>
      <c r="Y5226">
        <v>-0.26558589999999999</v>
      </c>
      <c r="Z5226">
        <v>3.243364E-2</v>
      </c>
      <c r="AA5226">
        <v>0.96354150000000005</v>
      </c>
      <c r="AB5226">
        <v>18</v>
      </c>
      <c r="AC5226">
        <v>15.4533</v>
      </c>
      <c r="AD5226">
        <v>-1.1130591408581001</v>
      </c>
      <c r="AE5226">
        <v>-0.96148999999999696</v>
      </c>
      <c r="AF5226">
        <v>-4.1516800283817696</v>
      </c>
      <c r="AG5226">
        <v>-1.1130591408581001</v>
      </c>
      <c r="AH5226">
        <v>14.8335353734925</v>
      </c>
      <c r="AI5226">
        <v>94.132996871254093</v>
      </c>
      <c r="AJ5226">
        <v>105.63612188520599</v>
      </c>
      <c r="AK5226">
        <v>15.443740459673799</v>
      </c>
      <c r="AL5226">
        <v>89.849636565500504</v>
      </c>
      <c r="AM5226">
        <v>90.917311677950806</v>
      </c>
      <c r="AN5226">
        <v>1.0000000021876501</v>
      </c>
    </row>
    <row r="5227" spans="1:40" x14ac:dyDescent="0.25">
      <c r="A5227" t="str">
        <f>"20190312161119708"</f>
        <v>20190312161119708</v>
      </c>
      <c r="B5227" t="str">
        <f>"1552378279702453"</f>
        <v>1552378279702453</v>
      </c>
      <c r="C5227" t="s">
        <v>40</v>
      </c>
      <c r="D5227">
        <v>6.0686910000000003</v>
      </c>
      <c r="E5227">
        <v>0.40289399999999997</v>
      </c>
      <c r="F5227" t="s">
        <v>97</v>
      </c>
      <c r="G5227">
        <v>-389.81349999999998</v>
      </c>
      <c r="H5227" s="1">
        <v>-1.9045720000000001E-7</v>
      </c>
      <c r="I5227">
        <v>19.171330000000001</v>
      </c>
      <c r="J5227">
        <v>-405.28989999999999</v>
      </c>
      <c r="K5227">
        <v>1.113022</v>
      </c>
      <c r="L5227">
        <v>20.106110000000001</v>
      </c>
      <c r="M5227">
        <v>0.94542409999999999</v>
      </c>
      <c r="N5227">
        <v>0</v>
      </c>
      <c r="O5227">
        <v>-0.32555450000000002</v>
      </c>
      <c r="P5227">
        <v>0.95038999999999996</v>
      </c>
      <c r="Q5227">
        <v>-1.099693E-2</v>
      </c>
      <c r="R5227">
        <v>-0.31086629999999998</v>
      </c>
      <c r="S5227">
        <v>3.0936889999999999</v>
      </c>
      <c r="T5227">
        <v>-0.2210308</v>
      </c>
      <c r="U5227">
        <v>-0.1918945</v>
      </c>
      <c r="V5227">
        <v>-1.552211E-2</v>
      </c>
      <c r="W5227">
        <v>2.59334E-3</v>
      </c>
      <c r="X5227">
        <v>0.99987610000000005</v>
      </c>
      <c r="Y5227">
        <v>-0.26495610000000003</v>
      </c>
      <c r="Z5227">
        <v>3.2270210000000001E-2</v>
      </c>
      <c r="AA5227">
        <v>0.96372029999999997</v>
      </c>
      <c r="AB5227">
        <v>18</v>
      </c>
      <c r="AC5227">
        <v>15.4764</v>
      </c>
      <c r="AD5227">
        <v>-1.1130221904572</v>
      </c>
      <c r="AE5227">
        <v>-0.93478000000000305</v>
      </c>
      <c r="AF5227">
        <v>-4.1337353385806503</v>
      </c>
      <c r="AG5227">
        <v>-1.1130221904572</v>
      </c>
      <c r="AH5227">
        <v>14.8609012935925</v>
      </c>
      <c r="AI5227">
        <v>94.127109858329007</v>
      </c>
      <c r="AJ5227">
        <v>105.544536710572</v>
      </c>
      <c r="AK5227">
        <v>15.46521818481</v>
      </c>
      <c r="AL5227">
        <v>89.851412387441798</v>
      </c>
      <c r="AM5227">
        <v>90.889390154645099</v>
      </c>
      <c r="AN5227">
        <v>0.99999993833120604</v>
      </c>
    </row>
    <row r="5228" spans="1:40" x14ac:dyDescent="0.25">
      <c r="A5228" t="str">
        <f>"20190312161119727"</f>
        <v>20190312161119727</v>
      </c>
      <c r="B5228" t="str">
        <f>"1552378279722572"</f>
        <v>1552378279722572</v>
      </c>
      <c r="C5228" t="s">
        <v>40</v>
      </c>
      <c r="D5228">
        <v>6.047472</v>
      </c>
      <c r="E5228">
        <v>0.40355400000000002</v>
      </c>
      <c r="F5228" t="s">
        <v>97</v>
      </c>
      <c r="G5228">
        <v>-389.9162</v>
      </c>
      <c r="H5228" s="1">
        <v>-1.511716E-7</v>
      </c>
      <c r="I5228">
        <v>19.17079</v>
      </c>
      <c r="J5228">
        <v>-405.14699999999999</v>
      </c>
      <c r="K5228">
        <v>1.112976</v>
      </c>
      <c r="L5228">
        <v>20.06277</v>
      </c>
      <c r="M5228">
        <v>0.94693320000000003</v>
      </c>
      <c r="N5228">
        <v>0</v>
      </c>
      <c r="O5228">
        <v>-0.32113920000000001</v>
      </c>
      <c r="P5228">
        <v>0.95152619999999999</v>
      </c>
      <c r="Q5228">
        <v>-1.144533E-2</v>
      </c>
      <c r="R5228">
        <v>-0.30735499999999999</v>
      </c>
      <c r="S5228">
        <v>3.0924680000000002</v>
      </c>
      <c r="T5228">
        <v>-0.2238877</v>
      </c>
      <c r="U5228">
        <v>-0.1881409</v>
      </c>
      <c r="V5228">
        <v>-1.454281E-2</v>
      </c>
      <c r="W5228">
        <v>2.1422530000000002E-3</v>
      </c>
      <c r="X5228">
        <v>0.99989189999999994</v>
      </c>
      <c r="Y5228">
        <v>-0.26157819999999998</v>
      </c>
      <c r="Z5228">
        <v>3.2275690000000003E-2</v>
      </c>
      <c r="AA5228">
        <v>0.96464249999999996</v>
      </c>
      <c r="AB5228">
        <v>18</v>
      </c>
      <c r="AC5228">
        <v>15.230799999999901</v>
      </c>
      <c r="AD5228">
        <v>-1.1129761511716001</v>
      </c>
      <c r="AE5228">
        <v>-0.89198</v>
      </c>
      <c r="AF5228">
        <v>-4.02551806639788</v>
      </c>
      <c r="AG5228">
        <v>-1.1129761511716001</v>
      </c>
      <c r="AH5228">
        <v>14.632508525900001</v>
      </c>
      <c r="AI5228">
        <v>94.194406286220797</v>
      </c>
      <c r="AJ5228">
        <v>105.38199636761701</v>
      </c>
      <c r="AK5228">
        <v>15.2168925006556</v>
      </c>
      <c r="AL5228">
        <v>89.877257844078599</v>
      </c>
      <c r="AM5228">
        <v>90.833272965141603</v>
      </c>
      <c r="AN5228">
        <v>0.99999994712810902</v>
      </c>
    </row>
    <row r="5229" spans="1:40" x14ac:dyDescent="0.25">
      <c r="A5229" t="str">
        <f>"20190312161119740"</f>
        <v>20190312161119740</v>
      </c>
      <c r="B5229" t="str">
        <f>"1552378279732321"</f>
        <v>1552378279732321</v>
      </c>
      <c r="C5229" t="s">
        <v>40</v>
      </c>
      <c r="D5229">
        <v>6.0741809999999896</v>
      </c>
      <c r="E5229">
        <v>0.40337279999999998</v>
      </c>
      <c r="F5229" t="s">
        <v>97</v>
      </c>
      <c r="G5229">
        <v>-389.87549999999999</v>
      </c>
      <c r="H5229" s="1">
        <v>-1.684172E-7</v>
      </c>
      <c r="I5229">
        <v>19.164709999999999</v>
      </c>
      <c r="J5229">
        <v>-405.0403</v>
      </c>
      <c r="K5229">
        <v>1.112927</v>
      </c>
      <c r="L5229">
        <v>20.030850000000001</v>
      </c>
      <c r="M5229">
        <v>0.94802580000000003</v>
      </c>
      <c r="N5229">
        <v>0</v>
      </c>
      <c r="O5229">
        <v>-0.31789970000000001</v>
      </c>
      <c r="P5229">
        <v>0.95253750000000004</v>
      </c>
      <c r="Q5229">
        <v>-1.138488E-2</v>
      </c>
      <c r="R5229">
        <v>-0.30420930000000002</v>
      </c>
      <c r="S5229">
        <v>3.09137</v>
      </c>
      <c r="T5229">
        <v>-0.22529669999999999</v>
      </c>
      <c r="U5229">
        <v>-0.18179319999999999</v>
      </c>
      <c r="V5229">
        <v>-1.4428379999999999E-2</v>
      </c>
      <c r="W5229">
        <v>2.1961350000000001E-3</v>
      </c>
      <c r="X5229">
        <v>0.99989349999999999</v>
      </c>
      <c r="Y5229">
        <v>-0.26022309999999998</v>
      </c>
      <c r="Z5229">
        <v>3.221972E-2</v>
      </c>
      <c r="AA5229">
        <v>0.96501079999999995</v>
      </c>
      <c r="AB5229">
        <v>18</v>
      </c>
      <c r="AC5229">
        <v>15.1648</v>
      </c>
      <c r="AD5229">
        <v>-1.1129271684172</v>
      </c>
      <c r="AE5229">
        <v>-0.86614000000000102</v>
      </c>
      <c r="AF5229">
        <v>-3.9787763574096999</v>
      </c>
      <c r="AG5229">
        <v>-1.1129271684172</v>
      </c>
      <c r="AH5229">
        <v>14.575091378394401</v>
      </c>
      <c r="AI5229">
        <v>94.212957034667596</v>
      </c>
      <c r="AJ5229">
        <v>105.268844024573</v>
      </c>
      <c r="AK5229">
        <v>15.149341796692999</v>
      </c>
      <c r="AL5229">
        <v>89.874170632899293</v>
      </c>
      <c r="AM5229">
        <v>90.826715953469304</v>
      </c>
      <c r="AN5229">
        <v>1.0000000062503001</v>
      </c>
    </row>
    <row r="5230" spans="1:40" x14ac:dyDescent="0.25">
      <c r="A5230" t="str">
        <f>"20190312161119752"</f>
        <v>20190312161119752</v>
      </c>
      <c r="B5230" t="str">
        <f>"1552378279742081"</f>
        <v>1552378279742081</v>
      </c>
      <c r="C5230" t="s">
        <v>40</v>
      </c>
      <c r="D5230">
        <v>6.0666799999999999</v>
      </c>
      <c r="E5230">
        <v>0.40337279999999998</v>
      </c>
      <c r="F5230" t="s">
        <v>97</v>
      </c>
      <c r="G5230">
        <v>-389.7645</v>
      </c>
      <c r="H5230" s="1">
        <v>-2.0425919999999999E-7</v>
      </c>
      <c r="I5230">
        <v>19.19013</v>
      </c>
      <c r="J5230">
        <v>-404.9486</v>
      </c>
      <c r="K5230">
        <v>1.112889</v>
      </c>
      <c r="L5230">
        <v>20.003689999999999</v>
      </c>
      <c r="M5230">
        <v>0.94894330000000005</v>
      </c>
      <c r="N5230">
        <v>0</v>
      </c>
      <c r="O5230">
        <v>-0.31515029999999999</v>
      </c>
      <c r="P5230">
        <v>0.95331980000000005</v>
      </c>
      <c r="Q5230">
        <v>-1.156859E-2</v>
      </c>
      <c r="R5230">
        <v>-0.30174119999999999</v>
      </c>
      <c r="S5230">
        <v>3.092438</v>
      </c>
      <c r="T5230">
        <v>-0.2253011</v>
      </c>
      <c r="U5230">
        <v>-0.1701965</v>
      </c>
      <c r="V5230">
        <v>-1.4118E-2</v>
      </c>
      <c r="W5230">
        <v>2.0082619999999998E-3</v>
      </c>
      <c r="X5230">
        <v>0.99989830000000002</v>
      </c>
      <c r="Y5230">
        <v>-0.26105679999999998</v>
      </c>
      <c r="Z5230">
        <v>3.2055569999999999E-2</v>
      </c>
      <c r="AA5230">
        <v>0.96479110000000001</v>
      </c>
      <c r="AB5230">
        <v>18</v>
      </c>
      <c r="AC5230">
        <v>15.184100000000001</v>
      </c>
      <c r="AD5230">
        <v>-1.1128892042592</v>
      </c>
      <c r="AE5230">
        <v>-0.81355999999999895</v>
      </c>
      <c r="AF5230">
        <v>-3.9922420260243401</v>
      </c>
      <c r="AG5230">
        <v>-1.1128892042592</v>
      </c>
      <c r="AH5230">
        <v>14.588471227299699</v>
      </c>
      <c r="AI5230">
        <v>94.208246544452805</v>
      </c>
      <c r="AJ5230">
        <v>105.30470593110699</v>
      </c>
      <c r="AK5230">
        <v>15.1657512680731</v>
      </c>
      <c r="AL5230">
        <v>89.884934983676501</v>
      </c>
      <c r="AM5230">
        <v>90.808930335999904</v>
      </c>
      <c r="AN5230">
        <v>0.99999998069157503</v>
      </c>
    </row>
    <row r="5231" spans="1:40" x14ac:dyDescent="0.25">
      <c r="A5231" t="str">
        <f>"20190312161119773"</f>
        <v>20190312161119773</v>
      </c>
      <c r="B5231" t="str">
        <f>"1552378279762580"</f>
        <v>1552378279762580</v>
      </c>
      <c r="C5231" t="s">
        <v>40</v>
      </c>
      <c r="D5231">
        <v>5.982056</v>
      </c>
      <c r="E5231">
        <v>0.3936982</v>
      </c>
      <c r="F5231" t="s">
        <v>97</v>
      </c>
      <c r="G5231">
        <v>-389.69389999999999</v>
      </c>
      <c r="H5231" s="1">
        <v>-2.277042E-7</v>
      </c>
      <c r="I5231">
        <v>19.203980000000001</v>
      </c>
      <c r="J5231">
        <v>-404.79109999999997</v>
      </c>
      <c r="K5231">
        <v>1.112819</v>
      </c>
      <c r="L5231">
        <v>19.957609999999999</v>
      </c>
      <c r="M5231">
        <v>0.95047610000000005</v>
      </c>
      <c r="N5231">
        <v>0</v>
      </c>
      <c r="O5231">
        <v>-0.31049769999999999</v>
      </c>
      <c r="P5231">
        <v>0.95482160000000005</v>
      </c>
      <c r="Q5231">
        <v>-1.1717E-2</v>
      </c>
      <c r="R5231">
        <v>-0.29694860000000001</v>
      </c>
      <c r="S5231">
        <v>3.0928650000000002</v>
      </c>
      <c r="T5231">
        <v>-0.2256359</v>
      </c>
      <c r="U5231">
        <v>-0.162139899999999</v>
      </c>
      <c r="V5231">
        <v>-1.4240060000000001E-2</v>
      </c>
      <c r="W5231">
        <v>1.847568E-3</v>
      </c>
      <c r="X5231">
        <v>0.99989689999999998</v>
      </c>
      <c r="Y5231">
        <v>-0.2588548</v>
      </c>
      <c r="Z5231">
        <v>3.1699209999999998E-2</v>
      </c>
      <c r="AA5231">
        <v>0.96539589999999997</v>
      </c>
      <c r="AB5231">
        <v>18</v>
      </c>
      <c r="AC5231">
        <v>15.0971999999999</v>
      </c>
      <c r="AD5231">
        <v>-1.1128192277041999</v>
      </c>
      <c r="AE5231">
        <v>-0.75363000000000102</v>
      </c>
      <c r="AF5231">
        <v>-3.9502992248488402</v>
      </c>
      <c r="AG5231">
        <v>-1.1128192277041999</v>
      </c>
      <c r="AH5231">
        <v>14.5062675766744</v>
      </c>
      <c r="AI5231">
        <v>94.233178448588703</v>
      </c>
      <c r="AJ5231">
        <v>105.23322206429199</v>
      </c>
      <c r="AK5231">
        <v>15.075643588433101</v>
      </c>
      <c r="AL5231">
        <v>89.894142091194396</v>
      </c>
      <c r="AM5231">
        <v>90.815924306249599</v>
      </c>
      <c r="AN5231">
        <v>1.00000000172296</v>
      </c>
    </row>
    <row r="5232" spans="1:40" x14ac:dyDescent="0.25">
      <c r="A5232" t="str">
        <f>"20190312161119794"</f>
        <v>20190312161119794</v>
      </c>
      <c r="B5232" t="str">
        <f>"1552378279792832"</f>
        <v>1552378279792832</v>
      </c>
      <c r="C5232" t="s">
        <v>40</v>
      </c>
      <c r="D5232">
        <v>6.1023709999999998</v>
      </c>
      <c r="E5232">
        <v>0.39640920000000002</v>
      </c>
      <c r="F5232" t="s">
        <v>97</v>
      </c>
      <c r="G5232">
        <v>-385.38170000000002</v>
      </c>
      <c r="H5232" s="1">
        <v>-2.2056839999999999E-6</v>
      </c>
      <c r="I5232">
        <v>19.491379999999999</v>
      </c>
      <c r="J5232">
        <v>-404.62880000000001</v>
      </c>
      <c r="K5232">
        <v>1.1127370000000001</v>
      </c>
      <c r="L5232">
        <v>19.910830000000001</v>
      </c>
      <c r="M5232">
        <v>0.95199440000000002</v>
      </c>
      <c r="N5232">
        <v>0</v>
      </c>
      <c r="O5232">
        <v>-0.30581190000000003</v>
      </c>
      <c r="P5232">
        <v>0.95628469999999999</v>
      </c>
      <c r="Q5232">
        <v>-1.195181E-2</v>
      </c>
      <c r="R5232">
        <v>-0.29219319999999999</v>
      </c>
      <c r="S5232">
        <v>3.1164860000000001</v>
      </c>
      <c r="T5232">
        <v>-0.17868139999999999</v>
      </c>
      <c r="U5232">
        <v>-7.4859620000000002E-2</v>
      </c>
      <c r="V5232">
        <v>-1.428775E-2</v>
      </c>
      <c r="W5232">
        <v>1.6015210000000001E-3</v>
      </c>
      <c r="X5232">
        <v>0.99989660000000002</v>
      </c>
      <c r="Y5232">
        <v>-0.28193859999999998</v>
      </c>
      <c r="Z5232">
        <v>2.536159E-2</v>
      </c>
      <c r="AA5232">
        <v>0.95909719999999998</v>
      </c>
      <c r="AB5232">
        <v>18</v>
      </c>
      <c r="AC5232">
        <v>19.2470999999999</v>
      </c>
      <c r="AD5232">
        <v>-1.112739205684</v>
      </c>
      <c r="AE5232">
        <v>-0.41944999999999699</v>
      </c>
      <c r="AF5232">
        <v>-5.46891726248605</v>
      </c>
      <c r="AG5232">
        <v>-1.112739205684</v>
      </c>
      <c r="AH5232">
        <v>18.391675240924702</v>
      </c>
      <c r="AI5232">
        <v>93.3190204401876</v>
      </c>
      <c r="AJ5232">
        <v>106.56028262036099</v>
      </c>
      <c r="AK5232">
        <v>19.219806521696</v>
      </c>
      <c r="AL5232">
        <v>89.908239562789504</v>
      </c>
      <c r="AM5232">
        <v>90.818656713308698</v>
      </c>
      <c r="AN5232">
        <v>0.99999995768056704</v>
      </c>
    </row>
    <row r="5233" spans="1:40" x14ac:dyDescent="0.25">
      <c r="A5233" t="str">
        <f>"20190312161119827"</f>
        <v>20190312161119827</v>
      </c>
      <c r="B5233" t="str">
        <f>"1552378279822744"</f>
        <v>1552378279822744</v>
      </c>
      <c r="C5233" t="s">
        <v>40</v>
      </c>
      <c r="D5233">
        <v>6.1001859999999999</v>
      </c>
      <c r="E5233">
        <v>0.39449279999999998</v>
      </c>
      <c r="F5233" t="s">
        <v>97</v>
      </c>
      <c r="G5233">
        <v>-387.44740000000002</v>
      </c>
      <c r="H5233" s="1">
        <v>-1.232413E-6</v>
      </c>
      <c r="I5233">
        <v>19.473389999999998</v>
      </c>
      <c r="J5233">
        <v>-404.37810000000002</v>
      </c>
      <c r="K5233">
        <v>1.1126149999999999</v>
      </c>
      <c r="L5233">
        <v>19.839970000000001</v>
      </c>
      <c r="M5233">
        <v>0.95421929999999999</v>
      </c>
      <c r="N5233">
        <v>0</v>
      </c>
      <c r="O5233">
        <v>-0.29879800000000001</v>
      </c>
      <c r="P5233">
        <v>0.95824039999999999</v>
      </c>
      <c r="Q5233">
        <v>-1.2575950000000001E-2</v>
      </c>
      <c r="R5233">
        <v>-0.28568739999999998</v>
      </c>
      <c r="S5233">
        <v>3.110474</v>
      </c>
      <c r="T5233">
        <v>-0.20144799999999999</v>
      </c>
      <c r="U5233">
        <v>-7.9193120000000006E-2</v>
      </c>
      <c r="V5233">
        <v>-1.371847E-2</v>
      </c>
      <c r="W5233">
        <v>9.6351300000000004E-4</v>
      </c>
      <c r="X5233">
        <v>0.99990540000000006</v>
      </c>
      <c r="Y5233">
        <v>-0.27325909999999998</v>
      </c>
      <c r="Z5233">
        <v>2.7923429999999999E-2</v>
      </c>
      <c r="AA5233">
        <v>0.96153509999999998</v>
      </c>
      <c r="AB5233">
        <v>18</v>
      </c>
      <c r="AC5233">
        <v>16.930700000000002</v>
      </c>
      <c r="AD5233">
        <v>-1.112616232413</v>
      </c>
      <c r="AE5233">
        <v>-0.36658000000000202</v>
      </c>
      <c r="AF5233">
        <v>-4.6892564627556501</v>
      </c>
      <c r="AG5233">
        <v>-1.112616232413</v>
      </c>
      <c r="AH5233">
        <v>16.196727023444701</v>
      </c>
      <c r="AI5233">
        <v>93.775138168382796</v>
      </c>
      <c r="AJ5233">
        <v>106.146722176225</v>
      </c>
      <c r="AK5233">
        <v>16.898550450441299</v>
      </c>
      <c r="AL5233">
        <v>89.944794761222894</v>
      </c>
      <c r="AM5233">
        <v>90.786035479455606</v>
      </c>
      <c r="AN5233">
        <v>0.99999996686280002</v>
      </c>
    </row>
    <row r="5234" spans="1:40" x14ac:dyDescent="0.25">
      <c r="A5234" t="str">
        <f>"20190312161119843"</f>
        <v>20190312161119843</v>
      </c>
      <c r="B5234" t="str">
        <f>"1552378279832479"</f>
        <v>1552378279832479</v>
      </c>
      <c r="C5234" t="s">
        <v>40</v>
      </c>
      <c r="D5234">
        <v>6.112444</v>
      </c>
      <c r="E5234">
        <v>0.3945166</v>
      </c>
      <c r="F5234" t="s">
        <v>97</v>
      </c>
      <c r="G5234">
        <v>-384.16980000000001</v>
      </c>
      <c r="H5234" s="1">
        <v>-2.7680200000000001E-6</v>
      </c>
      <c r="I5234">
        <v>19.550940000000001</v>
      </c>
      <c r="J5234">
        <v>-404.2552</v>
      </c>
      <c r="K5234">
        <v>1.1125609999999999</v>
      </c>
      <c r="L5234">
        <v>19.805789999999998</v>
      </c>
      <c r="M5234">
        <v>0.95525870000000002</v>
      </c>
      <c r="N5234">
        <v>0</v>
      </c>
      <c r="O5234">
        <v>-0.29545860000000002</v>
      </c>
      <c r="P5234">
        <v>0.95918689999999995</v>
      </c>
      <c r="Q5234">
        <v>-1.30817E-2</v>
      </c>
      <c r="R5234">
        <v>-0.28247040000000001</v>
      </c>
      <c r="S5234">
        <v>3.1152039999999999</v>
      </c>
      <c r="T5234">
        <v>-0.17151469999999999</v>
      </c>
      <c r="U5234">
        <v>-4.4555659999999997E-2</v>
      </c>
      <c r="V5234">
        <v>-1.357162E-2</v>
      </c>
      <c r="W5234">
        <v>4.5043630000000002E-4</v>
      </c>
      <c r="X5234">
        <v>0.99990780000000001</v>
      </c>
      <c r="Y5234">
        <v>-0.2809315</v>
      </c>
      <c r="Z5234">
        <v>2.3788630000000002E-2</v>
      </c>
      <c r="AA5234">
        <v>0.95943299999999998</v>
      </c>
      <c r="AB5234">
        <v>18</v>
      </c>
      <c r="AC5234">
        <v>20.0854</v>
      </c>
      <c r="AD5234">
        <v>-1.11256376802</v>
      </c>
      <c r="AE5234">
        <v>-0.25484999999999702</v>
      </c>
      <c r="AF5234">
        <v>-5.6740764546253004</v>
      </c>
      <c r="AG5234">
        <v>-1.11256376802</v>
      </c>
      <c r="AH5234">
        <v>19.204917263939201</v>
      </c>
      <c r="AI5234">
        <v>93.179919559111497</v>
      </c>
      <c r="AJ5234">
        <v>106.459730420299</v>
      </c>
      <c r="AK5234">
        <v>20.056465014194099</v>
      </c>
      <c r="AL5234">
        <v>89.974191900201106</v>
      </c>
      <c r="AM5234">
        <v>90.777620498694901</v>
      </c>
      <c r="AN5234">
        <v>1.0000000001315601</v>
      </c>
    </row>
    <row r="5235" spans="1:40" x14ac:dyDescent="0.25">
      <c r="A5235" t="str">
        <f>"20190312161119885"</f>
        <v>20190312161119885</v>
      </c>
      <c r="B5235" t="str">
        <f>"1552378279872494"</f>
        <v>1552378279872494</v>
      </c>
      <c r="C5235" t="s">
        <v>40</v>
      </c>
      <c r="D5235">
        <v>6.052702</v>
      </c>
      <c r="E5235">
        <v>0.39490570000000003</v>
      </c>
      <c r="F5235" t="s">
        <v>97</v>
      </c>
      <c r="G5235">
        <v>-383.35640000000001</v>
      </c>
      <c r="H5235" s="1">
        <v>-3.1485079999999998E-6</v>
      </c>
      <c r="I5235">
        <v>19.573619999999998</v>
      </c>
      <c r="J5235">
        <v>-403.94220000000001</v>
      </c>
      <c r="K5235">
        <v>1.112425</v>
      </c>
      <c r="L5235">
        <v>19.720490000000002</v>
      </c>
      <c r="M5235">
        <v>0.95774879999999996</v>
      </c>
      <c r="N5235">
        <v>0</v>
      </c>
      <c r="O5235">
        <v>-0.28728500000000001</v>
      </c>
      <c r="P5235">
        <v>0.96119399999999999</v>
      </c>
      <c r="Q5235">
        <v>-1.265469E-2</v>
      </c>
      <c r="R5235">
        <v>-0.27558260000000001</v>
      </c>
      <c r="S5235">
        <v>3.115173</v>
      </c>
      <c r="T5235">
        <v>-0.16583800000000001</v>
      </c>
      <c r="U5235">
        <v>-3.4606930000000001E-2</v>
      </c>
      <c r="V5235">
        <v>-1.2203210000000001E-2</v>
      </c>
      <c r="W5235">
        <v>8.6290039999999905E-4</v>
      </c>
      <c r="X5235">
        <v>0.99992510000000001</v>
      </c>
      <c r="Y5235">
        <v>-0.27586579999999999</v>
      </c>
      <c r="Z5235">
        <v>2.2450640000000001E-2</v>
      </c>
      <c r="AA5235">
        <v>0.96093399999999995</v>
      </c>
      <c r="AB5235">
        <v>18</v>
      </c>
      <c r="AC5235">
        <v>20.585799999999999</v>
      </c>
      <c r="AD5235">
        <v>-1.1124281485079901</v>
      </c>
      <c r="AE5235">
        <v>-0.146869999999996</v>
      </c>
      <c r="AF5235">
        <v>-5.7570491189084398</v>
      </c>
      <c r="AG5235">
        <v>-1.1124281485079901</v>
      </c>
      <c r="AH5235">
        <v>19.702510591566</v>
      </c>
      <c r="AI5235">
        <v>93.102111854805997</v>
      </c>
      <c r="AJ5235">
        <v>106.288297112802</v>
      </c>
      <c r="AK5235">
        <v>20.556508325926501</v>
      </c>
      <c r="AL5235">
        <v>89.950559439554596</v>
      </c>
      <c r="AM5235">
        <v>90.6992100907256</v>
      </c>
      <c r="AN5235">
        <v>0.99999993427070499</v>
      </c>
    </row>
    <row r="5236" spans="1:40" x14ac:dyDescent="0.25">
      <c r="A5236" t="str">
        <f>"20190312161119909"</f>
        <v>20190312161119909</v>
      </c>
      <c r="B5236" t="str">
        <f>"1552378279902750"</f>
        <v>1552378279902750</v>
      </c>
      <c r="C5236" t="s">
        <v>40</v>
      </c>
      <c r="D5236">
        <v>6.0951500000000003</v>
      </c>
      <c r="E5236">
        <v>0.39651819999999999</v>
      </c>
      <c r="F5236" t="s">
        <v>97</v>
      </c>
      <c r="G5236">
        <v>-381.19779999999997</v>
      </c>
      <c r="H5236" s="1">
        <v>-4.163369E-6</v>
      </c>
      <c r="I5236">
        <v>19.604610000000001</v>
      </c>
      <c r="J5236">
        <v>-403.7525</v>
      </c>
      <c r="K5236">
        <v>1.1123209999999999</v>
      </c>
      <c r="L5236">
        <v>19.66995</v>
      </c>
      <c r="M5236">
        <v>0.95914529999999998</v>
      </c>
      <c r="N5236">
        <v>0</v>
      </c>
      <c r="O5236">
        <v>-0.28258909999999998</v>
      </c>
      <c r="P5236">
        <v>0.96230280000000001</v>
      </c>
      <c r="Q5236">
        <v>-1.293733E-2</v>
      </c>
      <c r="R5236">
        <v>-0.27167289999999999</v>
      </c>
      <c r="S5236">
        <v>3.114563</v>
      </c>
      <c r="T5236">
        <v>-0.15233329999999901</v>
      </c>
      <c r="U5236">
        <v>-1.586914E-2</v>
      </c>
      <c r="V5236">
        <v>-1.136595E-2</v>
      </c>
      <c r="W5236">
        <v>5.7107619999999997E-4</v>
      </c>
      <c r="X5236">
        <v>0.99993529999999997</v>
      </c>
      <c r="Y5236">
        <v>-0.27706229999999998</v>
      </c>
      <c r="Z5236">
        <v>2.0439539999999999E-2</v>
      </c>
      <c r="AA5236">
        <v>0.96063449999999995</v>
      </c>
      <c r="AB5236">
        <v>18</v>
      </c>
      <c r="AC5236">
        <v>22.5547</v>
      </c>
      <c r="AD5236">
        <v>-1.1123251633689999</v>
      </c>
      <c r="AE5236">
        <v>-6.5339999999998996E-2</v>
      </c>
      <c r="AF5236">
        <v>-6.2963081460158703</v>
      </c>
      <c r="AG5236">
        <v>-1.1123251633689999</v>
      </c>
      <c r="AH5236">
        <v>21.601151103012501</v>
      </c>
      <c r="AI5236">
        <v>92.830199607030096</v>
      </c>
      <c r="AJ5236">
        <v>106.250358807083</v>
      </c>
      <c r="AK5236">
        <v>22.5275496340332</v>
      </c>
      <c r="AL5236">
        <v>89.967279744064697</v>
      </c>
      <c r="AM5236">
        <v>90.651235055988806</v>
      </c>
      <c r="AN5236">
        <v>1.00000005756675</v>
      </c>
    </row>
    <row r="5237" spans="1:40" x14ac:dyDescent="0.25">
      <c r="A5237" t="str">
        <f>"20190312161119928"</f>
        <v>20190312161119928</v>
      </c>
      <c r="B5237" t="str">
        <f>"1552378279922270"</f>
        <v>1552378279922270</v>
      </c>
      <c r="C5237" t="s">
        <v>40</v>
      </c>
      <c r="D5237">
        <v>6.069496</v>
      </c>
      <c r="E5237">
        <v>0.39794950000000001</v>
      </c>
      <c r="F5237" t="s">
        <v>97</v>
      </c>
      <c r="G5237">
        <v>-382.15019999999998</v>
      </c>
      <c r="H5237" s="1">
        <v>-3.7205409999999999E-6</v>
      </c>
      <c r="I5237">
        <v>19.562940000000001</v>
      </c>
      <c r="J5237">
        <v>-403.60239999999999</v>
      </c>
      <c r="K5237">
        <v>1.1122510000000001</v>
      </c>
      <c r="L5237">
        <v>19.630459999999999</v>
      </c>
      <c r="M5237">
        <v>0.96020249999999996</v>
      </c>
      <c r="N5237">
        <v>0</v>
      </c>
      <c r="O5237">
        <v>-0.27897620000000001</v>
      </c>
      <c r="P5237">
        <v>0.96302189999999999</v>
      </c>
      <c r="Q5237">
        <v>-1.264992E-2</v>
      </c>
      <c r="R5237">
        <v>-0.26912700000000001</v>
      </c>
      <c r="S5237">
        <v>3.1110229999999999</v>
      </c>
      <c r="T5237">
        <v>-0.1601899</v>
      </c>
      <c r="U5237">
        <v>-1.5411380000000001E-2</v>
      </c>
      <c r="V5237">
        <v>-1.0248780000000001E-2</v>
      </c>
      <c r="W5237">
        <v>8.5288679999999905E-4</v>
      </c>
      <c r="X5237">
        <v>0.99994709999999998</v>
      </c>
      <c r="Y5237">
        <v>-0.27351720000000002</v>
      </c>
      <c r="Z5237">
        <v>2.124566E-2</v>
      </c>
      <c r="AA5237">
        <v>0.9616325</v>
      </c>
      <c r="AB5237">
        <v>18</v>
      </c>
      <c r="AC5237">
        <v>21.452200000000001</v>
      </c>
      <c r="AD5237">
        <v>-1.1122547205410001</v>
      </c>
      <c r="AE5237">
        <v>-6.7519999999998206E-2</v>
      </c>
      <c r="AF5237">
        <v>-5.9044909872821796</v>
      </c>
      <c r="AG5237">
        <v>-1.1122547205410001</v>
      </c>
      <c r="AH5237">
        <v>20.563904054998702</v>
      </c>
      <c r="AI5237">
        <v>92.975966303053696</v>
      </c>
      <c r="AJ5237">
        <v>106.020301785694</v>
      </c>
      <c r="AK5237">
        <v>21.4236848923208</v>
      </c>
      <c r="AL5237">
        <v>89.951133179244096</v>
      </c>
      <c r="AM5237">
        <v>90.587222342587594</v>
      </c>
      <c r="AN5237">
        <v>0.99999998385289501</v>
      </c>
    </row>
    <row r="5238" spans="1:40" x14ac:dyDescent="0.25">
      <c r="A5238" t="str">
        <f>"20190312161119952"</f>
        <v>20190312161119952</v>
      </c>
      <c r="B5238" t="str">
        <f>"1552378279942515"</f>
        <v>1552378279942515</v>
      </c>
      <c r="C5238" t="s">
        <v>40</v>
      </c>
      <c r="D5238">
        <v>6.1148429999999996</v>
      </c>
      <c r="E5238">
        <v>0.39855629999999997</v>
      </c>
      <c r="F5238" t="s">
        <v>97</v>
      </c>
      <c r="G5238">
        <v>-382.93349999999998</v>
      </c>
      <c r="H5238" s="1">
        <v>-3.3594360000000001E-6</v>
      </c>
      <c r="I5238">
        <v>19.511330000000001</v>
      </c>
      <c r="J5238">
        <v>-403.42579999999998</v>
      </c>
      <c r="K5238">
        <v>1.1121749999999999</v>
      </c>
      <c r="L5238">
        <v>19.58456</v>
      </c>
      <c r="M5238">
        <v>0.96139200000000002</v>
      </c>
      <c r="N5238">
        <v>0</v>
      </c>
      <c r="O5238">
        <v>-0.27485009999999999</v>
      </c>
      <c r="P5238">
        <v>0.96391369999999998</v>
      </c>
      <c r="Q5238">
        <v>-1.225411E-2</v>
      </c>
      <c r="R5238">
        <v>-0.26593309999999998</v>
      </c>
      <c r="S5238">
        <v>3.1080019999999999</v>
      </c>
      <c r="T5238">
        <v>-0.16725079999999901</v>
      </c>
      <c r="U5238">
        <v>-1.791382E-2</v>
      </c>
      <c r="V5238">
        <v>-9.2727369999999996E-3</v>
      </c>
      <c r="W5238">
        <v>1.241032E-3</v>
      </c>
      <c r="X5238">
        <v>0.99995630000000002</v>
      </c>
      <c r="Y5238">
        <v>-0.26855079999999998</v>
      </c>
      <c r="Z5238">
        <v>2.1853339999999999E-2</v>
      </c>
      <c r="AA5238">
        <v>0.96301760000000003</v>
      </c>
      <c r="AB5238">
        <v>18</v>
      </c>
      <c r="AC5238">
        <v>20.4923</v>
      </c>
      <c r="AD5238">
        <v>-1.112178359436</v>
      </c>
      <c r="AE5238">
        <v>-7.3230000000002293E-2</v>
      </c>
      <c r="AF5238">
        <v>-5.5460804320701103</v>
      </c>
      <c r="AG5238">
        <v>-1.112178359436</v>
      </c>
      <c r="AH5238">
        <v>19.665139711866701</v>
      </c>
      <c r="AI5238">
        <v>93.115677970860006</v>
      </c>
      <c r="AJ5238">
        <v>105.74983114211101</v>
      </c>
      <c r="AK5238">
        <v>20.462494196686499</v>
      </c>
      <c r="AL5238">
        <v>89.928894090376602</v>
      </c>
      <c r="AM5238">
        <v>90.531296684373899</v>
      </c>
      <c r="AN5238">
        <v>1.0000000628607899</v>
      </c>
    </row>
    <row r="5239" spans="1:40" x14ac:dyDescent="0.25">
      <c r="A5239" t="str">
        <f>"20190312161119973"</f>
        <v>20190312161119973</v>
      </c>
      <c r="B5239" t="str">
        <f>"1552378279962036"</f>
        <v>1552378279962036</v>
      </c>
      <c r="C5239" t="s">
        <v>40</v>
      </c>
      <c r="D5239">
        <v>6.0784690000000001</v>
      </c>
      <c r="E5239">
        <v>0.40038030000000002</v>
      </c>
      <c r="F5239" t="s">
        <v>97</v>
      </c>
      <c r="G5239">
        <v>-382.70839999999998</v>
      </c>
      <c r="H5239" s="1">
        <v>-3.4673930000000001E-6</v>
      </c>
      <c r="I5239">
        <v>19.502549999999999</v>
      </c>
      <c r="J5239">
        <v>-403.25889999999998</v>
      </c>
      <c r="K5239">
        <v>1.1120989999999999</v>
      </c>
      <c r="L5239">
        <v>19.541840000000001</v>
      </c>
      <c r="M5239">
        <v>0.96245890000000001</v>
      </c>
      <c r="N5239">
        <v>0</v>
      </c>
      <c r="O5239">
        <v>-0.27109060000000001</v>
      </c>
      <c r="P5239">
        <v>0.96470650000000002</v>
      </c>
      <c r="Q5239">
        <v>-1.2658330000000001E-2</v>
      </c>
      <c r="R5239">
        <v>-0.26302340000000002</v>
      </c>
      <c r="S5239">
        <v>3.1068419999999999</v>
      </c>
      <c r="T5239">
        <v>-0.1667862</v>
      </c>
      <c r="U5239">
        <v>-1.229858E-2</v>
      </c>
      <c r="V5239">
        <v>-8.3782309999999999E-3</v>
      </c>
      <c r="W5239">
        <v>8.299987E-4</v>
      </c>
      <c r="X5239">
        <v>0.99996450000000003</v>
      </c>
      <c r="Y5239">
        <v>-0.26653649999999901</v>
      </c>
      <c r="Z5239">
        <v>2.1552200000000001E-2</v>
      </c>
      <c r="AA5239">
        <v>0.96358379999999999</v>
      </c>
      <c r="AB5239">
        <v>18</v>
      </c>
      <c r="AC5239">
        <v>20.5505</v>
      </c>
      <c r="AD5239">
        <v>-1.112102467393</v>
      </c>
      <c r="AE5239">
        <v>-3.9290000000001102E-2</v>
      </c>
      <c r="AF5239">
        <v>-5.5175798816486497</v>
      </c>
      <c r="AG5239">
        <v>-1.112102467393</v>
      </c>
      <c r="AH5239">
        <v>19.7336815051268</v>
      </c>
      <c r="AI5239">
        <v>93.106621416574697</v>
      </c>
      <c r="AJ5239">
        <v>105.62110664478</v>
      </c>
      <c r="AK5239">
        <v>20.5206882290565</v>
      </c>
      <c r="AL5239">
        <v>89.952444569291998</v>
      </c>
      <c r="AM5239">
        <v>90.480043085257805</v>
      </c>
      <c r="AN5239">
        <v>0.99999994245638901</v>
      </c>
    </row>
    <row r="5240" spans="1:40" x14ac:dyDescent="0.25">
      <c r="A5240" t="str">
        <f>"20190312161119991"</f>
        <v>20190312161119991</v>
      </c>
      <c r="B5240" t="str">
        <f>"1552378279982532"</f>
        <v>1552378279982532</v>
      </c>
      <c r="C5240" t="s">
        <v>40</v>
      </c>
      <c r="D5240">
        <v>6.0830169999999999</v>
      </c>
      <c r="E5240">
        <v>0.40131729999999999</v>
      </c>
      <c r="F5240" t="s">
        <v>97</v>
      </c>
      <c r="G5240">
        <v>-383.77629999999999</v>
      </c>
      <c r="H5240" s="1">
        <v>-2.974252E-6</v>
      </c>
      <c r="I5240">
        <v>19.43683</v>
      </c>
      <c r="J5240">
        <v>-403.12290000000002</v>
      </c>
      <c r="K5240">
        <v>1.1120369999999999</v>
      </c>
      <c r="L5240">
        <v>19.507390000000001</v>
      </c>
      <c r="M5240">
        <v>0.963287</v>
      </c>
      <c r="N5240">
        <v>0</v>
      </c>
      <c r="O5240">
        <v>-0.26813330000000002</v>
      </c>
      <c r="P5240">
        <v>0.96530800000000005</v>
      </c>
      <c r="Q5240">
        <v>-1.2647129999999999E-2</v>
      </c>
      <c r="R5240">
        <v>-0.26080789999999998</v>
      </c>
      <c r="S5240">
        <v>3.1028440000000002</v>
      </c>
      <c r="T5240">
        <v>-0.177116</v>
      </c>
      <c r="U5240">
        <v>-1.672363E-2</v>
      </c>
      <c r="V5240">
        <v>-7.6029180000000002E-3</v>
      </c>
      <c r="W5240">
        <v>8.352438E-4</v>
      </c>
      <c r="X5240">
        <v>0.99997069999999999</v>
      </c>
      <c r="Y5240">
        <v>-0.26210689999999998</v>
      </c>
      <c r="Z5240">
        <v>2.262349E-2</v>
      </c>
      <c r="AA5240">
        <v>0.96477369999999996</v>
      </c>
      <c r="AB5240">
        <v>18</v>
      </c>
      <c r="AC5240">
        <v>19.346599999999999</v>
      </c>
      <c r="AD5240">
        <v>-1.112039974252</v>
      </c>
      <c r="AE5240">
        <v>-7.05600000000004E-2</v>
      </c>
      <c r="AF5240">
        <v>-5.1031057678800504</v>
      </c>
      <c r="AG5240">
        <v>-1.112039974252</v>
      </c>
      <c r="AH5240">
        <v>18.595514494499799</v>
      </c>
      <c r="AI5240">
        <v>93.300556918627706</v>
      </c>
      <c r="AJ5240">
        <v>105.345708816197</v>
      </c>
      <c r="AK5240">
        <v>19.315058392292201</v>
      </c>
      <c r="AL5240">
        <v>89.952144047506707</v>
      </c>
      <c r="AM5240">
        <v>90.435619483349498</v>
      </c>
      <c r="AN5240">
        <v>0.99999995142640297</v>
      </c>
    </row>
    <row r="5241" spans="1:40" x14ac:dyDescent="0.25">
      <c r="A5241" t="str">
        <f>"20190312161120006"</f>
        <v>20190312161120006</v>
      </c>
      <c r="B5241" t="str">
        <f>"1552378280002052"</f>
        <v>1552378280002052</v>
      </c>
      <c r="C5241" t="s">
        <v>40</v>
      </c>
      <c r="D5241">
        <v>6.095701</v>
      </c>
      <c r="E5241">
        <v>0.40224009999999999</v>
      </c>
      <c r="F5241" t="s">
        <v>97</v>
      </c>
      <c r="G5241">
        <v>-384.09339999999997</v>
      </c>
      <c r="H5241" s="1">
        <v>-2.8300509999999999E-6</v>
      </c>
      <c r="I5241">
        <v>19.40476</v>
      </c>
      <c r="J5241">
        <v>-403.0077</v>
      </c>
      <c r="K5241">
        <v>1.1119859999999999</v>
      </c>
      <c r="L5241">
        <v>19.478359999999999</v>
      </c>
      <c r="M5241">
        <v>0.96396159999999997</v>
      </c>
      <c r="N5241">
        <v>0</v>
      </c>
      <c r="O5241">
        <v>-0.26569860000000001</v>
      </c>
      <c r="P5241">
        <v>0.96534540000000002</v>
      </c>
      <c r="Q5241">
        <v>-1.2212229999999999E-2</v>
      </c>
      <c r="R5241">
        <v>-0.26068960000000002</v>
      </c>
      <c r="S5241">
        <v>3.1009220000000002</v>
      </c>
      <c r="T5241">
        <v>-0.18121090000000001</v>
      </c>
      <c r="U5241">
        <v>-1.672363E-2</v>
      </c>
      <c r="V5241">
        <v>-5.2016149999999997E-3</v>
      </c>
      <c r="W5241">
        <v>1.2720260000000001E-3</v>
      </c>
      <c r="X5241">
        <v>0.99998560000000003</v>
      </c>
      <c r="Y5241">
        <v>-0.25963219999999998</v>
      </c>
      <c r="Z5241">
        <v>2.2949649999999999E-2</v>
      </c>
      <c r="AA5241">
        <v>0.96543480000000004</v>
      </c>
      <c r="AB5241">
        <v>18</v>
      </c>
      <c r="AC5241">
        <v>18.914300000000001</v>
      </c>
      <c r="AD5241">
        <v>-1.1119888300509999</v>
      </c>
      <c r="AE5241">
        <v>-7.3600000000002497E-2</v>
      </c>
      <c r="AF5241">
        <v>-4.9379400029215903</v>
      </c>
      <c r="AG5241">
        <v>-1.1119888300509999</v>
      </c>
      <c r="AH5241">
        <v>18.1910042119788</v>
      </c>
      <c r="AI5241">
        <v>93.376174676835205</v>
      </c>
      <c r="AJ5241">
        <v>105.18695704224</v>
      </c>
      <c r="AK5241">
        <v>18.882065693955301</v>
      </c>
      <c r="AL5241">
        <v>89.927118254561606</v>
      </c>
      <c r="AM5241">
        <v>90.298032189863804</v>
      </c>
      <c r="AN5241">
        <v>0.99999993752805405</v>
      </c>
    </row>
    <row r="5242" spans="1:40" x14ac:dyDescent="0.25">
      <c r="A5242" t="str">
        <f>"20190312161120030"</f>
        <v>20190312161120030</v>
      </c>
      <c r="B5242" t="str">
        <f>"1552378280022550"</f>
        <v>1552378280022550</v>
      </c>
      <c r="C5242" t="s">
        <v>40</v>
      </c>
      <c r="D5242">
        <v>6.0919369999999997</v>
      </c>
      <c r="E5242">
        <v>0.40318779999999999</v>
      </c>
      <c r="F5242" t="s">
        <v>97</v>
      </c>
      <c r="G5242">
        <v>-384.04390000000001</v>
      </c>
      <c r="H5242" s="1">
        <v>-2.865624E-6</v>
      </c>
      <c r="I5242">
        <v>19.336259999999999</v>
      </c>
      <c r="J5242">
        <v>-402.83370000000002</v>
      </c>
      <c r="K5242">
        <v>1.11189</v>
      </c>
      <c r="L5242">
        <v>19.435089999999999</v>
      </c>
      <c r="M5242">
        <v>0.96492540000000004</v>
      </c>
      <c r="N5242">
        <v>0</v>
      </c>
      <c r="O5242">
        <v>-0.26217790000000002</v>
      </c>
      <c r="P5242">
        <v>0.96551450000000005</v>
      </c>
      <c r="Q5242">
        <v>-1.2513109999999999E-2</v>
      </c>
      <c r="R5242">
        <v>-0.26004949999999999</v>
      </c>
      <c r="S5242">
        <v>3.0991520000000001</v>
      </c>
      <c r="T5242">
        <v>-0.18172650000000001</v>
      </c>
      <c r="U5242">
        <v>-2.3223879999999999E-2</v>
      </c>
      <c r="V5242">
        <v>-2.2118699999999999E-3</v>
      </c>
      <c r="W5242">
        <v>9.6923509999999997E-4</v>
      </c>
      <c r="X5242">
        <v>0.99999709999999997</v>
      </c>
      <c r="Y5242">
        <v>-0.2540849</v>
      </c>
      <c r="Z5242">
        <v>2.2663760000000002E-2</v>
      </c>
      <c r="AA5242">
        <v>0.96691640000000001</v>
      </c>
      <c r="AB5242">
        <v>18</v>
      </c>
      <c r="AC5242">
        <v>18.7898</v>
      </c>
      <c r="AD5242">
        <v>-1.1118928656239999</v>
      </c>
      <c r="AE5242">
        <v>-9.8829999999999502E-2</v>
      </c>
      <c r="AF5242">
        <v>-4.8144872012498796</v>
      </c>
      <c r="AG5242">
        <v>-1.1118928656239999</v>
      </c>
      <c r="AH5242">
        <v>18.094954539117602</v>
      </c>
      <c r="AI5242">
        <v>93.398331969377494</v>
      </c>
      <c r="AJ5242">
        <v>104.899385144848</v>
      </c>
      <c r="AK5242">
        <v>18.757477776299201</v>
      </c>
      <c r="AL5242">
        <v>89.944466911602007</v>
      </c>
      <c r="AM5242">
        <v>90.126730976679497</v>
      </c>
      <c r="AN5242">
        <v>1.0000000158969899</v>
      </c>
    </row>
    <row r="5243" spans="1:40" x14ac:dyDescent="0.25">
      <c r="A5243" t="str">
        <f>"20190312161120053"</f>
        <v>20190312161120053</v>
      </c>
      <c r="B5243" t="str">
        <f>"1552378280042748"</f>
        <v>1552378280042748</v>
      </c>
      <c r="C5243" t="s">
        <v>40</v>
      </c>
      <c r="D5243">
        <v>6.0645170000000004</v>
      </c>
      <c r="E5243">
        <v>0.40391779999999999</v>
      </c>
      <c r="F5243" t="s">
        <v>97</v>
      </c>
      <c r="G5243">
        <v>-384.21440000000001</v>
      </c>
      <c r="H5243" s="1">
        <v>-2.7975759999999999E-6</v>
      </c>
      <c r="I5243">
        <v>19.26557</v>
      </c>
      <c r="J5243">
        <v>-402.65769999999998</v>
      </c>
      <c r="K5243">
        <v>1.1117889999999999</v>
      </c>
      <c r="L5243">
        <v>19.391780000000001</v>
      </c>
      <c r="M5243">
        <v>0.96584409999999998</v>
      </c>
      <c r="N5243">
        <v>0</v>
      </c>
      <c r="O5243">
        <v>-0.25877349999999999</v>
      </c>
      <c r="P5243">
        <v>0.96613720000000003</v>
      </c>
      <c r="Q5243">
        <v>-1.2961220000000001E-2</v>
      </c>
      <c r="R5243">
        <v>-0.25770419999999999</v>
      </c>
      <c r="S5243">
        <v>3.0971679999999999</v>
      </c>
      <c r="T5243">
        <v>-0.1849539</v>
      </c>
      <c r="U5243">
        <v>-2.8198239999999999E-2</v>
      </c>
      <c r="V5243">
        <v>-1.1103790000000001E-3</v>
      </c>
      <c r="W5243">
        <v>5.1194830000000002E-4</v>
      </c>
      <c r="X5243">
        <v>0.99999919999999998</v>
      </c>
      <c r="Y5243">
        <v>-0.24909609999999999</v>
      </c>
      <c r="Z5243">
        <v>2.2732970000000002E-2</v>
      </c>
      <c r="AA5243">
        <v>0.96821190000000001</v>
      </c>
      <c r="AB5243">
        <v>18</v>
      </c>
      <c r="AC5243">
        <v>18.443299999999901</v>
      </c>
      <c r="AD5243">
        <v>-1.1117917975760001</v>
      </c>
      <c r="AE5243">
        <v>-0.12620999999999599</v>
      </c>
      <c r="AF5243">
        <v>-4.6343203646231199</v>
      </c>
      <c r="AG5243">
        <v>-1.1117917975760001</v>
      </c>
      <c r="AH5243">
        <v>17.783013419329201</v>
      </c>
      <c r="AI5243">
        <v>93.462131122320798</v>
      </c>
      <c r="AJ5243">
        <v>104.60661453602501</v>
      </c>
      <c r="AK5243">
        <v>18.410556007767902</v>
      </c>
      <c r="AL5243">
        <v>89.970667520260307</v>
      </c>
      <c r="AM5243">
        <v>90.063620055109396</v>
      </c>
      <c r="AN5243">
        <v>0.99999994751661103</v>
      </c>
    </row>
    <row r="5244" spans="1:40" x14ac:dyDescent="0.25">
      <c r="A5244" t="str">
        <f>"20190312161120074"</f>
        <v>20190312161120074</v>
      </c>
      <c r="B5244" t="str">
        <f>"1552378280062267"</f>
        <v>1552378280062267</v>
      </c>
      <c r="C5244" t="s">
        <v>40</v>
      </c>
      <c r="D5244">
        <v>6.0511929999999996</v>
      </c>
      <c r="E5244">
        <v>0.40467750000000002</v>
      </c>
      <c r="F5244" t="s">
        <v>97</v>
      </c>
      <c r="G5244">
        <v>-384.43619999999999</v>
      </c>
      <c r="H5244" s="1">
        <v>-2.6979879999999999E-6</v>
      </c>
      <c r="I5244">
        <v>19.235679999999999</v>
      </c>
      <c r="J5244">
        <v>-402.48939999999999</v>
      </c>
      <c r="K5244">
        <v>1.111699</v>
      </c>
      <c r="L5244">
        <v>19.350770000000001</v>
      </c>
      <c r="M5244">
        <v>0.96667159999999996</v>
      </c>
      <c r="N5244">
        <v>0</v>
      </c>
      <c r="O5244">
        <v>-0.25566519999999998</v>
      </c>
      <c r="P5244">
        <v>0.96673929999999997</v>
      </c>
      <c r="Q5244">
        <v>-1.2779520000000001E-2</v>
      </c>
      <c r="R5244">
        <v>-0.25544420000000001</v>
      </c>
      <c r="S5244">
        <v>3.0955810000000001</v>
      </c>
      <c r="T5244">
        <v>-0.18887889999999999</v>
      </c>
      <c r="U5244">
        <v>-2.651978E-2</v>
      </c>
      <c r="V5244">
        <v>-2.3347529999999999E-4</v>
      </c>
      <c r="W5244">
        <v>6.8456339999999896E-4</v>
      </c>
      <c r="X5244">
        <v>0.99999979999999999</v>
      </c>
      <c r="Y5244">
        <v>-0.24647179999999999</v>
      </c>
      <c r="Z5244">
        <v>2.2962320000000001E-2</v>
      </c>
      <c r="AA5244">
        <v>0.96887789999999996</v>
      </c>
      <c r="AB5244">
        <v>18</v>
      </c>
      <c r="AC5244">
        <v>18.0532</v>
      </c>
      <c r="AD5244">
        <v>-1.1117016979879999</v>
      </c>
      <c r="AE5244">
        <v>-0.115090000000002</v>
      </c>
      <c r="AF5244">
        <v>-4.4877124716523804</v>
      </c>
      <c r="AG5244">
        <v>-1.1117016979879999</v>
      </c>
      <c r="AH5244">
        <v>17.416484704083601</v>
      </c>
      <c r="AI5244">
        <v>93.537035045498698</v>
      </c>
      <c r="AJ5244">
        <v>104.449120503552</v>
      </c>
      <c r="AK5244">
        <v>18.019694318747799</v>
      </c>
      <c r="AL5244">
        <v>89.960777405722297</v>
      </c>
      <c r="AM5244">
        <v>90.013377151742901</v>
      </c>
      <c r="AN5244">
        <v>1.0000000615689</v>
      </c>
    </row>
    <row r="5245" spans="1:40" x14ac:dyDescent="0.25">
      <c r="A5245" t="str">
        <f>"20190312161120096"</f>
        <v>20190312161120096</v>
      </c>
      <c r="B5245" t="str">
        <f>"1552378280092524"</f>
        <v>1552378280092524</v>
      </c>
      <c r="C5245" t="s">
        <v>40</v>
      </c>
      <c r="D5245">
        <v>6.0392679999999999</v>
      </c>
      <c r="E5245">
        <v>0.4057617</v>
      </c>
      <c r="F5245" t="s">
        <v>97</v>
      </c>
      <c r="G5245">
        <v>-384.35770000000002</v>
      </c>
      <c r="H5245" s="1">
        <v>-2.740835E-6</v>
      </c>
      <c r="I5245">
        <v>19.203410000000002</v>
      </c>
      <c r="J5245">
        <v>-402.33100000000002</v>
      </c>
      <c r="K5245">
        <v>1.111623</v>
      </c>
      <c r="L5245">
        <v>19.3125</v>
      </c>
      <c r="M5245">
        <v>0.96740579999999998</v>
      </c>
      <c r="N5245">
        <v>0</v>
      </c>
      <c r="O5245">
        <v>-0.2528743</v>
      </c>
      <c r="P5245">
        <v>0.96712120000000001</v>
      </c>
      <c r="Q5245">
        <v>-1.345647E-2</v>
      </c>
      <c r="R5245">
        <v>-0.25396010000000002</v>
      </c>
      <c r="S5245">
        <v>3.0941160000000001</v>
      </c>
      <c r="T5245">
        <v>-0.18970799999999999</v>
      </c>
      <c r="U5245">
        <v>-2.5146479999999999E-2</v>
      </c>
      <c r="V5245">
        <v>1.122482E-3</v>
      </c>
      <c r="W5245" s="1">
        <v>9.4254389999999998E-7</v>
      </c>
      <c r="X5245">
        <v>0.99999930000000004</v>
      </c>
      <c r="Y5245">
        <v>-0.24410109999999999</v>
      </c>
      <c r="Z5245">
        <v>2.283497E-2</v>
      </c>
      <c r="AA5245">
        <v>0.96948089999999998</v>
      </c>
      <c r="AB5245">
        <v>18</v>
      </c>
      <c r="AC5245">
        <v>17.973299999999899</v>
      </c>
      <c r="AD5245">
        <v>-1.1116257408349901</v>
      </c>
      <c r="AE5245">
        <v>-0.10908999999999799</v>
      </c>
      <c r="AF5245">
        <v>-4.4229340365949898</v>
      </c>
      <c r="AG5245">
        <v>-1.1116257408349901</v>
      </c>
      <c r="AH5245">
        <v>17.350266647129999</v>
      </c>
      <c r="AI5245">
        <v>93.552600785760802</v>
      </c>
      <c r="AJ5245">
        <v>104.301260555152</v>
      </c>
      <c r="AK5245">
        <v>17.9396156593799</v>
      </c>
      <c r="AL5245">
        <v>89.999945996208695</v>
      </c>
      <c r="AM5245">
        <v>89.935686500812096</v>
      </c>
      <c r="AN5245">
        <v>0.99999992998360698</v>
      </c>
    </row>
    <row r="5246" spans="1:40" x14ac:dyDescent="0.25">
      <c r="A5246" t="str">
        <f>"20190312161120118"</f>
        <v>20190312161120118</v>
      </c>
      <c r="B5246" t="str">
        <f>"1552378280112044"</f>
        <v>1552378280112044</v>
      </c>
      <c r="C5246" t="s">
        <v>40</v>
      </c>
      <c r="D5246">
        <v>6.0589719999999998</v>
      </c>
      <c r="E5246">
        <v>0.40641840000000001</v>
      </c>
      <c r="F5246" t="s">
        <v>97</v>
      </c>
      <c r="G5246">
        <v>-384.5258</v>
      </c>
      <c r="H5246" s="1">
        <v>-2.6709659999999998E-6</v>
      </c>
      <c r="I5246">
        <v>19.149229999999999</v>
      </c>
      <c r="J5246">
        <v>-402.15379999999999</v>
      </c>
      <c r="K5246">
        <v>1.111545</v>
      </c>
      <c r="L5246">
        <v>19.27008</v>
      </c>
      <c r="M5246">
        <v>0.96817600000000004</v>
      </c>
      <c r="N5246">
        <v>0</v>
      </c>
      <c r="O5246">
        <v>-0.2499093</v>
      </c>
      <c r="P5246">
        <v>0.96762969999999904</v>
      </c>
      <c r="Q5246">
        <v>-1.3214139999999999E-2</v>
      </c>
      <c r="R5246">
        <v>-0.25202920000000001</v>
      </c>
      <c r="S5246">
        <v>3.0918580000000002</v>
      </c>
      <c r="T5246">
        <v>-0.19303329999999999</v>
      </c>
      <c r="U5246">
        <v>-2.835083E-2</v>
      </c>
      <c r="V5246">
        <v>2.1885030000000001E-3</v>
      </c>
      <c r="W5246">
        <v>2.34429E-4</v>
      </c>
      <c r="X5246">
        <v>0.99999760000000004</v>
      </c>
      <c r="Y5246">
        <v>-0.24009759999999999</v>
      </c>
      <c r="Z5246">
        <v>2.2945719999999999E-2</v>
      </c>
      <c r="AA5246">
        <v>0.97047749999999999</v>
      </c>
      <c r="AB5246">
        <v>18</v>
      </c>
      <c r="AC5246">
        <v>17.627999999999901</v>
      </c>
      <c r="AD5246">
        <v>-1.1115476709659999</v>
      </c>
      <c r="AE5246">
        <v>-0.12085</v>
      </c>
      <c r="AF5246">
        <v>-4.2718002860087498</v>
      </c>
      <c r="AG5246">
        <v>-1.1115476709659999</v>
      </c>
      <c r="AH5246">
        <v>17.031039128223899</v>
      </c>
      <c r="AI5246">
        <v>93.622276510683903</v>
      </c>
      <c r="AJ5246">
        <v>104.080691334515</v>
      </c>
      <c r="AK5246">
        <v>17.593752007331201</v>
      </c>
      <c r="AL5246">
        <v>89.986568207880396</v>
      </c>
      <c r="AM5246">
        <v>89.874607913897805</v>
      </c>
      <c r="AN5246">
        <v>1.0000000222540399</v>
      </c>
    </row>
    <row r="5247" spans="1:40" x14ac:dyDescent="0.25">
      <c r="A5247" t="str">
        <f>"20190312161120142"</f>
        <v>20190312161120142</v>
      </c>
      <c r="B5247" t="str">
        <f>"1552378280132147"</f>
        <v>1552378280132147</v>
      </c>
      <c r="C5247" t="s">
        <v>40</v>
      </c>
      <c r="D5247">
        <v>6.0440440000000004</v>
      </c>
      <c r="E5247">
        <v>0.40693699999999999</v>
      </c>
      <c r="F5247" t="s">
        <v>97</v>
      </c>
      <c r="G5247">
        <v>-384.37209999999999</v>
      </c>
      <c r="H5247" s="1">
        <v>-2.7497609999999999E-6</v>
      </c>
      <c r="I5247">
        <v>19.114699999999999</v>
      </c>
      <c r="J5247">
        <v>-401.97089999999997</v>
      </c>
      <c r="K5247">
        <v>1.111475</v>
      </c>
      <c r="L5247">
        <v>19.226680000000002</v>
      </c>
      <c r="M5247">
        <v>0.96892180000000006</v>
      </c>
      <c r="N5247">
        <v>0</v>
      </c>
      <c r="O5247">
        <v>-0.2470021</v>
      </c>
      <c r="P5247">
        <v>0.96847899999999998</v>
      </c>
      <c r="Q5247">
        <v>-1.2821290000000001E-2</v>
      </c>
      <c r="R5247">
        <v>-0.24876519999999999</v>
      </c>
      <c r="S5247">
        <v>3.0906980000000002</v>
      </c>
      <c r="T5247">
        <v>-0.19320190000000001</v>
      </c>
      <c r="U5247">
        <v>-2.700806E-2</v>
      </c>
      <c r="V5247">
        <v>1.8161869999999999E-3</v>
      </c>
      <c r="W5247">
        <v>6.1399149999999999E-4</v>
      </c>
      <c r="X5247">
        <v>0.99999819999999995</v>
      </c>
      <c r="Y5247">
        <v>-0.23760990000000001</v>
      </c>
      <c r="Z5247">
        <v>2.271987E-2</v>
      </c>
      <c r="AA5247">
        <v>0.97109489999999998</v>
      </c>
      <c r="AB5247">
        <v>18</v>
      </c>
      <c r="AC5247">
        <v>17.598799999999901</v>
      </c>
      <c r="AD5247">
        <v>-1.111477749761</v>
      </c>
      <c r="AE5247">
        <v>-0.111979999999999</v>
      </c>
      <c r="AF5247">
        <v>-4.2219835808979802</v>
      </c>
      <c r="AG5247">
        <v>-1.111477749761</v>
      </c>
      <c r="AH5247">
        <v>17.013203521291899</v>
      </c>
      <c r="AI5247">
        <v>93.628100595702506</v>
      </c>
      <c r="AJ5247">
        <v>103.936936525869</v>
      </c>
      <c r="AK5247">
        <v>17.564441983805899</v>
      </c>
      <c r="AL5247">
        <v>89.964820877511102</v>
      </c>
      <c r="AM5247">
        <v>89.895940077200805</v>
      </c>
      <c r="AN5247">
        <v>1.000000037762</v>
      </c>
    </row>
    <row r="5248" spans="1:40" x14ac:dyDescent="0.25">
      <c r="A5248" t="str">
        <f>"20190312161120162"</f>
        <v>20190312161120162</v>
      </c>
      <c r="B5248" t="str">
        <f>"1552378280152647"</f>
        <v>1552378280152647</v>
      </c>
      <c r="C5248" t="s">
        <v>40</v>
      </c>
      <c r="D5248">
        <v>6.076657</v>
      </c>
      <c r="E5248">
        <v>0.40748430000000002</v>
      </c>
      <c r="F5248" t="s">
        <v>97</v>
      </c>
      <c r="G5248">
        <v>-384.2593</v>
      </c>
      <c r="H5248" s="1">
        <v>-2.804392E-6</v>
      </c>
      <c r="I5248">
        <v>19.107199999999999</v>
      </c>
      <c r="J5248">
        <v>-401.82159999999999</v>
      </c>
      <c r="K5248">
        <v>1.111424</v>
      </c>
      <c r="L5248">
        <v>19.191590000000001</v>
      </c>
      <c r="M5248">
        <v>0.9694971</v>
      </c>
      <c r="N5248">
        <v>0</v>
      </c>
      <c r="O5248">
        <v>-0.2447347</v>
      </c>
      <c r="P5248">
        <v>0.96909239999999996</v>
      </c>
      <c r="Q5248">
        <v>-1.2662980000000001E-2</v>
      </c>
      <c r="R5248">
        <v>-0.24637290000000001</v>
      </c>
      <c r="S5248">
        <v>3.0897519999999998</v>
      </c>
      <c r="T5248">
        <v>-0.19389509999999999</v>
      </c>
      <c r="U5248">
        <v>-2.0843509999999999E-2</v>
      </c>
      <c r="V5248">
        <v>1.6853930000000001E-3</v>
      </c>
      <c r="W5248">
        <v>7.6324140000000003E-4</v>
      </c>
      <c r="X5248">
        <v>0.99999830000000001</v>
      </c>
      <c r="Y5248">
        <v>-0.23727019999999999</v>
      </c>
      <c r="Z5248">
        <v>2.2659970000000001E-2</v>
      </c>
      <c r="AA5248">
        <v>0.97117940000000003</v>
      </c>
      <c r="AB5248">
        <v>18</v>
      </c>
      <c r="AC5248">
        <v>17.562299999999901</v>
      </c>
      <c r="AD5248">
        <v>-1.1114268043919999</v>
      </c>
      <c r="AE5248">
        <v>-8.4389999999998994E-2</v>
      </c>
      <c r="AF5248">
        <v>-4.19984864356024</v>
      </c>
      <c r="AG5248">
        <v>-1.1114268043919999</v>
      </c>
      <c r="AH5248">
        <v>16.980783188471101</v>
      </c>
      <c r="AI5248">
        <v>93.635544934115501</v>
      </c>
      <c r="AJ5248">
        <v>103.89214542963499</v>
      </c>
      <c r="AK5248">
        <v>17.5277207834961</v>
      </c>
      <c r="AL5248">
        <v>89.956269485289397</v>
      </c>
      <c r="AM5248">
        <v>89.903434021550495</v>
      </c>
      <c r="AN5248">
        <v>1.0000000115449399</v>
      </c>
    </row>
    <row r="5249" spans="1:40" x14ac:dyDescent="0.25">
      <c r="A5249" t="str">
        <f>"20190312161120184"</f>
        <v>20190312161120184</v>
      </c>
      <c r="B5249" t="str">
        <f>"1552378280181924"</f>
        <v>1552378280181924</v>
      </c>
      <c r="C5249" t="s">
        <v>40</v>
      </c>
      <c r="D5249">
        <v>6.0559430000000001</v>
      </c>
      <c r="E5249">
        <v>0.40829470000000001</v>
      </c>
      <c r="F5249" t="s">
        <v>97</v>
      </c>
      <c r="G5249">
        <v>-384.17259999999999</v>
      </c>
      <c r="H5249" s="1">
        <v>-2.84818E-6</v>
      </c>
      <c r="I5249">
        <v>19.0915</v>
      </c>
      <c r="J5249">
        <v>-401.65339999999998</v>
      </c>
      <c r="K5249">
        <v>1.1113789999999999</v>
      </c>
      <c r="L5249">
        <v>19.152339999999999</v>
      </c>
      <c r="M5249">
        <v>0.97011800000000004</v>
      </c>
      <c r="N5249">
        <v>0</v>
      </c>
      <c r="O5249">
        <v>-0.24226310000000001</v>
      </c>
      <c r="P5249">
        <v>0.96947779999999995</v>
      </c>
      <c r="Q5249">
        <v>-1.291434E-2</v>
      </c>
      <c r="R5249">
        <v>-0.24483949999999999</v>
      </c>
      <c r="S5249">
        <v>3.088654</v>
      </c>
      <c r="T5249">
        <v>-0.1945045</v>
      </c>
      <c r="U5249">
        <v>-1.7517089999999999E-2</v>
      </c>
      <c r="V5249">
        <v>2.6533260000000001E-3</v>
      </c>
      <c r="W5249">
        <v>5.047958E-4</v>
      </c>
      <c r="X5249">
        <v>0.99999640000000001</v>
      </c>
      <c r="Y5249">
        <v>-0.2358391</v>
      </c>
      <c r="Z5249">
        <v>2.254287E-2</v>
      </c>
      <c r="AA5249">
        <v>0.97153060000000002</v>
      </c>
      <c r="AB5249">
        <v>18</v>
      </c>
      <c r="AC5249">
        <v>17.480799999999899</v>
      </c>
      <c r="AD5249">
        <v>-1.11138184818</v>
      </c>
      <c r="AE5249">
        <v>-6.0839999999998902E-2</v>
      </c>
      <c r="AF5249">
        <v>-4.1594932210587903</v>
      </c>
      <c r="AG5249">
        <v>-1.11138184818</v>
      </c>
      <c r="AH5249">
        <v>16.9063669811163</v>
      </c>
      <c r="AI5249">
        <v>93.652456427649994</v>
      </c>
      <c r="AJ5249">
        <v>103.82202342661699</v>
      </c>
      <c r="AK5249">
        <v>17.445967957344099</v>
      </c>
      <c r="AL5249">
        <v>89.971077331289095</v>
      </c>
      <c r="AM5249">
        <v>89.847975427997795</v>
      </c>
      <c r="AN5249">
        <v>1.0000000474853099</v>
      </c>
    </row>
    <row r="5250" spans="1:40" x14ac:dyDescent="0.25">
      <c r="A5250" t="str">
        <f>"20190312161120207"</f>
        <v>20190312161120207</v>
      </c>
      <c r="B5250" t="str">
        <f>"1552378280202434"</f>
        <v>1552378280202434</v>
      </c>
      <c r="C5250" t="s">
        <v>40</v>
      </c>
      <c r="D5250">
        <v>6.0526540000000004</v>
      </c>
      <c r="E5250">
        <v>0.40851939999999998</v>
      </c>
      <c r="F5250" t="s">
        <v>97</v>
      </c>
      <c r="G5250">
        <v>-384.09800000000001</v>
      </c>
      <c r="H5250" s="1">
        <v>-2.8914809999999999E-6</v>
      </c>
      <c r="I5250">
        <v>19.046309999999998</v>
      </c>
      <c r="J5250">
        <v>-401.48250000000002</v>
      </c>
      <c r="K5250">
        <v>1.111351</v>
      </c>
      <c r="L5250">
        <v>19.112850000000002</v>
      </c>
      <c r="M5250">
        <v>0.97072510000000001</v>
      </c>
      <c r="N5250">
        <v>0</v>
      </c>
      <c r="O5250">
        <v>-0.239818</v>
      </c>
      <c r="P5250">
        <v>0.97010799999999997</v>
      </c>
      <c r="Q5250">
        <v>-1.2229729999999999E-2</v>
      </c>
      <c r="R5250">
        <v>-0.24236530000000001</v>
      </c>
      <c r="S5250">
        <v>3.0871279999999999</v>
      </c>
      <c r="T5250">
        <v>-0.19543669999999999</v>
      </c>
      <c r="U5250">
        <v>-1.8646240000000001E-2</v>
      </c>
      <c r="V5250">
        <v>2.6178550000000001E-3</v>
      </c>
      <c r="W5250">
        <v>1.1819039999999999E-3</v>
      </c>
      <c r="X5250">
        <v>0.99999590000000005</v>
      </c>
      <c r="Y5250">
        <v>-0.2330325</v>
      </c>
      <c r="Z5250">
        <v>2.2421880000000002E-2</v>
      </c>
      <c r="AA5250">
        <v>0.97221040000000003</v>
      </c>
      <c r="AB5250">
        <v>18</v>
      </c>
      <c r="AC5250">
        <v>17.384499999999999</v>
      </c>
      <c r="AD5250">
        <v>-1.1113538914809999</v>
      </c>
      <c r="AE5250">
        <v>-6.6539999999999794E-2</v>
      </c>
      <c r="AF5250">
        <v>-4.0881864114025301</v>
      </c>
      <c r="AG5250">
        <v>-1.1113538914809999</v>
      </c>
      <c r="AH5250">
        <v>16.824293305662099</v>
      </c>
      <c r="AI5250">
        <v>93.672699921197406</v>
      </c>
      <c r="AJ5250">
        <v>103.65777233689001</v>
      </c>
      <c r="AK5250">
        <v>17.349502034393701</v>
      </c>
      <c r="AL5250">
        <v>89.932281874940102</v>
      </c>
      <c r="AM5250">
        <v>89.850007684795699</v>
      </c>
      <c r="AN5250">
        <v>1.0000000250393299</v>
      </c>
    </row>
    <row r="5251" spans="1:40" x14ac:dyDescent="0.25">
      <c r="A5251" t="str">
        <f>"20190312161120230"</f>
        <v>20190312161120230</v>
      </c>
      <c r="B5251" t="str">
        <f>"1552378280221940"</f>
        <v>1552378280221940</v>
      </c>
      <c r="C5251" t="s">
        <v>40</v>
      </c>
      <c r="D5251">
        <v>6.0861539999999996</v>
      </c>
      <c r="E5251">
        <v>0.40846470000000001</v>
      </c>
      <c r="F5251" t="s">
        <v>97</v>
      </c>
      <c r="G5251">
        <v>-383.81209999999999</v>
      </c>
      <c r="H5251" s="1">
        <v>-3.027398E-6</v>
      </c>
      <c r="I5251">
        <v>19.04176</v>
      </c>
      <c r="J5251">
        <v>-401.30470000000003</v>
      </c>
      <c r="K5251">
        <v>1.1113489999999999</v>
      </c>
      <c r="L5251">
        <v>19.07217</v>
      </c>
      <c r="M5251">
        <v>0.97134109999999996</v>
      </c>
      <c r="N5251">
        <v>0</v>
      </c>
      <c r="O5251">
        <v>-0.23731269999999999</v>
      </c>
      <c r="P5251">
        <v>0.97088830000000004</v>
      </c>
      <c r="Q5251">
        <v>-1.190164E-2</v>
      </c>
      <c r="R5251">
        <v>-0.2392377</v>
      </c>
      <c r="S5251">
        <v>3.086884</v>
      </c>
      <c r="T5251">
        <v>-0.19414529999999999</v>
      </c>
      <c r="U5251">
        <v>-1.242065E-2</v>
      </c>
      <c r="V5251">
        <v>1.9737550000000002E-3</v>
      </c>
      <c r="W5251">
        <v>1.501385E-3</v>
      </c>
      <c r="X5251">
        <v>0.99999689999999997</v>
      </c>
      <c r="Y5251">
        <v>-0.23250209999999999</v>
      </c>
      <c r="Z5251">
        <v>2.2106270000000001E-2</v>
      </c>
      <c r="AA5251">
        <v>0.9723446</v>
      </c>
      <c r="AB5251">
        <v>18</v>
      </c>
      <c r="AC5251">
        <v>17.492599999999999</v>
      </c>
      <c r="AD5251">
        <v>-1.111352027398</v>
      </c>
      <c r="AE5251">
        <v>-3.0409999999999798E-2</v>
      </c>
      <c r="AF5251">
        <v>-4.1054755962832701</v>
      </c>
      <c r="AG5251">
        <v>-1.111352027398</v>
      </c>
      <c r="AH5251">
        <v>16.9316779733165</v>
      </c>
      <c r="AI5251">
        <v>93.649897706396402</v>
      </c>
      <c r="AJ5251">
        <v>103.62963606261199</v>
      </c>
      <c r="AK5251">
        <v>17.457713257828701</v>
      </c>
      <c r="AL5251">
        <v>89.913976941601504</v>
      </c>
      <c r="AM5251">
        <v>89.886911964987206</v>
      </c>
      <c r="AN5251">
        <v>0.99999997493766302</v>
      </c>
    </row>
    <row r="5252" spans="1:40" x14ac:dyDescent="0.25">
      <c r="A5252" t="str">
        <f>"20190312161120254"</f>
        <v>20190312161120254</v>
      </c>
      <c r="B5252" t="str">
        <f>"1552378280242439"</f>
        <v>1552378280242439</v>
      </c>
      <c r="C5252" t="s">
        <v>40</v>
      </c>
      <c r="D5252">
        <v>6.0528130000000004</v>
      </c>
      <c r="E5252">
        <v>0.40389530000000001</v>
      </c>
      <c r="F5252" t="s">
        <v>97</v>
      </c>
      <c r="G5252">
        <v>-383.41609999999997</v>
      </c>
      <c r="H5252" s="1">
        <v>-3.2114209999999998E-6</v>
      </c>
      <c r="I5252">
        <v>19.059799999999999</v>
      </c>
      <c r="J5252">
        <v>-401.13560000000001</v>
      </c>
      <c r="K5252">
        <v>1.1113630000000001</v>
      </c>
      <c r="L5252">
        <v>19.03387</v>
      </c>
      <c r="M5252">
        <v>0.97191719999999904</v>
      </c>
      <c r="N5252">
        <v>0</v>
      </c>
      <c r="O5252">
        <v>-0.23494190000000001</v>
      </c>
      <c r="P5252">
        <v>0.9715414</v>
      </c>
      <c r="Q5252">
        <v>-1.1196340000000001E-2</v>
      </c>
      <c r="R5252">
        <v>-0.2366045</v>
      </c>
      <c r="S5252">
        <v>3.0870669999999998</v>
      </c>
      <c r="T5252">
        <v>-0.19178799999999999</v>
      </c>
      <c r="U5252">
        <v>-2.1362299999999998E-3</v>
      </c>
      <c r="V5252">
        <v>1.699084E-3</v>
      </c>
      <c r="W5252">
        <v>2.2009040000000001E-3</v>
      </c>
      <c r="X5252">
        <v>0.99999610000000005</v>
      </c>
      <c r="Y5252">
        <v>-0.23339380000000001</v>
      </c>
      <c r="Z5252">
        <v>2.1722370000000001E-2</v>
      </c>
      <c r="AA5252">
        <v>0.97213970000000005</v>
      </c>
      <c r="AB5252">
        <v>17</v>
      </c>
      <c r="AC5252">
        <v>17.7195</v>
      </c>
      <c r="AD5252">
        <v>-1.1113662114209999</v>
      </c>
      <c r="AE5252">
        <v>2.5929999999998898E-2</v>
      </c>
      <c r="AF5252">
        <v>-4.1722176502382702</v>
      </c>
      <c r="AG5252">
        <v>-1.1113662114209999</v>
      </c>
      <c r="AH5252">
        <v>17.149874138453299</v>
      </c>
      <c r="AI5252">
        <v>93.602964503760205</v>
      </c>
      <c r="AJ5252">
        <v>103.673283710829</v>
      </c>
      <c r="AK5252">
        <v>17.685042209212799</v>
      </c>
      <c r="AL5252">
        <v>89.873897383521907</v>
      </c>
      <c r="AM5252">
        <v>89.9026493717747</v>
      </c>
      <c r="AN5252">
        <v>0.999999965440032</v>
      </c>
    </row>
    <row r="5253" spans="1:40" x14ac:dyDescent="0.25">
      <c r="A5253" t="str">
        <f>"20190312161120275"</f>
        <v>20190312161120275</v>
      </c>
      <c r="B5253" t="str">
        <f>"1552378280272692"</f>
        <v>1552378280272692</v>
      </c>
      <c r="C5253" t="s">
        <v>40</v>
      </c>
      <c r="D5253">
        <v>6.094703</v>
      </c>
      <c r="E5253">
        <v>0.4058814</v>
      </c>
      <c r="F5253" t="s">
        <v>41</v>
      </c>
      <c r="G5253">
        <v>-355.22309999999999</v>
      </c>
      <c r="H5253" s="1">
        <v>-2.0371189999999998E-6</v>
      </c>
      <c r="I5253">
        <v>19.585000000000001</v>
      </c>
      <c r="J5253">
        <v>-400.9692</v>
      </c>
      <c r="K5253">
        <v>1.1113959999999901</v>
      </c>
      <c r="L5253">
        <v>18.996639999999999</v>
      </c>
      <c r="M5253">
        <v>0.97247939999999999</v>
      </c>
      <c r="N5253">
        <v>0</v>
      </c>
      <c r="O5253">
        <v>-0.23260420000000001</v>
      </c>
      <c r="P5253">
        <v>0.97194559999999997</v>
      </c>
      <c r="Q5253">
        <v>-1.11185E-2</v>
      </c>
      <c r="R5253">
        <v>-0.23494319999999999</v>
      </c>
      <c r="S5253">
        <v>3.0960999999999999</v>
      </c>
      <c r="T5253">
        <v>-7.4944730000000001E-2</v>
      </c>
      <c r="U5253">
        <v>3.7170410000000001E-2</v>
      </c>
      <c r="V5253">
        <v>2.3932950000000001E-3</v>
      </c>
      <c r="W5253">
        <v>2.2767199999999999E-3</v>
      </c>
      <c r="X5253">
        <v>0.99999450000000001</v>
      </c>
      <c r="Y5253">
        <v>-0.2441448</v>
      </c>
      <c r="Z5253">
        <v>8.5471119999999904E-3</v>
      </c>
      <c r="AA5253">
        <v>0.96970109999999998</v>
      </c>
      <c r="AB5253">
        <v>17</v>
      </c>
      <c r="AC5253">
        <v>45.746099999999998</v>
      </c>
      <c r="AD5253">
        <v>-1.11139803711899</v>
      </c>
      <c r="AE5253">
        <v>0.58836000000000099</v>
      </c>
      <c r="AF5253">
        <v>-11.207293302744</v>
      </c>
      <c r="AG5253">
        <v>-1.11139803711899</v>
      </c>
      <c r="AH5253">
        <v>44.328096998026901</v>
      </c>
      <c r="AI5253">
        <v>91.392428732366199</v>
      </c>
      <c r="AJ5253">
        <v>104.188532525553</v>
      </c>
      <c r="AK5253">
        <v>45.736405764304699</v>
      </c>
      <c r="AL5253">
        <v>89.869553434390397</v>
      </c>
      <c r="AM5253">
        <v>89.8628738049904</v>
      </c>
      <c r="AN5253">
        <v>0.99999995567258104</v>
      </c>
    </row>
    <row r="5254" spans="1:40" x14ac:dyDescent="0.25">
      <c r="A5254" t="str">
        <f>"20190312161120297"</f>
        <v>20190312161120297</v>
      </c>
      <c r="B5254" t="str">
        <f>"1552378280292212"</f>
        <v>1552378280292212</v>
      </c>
      <c r="C5254" t="s">
        <v>40</v>
      </c>
      <c r="D5254">
        <v>6.0632960000000002</v>
      </c>
      <c r="E5254">
        <v>0.40677720000000001</v>
      </c>
      <c r="F5254" t="s">
        <v>98</v>
      </c>
      <c r="G5254">
        <v>-364.07380000000001</v>
      </c>
      <c r="H5254" s="1">
        <v>-2.8525569999999999E-6</v>
      </c>
      <c r="I5254">
        <v>19.330169999999999</v>
      </c>
      <c r="J5254">
        <v>-400.80829999999997</v>
      </c>
      <c r="K5254">
        <v>1.1114269999999999</v>
      </c>
      <c r="L5254">
        <v>18.960999999999999</v>
      </c>
      <c r="M5254">
        <v>0.97302160000000004</v>
      </c>
      <c r="N5254">
        <v>0</v>
      </c>
      <c r="O5254">
        <v>-0.2303251</v>
      </c>
      <c r="P5254">
        <v>0.97261359999999997</v>
      </c>
      <c r="Q5254">
        <v>-1.038319E-2</v>
      </c>
      <c r="R5254">
        <v>-0.2321954</v>
      </c>
      <c r="S5254">
        <v>3.0923159999999998</v>
      </c>
      <c r="T5254">
        <v>-9.3149540000000003E-2</v>
      </c>
      <c r="U5254">
        <v>2.7954099999999999E-2</v>
      </c>
      <c r="V5254">
        <v>1.9063159999999999E-3</v>
      </c>
      <c r="W5254">
        <v>3.0067560000000002E-3</v>
      </c>
      <c r="X5254">
        <v>0.99999369999999999</v>
      </c>
      <c r="Y5254">
        <v>-0.2389213</v>
      </c>
      <c r="Z5254">
        <v>1.0489109999999999E-2</v>
      </c>
      <c r="AA5254">
        <v>0.97098229999999996</v>
      </c>
      <c r="AB5254">
        <v>17</v>
      </c>
      <c r="AC5254">
        <v>36.734499999999898</v>
      </c>
      <c r="AD5254">
        <v>-1.1114298525570001</v>
      </c>
      <c r="AE5254">
        <v>0.369170000000003</v>
      </c>
      <c r="AF5254">
        <v>-8.8128121347440196</v>
      </c>
      <c r="AG5254">
        <v>-1.1114298525570001</v>
      </c>
      <c r="AH5254">
        <v>35.629018429633597</v>
      </c>
      <c r="AI5254">
        <v>91.734495857829302</v>
      </c>
      <c r="AJ5254">
        <v>103.89321343583001</v>
      </c>
      <c r="AK5254">
        <v>36.719584533306197</v>
      </c>
      <c r="AL5254">
        <v>89.827725318027603</v>
      </c>
      <c r="AM5254">
        <v>89.890775582977199</v>
      </c>
      <c r="AN5254">
        <v>1.0000000373310101</v>
      </c>
    </row>
    <row r="5255" spans="1:40" x14ac:dyDescent="0.25">
      <c r="A5255" t="str">
        <f>"20190312161120319"</f>
        <v>20190312161120319</v>
      </c>
      <c r="B5255" t="str">
        <f>"1552378280312707"</f>
        <v>1552378280312707</v>
      </c>
      <c r="C5255" t="s">
        <v>40</v>
      </c>
      <c r="D5255">
        <v>6.1095389999999998</v>
      </c>
      <c r="E5255">
        <v>0.41327069999999999</v>
      </c>
      <c r="F5255" t="s">
        <v>98</v>
      </c>
      <c r="G5255">
        <v>-364.67930000000001</v>
      </c>
      <c r="H5255" s="1">
        <v>-2.570009E-6</v>
      </c>
      <c r="I5255">
        <v>19.309550000000002</v>
      </c>
      <c r="J5255">
        <v>-400.63799999999998</v>
      </c>
      <c r="K5255">
        <v>1.1114599999999999</v>
      </c>
      <c r="L5255">
        <v>18.923739999999999</v>
      </c>
      <c r="M5255">
        <v>0.97359560000000001</v>
      </c>
      <c r="N5255">
        <v>0</v>
      </c>
      <c r="O5255">
        <v>-0.22788729999999999</v>
      </c>
      <c r="P5255">
        <v>0.97326469999999998</v>
      </c>
      <c r="Q5255">
        <v>-9.8529629999999993E-3</v>
      </c>
      <c r="R5255">
        <v>-0.22947519999999999</v>
      </c>
      <c r="S5255">
        <v>3.090576</v>
      </c>
      <c r="T5255">
        <v>-9.5074649999999997E-2</v>
      </c>
      <c r="U5255">
        <v>2.9815669999999999E-2</v>
      </c>
      <c r="V5255">
        <v>1.6121849999999999E-3</v>
      </c>
      <c r="W5255">
        <v>3.5336579999999999E-3</v>
      </c>
      <c r="X5255">
        <v>0.9999924</v>
      </c>
      <c r="Y5255">
        <v>-0.23707139999999999</v>
      </c>
      <c r="Z5255">
        <v>1.060997E-2</v>
      </c>
      <c r="AA5255">
        <v>0.97143429999999997</v>
      </c>
      <c r="AB5255">
        <v>17</v>
      </c>
      <c r="AC5255">
        <v>35.9587</v>
      </c>
      <c r="AD5255">
        <v>-1.111462570009</v>
      </c>
      <c r="AE5255">
        <v>0.38581000000000198</v>
      </c>
      <c r="AF5255">
        <v>-8.5627412103490901</v>
      </c>
      <c r="AG5255">
        <v>-1.111462570009</v>
      </c>
      <c r="AH5255">
        <v>34.891105682377898</v>
      </c>
      <c r="AI5255">
        <v>91.772003900451594</v>
      </c>
      <c r="AJ5255">
        <v>103.788637700141</v>
      </c>
      <c r="AK5255">
        <v>35.943638405409096</v>
      </c>
      <c r="AL5255">
        <v>89.797535877456198</v>
      </c>
      <c r="AM5255">
        <v>89.907627981708202</v>
      </c>
      <c r="AN5255">
        <v>0.999999942968545</v>
      </c>
    </row>
    <row r="5256" spans="1:40" x14ac:dyDescent="0.25">
      <c r="A5256" t="str">
        <f>"20190312161120342"</f>
        <v>20190312161120342</v>
      </c>
      <c r="B5256" t="str">
        <f>"1552378280332228"</f>
        <v>1552378280332228</v>
      </c>
      <c r="C5256" t="s">
        <v>40</v>
      </c>
      <c r="D5256">
        <v>5.9380449999999998</v>
      </c>
      <c r="E5256">
        <v>0.414576</v>
      </c>
      <c r="F5256" t="s">
        <v>99</v>
      </c>
      <c r="G5256">
        <v>-379.1311</v>
      </c>
      <c r="H5256" s="1">
        <v>-5.2585919999999898E-7</v>
      </c>
      <c r="I5256">
        <v>18.857220000000002</v>
      </c>
      <c r="J5256">
        <v>-400.46159999999998</v>
      </c>
      <c r="K5256">
        <v>1.1114839999999999</v>
      </c>
      <c r="L5256">
        <v>18.885649999999998</v>
      </c>
      <c r="M5256">
        <v>0.97419009999999995</v>
      </c>
      <c r="N5256">
        <v>0</v>
      </c>
      <c r="O5256">
        <v>-0.2253329</v>
      </c>
      <c r="P5256">
        <v>0.97351589999999999</v>
      </c>
      <c r="Q5256">
        <v>-1.01972E-2</v>
      </c>
      <c r="R5256">
        <v>-0.2283917</v>
      </c>
      <c r="S5256">
        <v>3.0785520000000002</v>
      </c>
      <c r="T5256">
        <v>-0.15909719999999999</v>
      </c>
      <c r="U5256">
        <v>-9.5214840000000002E-3</v>
      </c>
      <c r="V5256">
        <v>3.1235099999999999E-3</v>
      </c>
      <c r="W5256">
        <v>3.1889069999999999E-3</v>
      </c>
      <c r="X5256">
        <v>0.99999000000000005</v>
      </c>
      <c r="Y5256">
        <v>-0.2217461</v>
      </c>
      <c r="Z5256">
        <v>1.728739E-2</v>
      </c>
      <c r="AA5256">
        <v>0.97495120000000002</v>
      </c>
      <c r="AB5256">
        <v>17</v>
      </c>
      <c r="AC5256">
        <v>21.330499999999901</v>
      </c>
      <c r="AD5256">
        <v>-1.1114845258592001</v>
      </c>
      <c r="AE5256">
        <v>-2.84299999999966E-2</v>
      </c>
      <c r="AF5256">
        <v>-4.7662529237213898</v>
      </c>
      <c r="AG5256">
        <v>-1.1114845258592001</v>
      </c>
      <c r="AH5256">
        <v>20.731934368953699</v>
      </c>
      <c r="AI5256">
        <v>92.990938602132402</v>
      </c>
      <c r="AJ5256">
        <v>102.94727336704</v>
      </c>
      <c r="AK5256">
        <v>21.3017761574642</v>
      </c>
      <c r="AL5256">
        <v>89.817288771168293</v>
      </c>
      <c r="AM5256">
        <v>89.821034852099302</v>
      </c>
      <c r="AN5256">
        <v>0.999999962771286</v>
      </c>
    </row>
    <row r="5257" spans="1:40" x14ac:dyDescent="0.25">
      <c r="A5257" t="str">
        <f>"20190312161120364"</f>
        <v>20190312161120364</v>
      </c>
      <c r="B5257" t="str">
        <f>"1552378280352724"</f>
        <v>1552378280352724</v>
      </c>
      <c r="C5257" t="s">
        <v>40</v>
      </c>
      <c r="D5257">
        <v>6.1191060000000004</v>
      </c>
      <c r="E5257">
        <v>0.41491020000000001</v>
      </c>
      <c r="F5257" t="s">
        <v>99</v>
      </c>
      <c r="G5257">
        <v>-379.1191</v>
      </c>
      <c r="H5257" s="1">
        <v>-5.4637279999999998E-7</v>
      </c>
      <c r="I5257">
        <v>18.774920000000002</v>
      </c>
      <c r="J5257">
        <v>-400.30040000000002</v>
      </c>
      <c r="K5257">
        <v>1.111494</v>
      </c>
      <c r="L5257">
        <v>18.851289999999999</v>
      </c>
      <c r="M5257">
        <v>0.97473290000000001</v>
      </c>
      <c r="N5257">
        <v>0</v>
      </c>
      <c r="O5257">
        <v>-0.2229738</v>
      </c>
      <c r="P5257">
        <v>0.97352470000000002</v>
      </c>
      <c r="Q5257">
        <v>-1.0770500000000001E-2</v>
      </c>
      <c r="R5257">
        <v>-0.228329</v>
      </c>
      <c r="S5257">
        <v>3.0762330000000002</v>
      </c>
      <c r="T5257">
        <v>-0.16020509999999999</v>
      </c>
      <c r="U5257">
        <v>-1.596069E-2</v>
      </c>
      <c r="V5257">
        <v>5.4823980000000003E-3</v>
      </c>
      <c r="W5257">
        <v>2.6114599999999999E-3</v>
      </c>
      <c r="X5257">
        <v>0.99998160000000003</v>
      </c>
      <c r="Y5257">
        <v>-0.21734039999999999</v>
      </c>
      <c r="Z5257">
        <v>1.7184979999999999E-2</v>
      </c>
      <c r="AA5257">
        <v>0.97594460000000005</v>
      </c>
      <c r="AB5257">
        <v>17</v>
      </c>
      <c r="AC5257">
        <v>21.1813</v>
      </c>
      <c r="AD5257">
        <v>-1.1114945463728001</v>
      </c>
      <c r="AE5257">
        <v>-7.6369999999997107E-2</v>
      </c>
      <c r="AF5257">
        <v>-4.6360834234057497</v>
      </c>
      <c r="AG5257">
        <v>-1.1114945463728001</v>
      </c>
      <c r="AH5257">
        <v>20.6082352614551</v>
      </c>
      <c r="AI5257">
        <v>93.0120933470007</v>
      </c>
      <c r="AJ5257">
        <v>102.678347143452</v>
      </c>
      <c r="AK5257">
        <v>21.152495130052099</v>
      </c>
      <c r="AL5257">
        <v>89.850374199306501</v>
      </c>
      <c r="AM5257">
        <v>89.685879100341694</v>
      </c>
      <c r="AN5257">
        <v>1.00000003837486</v>
      </c>
    </row>
    <row r="5258" spans="1:40" x14ac:dyDescent="0.25">
      <c r="A5258" t="str">
        <f>"20190312161120385"</f>
        <v>20190312161120385</v>
      </c>
      <c r="B5258" t="str">
        <f>"1552378280382003"</f>
        <v>1552378280382003</v>
      </c>
      <c r="C5258" t="s">
        <v>40</v>
      </c>
      <c r="D5258">
        <v>6.0331140000000003</v>
      </c>
      <c r="E5258">
        <v>0.414941</v>
      </c>
      <c r="F5258" t="s">
        <v>99</v>
      </c>
      <c r="G5258">
        <v>-378.37009999999998</v>
      </c>
      <c r="H5258" s="1">
        <v>-9.095255E-7</v>
      </c>
      <c r="I5258">
        <v>18.722249999999999</v>
      </c>
      <c r="J5258">
        <v>-400.13749999999999</v>
      </c>
      <c r="K5258">
        <v>1.111502</v>
      </c>
      <c r="L5258">
        <v>18.816960000000002</v>
      </c>
      <c r="M5258">
        <v>0.97527900000000001</v>
      </c>
      <c r="N5258">
        <v>0</v>
      </c>
      <c r="O5258">
        <v>-0.22057370000000001</v>
      </c>
      <c r="P5258">
        <v>0.97370610000000002</v>
      </c>
      <c r="Q5258">
        <v>-1.074545E-2</v>
      </c>
      <c r="R5258">
        <v>-0.2275558</v>
      </c>
      <c r="S5258">
        <v>3.0756230000000002</v>
      </c>
      <c r="T5258">
        <v>-0.15588160000000001</v>
      </c>
      <c r="U5258">
        <v>-1.8096919999999999E-2</v>
      </c>
      <c r="V5258">
        <v>7.1497640000000003E-3</v>
      </c>
      <c r="W5258">
        <v>2.6248109999999999E-3</v>
      </c>
      <c r="X5258">
        <v>0.99997100000000005</v>
      </c>
      <c r="Y5258">
        <v>-0.21429609999999999</v>
      </c>
      <c r="Z5258">
        <v>1.6528580000000001E-2</v>
      </c>
      <c r="AA5258">
        <v>0.97662890000000002</v>
      </c>
      <c r="AB5258">
        <v>17</v>
      </c>
      <c r="AC5258">
        <v>21.767399999999999</v>
      </c>
      <c r="AD5258">
        <v>-1.1115029095255</v>
      </c>
      <c r="AE5258">
        <v>-9.4710000000002695E-2</v>
      </c>
      <c r="AF5258">
        <v>-4.6971196563736504</v>
      </c>
      <c r="AG5258">
        <v>-1.1115029095255</v>
      </c>
      <c r="AH5258">
        <v>21.196803825838501</v>
      </c>
      <c r="AI5258">
        <v>92.930720885253294</v>
      </c>
      <c r="AJ5258">
        <v>102.49459298555701</v>
      </c>
      <c r="AK5258">
        <v>21.7394310922631</v>
      </c>
      <c r="AL5258">
        <v>89.849609235712407</v>
      </c>
      <c r="AM5258">
        <v>89.590343798785099</v>
      </c>
      <c r="AN5258">
        <v>1.0000000047995199</v>
      </c>
    </row>
    <row r="5259" spans="1:40" x14ac:dyDescent="0.25">
      <c r="A5259" t="str">
        <f>"20190312161120409"</f>
        <v>20190312161120409</v>
      </c>
      <c r="B5259" t="str">
        <f>"1552378280402501"</f>
        <v>1552378280402501</v>
      </c>
      <c r="C5259" t="s">
        <v>40</v>
      </c>
      <c r="D5259">
        <v>6.0872549999999999</v>
      </c>
      <c r="E5259">
        <v>0.41535490000000003</v>
      </c>
      <c r="F5259" t="s">
        <v>99</v>
      </c>
      <c r="G5259">
        <v>-378.1413</v>
      </c>
      <c r="H5259" s="1">
        <v>-1.0211949999999999E-6</v>
      </c>
      <c r="I5259">
        <v>18.702369999999998</v>
      </c>
      <c r="J5259">
        <v>-399.96080000000001</v>
      </c>
      <c r="K5259">
        <v>1.111507</v>
      </c>
      <c r="L5259">
        <v>18.780270000000002</v>
      </c>
      <c r="M5259">
        <v>0.97586459999999997</v>
      </c>
      <c r="N5259">
        <v>0</v>
      </c>
      <c r="O5259">
        <v>-0.21796889999999999</v>
      </c>
      <c r="P5259">
        <v>0.97407670000000002</v>
      </c>
      <c r="Q5259">
        <v>-1.056091E-2</v>
      </c>
      <c r="R5259">
        <v>-0.22597110000000001</v>
      </c>
      <c r="S5259">
        <v>3.0755309999999998</v>
      </c>
      <c r="T5259">
        <v>-0.1554121</v>
      </c>
      <c r="U5259">
        <v>-1.6021730000000001E-2</v>
      </c>
      <c r="V5259">
        <v>8.1917489999999999E-3</v>
      </c>
      <c r="W5259">
        <v>2.7959949999999999E-3</v>
      </c>
      <c r="X5259">
        <v>0.99996249999999998</v>
      </c>
      <c r="Y5259">
        <v>-0.21235570000000001</v>
      </c>
      <c r="Z5259">
        <v>1.6301550000000001E-2</v>
      </c>
      <c r="AA5259">
        <v>0.97705640000000005</v>
      </c>
      <c r="AB5259">
        <v>17</v>
      </c>
      <c r="AC5259">
        <v>21.819500000000001</v>
      </c>
      <c r="AD5259">
        <v>-1.1115080211949999</v>
      </c>
      <c r="AE5259">
        <v>-7.7899999999999595E-2</v>
      </c>
      <c r="AF5259">
        <v>-4.6682548425479302</v>
      </c>
      <c r="AG5259">
        <v>-1.1115080211949999</v>
      </c>
      <c r="AH5259">
        <v>21.2565926213667</v>
      </c>
      <c r="AI5259">
        <v>92.923721507195495</v>
      </c>
      <c r="AJ5259">
        <v>102.386346110305</v>
      </c>
      <c r="AK5259">
        <v>21.791530079985101</v>
      </c>
      <c r="AL5259">
        <v>89.839801072123706</v>
      </c>
      <c r="AM5259">
        <v>89.530640253441206</v>
      </c>
      <c r="AN5259">
        <v>0.99999996187298301</v>
      </c>
    </row>
    <row r="5260" spans="1:40" x14ac:dyDescent="0.25">
      <c r="A5260" t="str">
        <f>"20190312161120431"</f>
        <v>20190312161120431</v>
      </c>
      <c r="B5260" t="str">
        <f>"1552378280422019"</f>
        <v>1552378280422019</v>
      </c>
      <c r="C5260" t="s">
        <v>40</v>
      </c>
      <c r="D5260">
        <v>5.9848610000000004</v>
      </c>
      <c r="E5260">
        <v>0.41586600000000001</v>
      </c>
      <c r="F5260" t="s">
        <v>99</v>
      </c>
      <c r="G5260">
        <v>-378.37569999999999</v>
      </c>
      <c r="H5260" s="1">
        <v>-9.1441370000000002E-7</v>
      </c>
      <c r="I5260">
        <v>18.6798</v>
      </c>
      <c r="J5260">
        <v>-399.7955</v>
      </c>
      <c r="K5260">
        <v>1.111504</v>
      </c>
      <c r="L5260">
        <v>18.74643</v>
      </c>
      <c r="M5260">
        <v>0.97640570000000004</v>
      </c>
      <c r="N5260">
        <v>0</v>
      </c>
      <c r="O5260">
        <v>-0.21553359999999999</v>
      </c>
      <c r="P5260">
        <v>0.97436080000000003</v>
      </c>
      <c r="Q5260">
        <v>-1.098622E-2</v>
      </c>
      <c r="R5260">
        <v>-0.2247236</v>
      </c>
      <c r="S5260">
        <v>3.0748600000000001</v>
      </c>
      <c r="T5260">
        <v>-0.1583376</v>
      </c>
      <c r="U5260">
        <v>-1.4312739999999999E-2</v>
      </c>
      <c r="V5260">
        <v>9.4081549999999996E-3</v>
      </c>
      <c r="W5260">
        <v>2.3592140000000001E-3</v>
      </c>
      <c r="X5260">
        <v>0.99995299999999998</v>
      </c>
      <c r="Y5260">
        <v>-0.2104441</v>
      </c>
      <c r="Z5260">
        <v>1.643963E-2</v>
      </c>
      <c r="AA5260">
        <v>0.97746770000000005</v>
      </c>
      <c r="AB5260">
        <v>17</v>
      </c>
      <c r="AC5260">
        <v>21.419799999999999</v>
      </c>
      <c r="AD5260">
        <v>-1.1115049144136999</v>
      </c>
      <c r="AE5260">
        <v>-6.6629999999999898E-2</v>
      </c>
      <c r="AF5260">
        <v>-4.5398076336027398</v>
      </c>
      <c r="AG5260">
        <v>-1.1115049144136999</v>
      </c>
      <c r="AH5260">
        <v>20.874421577973099</v>
      </c>
      <c r="AI5260">
        <v>92.978467793626294</v>
      </c>
      <c r="AJ5260">
        <v>102.26972691326399</v>
      </c>
      <c r="AK5260">
        <v>21.391277959482199</v>
      </c>
      <c r="AL5260">
        <v>89.864826874945393</v>
      </c>
      <c r="AM5260">
        <v>89.460942994773902</v>
      </c>
      <c r="AN5260">
        <v>1.0000000407401</v>
      </c>
    </row>
    <row r="5261" spans="1:40" x14ac:dyDescent="0.25">
      <c r="A5261" t="str">
        <f>"20190312161120454"</f>
        <v>20190312161120454</v>
      </c>
      <c r="B5261" t="str">
        <f>"1552378280442519"</f>
        <v>1552378280442519</v>
      </c>
      <c r="C5261" t="s">
        <v>40</v>
      </c>
      <c r="D5261">
        <v>6.0408739999999996</v>
      </c>
      <c r="E5261">
        <v>0.41603079999999998</v>
      </c>
      <c r="F5261" t="s">
        <v>99</v>
      </c>
      <c r="G5261">
        <v>-378.1241</v>
      </c>
      <c r="H5261" s="1">
        <v>-1.0393989999999999E-6</v>
      </c>
      <c r="I5261">
        <v>18.64574</v>
      </c>
      <c r="J5261">
        <v>-399.62689999999998</v>
      </c>
      <c r="K5261">
        <v>1.111504</v>
      </c>
      <c r="L5261">
        <v>18.712309999999999</v>
      </c>
      <c r="M5261">
        <v>0.97695089999999996</v>
      </c>
      <c r="N5261">
        <v>0</v>
      </c>
      <c r="O5261">
        <v>-0.2130502</v>
      </c>
      <c r="P5261">
        <v>0.97474550000000004</v>
      </c>
      <c r="Q5261">
        <v>-1.1338330000000001E-2</v>
      </c>
      <c r="R5261">
        <v>-0.22303110000000001</v>
      </c>
      <c r="S5261">
        <v>3.0738829999999999</v>
      </c>
      <c r="T5261">
        <v>-0.15765599999999999</v>
      </c>
      <c r="U5261">
        <v>-1.428223E-2</v>
      </c>
      <c r="V5261">
        <v>1.021613E-2</v>
      </c>
      <c r="W5261">
        <v>1.987281E-3</v>
      </c>
      <c r="X5261">
        <v>0.9999458</v>
      </c>
      <c r="Y5261">
        <v>-0.2079771</v>
      </c>
      <c r="Z5261">
        <v>1.6185939999999999E-2</v>
      </c>
      <c r="AA5261">
        <v>0.97799970000000003</v>
      </c>
      <c r="AB5261">
        <v>17</v>
      </c>
      <c r="AC5261">
        <v>21.502799999999901</v>
      </c>
      <c r="AD5261">
        <v>-1.111505039399</v>
      </c>
      <c r="AE5261">
        <v>-6.6570000000002197E-2</v>
      </c>
      <c r="AF5261">
        <v>-4.5045031202283701</v>
      </c>
      <c r="AG5261">
        <v>-1.111505039399</v>
      </c>
      <c r="AH5261">
        <v>20.967195141779499</v>
      </c>
      <c r="AI5261">
        <v>92.966930790802394</v>
      </c>
      <c r="AJ5261">
        <v>102.124884900193</v>
      </c>
      <c r="AK5261">
        <v>21.474386229324899</v>
      </c>
      <c r="AL5261">
        <v>89.886137106580094</v>
      </c>
      <c r="AM5261">
        <v>89.414647506753795</v>
      </c>
      <c r="AN5261">
        <v>0.99999996076779396</v>
      </c>
    </row>
    <row r="5262" spans="1:40" x14ac:dyDescent="0.25">
      <c r="A5262" t="str">
        <f>"20190312161120477"</f>
        <v>20190312161120477</v>
      </c>
      <c r="B5262" t="str">
        <f>"1552378280472772"</f>
        <v>1552378280472772</v>
      </c>
      <c r="C5262" t="s">
        <v>40</v>
      </c>
      <c r="D5262">
        <v>6.0729069999999998</v>
      </c>
      <c r="E5262">
        <v>0.41625089999999998</v>
      </c>
      <c r="F5262" t="s">
        <v>99</v>
      </c>
      <c r="G5262">
        <v>-377.40890000000002</v>
      </c>
      <c r="H5262" s="1">
        <v>-1.37889E-6</v>
      </c>
      <c r="I5262">
        <v>18.637740000000001</v>
      </c>
      <c r="J5262">
        <v>-399.45030000000003</v>
      </c>
      <c r="K5262">
        <v>1.1114980000000001</v>
      </c>
      <c r="L5262">
        <v>18.677060000000001</v>
      </c>
      <c r="M5262">
        <v>0.97751399999999999</v>
      </c>
      <c r="N5262">
        <v>0</v>
      </c>
      <c r="O5262">
        <v>-0.21045269999999999</v>
      </c>
      <c r="P5262">
        <v>0.97540530000000003</v>
      </c>
      <c r="Q5262">
        <v>-1.09915E-2</v>
      </c>
      <c r="R5262">
        <v>-0.22014439999999999</v>
      </c>
      <c r="S5262">
        <v>3.0736080000000001</v>
      </c>
      <c r="T5262">
        <v>-0.15376389999999901</v>
      </c>
      <c r="U5262">
        <v>-1.031494E-2</v>
      </c>
      <c r="V5262">
        <v>9.9118980000000006E-3</v>
      </c>
      <c r="W5262">
        <v>2.2977010000000001E-3</v>
      </c>
      <c r="X5262">
        <v>0.99994830000000001</v>
      </c>
      <c r="Y5262">
        <v>-0.20667070000000001</v>
      </c>
      <c r="Z5262">
        <v>1.562844E-2</v>
      </c>
      <c r="AA5262">
        <v>0.97828570000000004</v>
      </c>
      <c r="AB5262">
        <v>17</v>
      </c>
      <c r="AC5262">
        <v>22.041399999999999</v>
      </c>
      <c r="AD5262">
        <v>-1.1114993788899901</v>
      </c>
      <c r="AE5262">
        <v>-3.9320000000000001E-2</v>
      </c>
      <c r="AF5262">
        <v>-4.5889717099449596</v>
      </c>
      <c r="AG5262">
        <v>-1.1114993788899901</v>
      </c>
      <c r="AH5262">
        <v>21.501272753266701</v>
      </c>
      <c r="AI5262">
        <v>92.894178968616501</v>
      </c>
      <c r="AJ5262">
        <v>102.047758014232</v>
      </c>
      <c r="AK5262">
        <v>22.013605389265901</v>
      </c>
      <c r="AL5262">
        <v>89.868351322692405</v>
      </c>
      <c r="AM5262">
        <v>89.432079315203197</v>
      </c>
      <c r="AN5262">
        <v>1.0000000639123601</v>
      </c>
    </row>
    <row r="5263" spans="1:40" x14ac:dyDescent="0.25">
      <c r="A5263" t="str">
        <f>"20190312161120500"</f>
        <v>20190312161120500</v>
      </c>
      <c r="B5263" t="str">
        <f>"1552378280492292"</f>
        <v>1552378280492292</v>
      </c>
      <c r="C5263" t="s">
        <v>40</v>
      </c>
      <c r="D5263">
        <v>6.0463789999999999</v>
      </c>
      <c r="E5263">
        <v>0.41638150000000002</v>
      </c>
      <c r="F5263" t="s">
        <v>99</v>
      </c>
      <c r="G5263">
        <v>-376.20499999999998</v>
      </c>
      <c r="H5263" s="1">
        <v>-1.9452090000000001E-6</v>
      </c>
      <c r="I5263">
        <v>18.653279999999999</v>
      </c>
      <c r="J5263">
        <v>-399.286</v>
      </c>
      <c r="K5263">
        <v>1.111486</v>
      </c>
      <c r="L5263">
        <v>18.644649999999999</v>
      </c>
      <c r="M5263">
        <v>0.97803050000000002</v>
      </c>
      <c r="N5263">
        <v>0</v>
      </c>
      <c r="O5263">
        <v>-0.2080427</v>
      </c>
      <c r="P5263">
        <v>0.97607619999999895</v>
      </c>
      <c r="Q5263">
        <v>-1.0035209999999999E-2</v>
      </c>
      <c r="R5263">
        <v>-0.21719769999999999</v>
      </c>
      <c r="S5263">
        <v>3.0732729999999999</v>
      </c>
      <c r="T5263">
        <v>-0.1469519</v>
      </c>
      <c r="U5263">
        <v>-3.1433110000000002E-3</v>
      </c>
      <c r="V5263">
        <v>9.3522840000000006E-3</v>
      </c>
      <c r="W5263">
        <v>3.2117949999999999E-3</v>
      </c>
      <c r="X5263">
        <v>0.99995109999999998</v>
      </c>
      <c r="Y5263">
        <v>-0.2065893</v>
      </c>
      <c r="Z5263">
        <v>1.482401E-2</v>
      </c>
      <c r="AA5263">
        <v>0.9783155</v>
      </c>
      <c r="AB5263">
        <v>17</v>
      </c>
      <c r="AC5263">
        <v>23.081</v>
      </c>
      <c r="AD5263">
        <v>-1.1114879452090001</v>
      </c>
      <c r="AE5263">
        <v>8.6300000000001306E-3</v>
      </c>
      <c r="AF5263">
        <v>-4.7995637217115297</v>
      </c>
      <c r="AG5263">
        <v>-1.1114879452090001</v>
      </c>
      <c r="AH5263">
        <v>22.521868946882599</v>
      </c>
      <c r="AI5263">
        <v>92.7633873907115</v>
      </c>
      <c r="AJ5263">
        <v>102.03016088997801</v>
      </c>
      <c r="AK5263">
        <v>23.054409518174001</v>
      </c>
      <c r="AL5263">
        <v>89.815977383910393</v>
      </c>
      <c r="AM5263">
        <v>89.464143017934305</v>
      </c>
      <c r="AN5263">
        <v>0.99999999161717401</v>
      </c>
    </row>
    <row r="5264" spans="1:40" x14ac:dyDescent="0.25">
      <c r="A5264" t="str">
        <f>"20190312161120522"</f>
        <v>20190312161120522</v>
      </c>
      <c r="B5264" t="str">
        <f>"1552378280512791"</f>
        <v>1552378280512791</v>
      </c>
      <c r="C5264" t="s">
        <v>40</v>
      </c>
      <c r="D5264">
        <v>6.0302519999999999</v>
      </c>
      <c r="E5264">
        <v>0.41676760000000002</v>
      </c>
      <c r="F5264" t="s">
        <v>99</v>
      </c>
      <c r="G5264">
        <v>-375.16820000000001</v>
      </c>
      <c r="H5264" s="1">
        <v>-2.429938E-6</v>
      </c>
      <c r="I5264">
        <v>18.683689999999999</v>
      </c>
      <c r="J5264">
        <v>-399.1112</v>
      </c>
      <c r="K5264">
        <v>1.1114790000000001</v>
      </c>
      <c r="L5264">
        <v>18.610720000000001</v>
      </c>
      <c r="M5264">
        <v>0.97857139999999998</v>
      </c>
      <c r="N5264">
        <v>0</v>
      </c>
      <c r="O5264">
        <v>-0.20548569999999999</v>
      </c>
      <c r="P5264">
        <v>0.97666560000000002</v>
      </c>
      <c r="Q5264">
        <v>-1.0156510000000001E-2</v>
      </c>
      <c r="R5264">
        <v>-0.21452560000000001</v>
      </c>
      <c r="S5264">
        <v>3.0731809999999999</v>
      </c>
      <c r="T5264">
        <v>-0.1416299</v>
      </c>
      <c r="U5264">
        <v>4.9743649999999997E-3</v>
      </c>
      <c r="V5264">
        <v>9.2301520000000001E-3</v>
      </c>
      <c r="W5264">
        <v>3.045856E-3</v>
      </c>
      <c r="X5264">
        <v>0.99995270000000003</v>
      </c>
      <c r="Y5264">
        <v>-0.20665220000000001</v>
      </c>
      <c r="Z5264">
        <v>1.417441E-2</v>
      </c>
      <c r="AA5264">
        <v>0.97831179999999995</v>
      </c>
      <c r="AB5264">
        <v>17</v>
      </c>
      <c r="AC5264">
        <v>23.942999999999898</v>
      </c>
      <c r="AD5264">
        <v>-1.111481429938</v>
      </c>
      <c r="AE5264">
        <v>7.2969999999997898E-2</v>
      </c>
      <c r="AF5264">
        <v>-4.9810498180642799</v>
      </c>
      <c r="AG5264">
        <v>-1.111481429938</v>
      </c>
      <c r="AH5264">
        <v>23.366619315483799</v>
      </c>
      <c r="AI5264">
        <v>92.663582373311996</v>
      </c>
      <c r="AJ5264">
        <v>102.03359476748</v>
      </c>
      <c r="AK5264">
        <v>23.9174653024495</v>
      </c>
      <c r="AL5264">
        <v>89.825485025467103</v>
      </c>
      <c r="AM5264">
        <v>89.471141250317601</v>
      </c>
      <c r="AN5264">
        <v>0.99999993759100103</v>
      </c>
    </row>
    <row r="5265" spans="1:40" x14ac:dyDescent="0.25">
      <c r="A5265" t="str">
        <f>"20190312161120544"</f>
        <v>20190312161120544</v>
      </c>
      <c r="B5265" t="str">
        <f>"1552378280532308"</f>
        <v>1552378280532308</v>
      </c>
      <c r="C5265" t="s">
        <v>40</v>
      </c>
      <c r="D5265">
        <v>5.9251579999999997</v>
      </c>
      <c r="E5265">
        <v>0.45015050000000001</v>
      </c>
      <c r="F5265" t="s">
        <v>99</v>
      </c>
      <c r="G5265">
        <v>-375.13979999999998</v>
      </c>
      <c r="H5265" s="1">
        <v>-2.4420329999999999E-6</v>
      </c>
      <c r="I5265">
        <v>18.691189999999999</v>
      </c>
      <c r="J5265">
        <v>-398.94779999999997</v>
      </c>
      <c r="K5265">
        <v>1.111467</v>
      </c>
      <c r="L5265">
        <v>18.57938</v>
      </c>
      <c r="M5265">
        <v>0.97907069999999996</v>
      </c>
      <c r="N5265">
        <v>0</v>
      </c>
      <c r="O5265">
        <v>-0.20309669999999999</v>
      </c>
      <c r="P5265">
        <v>0.97717790000000004</v>
      </c>
      <c r="Q5265">
        <v>-1.0499110000000001E-2</v>
      </c>
      <c r="R5265">
        <v>-0.2121635</v>
      </c>
      <c r="S5265">
        <v>3.072479</v>
      </c>
      <c r="T5265">
        <v>-0.14246120000000001</v>
      </c>
      <c r="U5265">
        <v>1.031494E-2</v>
      </c>
      <c r="V5265">
        <v>9.2549980000000004E-3</v>
      </c>
      <c r="W5265">
        <v>2.6577129999999999E-3</v>
      </c>
      <c r="X5265">
        <v>0.9999536</v>
      </c>
      <c r="Y5265">
        <v>-0.20596300000000001</v>
      </c>
      <c r="Z5265">
        <v>1.413624E-2</v>
      </c>
      <c r="AA5265">
        <v>0.97845769999999999</v>
      </c>
      <c r="AB5265">
        <v>17</v>
      </c>
      <c r="AC5265">
        <v>23.808</v>
      </c>
      <c r="AD5265">
        <v>-1.111469442033</v>
      </c>
      <c r="AE5265">
        <v>0.11180999999999799</v>
      </c>
      <c r="AF5265">
        <v>-4.9344679188031799</v>
      </c>
      <c r="AG5265">
        <v>-1.111469442033</v>
      </c>
      <c r="AH5265">
        <v>23.238367345730602</v>
      </c>
      <c r="AI5265">
        <v>92.678683204947404</v>
      </c>
      <c r="AJ5265">
        <v>101.988205620046</v>
      </c>
      <c r="AK5265">
        <v>23.782473690879801</v>
      </c>
      <c r="AL5265">
        <v>89.8477240766303</v>
      </c>
      <c r="AM5265">
        <v>89.469718210906393</v>
      </c>
      <c r="AN5265">
        <v>0.99999996028966398</v>
      </c>
    </row>
    <row r="5266" spans="1:40" x14ac:dyDescent="0.25">
      <c r="A5266" t="str">
        <f>"20190312161120564"</f>
        <v>20190312161120564</v>
      </c>
      <c r="B5266" t="str">
        <f>"1552378280552804"</f>
        <v>1552378280552804</v>
      </c>
      <c r="C5266" t="s">
        <v>40</v>
      </c>
      <c r="D5266">
        <v>5.8139450000000004</v>
      </c>
      <c r="E5266">
        <v>0.45943620000000002</v>
      </c>
      <c r="F5266" t="s">
        <v>98</v>
      </c>
      <c r="G5266">
        <v>-365.72140000000002</v>
      </c>
      <c r="H5266" s="1">
        <v>-2.6847910000000001E-6</v>
      </c>
      <c r="I5266">
        <v>15.885289999999999</v>
      </c>
      <c r="J5266">
        <v>-398.79610000000002</v>
      </c>
      <c r="K5266">
        <v>1.111459</v>
      </c>
      <c r="L5266">
        <v>18.550660000000001</v>
      </c>
      <c r="M5266">
        <v>0.97952870000000003</v>
      </c>
      <c r="N5266">
        <v>0</v>
      </c>
      <c r="O5266">
        <v>-0.20087949999999999</v>
      </c>
      <c r="P5266">
        <v>0.9775549</v>
      </c>
      <c r="Q5266">
        <v>-1.043208E-2</v>
      </c>
      <c r="R5266">
        <v>-0.21042259999999999</v>
      </c>
      <c r="S5266">
        <v>3.0158999999999998</v>
      </c>
      <c r="T5266">
        <v>-0.10088610000000001</v>
      </c>
      <c r="U5266">
        <v>-0.24453739999999999</v>
      </c>
      <c r="V5266">
        <v>9.7377399999999999E-3</v>
      </c>
      <c r="W5266">
        <v>2.6748789999999998E-3</v>
      </c>
      <c r="X5266">
        <v>0.99994899999999998</v>
      </c>
      <c r="Y5266">
        <v>-0.12089279999999999</v>
      </c>
      <c r="Z5266">
        <v>8.6774250000000008E-3</v>
      </c>
      <c r="AA5266">
        <v>0.99262760000000005</v>
      </c>
      <c r="AB5266">
        <v>17</v>
      </c>
      <c r="AC5266">
        <v>33.0747</v>
      </c>
      <c r="AD5266">
        <v>-1.1114616847909999</v>
      </c>
      <c r="AE5266">
        <v>-2.6653699999999998</v>
      </c>
      <c r="AF5266">
        <v>-4.0290470577817601</v>
      </c>
      <c r="AG5266">
        <v>-1.1114616847909999</v>
      </c>
      <c r="AH5266">
        <v>32.8989394187643</v>
      </c>
      <c r="AI5266">
        <v>91.920613038772103</v>
      </c>
      <c r="AJ5266">
        <v>96.982096340677003</v>
      </c>
      <c r="AK5266">
        <v>33.163365060712799</v>
      </c>
      <c r="AL5266">
        <v>89.8467405383863</v>
      </c>
      <c r="AM5266">
        <v>89.442057776764102</v>
      </c>
      <c r="AN5266">
        <v>0.99999999057948596</v>
      </c>
    </row>
    <row r="5267" spans="1:40" x14ac:dyDescent="0.25">
      <c r="A5267" t="str">
        <f>"20190312161120578"</f>
        <v>20190312161120578</v>
      </c>
      <c r="B5267" t="str">
        <f>"1552378280572324"</f>
        <v>1552378280572324</v>
      </c>
      <c r="C5267" t="s">
        <v>40</v>
      </c>
      <c r="D5267">
        <v>5.8734830000000002</v>
      </c>
      <c r="E5267">
        <v>0.46314899999999998</v>
      </c>
      <c r="F5267" t="s">
        <v>99</v>
      </c>
      <c r="G5267">
        <v>-372.85910000000001</v>
      </c>
      <c r="H5267" s="1">
        <v>-4.0208370000000001E-6</v>
      </c>
      <c r="I5267">
        <v>15.868510000000001</v>
      </c>
      <c r="J5267">
        <v>-398.69369999999998</v>
      </c>
      <c r="K5267">
        <v>1.1114489999999999</v>
      </c>
      <c r="L5267">
        <v>18.53152</v>
      </c>
      <c r="M5267">
        <v>0.97983480000000001</v>
      </c>
      <c r="N5267">
        <v>0</v>
      </c>
      <c r="O5267">
        <v>-0.19938320000000001</v>
      </c>
      <c r="P5267">
        <v>0.97788169999999996</v>
      </c>
      <c r="Q5267">
        <v>-9.8950189999999997E-3</v>
      </c>
      <c r="R5267">
        <v>-0.2089241</v>
      </c>
      <c r="S5267">
        <v>3.000702</v>
      </c>
      <c r="T5267">
        <v>-0.12858720000000001</v>
      </c>
      <c r="U5267">
        <v>-0.31030269999999999</v>
      </c>
      <c r="V5267">
        <v>9.7301030000000004E-3</v>
      </c>
      <c r="W5267">
        <v>3.175555E-3</v>
      </c>
      <c r="X5267">
        <v>0.99994760000000005</v>
      </c>
      <c r="Y5267">
        <v>-9.7280370000000005E-2</v>
      </c>
      <c r="Z5267">
        <v>1.053104E-2</v>
      </c>
      <c r="AA5267">
        <v>0.99520129999999996</v>
      </c>
      <c r="AB5267">
        <v>17</v>
      </c>
      <c r="AC5267">
        <v>25.834599999999899</v>
      </c>
      <c r="AD5267">
        <v>-1.1114530208369999</v>
      </c>
      <c r="AE5267">
        <v>-2.6630099999999999</v>
      </c>
      <c r="AF5267">
        <v>-2.5372447831048799</v>
      </c>
      <c r="AG5267">
        <v>-1.1114530208369999</v>
      </c>
      <c r="AH5267">
        <v>25.799548123592199</v>
      </c>
      <c r="AI5267">
        <v>92.454967102607597</v>
      </c>
      <c r="AJ5267">
        <v>95.616666272171798</v>
      </c>
      <c r="AK5267">
        <v>25.947825001114602</v>
      </c>
      <c r="AL5267">
        <v>89.818053791616705</v>
      </c>
      <c r="AM5267">
        <v>89.442494544989501</v>
      </c>
      <c r="AN5267">
        <v>0.99999998089985398</v>
      </c>
    </row>
    <row r="5268" spans="1:40" x14ac:dyDescent="0.25">
      <c r="A5268" t="str">
        <f>"20190312161120599"</f>
        <v>20190312161120599</v>
      </c>
      <c r="B5268" t="str">
        <f>"1552378280592820"</f>
        <v>1552378280592820</v>
      </c>
      <c r="C5268" t="s">
        <v>40</v>
      </c>
      <c r="D5268">
        <v>4.2362900000000003</v>
      </c>
      <c r="E5268">
        <v>0.46537070000000003</v>
      </c>
      <c r="F5268" t="s">
        <v>99</v>
      </c>
      <c r="G5268">
        <v>-374.1078</v>
      </c>
      <c r="H5268" s="1">
        <v>-3.4450769999999998E-6</v>
      </c>
      <c r="I5268">
        <v>15.78661</v>
      </c>
      <c r="J5268">
        <v>-398.53660000000002</v>
      </c>
      <c r="K5268">
        <v>1.111435</v>
      </c>
      <c r="L5268">
        <v>18.50244</v>
      </c>
      <c r="M5268">
        <v>0.98030079999999997</v>
      </c>
      <c r="N5268">
        <v>0</v>
      </c>
      <c r="O5268">
        <v>-0.1970838</v>
      </c>
      <c r="P5268">
        <v>0.97839209999999999</v>
      </c>
      <c r="Q5268">
        <v>-9.2403590000000001E-3</v>
      </c>
      <c r="R5268">
        <v>-0.20655219999999999</v>
      </c>
      <c r="S5268">
        <v>2.9950260000000002</v>
      </c>
      <c r="T5268">
        <v>-0.13539579999999901</v>
      </c>
      <c r="U5268">
        <v>-0.33438109999999999</v>
      </c>
      <c r="V5268">
        <v>9.6485649999999996E-3</v>
      </c>
      <c r="W5268">
        <v>3.770645E-3</v>
      </c>
      <c r="X5268">
        <v>0.99994640000000001</v>
      </c>
      <c r="Y5268">
        <v>-8.6820999999999995E-2</v>
      </c>
      <c r="Z5268">
        <v>1.076541E-2</v>
      </c>
      <c r="AA5268">
        <v>0.99616579999999999</v>
      </c>
      <c r="AB5268">
        <v>17</v>
      </c>
      <c r="AC5268">
        <v>24.428799999999999</v>
      </c>
      <c r="AD5268">
        <v>-1.1114384450769901</v>
      </c>
      <c r="AE5268">
        <v>-2.7158299999999902</v>
      </c>
      <c r="AF5268">
        <v>-2.1479795639888999</v>
      </c>
      <c r="AG5268">
        <v>-1.1114384450769901</v>
      </c>
      <c r="AH5268">
        <v>24.434916653134401</v>
      </c>
      <c r="AI5268">
        <v>92.594350696634393</v>
      </c>
      <c r="AJ5268">
        <v>95.023737918892806</v>
      </c>
      <c r="AK5268">
        <v>24.554312522857099</v>
      </c>
      <c r="AL5268">
        <v>89.783957455985799</v>
      </c>
      <c r="AM5268">
        <v>89.447165471046404</v>
      </c>
      <c r="AN5268">
        <v>1.0000000577216099</v>
      </c>
    </row>
    <row r="5269" spans="1:40" x14ac:dyDescent="0.25">
      <c r="A5269" t="str">
        <f>"20190312161120622"</f>
        <v>20190312161120622</v>
      </c>
      <c r="B5269" t="str">
        <f>"1552378280612343"</f>
        <v>1552378280612343</v>
      </c>
      <c r="C5269" t="s">
        <v>40</v>
      </c>
      <c r="D5269">
        <v>5.896452</v>
      </c>
      <c r="E5269">
        <v>0.46720909999999899</v>
      </c>
      <c r="F5269" t="s">
        <v>99</v>
      </c>
      <c r="G5269">
        <v>-372.24130000000002</v>
      </c>
      <c r="H5269" s="1">
        <v>-4.3831649999999999E-6</v>
      </c>
      <c r="I5269">
        <v>15.472239999999999</v>
      </c>
      <c r="J5269">
        <v>-398.36439999999999</v>
      </c>
      <c r="K5269">
        <v>1.111426</v>
      </c>
      <c r="L5269">
        <v>18.470949999999998</v>
      </c>
      <c r="M5269">
        <v>0.98080509999999999</v>
      </c>
      <c r="N5269">
        <v>0</v>
      </c>
      <c r="O5269">
        <v>-0.1945634</v>
      </c>
      <c r="P5269">
        <v>0.97895690000000002</v>
      </c>
      <c r="Q5269">
        <v>-8.7385420000000002E-3</v>
      </c>
      <c r="R5269">
        <v>-0.20388110000000001</v>
      </c>
      <c r="S5269">
        <v>2.9922490000000002</v>
      </c>
      <c r="T5269">
        <v>-0.126475</v>
      </c>
      <c r="U5269">
        <v>-0.34481810000000002</v>
      </c>
      <c r="V5269">
        <v>9.4876140000000001E-3</v>
      </c>
      <c r="W5269">
        <v>4.1983649999999999E-3</v>
      </c>
      <c r="X5269">
        <v>0.99994620000000001</v>
      </c>
      <c r="Y5269">
        <v>-8.0769259999999996E-2</v>
      </c>
      <c r="Z5269">
        <v>9.831935E-3</v>
      </c>
      <c r="AA5269">
        <v>0.99668429999999997</v>
      </c>
      <c r="AB5269">
        <v>17</v>
      </c>
      <c r="AC5269">
        <v>26.123099999999901</v>
      </c>
      <c r="AD5269">
        <v>-1.1114303831649901</v>
      </c>
      <c r="AE5269">
        <v>-2.9987099999999902</v>
      </c>
      <c r="AF5269">
        <v>-2.13780789708506</v>
      </c>
      <c r="AG5269">
        <v>-1.1114303831649901</v>
      </c>
      <c r="AH5269">
        <v>26.160551271263</v>
      </c>
      <c r="AI5269">
        <v>92.424674051068493</v>
      </c>
      <c r="AJ5269">
        <v>94.671759430007796</v>
      </c>
      <c r="AK5269">
        <v>26.271276004751702</v>
      </c>
      <c r="AL5269">
        <v>89.759450703266594</v>
      </c>
      <c r="AM5269">
        <v>89.456386825328494</v>
      </c>
      <c r="AN5269">
        <v>1.0000000219912599</v>
      </c>
    </row>
    <row r="5270" spans="1:40" x14ac:dyDescent="0.25">
      <c r="A5270" t="str">
        <f>"20190312161120643"</f>
        <v>20190312161120643</v>
      </c>
      <c r="B5270" t="str">
        <f>"1552378280632836"</f>
        <v>1552378280632836</v>
      </c>
      <c r="C5270" t="s">
        <v>40</v>
      </c>
      <c r="D5270">
        <v>5.8809680000000002</v>
      </c>
      <c r="E5270">
        <v>0.46814519999999998</v>
      </c>
      <c r="F5270" t="s">
        <v>99</v>
      </c>
      <c r="G5270">
        <v>-373.58390000000003</v>
      </c>
      <c r="H5270" s="1">
        <v>-3.731945E-6</v>
      </c>
      <c r="I5270">
        <v>15.56561</v>
      </c>
      <c r="J5270">
        <v>-398.20729999999998</v>
      </c>
      <c r="K5270">
        <v>1.111418</v>
      </c>
      <c r="L5270">
        <v>18.442630000000001</v>
      </c>
      <c r="M5270">
        <v>0.98126020000000003</v>
      </c>
      <c r="N5270">
        <v>0</v>
      </c>
      <c r="O5270">
        <v>-0.1922606</v>
      </c>
      <c r="P5270">
        <v>0.97942479999999998</v>
      </c>
      <c r="Q5270">
        <v>-8.6216069999999999E-3</v>
      </c>
      <c r="R5270">
        <v>-0.20162669999999999</v>
      </c>
      <c r="S5270">
        <v>2.990265</v>
      </c>
      <c r="T5270">
        <v>-0.13411589999999901</v>
      </c>
      <c r="U5270">
        <v>-0.35058590000000001</v>
      </c>
      <c r="V5270">
        <v>9.5324759999999998E-3</v>
      </c>
      <c r="W5270">
        <v>4.240326E-3</v>
      </c>
      <c r="X5270">
        <v>0.99994559999999999</v>
      </c>
      <c r="Y5270">
        <v>-7.6433139999999997E-2</v>
      </c>
      <c r="Z5270">
        <v>1.0232959999999999E-2</v>
      </c>
      <c r="AA5270">
        <v>0.99702219999999997</v>
      </c>
      <c r="AB5270">
        <v>17</v>
      </c>
      <c r="AC5270">
        <v>24.623399999999901</v>
      </c>
      <c r="AD5270">
        <v>-1.1114217319449999</v>
      </c>
      <c r="AE5270">
        <v>-2.8770199999999901</v>
      </c>
      <c r="AF5270">
        <v>-1.9073279032163899</v>
      </c>
      <c r="AG5270">
        <v>-1.1114217319449999</v>
      </c>
      <c r="AH5270">
        <v>24.667551229868799</v>
      </c>
      <c r="AI5270">
        <v>92.572108188457605</v>
      </c>
      <c r="AJ5270">
        <v>94.421388737806893</v>
      </c>
      <c r="AK5270">
        <v>24.766130938740201</v>
      </c>
      <c r="AL5270">
        <v>89.757046494617896</v>
      </c>
      <c r="AM5270">
        <v>89.4538161885515</v>
      </c>
      <c r="AN5270">
        <v>1.00000002571131</v>
      </c>
    </row>
    <row r="5271" spans="1:40" x14ac:dyDescent="0.25">
      <c r="A5271" t="str">
        <f>"20190312161120667"</f>
        <v>20190312161120667</v>
      </c>
      <c r="B5271" t="str">
        <f>"1552378280662116"</f>
        <v>1552378280662116</v>
      </c>
      <c r="C5271" t="s">
        <v>40</v>
      </c>
      <c r="D5271">
        <v>5.8214600000000001</v>
      </c>
      <c r="E5271">
        <v>0.46987240000000002</v>
      </c>
      <c r="F5271" t="s">
        <v>99</v>
      </c>
      <c r="G5271">
        <v>-373.13940000000002</v>
      </c>
      <c r="H5271" s="1">
        <v>-3.9539329999999998E-6</v>
      </c>
      <c r="I5271">
        <v>15.49859</v>
      </c>
      <c r="J5271">
        <v>-398.03050000000002</v>
      </c>
      <c r="K5271">
        <v>1.1114029999999999</v>
      </c>
      <c r="L5271">
        <v>18.41122</v>
      </c>
      <c r="M5271">
        <v>0.98176549999999996</v>
      </c>
      <c r="N5271">
        <v>0</v>
      </c>
      <c r="O5271">
        <v>-0.18966839999999999</v>
      </c>
      <c r="P5271">
        <v>0.9799506</v>
      </c>
      <c r="Q5271">
        <v>-8.5004750000000004E-3</v>
      </c>
      <c r="R5271">
        <v>-0.19905890000000001</v>
      </c>
      <c r="S5271">
        <v>2.9895939999999999</v>
      </c>
      <c r="T5271">
        <v>-0.132548</v>
      </c>
      <c r="U5271">
        <v>-0.35110469999999999</v>
      </c>
      <c r="V5271">
        <v>9.5524700000000004E-3</v>
      </c>
      <c r="W5271">
        <v>4.2775180000000001E-3</v>
      </c>
      <c r="X5271">
        <v>0.99994519999999998</v>
      </c>
      <c r="Y5271">
        <v>-7.3613990000000004E-2</v>
      </c>
      <c r="Z5271">
        <v>9.9410579999999991E-3</v>
      </c>
      <c r="AA5271">
        <v>0.99723729999999999</v>
      </c>
      <c r="AB5271">
        <v>17</v>
      </c>
      <c r="AC5271">
        <v>24.891099999999899</v>
      </c>
      <c r="AD5271">
        <v>-1.111406953933</v>
      </c>
      <c r="AE5271">
        <v>-2.9126300000000001</v>
      </c>
      <c r="AF5271">
        <v>-1.85803233164197</v>
      </c>
      <c r="AG5271">
        <v>-1.111406953933</v>
      </c>
      <c r="AH5271">
        <v>24.9426303116764</v>
      </c>
      <c r="AI5271">
        <v>92.544287933283698</v>
      </c>
      <c r="AJ5271">
        <v>94.260222296728202</v>
      </c>
      <c r="AK5271">
        <v>25.036419800515301</v>
      </c>
      <c r="AL5271">
        <v>89.754915518267197</v>
      </c>
      <c r="AM5271">
        <v>89.452670439804905</v>
      </c>
      <c r="AN5271">
        <v>0.99999997492319004</v>
      </c>
    </row>
    <row r="5272" spans="1:40" x14ac:dyDescent="0.25">
      <c r="A5272" t="str">
        <f>"20190312161120690"</f>
        <v>20190312161120690</v>
      </c>
      <c r="B5272" t="str">
        <f>"1552378280682612"</f>
        <v>1552378280682612</v>
      </c>
      <c r="C5272" t="s">
        <v>40</v>
      </c>
      <c r="D5272">
        <v>5.8305389999999999</v>
      </c>
      <c r="E5272">
        <v>0.47085630000000001</v>
      </c>
      <c r="F5272" t="s">
        <v>99</v>
      </c>
      <c r="G5272">
        <v>-374.40969999999999</v>
      </c>
      <c r="H5272" s="1">
        <v>-3.3366130000000001E-6</v>
      </c>
      <c r="I5272">
        <v>15.593669999999999</v>
      </c>
      <c r="J5272">
        <v>-397.85750000000002</v>
      </c>
      <c r="K5272">
        <v>1.1113959999999901</v>
      </c>
      <c r="L5272">
        <v>18.380980000000001</v>
      </c>
      <c r="M5272">
        <v>0.98225320000000005</v>
      </c>
      <c r="N5272">
        <v>0</v>
      </c>
      <c r="O5272">
        <v>-0.1871313</v>
      </c>
      <c r="P5272">
        <v>0.98049249999999999</v>
      </c>
      <c r="Q5272">
        <v>-8.2308759999999998E-3</v>
      </c>
      <c r="R5272">
        <v>-0.19638410000000001</v>
      </c>
      <c r="S5272">
        <v>2.9877319999999998</v>
      </c>
      <c r="T5272">
        <v>-0.14057890000000001</v>
      </c>
      <c r="U5272">
        <v>-0.35638429999999999</v>
      </c>
      <c r="V5272">
        <v>9.4065139999999995E-3</v>
      </c>
      <c r="W5272">
        <v>4.4677750000000002E-3</v>
      </c>
      <c r="X5272">
        <v>0.9999458</v>
      </c>
      <c r="Y5272">
        <v>-6.9202490000000005E-2</v>
      </c>
      <c r="Z5272">
        <v>1.03278E-2</v>
      </c>
      <c r="AA5272">
        <v>0.99754920000000002</v>
      </c>
      <c r="AB5272">
        <v>17</v>
      </c>
      <c r="AC5272">
        <v>23.447800000000001</v>
      </c>
      <c r="AD5272">
        <v>-1.11139933661299</v>
      </c>
      <c r="AE5272">
        <v>-2.78730999999999</v>
      </c>
      <c r="AF5272">
        <v>-1.6464580995184499</v>
      </c>
      <c r="AG5272">
        <v>-1.11139933661299</v>
      </c>
      <c r="AH5272">
        <v>23.503092683790801</v>
      </c>
      <c r="AI5272">
        <v>92.7007408515382</v>
      </c>
      <c r="AJ5272">
        <v>94.007184968359994</v>
      </c>
      <c r="AK5272">
        <v>23.586890394067499</v>
      </c>
      <c r="AL5272">
        <v>89.744014503005602</v>
      </c>
      <c r="AM5272">
        <v>89.461033132731202</v>
      </c>
      <c r="AN5272">
        <v>1.0000000232283599</v>
      </c>
    </row>
    <row r="5273" spans="1:40" x14ac:dyDescent="0.25">
      <c r="A5273" t="str">
        <f>"20190312161120711"</f>
        <v>20190312161120711</v>
      </c>
      <c r="B5273" t="str">
        <f>"1552378280702132"</f>
        <v>1552378280702132</v>
      </c>
      <c r="C5273" t="s">
        <v>40</v>
      </c>
      <c r="D5273">
        <v>5.8510119999999999</v>
      </c>
      <c r="E5273">
        <v>0.47154649999999998</v>
      </c>
      <c r="F5273" t="s">
        <v>99</v>
      </c>
      <c r="G5273">
        <v>-375.15339999999998</v>
      </c>
      <c r="H5273" s="1">
        <v>-2.9701300000000001E-6</v>
      </c>
      <c r="I5273">
        <v>15.677630000000001</v>
      </c>
      <c r="J5273">
        <v>-397.69569999999999</v>
      </c>
      <c r="K5273">
        <v>1.111391</v>
      </c>
      <c r="L5273">
        <v>18.353090000000002</v>
      </c>
      <c r="M5273">
        <v>0.9827034</v>
      </c>
      <c r="N5273">
        <v>0</v>
      </c>
      <c r="O5273">
        <v>-0.1847578</v>
      </c>
      <c r="P5273">
        <v>0.98102500000000004</v>
      </c>
      <c r="Q5273">
        <v>-8.2602500000000002E-3</v>
      </c>
      <c r="R5273">
        <v>-0.19370570000000001</v>
      </c>
      <c r="S5273">
        <v>2.9871829999999999</v>
      </c>
      <c r="T5273">
        <v>-0.14622750000000001</v>
      </c>
      <c r="U5273">
        <v>-0.35568240000000001</v>
      </c>
      <c r="V5273">
        <v>9.0918609999999997E-3</v>
      </c>
      <c r="W5273">
        <v>4.3652559999999997E-3</v>
      </c>
      <c r="X5273">
        <v>0.99994919999999998</v>
      </c>
      <c r="Y5273">
        <v>-6.6984210000000002E-2</v>
      </c>
      <c r="Z5273">
        <v>1.0576830000000001E-2</v>
      </c>
      <c r="AA5273">
        <v>0.99769790000000003</v>
      </c>
      <c r="AB5273">
        <v>17</v>
      </c>
      <c r="AC5273">
        <v>22.542300000000001</v>
      </c>
      <c r="AD5273">
        <v>-1.11139397013</v>
      </c>
      <c r="AE5273">
        <v>-2.67545999999999</v>
      </c>
      <c r="AF5273">
        <v>-1.53213140694703</v>
      </c>
      <c r="AG5273">
        <v>-1.11139397013</v>
      </c>
      <c r="AH5273">
        <v>22.594344639014601</v>
      </c>
      <c r="AI5273">
        <v>92.809612396589699</v>
      </c>
      <c r="AJ5273">
        <v>93.879310630906005</v>
      </c>
      <c r="AK5273">
        <v>22.6734874439633</v>
      </c>
      <c r="AL5273">
        <v>89.749888475373695</v>
      </c>
      <c r="AM5273">
        <v>89.479062627471905</v>
      </c>
      <c r="AN5273">
        <v>1.0000000599885099</v>
      </c>
    </row>
    <row r="5274" spans="1:40" x14ac:dyDescent="0.25">
      <c r="A5274" t="str">
        <f>"20190312161120733"</f>
        <v>20190312161120733</v>
      </c>
      <c r="B5274" t="str">
        <f>"1552378280722628"</f>
        <v>1552378280722628</v>
      </c>
      <c r="C5274" t="s">
        <v>40</v>
      </c>
      <c r="D5274">
        <v>5.8181890000000003</v>
      </c>
      <c r="E5274">
        <v>0.47220800000000002</v>
      </c>
      <c r="F5274" t="s">
        <v>99</v>
      </c>
      <c r="G5274">
        <v>-374.94189999999998</v>
      </c>
      <c r="H5274" s="1">
        <v>-3.0724610000000002E-6</v>
      </c>
      <c r="I5274">
        <v>15.664440000000001</v>
      </c>
      <c r="J5274">
        <v>-397.53309999999999</v>
      </c>
      <c r="K5274">
        <v>1.1113869999999999</v>
      </c>
      <c r="L5274">
        <v>18.325469999999999</v>
      </c>
      <c r="M5274">
        <v>0.98314970000000002</v>
      </c>
      <c r="N5274">
        <v>0</v>
      </c>
      <c r="O5274">
        <v>-0.1823726</v>
      </c>
      <c r="P5274">
        <v>0.98145020000000005</v>
      </c>
      <c r="Q5274">
        <v>-8.0377629999999999E-3</v>
      </c>
      <c r="R5274">
        <v>-0.19154930000000001</v>
      </c>
      <c r="S5274">
        <v>2.9871219999999998</v>
      </c>
      <c r="T5274">
        <v>-0.14590410000000001</v>
      </c>
      <c r="U5274">
        <v>-0.35296630000000001</v>
      </c>
      <c r="V5274">
        <v>9.3202370000000003E-3</v>
      </c>
      <c r="W5274">
        <v>4.5135510000000002E-3</v>
      </c>
      <c r="X5274">
        <v>0.99994640000000001</v>
      </c>
      <c r="Y5274">
        <v>-6.5460729999999995E-2</v>
      </c>
      <c r="Z5274">
        <v>1.040346E-2</v>
      </c>
      <c r="AA5274">
        <v>0.99780089999999999</v>
      </c>
      <c r="AB5274">
        <v>17</v>
      </c>
      <c r="AC5274">
        <v>22.591200000000001</v>
      </c>
      <c r="AD5274">
        <v>-1.111390072461</v>
      </c>
      <c r="AE5274">
        <v>-2.6610299999999998</v>
      </c>
      <c r="AF5274">
        <v>-1.50036151613876</v>
      </c>
      <c r="AG5274">
        <v>-1.111390072461</v>
      </c>
      <c r="AH5274">
        <v>22.6435587995311</v>
      </c>
      <c r="AI5274">
        <v>92.803795465957705</v>
      </c>
      <c r="AJ5274">
        <v>93.790875286260999</v>
      </c>
      <c r="AK5274">
        <v>22.720409936444799</v>
      </c>
      <c r="AL5274">
        <v>89.741391704419598</v>
      </c>
      <c r="AM5274">
        <v>89.465976595625705</v>
      </c>
      <c r="AN5274">
        <v>1.00000002091666</v>
      </c>
    </row>
    <row r="5275" spans="1:40" x14ac:dyDescent="0.25">
      <c r="A5275" t="str">
        <f>"20190312161120754"</f>
        <v>20190312161120754</v>
      </c>
      <c r="B5275" t="str">
        <f>"1552378280742148"</f>
        <v>1552378280742148</v>
      </c>
      <c r="C5275" t="s">
        <v>40</v>
      </c>
      <c r="D5275">
        <v>5.8106470000000003</v>
      </c>
      <c r="E5275">
        <v>0.4727693</v>
      </c>
      <c r="F5275" t="s">
        <v>99</v>
      </c>
      <c r="G5275">
        <v>-375.18900000000002</v>
      </c>
      <c r="H5275" s="1">
        <v>-2.9498990000000001E-6</v>
      </c>
      <c r="I5275">
        <v>15.696910000000001</v>
      </c>
      <c r="J5275">
        <v>-397.37549999999999</v>
      </c>
      <c r="K5275">
        <v>1.1113770000000001</v>
      </c>
      <c r="L5275">
        <v>18.29907</v>
      </c>
      <c r="M5275">
        <v>0.98357700000000003</v>
      </c>
      <c r="N5275">
        <v>0</v>
      </c>
      <c r="O5275">
        <v>-0.18006</v>
      </c>
      <c r="P5275">
        <v>0.9818867</v>
      </c>
      <c r="Q5275">
        <v>-7.690044E-3</v>
      </c>
      <c r="R5275">
        <v>-0.18931410000000001</v>
      </c>
      <c r="S5275">
        <v>2.9869080000000001</v>
      </c>
      <c r="T5275">
        <v>-0.1485678</v>
      </c>
      <c r="U5275">
        <v>-0.35137940000000001</v>
      </c>
      <c r="V5275">
        <v>9.3939430000000001E-3</v>
      </c>
      <c r="W5275">
        <v>4.7862989999999999E-3</v>
      </c>
      <c r="X5275">
        <v>0.99994439999999996</v>
      </c>
      <c r="Y5275">
        <v>-6.3622559999999995E-2</v>
      </c>
      <c r="Z5275">
        <v>1.0436290000000001E-2</v>
      </c>
      <c r="AA5275">
        <v>0.99791940000000001</v>
      </c>
      <c r="AB5275">
        <v>17</v>
      </c>
      <c r="AC5275">
        <v>22.186499999999899</v>
      </c>
      <c r="AD5275">
        <v>-1.111379949899</v>
      </c>
      <c r="AE5275">
        <v>-2.60216</v>
      </c>
      <c r="AF5275">
        <v>-1.43204287372663</v>
      </c>
      <c r="AG5275">
        <v>-1.111379949899</v>
      </c>
      <c r="AH5275">
        <v>22.237357826084299</v>
      </c>
      <c r="AI5275">
        <v>92.855246582364103</v>
      </c>
      <c r="AJ5275">
        <v>93.684649555718394</v>
      </c>
      <c r="AK5275">
        <v>22.311118198569499</v>
      </c>
      <c r="AL5275">
        <v>89.7257642149725</v>
      </c>
      <c r="AM5275">
        <v>89.461752619822605</v>
      </c>
      <c r="AN5275">
        <v>0.99999997895728199</v>
      </c>
    </row>
    <row r="5276" spans="1:40" x14ac:dyDescent="0.25">
      <c r="A5276" t="str">
        <f>"20190312161120767"</f>
        <v>20190312161120767</v>
      </c>
      <c r="B5276" t="str">
        <f>"1552378280762645"</f>
        <v>1552378280762645</v>
      </c>
      <c r="C5276" t="s">
        <v>40</v>
      </c>
      <c r="D5276">
        <v>5.8169129999999996</v>
      </c>
      <c r="E5276">
        <v>0.4734508</v>
      </c>
      <c r="F5276" t="s">
        <v>99</v>
      </c>
      <c r="G5276">
        <v>-374.4151</v>
      </c>
      <c r="H5276" s="1">
        <v>-3.330236E-6</v>
      </c>
      <c r="I5276">
        <v>15.61514</v>
      </c>
      <c r="J5276">
        <v>-397.27890000000002</v>
      </c>
      <c r="K5276">
        <v>1.1113729999999999</v>
      </c>
      <c r="L5276">
        <v>18.283049999999999</v>
      </c>
      <c r="M5276">
        <v>0.98383620000000005</v>
      </c>
      <c r="N5276">
        <v>0</v>
      </c>
      <c r="O5276">
        <v>-0.17864150000000001</v>
      </c>
      <c r="P5276">
        <v>0.98222259999999995</v>
      </c>
      <c r="Q5276">
        <v>-7.6935679999999996E-3</v>
      </c>
      <c r="R5276">
        <v>-0.18756249999999999</v>
      </c>
      <c r="S5276">
        <v>2.9869080000000001</v>
      </c>
      <c r="T5276">
        <v>-0.14457879999999901</v>
      </c>
      <c r="U5276">
        <v>-0.34915159999999901</v>
      </c>
      <c r="V5276">
        <v>9.0527549999999991E-3</v>
      </c>
      <c r="W5276">
        <v>4.7371840000000002E-3</v>
      </c>
      <c r="X5276">
        <v>0.99994780000000005</v>
      </c>
      <c r="Y5276">
        <v>-6.2935489999999997E-2</v>
      </c>
      <c r="Z5276">
        <v>1.0073230000000001E-2</v>
      </c>
      <c r="AA5276">
        <v>0.99796680000000004</v>
      </c>
      <c r="AB5276">
        <v>17</v>
      </c>
      <c r="AC5276">
        <v>22.863800000000001</v>
      </c>
      <c r="AD5276">
        <v>-1.111376330236</v>
      </c>
      <c r="AE5276">
        <v>-2.6679099999999898</v>
      </c>
      <c r="AF5276">
        <v>-1.4563543265999801</v>
      </c>
      <c r="AG5276">
        <v>-1.111376330236</v>
      </c>
      <c r="AH5276">
        <v>22.919171504881898</v>
      </c>
      <c r="AI5276">
        <v>92.770582970826993</v>
      </c>
      <c r="AJ5276">
        <v>93.635860974160494</v>
      </c>
      <c r="AK5276">
        <v>22.9922714785252</v>
      </c>
      <c r="AL5276">
        <v>89.728578334316794</v>
      </c>
      <c r="AM5276">
        <v>89.481302439450005</v>
      </c>
      <c r="AN5276">
        <v>0.99999999800508999</v>
      </c>
    </row>
    <row r="5277" spans="1:40" x14ac:dyDescent="0.25">
      <c r="A5277" t="str">
        <f>"20190312161120788"</f>
        <v>20190312161120788</v>
      </c>
      <c r="B5277" t="str">
        <f>"1552378280782165"</f>
        <v>1552378280782165</v>
      </c>
      <c r="C5277" t="s">
        <v>40</v>
      </c>
      <c r="D5277">
        <v>5.4830439999999996</v>
      </c>
      <c r="E5277">
        <v>0.4741746</v>
      </c>
      <c r="F5277" t="s">
        <v>99</v>
      </c>
      <c r="G5277">
        <v>-374.19690000000003</v>
      </c>
      <c r="H5277" s="1">
        <v>-3.4390660000000002E-6</v>
      </c>
      <c r="I5277">
        <v>15.583080000000001</v>
      </c>
      <c r="J5277">
        <v>-397.1148</v>
      </c>
      <c r="K5277">
        <v>1.111362</v>
      </c>
      <c r="L5277">
        <v>18.256260000000001</v>
      </c>
      <c r="M5277">
        <v>0.98427120000000001</v>
      </c>
      <c r="N5277">
        <v>0</v>
      </c>
      <c r="O5277">
        <v>-0.17623420000000001</v>
      </c>
      <c r="P5277">
        <v>0.98259410000000003</v>
      </c>
      <c r="Q5277">
        <v>-8.0157430000000005E-3</v>
      </c>
      <c r="R5277">
        <v>-0.18559400000000001</v>
      </c>
      <c r="S5277">
        <v>2.98645</v>
      </c>
      <c r="T5277">
        <v>-0.143794899999999</v>
      </c>
      <c r="U5277">
        <v>-0.3493347</v>
      </c>
      <c r="V5277">
        <v>9.4968080000000007E-3</v>
      </c>
      <c r="W5277">
        <v>4.3476139999999996E-3</v>
      </c>
      <c r="X5277">
        <v>0.99994550000000004</v>
      </c>
      <c r="Y5277">
        <v>-6.0424150000000003E-2</v>
      </c>
      <c r="Z5277">
        <v>9.8464550000000005E-3</v>
      </c>
      <c r="AA5277">
        <v>0.99812420000000002</v>
      </c>
      <c r="AB5277">
        <v>17</v>
      </c>
      <c r="AC5277">
        <v>22.9178999999999</v>
      </c>
      <c r="AD5277">
        <v>-1.1113654390659999</v>
      </c>
      <c r="AE5277">
        <v>-2.6731799999999999</v>
      </c>
      <c r="AF5277">
        <v>-1.40463168622714</v>
      </c>
      <c r="AG5277">
        <v>-1.1113654390659999</v>
      </c>
      <c r="AH5277">
        <v>22.9769742443446</v>
      </c>
      <c r="AI5277">
        <v>92.764009970384606</v>
      </c>
      <c r="AJ5277">
        <v>93.498260320039194</v>
      </c>
      <c r="AK5277">
        <v>23.046680210789098</v>
      </c>
      <c r="AL5277">
        <v>89.750899293821703</v>
      </c>
      <c r="AM5277">
        <v>89.455859686160807</v>
      </c>
      <c r="AN5277">
        <v>1.0000000470399599</v>
      </c>
    </row>
    <row r="5278" spans="1:40" x14ac:dyDescent="0.25">
      <c r="A5278" t="str">
        <f>"20190312161120833"</f>
        <v>20190312161120833</v>
      </c>
      <c r="B5278" t="str">
        <f>"1552378280822180"</f>
        <v>1552378280822180</v>
      </c>
      <c r="C5278" t="s">
        <v>40</v>
      </c>
      <c r="D5278">
        <v>4.9846729999999999</v>
      </c>
      <c r="E5278">
        <v>0.48472569999999998</v>
      </c>
      <c r="F5278" t="s">
        <v>99</v>
      </c>
      <c r="G5278">
        <v>-374.17110000000002</v>
      </c>
      <c r="H5278" s="1">
        <v>-3.4527360000000001E-6</v>
      </c>
      <c r="I5278">
        <v>15.574909999999999</v>
      </c>
      <c r="J5278">
        <v>-396.78309999999999</v>
      </c>
      <c r="K5278">
        <v>1.1113519999999999</v>
      </c>
      <c r="L5278">
        <v>18.203279999999999</v>
      </c>
      <c r="M5278">
        <v>0.98513209999999996</v>
      </c>
      <c r="N5278">
        <v>0</v>
      </c>
      <c r="O5278">
        <v>-0.171364299999999</v>
      </c>
      <c r="P5278">
        <v>0.98343999999999998</v>
      </c>
      <c r="Q5278">
        <v>-7.8100799999999996E-3</v>
      </c>
      <c r="R5278">
        <v>-0.1810658</v>
      </c>
      <c r="S5278">
        <v>2.9860530000000001</v>
      </c>
      <c r="T5278">
        <v>-0.1446404</v>
      </c>
      <c r="U5278">
        <v>-0.34896850000000001</v>
      </c>
      <c r="V5278">
        <v>9.8357340000000005E-3</v>
      </c>
      <c r="W5278">
        <v>4.4310590000000002E-3</v>
      </c>
      <c r="X5278">
        <v>0.99994179999999999</v>
      </c>
      <c r="Y5278">
        <v>-5.5599990000000002E-2</v>
      </c>
      <c r="Z5278">
        <v>9.5582359999999995E-3</v>
      </c>
      <c r="AA5278">
        <v>0.99840739999999994</v>
      </c>
      <c r="AB5278">
        <v>17</v>
      </c>
      <c r="AC5278">
        <v>22.611999999999899</v>
      </c>
      <c r="AD5278">
        <v>-1.1113554527359999</v>
      </c>
      <c r="AE5278">
        <v>-2.6283699999999901</v>
      </c>
      <c r="AF5278">
        <v>-1.2826366421015201</v>
      </c>
      <c r="AG5278">
        <v>-1.1113554527359999</v>
      </c>
      <c r="AH5278">
        <v>22.673868165276499</v>
      </c>
      <c r="AI5278">
        <v>92.801624370541006</v>
      </c>
      <c r="AJ5278">
        <v>93.237710733809806</v>
      </c>
      <c r="AK5278">
        <v>22.737294590041401</v>
      </c>
      <c r="AL5278">
        <v>89.746118187100606</v>
      </c>
      <c r="AM5278">
        <v>89.436439328009996</v>
      </c>
      <c r="AN5278">
        <v>0.99999998966721004</v>
      </c>
    </row>
    <row r="5279" spans="1:40" x14ac:dyDescent="0.25">
      <c r="A5279" t="str">
        <f>"20190312161120855"</f>
        <v>20190312161120855</v>
      </c>
      <c r="B5279" t="str">
        <f>"1552378280852436"</f>
        <v>1552378280852436</v>
      </c>
      <c r="C5279" t="s">
        <v>40</v>
      </c>
      <c r="D5279">
        <v>5.5369289999999998</v>
      </c>
      <c r="E5279">
        <v>0.47457090000000002</v>
      </c>
      <c r="F5279" t="s">
        <v>42</v>
      </c>
      <c r="G5279">
        <v>-396.03550000000001</v>
      </c>
      <c r="H5279">
        <v>0.9221644</v>
      </c>
      <c r="I5279">
        <v>18.10436</v>
      </c>
      <c r="J5279">
        <v>-396.62150000000003</v>
      </c>
      <c r="K5279">
        <v>1.111354</v>
      </c>
      <c r="L5279">
        <v>18.178100000000001</v>
      </c>
      <c r="M5279">
        <v>0.98554280000000005</v>
      </c>
      <c r="N5279">
        <v>0</v>
      </c>
      <c r="O5279">
        <v>-0.16899059999999999</v>
      </c>
      <c r="P5279">
        <v>0.98391989999999996</v>
      </c>
      <c r="Q5279">
        <v>-7.2940289999999996E-3</v>
      </c>
      <c r="R5279">
        <v>-0.1784615</v>
      </c>
      <c r="S5279">
        <v>2.972321</v>
      </c>
      <c r="T5279">
        <v>-0.75247319999999995</v>
      </c>
      <c r="U5279">
        <v>-0.39233400000000002</v>
      </c>
      <c r="V5279">
        <v>9.5953380000000001E-3</v>
      </c>
      <c r="W5279">
        <v>4.8878639999999996E-3</v>
      </c>
      <c r="X5279">
        <v>0.999942</v>
      </c>
      <c r="Y5279">
        <v>-3.239831E-2</v>
      </c>
      <c r="Z5279">
        <v>4.5699179999999999E-2</v>
      </c>
      <c r="AA5279">
        <v>0.99842969999999998</v>
      </c>
      <c r="AB5279">
        <v>17</v>
      </c>
      <c r="AC5279">
        <v>0.58600000000001196</v>
      </c>
      <c r="AD5279">
        <v>-0.18918960000000001</v>
      </c>
      <c r="AE5279">
        <v>-7.3740000000000805E-2</v>
      </c>
      <c r="AF5279">
        <v>-2.3903815772541699E-2</v>
      </c>
      <c r="AG5279">
        <v>-0.18918960000000001</v>
      </c>
      <c r="AH5279">
        <v>0.53512546238874303</v>
      </c>
      <c r="AI5279">
        <v>109.452727221621</v>
      </c>
      <c r="AJ5279">
        <v>92.557676655152093</v>
      </c>
      <c r="AK5279">
        <v>0.56808745599019606</v>
      </c>
      <c r="AL5279">
        <v>89.719944901927306</v>
      </c>
      <c r="AM5279">
        <v>89.450212615563103</v>
      </c>
      <c r="AN5279">
        <v>0.99999998254490796</v>
      </c>
    </row>
    <row r="5280" spans="1:40" x14ac:dyDescent="0.25">
      <c r="A5280" t="str">
        <f>"20190312161120868"</f>
        <v>20190312161120868</v>
      </c>
      <c r="B5280" t="str">
        <f>"1552378280862196"</f>
        <v>1552378280862196</v>
      </c>
      <c r="C5280" t="s">
        <v>40</v>
      </c>
      <c r="D5280">
        <v>8.4844170000000005</v>
      </c>
      <c r="E5280">
        <v>0.47210229999999997</v>
      </c>
      <c r="F5280" t="s">
        <v>42</v>
      </c>
      <c r="G5280">
        <v>-395.8784</v>
      </c>
      <c r="H5280">
        <v>0.92695280000000002</v>
      </c>
      <c r="I5280">
        <v>18.102219999999999</v>
      </c>
      <c r="J5280">
        <v>-396.5247</v>
      </c>
      <c r="K5280">
        <v>1.111356</v>
      </c>
      <c r="L5280">
        <v>18.163180000000001</v>
      </c>
      <c r="M5280">
        <v>0.98578580000000005</v>
      </c>
      <c r="N5280">
        <v>0</v>
      </c>
      <c r="O5280">
        <v>-0.16756889999999999</v>
      </c>
      <c r="P5280">
        <v>0.98423389999999999</v>
      </c>
      <c r="Q5280">
        <v>-7.7442919999999998E-3</v>
      </c>
      <c r="R5280">
        <v>-0.1767022</v>
      </c>
      <c r="S5280">
        <v>2.9881899999999999</v>
      </c>
      <c r="T5280">
        <v>-0.74156129999999998</v>
      </c>
      <c r="U5280">
        <v>-0.30514530000000001</v>
      </c>
      <c r="V5280">
        <v>9.2520050000000006E-3</v>
      </c>
      <c r="W5280">
        <v>4.4038790000000003E-3</v>
      </c>
      <c r="X5280">
        <v>0.99994749999999999</v>
      </c>
      <c r="Y5280">
        <v>-5.9800869999999999E-2</v>
      </c>
      <c r="Z5280">
        <v>4.7922800000000002E-2</v>
      </c>
      <c r="AA5280">
        <v>0.99705929999999998</v>
      </c>
      <c r="AB5280">
        <v>17</v>
      </c>
      <c r="AC5280">
        <v>0.64629999999999599</v>
      </c>
      <c r="AD5280">
        <v>-0.18440319999999999</v>
      </c>
      <c r="AE5280">
        <v>-6.0959999999997898E-2</v>
      </c>
      <c r="AF5280">
        <v>-4.4610205662366502E-2</v>
      </c>
      <c r="AG5280">
        <v>-0.18440319999999999</v>
      </c>
      <c r="AH5280">
        <v>0.59903922822933697</v>
      </c>
      <c r="AI5280">
        <v>107.065520318644</v>
      </c>
      <c r="AJ5280">
        <v>94.258931865198704</v>
      </c>
      <c r="AK5280">
        <v>0.62836502733449295</v>
      </c>
      <c r="AL5280">
        <v>89.747675503764796</v>
      </c>
      <c r="AM5280">
        <v>89.469886456788998</v>
      </c>
      <c r="AN5280">
        <v>0.99999999825150798</v>
      </c>
    </row>
    <row r="5281" spans="1:40" x14ac:dyDescent="0.25">
      <c r="A5281" t="str">
        <f>"20190312161120890"</f>
        <v>20190312161120890</v>
      </c>
      <c r="B5281" t="str">
        <f>"1552378280882692"</f>
        <v>1552378280882692</v>
      </c>
      <c r="C5281" t="s">
        <v>40</v>
      </c>
      <c r="D5281">
        <v>5.5949280000000003</v>
      </c>
      <c r="E5281">
        <v>0.47499089999999999</v>
      </c>
      <c r="F5281" t="s">
        <v>42</v>
      </c>
      <c r="G5281">
        <v>-395.72370000000001</v>
      </c>
      <c r="H5281">
        <v>0.93277560000000004</v>
      </c>
      <c r="I5281">
        <v>18.08719</v>
      </c>
      <c r="J5281">
        <v>-396.3562</v>
      </c>
      <c r="K5281">
        <v>1.111354</v>
      </c>
      <c r="L5281">
        <v>18.137540000000001</v>
      </c>
      <c r="M5281">
        <v>0.98620450000000004</v>
      </c>
      <c r="N5281">
        <v>0</v>
      </c>
      <c r="O5281">
        <v>-0.16509119999999999</v>
      </c>
      <c r="P5281">
        <v>0.98462959999999999</v>
      </c>
      <c r="Q5281">
        <v>-7.24948E-3</v>
      </c>
      <c r="R5281">
        <v>-0.17450539999999901</v>
      </c>
      <c r="S5281">
        <v>2.9919739999999999</v>
      </c>
      <c r="T5281">
        <v>-0.6672266</v>
      </c>
      <c r="U5281">
        <v>-0.283172599999999</v>
      </c>
      <c r="V5281">
        <v>9.5315039999999997E-3</v>
      </c>
      <c r="W5281">
        <v>4.8473329999999997E-3</v>
      </c>
      <c r="X5281">
        <v>0.99994280000000002</v>
      </c>
      <c r="Y5281">
        <v>-6.5865140000000003E-2</v>
      </c>
      <c r="Z5281">
        <v>4.3336949999999999E-2</v>
      </c>
      <c r="AA5281">
        <v>0.99688699999999997</v>
      </c>
      <c r="AB5281">
        <v>17</v>
      </c>
      <c r="AC5281">
        <v>0.63249999999999296</v>
      </c>
      <c r="AD5281">
        <v>-0.1785784</v>
      </c>
      <c r="AE5281">
        <v>-5.0349999999998098E-2</v>
      </c>
      <c r="AF5281">
        <v>-5.0748835126856198E-2</v>
      </c>
      <c r="AG5281">
        <v>-0.1785784</v>
      </c>
      <c r="AH5281">
        <v>0.58573518919888501</v>
      </c>
      <c r="AI5281">
        <v>106.89569469382</v>
      </c>
      <c r="AJ5281">
        <v>94.951812662220306</v>
      </c>
      <c r="AK5281">
        <v>0.61445211455340198</v>
      </c>
      <c r="AL5281">
        <v>89.722267182551093</v>
      </c>
      <c r="AM5281">
        <v>89.453870348864896</v>
      </c>
      <c r="AN5281">
        <v>0.999999974738777</v>
      </c>
    </row>
    <row r="5282" spans="1:40" x14ac:dyDescent="0.25">
      <c r="A5282" t="str">
        <f>"20190312161120912"</f>
        <v>20190312161120912</v>
      </c>
      <c r="B5282" t="str">
        <f>"1552378280902213"</f>
        <v>1552378280902213</v>
      </c>
      <c r="C5282" t="s">
        <v>40</v>
      </c>
      <c r="D5282">
        <v>5.3796530000000002</v>
      </c>
      <c r="E5282">
        <v>0.46876030000000002</v>
      </c>
      <c r="F5282" t="s">
        <v>99</v>
      </c>
      <c r="G5282">
        <v>-373.6703</v>
      </c>
      <c r="H5282" s="1">
        <v>-3.6676499999999999E-6</v>
      </c>
      <c r="I5282">
        <v>15.697660000000001</v>
      </c>
      <c r="J5282">
        <v>-396.18599999999998</v>
      </c>
      <c r="K5282">
        <v>1.111354</v>
      </c>
      <c r="L5282">
        <v>18.112179999999999</v>
      </c>
      <c r="M5282">
        <v>0.98662070000000002</v>
      </c>
      <c r="N5282">
        <v>0</v>
      </c>
      <c r="O5282">
        <v>-0.1625894</v>
      </c>
      <c r="P5282">
        <v>0.98497970000000001</v>
      </c>
      <c r="Q5282">
        <v>-6.9557200000000003E-3</v>
      </c>
      <c r="R5282">
        <v>-0.17253060000000001</v>
      </c>
      <c r="S5282">
        <v>2.9887389999999998</v>
      </c>
      <c r="T5282">
        <v>-0.1464155</v>
      </c>
      <c r="U5282">
        <v>-0.3214417</v>
      </c>
      <c r="V5282">
        <v>1.0061489999999999E-2</v>
      </c>
      <c r="W5282">
        <v>5.0924239999999999E-3</v>
      </c>
      <c r="X5282">
        <v>0.99993639999999995</v>
      </c>
      <c r="Y5282">
        <v>-5.5901060000000002E-2</v>
      </c>
      <c r="Z5282">
        <v>9.2587569999999994E-3</v>
      </c>
      <c r="AA5282">
        <v>0.99839339999999999</v>
      </c>
      <c r="AB5282">
        <v>17</v>
      </c>
      <c r="AC5282">
        <v>22.515699999999899</v>
      </c>
      <c r="AD5282">
        <v>-1.1113576676500001</v>
      </c>
      <c r="AE5282">
        <v>-2.4145199999999898</v>
      </c>
      <c r="AF5282">
        <v>-1.2756184906625001</v>
      </c>
      <c r="AG5282">
        <v>-1.1113576676500001</v>
      </c>
      <c r="AH5282">
        <v>22.5543369512257</v>
      </c>
      <c r="AI5282">
        <v>92.8164557011889</v>
      </c>
      <c r="AJ5282">
        <v>93.237061472884406</v>
      </c>
      <c r="AK5282">
        <v>22.617701777779899</v>
      </c>
      <c r="AL5282">
        <v>89.708224331889994</v>
      </c>
      <c r="AM5282">
        <v>89.423501876474802</v>
      </c>
      <c r="AN5282">
        <v>0.99999998520408695</v>
      </c>
    </row>
    <row r="5283" spans="1:40" x14ac:dyDescent="0.25">
      <c r="A5283" t="str">
        <f>"20190312161120934"</f>
        <v>20190312161120934</v>
      </c>
      <c r="B5283" t="str">
        <f>"1552378280922709"</f>
        <v>1552378280922709</v>
      </c>
      <c r="C5283" t="s">
        <v>40</v>
      </c>
      <c r="D5283">
        <v>5.5579669999999997</v>
      </c>
      <c r="E5283">
        <v>0.46873029999999999</v>
      </c>
      <c r="F5283" t="s">
        <v>99</v>
      </c>
      <c r="G5283">
        <v>-375.49090000000001</v>
      </c>
      <c r="H5283" s="1">
        <v>-2.7042400000000001E-6</v>
      </c>
      <c r="I5283">
        <v>16.277339999999999</v>
      </c>
      <c r="J5283">
        <v>-396.02269999999999</v>
      </c>
      <c r="K5283">
        <v>1.1113420000000001</v>
      </c>
      <c r="L5283">
        <v>18.088200000000001</v>
      </c>
      <c r="M5283">
        <v>0.98701410000000001</v>
      </c>
      <c r="N5283">
        <v>0</v>
      </c>
      <c r="O5283">
        <v>-0.16018760000000001</v>
      </c>
      <c r="P5283">
        <v>0.98529279999999997</v>
      </c>
      <c r="Q5283">
        <v>-7.2858860000000001E-3</v>
      </c>
      <c r="R5283">
        <v>-0.17072010000000001</v>
      </c>
      <c r="S5283">
        <v>2.9980470000000001</v>
      </c>
      <c r="T5283">
        <v>-0.1609989</v>
      </c>
      <c r="U5283">
        <v>-0.26580809999999999</v>
      </c>
      <c r="V5283">
        <v>1.065902E-2</v>
      </c>
      <c r="W5283">
        <v>4.7138199999999996E-3</v>
      </c>
      <c r="X5283">
        <v>0.99993209999999999</v>
      </c>
      <c r="Y5283">
        <v>-7.2070350000000005E-2</v>
      </c>
      <c r="Z5283">
        <v>1.046684E-2</v>
      </c>
      <c r="AA5283">
        <v>0.99734460000000003</v>
      </c>
      <c r="AB5283">
        <v>17</v>
      </c>
      <c r="AC5283">
        <v>20.531799999999901</v>
      </c>
      <c r="AD5283">
        <v>-1.11134470424</v>
      </c>
      <c r="AE5283">
        <v>-1.8108599999999999</v>
      </c>
      <c r="AF5283">
        <v>-1.49734973375409</v>
      </c>
      <c r="AG5283">
        <v>-1.11134470424</v>
      </c>
      <c r="AH5283">
        <v>20.497134562312301</v>
      </c>
      <c r="AI5283">
        <v>93.095278640156906</v>
      </c>
      <c r="AJ5283">
        <v>94.178130171754603</v>
      </c>
      <c r="AK5283">
        <v>20.581780013943298</v>
      </c>
      <c r="AL5283">
        <v>89.729917013720396</v>
      </c>
      <c r="AM5283">
        <v>89.389264801704499</v>
      </c>
      <c r="AN5283">
        <v>1.00000001970838</v>
      </c>
    </row>
    <row r="5284" spans="1:40" x14ac:dyDescent="0.25">
      <c r="A5284" t="str">
        <f>"20190312161120956"</f>
        <v>20190312161120956</v>
      </c>
      <c r="B5284" t="str">
        <f>"1552378280952965"</f>
        <v>1552378280952965</v>
      </c>
      <c r="C5284" t="s">
        <v>40</v>
      </c>
      <c r="D5284">
        <v>5.5561989999999897</v>
      </c>
      <c r="E5284">
        <v>0.47086790000000001</v>
      </c>
      <c r="F5284" t="s">
        <v>98</v>
      </c>
      <c r="G5284">
        <v>-365.50920000000002</v>
      </c>
      <c r="H5284" s="1">
        <v>-2.8680540000000001E-6</v>
      </c>
      <c r="I5284">
        <v>15.41771</v>
      </c>
      <c r="J5284">
        <v>-395.85309999999998</v>
      </c>
      <c r="K5284">
        <v>1.1113299999999999</v>
      </c>
      <c r="L5284">
        <v>18.063690000000001</v>
      </c>
      <c r="M5284">
        <v>0.98741659999999998</v>
      </c>
      <c r="N5284">
        <v>0</v>
      </c>
      <c r="O5284">
        <v>-0.15769159999999999</v>
      </c>
      <c r="P5284">
        <v>0.98563650000000003</v>
      </c>
      <c r="Q5284">
        <v>-7.4846729999999998E-3</v>
      </c>
      <c r="R5284">
        <v>-0.16871559999999999</v>
      </c>
      <c r="S5284">
        <v>2.9984739999999999</v>
      </c>
      <c r="T5284">
        <v>-0.1092085</v>
      </c>
      <c r="U5284">
        <v>-0.26242070000000001</v>
      </c>
      <c r="V5284">
        <v>1.1154239999999999E-2</v>
      </c>
      <c r="W5284">
        <v>4.4606230000000004E-3</v>
      </c>
      <c r="X5284">
        <v>0.99992780000000003</v>
      </c>
      <c r="Y5284">
        <v>-7.0859199999999997E-2</v>
      </c>
      <c r="Z5284">
        <v>6.9905319999999998E-3</v>
      </c>
      <c r="AA5284">
        <v>0.99746190000000001</v>
      </c>
      <c r="AB5284">
        <v>17</v>
      </c>
      <c r="AC5284">
        <v>30.343899999999898</v>
      </c>
      <c r="AD5284">
        <v>-1.111332868054</v>
      </c>
      <c r="AE5284">
        <v>-2.6459800000000002</v>
      </c>
      <c r="AF5284">
        <v>-2.1695594167195602</v>
      </c>
      <c r="AG5284">
        <v>-1.111332868054</v>
      </c>
      <c r="AH5284">
        <v>30.341082570659498</v>
      </c>
      <c r="AI5284">
        <v>92.092353898836905</v>
      </c>
      <c r="AJ5284">
        <v>94.090011715675899</v>
      </c>
      <c r="AK5284">
        <v>30.438845910544501</v>
      </c>
      <c r="AL5284">
        <v>89.744424270263195</v>
      </c>
      <c r="AM5284">
        <v>89.360889486998403</v>
      </c>
      <c r="AN5284">
        <v>0.99999995972018196</v>
      </c>
    </row>
    <row r="5285" spans="1:40" x14ac:dyDescent="0.25">
      <c r="A5285" t="str">
        <f>"20190312161120979"</f>
        <v>20190312161120979</v>
      </c>
      <c r="B5285" t="str">
        <f>"1552378280972485"</f>
        <v>1552378280972485</v>
      </c>
      <c r="C5285" t="s">
        <v>40</v>
      </c>
      <c r="D5285">
        <v>5.6190300000000004</v>
      </c>
      <c r="E5285">
        <v>0.47228359999999903</v>
      </c>
      <c r="F5285" t="s">
        <v>41</v>
      </c>
      <c r="G5285">
        <v>-348.68529999999998</v>
      </c>
      <c r="H5285" s="1">
        <v>-1.9977930000000002E-6</v>
      </c>
      <c r="I5285">
        <v>13.736890000000001</v>
      </c>
      <c r="J5285">
        <v>-395.68939999999998</v>
      </c>
      <c r="K5285">
        <v>1.1113200000000001</v>
      </c>
      <c r="L5285">
        <v>18.040469999999999</v>
      </c>
      <c r="M5285">
        <v>0.98779879999999998</v>
      </c>
      <c r="N5285">
        <v>0</v>
      </c>
      <c r="O5285">
        <v>-0.1552837</v>
      </c>
      <c r="P5285">
        <v>0.98593600000000003</v>
      </c>
      <c r="Q5285">
        <v>-7.7640579999999999E-3</v>
      </c>
      <c r="R5285">
        <v>-0.1669426</v>
      </c>
      <c r="S5285">
        <v>2.9961850000000001</v>
      </c>
      <c r="T5285">
        <v>-7.0593950000000003E-2</v>
      </c>
      <c r="U5285">
        <v>-0.27484130000000001</v>
      </c>
      <c r="V5285">
        <v>1.179523E-2</v>
      </c>
      <c r="W5285">
        <v>4.1273159999999998E-3</v>
      </c>
      <c r="X5285">
        <v>0.99992190000000003</v>
      </c>
      <c r="Y5285">
        <v>-6.4346630000000002E-2</v>
      </c>
      <c r="Z5285">
        <v>4.3895180000000002E-3</v>
      </c>
      <c r="AA5285">
        <v>0.99791799999999997</v>
      </c>
      <c r="AB5285">
        <v>17</v>
      </c>
      <c r="AC5285">
        <v>47.004100000000001</v>
      </c>
      <c r="AD5285">
        <v>-1.111321997793</v>
      </c>
      <c r="AE5285">
        <v>-4.3035800000000002</v>
      </c>
      <c r="AF5285">
        <v>-3.0464247647387901</v>
      </c>
      <c r="AG5285">
        <v>-1.111321997793</v>
      </c>
      <c r="AH5285">
        <v>47.076081963336499</v>
      </c>
      <c r="AI5285">
        <v>91.349504865108202</v>
      </c>
      <c r="AJ5285">
        <v>93.702607174140596</v>
      </c>
      <c r="AK5285">
        <v>47.187638566141104</v>
      </c>
      <c r="AL5285">
        <v>89.763521537338804</v>
      </c>
      <c r="AM5285">
        <v>89.324161663479799</v>
      </c>
      <c r="AN5285">
        <v>0.99999998414386304</v>
      </c>
    </row>
    <row r="5286" spans="1:40" x14ac:dyDescent="0.25">
      <c r="A5286" t="str">
        <f>"20190312161121001"</f>
        <v>20190312161121001</v>
      </c>
      <c r="B5286" t="str">
        <f>"1552378280992988"</f>
        <v>1552378280992988</v>
      </c>
      <c r="C5286" t="s">
        <v>40</v>
      </c>
      <c r="D5286">
        <v>5.667414</v>
      </c>
      <c r="E5286">
        <v>0.47288560000000002</v>
      </c>
      <c r="F5286" t="s">
        <v>41</v>
      </c>
      <c r="G5286">
        <v>-359.66919999999999</v>
      </c>
      <c r="H5286" s="1">
        <v>-1.4130460000000001E-6</v>
      </c>
      <c r="I5286">
        <v>14.676259999999999</v>
      </c>
      <c r="J5286">
        <v>-395.51490000000001</v>
      </c>
      <c r="K5286">
        <v>1.11131</v>
      </c>
      <c r="L5286">
        <v>18.016169999999999</v>
      </c>
      <c r="M5286">
        <v>0.98819979999999996</v>
      </c>
      <c r="N5286">
        <v>0</v>
      </c>
      <c r="O5286">
        <v>-0.15271479999999901</v>
      </c>
      <c r="P5286">
        <v>0.98632450000000005</v>
      </c>
      <c r="Q5286">
        <v>-7.7422019999999897E-3</v>
      </c>
      <c r="R5286">
        <v>-0.16463329999999901</v>
      </c>
      <c r="S5286">
        <v>2.99472</v>
      </c>
      <c r="T5286">
        <v>-9.2395309999999994E-2</v>
      </c>
      <c r="U5286">
        <v>-0.27969359999999999</v>
      </c>
      <c r="V5286">
        <v>1.205355E-2</v>
      </c>
      <c r="W5286">
        <v>4.0905990000000003E-3</v>
      </c>
      <c r="X5286">
        <v>0.999919</v>
      </c>
      <c r="Y5286">
        <v>-6.0064109999999997E-2</v>
      </c>
      <c r="Z5286">
        <v>5.6027940000000004E-3</v>
      </c>
      <c r="AA5286">
        <v>0.99817880000000003</v>
      </c>
      <c r="AB5286">
        <v>17</v>
      </c>
      <c r="AC5286">
        <v>35.845700000000001</v>
      </c>
      <c r="AD5286">
        <v>-1.111311413046</v>
      </c>
      <c r="AE5286">
        <v>-3.3399100000000002</v>
      </c>
      <c r="AF5286">
        <v>-2.17175252931743</v>
      </c>
      <c r="AG5286">
        <v>-1.111311413046</v>
      </c>
      <c r="AH5286">
        <v>35.901061239958899</v>
      </c>
      <c r="AI5286">
        <v>91.769782099191701</v>
      </c>
      <c r="AJ5286">
        <v>93.461758539408606</v>
      </c>
      <c r="AK5286">
        <v>35.983853604924498</v>
      </c>
      <c r="AL5286">
        <v>89.765625291222193</v>
      </c>
      <c r="AM5286">
        <v>89.309359963672605</v>
      </c>
      <c r="AN5286">
        <v>1.0000000138143901</v>
      </c>
    </row>
    <row r="5287" spans="1:40" x14ac:dyDescent="0.25">
      <c r="A5287" t="str">
        <f>"20190312161121025"</f>
        <v>20190312161121025</v>
      </c>
      <c r="B5287" t="str">
        <f>"1552378281012504"</f>
        <v>1552378281012504</v>
      </c>
      <c r="C5287" t="s">
        <v>40</v>
      </c>
      <c r="D5287">
        <v>5.6946810000000001</v>
      </c>
      <c r="E5287">
        <v>0.47368060000000001</v>
      </c>
      <c r="F5287" t="s">
        <v>98</v>
      </c>
      <c r="G5287">
        <v>-365.58769999999998</v>
      </c>
      <c r="H5287" s="1">
        <v>-2.8603520000000001E-6</v>
      </c>
      <c r="I5287">
        <v>15.251749999999999</v>
      </c>
      <c r="J5287">
        <v>-395.3424</v>
      </c>
      <c r="K5287">
        <v>1.11131</v>
      </c>
      <c r="L5287">
        <v>17.99258</v>
      </c>
      <c r="M5287">
        <v>0.9885893</v>
      </c>
      <c r="N5287">
        <v>0</v>
      </c>
      <c r="O5287">
        <v>-0.15017829999999999</v>
      </c>
      <c r="P5287">
        <v>0.98681529999999995</v>
      </c>
      <c r="Q5287">
        <v>-7.61728199999999E-3</v>
      </c>
      <c r="R5287">
        <v>-0.16167200000000001</v>
      </c>
      <c r="S5287">
        <v>2.9945369999999998</v>
      </c>
      <c r="T5287">
        <v>-0.1111989</v>
      </c>
      <c r="U5287">
        <v>-0.2766113</v>
      </c>
      <c r="V5287">
        <v>1.161827E-2</v>
      </c>
      <c r="W5287">
        <v>4.1573560000000001E-3</v>
      </c>
      <c r="X5287">
        <v>0.99992389999999998</v>
      </c>
      <c r="Y5287">
        <v>-5.8473299999999999E-2</v>
      </c>
      <c r="Z5287">
        <v>6.6208730000000002E-3</v>
      </c>
      <c r="AA5287">
        <v>0.99826700000000002</v>
      </c>
      <c r="AB5287">
        <v>17</v>
      </c>
      <c r="AC5287">
        <v>29.7547</v>
      </c>
      <c r="AD5287">
        <v>-1.1113128603519999</v>
      </c>
      <c r="AE5287">
        <v>-2.7408299999999999</v>
      </c>
      <c r="AF5287">
        <v>-1.7566463128258401</v>
      </c>
      <c r="AG5287">
        <v>-1.1113128603519999</v>
      </c>
      <c r="AH5287">
        <v>29.787641696433202</v>
      </c>
      <c r="AI5287">
        <v>92.132889249451594</v>
      </c>
      <c r="AJ5287">
        <v>93.374956216626799</v>
      </c>
      <c r="AK5287">
        <v>29.8600807161842</v>
      </c>
      <c r="AL5287">
        <v>89.7618003698705</v>
      </c>
      <c r="AM5287">
        <v>89.334301458226605</v>
      </c>
      <c r="AN5287">
        <v>1.0000000367989501</v>
      </c>
    </row>
    <row r="5288" spans="1:40" x14ac:dyDescent="0.25">
      <c r="A5288" t="str">
        <f>"20190312161121037"</f>
        <v>20190312161121037</v>
      </c>
      <c r="B5288" t="str">
        <f>"1552378281032020"</f>
        <v>1552378281032020</v>
      </c>
      <c r="C5288" t="s">
        <v>40</v>
      </c>
      <c r="D5288">
        <v>5.6019769999999998</v>
      </c>
      <c r="E5288">
        <v>0.47430470000000002</v>
      </c>
      <c r="F5288" t="s">
        <v>99</v>
      </c>
      <c r="G5288">
        <v>-370.11320000000001</v>
      </c>
      <c r="H5288" s="1">
        <v>-5.3500399999999999E-6</v>
      </c>
      <c r="I5288">
        <v>15.692589999999999</v>
      </c>
      <c r="J5288">
        <v>-395.23970000000003</v>
      </c>
      <c r="K5288">
        <v>1.111305</v>
      </c>
      <c r="L5288">
        <v>17.978819999999999</v>
      </c>
      <c r="M5288">
        <v>0.98881799999999997</v>
      </c>
      <c r="N5288">
        <v>0</v>
      </c>
      <c r="O5288">
        <v>-0.14866770000000001</v>
      </c>
      <c r="P5288">
        <v>0.98711090000000001</v>
      </c>
      <c r="Q5288">
        <v>-7.1358080000000004E-3</v>
      </c>
      <c r="R5288">
        <v>-0.15987999999999999</v>
      </c>
      <c r="S5288">
        <v>2.9943849999999999</v>
      </c>
      <c r="T5288">
        <v>-0.13189899999999999</v>
      </c>
      <c r="U5288">
        <v>-0.27297969999999999</v>
      </c>
      <c r="V5288">
        <v>1.1328599999999999E-2</v>
      </c>
      <c r="W5288">
        <v>4.603195E-3</v>
      </c>
      <c r="X5288">
        <v>0.99992530000000002</v>
      </c>
      <c r="Y5288">
        <v>-5.808812E-2</v>
      </c>
      <c r="Z5288">
        <v>7.7792099999999999E-3</v>
      </c>
      <c r="AA5288">
        <v>0.99828110000000003</v>
      </c>
      <c r="AB5288">
        <v>17</v>
      </c>
      <c r="AC5288">
        <v>25.1265</v>
      </c>
      <c r="AD5288">
        <v>-1.1113103500399999</v>
      </c>
      <c r="AE5288">
        <v>-2.2862300000000002</v>
      </c>
      <c r="AF5288">
        <v>-1.4720785422131799</v>
      </c>
      <c r="AG5288">
        <v>-1.1113103500399999</v>
      </c>
      <c r="AH5288">
        <v>25.1383766949067</v>
      </c>
      <c r="AI5288">
        <v>92.526944425521606</v>
      </c>
      <c r="AJ5288">
        <v>93.351357049539502</v>
      </c>
      <c r="AK5288">
        <v>25.2059518523618</v>
      </c>
      <c r="AL5288">
        <v>89.736255440215601</v>
      </c>
      <c r="AM5288">
        <v>89.350898313395604</v>
      </c>
      <c r="AN5288">
        <v>1.0000000660811199</v>
      </c>
    </row>
    <row r="5289" spans="1:40" x14ac:dyDescent="0.25">
      <c r="A5289" t="str">
        <f>"20190312161121057"</f>
        <v>20190312161121057</v>
      </c>
      <c r="B5289" t="str">
        <f>"1552378281052517"</f>
        <v>1552378281052517</v>
      </c>
      <c r="C5289" t="s">
        <v>40</v>
      </c>
      <c r="D5289">
        <v>4.8198699999999999</v>
      </c>
      <c r="E5289">
        <v>0.47482930000000001</v>
      </c>
      <c r="F5289" t="s">
        <v>99</v>
      </c>
      <c r="G5289">
        <v>-371.8356</v>
      </c>
      <c r="H5289" s="1">
        <v>-4.5074119999999997E-6</v>
      </c>
      <c r="I5289">
        <v>15.852880000000001</v>
      </c>
      <c r="J5289">
        <v>-395.09620000000001</v>
      </c>
      <c r="K5289">
        <v>1.1113</v>
      </c>
      <c r="L5289">
        <v>17.959810000000001</v>
      </c>
      <c r="M5289">
        <v>0.98913379999999995</v>
      </c>
      <c r="N5289">
        <v>0</v>
      </c>
      <c r="O5289">
        <v>-0.14655570000000001</v>
      </c>
      <c r="P5289">
        <v>0.98759589999999997</v>
      </c>
      <c r="Q5289">
        <v>-7.6039300000000001E-3</v>
      </c>
      <c r="R5289">
        <v>-0.15683420000000001</v>
      </c>
      <c r="S5289">
        <v>2.99411</v>
      </c>
      <c r="T5289">
        <v>-0.14217050000000001</v>
      </c>
      <c r="U5289">
        <v>-0.27197270000000001</v>
      </c>
      <c r="V5289">
        <v>1.038128E-2</v>
      </c>
      <c r="W5289">
        <v>4.0839240000000001E-3</v>
      </c>
      <c r="X5289">
        <v>0.99993779999999999</v>
      </c>
      <c r="Y5289">
        <v>-5.6253190000000002E-2</v>
      </c>
      <c r="Z5289">
        <v>8.2429779999999998E-3</v>
      </c>
      <c r="AA5289">
        <v>0.99838249999999995</v>
      </c>
      <c r="AB5289">
        <v>17</v>
      </c>
      <c r="AC5289">
        <v>23.2606</v>
      </c>
      <c r="AD5289">
        <v>-1.111304507412</v>
      </c>
      <c r="AE5289">
        <v>-2.1069300000000002</v>
      </c>
      <c r="AF5289">
        <v>-1.32203469796766</v>
      </c>
      <c r="AG5289">
        <v>-1.111304507412</v>
      </c>
      <c r="AH5289">
        <v>23.2655379921875</v>
      </c>
      <c r="AI5289">
        <v>92.730320782591306</v>
      </c>
      <c r="AJ5289">
        <v>93.252262584510802</v>
      </c>
      <c r="AK5289">
        <v>23.329552750036701</v>
      </c>
      <c r="AL5289">
        <v>89.766007746740698</v>
      </c>
      <c r="AM5289">
        <v>89.405180841099806</v>
      </c>
      <c r="AN5289">
        <v>1.0000000266392499</v>
      </c>
    </row>
    <row r="5290" spans="1:40" x14ac:dyDescent="0.25">
      <c r="A5290" t="str">
        <f>"20190312161121212"</f>
        <v>20190312161121212</v>
      </c>
      <c r="B5290" t="str">
        <f>"1552378281202821"</f>
        <v>1552378281202821</v>
      </c>
      <c r="C5290" t="s">
        <v>40</v>
      </c>
      <c r="D5290">
        <v>5.5269949999999897</v>
      </c>
      <c r="E5290">
        <v>0.37928450000000002</v>
      </c>
      <c r="F5290" t="s">
        <v>42</v>
      </c>
      <c r="G5290">
        <v>-393.3064</v>
      </c>
      <c r="H5290">
        <v>0.91627619999999999</v>
      </c>
      <c r="I5290">
        <v>17.78228</v>
      </c>
      <c r="J5290">
        <v>-393.911</v>
      </c>
      <c r="K5290">
        <v>1.1112930000000001</v>
      </c>
      <c r="L5290">
        <v>17.814450000000001</v>
      </c>
      <c r="M5290">
        <v>0.99156390000000005</v>
      </c>
      <c r="N5290">
        <v>0</v>
      </c>
      <c r="O5290">
        <v>-0.1291224</v>
      </c>
      <c r="P5290">
        <v>0.99007149999999999</v>
      </c>
      <c r="Q5290">
        <v>-4.9950029999999996E-3</v>
      </c>
      <c r="R5290">
        <v>-0.1404763</v>
      </c>
      <c r="S5290">
        <v>2.9981080000000002</v>
      </c>
      <c r="T5290">
        <v>-0.76230779999999998</v>
      </c>
      <c r="U5290">
        <v>-0.19824220000000001</v>
      </c>
      <c r="V5290">
        <v>1.1433540000000001E-2</v>
      </c>
      <c r="W5290">
        <v>6.3717569999999996E-3</v>
      </c>
      <c r="X5290">
        <v>0.99991430000000003</v>
      </c>
      <c r="Y5290">
        <v>-5.7539430000000003E-2</v>
      </c>
      <c r="Z5290">
        <v>3.9375640000000003E-2</v>
      </c>
      <c r="AA5290">
        <v>0.99756639999999996</v>
      </c>
      <c r="AB5290">
        <v>17</v>
      </c>
      <c r="AC5290">
        <v>0.60460000000000402</v>
      </c>
      <c r="AD5290">
        <v>-0.19501679999999999</v>
      </c>
      <c r="AE5290">
        <v>-3.2170000000000698E-2</v>
      </c>
      <c r="AF5290">
        <v>-4.1831790853000199E-2</v>
      </c>
      <c r="AG5290">
        <v>-0.19501679999999999</v>
      </c>
      <c r="AH5290">
        <v>0.54694744092631198</v>
      </c>
      <c r="AI5290">
        <v>109.571145835229</v>
      </c>
      <c r="AJ5290">
        <v>94.373597638212502</v>
      </c>
      <c r="AK5290">
        <v>0.58217948619309001</v>
      </c>
      <c r="AL5290">
        <v>89.634922733148599</v>
      </c>
      <c r="AM5290">
        <v>89.344878817760303</v>
      </c>
      <c r="AN5290">
        <v>0.99999996623434295</v>
      </c>
    </row>
    <row r="5291" spans="1:40" x14ac:dyDescent="0.25">
      <c r="A5291" t="str">
        <f>"20190312161121235"</f>
        <v>20190312161121235</v>
      </c>
      <c r="B5291" t="str">
        <f>"1552378281232101"</f>
        <v>1552378281232101</v>
      </c>
      <c r="C5291" t="s">
        <v>40</v>
      </c>
      <c r="D5291">
        <v>5.703176</v>
      </c>
      <c r="E5291">
        <v>0.39023730000000001</v>
      </c>
      <c r="F5291" t="s">
        <v>100</v>
      </c>
      <c r="G5291">
        <v>-280.86259999999999</v>
      </c>
      <c r="H5291">
        <v>2.3917000000000002</v>
      </c>
      <c r="I5291">
        <v>37.126710000000003</v>
      </c>
      <c r="J5291">
        <v>-393.74290000000002</v>
      </c>
      <c r="K5291">
        <v>1.1112839999999999</v>
      </c>
      <c r="L5291">
        <v>17.795529999999999</v>
      </c>
      <c r="M5291">
        <v>0.99188339999999997</v>
      </c>
      <c r="N5291">
        <v>0</v>
      </c>
      <c r="O5291">
        <v>-0.12664810000000001</v>
      </c>
      <c r="P5291">
        <v>0.99040669999999997</v>
      </c>
      <c r="Q5291">
        <v>-4.4371910000000001E-3</v>
      </c>
      <c r="R5291">
        <v>-0.13811319999999999</v>
      </c>
      <c r="S5291">
        <v>3.105499</v>
      </c>
      <c r="T5291">
        <v>3.5173540000000003E-2</v>
      </c>
      <c r="U5291">
        <v>0.53051759999999903</v>
      </c>
      <c r="V5291">
        <v>1.1540180000000001E-2</v>
      </c>
      <c r="W5291">
        <v>6.8976970000000004E-3</v>
      </c>
      <c r="X5291">
        <v>0.99990959999999995</v>
      </c>
      <c r="Y5291">
        <v>-0.29185739999999999</v>
      </c>
      <c r="Z5291">
        <v>-3.0660209999999999E-3</v>
      </c>
      <c r="AA5291">
        <v>0.95645690000000005</v>
      </c>
      <c r="AB5291">
        <v>17</v>
      </c>
      <c r="AC5291">
        <v>112.88030000000001</v>
      </c>
      <c r="AD5291">
        <v>1.280416</v>
      </c>
      <c r="AE5291">
        <v>19.33118</v>
      </c>
      <c r="AF5291">
        <v>-33.4683037792135</v>
      </c>
      <c r="AG5291">
        <v>1.280416</v>
      </c>
      <c r="AH5291">
        <v>109.50913649033301</v>
      </c>
      <c r="AI5291">
        <v>89.359358763263998</v>
      </c>
      <c r="AJ5291">
        <v>106.994258457974</v>
      </c>
      <c r="AK5291">
        <v>114.516452083747</v>
      </c>
      <c r="AL5291">
        <v>89.604787932103605</v>
      </c>
      <c r="AM5291">
        <v>89.338765970680498</v>
      </c>
      <c r="AN5291">
        <v>0.99999998107524701</v>
      </c>
    </row>
    <row r="5292" spans="1:40" x14ac:dyDescent="0.25">
      <c r="A5292" t="str">
        <f>"20190312161121258"</f>
        <v>20190312161121258</v>
      </c>
      <c r="B5292" t="str">
        <f>"1552378281252598"</f>
        <v>1552378281252598</v>
      </c>
      <c r="C5292" t="s">
        <v>40</v>
      </c>
      <c r="D5292">
        <v>5.8225490000000004</v>
      </c>
      <c r="E5292">
        <v>0.39600299999999999</v>
      </c>
      <c r="F5292" t="s">
        <v>43</v>
      </c>
      <c r="G5292">
        <v>-300.96620000000001</v>
      </c>
      <c r="H5292">
        <v>-0.05</v>
      </c>
      <c r="I5292">
        <v>31.433499999999999</v>
      </c>
      <c r="J5292">
        <v>-393.56420000000003</v>
      </c>
      <c r="K5292">
        <v>1.111283</v>
      </c>
      <c r="L5292">
        <v>17.77591</v>
      </c>
      <c r="M5292">
        <v>0.99221590000000004</v>
      </c>
      <c r="N5292">
        <v>0</v>
      </c>
      <c r="O5292">
        <v>-0.1240202</v>
      </c>
      <c r="P5292">
        <v>0.99078869999999997</v>
      </c>
      <c r="Q5292">
        <v>-4.4259879999999996E-3</v>
      </c>
      <c r="R5292">
        <v>-0.13534599999999999</v>
      </c>
      <c r="S5292">
        <v>3.092285</v>
      </c>
      <c r="T5292">
        <v>-3.870606E-2</v>
      </c>
      <c r="U5292">
        <v>0.4545593</v>
      </c>
      <c r="V5292">
        <v>1.13959E-2</v>
      </c>
      <c r="W5292">
        <v>6.8714709999999997E-3</v>
      </c>
      <c r="X5292">
        <v>0.99991140000000001</v>
      </c>
      <c r="Y5292">
        <v>-0.26699129999999999</v>
      </c>
      <c r="Z5292">
        <v>3.206591E-3</v>
      </c>
      <c r="AA5292">
        <v>0.96369360000000004</v>
      </c>
      <c r="AB5292">
        <v>17</v>
      </c>
      <c r="AC5292">
        <v>92.597999999999999</v>
      </c>
      <c r="AD5292">
        <v>-1.1612830000000001</v>
      </c>
      <c r="AE5292">
        <v>13.657590000000001</v>
      </c>
      <c r="AF5292">
        <v>-25.033031927622499</v>
      </c>
      <c r="AG5292">
        <v>-1.1612830000000001</v>
      </c>
      <c r="AH5292">
        <v>90.175219142196994</v>
      </c>
      <c r="AI5292">
        <v>90.710935852605402</v>
      </c>
      <c r="AJ5292">
        <v>105.514885011774</v>
      </c>
      <c r="AK5292">
        <v>93.592582040665505</v>
      </c>
      <c r="AL5292">
        <v>89.606290592949506</v>
      </c>
      <c r="AM5292">
        <v>89.347033441103804</v>
      </c>
      <c r="AN5292">
        <v>0.99999994575023499</v>
      </c>
    </row>
    <row r="5293" spans="1:40" x14ac:dyDescent="0.25">
      <c r="A5293" t="str">
        <f>"20190312161121281"</f>
        <v>20190312161121281</v>
      </c>
      <c r="B5293" t="str">
        <f>"1552378281272117"</f>
        <v>1552378281272117</v>
      </c>
      <c r="C5293" t="s">
        <v>40</v>
      </c>
      <c r="D5293">
        <v>5.3295570000000003</v>
      </c>
      <c r="E5293">
        <v>0.39951500000000001</v>
      </c>
      <c r="F5293" t="s">
        <v>41</v>
      </c>
      <c r="G5293">
        <v>-343.94799999999998</v>
      </c>
      <c r="H5293" s="1">
        <v>-3.801295E-6</v>
      </c>
      <c r="I5293">
        <v>24.514099999999999</v>
      </c>
      <c r="J5293">
        <v>-393.3843</v>
      </c>
      <c r="K5293">
        <v>1.1112740000000001</v>
      </c>
      <c r="L5293">
        <v>17.756589999999999</v>
      </c>
      <c r="M5293">
        <v>0.99254379999999998</v>
      </c>
      <c r="N5293">
        <v>0</v>
      </c>
      <c r="O5293">
        <v>-0.12137149999999999</v>
      </c>
      <c r="P5293">
        <v>0.99114190000000002</v>
      </c>
      <c r="Q5293">
        <v>-4.8399769999999996E-3</v>
      </c>
      <c r="R5293">
        <v>-0.13272049999999999</v>
      </c>
      <c r="S5293">
        <v>3.0848390000000001</v>
      </c>
      <c r="T5293">
        <v>-6.9093109999999999E-2</v>
      </c>
      <c r="U5293">
        <v>0.41894530000000002</v>
      </c>
      <c r="V5293">
        <v>1.1416890000000001E-2</v>
      </c>
      <c r="W5293">
        <v>6.4175319999999897E-3</v>
      </c>
      <c r="X5293">
        <v>0.99991419999999998</v>
      </c>
      <c r="Y5293">
        <v>-0.25375989999999998</v>
      </c>
      <c r="Z5293">
        <v>5.5348790000000004E-3</v>
      </c>
      <c r="AA5293">
        <v>0.96725139999999998</v>
      </c>
      <c r="AB5293">
        <v>17</v>
      </c>
      <c r="AC5293">
        <v>49.436299999999903</v>
      </c>
      <c r="AD5293">
        <v>-1.111277801295</v>
      </c>
      <c r="AE5293">
        <v>6.7575099999999999</v>
      </c>
      <c r="AF5293">
        <v>-12.7017811270942</v>
      </c>
      <c r="AG5293">
        <v>-1.111277801295</v>
      </c>
      <c r="AH5293">
        <v>48.226635950427898</v>
      </c>
      <c r="AI5293">
        <v>91.2765063262148</v>
      </c>
      <c r="AJ5293">
        <v>104.75529675190499</v>
      </c>
      <c r="AK5293">
        <v>49.883650600646398</v>
      </c>
      <c r="AL5293">
        <v>89.632299966044599</v>
      </c>
      <c r="AM5293">
        <v>89.345832684291693</v>
      </c>
      <c r="AN5293">
        <v>0.99999996872794095</v>
      </c>
    </row>
    <row r="5294" spans="1:40" x14ac:dyDescent="0.25">
      <c r="A5294" t="str">
        <f>"20190312161121304"</f>
        <v>20190312161121304</v>
      </c>
      <c r="B5294" t="str">
        <f>"1552378281292613"</f>
        <v>1552378281292613</v>
      </c>
      <c r="C5294" t="s">
        <v>40</v>
      </c>
      <c r="D5294">
        <v>5.8315739999999998</v>
      </c>
      <c r="E5294">
        <v>0.40280260000000001</v>
      </c>
      <c r="F5294" t="s">
        <v>41</v>
      </c>
      <c r="G5294">
        <v>-355.14620000000002</v>
      </c>
      <c r="H5294" s="1">
        <v>-2.8919760000000002E-6</v>
      </c>
      <c r="I5294">
        <v>22.72589</v>
      </c>
      <c r="J5294">
        <v>-393.21620000000001</v>
      </c>
      <c r="K5294">
        <v>1.111273</v>
      </c>
      <c r="L5294">
        <v>17.73901</v>
      </c>
      <c r="M5294">
        <v>0.99284349999999999</v>
      </c>
      <c r="N5294">
        <v>0</v>
      </c>
      <c r="O5294">
        <v>-0.118897699999999</v>
      </c>
      <c r="P5294">
        <v>0.99143139999999996</v>
      </c>
      <c r="Q5294">
        <v>-5.0269249999999998E-3</v>
      </c>
      <c r="R5294">
        <v>-0.13053219999999999</v>
      </c>
      <c r="S5294">
        <v>3.0799560000000001</v>
      </c>
      <c r="T5294">
        <v>-8.950996E-2</v>
      </c>
      <c r="U5294">
        <v>0.40026859999999997</v>
      </c>
      <c r="V5294">
        <v>1.170202E-2</v>
      </c>
      <c r="W5294">
        <v>6.1938999999999996E-3</v>
      </c>
      <c r="X5294">
        <v>0.99991229999999998</v>
      </c>
      <c r="Y5294">
        <v>-0.24572289999999999</v>
      </c>
      <c r="Z5294">
        <v>6.995884E-3</v>
      </c>
      <c r="AA5294">
        <v>0.96931489999999998</v>
      </c>
      <c r="AB5294">
        <v>17</v>
      </c>
      <c r="AC5294">
        <v>38.069999999999901</v>
      </c>
      <c r="AD5294">
        <v>-1.111275891976</v>
      </c>
      <c r="AE5294">
        <v>4.9868799999999904</v>
      </c>
      <c r="AF5294">
        <v>-9.4702865438444395</v>
      </c>
      <c r="AG5294">
        <v>-1.111275891976</v>
      </c>
      <c r="AH5294">
        <v>37.175809026174299</v>
      </c>
      <c r="AI5294">
        <v>91.659240930415507</v>
      </c>
      <c r="AJ5294">
        <v>104.291738655993</v>
      </c>
      <c r="AK5294">
        <v>38.379187564110801</v>
      </c>
      <c r="AL5294">
        <v>89.645113385997305</v>
      </c>
      <c r="AM5294">
        <v>89.329495446227597</v>
      </c>
      <c r="AN5294">
        <v>0.99999995468028902</v>
      </c>
    </row>
    <row r="5295" spans="1:40" x14ac:dyDescent="0.25">
      <c r="A5295" t="str">
        <f>"20190312161121325"</f>
        <v>20190312161121325</v>
      </c>
      <c r="B5295" t="str">
        <f>"1552378281322868"</f>
        <v>1552378281322868</v>
      </c>
      <c r="C5295" t="s">
        <v>40</v>
      </c>
      <c r="D5295">
        <v>5.899241</v>
      </c>
      <c r="E5295">
        <v>0.40531050000000002</v>
      </c>
      <c r="F5295" t="s">
        <v>98</v>
      </c>
      <c r="G5295">
        <v>-364.6019</v>
      </c>
      <c r="H5295" s="1">
        <v>-2.9990719999999999E-6</v>
      </c>
      <c r="I5295">
        <v>21.295999999999999</v>
      </c>
      <c r="J5295">
        <v>-393.0455</v>
      </c>
      <c r="K5295">
        <v>1.111272</v>
      </c>
      <c r="L5295">
        <v>17.721620000000001</v>
      </c>
      <c r="M5295">
        <v>0.99314159999999996</v>
      </c>
      <c r="N5295">
        <v>0</v>
      </c>
      <c r="O5295">
        <v>-0.1163845</v>
      </c>
      <c r="P5295">
        <v>0.99175380000000002</v>
      </c>
      <c r="Q5295">
        <v>-4.6243179999999997E-3</v>
      </c>
      <c r="R5295">
        <v>-0.12807399999999999</v>
      </c>
      <c r="S5295">
        <v>3.0756230000000002</v>
      </c>
      <c r="T5295">
        <v>-0.11944589999999899</v>
      </c>
      <c r="U5295">
        <v>0.3823242</v>
      </c>
      <c r="V5295">
        <v>1.1752840000000001E-2</v>
      </c>
      <c r="W5295">
        <v>6.5615329999999996E-3</v>
      </c>
      <c r="X5295">
        <v>0.99990939999999995</v>
      </c>
      <c r="Y5295">
        <v>-0.2377592</v>
      </c>
      <c r="Z5295">
        <v>9.0991170000000003E-3</v>
      </c>
      <c r="AA5295">
        <v>0.97128150000000002</v>
      </c>
      <c r="AB5295">
        <v>17</v>
      </c>
      <c r="AC5295">
        <v>28.4436</v>
      </c>
      <c r="AD5295">
        <v>-1.1112749990719999</v>
      </c>
      <c r="AE5295">
        <v>3.5743799999999899</v>
      </c>
      <c r="AF5295">
        <v>-6.8503924077422598</v>
      </c>
      <c r="AG5295">
        <v>-1.1112749990719999</v>
      </c>
      <c r="AH5295">
        <v>27.7924879955435</v>
      </c>
      <c r="AI5295">
        <v>92.223265498820993</v>
      </c>
      <c r="AJ5295">
        <v>103.846463556429</v>
      </c>
      <c r="AK5295">
        <v>28.645858291313999</v>
      </c>
      <c r="AL5295">
        <v>89.624049152591596</v>
      </c>
      <c r="AM5295">
        <v>89.326581866938398</v>
      </c>
      <c r="AN5295">
        <v>0.99999999558586705</v>
      </c>
    </row>
    <row r="5296" spans="1:40" x14ac:dyDescent="0.25">
      <c r="A5296" t="str">
        <f>"20190312161121347"</f>
        <v>20190312161121347</v>
      </c>
      <c r="B5296" t="str">
        <f>"1552378281342389"</f>
        <v>1552378281342389</v>
      </c>
      <c r="C5296" t="s">
        <v>40</v>
      </c>
      <c r="D5296">
        <v>5.8776950000000001</v>
      </c>
      <c r="E5296">
        <v>0.40672910000000001</v>
      </c>
      <c r="F5296" t="s">
        <v>98</v>
      </c>
      <c r="G5296">
        <v>-368.07010000000002</v>
      </c>
      <c r="H5296" s="1">
        <v>-1.210559E-6</v>
      </c>
      <c r="I5296">
        <v>20.735710000000001</v>
      </c>
      <c r="J5296">
        <v>-392.88240000000002</v>
      </c>
      <c r="K5296">
        <v>1.11127</v>
      </c>
      <c r="L5296">
        <v>17.705379999999899</v>
      </c>
      <c r="M5296">
        <v>0.99342019999999998</v>
      </c>
      <c r="N5296">
        <v>0</v>
      </c>
      <c r="O5296">
        <v>-0.11398419999999999</v>
      </c>
      <c r="P5296">
        <v>0.99204890000000001</v>
      </c>
      <c r="Q5296">
        <v>-4.4589490000000002E-3</v>
      </c>
      <c r="R5296">
        <v>-0.12577339999999901</v>
      </c>
      <c r="S5296">
        <v>3.072174</v>
      </c>
      <c r="T5296">
        <v>-0.1366956</v>
      </c>
      <c r="U5296">
        <v>0.37075809999999998</v>
      </c>
      <c r="V5296">
        <v>1.1849429999999999E-2</v>
      </c>
      <c r="W5296">
        <v>6.6979079999999998E-3</v>
      </c>
      <c r="X5296">
        <v>0.9999074</v>
      </c>
      <c r="Y5296">
        <v>-0.2318644</v>
      </c>
      <c r="Z5296">
        <v>1.0188839999999999E-2</v>
      </c>
      <c r="AA5296">
        <v>0.97269479999999997</v>
      </c>
      <c r="AB5296">
        <v>17</v>
      </c>
      <c r="AC5296">
        <v>24.8123</v>
      </c>
      <c r="AD5296">
        <v>-1.1112712105589999</v>
      </c>
      <c r="AE5296">
        <v>3.0303300000000002</v>
      </c>
      <c r="AF5296">
        <v>-5.8274455636783298</v>
      </c>
      <c r="AG5296">
        <v>-1.1112712105589999</v>
      </c>
      <c r="AH5296">
        <v>24.2571940849935</v>
      </c>
      <c r="AI5296">
        <v>92.550534289079494</v>
      </c>
      <c r="AJ5296">
        <v>103.508505201454</v>
      </c>
      <c r="AK5296">
        <v>24.972094633372201</v>
      </c>
      <c r="AL5296">
        <v>89.616235285851602</v>
      </c>
      <c r="AM5296">
        <v>89.321046579085206</v>
      </c>
      <c r="AN5296">
        <v>1.00000003976883</v>
      </c>
    </row>
    <row r="5297" spans="1:40" x14ac:dyDescent="0.25">
      <c r="A5297" t="str">
        <f>"20190312161121369"</f>
        <v>20190312161121369</v>
      </c>
      <c r="B5297" t="str">
        <f>"1552378281361910"</f>
        <v>1552378281361910</v>
      </c>
      <c r="C5297" t="s">
        <v>40</v>
      </c>
      <c r="D5297">
        <v>5.8787589999999996</v>
      </c>
      <c r="E5297">
        <v>0.4079798</v>
      </c>
      <c r="F5297" t="s">
        <v>98</v>
      </c>
      <c r="G5297">
        <v>-369.20490000000001</v>
      </c>
      <c r="H5297" s="1">
        <v>-6.2092619999999896E-7</v>
      </c>
      <c r="I5297">
        <v>20.53576</v>
      </c>
      <c r="J5297">
        <v>-392.70490000000001</v>
      </c>
      <c r="K5297">
        <v>1.1112690000000001</v>
      </c>
      <c r="L5297">
        <v>17.688199999999998</v>
      </c>
      <c r="M5297">
        <v>0.99371679999999996</v>
      </c>
      <c r="N5297">
        <v>0</v>
      </c>
      <c r="O5297">
        <v>-0.1113724</v>
      </c>
      <c r="P5297">
        <v>0.99233939999999998</v>
      </c>
      <c r="Q5297">
        <v>-5.0671750000000002E-3</v>
      </c>
      <c r="R5297">
        <v>-0.1234378</v>
      </c>
      <c r="S5297">
        <v>3.0699160000000001</v>
      </c>
      <c r="T5297">
        <v>-0.1440823</v>
      </c>
      <c r="U5297">
        <v>0.36697390000000002</v>
      </c>
      <c r="V5297">
        <v>1.2126400000000001E-2</v>
      </c>
      <c r="W5297">
        <v>6.062296E-3</v>
      </c>
      <c r="X5297">
        <v>0.99990809999999997</v>
      </c>
      <c r="Y5297">
        <v>-0.22817779999999999</v>
      </c>
      <c r="Z5297">
        <v>1.0539299999999901E-2</v>
      </c>
      <c r="AA5297">
        <v>0.97356240000000005</v>
      </c>
      <c r="AB5297">
        <v>17</v>
      </c>
      <c r="AC5297">
        <v>23.5</v>
      </c>
      <c r="AD5297">
        <v>-1.1112696209262001</v>
      </c>
      <c r="AE5297">
        <v>2.8475600000000001</v>
      </c>
      <c r="AF5297">
        <v>-5.4352766458507196</v>
      </c>
      <c r="AG5297">
        <v>-1.1112696209262001</v>
      </c>
      <c r="AH5297">
        <v>22.985966719603699</v>
      </c>
      <c r="AI5297">
        <v>92.693673582526898</v>
      </c>
      <c r="AJ5297">
        <v>103.303834613945</v>
      </c>
      <c r="AK5297">
        <v>23.645968333355501</v>
      </c>
      <c r="AL5297">
        <v>89.652653899083106</v>
      </c>
      <c r="AM5297">
        <v>89.305178664753996</v>
      </c>
      <c r="AN5297">
        <v>1.00000000472768</v>
      </c>
    </row>
    <row r="5298" spans="1:40" x14ac:dyDescent="0.25">
      <c r="A5298" t="str">
        <f>"20190312161121392"</f>
        <v>20190312161121392</v>
      </c>
      <c r="B5298" t="str">
        <f>"1552378281382408"</f>
        <v>1552378281382408</v>
      </c>
      <c r="C5298" t="s">
        <v>40</v>
      </c>
      <c r="D5298">
        <v>5.890396</v>
      </c>
      <c r="E5298">
        <v>0.40836349999999999</v>
      </c>
      <c r="F5298" t="s">
        <v>99</v>
      </c>
      <c r="G5298">
        <v>-370.31259999999997</v>
      </c>
      <c r="H5298" s="1">
        <v>-4.7214539999999996E-6</v>
      </c>
      <c r="I5298">
        <v>20.350380000000001</v>
      </c>
      <c r="J5298">
        <v>-392.52910000000003</v>
      </c>
      <c r="K5298">
        <v>1.1112679999999999</v>
      </c>
      <c r="L5298">
        <v>17.671600000000002</v>
      </c>
      <c r="M5298">
        <v>0.99400359999999999</v>
      </c>
      <c r="N5298">
        <v>0</v>
      </c>
      <c r="O5298">
        <v>-0.1087859</v>
      </c>
      <c r="P5298">
        <v>0.99263619999999997</v>
      </c>
      <c r="Q5298">
        <v>-4.6664230000000003E-3</v>
      </c>
      <c r="R5298">
        <v>-0.1210441</v>
      </c>
      <c r="S5298">
        <v>3.0677189999999999</v>
      </c>
      <c r="T5298">
        <v>-0.1522433</v>
      </c>
      <c r="U5298">
        <v>0.36471559999999997</v>
      </c>
      <c r="V5298">
        <v>1.2315599999999999E-2</v>
      </c>
      <c r="W5298">
        <v>6.4375589999999998E-3</v>
      </c>
      <c r="X5298">
        <v>0.9999034</v>
      </c>
      <c r="Y5298">
        <v>-0.22498190000000001</v>
      </c>
      <c r="Z5298">
        <v>1.0937240000000001E-2</v>
      </c>
      <c r="AA5298">
        <v>0.97430159999999999</v>
      </c>
      <c r="AB5298">
        <v>17</v>
      </c>
      <c r="AC5298">
        <v>22.2165</v>
      </c>
      <c r="AD5298">
        <v>-1.1112727214539999</v>
      </c>
      <c r="AE5298">
        <v>2.6787799999999899</v>
      </c>
      <c r="AF5298">
        <v>-5.0673730308741902</v>
      </c>
      <c r="AG5298">
        <v>-1.1112727214539999</v>
      </c>
      <c r="AH5298">
        <v>21.739588717776599</v>
      </c>
      <c r="AI5298">
        <v>92.849998857431203</v>
      </c>
      <c r="AJ5298">
        <v>103.12103020881599</v>
      </c>
      <c r="AK5298">
        <v>22.3500092642835</v>
      </c>
      <c r="AL5298">
        <v>89.631152477523997</v>
      </c>
      <c r="AM5298">
        <v>89.294335609632995</v>
      </c>
      <c r="AN5298">
        <v>0.99999996275039804</v>
      </c>
    </row>
    <row r="5299" spans="1:40" x14ac:dyDescent="0.25">
      <c r="A5299" t="str">
        <f>"20190312161121413"</f>
        <v>20190312161121413</v>
      </c>
      <c r="B5299" t="str">
        <f>"1552378281402901"</f>
        <v>1552378281402901</v>
      </c>
      <c r="C5299" t="s">
        <v>40</v>
      </c>
      <c r="D5299">
        <v>5.918698</v>
      </c>
      <c r="E5299">
        <v>0.40730939999999999</v>
      </c>
      <c r="F5299" t="s">
        <v>99</v>
      </c>
      <c r="G5299">
        <v>-370.74270000000001</v>
      </c>
      <c r="H5299" s="1">
        <v>-4.5370599999999999E-6</v>
      </c>
      <c r="I5299">
        <v>20.29504</v>
      </c>
      <c r="J5299">
        <v>-392.36660000000001</v>
      </c>
      <c r="K5299">
        <v>1.11127</v>
      </c>
      <c r="L5299">
        <v>17.656649999999999</v>
      </c>
      <c r="M5299">
        <v>0.99426250000000005</v>
      </c>
      <c r="N5299">
        <v>0</v>
      </c>
      <c r="O5299">
        <v>-0.1063953</v>
      </c>
      <c r="P5299">
        <v>0.99293770000000003</v>
      </c>
      <c r="Q5299">
        <v>-3.7234999999999998E-3</v>
      </c>
      <c r="R5299">
        <v>-0.1185789</v>
      </c>
      <c r="S5299">
        <v>3.0665589999999998</v>
      </c>
      <c r="T5299">
        <v>-0.15641759999999999</v>
      </c>
      <c r="U5299">
        <v>0.3692627</v>
      </c>
      <c r="V5299">
        <v>1.223401E-2</v>
      </c>
      <c r="W5299">
        <v>7.3583099999999999E-3</v>
      </c>
      <c r="X5299">
        <v>0.99989810000000001</v>
      </c>
      <c r="Y5299">
        <v>-0.22408790000000001</v>
      </c>
      <c r="Z5299">
        <v>1.1096089999999999E-2</v>
      </c>
      <c r="AA5299">
        <v>0.97450579999999998</v>
      </c>
      <c r="AB5299">
        <v>17</v>
      </c>
      <c r="AC5299">
        <v>21.6238999999999</v>
      </c>
      <c r="AD5299">
        <v>-1.1112745370599999</v>
      </c>
      <c r="AE5299">
        <v>2.6383899999999998</v>
      </c>
      <c r="AF5299">
        <v>-4.9114531885360604</v>
      </c>
      <c r="AG5299">
        <v>-1.1112745370599999</v>
      </c>
      <c r="AH5299">
        <v>21.165337843199602</v>
      </c>
      <c r="AI5299">
        <v>92.927868358163195</v>
      </c>
      <c r="AJ5299">
        <v>103.064363390284</v>
      </c>
      <c r="AK5299">
        <v>21.7561216565976</v>
      </c>
      <c r="AL5299">
        <v>89.578396093492202</v>
      </c>
      <c r="AM5299">
        <v>89.299006404203993</v>
      </c>
      <c r="AN5299">
        <v>1.0000000130551701</v>
      </c>
    </row>
    <row r="5300" spans="1:40" x14ac:dyDescent="0.25">
      <c r="A5300" t="str">
        <f>"20190312161121436"</f>
        <v>20190312161121436</v>
      </c>
      <c r="B5300" t="str">
        <f>"1552378281432181"</f>
        <v>1552378281432181</v>
      </c>
      <c r="C5300" t="s">
        <v>40</v>
      </c>
      <c r="D5300">
        <v>5.9463019999999904</v>
      </c>
      <c r="E5300">
        <v>0.40611170000000002</v>
      </c>
      <c r="F5300" t="s">
        <v>99</v>
      </c>
      <c r="G5300">
        <v>-370.04349999999999</v>
      </c>
      <c r="H5300" s="1">
        <v>-4.8440819999999998E-6</v>
      </c>
      <c r="I5300">
        <v>20.459119999999999</v>
      </c>
      <c r="J5300">
        <v>-392.19229999999999</v>
      </c>
      <c r="K5300">
        <v>1.1112690000000001</v>
      </c>
      <c r="L5300">
        <v>17.641110000000001</v>
      </c>
      <c r="M5300">
        <v>0.99453380000000002</v>
      </c>
      <c r="N5300">
        <v>0</v>
      </c>
      <c r="O5300">
        <v>-0.1038313</v>
      </c>
      <c r="P5300">
        <v>0.99337330000000001</v>
      </c>
      <c r="Q5300">
        <v>-3.8164200000000001E-3</v>
      </c>
      <c r="R5300">
        <v>-0.1148701</v>
      </c>
      <c r="S5300">
        <v>3.0668030000000002</v>
      </c>
      <c r="T5300">
        <v>-0.15266950000000001</v>
      </c>
      <c r="U5300">
        <v>0.38500980000000001</v>
      </c>
      <c r="V5300">
        <v>1.1078559999999999E-2</v>
      </c>
      <c r="W5300">
        <v>7.239105E-3</v>
      </c>
      <c r="X5300">
        <v>0.99991240000000003</v>
      </c>
      <c r="Y5300">
        <v>-0.2265152</v>
      </c>
      <c r="Z5300">
        <v>1.075986E-2</v>
      </c>
      <c r="AA5300">
        <v>0.97394820000000004</v>
      </c>
      <c r="AB5300">
        <v>17</v>
      </c>
      <c r="AC5300">
        <v>22.148799999999898</v>
      </c>
      <c r="AD5300">
        <v>-1.111273844082</v>
      </c>
      <c r="AE5300">
        <v>2.8180100000000001</v>
      </c>
      <c r="AF5300">
        <v>-5.0900458370692299</v>
      </c>
      <c r="AG5300">
        <v>-1.111273844082</v>
      </c>
      <c r="AH5300">
        <v>21.682740682150399</v>
      </c>
      <c r="AI5300">
        <v>92.856413475760405</v>
      </c>
      <c r="AJ5300">
        <v>103.211032387423</v>
      </c>
      <c r="AK5300">
        <v>22.299882055055502</v>
      </c>
      <c r="AL5300">
        <v>89.585226202283707</v>
      </c>
      <c r="AM5300">
        <v>89.365215633210894</v>
      </c>
      <c r="AN5300">
        <v>0.99999997340331603</v>
      </c>
    </row>
    <row r="5301" spans="1:40" x14ac:dyDescent="0.25">
      <c r="A5301" t="str">
        <f>"20190312161121459"</f>
        <v>20190312161121459</v>
      </c>
      <c r="B5301" t="str">
        <f>"1552378281452677"</f>
        <v>1552378281452677</v>
      </c>
      <c r="C5301" t="s">
        <v>40</v>
      </c>
      <c r="D5301">
        <v>5.9274310000000003</v>
      </c>
      <c r="E5301">
        <v>0.40567799999999998</v>
      </c>
      <c r="F5301" t="s">
        <v>99</v>
      </c>
      <c r="G5301">
        <v>-370.5462</v>
      </c>
      <c r="H5301" s="1">
        <v>-4.659822E-6</v>
      </c>
      <c r="I5301">
        <v>20.50872</v>
      </c>
      <c r="J5301">
        <v>-392.01429999999999</v>
      </c>
      <c r="K5301">
        <v>1.111273</v>
      </c>
      <c r="L5301">
        <v>17.62567</v>
      </c>
      <c r="M5301">
        <v>0.99480429999999997</v>
      </c>
      <c r="N5301">
        <v>0</v>
      </c>
      <c r="O5301">
        <v>-0.1012111</v>
      </c>
      <c r="P5301">
        <v>0.99373509999999998</v>
      </c>
      <c r="Q5301">
        <v>-3.6776619999999999E-3</v>
      </c>
      <c r="R5301">
        <v>-0.1117026</v>
      </c>
      <c r="S5301">
        <v>3.0663450000000001</v>
      </c>
      <c r="T5301">
        <v>-0.15742100000000001</v>
      </c>
      <c r="U5301">
        <v>0.40621950000000001</v>
      </c>
      <c r="V5301">
        <v>1.0524489999999999E-2</v>
      </c>
      <c r="W5301">
        <v>7.3497269999999899E-3</v>
      </c>
      <c r="X5301">
        <v>0.99991759999999996</v>
      </c>
      <c r="Y5301">
        <v>-0.23056489999999999</v>
      </c>
      <c r="Z5301">
        <v>1.106119E-2</v>
      </c>
      <c r="AA5301">
        <v>0.97299409999999997</v>
      </c>
      <c r="AB5301">
        <v>17</v>
      </c>
      <c r="AC5301">
        <v>21.4681</v>
      </c>
      <c r="AD5301">
        <v>-1.111277659822</v>
      </c>
      <c r="AE5301">
        <v>2.8830499999999999</v>
      </c>
      <c r="AF5301">
        <v>-5.0279509914149196</v>
      </c>
      <c r="AG5301">
        <v>-1.111277659822</v>
      </c>
      <c r="AH5301">
        <v>21.010731658782699</v>
      </c>
      <c r="AI5301">
        <v>92.944619813456796</v>
      </c>
      <c r="AJ5301">
        <v>103.458018398999</v>
      </c>
      <c r="AK5301">
        <v>21.632523524699199</v>
      </c>
      <c r="AL5301">
        <v>89.5788878688914</v>
      </c>
      <c r="AM5301">
        <v>89.396963717542107</v>
      </c>
      <c r="AN5301">
        <v>0.999999995083247</v>
      </c>
    </row>
    <row r="5302" spans="1:40" x14ac:dyDescent="0.25">
      <c r="A5302" t="str">
        <f>"20190312161121482"</f>
        <v>20190312161121482</v>
      </c>
      <c r="B5302" t="str">
        <f>"1552378281472197"</f>
        <v>1552378281472197</v>
      </c>
      <c r="C5302" t="s">
        <v>40</v>
      </c>
      <c r="D5302">
        <v>5.9186129999999997</v>
      </c>
      <c r="E5302">
        <v>0.40530090000000002</v>
      </c>
      <c r="F5302" t="s">
        <v>99</v>
      </c>
      <c r="G5302">
        <v>-370.49650000000003</v>
      </c>
      <c r="H5302" s="1">
        <v>-4.6898679999999997E-6</v>
      </c>
      <c r="I5302">
        <v>20.57047</v>
      </c>
      <c r="J5302">
        <v>-391.83409999999998</v>
      </c>
      <c r="K5302">
        <v>1.1112679999999999</v>
      </c>
      <c r="L5302">
        <v>17.610499999999998</v>
      </c>
      <c r="M5302">
        <v>0.99507080000000003</v>
      </c>
      <c r="N5302">
        <v>0</v>
      </c>
      <c r="O5302">
        <v>-9.8559099999999997E-2</v>
      </c>
      <c r="P5302">
        <v>0.99410229999999999</v>
      </c>
      <c r="Q5302">
        <v>-3.6301969999999999E-3</v>
      </c>
      <c r="R5302">
        <v>-0.10838589999999999</v>
      </c>
      <c r="S5302">
        <v>3.0654910000000002</v>
      </c>
      <c r="T5302">
        <v>-0.1583164</v>
      </c>
      <c r="U5302">
        <v>0.41952509999999998</v>
      </c>
      <c r="V5302">
        <v>9.8530059999999992E-3</v>
      </c>
      <c r="W5302">
        <v>7.3678459999999999E-3</v>
      </c>
      <c r="X5302">
        <v>0.99992429999999999</v>
      </c>
      <c r="Y5302">
        <v>-0.2321511</v>
      </c>
      <c r="Z5302">
        <v>1.1028720000000001E-2</v>
      </c>
      <c r="AA5302">
        <v>0.97261719999999896</v>
      </c>
      <c r="AB5302">
        <v>17</v>
      </c>
      <c r="AC5302">
        <v>21.337599999999899</v>
      </c>
      <c r="AD5302">
        <v>-1.1112726898680001</v>
      </c>
      <c r="AE5302">
        <v>2.9599700000000002</v>
      </c>
      <c r="AF5302">
        <v>-5.0352980497220496</v>
      </c>
      <c r="AG5302">
        <v>-1.1112726898680001</v>
      </c>
      <c r="AH5302">
        <v>20.8863673219006</v>
      </c>
      <c r="AI5302">
        <v>92.9609159646009</v>
      </c>
      <c r="AJ5302">
        <v>103.55426093701099</v>
      </c>
      <c r="AK5302">
        <v>21.513472368405299</v>
      </c>
      <c r="AL5302">
        <v>89.5778496948422</v>
      </c>
      <c r="AM5302">
        <v>89.435439873882103</v>
      </c>
      <c r="AN5302">
        <v>0.99999998630620202</v>
      </c>
    </row>
    <row r="5303" spans="1:40" x14ac:dyDescent="0.25">
      <c r="A5303" t="str">
        <f>"20190312161121505"</f>
        <v>20190312161121505</v>
      </c>
      <c r="B5303" t="str">
        <f>"1552378281502453"</f>
        <v>1552378281502453</v>
      </c>
      <c r="C5303" t="s">
        <v>40</v>
      </c>
      <c r="D5303">
        <v>5.9277419999999896</v>
      </c>
      <c r="E5303">
        <v>0.40477940000000001</v>
      </c>
      <c r="F5303" t="s">
        <v>99</v>
      </c>
      <c r="G5303">
        <v>-370.41649999999998</v>
      </c>
      <c r="H5303" s="1">
        <v>-4.7321290000000001E-6</v>
      </c>
      <c r="I5303">
        <v>20.635439999999999</v>
      </c>
      <c r="J5303">
        <v>-391.65960000000001</v>
      </c>
      <c r="K5303">
        <v>1.111264</v>
      </c>
      <c r="L5303">
        <v>17.59628</v>
      </c>
      <c r="M5303">
        <v>0.99532209999999999</v>
      </c>
      <c r="N5303">
        <v>0</v>
      </c>
      <c r="O5303">
        <v>-9.5990809999999996E-2</v>
      </c>
      <c r="P5303">
        <v>0.99442370000000002</v>
      </c>
      <c r="Q5303">
        <v>-3.524316E-3</v>
      </c>
      <c r="R5303">
        <v>-0.1054017</v>
      </c>
      <c r="S5303">
        <v>3.0643919999999998</v>
      </c>
      <c r="T5303">
        <v>-0.15899839999999901</v>
      </c>
      <c r="U5303">
        <v>0.43280030000000003</v>
      </c>
      <c r="V5303">
        <v>9.4317169999999992E-3</v>
      </c>
      <c r="W5303">
        <v>7.4503379999999999E-3</v>
      </c>
      <c r="X5303">
        <v>0.99992780000000003</v>
      </c>
      <c r="Y5303">
        <v>-0.23381859999999999</v>
      </c>
      <c r="Z5303">
        <v>1.09876E-2</v>
      </c>
      <c r="AA5303">
        <v>0.97221820000000003</v>
      </c>
      <c r="AB5303">
        <v>18</v>
      </c>
      <c r="AC5303">
        <v>21.243099999999998</v>
      </c>
      <c r="AD5303">
        <v>-1.111268732129</v>
      </c>
      <c r="AE5303">
        <v>3.0391599999999901</v>
      </c>
      <c r="AF5303">
        <v>-5.0508439288233298</v>
      </c>
      <c r="AG5303">
        <v>-1.111268732129</v>
      </c>
      <c r="AH5303">
        <v>20.797471716686101</v>
      </c>
      <c r="AI5303">
        <v>92.972332633466493</v>
      </c>
      <c r="AJ5303">
        <v>103.65049553845</v>
      </c>
      <c r="AK5303">
        <v>21.430836950401599</v>
      </c>
      <c r="AL5303">
        <v>89.573123142393001</v>
      </c>
      <c r="AM5303">
        <v>89.459579429532198</v>
      </c>
      <c r="AN5303">
        <v>1.0000000350173599</v>
      </c>
    </row>
    <row r="5304" spans="1:40" x14ac:dyDescent="0.25">
      <c r="A5304" t="str">
        <f>"20190312161121526"</f>
        <v>20190312161121526</v>
      </c>
      <c r="B5304" t="str">
        <f>"1552378281521973"</f>
        <v>1552378281521973</v>
      </c>
      <c r="C5304" t="s">
        <v>40</v>
      </c>
      <c r="D5304">
        <v>5.9529300000000003</v>
      </c>
      <c r="E5304">
        <v>0.4046826</v>
      </c>
      <c r="F5304" t="s">
        <v>99</v>
      </c>
      <c r="G5304">
        <v>-370.4631</v>
      </c>
      <c r="H5304" s="1">
        <v>-4.7229010000000004E-6</v>
      </c>
      <c r="I5304">
        <v>20.684329999999999</v>
      </c>
      <c r="J5304">
        <v>-391.49250000000001</v>
      </c>
      <c r="K5304">
        <v>1.111267</v>
      </c>
      <c r="L5304">
        <v>17.583130000000001</v>
      </c>
      <c r="M5304">
        <v>0.99555669999999996</v>
      </c>
      <c r="N5304">
        <v>0</v>
      </c>
      <c r="O5304">
        <v>-9.352887E-2</v>
      </c>
      <c r="P5304">
        <v>0.99467570000000005</v>
      </c>
      <c r="Q5304">
        <v>-3.6513280000000001E-3</v>
      </c>
      <c r="R5304">
        <v>-0.1029905</v>
      </c>
      <c r="S5304">
        <v>3.0635680000000001</v>
      </c>
      <c r="T5304">
        <v>-0.16061329999999999</v>
      </c>
      <c r="U5304">
        <v>0.44631959999999998</v>
      </c>
      <c r="V5304">
        <v>9.4811860000000008E-3</v>
      </c>
      <c r="W5304">
        <v>7.3001380000000003E-3</v>
      </c>
      <c r="X5304">
        <v>0.99992840000000005</v>
      </c>
      <c r="Y5304">
        <v>-0.23564579999999999</v>
      </c>
      <c r="Z5304">
        <v>1.1018099999999999E-2</v>
      </c>
      <c r="AA5304">
        <v>0.97177650000000004</v>
      </c>
      <c r="AB5304">
        <v>18</v>
      </c>
      <c r="AC5304">
        <v>21.029399999999999</v>
      </c>
      <c r="AD5304">
        <v>-1.1112717229009901</v>
      </c>
      <c r="AE5304">
        <v>3.1011999999999902</v>
      </c>
      <c r="AF5304">
        <v>-5.0408011133484001</v>
      </c>
      <c r="AG5304">
        <v>-1.1112717229009901</v>
      </c>
      <c r="AH5304">
        <v>20.590863719467102</v>
      </c>
      <c r="AI5304">
        <v>93.000766754179807</v>
      </c>
      <c r="AJ5304">
        <v>103.755903852844</v>
      </c>
      <c r="AK5304">
        <v>21.228006722726501</v>
      </c>
      <c r="AL5304">
        <v>89.581729185513097</v>
      </c>
      <c r="AM5304">
        <v>89.456745439410696</v>
      </c>
      <c r="AN5304">
        <v>0.99999999501467196</v>
      </c>
    </row>
    <row r="5305" spans="1:40" x14ac:dyDescent="0.25">
      <c r="A5305" t="str">
        <f>"20190312161121548"</f>
        <v>20190312161121548</v>
      </c>
      <c r="B5305" t="str">
        <f>"1552378281542038"</f>
        <v>1552378281542038</v>
      </c>
      <c r="C5305" t="s">
        <v>40</v>
      </c>
      <c r="D5305">
        <v>5.921843</v>
      </c>
      <c r="E5305">
        <v>0.40467399999999998</v>
      </c>
      <c r="F5305" t="s">
        <v>99</v>
      </c>
      <c r="G5305">
        <v>-370.6028</v>
      </c>
      <c r="H5305" s="1">
        <v>-4.6690039999999998E-6</v>
      </c>
      <c r="I5305">
        <v>20.682929999999999</v>
      </c>
      <c r="J5305">
        <v>-391.31880000000001</v>
      </c>
      <c r="K5305">
        <v>1.111264</v>
      </c>
      <c r="L5305">
        <v>17.56992</v>
      </c>
      <c r="M5305">
        <v>0.9957937</v>
      </c>
      <c r="N5305">
        <v>0</v>
      </c>
      <c r="O5305">
        <v>-9.0974029999999997E-2</v>
      </c>
      <c r="P5305">
        <v>0.99496309999999999</v>
      </c>
      <c r="Q5305">
        <v>-3.8050620000000001E-3</v>
      </c>
      <c r="R5305">
        <v>-0.1001717</v>
      </c>
      <c r="S5305">
        <v>3.0624690000000001</v>
      </c>
      <c r="T5305">
        <v>-0.1629148</v>
      </c>
      <c r="U5305">
        <v>0.45443729999999899</v>
      </c>
      <c r="V5305">
        <v>9.2140729999999997E-3</v>
      </c>
      <c r="W5305">
        <v>7.1184669999999999E-3</v>
      </c>
      <c r="X5305">
        <v>0.99993220000000005</v>
      </c>
      <c r="Y5305">
        <v>-0.23571400000000001</v>
      </c>
      <c r="Z5305">
        <v>1.1044429999999999E-2</v>
      </c>
      <c r="AA5305">
        <v>0.9717597</v>
      </c>
      <c r="AB5305">
        <v>18</v>
      </c>
      <c r="AC5305">
        <v>20.716000000000001</v>
      </c>
      <c r="AD5305">
        <v>-1.1112686690039999</v>
      </c>
      <c r="AE5305">
        <v>3.1130099999999898</v>
      </c>
      <c r="AF5305">
        <v>-4.9708413537381597</v>
      </c>
      <c r="AG5305">
        <v>-1.1112686690039999</v>
      </c>
      <c r="AH5305">
        <v>20.289770173447099</v>
      </c>
      <c r="AI5305">
        <v>93.045075798612601</v>
      </c>
      <c r="AJ5305">
        <v>103.76589485882199</v>
      </c>
      <c r="AK5305">
        <v>20.919344050663899</v>
      </c>
      <c r="AL5305">
        <v>89.592138434850497</v>
      </c>
      <c r="AM5305">
        <v>89.472051651538393</v>
      </c>
      <c r="AN5305">
        <v>0.99999998815525903</v>
      </c>
    </row>
    <row r="5306" spans="1:40" x14ac:dyDescent="0.25">
      <c r="A5306" t="str">
        <f>"20190312161121571"</f>
        <v>20190312161121571</v>
      </c>
      <c r="B5306" t="str">
        <f>"1552378281562537"</f>
        <v>1552378281562537</v>
      </c>
      <c r="C5306" t="s">
        <v>40</v>
      </c>
      <c r="D5306">
        <v>5.918088</v>
      </c>
      <c r="E5306">
        <v>0.40476909999999999</v>
      </c>
      <c r="F5306" t="s">
        <v>99</v>
      </c>
      <c r="G5306">
        <v>-370.56099999999998</v>
      </c>
      <c r="H5306" s="1">
        <v>-4.689915E-6</v>
      </c>
      <c r="I5306">
        <v>20.71039</v>
      </c>
      <c r="J5306">
        <v>-391.14330000000001</v>
      </c>
      <c r="K5306">
        <v>1.111262</v>
      </c>
      <c r="L5306">
        <v>17.556950000000001</v>
      </c>
      <c r="M5306">
        <v>0.99602659999999998</v>
      </c>
      <c r="N5306">
        <v>0</v>
      </c>
      <c r="O5306">
        <v>-8.8389869999999995E-2</v>
      </c>
      <c r="P5306">
        <v>0.99517809999999995</v>
      </c>
      <c r="Q5306">
        <v>-4.1524659999999996E-3</v>
      </c>
      <c r="R5306">
        <v>-9.7996219999999995E-2</v>
      </c>
      <c r="S5306">
        <v>3.0612180000000002</v>
      </c>
      <c r="T5306">
        <v>-0.1638821</v>
      </c>
      <c r="U5306">
        <v>0.46313480000000001</v>
      </c>
      <c r="V5306">
        <v>9.6239870000000005E-3</v>
      </c>
      <c r="W5306">
        <v>6.7455889999999998E-3</v>
      </c>
      <c r="X5306">
        <v>0.99993089999999996</v>
      </c>
      <c r="Y5306">
        <v>-0.2359483</v>
      </c>
      <c r="Z5306">
        <v>1.098095E-2</v>
      </c>
      <c r="AA5306">
        <v>0.9717036</v>
      </c>
      <c r="AB5306">
        <v>18</v>
      </c>
      <c r="AC5306">
        <v>20.5823</v>
      </c>
      <c r="AD5306">
        <v>-1.1112666899150001</v>
      </c>
      <c r="AE5306">
        <v>3.1534399999999998</v>
      </c>
      <c r="AF5306">
        <v>-4.94638188438842</v>
      </c>
      <c r="AG5306">
        <v>-1.1112666899150001</v>
      </c>
      <c r="AH5306">
        <v>20.1655460629751</v>
      </c>
      <c r="AI5306">
        <v>93.063583549296595</v>
      </c>
      <c r="AJ5306">
        <v>103.781907767506</v>
      </c>
      <c r="AK5306">
        <v>20.7930482474382</v>
      </c>
      <c r="AL5306">
        <v>89.613503275061902</v>
      </c>
      <c r="AM5306">
        <v>89.448565084255307</v>
      </c>
      <c r="AN5306">
        <v>0.99999996443576999</v>
      </c>
    </row>
    <row r="5307" spans="1:40" x14ac:dyDescent="0.25">
      <c r="A5307" t="str">
        <f>"20190312161121593"</f>
        <v>20190312161121593</v>
      </c>
      <c r="B5307" t="str">
        <f>"1552378281582054"</f>
        <v>1552378281582054</v>
      </c>
      <c r="C5307" t="s">
        <v>40</v>
      </c>
      <c r="D5307">
        <v>5.7273719999999999</v>
      </c>
      <c r="E5307">
        <v>0.40476909999999999</v>
      </c>
      <c r="F5307" t="s">
        <v>99</v>
      </c>
      <c r="G5307">
        <v>-370.66489999999999</v>
      </c>
      <c r="H5307" s="1">
        <v>-4.647656E-6</v>
      </c>
      <c r="I5307">
        <v>20.69716</v>
      </c>
      <c r="J5307">
        <v>-390.9708</v>
      </c>
      <c r="K5307">
        <v>1.1112580000000001</v>
      </c>
      <c r="L5307">
        <v>17.54468</v>
      </c>
      <c r="M5307">
        <v>0.9962491</v>
      </c>
      <c r="N5307">
        <v>0</v>
      </c>
      <c r="O5307">
        <v>-8.5851620000000003E-2</v>
      </c>
      <c r="P5307">
        <v>0.99536999999999998</v>
      </c>
      <c r="Q5307">
        <v>-4.2794159999999899E-3</v>
      </c>
      <c r="R5307">
        <v>-9.6022949999999996E-2</v>
      </c>
      <c r="S5307">
        <v>3.0600589999999999</v>
      </c>
      <c r="T5307">
        <v>-0.16605539999999999</v>
      </c>
      <c r="U5307">
        <v>0.4692383</v>
      </c>
      <c r="V5307">
        <v>1.018992E-2</v>
      </c>
      <c r="W5307">
        <v>6.5953890000000001E-3</v>
      </c>
      <c r="X5307">
        <v>0.99992630000000005</v>
      </c>
      <c r="Y5307">
        <v>-0.23541309999999999</v>
      </c>
      <c r="Z5307">
        <v>1.097764E-2</v>
      </c>
      <c r="AA5307">
        <v>0.97183339999999996</v>
      </c>
      <c r="AB5307">
        <v>18</v>
      </c>
      <c r="AC5307">
        <v>20.305900000000001</v>
      </c>
      <c r="AD5307">
        <v>-1.1112626476559999</v>
      </c>
      <c r="AE5307">
        <v>3.1524800000000002</v>
      </c>
      <c r="AF5307">
        <v>-4.86999397279215</v>
      </c>
      <c r="AG5307">
        <v>-1.1112626476559999</v>
      </c>
      <c r="AH5307">
        <v>19.902056338835301</v>
      </c>
      <c r="AI5307">
        <v>93.104476248290993</v>
      </c>
      <c r="AJ5307">
        <v>103.74997764426899</v>
      </c>
      <c r="AK5307">
        <v>20.519346784955999</v>
      </c>
      <c r="AL5307">
        <v>89.622109294849807</v>
      </c>
      <c r="AM5307">
        <v>89.416137769049101</v>
      </c>
      <c r="AN5307">
        <v>0.99999996952867798</v>
      </c>
    </row>
    <row r="5308" spans="1:40" x14ac:dyDescent="0.25">
      <c r="A5308" t="str">
        <f>"20190312161121614"</f>
        <v>20190312161121614</v>
      </c>
      <c r="B5308" t="str">
        <f>"1552378281602553"</f>
        <v>1552378281602553</v>
      </c>
      <c r="C5308" t="s">
        <v>40</v>
      </c>
      <c r="D5308">
        <v>5.8658970000000004</v>
      </c>
      <c r="E5308">
        <v>0.40491169999999999</v>
      </c>
      <c r="F5308" t="s">
        <v>99</v>
      </c>
      <c r="G5308">
        <v>-370.52440000000001</v>
      </c>
      <c r="H5308" s="1">
        <v>-4.7060180000000004E-6</v>
      </c>
      <c r="I5308">
        <v>20.721979999999999</v>
      </c>
      <c r="J5308">
        <v>-390.80489999999998</v>
      </c>
      <c r="K5308">
        <v>1.1112569999999999</v>
      </c>
      <c r="L5308">
        <v>17.533290000000001</v>
      </c>
      <c r="M5308">
        <v>0.99645640000000002</v>
      </c>
      <c r="N5308">
        <v>0</v>
      </c>
      <c r="O5308">
        <v>-8.3412319999999998E-2</v>
      </c>
      <c r="P5308">
        <v>0.9955271</v>
      </c>
      <c r="Q5308">
        <v>-4.1808239999999997E-3</v>
      </c>
      <c r="R5308">
        <v>-9.4385460000000004E-2</v>
      </c>
      <c r="S5308">
        <v>3.0590820000000001</v>
      </c>
      <c r="T5308">
        <v>-0.16626189999999999</v>
      </c>
      <c r="U5308">
        <v>0.47537230000000003</v>
      </c>
      <c r="V5308">
        <v>1.0992740000000001E-2</v>
      </c>
      <c r="W5308">
        <v>6.6712050000000004E-3</v>
      </c>
      <c r="X5308">
        <v>0.99991730000000001</v>
      </c>
      <c r="Y5308">
        <v>-0.23498669999999999</v>
      </c>
      <c r="Z5308">
        <v>1.0849879999999999E-2</v>
      </c>
      <c r="AA5308">
        <v>0.97193799999999997</v>
      </c>
      <c r="AB5308">
        <v>18</v>
      </c>
      <c r="AC5308">
        <v>20.2804999999999</v>
      </c>
      <c r="AD5308">
        <v>-1.1112617060179999</v>
      </c>
      <c r="AE5308">
        <v>3.18868999999999</v>
      </c>
      <c r="AF5308">
        <v>-4.8550935522664496</v>
      </c>
      <c r="AG5308">
        <v>-1.1112617060179999</v>
      </c>
      <c r="AH5308">
        <v>19.885560042418799</v>
      </c>
      <c r="AI5308">
        <v>93.107434692503503</v>
      </c>
      <c r="AJ5308">
        <v>103.72044065926799</v>
      </c>
      <c r="AK5308">
        <v>20.499813027956201</v>
      </c>
      <c r="AL5308">
        <v>89.617765264827597</v>
      </c>
      <c r="AM5308">
        <v>89.370135675221206</v>
      </c>
      <c r="AN5308">
        <v>0.99999997607407398</v>
      </c>
    </row>
    <row r="5309" spans="1:40" x14ac:dyDescent="0.25">
      <c r="A5309" t="str">
        <f>"20190312161121638"</f>
        <v>20190312161121638</v>
      </c>
      <c r="B5309" t="str">
        <f>"1552378281632398"</f>
        <v>1552378281632398</v>
      </c>
      <c r="C5309" t="s">
        <v>40</v>
      </c>
      <c r="D5309">
        <v>5.7384979999999999</v>
      </c>
      <c r="E5309">
        <v>0.4050629</v>
      </c>
      <c r="F5309" t="s">
        <v>99</v>
      </c>
      <c r="G5309">
        <v>-370.56139999999999</v>
      </c>
      <c r="H5309" s="1">
        <v>-4.689048E-6</v>
      </c>
      <c r="I5309">
        <v>20.70626</v>
      </c>
      <c r="J5309">
        <v>-390.61799999999999</v>
      </c>
      <c r="K5309">
        <v>1.1112500000000001</v>
      </c>
      <c r="L5309">
        <v>17.52094</v>
      </c>
      <c r="M5309">
        <v>0.99668310000000004</v>
      </c>
      <c r="N5309">
        <v>0</v>
      </c>
      <c r="O5309">
        <v>-8.0664949999999999E-2</v>
      </c>
      <c r="P5309">
        <v>0.99574530000000006</v>
      </c>
      <c r="Q5309">
        <v>-4.2622220000000004E-3</v>
      </c>
      <c r="R5309">
        <v>-9.2049989999999998E-2</v>
      </c>
      <c r="S5309">
        <v>3.0581969999999998</v>
      </c>
      <c r="T5309">
        <v>-0.16787839999999901</v>
      </c>
      <c r="U5309">
        <v>0.47933959999999998</v>
      </c>
      <c r="V5309">
        <v>1.1404350000000001E-2</v>
      </c>
      <c r="W5309">
        <v>6.5567660000000003E-3</v>
      </c>
      <c r="X5309">
        <v>0.99991350000000001</v>
      </c>
      <c r="Y5309">
        <v>-0.2335776</v>
      </c>
      <c r="Z5309">
        <v>1.0769000000000001E-2</v>
      </c>
      <c r="AA5309">
        <v>0.97227850000000005</v>
      </c>
      <c r="AB5309">
        <v>18</v>
      </c>
      <c r="AC5309">
        <v>20.0566</v>
      </c>
      <c r="AD5309">
        <v>-1.111254689048</v>
      </c>
      <c r="AE5309">
        <v>3.1853199999999999</v>
      </c>
      <c r="AF5309">
        <v>-4.7785886609196702</v>
      </c>
      <c r="AG5309">
        <v>-1.111254689048</v>
      </c>
      <c r="AH5309">
        <v>19.675361044332998</v>
      </c>
      <c r="AI5309">
        <v>93.141469024866794</v>
      </c>
      <c r="AJ5309">
        <v>103.651207500935</v>
      </c>
      <c r="AK5309">
        <v>20.2778112428106</v>
      </c>
      <c r="AL5309">
        <v>89.624322299976399</v>
      </c>
      <c r="AM5309">
        <v>89.346550684043606</v>
      </c>
      <c r="AN5309">
        <v>1.00000002893077</v>
      </c>
    </row>
    <row r="5310" spans="1:40" x14ac:dyDescent="0.25">
      <c r="A5310" t="str">
        <f>"20190312161121660"</f>
        <v>20190312161121660</v>
      </c>
      <c r="B5310" t="str">
        <f>"1552378281651910"</f>
        <v>1552378281651910</v>
      </c>
      <c r="C5310" t="s">
        <v>40</v>
      </c>
      <c r="D5310">
        <v>5.7365050000000002</v>
      </c>
      <c r="E5310">
        <v>0.40530379999999999</v>
      </c>
      <c r="F5310" t="s">
        <v>99</v>
      </c>
      <c r="G5310">
        <v>-370.83269999999999</v>
      </c>
      <c r="H5310" s="1">
        <v>-4.5771270000000003E-6</v>
      </c>
      <c r="I5310">
        <v>20.662680000000002</v>
      </c>
      <c r="J5310">
        <v>-390.44290000000001</v>
      </c>
      <c r="K5310">
        <v>1.1112489999999999</v>
      </c>
      <c r="L5310">
        <v>17.509829999999901</v>
      </c>
      <c r="M5310">
        <v>0.9968882</v>
      </c>
      <c r="N5310">
        <v>0</v>
      </c>
      <c r="O5310">
        <v>-7.809054E-2</v>
      </c>
      <c r="P5310">
        <v>0.99597000000000002</v>
      </c>
      <c r="Q5310">
        <v>-3.8774389999999999E-3</v>
      </c>
      <c r="R5310">
        <v>-8.9601589999999995E-2</v>
      </c>
      <c r="S5310">
        <v>3.056915</v>
      </c>
      <c r="T5310">
        <v>-0.17169329999999999</v>
      </c>
      <c r="U5310">
        <v>0.48541260000000003</v>
      </c>
      <c r="V5310">
        <v>1.1527320000000001E-2</v>
      </c>
      <c r="W5310">
        <v>6.9072329999999996E-3</v>
      </c>
      <c r="X5310">
        <v>0.99990970000000001</v>
      </c>
      <c r="Y5310">
        <v>-0.23299700000000001</v>
      </c>
      <c r="Z5310">
        <v>1.085641E-2</v>
      </c>
      <c r="AA5310">
        <v>0.97241690000000003</v>
      </c>
      <c r="AB5310">
        <v>18</v>
      </c>
      <c r="AC5310">
        <v>19.610199999999999</v>
      </c>
      <c r="AD5310">
        <v>-1.111253577127</v>
      </c>
      <c r="AE5310">
        <v>3.1528499999999999</v>
      </c>
      <c r="AF5310">
        <v>-4.6600934509873904</v>
      </c>
      <c r="AG5310">
        <v>-1.111253577127</v>
      </c>
      <c r="AH5310">
        <v>19.243848768947501</v>
      </c>
      <c r="AI5310">
        <v>93.212284727879407</v>
      </c>
      <c r="AJ5310">
        <v>103.612702929932</v>
      </c>
      <c r="AK5310">
        <v>19.831214560049901</v>
      </c>
      <c r="AL5310">
        <v>89.604241553445107</v>
      </c>
      <c r="AM5310">
        <v>89.339502829038395</v>
      </c>
      <c r="AN5310">
        <v>0.99999999856409405</v>
      </c>
    </row>
    <row r="5311" spans="1:40" x14ac:dyDescent="0.25">
      <c r="A5311" t="str">
        <f>"20190312161121673"</f>
        <v>20190312161121673</v>
      </c>
      <c r="B5311" t="str">
        <f>"1552378281662646"</f>
        <v>1552378281662646</v>
      </c>
      <c r="C5311" t="s">
        <v>40</v>
      </c>
      <c r="D5311">
        <v>5.7304219999999999</v>
      </c>
      <c r="E5311">
        <v>0.40538920000000001</v>
      </c>
      <c r="F5311" t="s">
        <v>99</v>
      </c>
      <c r="G5311">
        <v>-371.04259999999999</v>
      </c>
      <c r="H5311" s="1">
        <v>-4.483672E-6</v>
      </c>
      <c r="I5311">
        <v>20.627189999999999</v>
      </c>
      <c r="J5311">
        <v>-390.34070000000003</v>
      </c>
      <c r="K5311">
        <v>1.111246</v>
      </c>
      <c r="L5311">
        <v>17.50357</v>
      </c>
      <c r="M5311">
        <v>0.99700500000000003</v>
      </c>
      <c r="N5311">
        <v>0</v>
      </c>
      <c r="O5311">
        <v>-7.6591210000000007E-2</v>
      </c>
      <c r="P5311">
        <v>0.99612000000000001</v>
      </c>
      <c r="Q5311">
        <v>-3.2226310000000001E-3</v>
      </c>
      <c r="R5311">
        <v>-8.7946720000000006E-2</v>
      </c>
      <c r="S5311">
        <v>3.055634</v>
      </c>
      <c r="T5311">
        <v>-0.17502690000000001</v>
      </c>
      <c r="U5311">
        <v>0.49099730000000003</v>
      </c>
      <c r="V5311">
        <v>1.136762E-2</v>
      </c>
      <c r="W5311">
        <v>7.5418869999999997E-3</v>
      </c>
      <c r="X5311">
        <v>0.99990699999999999</v>
      </c>
      <c r="Y5311">
        <v>-0.23331370000000001</v>
      </c>
      <c r="Z5311">
        <v>1.0993599999999999E-2</v>
      </c>
      <c r="AA5311">
        <v>0.97233939999999996</v>
      </c>
      <c r="AB5311">
        <v>18</v>
      </c>
      <c r="AC5311">
        <v>19.298100000000002</v>
      </c>
      <c r="AD5311">
        <v>-1.1112504836720001</v>
      </c>
      <c r="AE5311">
        <v>3.1236199999999901</v>
      </c>
      <c r="AF5311">
        <v>-4.5778014789163004</v>
      </c>
      <c r="AG5311">
        <v>-1.1112504836720001</v>
      </c>
      <c r="AH5311">
        <v>18.9409493660268</v>
      </c>
      <c r="AI5311">
        <v>93.263887006814102</v>
      </c>
      <c r="AJ5311">
        <v>103.587149804869</v>
      </c>
      <c r="AK5311">
        <v>19.517958574200801</v>
      </c>
      <c r="AL5311">
        <v>89.567877632834595</v>
      </c>
      <c r="AM5311">
        <v>89.348650833445802</v>
      </c>
      <c r="AN5311">
        <v>1.0000000557464901</v>
      </c>
    </row>
    <row r="5312" spans="1:40" x14ac:dyDescent="0.25">
      <c r="A5312" t="str">
        <f>"20190312161121695"</f>
        <v>20190312161121695</v>
      </c>
      <c r="B5312" t="str">
        <f>"1552378281691925"</f>
        <v>1552378281691925</v>
      </c>
      <c r="C5312" t="s">
        <v>40</v>
      </c>
      <c r="D5312">
        <v>5.7385279999999996</v>
      </c>
      <c r="E5312">
        <v>0.40567520000000001</v>
      </c>
      <c r="F5312" t="s">
        <v>99</v>
      </c>
      <c r="G5312">
        <v>-370.90100000000001</v>
      </c>
      <c r="H5312" s="1">
        <v>-4.5497730000000004E-6</v>
      </c>
      <c r="I5312">
        <v>20.656389999999998</v>
      </c>
      <c r="J5312">
        <v>-390.16890000000001</v>
      </c>
      <c r="K5312">
        <v>1.1112420000000001</v>
      </c>
      <c r="L5312">
        <v>17.493379999999998</v>
      </c>
      <c r="M5312">
        <v>0.9971951</v>
      </c>
      <c r="N5312">
        <v>0</v>
      </c>
      <c r="O5312">
        <v>-7.4077900000000002E-2</v>
      </c>
      <c r="P5312">
        <v>0.99636760000000002</v>
      </c>
      <c r="Q5312">
        <v>-3.3798109999999999E-3</v>
      </c>
      <c r="R5312">
        <v>-8.5091219999999995E-2</v>
      </c>
      <c r="S5312">
        <v>3.0548709999999999</v>
      </c>
      <c r="T5312">
        <v>-0.17462849999999999</v>
      </c>
      <c r="U5312">
        <v>0.49545289999999997</v>
      </c>
      <c r="V5312">
        <v>1.1022489999999999E-2</v>
      </c>
      <c r="W5312">
        <v>7.3540180000000004E-3</v>
      </c>
      <c r="X5312">
        <v>0.99991220000000003</v>
      </c>
      <c r="Y5312">
        <v>-0.23229079999999999</v>
      </c>
      <c r="Z5312">
        <v>1.079833E-2</v>
      </c>
      <c r="AA5312">
        <v>0.97258650000000002</v>
      </c>
      <c r="AB5312">
        <v>18</v>
      </c>
      <c r="AC5312">
        <v>19.267900000000001</v>
      </c>
      <c r="AD5312">
        <v>-1.111246549773</v>
      </c>
      <c r="AE5312">
        <v>3.1630099999999999</v>
      </c>
      <c r="AF5312">
        <v>-4.5669336748811302</v>
      </c>
      <c r="AG5312">
        <v>-1.111246549773</v>
      </c>
      <c r="AH5312">
        <v>18.919353294849898</v>
      </c>
      <c r="AI5312">
        <v>93.267815222323804</v>
      </c>
      <c r="AJ5312">
        <v>103.570987331886</v>
      </c>
      <c r="AK5312">
        <v>19.494452574527301</v>
      </c>
      <c r="AL5312">
        <v>89.578642004877807</v>
      </c>
      <c r="AM5312">
        <v>89.368427970342395</v>
      </c>
      <c r="AN5312">
        <v>0.99999999228769199</v>
      </c>
    </row>
    <row r="5313" spans="1:40" x14ac:dyDescent="0.25">
      <c r="A5313" t="str">
        <f>"20190312161121718"</f>
        <v>20190312161121718</v>
      </c>
      <c r="B5313" t="str">
        <f>"1552378281712422"</f>
        <v>1552378281712422</v>
      </c>
      <c r="C5313" t="s">
        <v>40</v>
      </c>
      <c r="D5313">
        <v>5.6537769999999998</v>
      </c>
      <c r="E5313">
        <v>0.4058949</v>
      </c>
      <c r="F5313" t="s">
        <v>99</v>
      </c>
      <c r="G5313">
        <v>-370.91090000000003</v>
      </c>
      <c r="H5313" s="1">
        <v>-4.5467400000000003E-6</v>
      </c>
      <c r="I5313">
        <v>20.66057</v>
      </c>
      <c r="J5313">
        <v>-389.99489999999997</v>
      </c>
      <c r="K5313">
        <v>1.111229</v>
      </c>
      <c r="L5313">
        <v>17.483460000000001</v>
      </c>
      <c r="M5313">
        <v>0.99737989999999999</v>
      </c>
      <c r="N5313">
        <v>0</v>
      </c>
      <c r="O5313">
        <v>-7.1551160000000003E-2</v>
      </c>
      <c r="P5313">
        <v>0.99657119999999999</v>
      </c>
      <c r="Q5313">
        <v>-3.3815970000000001E-3</v>
      </c>
      <c r="R5313">
        <v>-8.2670599999999997E-2</v>
      </c>
      <c r="S5313">
        <v>3.053223</v>
      </c>
      <c r="T5313">
        <v>-0.17618010000000001</v>
      </c>
      <c r="U5313">
        <v>0.50213620000000003</v>
      </c>
      <c r="V5313">
        <v>1.1127379999999999E-2</v>
      </c>
      <c r="W5313">
        <v>7.32254699999999E-3</v>
      </c>
      <c r="X5313">
        <v>0.9999112</v>
      </c>
      <c r="Y5313">
        <v>-0.23197889999999999</v>
      </c>
      <c r="Z5313">
        <v>1.07443E-2</v>
      </c>
      <c r="AA5313">
        <v>0.97266149999999996</v>
      </c>
      <c r="AB5313">
        <v>18</v>
      </c>
      <c r="AC5313">
        <v>19.0839999999999</v>
      </c>
      <c r="AD5313">
        <v>-1.1112335467399901</v>
      </c>
      <c r="AE5313">
        <v>3.1771099999999901</v>
      </c>
      <c r="AF5313">
        <v>-4.5196151583351503</v>
      </c>
      <c r="AG5313">
        <v>-1.1112335467399901</v>
      </c>
      <c r="AH5313">
        <v>18.745896908903799</v>
      </c>
      <c r="AI5313">
        <v>93.298165506224606</v>
      </c>
      <c r="AJ5313">
        <v>103.55525173432601</v>
      </c>
      <c r="AK5313">
        <v>19.315030729825502</v>
      </c>
      <c r="AL5313">
        <v>89.580445179885302</v>
      </c>
      <c r="AM5313">
        <v>89.362417787971793</v>
      </c>
      <c r="AN5313">
        <v>0.99999992308283203</v>
      </c>
    </row>
    <row r="5314" spans="1:40" x14ac:dyDescent="0.25">
      <c r="A5314" t="str">
        <f>"20190312161121739"</f>
        <v>20190312161121739</v>
      </c>
      <c r="B5314" t="str">
        <f>"1552378281732555"</f>
        <v>1552378281732555</v>
      </c>
      <c r="C5314" t="s">
        <v>40</v>
      </c>
      <c r="D5314">
        <v>5.6541790000000001</v>
      </c>
      <c r="E5314">
        <v>0.4061456</v>
      </c>
      <c r="F5314" t="s">
        <v>99</v>
      </c>
      <c r="G5314">
        <v>-370.82459999999998</v>
      </c>
      <c r="H5314" s="1">
        <v>-4.5824450000000001E-6</v>
      </c>
      <c r="I5314">
        <v>20.675180000000001</v>
      </c>
      <c r="J5314">
        <v>-389.82569999999998</v>
      </c>
      <c r="K5314">
        <v>1.1112169999999999</v>
      </c>
      <c r="L5314">
        <v>17.474209999999999</v>
      </c>
      <c r="M5314">
        <v>0.99755190000000005</v>
      </c>
      <c r="N5314">
        <v>0</v>
      </c>
      <c r="O5314">
        <v>-6.9118040000000006E-2</v>
      </c>
      <c r="P5314">
        <v>0.99676379999999998</v>
      </c>
      <c r="Q5314">
        <v>-2.6624370000000001E-3</v>
      </c>
      <c r="R5314">
        <v>-8.0344159999999998E-2</v>
      </c>
      <c r="S5314">
        <v>3.0518800000000001</v>
      </c>
      <c r="T5314">
        <v>-0.17690690000000001</v>
      </c>
      <c r="U5314">
        <v>0.50811770000000001</v>
      </c>
      <c r="V5314">
        <v>1.123035E-2</v>
      </c>
      <c r="W5314">
        <v>8.0086979999999999E-3</v>
      </c>
      <c r="X5314">
        <v>0.99990489999999999</v>
      </c>
      <c r="Y5314">
        <v>-0.23153080000000001</v>
      </c>
      <c r="Z5314">
        <v>1.063859E-2</v>
      </c>
      <c r="AA5314">
        <v>0.97276940000000001</v>
      </c>
      <c r="AB5314">
        <v>18</v>
      </c>
      <c r="AC5314">
        <v>19.001100000000001</v>
      </c>
      <c r="AD5314">
        <v>-1.11122158244499</v>
      </c>
      <c r="AE5314">
        <v>3.2009699999999901</v>
      </c>
      <c r="AF5314">
        <v>-4.4917683869243303</v>
      </c>
      <c r="AG5314">
        <v>-1.11122158244499</v>
      </c>
      <c r="AH5314">
        <v>18.672296745671801</v>
      </c>
      <c r="AI5314">
        <v>93.3115082417644</v>
      </c>
      <c r="AJ5314">
        <v>103.525953533855</v>
      </c>
      <c r="AK5314">
        <v>19.2370856006177</v>
      </c>
      <c r="AL5314">
        <v>89.541130515701397</v>
      </c>
      <c r="AM5314">
        <v>89.356514201014903</v>
      </c>
      <c r="AN5314">
        <v>1.00000003452439</v>
      </c>
    </row>
    <row r="5315" spans="1:40" x14ac:dyDescent="0.25">
      <c r="A5315" t="str">
        <f>"20190312161121761"</f>
        <v>20190312161121761</v>
      </c>
      <c r="B5315" t="str">
        <f>"1552378281752061"</f>
        <v>1552378281752061</v>
      </c>
      <c r="C5315" t="s">
        <v>40</v>
      </c>
      <c r="D5315">
        <v>5.6497590000000004</v>
      </c>
      <c r="E5315">
        <v>0.40634779999999998</v>
      </c>
      <c r="F5315" t="s">
        <v>99</v>
      </c>
      <c r="G5315">
        <v>-370.66430000000003</v>
      </c>
      <c r="H5315" s="1">
        <v>-4.648052E-6</v>
      </c>
      <c r="I5315">
        <v>20.697990000000001</v>
      </c>
      <c r="J5315">
        <v>-389.64229999999998</v>
      </c>
      <c r="K5315">
        <v>1.1111930000000001</v>
      </c>
      <c r="L5315">
        <v>17.464600000000001</v>
      </c>
      <c r="M5315">
        <v>0.99772910000000004</v>
      </c>
      <c r="N5315">
        <v>0</v>
      </c>
      <c r="O5315">
        <v>-6.6517140000000002E-2</v>
      </c>
      <c r="P5315">
        <v>0.9969597</v>
      </c>
      <c r="Q5315">
        <v>-2.793191E-3</v>
      </c>
      <c r="R5315">
        <v>-7.7869670000000002E-2</v>
      </c>
      <c r="S5315">
        <v>3.0505979999999999</v>
      </c>
      <c r="T5315">
        <v>-0.17691299999999999</v>
      </c>
      <c r="U5315">
        <v>0.51324459999999905</v>
      </c>
      <c r="V5315">
        <v>1.135623E-2</v>
      </c>
      <c r="W5315">
        <v>7.8413330000000007E-3</v>
      </c>
      <c r="X5315">
        <v>0.99990480000000004</v>
      </c>
      <c r="Y5315">
        <v>-0.2306568</v>
      </c>
      <c r="Z5315">
        <v>1.0466970000000001E-2</v>
      </c>
      <c r="AA5315">
        <v>0.97297889999999998</v>
      </c>
      <c r="AB5315">
        <v>18</v>
      </c>
      <c r="AC5315">
        <v>18.977999999999899</v>
      </c>
      <c r="AD5315">
        <v>-1.1111976480520001</v>
      </c>
      <c r="AE5315">
        <v>3.23339</v>
      </c>
      <c r="AF5315">
        <v>-4.4737563767418296</v>
      </c>
      <c r="AG5315">
        <v>-1.1111976480520001</v>
      </c>
      <c r="AH5315">
        <v>18.658712843720501</v>
      </c>
      <c r="AI5315">
        <v>93.314435823321105</v>
      </c>
      <c r="AJ5315">
        <v>103.48314686657</v>
      </c>
      <c r="AK5315">
        <v>19.219698783172799</v>
      </c>
      <c r="AL5315">
        <v>89.550720122527096</v>
      </c>
      <c r="AM5315">
        <v>89.349301977267203</v>
      </c>
      <c r="AN5315">
        <v>1.00000002976303</v>
      </c>
    </row>
    <row r="5316" spans="1:40" x14ac:dyDescent="0.25">
      <c r="A5316" t="str">
        <f>"20190312161121783"</f>
        <v>20190312161121783</v>
      </c>
      <c r="B5316" t="str">
        <f>"1552378281772561"</f>
        <v>1552378281772561</v>
      </c>
      <c r="C5316" t="s">
        <v>40</v>
      </c>
      <c r="D5316">
        <v>5.6617129999999998</v>
      </c>
      <c r="E5316">
        <v>0.40644479999999999</v>
      </c>
      <c r="F5316" t="s">
        <v>99</v>
      </c>
      <c r="G5316">
        <v>-370.66300000000001</v>
      </c>
      <c r="H5316" s="1">
        <v>-4.648176E-6</v>
      </c>
      <c r="I5316">
        <v>20.695879999999999</v>
      </c>
      <c r="J5316">
        <v>-389.47239999999999</v>
      </c>
      <c r="K5316">
        <v>1.1111610000000001</v>
      </c>
      <c r="L5316">
        <v>17.45609</v>
      </c>
      <c r="M5316">
        <v>0.99788429999999995</v>
      </c>
      <c r="N5316">
        <v>0</v>
      </c>
      <c r="O5316">
        <v>-6.4149949999999997E-2</v>
      </c>
      <c r="P5316">
        <v>0.9970852</v>
      </c>
      <c r="Q5316">
        <v>-2.9909369999999999E-3</v>
      </c>
      <c r="R5316">
        <v>-7.6238219999999995E-2</v>
      </c>
      <c r="S5316">
        <v>3.049194</v>
      </c>
      <c r="T5316">
        <v>-0.17852409999999999</v>
      </c>
      <c r="U5316">
        <v>0.51913450000000005</v>
      </c>
      <c r="V5316">
        <v>1.2093390000000001E-2</v>
      </c>
      <c r="W5316">
        <v>7.6148419999999897E-3</v>
      </c>
      <c r="X5316">
        <v>0.99989790000000001</v>
      </c>
      <c r="Y5316">
        <v>-0.23024449999999999</v>
      </c>
      <c r="Z5316">
        <v>1.041567E-2</v>
      </c>
      <c r="AA5316">
        <v>0.97307710000000003</v>
      </c>
      <c r="AB5316">
        <v>18</v>
      </c>
      <c r="AC5316">
        <v>18.809399999999901</v>
      </c>
      <c r="AD5316">
        <v>-1.1111656481759999</v>
      </c>
      <c r="AE5316">
        <v>3.2397900000000002</v>
      </c>
      <c r="AF5316">
        <v>-4.4248086075184299</v>
      </c>
      <c r="AG5316">
        <v>-1.1111656481759999</v>
      </c>
      <c r="AH5316">
        <v>18.500106916312401</v>
      </c>
      <c r="AI5316">
        <v>93.343136933854595</v>
      </c>
      <c r="AJ5316">
        <v>103.451163707891</v>
      </c>
      <c r="AK5316">
        <v>19.0543322167387</v>
      </c>
      <c r="AL5316">
        <v>89.563697485217901</v>
      </c>
      <c r="AM5316">
        <v>89.307062826946506</v>
      </c>
      <c r="AN5316">
        <v>1.00000002316239</v>
      </c>
    </row>
    <row r="5317" spans="1:40" x14ac:dyDescent="0.25">
      <c r="A5317" t="str">
        <f>"20190312161121805"</f>
        <v>20190312161121805</v>
      </c>
      <c r="B5317" t="str">
        <f>"1552378281802813"</f>
        <v>1552378281802813</v>
      </c>
      <c r="C5317" t="s">
        <v>40</v>
      </c>
      <c r="D5317">
        <v>5.667554</v>
      </c>
      <c r="E5317">
        <v>0.40638859999999999</v>
      </c>
      <c r="F5317" t="s">
        <v>99</v>
      </c>
      <c r="G5317">
        <v>-370.67149999999998</v>
      </c>
      <c r="H5317" s="1">
        <v>-4.6426500000000003E-6</v>
      </c>
      <c r="I5317">
        <v>20.68317</v>
      </c>
      <c r="J5317">
        <v>-389.29939999999999</v>
      </c>
      <c r="K5317">
        <v>1.1111260000000001</v>
      </c>
      <c r="L5317">
        <v>17.447779999999899</v>
      </c>
      <c r="M5317">
        <v>0.99803299999999995</v>
      </c>
      <c r="N5317">
        <v>0</v>
      </c>
      <c r="O5317">
        <v>-6.179784E-2</v>
      </c>
      <c r="P5317">
        <v>0.99718530000000005</v>
      </c>
      <c r="Q5317">
        <v>-3.0692979999999998E-3</v>
      </c>
      <c r="R5317">
        <v>-7.4916159999999996E-2</v>
      </c>
      <c r="S5317">
        <v>3.048279</v>
      </c>
      <c r="T5317">
        <v>-0.18015929999999999</v>
      </c>
      <c r="U5317">
        <v>0.52322389999999996</v>
      </c>
      <c r="V5317">
        <v>1.3125080000000001E-2</v>
      </c>
      <c r="W5317">
        <v>7.5128019999999998E-3</v>
      </c>
      <c r="X5317">
        <v>0.99988560000000004</v>
      </c>
      <c r="Y5317">
        <v>-0.2292642</v>
      </c>
      <c r="Z5317">
        <v>1.0346080000000001E-2</v>
      </c>
      <c r="AA5317">
        <v>0.97330919999999999</v>
      </c>
      <c r="AB5317">
        <v>18</v>
      </c>
      <c r="AC5317">
        <v>18.6279</v>
      </c>
      <c r="AD5317">
        <v>-1.1111306426500001</v>
      </c>
      <c r="AE5317">
        <v>3.2353900000000002</v>
      </c>
      <c r="AF5317">
        <v>-4.3653564454925604</v>
      </c>
      <c r="AG5317">
        <v>-1.1111306426500001</v>
      </c>
      <c r="AH5317">
        <v>18.329036552364698</v>
      </c>
      <c r="AI5317">
        <v>93.374930433398205</v>
      </c>
      <c r="AJ5317">
        <v>103.39634378965999</v>
      </c>
      <c r="AK5317">
        <v>18.874441160976399</v>
      </c>
      <c r="AL5317">
        <v>89.569544087133707</v>
      </c>
      <c r="AM5317">
        <v>89.247945463053995</v>
      </c>
      <c r="AN5317">
        <v>0.99999996150312798</v>
      </c>
    </row>
    <row r="5318" spans="1:40" x14ac:dyDescent="0.25">
      <c r="A5318" t="str">
        <f>"20190312161121828"</f>
        <v>20190312161121828</v>
      </c>
      <c r="B5318" t="str">
        <f>"1552378281822334"</f>
        <v>1552378281822334</v>
      </c>
      <c r="C5318" t="s">
        <v>40</v>
      </c>
      <c r="D5318">
        <v>5.7414839999999998</v>
      </c>
      <c r="E5318">
        <v>0.4063794</v>
      </c>
      <c r="F5318" t="s">
        <v>99</v>
      </c>
      <c r="G5318">
        <v>-370.54860000000002</v>
      </c>
      <c r="H5318" s="1">
        <v>-4.6920299999999997E-6</v>
      </c>
      <c r="I5318">
        <v>20.69538</v>
      </c>
      <c r="J5318">
        <v>-389.1198</v>
      </c>
      <c r="K5318">
        <v>1.1110850000000001</v>
      </c>
      <c r="L5318">
        <v>17.439540000000001</v>
      </c>
      <c r="M5318">
        <v>0.9981776</v>
      </c>
      <c r="N5318">
        <v>0</v>
      </c>
      <c r="O5318">
        <v>-5.9422669999999997E-2</v>
      </c>
      <c r="P5318">
        <v>0.99733000000000005</v>
      </c>
      <c r="Q5318">
        <v>-2.507577E-3</v>
      </c>
      <c r="R5318">
        <v>-7.2988300000000006E-2</v>
      </c>
      <c r="S5318">
        <v>3.047577</v>
      </c>
      <c r="T5318">
        <v>-0.18059220000000001</v>
      </c>
      <c r="U5318">
        <v>0.52783199999999997</v>
      </c>
      <c r="V5318">
        <v>1.357062E-2</v>
      </c>
      <c r="W5318">
        <v>8.0492269999999904E-3</v>
      </c>
      <c r="X5318">
        <v>0.99987550000000003</v>
      </c>
      <c r="Y5318">
        <v>-0.2284178</v>
      </c>
      <c r="Z5318">
        <v>1.0207330000000001E-2</v>
      </c>
      <c r="AA5318">
        <v>0.97350970000000003</v>
      </c>
      <c r="AB5318">
        <v>18</v>
      </c>
      <c r="AC5318">
        <v>18.571199999999902</v>
      </c>
      <c r="AD5318">
        <v>-1.11108969203</v>
      </c>
      <c r="AE5318">
        <v>3.2558399999999899</v>
      </c>
      <c r="AF5318">
        <v>-4.3386303443613699</v>
      </c>
      <c r="AG5318">
        <v>-1.11108969203</v>
      </c>
      <c r="AH5318">
        <v>18.281411647939301</v>
      </c>
      <c r="AI5318">
        <v>93.384216916188507</v>
      </c>
      <c r="AJ5318">
        <v>103.350709845965</v>
      </c>
      <c r="AK5318">
        <v>18.8220149136632</v>
      </c>
      <c r="AL5318">
        <v>89.538808276815004</v>
      </c>
      <c r="AM5318">
        <v>89.222411676479496</v>
      </c>
      <c r="AN5318">
        <v>0.999999983641365</v>
      </c>
    </row>
    <row r="5319" spans="1:40" x14ac:dyDescent="0.25">
      <c r="A5319" t="str">
        <f>"20190312161121850"</f>
        <v>20190312161121850</v>
      </c>
      <c r="B5319" t="str">
        <f>"1552378281842481"</f>
        <v>1552378281842481</v>
      </c>
      <c r="C5319" t="s">
        <v>40</v>
      </c>
      <c r="D5319">
        <v>5.6305230000000002</v>
      </c>
      <c r="E5319">
        <v>0.40639809999999998</v>
      </c>
      <c r="F5319" t="s">
        <v>99</v>
      </c>
      <c r="G5319">
        <v>-370.3707</v>
      </c>
      <c r="H5319" s="1">
        <v>-4.7654759999999997E-6</v>
      </c>
      <c r="I5319">
        <v>20.724430000000002</v>
      </c>
      <c r="J5319">
        <v>-388.9366</v>
      </c>
      <c r="K5319">
        <v>1.1110519999999999</v>
      </c>
      <c r="L5319">
        <v>17.431519999999999</v>
      </c>
      <c r="M5319">
        <v>0.99831559999999997</v>
      </c>
      <c r="N5319">
        <v>0</v>
      </c>
      <c r="O5319">
        <v>-5.7060819999999998E-2</v>
      </c>
      <c r="P5319">
        <v>0.99751469999999998</v>
      </c>
      <c r="Q5319">
        <v>-1.558142E-3</v>
      </c>
      <c r="R5319">
        <v>-7.0443190000000003E-2</v>
      </c>
      <c r="S5319">
        <v>3.0466609999999998</v>
      </c>
      <c r="T5319">
        <v>-0.18054870000000001</v>
      </c>
      <c r="U5319">
        <v>0.53378300000000001</v>
      </c>
      <c r="V5319">
        <v>1.338335E-2</v>
      </c>
      <c r="W5319">
        <v>8.9733039999999997E-3</v>
      </c>
      <c r="X5319">
        <v>0.99987020000000004</v>
      </c>
      <c r="Y5319">
        <v>-0.2280141</v>
      </c>
      <c r="Z5319">
        <v>1.0055420000000001E-2</v>
      </c>
      <c r="AA5319">
        <v>0.97360590000000002</v>
      </c>
      <c r="AB5319">
        <v>18</v>
      </c>
      <c r="AC5319">
        <v>18.565899999999999</v>
      </c>
      <c r="AD5319">
        <v>-1.111056765476</v>
      </c>
      <c r="AE5319">
        <v>3.2929099999999898</v>
      </c>
      <c r="AF5319">
        <v>-4.3319472035273998</v>
      </c>
      <c r="AG5319">
        <v>-1.111056765476</v>
      </c>
      <c r="AH5319">
        <v>18.284256540527402</v>
      </c>
      <c r="AI5319">
        <v>93.383896543550307</v>
      </c>
      <c r="AJ5319">
        <v>103.328879251297</v>
      </c>
      <c r="AK5319">
        <v>18.823236994472499</v>
      </c>
      <c r="AL5319">
        <v>89.485860665722896</v>
      </c>
      <c r="AM5319">
        <v>89.233136779491304</v>
      </c>
      <c r="AN5319">
        <v>1.0000000255449599</v>
      </c>
    </row>
    <row r="5320" spans="1:40" x14ac:dyDescent="0.25">
      <c r="A5320" t="str">
        <f>"20190312161121872"</f>
        <v>20190312161121872</v>
      </c>
      <c r="B5320" t="str">
        <f>"1552378281862977"</f>
        <v>1552378281862977</v>
      </c>
      <c r="C5320" t="s">
        <v>40</v>
      </c>
      <c r="D5320">
        <v>5.6358129999999997</v>
      </c>
      <c r="E5320">
        <v>0.40646320000000002</v>
      </c>
      <c r="F5320" t="s">
        <v>98</v>
      </c>
      <c r="G5320">
        <v>-369.88589999999999</v>
      </c>
      <c r="H5320" s="1">
        <v>-3.7409889999999998E-7</v>
      </c>
      <c r="I5320">
        <v>20.817910000000001</v>
      </c>
      <c r="J5320">
        <v>-388.75920000000002</v>
      </c>
      <c r="K5320">
        <v>1.1110230000000001</v>
      </c>
      <c r="L5320">
        <v>17.424039999999898</v>
      </c>
      <c r="M5320">
        <v>0.99844089999999996</v>
      </c>
      <c r="N5320">
        <v>0</v>
      </c>
      <c r="O5320">
        <v>-5.4828500000000002E-2</v>
      </c>
      <c r="P5320">
        <v>0.99765510000000002</v>
      </c>
      <c r="Q5320">
        <v>-1.555828E-3</v>
      </c>
      <c r="R5320">
        <v>-6.8424250000000006E-2</v>
      </c>
      <c r="S5320">
        <v>3.045471</v>
      </c>
      <c r="T5320">
        <v>-0.17761360000000001</v>
      </c>
      <c r="U5320">
        <v>0.54135129999999998</v>
      </c>
      <c r="V5320">
        <v>1.3595980000000001E-2</v>
      </c>
      <c r="W5320">
        <v>8.9523229999999999E-3</v>
      </c>
      <c r="X5320">
        <v>0.99986750000000002</v>
      </c>
      <c r="Y5320">
        <v>-0.22826730000000001</v>
      </c>
      <c r="Z5320">
        <v>9.7720440000000006E-3</v>
      </c>
      <c r="AA5320">
        <v>0.97354949999999996</v>
      </c>
      <c r="AB5320">
        <v>18</v>
      </c>
      <c r="AC5320">
        <v>18.8733</v>
      </c>
      <c r="AD5320">
        <v>-1.1110233740989</v>
      </c>
      <c r="AE5320">
        <v>3.3938700000000002</v>
      </c>
      <c r="AF5320">
        <v>-4.4088161307563896</v>
      </c>
      <c r="AG5320">
        <v>-1.1110233740989</v>
      </c>
      <c r="AH5320">
        <v>18.596391484714399</v>
      </c>
      <c r="AI5320">
        <v>93.327010904170294</v>
      </c>
      <c r="AJ5320">
        <v>103.337389233897</v>
      </c>
      <c r="AK5320">
        <v>19.144132491846499</v>
      </c>
      <c r="AL5320">
        <v>89.487062826784793</v>
      </c>
      <c r="AM5320">
        <v>89.220952510341604</v>
      </c>
      <c r="AN5320">
        <v>1.0000000061577501</v>
      </c>
    </row>
    <row r="5321" spans="1:40" x14ac:dyDescent="0.25">
      <c r="A5321" t="str">
        <f>"20190312161121896"</f>
        <v>20190312161121896</v>
      </c>
      <c r="B5321" t="str">
        <f>"1552378281892257"</f>
        <v>1552378281892257</v>
      </c>
      <c r="C5321" t="s">
        <v>40</v>
      </c>
      <c r="D5321">
        <v>5.5288579999999996</v>
      </c>
      <c r="E5321">
        <v>0.4066613</v>
      </c>
      <c r="F5321" t="s">
        <v>98</v>
      </c>
      <c r="G5321">
        <v>-369.71199999999999</v>
      </c>
      <c r="H5321" s="1">
        <v>-4.6388120000000001E-7</v>
      </c>
      <c r="I5321">
        <v>20.84647</v>
      </c>
      <c r="J5321">
        <v>-388.57470000000001</v>
      </c>
      <c r="K5321">
        <v>1.1109929999999999</v>
      </c>
      <c r="L5321">
        <v>17.41666</v>
      </c>
      <c r="M5321">
        <v>0.99856279999999997</v>
      </c>
      <c r="N5321">
        <v>0</v>
      </c>
      <c r="O5321">
        <v>-5.2568370000000003E-2</v>
      </c>
      <c r="P5321">
        <v>0.99778750000000005</v>
      </c>
      <c r="Q5321">
        <v>-1.466902E-3</v>
      </c>
      <c r="R5321">
        <v>-6.6470050000000003E-2</v>
      </c>
      <c r="S5321">
        <v>3.0442499999999999</v>
      </c>
      <c r="T5321">
        <v>-0.177571799999999</v>
      </c>
      <c r="U5321">
        <v>0.54699709999999901</v>
      </c>
      <c r="V5321">
        <v>1.3901190000000001E-2</v>
      </c>
      <c r="W5321">
        <v>9.0147860000000003E-3</v>
      </c>
      <c r="X5321">
        <v>0.99986269999999999</v>
      </c>
      <c r="Y5321">
        <v>-0.22788510000000001</v>
      </c>
      <c r="Z5321">
        <v>9.6301530000000007E-3</v>
      </c>
      <c r="AA5321">
        <v>0.97364039999999996</v>
      </c>
      <c r="AB5321">
        <v>18</v>
      </c>
      <c r="AC5321">
        <v>18.8627</v>
      </c>
      <c r="AD5321">
        <v>-1.1109934638812</v>
      </c>
      <c r="AE5321">
        <v>3.4298099999999998</v>
      </c>
      <c r="AF5321">
        <v>-4.4019206424152104</v>
      </c>
      <c r="AG5321">
        <v>-1.1109934638812</v>
      </c>
      <c r="AH5321">
        <v>18.593867505813101</v>
      </c>
      <c r="AI5321">
        <v>93.327624347867001</v>
      </c>
      <c r="AJ5321">
        <v>103.319016319963</v>
      </c>
      <c r="AK5321">
        <v>19.140091970589999</v>
      </c>
      <c r="AL5321">
        <v>89.483483794408997</v>
      </c>
      <c r="AM5321">
        <v>89.2034624310417</v>
      </c>
      <c r="AN5321">
        <v>0.99999996415066505</v>
      </c>
    </row>
    <row r="5322" spans="1:40" x14ac:dyDescent="0.25">
      <c r="A5322" t="str">
        <f>"20190312161121918"</f>
        <v>20190312161121918</v>
      </c>
      <c r="B5322" t="str">
        <f>"1552378281912754"</f>
        <v>1552378281912754</v>
      </c>
      <c r="C5322" t="s">
        <v>40</v>
      </c>
      <c r="D5322">
        <v>5.6050380000000004</v>
      </c>
      <c r="E5322">
        <v>0.40676509999999999</v>
      </c>
      <c r="F5322" t="s">
        <v>98</v>
      </c>
      <c r="G5322">
        <v>-369.61</v>
      </c>
      <c r="H5322" s="1">
        <v>-5.1386379999999898E-7</v>
      </c>
      <c r="I5322">
        <v>20.853090000000002</v>
      </c>
      <c r="J5322">
        <v>-388.39359999999999</v>
      </c>
      <c r="K5322">
        <v>1.110967</v>
      </c>
      <c r="L5322">
        <v>17.409700000000001</v>
      </c>
      <c r="M5322">
        <v>0.99867459999999997</v>
      </c>
      <c r="N5322">
        <v>0</v>
      </c>
      <c r="O5322">
        <v>-5.0404299999999999E-2</v>
      </c>
      <c r="P5322">
        <v>0.99789589999999995</v>
      </c>
      <c r="Q5322">
        <v>-1.0394639999999999E-3</v>
      </c>
      <c r="R5322">
        <v>-6.4830200000000004E-2</v>
      </c>
      <c r="S5322">
        <v>3.0431520000000001</v>
      </c>
      <c r="T5322">
        <v>-0.17827419999999999</v>
      </c>
      <c r="U5322">
        <v>0.55142209999999903</v>
      </c>
      <c r="V5322">
        <v>1.4424330000000001E-2</v>
      </c>
      <c r="W5322">
        <v>9.4157900000000003E-3</v>
      </c>
      <c r="X5322">
        <v>0.99985159999999995</v>
      </c>
      <c r="Y5322">
        <v>-0.2272084</v>
      </c>
      <c r="Z5322">
        <v>9.5249389999999996E-3</v>
      </c>
      <c r="AA5322">
        <v>0.97379959999999999</v>
      </c>
      <c r="AB5322">
        <v>18</v>
      </c>
      <c r="AC5322">
        <v>18.7835999999999</v>
      </c>
      <c r="AD5322">
        <v>-1.1109675138638</v>
      </c>
      <c r="AE5322">
        <v>3.4433899999999902</v>
      </c>
      <c r="AF5322">
        <v>-4.3710445188414901</v>
      </c>
      <c r="AG5322">
        <v>-1.1109675138638</v>
      </c>
      <c r="AH5322">
        <v>18.5234584065057</v>
      </c>
      <c r="AI5322">
        <v>93.340738712309999</v>
      </c>
      <c r="AJ5322">
        <v>103.27739573479801</v>
      </c>
      <c r="AK5322">
        <v>19.064595205251599</v>
      </c>
      <c r="AL5322">
        <v>89.460506984298604</v>
      </c>
      <c r="AM5322">
        <v>89.173481440842394</v>
      </c>
      <c r="AN5322">
        <v>0.99999997020991604</v>
      </c>
    </row>
    <row r="5323" spans="1:40" x14ac:dyDescent="0.25">
      <c r="A5323" t="str">
        <f>"20190312161121941"</f>
        <v>20190312161121941</v>
      </c>
      <c r="B5323" t="str">
        <f>"1552378281932273"</f>
        <v>1552378281932273</v>
      </c>
      <c r="C5323" t="s">
        <v>40</v>
      </c>
      <c r="D5323">
        <v>5.5875870000000001</v>
      </c>
      <c r="E5323">
        <v>0.40694029999999998</v>
      </c>
      <c r="F5323" t="s">
        <v>98</v>
      </c>
      <c r="G5323">
        <v>-369.38670000000002</v>
      </c>
      <c r="H5323" s="1">
        <v>-6.2668020000000003E-7</v>
      </c>
      <c r="I5323">
        <v>20.88035</v>
      </c>
      <c r="J5323">
        <v>-388.21499999999997</v>
      </c>
      <c r="K5323">
        <v>1.110949</v>
      </c>
      <c r="L5323">
        <v>17.403199999999998</v>
      </c>
      <c r="M5323">
        <v>0.99877769999999999</v>
      </c>
      <c r="N5323">
        <v>0</v>
      </c>
      <c r="O5323">
        <v>-4.8321879999999998E-2</v>
      </c>
      <c r="P5323">
        <v>0.99802020000000002</v>
      </c>
      <c r="Q5323" s="1">
        <v>-7.9179179999999994E-5</v>
      </c>
      <c r="R5323">
        <v>-6.2893480000000002E-2</v>
      </c>
      <c r="S5323">
        <v>3.0422359999999999</v>
      </c>
      <c r="T5323">
        <v>-0.17782100000000001</v>
      </c>
      <c r="U5323">
        <v>0.55551149999999905</v>
      </c>
      <c r="V5323">
        <v>1.4566999999999899E-2</v>
      </c>
      <c r="W5323">
        <v>1.034796E-2</v>
      </c>
      <c r="X5323">
        <v>0.99984030000000002</v>
      </c>
      <c r="Y5323">
        <v>-0.22650329999999999</v>
      </c>
      <c r="Z5323">
        <v>9.361266E-3</v>
      </c>
      <c r="AA5323">
        <v>0.97396539999999998</v>
      </c>
      <c r="AB5323">
        <v>18</v>
      </c>
      <c r="AC5323">
        <v>18.828299999999899</v>
      </c>
      <c r="AD5323">
        <v>-1.1109496266801999</v>
      </c>
      <c r="AE5323">
        <v>3.47715</v>
      </c>
      <c r="AF5323">
        <v>-4.3682491510553403</v>
      </c>
      <c r="AG5323">
        <v>-1.1109496266801999</v>
      </c>
      <c r="AH5323">
        <v>18.575732665348401</v>
      </c>
      <c r="AI5323">
        <v>93.331909465597107</v>
      </c>
      <c r="AJ5323">
        <v>103.233179564319</v>
      </c>
      <c r="AK5323">
        <v>19.1147496393023</v>
      </c>
      <c r="AL5323">
        <v>89.407094955026096</v>
      </c>
      <c r="AM5323">
        <v>89.165298124578896</v>
      </c>
      <c r="AN5323">
        <v>0.99999995163462396</v>
      </c>
    </row>
    <row r="5324" spans="1:40" x14ac:dyDescent="0.25">
      <c r="A5324" t="str">
        <f>"20190312161121963"</f>
        <v>20190312161121963</v>
      </c>
      <c r="B5324" t="str">
        <f>"1552378281951941"</f>
        <v>1552378281951941</v>
      </c>
      <c r="C5324" t="s">
        <v>40</v>
      </c>
      <c r="D5324">
        <v>5.5939249999999996</v>
      </c>
      <c r="E5324">
        <v>0.407113</v>
      </c>
      <c r="F5324" t="s">
        <v>98</v>
      </c>
      <c r="G5324">
        <v>-368.97789999999998</v>
      </c>
      <c r="H5324" s="1">
        <v>-8.373293E-7</v>
      </c>
      <c r="I5324">
        <v>20.945779999999999</v>
      </c>
      <c r="J5324">
        <v>-388.0308</v>
      </c>
      <c r="K5324">
        <v>1.1109230000000001</v>
      </c>
      <c r="L5324">
        <v>17.396789999999999</v>
      </c>
      <c r="M5324">
        <v>0.99887749999999997</v>
      </c>
      <c r="N5324">
        <v>0</v>
      </c>
      <c r="O5324">
        <v>-4.6223710000000001E-2</v>
      </c>
      <c r="P5324">
        <v>0.9980945</v>
      </c>
      <c r="Q5324" s="1">
        <v>9.3329699999999995E-5</v>
      </c>
      <c r="R5324">
        <v>-6.1706129999999998E-2</v>
      </c>
      <c r="S5324">
        <v>3.0412599999999999</v>
      </c>
      <c r="T5324">
        <v>-0.17563389999999901</v>
      </c>
      <c r="U5324">
        <v>0.56005859999999996</v>
      </c>
      <c r="V5324">
        <v>1.547833E-2</v>
      </c>
      <c r="W5324">
        <v>1.048671E-2</v>
      </c>
      <c r="X5324">
        <v>0.99982519999999997</v>
      </c>
      <c r="Y5324">
        <v>-0.22593679999999999</v>
      </c>
      <c r="Z5324">
        <v>9.1115850000000002E-3</v>
      </c>
      <c r="AA5324">
        <v>0.9740993</v>
      </c>
      <c r="AB5324">
        <v>18</v>
      </c>
      <c r="AC5324">
        <v>19.052900000000001</v>
      </c>
      <c r="AD5324">
        <v>-1.11092383732929</v>
      </c>
      <c r="AE5324">
        <v>3.5489899999999999</v>
      </c>
      <c r="AF5324">
        <v>-4.4114441535040596</v>
      </c>
      <c r="AG5324">
        <v>-1.11092383732929</v>
      </c>
      <c r="AH5324">
        <v>18.806682259185902</v>
      </c>
      <c r="AI5324">
        <v>93.291439263511805</v>
      </c>
      <c r="AJ5324">
        <v>103.20108765731599</v>
      </c>
      <c r="AK5324">
        <v>19.349064289773999</v>
      </c>
      <c r="AL5324">
        <v>89.399144756989003</v>
      </c>
      <c r="AM5324">
        <v>89.113072819694494</v>
      </c>
      <c r="AN5324">
        <v>0.99999999017062602</v>
      </c>
    </row>
    <row r="5325" spans="1:40" x14ac:dyDescent="0.25">
      <c r="A5325" t="str">
        <f>"20190312161121987"</f>
        <v>20190312161121987</v>
      </c>
      <c r="B5325" t="str">
        <f>"1552378281972437"</f>
        <v>1552378281972437</v>
      </c>
      <c r="C5325" t="s">
        <v>40</v>
      </c>
      <c r="D5325">
        <v>5.5062530000000001</v>
      </c>
      <c r="E5325">
        <v>0.4079972</v>
      </c>
      <c r="F5325" t="s">
        <v>98</v>
      </c>
      <c r="G5325">
        <v>-368.6773</v>
      </c>
      <c r="H5325" s="1">
        <v>-9.8786749999999995E-7</v>
      </c>
      <c r="I5325">
        <v>20.97758</v>
      </c>
      <c r="J5325">
        <v>-387.85140000000001</v>
      </c>
      <c r="K5325">
        <v>1.1108910000000001</v>
      </c>
      <c r="L5325">
        <v>17.390899999999998</v>
      </c>
      <c r="M5325">
        <v>0.99896790000000002</v>
      </c>
      <c r="N5325">
        <v>0</v>
      </c>
      <c r="O5325">
        <v>-4.4234139999999998E-2</v>
      </c>
      <c r="P5325">
        <v>0.99812369999999995</v>
      </c>
      <c r="Q5325">
        <v>4.1031280000000003E-4</v>
      </c>
      <c r="R5325">
        <v>-6.1232880000000003E-2</v>
      </c>
      <c r="S5325">
        <v>3.040527</v>
      </c>
      <c r="T5325">
        <v>-0.17453179999999999</v>
      </c>
      <c r="U5325">
        <v>0.56256099999999998</v>
      </c>
      <c r="V5325">
        <v>1.6995570000000002E-2</v>
      </c>
      <c r="W5325">
        <v>1.0766599999999999E-2</v>
      </c>
      <c r="X5325">
        <v>0.99979759999999995</v>
      </c>
      <c r="Y5325">
        <v>-0.2248241</v>
      </c>
      <c r="Z5325">
        <v>8.9110379999999996E-3</v>
      </c>
      <c r="AA5325">
        <v>0.97435859999999996</v>
      </c>
      <c r="AB5325">
        <v>18</v>
      </c>
      <c r="AC5325">
        <v>19.174099999999999</v>
      </c>
      <c r="AD5325">
        <v>-1.1108919878675001</v>
      </c>
      <c r="AE5325">
        <v>3.5866799999999999</v>
      </c>
      <c r="AF5325">
        <v>-4.4170384815973298</v>
      </c>
      <c r="AG5325">
        <v>-1.1108919878675001</v>
      </c>
      <c r="AH5325">
        <v>18.935256765178099</v>
      </c>
      <c r="AI5325">
        <v>93.269983474373802</v>
      </c>
      <c r="AJ5325">
        <v>103.130612846085</v>
      </c>
      <c r="AK5325">
        <v>19.4753243546762</v>
      </c>
      <c r="AL5325">
        <v>89.383107344667394</v>
      </c>
      <c r="AM5325">
        <v>89.0261222354804</v>
      </c>
      <c r="AN5325">
        <v>1.00000000502047</v>
      </c>
    </row>
    <row r="5326" spans="1:40" x14ac:dyDescent="0.25">
      <c r="A5326" t="str">
        <f>"20190312161122007"</f>
        <v>20190312161122007</v>
      </c>
      <c r="B5326" t="str">
        <f>"1552378282002693"</f>
        <v>1552378282002693</v>
      </c>
      <c r="C5326" t="s">
        <v>40</v>
      </c>
      <c r="D5326">
        <v>5.5253920000000001</v>
      </c>
      <c r="E5326">
        <v>0.50494129999999904</v>
      </c>
      <c r="F5326" t="s">
        <v>98</v>
      </c>
      <c r="G5326">
        <v>-368.1121</v>
      </c>
      <c r="H5326" s="1">
        <v>-1.262847E-6</v>
      </c>
      <c r="I5326">
        <v>21.006810000000002</v>
      </c>
      <c r="J5326">
        <v>-387.6807</v>
      </c>
      <c r="K5326">
        <v>1.1108579999999999</v>
      </c>
      <c r="L5326">
        <v>17.385529999999999</v>
      </c>
      <c r="M5326">
        <v>0.99904839999999995</v>
      </c>
      <c r="N5326">
        <v>0</v>
      </c>
      <c r="O5326">
        <v>-4.2388090000000003E-2</v>
      </c>
      <c r="P5326">
        <v>0.99817869999999997</v>
      </c>
      <c r="Q5326">
        <v>-1.6580340000000001E-4</v>
      </c>
      <c r="R5326">
        <v>-6.0328489999999999E-2</v>
      </c>
      <c r="S5326">
        <v>3.0398860000000001</v>
      </c>
      <c r="T5326">
        <v>-0.17107890000000001</v>
      </c>
      <c r="U5326">
        <v>0.55685419999999997</v>
      </c>
      <c r="V5326">
        <v>1.7939360000000001E-2</v>
      </c>
      <c r="W5326">
        <v>1.0151510000000001E-2</v>
      </c>
      <c r="X5326">
        <v>0.9997876</v>
      </c>
      <c r="Y5326">
        <v>-0.2213145</v>
      </c>
      <c r="Z5326">
        <v>8.5373099999999993E-3</v>
      </c>
      <c r="AA5326">
        <v>0.97516510000000001</v>
      </c>
      <c r="AB5326">
        <v>18</v>
      </c>
      <c r="AC5326">
        <v>19.5686</v>
      </c>
      <c r="AD5326">
        <v>-1.110859262847</v>
      </c>
      <c r="AE5326">
        <v>3.6212800000000001</v>
      </c>
      <c r="AF5326">
        <v>-4.4337294970512504</v>
      </c>
      <c r="AG5326">
        <v>-1.110859262847</v>
      </c>
      <c r="AH5326">
        <v>19.337251307174601</v>
      </c>
      <c r="AI5326">
        <v>93.204851430760201</v>
      </c>
      <c r="AJ5326">
        <v>102.913815949461</v>
      </c>
      <c r="AK5326">
        <v>19.870109553590801</v>
      </c>
      <c r="AL5326">
        <v>89.418351365483602</v>
      </c>
      <c r="AM5326">
        <v>88.972042333248496</v>
      </c>
      <c r="AN5326">
        <v>1.00000005945312</v>
      </c>
    </row>
    <row r="5327" spans="1:40" x14ac:dyDescent="0.25">
      <c r="A5327" t="str">
        <f>"20190312161122029"</f>
        <v>20190312161122029</v>
      </c>
      <c r="B5327" t="str">
        <f>"1552378282022213"</f>
        <v>1552378282022213</v>
      </c>
      <c r="C5327" t="s">
        <v>40</v>
      </c>
      <c r="D5327">
        <v>5.5528659999999999</v>
      </c>
      <c r="E5327">
        <v>0.51217179999999995</v>
      </c>
      <c r="F5327" t="s">
        <v>41</v>
      </c>
      <c r="G5327">
        <v>-327.40480000000002</v>
      </c>
      <c r="H5327" s="1">
        <v>-2.742569E-6</v>
      </c>
      <c r="I5327">
        <v>12.994999999999999</v>
      </c>
      <c r="J5327">
        <v>-387.50259999999997</v>
      </c>
      <c r="K5327">
        <v>1.1108209999999901</v>
      </c>
      <c r="L5327">
        <v>17.380220000000001</v>
      </c>
      <c r="M5327">
        <v>0.99912690000000004</v>
      </c>
      <c r="N5327">
        <v>0</v>
      </c>
      <c r="O5327">
        <v>-4.0504199999999997E-2</v>
      </c>
      <c r="P5327">
        <v>0.99819069999999999</v>
      </c>
      <c r="Q5327">
        <v>-9.4796159999999997E-4</v>
      </c>
      <c r="R5327">
        <v>-6.012166E-2</v>
      </c>
      <c r="S5327">
        <v>2.9922490000000002</v>
      </c>
      <c r="T5327">
        <v>-5.5145979999999997E-2</v>
      </c>
      <c r="U5327">
        <v>-0.2179565</v>
      </c>
      <c r="V5327">
        <v>1.9619669999999999E-2</v>
      </c>
      <c r="W5327">
        <v>9.3304419999999996E-3</v>
      </c>
      <c r="X5327">
        <v>0.99976399999999999</v>
      </c>
      <c r="Y5327">
        <v>3.2190400000000001E-2</v>
      </c>
      <c r="Z5327">
        <v>4.48827E-4</v>
      </c>
      <c r="AA5327">
        <v>0.99948170000000003</v>
      </c>
      <c r="AB5327">
        <v>18</v>
      </c>
      <c r="AC5327">
        <v>60.0977999999999</v>
      </c>
      <c r="AD5327">
        <v>-1.11082374256899</v>
      </c>
      <c r="AE5327">
        <v>-4.3852200000000003</v>
      </c>
      <c r="AF5327">
        <v>1.9466185126735001</v>
      </c>
      <c r="AG5327">
        <v>-1.11082374256899</v>
      </c>
      <c r="AH5327">
        <v>60.205645867347798</v>
      </c>
      <c r="AI5327">
        <v>91.056463396454205</v>
      </c>
      <c r="AJ5327">
        <v>88.148110831059</v>
      </c>
      <c r="AK5327">
        <v>60.247348882132798</v>
      </c>
      <c r="AL5327">
        <v>89.465397307226297</v>
      </c>
      <c r="AM5327">
        <v>88.875754663360794</v>
      </c>
      <c r="AN5327">
        <v>1.0000000221474099</v>
      </c>
    </row>
    <row r="5328" spans="1:40" x14ac:dyDescent="0.25">
      <c r="A5328" t="str">
        <f>"20190312161122064"</f>
        <v>20190312161122064</v>
      </c>
      <c r="B5328" t="str">
        <f>"1552378282052473"</f>
        <v>1552378282052473</v>
      </c>
      <c r="C5328" t="s">
        <v>40</v>
      </c>
      <c r="D5328">
        <v>5.479196</v>
      </c>
      <c r="E5328">
        <v>0.51600539999999995</v>
      </c>
      <c r="F5328" t="s">
        <v>41</v>
      </c>
      <c r="G5328">
        <v>-344.09010000000001</v>
      </c>
      <c r="H5328" s="1">
        <v>-3.6514380000000001E-6</v>
      </c>
      <c r="I5328">
        <v>13.39921</v>
      </c>
      <c r="J5328">
        <v>-387.2183</v>
      </c>
      <c r="K5328">
        <v>1.1107830000000001</v>
      </c>
      <c r="L5328">
        <v>17.372309999999999</v>
      </c>
      <c r="M5328">
        <v>0.99924179999999996</v>
      </c>
      <c r="N5328">
        <v>0</v>
      </c>
      <c r="O5328">
        <v>-3.7579460000000002E-2</v>
      </c>
      <c r="P5328">
        <v>0.99829999999999997</v>
      </c>
      <c r="Q5328">
        <v>-6.4956019999999897E-4</v>
      </c>
      <c r="R5328">
        <v>-5.8283550000000003E-2</v>
      </c>
      <c r="S5328">
        <v>2.988861</v>
      </c>
      <c r="T5328">
        <v>-7.6477999999999893E-2</v>
      </c>
      <c r="U5328">
        <v>-0.2740784</v>
      </c>
      <c r="V5328">
        <v>2.0705350000000001E-2</v>
      </c>
      <c r="W5328">
        <v>9.5659879999999992E-3</v>
      </c>
      <c r="X5328">
        <v>0.99973990000000001</v>
      </c>
      <c r="Y5328">
        <v>5.382265E-2</v>
      </c>
      <c r="Z5328">
        <v>2.7182520000000002E-4</v>
      </c>
      <c r="AA5328">
        <v>0.99855050000000001</v>
      </c>
      <c r="AB5328">
        <v>18</v>
      </c>
      <c r="AC5328">
        <v>43.1281999999999</v>
      </c>
      <c r="AD5328">
        <v>-1.110786651438</v>
      </c>
      <c r="AE5328">
        <v>-3.9730999999999899</v>
      </c>
      <c r="AF5328">
        <v>2.3479304673147299</v>
      </c>
      <c r="AG5328">
        <v>-1.110786651438</v>
      </c>
      <c r="AH5328">
        <v>43.218620061246902</v>
      </c>
      <c r="AI5328">
        <v>91.470100834988997</v>
      </c>
      <c r="AJ5328">
        <v>86.890359000561901</v>
      </c>
      <c r="AK5328">
        <v>43.296601996724497</v>
      </c>
      <c r="AL5328">
        <v>89.451900925181306</v>
      </c>
      <c r="AM5328">
        <v>88.813531806859302</v>
      </c>
      <c r="AN5328">
        <v>1.0000000436485199</v>
      </c>
    </row>
    <row r="5329" spans="1:40" x14ac:dyDescent="0.25">
      <c r="A5329" t="str">
        <f>"20190312161122085"</f>
        <v>20190312161122085</v>
      </c>
      <c r="B5329" t="str">
        <f>"1552378282072965"</f>
        <v>1552378282072965</v>
      </c>
      <c r="C5329" t="s">
        <v>40</v>
      </c>
      <c r="D5329">
        <v>5.4671079999999996</v>
      </c>
      <c r="E5329">
        <v>0.51691560000000003</v>
      </c>
      <c r="F5329" t="s">
        <v>41</v>
      </c>
      <c r="G5329">
        <v>-350.21780000000001</v>
      </c>
      <c r="H5329" s="1">
        <v>-5.2326039999999998E-6</v>
      </c>
      <c r="I5329">
        <v>13.675549999999999</v>
      </c>
      <c r="J5329">
        <v>-387.04340000000002</v>
      </c>
      <c r="K5329">
        <v>1.110757</v>
      </c>
      <c r="L5329">
        <v>17.367829999999898</v>
      </c>
      <c r="M5329">
        <v>0.99930629999999998</v>
      </c>
      <c r="N5329">
        <v>0</v>
      </c>
      <c r="O5329">
        <v>-3.5837790000000001E-2</v>
      </c>
      <c r="P5329">
        <v>0.99836590000000003</v>
      </c>
      <c r="Q5329">
        <v>-6.6347229999999904E-4</v>
      </c>
      <c r="R5329">
        <v>-5.714379E-2</v>
      </c>
      <c r="S5329">
        <v>2.9876399999999999</v>
      </c>
      <c r="T5329">
        <v>-8.9691759999999995E-2</v>
      </c>
      <c r="U5329">
        <v>-0.29849239999999999</v>
      </c>
      <c r="V5329">
        <v>2.1306930000000002E-2</v>
      </c>
      <c r="W5329">
        <v>9.5059099999999994E-3</v>
      </c>
      <c r="X5329">
        <v>0.99972780000000006</v>
      </c>
      <c r="Y5329">
        <v>6.3675800000000005E-2</v>
      </c>
      <c r="Z5329">
        <v>1.191596E-4</v>
      </c>
      <c r="AA5329">
        <v>0.99797060000000004</v>
      </c>
      <c r="AB5329">
        <v>18</v>
      </c>
      <c r="AC5329">
        <v>36.825600000000001</v>
      </c>
      <c r="AD5329">
        <v>-1.1107622326039901</v>
      </c>
      <c r="AE5329">
        <v>-3.69227999999999</v>
      </c>
      <c r="AF5329">
        <v>2.3679591904880102</v>
      </c>
      <c r="AG5329">
        <v>-1.1107622326039901</v>
      </c>
      <c r="AH5329">
        <v>36.901033328729099</v>
      </c>
      <c r="AI5329">
        <v>91.720609374542803</v>
      </c>
      <c r="AJ5329">
        <v>86.328333237011506</v>
      </c>
      <c r="AK5329">
        <v>36.993611397012401</v>
      </c>
      <c r="AL5329">
        <v>89.455343279522694</v>
      </c>
      <c r="AM5329">
        <v>88.779055287030602</v>
      </c>
      <c r="AN5329">
        <v>1.0000000108418901</v>
      </c>
    </row>
    <row r="5330" spans="1:40" x14ac:dyDescent="0.25">
      <c r="A5330" t="str">
        <f>"20190312161122109"</f>
        <v>20190312161122109</v>
      </c>
      <c r="B5330" t="str">
        <f>"1552378282102245"</f>
        <v>1552378282102245</v>
      </c>
      <c r="C5330" t="s">
        <v>40</v>
      </c>
      <c r="D5330">
        <v>5.4729619999999999</v>
      </c>
      <c r="E5330">
        <v>0.51795270000000004</v>
      </c>
      <c r="F5330" t="s">
        <v>41</v>
      </c>
      <c r="G5330">
        <v>-352.0489</v>
      </c>
      <c r="H5330" s="1">
        <v>-4.4198730000000001E-6</v>
      </c>
      <c r="I5330">
        <v>13.82887</v>
      </c>
      <c r="J5330">
        <v>-386.85579999999999</v>
      </c>
      <c r="K5330">
        <v>1.1107320000000001</v>
      </c>
      <c r="L5330">
        <v>17.363309999999998</v>
      </c>
      <c r="M5330">
        <v>0.99937039999999999</v>
      </c>
      <c r="N5330">
        <v>0</v>
      </c>
      <c r="O5330">
        <v>-3.4026870000000001E-2</v>
      </c>
      <c r="P5330">
        <v>0.99843110000000002</v>
      </c>
      <c r="Q5330">
        <v>-1.520474E-3</v>
      </c>
      <c r="R5330">
        <v>-5.597543E-2</v>
      </c>
      <c r="S5330">
        <v>2.9875790000000002</v>
      </c>
      <c r="T5330">
        <v>-9.4829079999999996E-2</v>
      </c>
      <c r="U5330">
        <v>-0.302124</v>
      </c>
      <c r="V5330">
        <v>2.1950999999999998E-2</v>
      </c>
      <c r="W5330">
        <v>8.5904180000000007E-3</v>
      </c>
      <c r="X5330">
        <v>0.99972209999999995</v>
      </c>
      <c r="Y5330">
        <v>6.6683069999999997E-2</v>
      </c>
      <c r="Z5330" s="1">
        <v>2.112938E-5</v>
      </c>
      <c r="AA5330">
        <v>0.99777420000000006</v>
      </c>
      <c r="AB5330">
        <v>18</v>
      </c>
      <c r="AC5330">
        <v>34.806899999999899</v>
      </c>
      <c r="AD5330">
        <v>-1.1107364198729901</v>
      </c>
      <c r="AE5330">
        <v>-3.53444</v>
      </c>
      <c r="AF5330">
        <v>2.34559917057515</v>
      </c>
      <c r="AG5330">
        <v>-1.1107364198729901</v>
      </c>
      <c r="AH5330">
        <v>34.871865064329299</v>
      </c>
      <c r="AI5330">
        <v>91.820254390459795</v>
      </c>
      <c r="AJ5330">
        <v>86.151889198621205</v>
      </c>
      <c r="AK5330">
        <v>34.968307707526002</v>
      </c>
      <c r="AL5330">
        <v>89.507799230581497</v>
      </c>
      <c r="AM5330">
        <v>88.742152848077794</v>
      </c>
      <c r="AN5330">
        <v>0.99999995945541098</v>
      </c>
    </row>
    <row r="5331" spans="1:40" x14ac:dyDescent="0.25">
      <c r="A5331" t="str">
        <f>"20190312161122131"</f>
        <v>20190312161122131</v>
      </c>
      <c r="B5331" t="str">
        <f>"1552378282122742"</f>
        <v>1552378282122742</v>
      </c>
      <c r="C5331" t="s">
        <v>40</v>
      </c>
      <c r="D5331">
        <v>5.5428689999999996</v>
      </c>
      <c r="E5331">
        <v>0.51878639999999998</v>
      </c>
      <c r="F5331" t="s">
        <v>41</v>
      </c>
      <c r="G5331">
        <v>-353.79469999999998</v>
      </c>
      <c r="H5331" s="1">
        <v>-3.6461320000000002E-6</v>
      </c>
      <c r="I5331">
        <v>13.968669999999999</v>
      </c>
      <c r="J5331">
        <v>-386.66120000000001</v>
      </c>
      <c r="K5331">
        <v>1.110695</v>
      </c>
      <c r="L5331">
        <v>17.35886</v>
      </c>
      <c r="M5331">
        <v>0.99943159999999998</v>
      </c>
      <c r="N5331">
        <v>0</v>
      </c>
      <c r="O5331">
        <v>-3.2195469999999997E-2</v>
      </c>
      <c r="P5331">
        <v>0.99847509999999995</v>
      </c>
      <c r="Q5331">
        <v>-2.5632720000000001E-3</v>
      </c>
      <c r="R5331">
        <v>-5.5147259999999997E-2</v>
      </c>
      <c r="S5331">
        <v>2.9873959999999999</v>
      </c>
      <c r="T5331">
        <v>-0.100366</v>
      </c>
      <c r="U5331">
        <v>-0.30673220000000001</v>
      </c>
      <c r="V5331">
        <v>2.2956480000000001E-2</v>
      </c>
      <c r="W5331">
        <v>7.4851450000000003E-3</v>
      </c>
      <c r="X5331">
        <v>0.99970840000000005</v>
      </c>
      <c r="Y5331">
        <v>7.0035699999999895E-2</v>
      </c>
      <c r="Z5331" s="1">
        <v>-9.5076860000000002E-5</v>
      </c>
      <c r="AA5331">
        <v>0.99754449999999995</v>
      </c>
      <c r="AB5331">
        <v>18</v>
      </c>
      <c r="AC5331">
        <v>32.866500000000002</v>
      </c>
      <c r="AD5331">
        <v>-1.1106986461319901</v>
      </c>
      <c r="AE5331">
        <v>-3.3901899999999898</v>
      </c>
      <c r="AF5331">
        <v>2.3275967835090801</v>
      </c>
      <c r="AG5331">
        <v>-1.1106986461319901</v>
      </c>
      <c r="AH5331">
        <v>32.921412129844903</v>
      </c>
      <c r="AI5331">
        <v>91.927497341915497</v>
      </c>
      <c r="AJ5331">
        <v>85.9558258446216</v>
      </c>
      <c r="AK5331">
        <v>33.022276343284098</v>
      </c>
      <c r="AL5331">
        <v>89.571128758851799</v>
      </c>
      <c r="AM5331">
        <v>88.684538112539698</v>
      </c>
      <c r="AN5331">
        <v>0.99999995620010895</v>
      </c>
    </row>
    <row r="5332" spans="1:40" x14ac:dyDescent="0.25">
      <c r="A5332" t="str">
        <f>"20190312161122153"</f>
        <v>20190312161122153</v>
      </c>
      <c r="B5332" t="str">
        <f>"1552378282142261"</f>
        <v>1552378282142261</v>
      </c>
      <c r="C5332" t="s">
        <v>40</v>
      </c>
      <c r="D5332">
        <v>5.5530549999999996</v>
      </c>
      <c r="E5332">
        <v>0.51939250000000003</v>
      </c>
      <c r="F5332" t="s">
        <v>41</v>
      </c>
      <c r="G5332">
        <v>-355.0575</v>
      </c>
      <c r="H5332" s="1">
        <v>-3.1436470000000001E-6</v>
      </c>
      <c r="I5332">
        <v>14.07029</v>
      </c>
      <c r="J5332">
        <v>-386.48570000000001</v>
      </c>
      <c r="K5332">
        <v>1.1106750000000001</v>
      </c>
      <c r="L5332">
        <v>17.355129999999999</v>
      </c>
      <c r="M5332">
        <v>0.9994828</v>
      </c>
      <c r="N5332">
        <v>0</v>
      </c>
      <c r="O5332">
        <v>-3.0584009999999998E-2</v>
      </c>
      <c r="P5332">
        <v>0.99848210000000004</v>
      </c>
      <c r="Q5332">
        <v>-2.6359690000000002E-3</v>
      </c>
      <c r="R5332">
        <v>-5.5016969999999998E-2</v>
      </c>
      <c r="S5332">
        <v>2.9871219999999998</v>
      </c>
      <c r="T5332">
        <v>-0.1049812</v>
      </c>
      <c r="U5332">
        <v>-0.31082149999999997</v>
      </c>
      <c r="V5332">
        <v>2.4438379999999999E-2</v>
      </c>
      <c r="W5332">
        <v>7.3587879999999998E-3</v>
      </c>
      <c r="X5332">
        <v>0.99967430000000002</v>
      </c>
      <c r="Y5332">
        <v>7.2999499999999995E-2</v>
      </c>
      <c r="Z5332">
        <v>-2.0778020000000001E-4</v>
      </c>
      <c r="AA5332">
        <v>0.997332</v>
      </c>
      <c r="AB5332">
        <v>18</v>
      </c>
      <c r="AC5332">
        <v>31.4282</v>
      </c>
      <c r="AD5332">
        <v>-1.1106781436469999</v>
      </c>
      <c r="AE5332">
        <v>-3.2848399999999902</v>
      </c>
      <c r="AF5332">
        <v>2.3191901512397699</v>
      </c>
      <c r="AG5332">
        <v>-1.1106781436469999</v>
      </c>
      <c r="AH5332">
        <v>31.475079647546799</v>
      </c>
      <c r="AI5332">
        <v>92.015529094347102</v>
      </c>
      <c r="AJ5332">
        <v>85.785868992369601</v>
      </c>
      <c r="AK5332">
        <v>31.5799443906382</v>
      </c>
      <c r="AL5332">
        <v>89.578368719313701</v>
      </c>
      <c r="AM5332">
        <v>88.599606693857297</v>
      </c>
      <c r="AN5332">
        <v>1.00000004612917</v>
      </c>
    </row>
    <row r="5333" spans="1:40" x14ac:dyDescent="0.25">
      <c r="A5333" t="str">
        <f>"20190312161122176"</f>
        <v>20190312161122176</v>
      </c>
      <c r="B5333" t="str">
        <f>"1552378282172518"</f>
        <v>1552378282172518</v>
      </c>
      <c r="C5333" t="s">
        <v>40</v>
      </c>
      <c r="D5333">
        <v>5.8104290000000001</v>
      </c>
      <c r="E5333">
        <v>0.51950099999999999</v>
      </c>
      <c r="F5333" t="s">
        <v>41</v>
      </c>
      <c r="G5333">
        <v>-355.62909999999999</v>
      </c>
      <c r="H5333" s="1">
        <v>-2.941494E-6</v>
      </c>
      <c r="I5333">
        <v>14.099</v>
      </c>
      <c r="J5333">
        <v>-386.30079999999998</v>
      </c>
      <c r="K5333">
        <v>1.1106499999999999</v>
      </c>
      <c r="L5333">
        <v>17.35144</v>
      </c>
      <c r="M5333">
        <v>0.99953259999999999</v>
      </c>
      <c r="N5333">
        <v>0</v>
      </c>
      <c r="O5333">
        <v>-2.8930589999999999E-2</v>
      </c>
      <c r="P5333">
        <v>0.99851440000000002</v>
      </c>
      <c r="Q5333">
        <v>-2.007024E-3</v>
      </c>
      <c r="R5333">
        <v>-5.4454780000000001E-2</v>
      </c>
      <c r="S5333">
        <v>2.9869080000000001</v>
      </c>
      <c r="T5333">
        <v>-0.10751330000000001</v>
      </c>
      <c r="U5333">
        <v>-0.31518550000000001</v>
      </c>
      <c r="V5333">
        <v>2.552865E-2</v>
      </c>
      <c r="W5333">
        <v>7.9300199999999994E-3</v>
      </c>
      <c r="X5333">
        <v>0.99964260000000005</v>
      </c>
      <c r="Y5333">
        <v>7.6093369999999994E-2</v>
      </c>
      <c r="Z5333">
        <v>-3.2757190000000001E-4</v>
      </c>
      <c r="AA5333">
        <v>0.99710069999999995</v>
      </c>
      <c r="AB5333">
        <v>18</v>
      </c>
      <c r="AC5333">
        <v>30.671699999999898</v>
      </c>
      <c r="AD5333">
        <v>-1.1106529414939901</v>
      </c>
      <c r="AE5333">
        <v>-3.25244</v>
      </c>
      <c r="AF5333">
        <v>2.3606238682329099</v>
      </c>
      <c r="AG5333">
        <v>-1.1106529414939901</v>
      </c>
      <c r="AH5333">
        <v>30.713135497235101</v>
      </c>
      <c r="AI5333">
        <v>92.064950896340306</v>
      </c>
      <c r="AJ5333">
        <v>85.604864682050405</v>
      </c>
      <c r="AK5333">
        <v>30.823737396286699</v>
      </c>
      <c r="AL5333">
        <v>89.545638543301393</v>
      </c>
      <c r="AM5333">
        <v>88.537111114262302</v>
      </c>
      <c r="AN5333">
        <v>0.99999996246139</v>
      </c>
    </row>
    <row r="5334" spans="1:40" x14ac:dyDescent="0.25">
      <c r="A5334" t="str">
        <f>"20190312161122195"</f>
        <v>20190312161122195</v>
      </c>
      <c r="B5334" t="str">
        <f>"1552378282182277"</f>
        <v>1552378282182277</v>
      </c>
      <c r="C5334" t="s">
        <v>40</v>
      </c>
      <c r="D5334">
        <v>5.4531369999999999</v>
      </c>
      <c r="E5334">
        <v>0.51930739999999997</v>
      </c>
      <c r="F5334" t="s">
        <v>41</v>
      </c>
      <c r="G5334">
        <v>-354.41489999999999</v>
      </c>
      <c r="H5334" s="1">
        <v>-3.3826999999999998E-6</v>
      </c>
      <c r="I5334">
        <v>13.99366</v>
      </c>
      <c r="J5334">
        <v>-386.13639999999998</v>
      </c>
      <c r="K5334">
        <v>1.11063</v>
      </c>
      <c r="L5334">
        <v>17.34836</v>
      </c>
      <c r="M5334">
        <v>0.9995735</v>
      </c>
      <c r="N5334">
        <v>0</v>
      </c>
      <c r="O5334">
        <v>-2.749969E-2</v>
      </c>
      <c r="P5334">
        <v>0.99850609999999995</v>
      </c>
      <c r="Q5334">
        <v>-1.6608629999999901E-3</v>
      </c>
      <c r="R5334">
        <v>-5.4618760000000002E-2</v>
      </c>
      <c r="S5334">
        <v>2.9870299999999999</v>
      </c>
      <c r="T5334">
        <v>-0.1040447</v>
      </c>
      <c r="U5334">
        <v>-0.31454470000000001</v>
      </c>
      <c r="V5334">
        <v>2.7123399999999999E-2</v>
      </c>
      <c r="W5334">
        <v>8.2223139999999997E-3</v>
      </c>
      <c r="X5334">
        <v>0.99959830000000005</v>
      </c>
      <c r="Y5334">
        <v>7.7305189999999996E-2</v>
      </c>
      <c r="Z5334">
        <v>-3.8768050000000001E-4</v>
      </c>
      <c r="AA5334">
        <v>0.99700739999999999</v>
      </c>
      <c r="AB5334">
        <v>18</v>
      </c>
      <c r="AC5334">
        <v>31.721499999999899</v>
      </c>
      <c r="AD5334">
        <v>-1.1106333826999999</v>
      </c>
      <c r="AE5334">
        <v>-3.3546999999999998</v>
      </c>
      <c r="AF5334">
        <v>2.47805352302731</v>
      </c>
      <c r="AG5334">
        <v>-1.1106333826999999</v>
      </c>
      <c r="AH5334">
        <v>31.763253783104599</v>
      </c>
      <c r="AI5334">
        <v>91.9965255380217</v>
      </c>
      <c r="AJ5334">
        <v>85.539027697288205</v>
      </c>
      <c r="AK5334">
        <v>31.879123994609198</v>
      </c>
      <c r="AL5334">
        <v>89.528890812516394</v>
      </c>
      <c r="AM5334">
        <v>88.445700525262396</v>
      </c>
      <c r="AN5334">
        <v>1.0000000233189801</v>
      </c>
    </row>
    <row r="5335" spans="1:40" x14ac:dyDescent="0.25">
      <c r="A5335" t="str">
        <f>"20190312161122218"</f>
        <v>20190312161122218</v>
      </c>
      <c r="B5335" t="str">
        <f>"1552378282212534"</f>
        <v>1552378282212534</v>
      </c>
      <c r="C5335" t="s">
        <v>40</v>
      </c>
      <c r="D5335">
        <v>5.4018319999999997</v>
      </c>
      <c r="E5335">
        <v>0.51901509999999995</v>
      </c>
      <c r="F5335" t="s">
        <v>41</v>
      </c>
      <c r="G5335">
        <v>-352.98050000000001</v>
      </c>
      <c r="H5335" s="1">
        <v>-4.0136209999999999E-6</v>
      </c>
      <c r="I5335">
        <v>13.866129999999901</v>
      </c>
      <c r="J5335">
        <v>-385.94839999999999</v>
      </c>
      <c r="K5335">
        <v>1.110606</v>
      </c>
      <c r="L5335">
        <v>17.345089999999999</v>
      </c>
      <c r="M5335">
        <v>0.99961659999999997</v>
      </c>
      <c r="N5335">
        <v>0</v>
      </c>
      <c r="O5335">
        <v>-2.5906620000000002E-2</v>
      </c>
      <c r="P5335">
        <v>0.99852490000000005</v>
      </c>
      <c r="Q5335">
        <v>-1.797426E-3</v>
      </c>
      <c r="R5335">
        <v>-5.4265540000000001E-2</v>
      </c>
      <c r="S5335">
        <v>2.987152</v>
      </c>
      <c r="T5335">
        <v>-0.1000615</v>
      </c>
      <c r="U5335">
        <v>-0.31372070000000002</v>
      </c>
      <c r="V5335">
        <v>2.8363900000000001E-2</v>
      </c>
      <c r="W5335">
        <v>8.0196639999999993E-3</v>
      </c>
      <c r="X5335">
        <v>0.9995655</v>
      </c>
      <c r="Y5335">
        <v>7.8618439999999998E-2</v>
      </c>
      <c r="Z5335">
        <v>-4.4791969999999999E-4</v>
      </c>
      <c r="AA5335">
        <v>0.99690469999999998</v>
      </c>
      <c r="AB5335">
        <v>19</v>
      </c>
      <c r="AC5335">
        <v>32.967899999999901</v>
      </c>
      <c r="AD5335">
        <v>-1.110610013621</v>
      </c>
      <c r="AE5335">
        <v>-3.4789599999999998</v>
      </c>
      <c r="AF5335">
        <v>2.6207232042155502</v>
      </c>
      <c r="AG5335">
        <v>-1.110610013621</v>
      </c>
      <c r="AH5335">
        <v>33.0099173082588</v>
      </c>
      <c r="AI5335">
        <v>91.920934756481401</v>
      </c>
      <c r="AJ5335">
        <v>85.460694971280901</v>
      </c>
      <c r="AK5335">
        <v>33.132405367156103</v>
      </c>
      <c r="AL5335">
        <v>89.540502177522598</v>
      </c>
      <c r="AM5335">
        <v>88.374597982675894</v>
      </c>
      <c r="AN5335">
        <v>1.0000000073120601</v>
      </c>
    </row>
    <row r="5336" spans="1:40" x14ac:dyDescent="0.25">
      <c r="A5336" t="str">
        <f>"20190312161122241"</f>
        <v>20190312161122241</v>
      </c>
      <c r="B5336" t="str">
        <f>"1552378282232053"</f>
        <v>1552378282232053</v>
      </c>
      <c r="C5336" t="s">
        <v>40</v>
      </c>
      <c r="D5336">
        <v>5.3603129999999997</v>
      </c>
      <c r="E5336">
        <v>0.519293</v>
      </c>
      <c r="F5336" t="s">
        <v>41</v>
      </c>
      <c r="G5336">
        <v>-351.7955</v>
      </c>
      <c r="H5336" s="1">
        <v>-4.5344619999999998E-6</v>
      </c>
      <c r="I5336">
        <v>13.795780000000001</v>
      </c>
      <c r="J5336">
        <v>-385.75299999999999</v>
      </c>
      <c r="K5336">
        <v>1.1105799999999999</v>
      </c>
      <c r="L5336">
        <v>17.341950000000001</v>
      </c>
      <c r="M5336">
        <v>0.99965789999999999</v>
      </c>
      <c r="N5336">
        <v>0</v>
      </c>
      <c r="O5336">
        <v>-2.4292419999999999E-2</v>
      </c>
      <c r="P5336">
        <v>0.99857260000000003</v>
      </c>
      <c r="Q5336">
        <v>-1.676241E-3</v>
      </c>
      <c r="R5336">
        <v>-5.3386980000000001E-2</v>
      </c>
      <c r="S5336">
        <v>2.9873959999999999</v>
      </c>
      <c r="T5336">
        <v>-9.7146510000000005E-2</v>
      </c>
      <c r="U5336">
        <v>-0.31045529999999999</v>
      </c>
      <c r="V5336">
        <v>2.9098590000000001E-2</v>
      </c>
      <c r="W5336">
        <v>8.0711619999999998E-3</v>
      </c>
      <c r="X5336">
        <v>0.99954399999999999</v>
      </c>
      <c r="Y5336">
        <v>7.9142459999999998E-2</v>
      </c>
      <c r="Z5336">
        <v>-4.9565320000000005E-4</v>
      </c>
      <c r="AA5336">
        <v>0.99686319999999995</v>
      </c>
      <c r="AB5336">
        <v>19</v>
      </c>
      <c r="AC5336">
        <v>33.957500000000003</v>
      </c>
      <c r="AD5336">
        <v>-1.110584534462</v>
      </c>
      <c r="AE5336">
        <v>-3.54617</v>
      </c>
      <c r="AF5336">
        <v>2.71729966312849</v>
      </c>
      <c r="AG5336">
        <v>-1.110584534462</v>
      </c>
      <c r="AH5336">
        <v>33.997654684597897</v>
      </c>
      <c r="AI5336">
        <v>91.865044094337605</v>
      </c>
      <c r="AJ5336">
        <v>85.430286473816693</v>
      </c>
      <c r="AK5336">
        <v>34.1241503853295</v>
      </c>
      <c r="AL5336">
        <v>89.537551478999603</v>
      </c>
      <c r="AM5336">
        <v>88.332483968390704</v>
      </c>
      <c r="AN5336">
        <v>1.000000039766</v>
      </c>
    </row>
    <row r="5337" spans="1:40" x14ac:dyDescent="0.25">
      <c r="A5337" t="str">
        <f>"20190312161122264"</f>
        <v>20190312161122264</v>
      </c>
      <c r="B5337" t="str">
        <f>"1552378282252553"</f>
        <v>1552378282252553</v>
      </c>
      <c r="C5337" t="s">
        <v>40</v>
      </c>
      <c r="D5337">
        <v>5.2691089999999896</v>
      </c>
      <c r="E5337">
        <v>0.51946729999999997</v>
      </c>
      <c r="F5337" t="s">
        <v>41</v>
      </c>
      <c r="G5337">
        <v>-352.6773</v>
      </c>
      <c r="H5337" s="1">
        <v>-4.1358110000000004E-6</v>
      </c>
      <c r="I5337">
        <v>13.9104799999999</v>
      </c>
      <c r="J5337">
        <v>-385.56779999999998</v>
      </c>
      <c r="K5337">
        <v>1.110555</v>
      </c>
      <c r="L5337">
        <v>17.339230000000001</v>
      </c>
      <c r="M5337">
        <v>0.99969379999999997</v>
      </c>
      <c r="N5337">
        <v>0</v>
      </c>
      <c r="O5337">
        <v>-2.279608E-2</v>
      </c>
      <c r="P5337">
        <v>0.99863080000000004</v>
      </c>
      <c r="Q5337">
        <v>-1.908645E-3</v>
      </c>
      <c r="R5337">
        <v>-5.2280279999999998E-2</v>
      </c>
      <c r="S5337">
        <v>2.9875180000000001</v>
      </c>
      <c r="T5337">
        <v>-0.1003124</v>
      </c>
      <c r="U5337">
        <v>-0.3099365</v>
      </c>
      <c r="V5337">
        <v>2.9487639999999999E-2</v>
      </c>
      <c r="W5337">
        <v>7.7698100000000003E-3</v>
      </c>
      <c r="X5337">
        <v>0.99953499999999995</v>
      </c>
      <c r="Y5337">
        <v>8.0455600000000002E-2</v>
      </c>
      <c r="Z5337">
        <v>-5.8381679999999997E-4</v>
      </c>
      <c r="AA5337">
        <v>0.99675800000000003</v>
      </c>
      <c r="AB5337">
        <v>19</v>
      </c>
      <c r="AC5337">
        <v>32.890499999999903</v>
      </c>
      <c r="AD5337">
        <v>-1.1105591358110001</v>
      </c>
      <c r="AE5337">
        <v>-3.42875</v>
      </c>
      <c r="AF5337">
        <v>2.6750326906585</v>
      </c>
      <c r="AG5337">
        <v>-1.1105591358110001</v>
      </c>
      <c r="AH5337">
        <v>32.922985898975803</v>
      </c>
      <c r="AI5337">
        <v>91.925629375703807</v>
      </c>
      <c r="AJ5337">
        <v>85.354852269443299</v>
      </c>
      <c r="AK5337">
        <v>33.050145869487302</v>
      </c>
      <c r="AL5337">
        <v>89.554818223874506</v>
      </c>
      <c r="AM5337">
        <v>88.310186807213697</v>
      </c>
      <c r="AN5337">
        <v>1.0000000535425999</v>
      </c>
    </row>
    <row r="5338" spans="1:40" x14ac:dyDescent="0.25">
      <c r="A5338" t="str">
        <f>"20190312161122285"</f>
        <v>20190312161122285</v>
      </c>
      <c r="B5338" t="str">
        <f>"1552378282272069"</f>
        <v>1552378282272069</v>
      </c>
      <c r="C5338" t="s">
        <v>40</v>
      </c>
      <c r="D5338">
        <v>5.2055339999999903</v>
      </c>
      <c r="E5338">
        <v>0.51966570000000001</v>
      </c>
      <c r="F5338" t="s">
        <v>41</v>
      </c>
      <c r="G5338">
        <v>-353.3981</v>
      </c>
      <c r="H5338" s="1">
        <v>-3.8067400000000002E-6</v>
      </c>
      <c r="I5338">
        <v>14.0224299999999</v>
      </c>
      <c r="J5338">
        <v>-385.39139999999998</v>
      </c>
      <c r="K5338">
        <v>1.1105339999999999</v>
      </c>
      <c r="L5338">
        <v>17.336879999999901</v>
      </c>
      <c r="M5338">
        <v>0.99972539999999999</v>
      </c>
      <c r="N5338">
        <v>0</v>
      </c>
      <c r="O5338">
        <v>-2.1398670000000002E-2</v>
      </c>
      <c r="P5338">
        <v>0.99870720000000002</v>
      </c>
      <c r="Q5338">
        <v>-2.2681559999999999E-3</v>
      </c>
      <c r="R5338">
        <v>-5.0785940000000002E-2</v>
      </c>
      <c r="S5338">
        <v>2.9877929999999999</v>
      </c>
      <c r="T5338">
        <v>-0.1031444</v>
      </c>
      <c r="U5338">
        <v>-0.3080444</v>
      </c>
      <c r="V5338">
        <v>2.9390119999999999E-2</v>
      </c>
      <c r="W5338">
        <v>7.3440049999999998E-3</v>
      </c>
      <c r="X5338">
        <v>0.99954100000000001</v>
      </c>
      <c r="Y5338">
        <v>8.1211809999999995E-2</v>
      </c>
      <c r="Z5338">
        <v>-6.6133380000000001E-4</v>
      </c>
      <c r="AA5338">
        <v>0.99669669999999999</v>
      </c>
      <c r="AB5338">
        <v>19</v>
      </c>
      <c r="AC5338">
        <v>31.993299999999898</v>
      </c>
      <c r="AD5338">
        <v>-1.11053780673999</v>
      </c>
      <c r="AE5338">
        <v>-3.3144499999999901</v>
      </c>
      <c r="AF5338">
        <v>2.6259153473970298</v>
      </c>
      <c r="AG5338">
        <v>-1.11053780673999</v>
      </c>
      <c r="AH5338">
        <v>32.018732133970403</v>
      </c>
      <c r="AI5338">
        <v>91.979809132428301</v>
      </c>
      <c r="AJ5338">
        <v>85.311559927586401</v>
      </c>
      <c r="AK5338">
        <v>32.145418539798797</v>
      </c>
      <c r="AL5338">
        <v>89.579215710321904</v>
      </c>
      <c r="AM5338">
        <v>88.315782150262805</v>
      </c>
      <c r="AN5338">
        <v>0.99999996212202602</v>
      </c>
    </row>
    <row r="5339" spans="1:40" x14ac:dyDescent="0.25">
      <c r="A5339" t="str">
        <f>"20190312161122310"</f>
        <v>20190312161122310</v>
      </c>
      <c r="B5339" t="str">
        <f>"1552378282302325"</f>
        <v>1552378282302325</v>
      </c>
      <c r="C5339" t="s">
        <v>40</v>
      </c>
      <c r="D5339">
        <v>5.1921989999999996</v>
      </c>
      <c r="E5339">
        <v>0.5199705</v>
      </c>
      <c r="F5339" t="s">
        <v>41</v>
      </c>
      <c r="G5339">
        <v>-353.32319999999999</v>
      </c>
      <c r="H5339" s="1">
        <v>-3.8320080000000001E-6</v>
      </c>
      <c r="I5339">
        <v>14.06104</v>
      </c>
      <c r="J5339">
        <v>-385.18920000000003</v>
      </c>
      <c r="K5339">
        <v>1.1105179999999999</v>
      </c>
      <c r="L5339">
        <v>17.334440000000001</v>
      </c>
      <c r="M5339">
        <v>0.99975849999999999</v>
      </c>
      <c r="N5339">
        <v>0</v>
      </c>
      <c r="O5339">
        <v>-1.9819659999999999E-2</v>
      </c>
      <c r="P5339">
        <v>0.99881180000000003</v>
      </c>
      <c r="Q5339">
        <v>-2.275947E-3</v>
      </c>
      <c r="R5339">
        <v>-4.8683169999999998E-2</v>
      </c>
      <c r="S5339">
        <v>2.9881289999999998</v>
      </c>
      <c r="T5339">
        <v>-0.10348060000000001</v>
      </c>
      <c r="U5339">
        <v>-0.30523679999999997</v>
      </c>
      <c r="V5339">
        <v>2.886447E-2</v>
      </c>
      <c r="W5339">
        <v>7.2658059999999997E-3</v>
      </c>
      <c r="X5339">
        <v>0.99955689999999997</v>
      </c>
      <c r="Y5339">
        <v>8.1846340000000004E-2</v>
      </c>
      <c r="Z5339">
        <v>-7.2888849999999997E-4</v>
      </c>
      <c r="AA5339">
        <v>0.99664470000000005</v>
      </c>
      <c r="AB5339">
        <v>19</v>
      </c>
      <c r="AC5339">
        <v>31.866</v>
      </c>
      <c r="AD5339">
        <v>-1.1105218320079999</v>
      </c>
      <c r="AE5339">
        <v>-3.2734000000000001</v>
      </c>
      <c r="AF5339">
        <v>2.6379848154951802</v>
      </c>
      <c r="AG5339">
        <v>-1.1105218320079999</v>
      </c>
      <c r="AH5339">
        <v>31.8862989629475</v>
      </c>
      <c r="AI5339">
        <v>91.987879832601195</v>
      </c>
      <c r="AJ5339">
        <v>85.270634205860802</v>
      </c>
      <c r="AK5339">
        <v>32.014501154642701</v>
      </c>
      <c r="AL5339">
        <v>89.583696307210801</v>
      </c>
      <c r="AM5339">
        <v>88.345914238592599</v>
      </c>
      <c r="AN5339">
        <v>0.99999997295140897</v>
      </c>
    </row>
    <row r="5340" spans="1:40" x14ac:dyDescent="0.25">
      <c r="A5340" t="str">
        <f>"20190312161122332"</f>
        <v>20190312161122332</v>
      </c>
      <c r="B5340" t="str">
        <f>"1552378282322821"</f>
        <v>1552378282322821</v>
      </c>
      <c r="C5340" t="s">
        <v>40</v>
      </c>
      <c r="D5340">
        <v>5.1844519999999896</v>
      </c>
      <c r="E5340">
        <v>0.52017840000000004</v>
      </c>
      <c r="F5340" t="s">
        <v>41</v>
      </c>
      <c r="G5340">
        <v>-352.55090000000001</v>
      </c>
      <c r="H5340" s="1">
        <v>-4.1664730000000001E-6</v>
      </c>
      <c r="I5340">
        <v>14.04327</v>
      </c>
      <c r="J5340">
        <v>-384.99970000000002</v>
      </c>
      <c r="K5340">
        <v>1.1105100000000001</v>
      </c>
      <c r="L5340">
        <v>17.3324</v>
      </c>
      <c r="M5340">
        <v>0.99978699999999998</v>
      </c>
      <c r="N5340">
        <v>0</v>
      </c>
      <c r="O5340">
        <v>-1.8358909999999999E-2</v>
      </c>
      <c r="P5340">
        <v>0.99892959999999997</v>
      </c>
      <c r="Q5340">
        <v>-2.252754E-3</v>
      </c>
      <c r="R5340">
        <v>-4.6204870000000002E-2</v>
      </c>
      <c r="S5340">
        <v>2.9886469999999998</v>
      </c>
      <c r="T5340">
        <v>-0.1016895</v>
      </c>
      <c r="U5340">
        <v>-0.30136109999999999</v>
      </c>
      <c r="V5340">
        <v>2.7844959999999998E-2</v>
      </c>
      <c r="W5340">
        <v>7.2233699999999998E-3</v>
      </c>
      <c r="X5340">
        <v>0.99958619999999998</v>
      </c>
      <c r="Y5340">
        <v>8.200607E-2</v>
      </c>
      <c r="Z5340">
        <v>-7.6844499999999998E-4</v>
      </c>
      <c r="AA5340">
        <v>0.99663159999999895</v>
      </c>
      <c r="AB5340">
        <v>19</v>
      </c>
      <c r="AC5340">
        <v>32.448799999999999</v>
      </c>
      <c r="AD5340">
        <v>-1.1105141664730001</v>
      </c>
      <c r="AE5340">
        <v>-3.2891299999999899</v>
      </c>
      <c r="AF5340">
        <v>2.6897062331717199</v>
      </c>
      <c r="AG5340">
        <v>-1.1105141664730001</v>
      </c>
      <c r="AH5340">
        <v>32.4660788696997</v>
      </c>
      <c r="AI5340">
        <v>91.952375934701394</v>
      </c>
      <c r="AJ5340">
        <v>85.2640513825298</v>
      </c>
      <c r="AK5340">
        <v>32.5962273661886</v>
      </c>
      <c r="AL5340">
        <v>89.586127804624198</v>
      </c>
      <c r="AM5340">
        <v>88.404353508625704</v>
      </c>
      <c r="AN5340">
        <v>1.00000004505099</v>
      </c>
    </row>
    <row r="5341" spans="1:40" x14ac:dyDescent="0.25">
      <c r="A5341" t="str">
        <f>"20190312161122354"</f>
        <v>20190312161122354</v>
      </c>
      <c r="B5341" t="str">
        <f>"1552378282342345"</f>
        <v>1552378282342345</v>
      </c>
      <c r="C5341" t="s">
        <v>40</v>
      </c>
      <c r="D5341">
        <v>5.0988350000000002</v>
      </c>
      <c r="E5341">
        <v>0.52048709999999998</v>
      </c>
      <c r="F5341" t="s">
        <v>41</v>
      </c>
      <c r="G5341">
        <v>-353.15499999999997</v>
      </c>
      <c r="H5341" s="1">
        <v>-3.8821800000000002E-6</v>
      </c>
      <c r="I5341">
        <v>14.185040000000001</v>
      </c>
      <c r="J5341">
        <v>-384.81549999999999</v>
      </c>
      <c r="K5341">
        <v>1.1105039999999999</v>
      </c>
      <c r="L5341">
        <v>17.330719999999999</v>
      </c>
      <c r="M5341">
        <v>0.99981240000000005</v>
      </c>
      <c r="N5341">
        <v>0</v>
      </c>
      <c r="O5341">
        <v>-1.695609E-2</v>
      </c>
      <c r="P5341">
        <v>0.99902539999999995</v>
      </c>
      <c r="Q5341">
        <v>-1.9486429999999999E-3</v>
      </c>
      <c r="R5341">
        <v>-4.4099050000000001E-2</v>
      </c>
      <c r="S5341">
        <v>2.9893190000000001</v>
      </c>
      <c r="T5341">
        <v>-0.10424600000000001</v>
      </c>
      <c r="U5341">
        <v>-0.2954407</v>
      </c>
      <c r="V5341">
        <v>2.7140020000000001E-2</v>
      </c>
      <c r="W5341">
        <v>7.4646419999999996E-3</v>
      </c>
      <c r="X5341">
        <v>0.99960369999999998</v>
      </c>
      <c r="Y5341">
        <v>8.1425380000000006E-2</v>
      </c>
      <c r="Z5341">
        <v>-8.2631580000000005E-4</v>
      </c>
      <c r="AA5341">
        <v>0.99667910000000004</v>
      </c>
      <c r="AB5341">
        <v>19</v>
      </c>
      <c r="AC5341">
        <v>31.660499999999999</v>
      </c>
      <c r="AD5341">
        <v>-1.1105078821799901</v>
      </c>
      <c r="AE5341">
        <v>-3.14568</v>
      </c>
      <c r="AF5341">
        <v>2.6051920920708298</v>
      </c>
      <c r="AG5341">
        <v>-1.1105078821799901</v>
      </c>
      <c r="AH5341">
        <v>31.670705414390898</v>
      </c>
      <c r="AI5341">
        <v>92.001453317820904</v>
      </c>
      <c r="AJ5341">
        <v>85.2975091823197</v>
      </c>
      <c r="AK5341">
        <v>31.797072743227499</v>
      </c>
      <c r="AL5341">
        <v>89.572303515589496</v>
      </c>
      <c r="AM5341">
        <v>88.444756985605395</v>
      </c>
      <c r="AN5341">
        <v>0.99999992930973602</v>
      </c>
    </row>
    <row r="5342" spans="1:40" x14ac:dyDescent="0.25">
      <c r="A5342" t="str">
        <f>"20190312161122374"</f>
        <v>20190312161122374</v>
      </c>
      <c r="B5342" t="str">
        <f>"1552378282362838"</f>
        <v>1552378282362838</v>
      </c>
      <c r="C5342" t="s">
        <v>40</v>
      </c>
      <c r="D5342">
        <v>5.0978779999999997</v>
      </c>
      <c r="E5342">
        <v>0.52079370000000003</v>
      </c>
      <c r="F5342" t="s">
        <v>41</v>
      </c>
      <c r="G5342">
        <v>-353.59899999999999</v>
      </c>
      <c r="H5342" s="1">
        <v>-3.6736840000000001E-6</v>
      </c>
      <c r="I5342">
        <v>14.28679</v>
      </c>
      <c r="J5342">
        <v>-384.63799999999998</v>
      </c>
      <c r="K5342">
        <v>1.11049</v>
      </c>
      <c r="L5342">
        <v>17.329249999999998</v>
      </c>
      <c r="M5342">
        <v>0.99983469999999997</v>
      </c>
      <c r="N5342">
        <v>0</v>
      </c>
      <c r="O5342">
        <v>-1.5621370000000001E-2</v>
      </c>
      <c r="P5342">
        <v>0.99911119999999998</v>
      </c>
      <c r="Q5342">
        <v>-2.0675789999999999E-3</v>
      </c>
      <c r="R5342">
        <v>-4.2102800000000003E-2</v>
      </c>
      <c r="S5342">
        <v>2.989868</v>
      </c>
      <c r="T5342">
        <v>-0.1063627</v>
      </c>
      <c r="U5342">
        <v>-0.29153440000000003</v>
      </c>
      <c r="V5342">
        <v>2.6477649999999998E-2</v>
      </c>
      <c r="W5342">
        <v>7.2848790000000002E-3</v>
      </c>
      <c r="X5342">
        <v>0.99962289999999998</v>
      </c>
      <c r="Y5342">
        <v>8.1445820000000002E-2</v>
      </c>
      <c r="Z5342">
        <v>-8.9067759999999997E-4</v>
      </c>
      <c r="AA5342">
        <v>0.99667740000000005</v>
      </c>
      <c r="AB5342">
        <v>19</v>
      </c>
      <c r="AC5342">
        <v>31.039000000000001</v>
      </c>
      <c r="AD5342">
        <v>-1.1104936736840001</v>
      </c>
      <c r="AE5342">
        <v>-3.04245999999999</v>
      </c>
      <c r="AF5342">
        <v>2.55395803084865</v>
      </c>
      <c r="AG5342">
        <v>-1.1104936736840001</v>
      </c>
      <c r="AH5342">
        <v>31.043383713669201</v>
      </c>
      <c r="AI5342">
        <v>92.041836514345405</v>
      </c>
      <c r="AJ5342">
        <v>85.296833392852307</v>
      </c>
      <c r="AK5342">
        <v>31.1680536802786</v>
      </c>
      <c r="AL5342">
        <v>89.582603503344799</v>
      </c>
      <c r="AM5342">
        <v>88.482724876522298</v>
      </c>
      <c r="AN5342">
        <v>1.0000000388079799</v>
      </c>
    </row>
    <row r="5343" spans="1:40" x14ac:dyDescent="0.25">
      <c r="A5343" t="str">
        <f>"20190312161122397"</f>
        <v>20190312161122397</v>
      </c>
      <c r="B5343" t="str">
        <f>"1552378282392131"</f>
        <v>1552378282392131</v>
      </c>
      <c r="C5343" t="s">
        <v>40</v>
      </c>
      <c r="D5343">
        <v>5.0465239999999998</v>
      </c>
      <c r="E5343">
        <v>0.52090950000000003</v>
      </c>
      <c r="F5343" t="s">
        <v>41</v>
      </c>
      <c r="G5343">
        <v>-353.64269999999999</v>
      </c>
      <c r="H5343" s="1">
        <v>-3.644983E-6</v>
      </c>
      <c r="I5343">
        <v>14.34276</v>
      </c>
      <c r="J5343">
        <v>-384.44639999999998</v>
      </c>
      <c r="K5343">
        <v>1.110476</v>
      </c>
      <c r="L5343">
        <v>17.327939999999899</v>
      </c>
      <c r="M5343">
        <v>0.99985639999999998</v>
      </c>
      <c r="N5343">
        <v>0</v>
      </c>
      <c r="O5343">
        <v>-1.420225E-2</v>
      </c>
      <c r="P5343">
        <v>0.99920229999999999</v>
      </c>
      <c r="Q5343">
        <v>-2.4673899999999999E-3</v>
      </c>
      <c r="R5343">
        <v>-3.986083E-2</v>
      </c>
      <c r="S5343">
        <v>2.9902950000000001</v>
      </c>
      <c r="T5343">
        <v>-0.10713590000000001</v>
      </c>
      <c r="U5343">
        <v>-0.2881165</v>
      </c>
      <c r="V5343">
        <v>2.565402E-2</v>
      </c>
      <c r="W5343">
        <v>6.8185440000000002E-3</v>
      </c>
      <c r="X5343">
        <v>0.99964759999999997</v>
      </c>
      <c r="Y5343">
        <v>8.171639E-2</v>
      </c>
      <c r="Z5343">
        <v>-9.5259330000000005E-4</v>
      </c>
      <c r="AA5343">
        <v>0.99665519999999996</v>
      </c>
      <c r="AB5343">
        <v>19</v>
      </c>
      <c r="AC5343">
        <v>30.8036999999999</v>
      </c>
      <c r="AD5343">
        <v>-1.1104796449829999</v>
      </c>
      <c r="AE5343">
        <v>-2.98517999999999</v>
      </c>
      <c r="AF5343">
        <v>2.5441027545518198</v>
      </c>
      <c r="AG5343">
        <v>-1.1104796449829999</v>
      </c>
      <c r="AH5343">
        <v>30.803330979664398</v>
      </c>
      <c r="AI5343">
        <v>92.057655037976104</v>
      </c>
      <c r="AJ5343">
        <v>85.278554234662707</v>
      </c>
      <c r="AK5343">
        <v>30.928155834294301</v>
      </c>
      <c r="AL5343">
        <v>89.609323168424098</v>
      </c>
      <c r="AM5343">
        <v>88.529937430265207</v>
      </c>
      <c r="AN5343">
        <v>0.999999972735099</v>
      </c>
    </row>
    <row r="5344" spans="1:40" x14ac:dyDescent="0.25">
      <c r="A5344" t="str">
        <f>"20190312161122420"</f>
        <v>20190312161122420</v>
      </c>
      <c r="B5344" t="str">
        <f>"1552378282412613"</f>
        <v>1552378282412613</v>
      </c>
      <c r="C5344" t="s">
        <v>40</v>
      </c>
      <c r="D5344">
        <v>4.7023279999999996</v>
      </c>
      <c r="E5344">
        <v>0.52115889999999998</v>
      </c>
      <c r="F5344" t="s">
        <v>41</v>
      </c>
      <c r="G5344">
        <v>-354.25810000000001</v>
      </c>
      <c r="H5344" s="1">
        <v>-3.357008E-6</v>
      </c>
      <c r="I5344">
        <v>14.477980000000001</v>
      </c>
      <c r="J5344">
        <v>-384.25490000000002</v>
      </c>
      <c r="K5344">
        <v>1.110463</v>
      </c>
      <c r="L5344">
        <v>17.32687</v>
      </c>
      <c r="M5344">
        <v>0.99987599999999999</v>
      </c>
      <c r="N5344">
        <v>0</v>
      </c>
      <c r="O5344">
        <v>-1.280714E-2</v>
      </c>
      <c r="P5344">
        <v>0.99924610000000003</v>
      </c>
      <c r="Q5344">
        <v>-3.0756759999999998E-3</v>
      </c>
      <c r="R5344">
        <v>-3.8705410000000003E-2</v>
      </c>
      <c r="S5344">
        <v>2.990875</v>
      </c>
      <c r="T5344">
        <v>-0.1100196</v>
      </c>
      <c r="U5344">
        <v>-0.28234860000000001</v>
      </c>
      <c r="V5344">
        <v>2.5894380000000002E-2</v>
      </c>
      <c r="W5344">
        <v>6.1471709999999999E-3</v>
      </c>
      <c r="X5344">
        <v>0.99964580000000003</v>
      </c>
      <c r="Y5344">
        <v>8.1180950000000002E-2</v>
      </c>
      <c r="Z5344">
        <v>-1.0194640000000001E-3</v>
      </c>
      <c r="AA5344">
        <v>0.99669890000000005</v>
      </c>
      <c r="AB5344">
        <v>19</v>
      </c>
      <c r="AC5344">
        <v>29.9968</v>
      </c>
      <c r="AD5344">
        <v>-1.110466357008</v>
      </c>
      <c r="AE5344">
        <v>-2.8488899999999999</v>
      </c>
      <c r="AF5344">
        <v>2.4611243033981101</v>
      </c>
      <c r="AG5344">
        <v>-1.110466357008</v>
      </c>
      <c r="AH5344">
        <v>29.990094964784099</v>
      </c>
      <c r="AI5344">
        <v>92.113467939796394</v>
      </c>
      <c r="AJ5344">
        <v>85.308559187110305</v>
      </c>
      <c r="AK5344">
        <v>30.111394261368801</v>
      </c>
      <c r="AL5344">
        <v>89.647790833184899</v>
      </c>
      <c r="AM5344">
        <v>88.516167443501203</v>
      </c>
      <c r="AN5344">
        <v>1.00000001604226</v>
      </c>
    </row>
    <row r="5345" spans="1:40" x14ac:dyDescent="0.25">
      <c r="A5345" t="str">
        <f>"20190312161122464"</f>
        <v>20190312161122464</v>
      </c>
      <c r="B5345" t="str">
        <f>"1552378282452633"</f>
        <v>1552378282452633</v>
      </c>
      <c r="C5345" t="s">
        <v>40</v>
      </c>
      <c r="D5345">
        <v>7.9134770000000003</v>
      </c>
      <c r="E5345">
        <v>0.52125129999999997</v>
      </c>
      <c r="F5345" t="s">
        <v>41</v>
      </c>
      <c r="G5345">
        <v>-355.18400000000003</v>
      </c>
      <c r="H5345" s="1">
        <v>-2.9601930000000001E-6</v>
      </c>
      <c r="I5345">
        <v>14.59796</v>
      </c>
      <c r="J5345">
        <v>-383.87920000000003</v>
      </c>
      <c r="K5345">
        <v>1.1104309999999999</v>
      </c>
      <c r="L5345">
        <v>17.325410000000002</v>
      </c>
      <c r="M5345">
        <v>0.99990760000000001</v>
      </c>
      <c r="N5345">
        <v>0</v>
      </c>
      <c r="O5345">
        <v>-1.015045E-2</v>
      </c>
      <c r="P5345">
        <v>0.99930410000000003</v>
      </c>
      <c r="Q5345">
        <v>-1.5008020000000001E-3</v>
      </c>
      <c r="R5345">
        <v>-3.7274799999999997E-2</v>
      </c>
      <c r="S5345">
        <v>2.991028</v>
      </c>
      <c r="T5345">
        <v>-0.1142529</v>
      </c>
      <c r="U5345">
        <v>-0.2807617</v>
      </c>
      <c r="V5345">
        <v>2.7117229999999999E-2</v>
      </c>
      <c r="W5345">
        <v>7.5952909999999997E-3</v>
      </c>
      <c r="X5345">
        <v>0.99960340000000003</v>
      </c>
      <c r="Y5345">
        <v>8.3293010000000001E-2</v>
      </c>
      <c r="Z5345">
        <v>-1.2000649999999999E-3</v>
      </c>
      <c r="AA5345">
        <v>0.99652439999999998</v>
      </c>
      <c r="AB5345">
        <v>19</v>
      </c>
      <c r="AC5345">
        <v>28.6952</v>
      </c>
      <c r="AD5345">
        <v>-1.110433960193</v>
      </c>
      <c r="AE5345">
        <v>-2.7274500000000002</v>
      </c>
      <c r="AF5345">
        <v>2.4324184430318998</v>
      </c>
      <c r="AG5345">
        <v>-1.110433960193</v>
      </c>
      <c r="AH5345">
        <v>28.678845496274398</v>
      </c>
      <c r="AI5345">
        <v>92.209438187893795</v>
      </c>
      <c r="AJ5345">
        <v>85.152016970278297</v>
      </c>
      <c r="AK5345">
        <v>28.803227285516598</v>
      </c>
      <c r="AL5345">
        <v>89.564817695095002</v>
      </c>
      <c r="AM5345">
        <v>88.446061846531606</v>
      </c>
      <c r="AN5345">
        <v>0.99999999494990299</v>
      </c>
    </row>
    <row r="5346" spans="1:40" x14ac:dyDescent="0.25">
      <c r="A5346" t="str">
        <f>"20190312161122486"</f>
        <v>20190312161122486</v>
      </c>
      <c r="B5346" t="str">
        <f>"1552378282481910"</f>
        <v>1552378282481910</v>
      </c>
      <c r="C5346" t="s">
        <v>40</v>
      </c>
      <c r="D5346">
        <v>5.1473519999999997</v>
      </c>
      <c r="E5346">
        <v>0.55408269999999904</v>
      </c>
      <c r="F5346" t="s">
        <v>41</v>
      </c>
      <c r="G5346">
        <v>-355.09399999999999</v>
      </c>
      <c r="H5346" s="1">
        <v>-2.97433E-6</v>
      </c>
      <c r="I5346">
        <v>14.659940000000001</v>
      </c>
      <c r="J5346">
        <v>-383.68700000000001</v>
      </c>
      <c r="K5346">
        <v>1.1104149999999999</v>
      </c>
      <c r="L5346">
        <v>17.325009999999999</v>
      </c>
      <c r="M5346">
        <v>0.99992049999999999</v>
      </c>
      <c r="N5346">
        <v>0</v>
      </c>
      <c r="O5346">
        <v>-8.8401049999999991E-3</v>
      </c>
      <c r="P5346">
        <v>0.9993455</v>
      </c>
      <c r="Q5346">
        <v>-1.422137E-3</v>
      </c>
      <c r="R5346">
        <v>-3.6145789999999997E-2</v>
      </c>
      <c r="S5346">
        <v>2.9915769999999999</v>
      </c>
      <c r="T5346">
        <v>-0.1154051</v>
      </c>
      <c r="U5346">
        <v>-0.27700809999999998</v>
      </c>
      <c r="V5346">
        <v>2.7298010000000001E-2</v>
      </c>
      <c r="W5346">
        <v>7.6057819999999898E-3</v>
      </c>
      <c r="X5346">
        <v>0.9995984</v>
      </c>
      <c r="Y5346">
        <v>8.3340220000000007E-2</v>
      </c>
      <c r="Z5346">
        <v>-1.2633270000000001E-3</v>
      </c>
      <c r="AA5346">
        <v>0.99652030000000003</v>
      </c>
      <c r="AB5346">
        <v>19</v>
      </c>
      <c r="AC5346">
        <v>28.5929999999999</v>
      </c>
      <c r="AD5346">
        <v>-1.11041797433</v>
      </c>
      <c r="AE5346">
        <v>-2.6650700000000001</v>
      </c>
      <c r="AF5346">
        <v>2.4085892124910599</v>
      </c>
      <c r="AG5346">
        <v>-1.11041797433</v>
      </c>
      <c r="AH5346">
        <v>28.572721410271999</v>
      </c>
      <c r="AI5346">
        <v>92.217700883495993</v>
      </c>
      <c r="AJ5346">
        <v>85.181540372005003</v>
      </c>
      <c r="AK5346">
        <v>28.695552597245101</v>
      </c>
      <c r="AL5346">
        <v>89.564216587848605</v>
      </c>
      <c r="AM5346">
        <v>88.435699656189897</v>
      </c>
      <c r="AN5346">
        <v>0.999999995276175</v>
      </c>
    </row>
    <row r="5347" spans="1:40" x14ac:dyDescent="0.25">
      <c r="A5347" t="str">
        <f>"20190312161122510"</f>
        <v>20190312161122510</v>
      </c>
      <c r="B5347" t="str">
        <f>"1552378282502405"</f>
        <v>1552378282502405</v>
      </c>
      <c r="C5347" t="s">
        <v>40</v>
      </c>
      <c r="D5347">
        <v>5.0493569999999997</v>
      </c>
      <c r="E5347">
        <v>0.55704030000000004</v>
      </c>
      <c r="F5347" t="s">
        <v>98</v>
      </c>
      <c r="G5347">
        <v>-368.53769999999997</v>
      </c>
      <c r="H5347" s="1">
        <v>-1.8902619999999999E-6</v>
      </c>
      <c r="I5347">
        <v>14.62416</v>
      </c>
      <c r="J5347">
        <v>-383.48009999999999</v>
      </c>
      <c r="K5347">
        <v>1.1103959999999999</v>
      </c>
      <c r="L5347">
        <v>17.324829999999999</v>
      </c>
      <c r="M5347">
        <v>0.9999323</v>
      </c>
      <c r="N5347">
        <v>0</v>
      </c>
      <c r="O5347">
        <v>-7.4647940000000003E-3</v>
      </c>
      <c r="P5347">
        <v>0.99937209999999999</v>
      </c>
      <c r="Q5347">
        <v>-1.160597E-3</v>
      </c>
      <c r="R5347">
        <v>-3.5413439999999997E-2</v>
      </c>
      <c r="S5347">
        <v>2.9823909999999998</v>
      </c>
      <c r="T5347">
        <v>-0.21860399999999999</v>
      </c>
      <c r="U5347">
        <v>-0.53170779999999995</v>
      </c>
      <c r="V5347">
        <v>2.794017E-2</v>
      </c>
      <c r="W5347">
        <v>7.801756E-3</v>
      </c>
      <c r="X5347">
        <v>0.99957910000000005</v>
      </c>
      <c r="Y5347">
        <v>0.16774410000000001</v>
      </c>
      <c r="Z5347">
        <v>-5.5495079999999999E-3</v>
      </c>
      <c r="AA5347">
        <v>0.98581490000000005</v>
      </c>
      <c r="AB5347">
        <v>19</v>
      </c>
      <c r="AC5347">
        <v>14.942399999999999</v>
      </c>
      <c r="AD5347">
        <v>-1.110397890262</v>
      </c>
      <c r="AE5347">
        <v>-2.7006699999999899</v>
      </c>
      <c r="AF5347">
        <v>2.5752768936236898</v>
      </c>
      <c r="AG5347">
        <v>-1.110397890262</v>
      </c>
      <c r="AH5347">
        <v>14.8825588685831</v>
      </c>
      <c r="AI5347">
        <v>94.204714182288001</v>
      </c>
      <c r="AJ5347">
        <v>80.182757466941297</v>
      </c>
      <c r="AK5347">
        <v>15.1444905173588</v>
      </c>
      <c r="AL5347">
        <v>89.552987750710201</v>
      </c>
      <c r="AM5347">
        <v>88.398888998552806</v>
      </c>
      <c r="AN5347">
        <v>0.99999994882655996</v>
      </c>
    </row>
    <row r="5348" spans="1:40" x14ac:dyDescent="0.25">
      <c r="A5348" t="str">
        <f>"20190312161122533"</f>
        <v>20190312161122533</v>
      </c>
      <c r="B5348" t="str">
        <f>"1552378282521928"</f>
        <v>1552378282521928</v>
      </c>
      <c r="C5348" t="s">
        <v>40</v>
      </c>
      <c r="D5348">
        <v>5.0897319999999997</v>
      </c>
      <c r="E5348">
        <v>0.55552599999999996</v>
      </c>
      <c r="F5348" t="s">
        <v>41</v>
      </c>
      <c r="G5348">
        <v>-353.16059999999999</v>
      </c>
      <c r="H5348" s="1">
        <v>-4.4308549999999996E-6</v>
      </c>
      <c r="I5348">
        <v>11.658670000000001</v>
      </c>
      <c r="J5348">
        <v>-383.2783</v>
      </c>
      <c r="K5348">
        <v>1.1103829999999999</v>
      </c>
      <c r="L5348">
        <v>17.324860000000001</v>
      </c>
      <c r="M5348">
        <v>0.99994179999999999</v>
      </c>
      <c r="N5348">
        <v>0</v>
      </c>
      <c r="O5348">
        <v>-6.1510019999999896E-3</v>
      </c>
      <c r="P5348">
        <v>0.99938499999999997</v>
      </c>
      <c r="Q5348">
        <v>-1.24358E-3</v>
      </c>
      <c r="R5348">
        <v>-3.5045529999999998E-2</v>
      </c>
      <c r="S5348">
        <v>2.982056</v>
      </c>
      <c r="T5348">
        <v>-0.1092125</v>
      </c>
      <c r="U5348">
        <v>-0.55728149999999999</v>
      </c>
      <c r="V5348">
        <v>2.8886040000000002E-2</v>
      </c>
      <c r="W5348">
        <v>7.6634769999999897E-3</v>
      </c>
      <c r="X5348">
        <v>0.99955329999999998</v>
      </c>
      <c r="Y5348">
        <v>0.1775371</v>
      </c>
      <c r="Z5348">
        <v>-2.9988010000000002E-3</v>
      </c>
      <c r="AA5348">
        <v>0.98410949999999997</v>
      </c>
      <c r="AB5348">
        <v>19</v>
      </c>
      <c r="AC5348">
        <v>30.117699999999999</v>
      </c>
      <c r="AD5348">
        <v>-1.1103874308549999</v>
      </c>
      <c r="AE5348">
        <v>-5.6661900000000003</v>
      </c>
      <c r="AF5348">
        <v>5.4736356859861601</v>
      </c>
      <c r="AG5348">
        <v>-1.1103874308549999</v>
      </c>
      <c r="AH5348">
        <v>30.112452601961301</v>
      </c>
      <c r="AI5348">
        <v>92.077790332080198</v>
      </c>
      <c r="AJ5348">
        <v>79.697650526254904</v>
      </c>
      <c r="AK5348">
        <v>30.626025690168699</v>
      </c>
      <c r="AL5348">
        <v>89.560910798574398</v>
      </c>
      <c r="AM5348">
        <v>88.344672893224299</v>
      </c>
      <c r="AN5348">
        <v>0.99999996586374995</v>
      </c>
    </row>
    <row r="5349" spans="1:40" x14ac:dyDescent="0.25">
      <c r="A5349" t="str">
        <f>"20190312161122555"</f>
        <v>20190312161122555</v>
      </c>
      <c r="B5349" t="str">
        <f>"1552378282542422"</f>
        <v>1552378282542422</v>
      </c>
      <c r="C5349" t="s">
        <v>40</v>
      </c>
      <c r="D5349">
        <v>5.119173</v>
      </c>
      <c r="E5349">
        <v>0.55518970000000001</v>
      </c>
      <c r="F5349" t="s">
        <v>41</v>
      </c>
      <c r="G5349">
        <v>-347.7894</v>
      </c>
      <c r="H5349" s="1">
        <v>-3.0726579999999999E-6</v>
      </c>
      <c r="I5349">
        <v>10.843120000000001</v>
      </c>
      <c r="J5349">
        <v>-383.09449999999998</v>
      </c>
      <c r="K5349">
        <v>1.1103719999999999</v>
      </c>
      <c r="L5349">
        <v>17.325099999999999</v>
      </c>
      <c r="M5349">
        <v>0.99994870000000002</v>
      </c>
      <c r="N5349">
        <v>0</v>
      </c>
      <c r="O5349">
        <v>-4.9796770000000001E-3</v>
      </c>
      <c r="P5349">
        <v>0.99938249999999995</v>
      </c>
      <c r="Q5349">
        <v>-1.6166079999999901E-3</v>
      </c>
      <c r="R5349">
        <v>-3.5104919999999998E-2</v>
      </c>
      <c r="S5349">
        <v>2.982605</v>
      </c>
      <c r="T5349">
        <v>-9.3320490000000006E-2</v>
      </c>
      <c r="U5349">
        <v>-0.54473879999999997</v>
      </c>
      <c r="V5349">
        <v>3.0116899999999999E-2</v>
      </c>
      <c r="W5349">
        <v>7.243396E-3</v>
      </c>
      <c r="X5349">
        <v>0.99952010000000002</v>
      </c>
      <c r="Y5349">
        <v>0.17468520000000001</v>
      </c>
      <c r="Z5349">
        <v>-2.5552539999999999E-3</v>
      </c>
      <c r="AA5349">
        <v>0.98462099999999997</v>
      </c>
      <c r="AB5349">
        <v>19</v>
      </c>
      <c r="AC5349">
        <v>35.305099999999896</v>
      </c>
      <c r="AD5349">
        <v>-1.110375072658</v>
      </c>
      <c r="AE5349">
        <v>-6.4819800000000001</v>
      </c>
      <c r="AF5349">
        <v>6.3000562704199101</v>
      </c>
      <c r="AG5349">
        <v>-1.110375072658</v>
      </c>
      <c r="AH5349">
        <v>35.303160070799301</v>
      </c>
      <c r="AI5349">
        <v>91.773505230315806</v>
      </c>
      <c r="AJ5349">
        <v>79.881744687748295</v>
      </c>
      <c r="AK5349">
        <v>35.878081788146297</v>
      </c>
      <c r="AL5349">
        <v>89.584980335065296</v>
      </c>
      <c r="AM5349">
        <v>88.274122419771103</v>
      </c>
      <c r="AN5349">
        <v>0.99999996237761501</v>
      </c>
    </row>
    <row r="5350" spans="1:40" x14ac:dyDescent="0.25">
      <c r="A5350" t="str">
        <f>"20190312161122576"</f>
        <v>20190312161122576</v>
      </c>
      <c r="B5350" t="str">
        <f>"1552378282572678"</f>
        <v>1552378282572678</v>
      </c>
      <c r="C5350" t="s">
        <v>40</v>
      </c>
      <c r="D5350">
        <v>5.3347419999999897</v>
      </c>
      <c r="E5350">
        <v>0.55310819999999905</v>
      </c>
      <c r="F5350" t="s">
        <v>41</v>
      </c>
      <c r="G5350">
        <v>-340.69080000000002</v>
      </c>
      <c r="H5350">
        <v>6.038959E-2</v>
      </c>
      <c r="I5350">
        <v>9.6058760000000003</v>
      </c>
      <c r="J5350">
        <v>-382.90789999999998</v>
      </c>
      <c r="K5350">
        <v>1.110355</v>
      </c>
      <c r="L5350">
        <v>17.325530000000001</v>
      </c>
      <c r="M5350">
        <v>0.99995429999999996</v>
      </c>
      <c r="N5350">
        <v>0</v>
      </c>
      <c r="O5350">
        <v>-3.819093E-3</v>
      </c>
      <c r="P5350">
        <v>0.99938320000000003</v>
      </c>
      <c r="Q5350">
        <v>-1.3162180000000001E-3</v>
      </c>
      <c r="R5350">
        <v>-3.5091810000000001E-2</v>
      </c>
      <c r="S5350">
        <v>2.9826969999999999</v>
      </c>
      <c r="T5350">
        <v>-7.3856350000000001E-2</v>
      </c>
      <c r="U5350">
        <v>-0.54296880000000003</v>
      </c>
      <c r="V5350">
        <v>3.1263939999999997E-2</v>
      </c>
      <c r="W5350">
        <v>7.4946819999999999E-3</v>
      </c>
      <c r="X5350">
        <v>0.99948300000000001</v>
      </c>
      <c r="Y5350">
        <v>0.17528659999999999</v>
      </c>
      <c r="Z5350">
        <v>-2.0584029999999999E-3</v>
      </c>
      <c r="AA5350">
        <v>0.98451529999999998</v>
      </c>
      <c r="AB5350">
        <v>19</v>
      </c>
      <c r="AC5350">
        <v>42.217099999999903</v>
      </c>
      <c r="AD5350">
        <v>-1.04996541</v>
      </c>
      <c r="AE5350">
        <v>-7.7196539999999896</v>
      </c>
      <c r="AF5350">
        <v>7.55383923817962</v>
      </c>
      <c r="AG5350">
        <v>-1.04996541</v>
      </c>
      <c r="AH5350">
        <v>42.221004562588597</v>
      </c>
      <c r="AI5350">
        <v>91.402298581932698</v>
      </c>
      <c r="AJ5350">
        <v>79.856425907098497</v>
      </c>
      <c r="AK5350">
        <v>42.904267163914902</v>
      </c>
      <c r="AL5350">
        <v>89.570582304867401</v>
      </c>
      <c r="AM5350">
        <v>88.2083657965008</v>
      </c>
      <c r="AN5350">
        <v>0.99999993574580004</v>
      </c>
    </row>
    <row r="5351" spans="1:40" x14ac:dyDescent="0.25">
      <c r="A5351" t="str">
        <f>"20190312161122599"</f>
        <v>20190312161122599</v>
      </c>
      <c r="B5351" t="str">
        <f>"1552378282592198"</f>
        <v>1552378282592198</v>
      </c>
      <c r="C5351" t="s">
        <v>40</v>
      </c>
      <c r="D5351">
        <v>5.2539350000000002</v>
      </c>
      <c r="E5351">
        <v>0.55097450000000003</v>
      </c>
      <c r="F5351" t="s">
        <v>43</v>
      </c>
      <c r="G5351">
        <v>-303.43770000000001</v>
      </c>
      <c r="H5351">
        <v>-0.05</v>
      </c>
      <c r="I5351">
        <v>3.2754210000000001</v>
      </c>
      <c r="J5351">
        <v>-382.7054</v>
      </c>
      <c r="K5351">
        <v>1.1103289999999999</v>
      </c>
      <c r="L5351">
        <v>17.326229999999999</v>
      </c>
      <c r="M5351">
        <v>0.99995880000000004</v>
      </c>
      <c r="N5351">
        <v>0</v>
      </c>
      <c r="O5351">
        <v>-2.5939240000000001E-3</v>
      </c>
      <c r="P5351">
        <v>0.99941630000000004</v>
      </c>
      <c r="Q5351">
        <v>-1.431264E-3</v>
      </c>
      <c r="R5351">
        <v>-3.4130220000000003E-2</v>
      </c>
      <c r="S5351">
        <v>2.983276</v>
      </c>
      <c r="T5351">
        <v>-4.3559189999999998E-2</v>
      </c>
      <c r="U5351">
        <v>-0.52743530000000005</v>
      </c>
      <c r="V5351">
        <v>3.1527479999999997E-2</v>
      </c>
      <c r="W5351">
        <v>7.3230250000000004E-3</v>
      </c>
      <c r="X5351">
        <v>0.99947609999999998</v>
      </c>
      <c r="Y5351">
        <v>0.17152490000000001</v>
      </c>
      <c r="Z5351">
        <v>-1.204948E-3</v>
      </c>
      <c r="AA5351">
        <v>0.98517909999999997</v>
      </c>
      <c r="AB5351">
        <v>20</v>
      </c>
      <c r="AC5351">
        <v>79.267699999999905</v>
      </c>
      <c r="AD5351">
        <v>-1.1603289999999999</v>
      </c>
      <c r="AE5351">
        <v>-14.050808999999999</v>
      </c>
      <c r="AF5351">
        <v>13.8422638725343</v>
      </c>
      <c r="AG5351">
        <v>-1.1603289999999999</v>
      </c>
      <c r="AH5351">
        <v>79.287409718229299</v>
      </c>
      <c r="AI5351">
        <v>90.825942505993694</v>
      </c>
      <c r="AJ5351">
        <v>80.096917460324406</v>
      </c>
      <c r="AK5351">
        <v>80.495018307541699</v>
      </c>
      <c r="AL5351">
        <v>89.580417841486806</v>
      </c>
      <c r="AM5351">
        <v>88.193260683649598</v>
      </c>
      <c r="AN5351">
        <v>1.00000004158075</v>
      </c>
    </row>
    <row r="5352" spans="1:40" x14ac:dyDescent="0.25">
      <c r="A5352" t="str">
        <f>"20190312161122621"</f>
        <v>20190312161122621</v>
      </c>
      <c r="B5352" t="str">
        <f>"1552378282612694"</f>
        <v>1552378282612694</v>
      </c>
      <c r="C5352" t="s">
        <v>40</v>
      </c>
      <c r="D5352">
        <v>5.2592509999999999</v>
      </c>
      <c r="E5352">
        <v>0.54918140000000004</v>
      </c>
      <c r="F5352" t="s">
        <v>101</v>
      </c>
      <c r="G5352">
        <v>-279.02</v>
      </c>
      <c r="H5352">
        <v>0.2313289</v>
      </c>
      <c r="I5352">
        <v>-0.33139990000000003</v>
      </c>
      <c r="J5352">
        <v>-382.51069999999999</v>
      </c>
      <c r="K5352">
        <v>1.1102939999999999</v>
      </c>
      <c r="L5352">
        <v>17.327089999999998</v>
      </c>
      <c r="M5352">
        <v>0.99996160000000001</v>
      </c>
      <c r="N5352">
        <v>0</v>
      </c>
      <c r="O5352">
        <v>-1.45583E-3</v>
      </c>
      <c r="P5352">
        <v>0.99943020000000005</v>
      </c>
      <c r="Q5352">
        <v>-1.9818399999999999E-3</v>
      </c>
      <c r="R5352">
        <v>-3.370194E-2</v>
      </c>
      <c r="S5352">
        <v>2.984375</v>
      </c>
      <c r="T5352">
        <v>-2.5300260000000001E-2</v>
      </c>
      <c r="U5352">
        <v>-0.50823969999999996</v>
      </c>
      <c r="V5352">
        <v>3.2237639999999998E-2</v>
      </c>
      <c r="W5352">
        <v>6.7179340000000001E-3</v>
      </c>
      <c r="X5352">
        <v>0.9994577</v>
      </c>
      <c r="Y5352">
        <v>0.16644200000000001</v>
      </c>
      <c r="Z5352">
        <v>-6.8820389999999995E-4</v>
      </c>
      <c r="AA5352">
        <v>0.98605100000000001</v>
      </c>
      <c r="AB5352">
        <v>20</v>
      </c>
      <c r="AC5352">
        <v>103.4907</v>
      </c>
      <c r="AD5352">
        <v>-0.87896510000000005</v>
      </c>
      <c r="AE5352">
        <v>-17.658489899999999</v>
      </c>
      <c r="AF5352">
        <v>17.506573598614899</v>
      </c>
      <c r="AG5352">
        <v>-0.87896510000000005</v>
      </c>
      <c r="AH5352">
        <v>103.509043740262</v>
      </c>
      <c r="AI5352">
        <v>90.479712959765706</v>
      </c>
      <c r="AJ5352">
        <v>80.400360930322194</v>
      </c>
      <c r="AK5352">
        <v>104.98273588945101</v>
      </c>
      <c r="AL5352">
        <v>89.615087856845605</v>
      </c>
      <c r="AM5352">
        <v>88.1525575825614</v>
      </c>
      <c r="AN5352">
        <v>1.00000004507964</v>
      </c>
    </row>
    <row r="5353" spans="1:40" x14ac:dyDescent="0.25">
      <c r="A5353" t="str">
        <f>"20190312161122643"</f>
        <v>20190312161122643</v>
      </c>
      <c r="B5353" t="str">
        <f>"1552378282632214"</f>
        <v>1552378282632214</v>
      </c>
      <c r="C5353" t="s">
        <v>40</v>
      </c>
      <c r="D5353">
        <v>5.5085490000000004</v>
      </c>
      <c r="E5353">
        <v>0.54937419999999904</v>
      </c>
      <c r="F5353" t="s">
        <v>101</v>
      </c>
      <c r="G5353">
        <v>-279.02</v>
      </c>
      <c r="H5353">
        <v>0.73346429999999996</v>
      </c>
      <c r="I5353">
        <v>0.23012920000000001</v>
      </c>
      <c r="J5353">
        <v>-382.31299999999999</v>
      </c>
      <c r="K5353">
        <v>1.1102590000000001</v>
      </c>
      <c r="L5353">
        <v>17.328060000000001</v>
      </c>
      <c r="M5353">
        <v>0.99996300000000005</v>
      </c>
      <c r="N5353">
        <v>0</v>
      </c>
      <c r="O5353">
        <v>-3.462936E-4</v>
      </c>
      <c r="P5353">
        <v>0.99944239999999995</v>
      </c>
      <c r="Q5353">
        <v>-2.2362229999999999E-3</v>
      </c>
      <c r="R5353">
        <v>-3.3324850000000003E-2</v>
      </c>
      <c r="S5353">
        <v>2.9850159999999999</v>
      </c>
      <c r="T5353">
        <v>-1.086903E-2</v>
      </c>
      <c r="U5353">
        <v>-0.4931335</v>
      </c>
      <c r="V5353">
        <v>3.2970199999999998E-2</v>
      </c>
      <c r="W5353">
        <v>6.412765E-3</v>
      </c>
      <c r="X5353">
        <v>0.99943579999999999</v>
      </c>
      <c r="Y5353">
        <v>0.16265099999999999</v>
      </c>
      <c r="Z5353">
        <v>-2.928753E-4</v>
      </c>
      <c r="AA5353">
        <v>0.98668359999999999</v>
      </c>
      <c r="AB5353">
        <v>20</v>
      </c>
      <c r="AC5353">
        <v>103.29300000000001</v>
      </c>
      <c r="AD5353">
        <v>-0.37679469999999998</v>
      </c>
      <c r="AE5353">
        <v>-17.0979308</v>
      </c>
      <c r="AF5353">
        <v>17.061937766622101</v>
      </c>
      <c r="AG5353">
        <v>-0.37679469999999998</v>
      </c>
      <c r="AH5353">
        <v>103.297577044739</v>
      </c>
      <c r="AI5353">
        <v>90.206200904342097</v>
      </c>
      <c r="AJ5353">
        <v>80.620983486791701</v>
      </c>
      <c r="AK5353">
        <v>104.697856319563</v>
      </c>
      <c r="AL5353">
        <v>89.632573126100695</v>
      </c>
      <c r="AM5353">
        <v>88.110565485724194</v>
      </c>
      <c r="AN5353">
        <v>1.00000003798231</v>
      </c>
    </row>
    <row r="5354" spans="1:40" x14ac:dyDescent="0.25">
      <c r="A5354" t="str">
        <f>"20190312161122665"</f>
        <v>20190312161122665</v>
      </c>
      <c r="B5354" t="str">
        <f>"1552378282662470"</f>
        <v>1552378282662470</v>
      </c>
      <c r="C5354" t="s">
        <v>40</v>
      </c>
      <c r="D5354">
        <v>5.5132490000000001</v>
      </c>
      <c r="E5354">
        <v>0.54887180000000002</v>
      </c>
      <c r="F5354" t="s">
        <v>101</v>
      </c>
      <c r="G5354">
        <v>-279.02</v>
      </c>
      <c r="H5354">
        <v>0.83126639999999996</v>
      </c>
      <c r="I5354">
        <v>0.24579809999999999</v>
      </c>
      <c r="J5354">
        <v>-382.13060000000002</v>
      </c>
      <c r="K5354">
        <v>1.1102209999999999</v>
      </c>
      <c r="L5354">
        <v>17.329160000000002</v>
      </c>
      <c r="M5354">
        <v>0.99996320000000005</v>
      </c>
      <c r="N5354">
        <v>0</v>
      </c>
      <c r="O5354">
        <v>6.2832380000000002E-4</v>
      </c>
      <c r="P5354">
        <v>0.99946219999999997</v>
      </c>
      <c r="Q5354">
        <v>-2.5633129999999998E-3</v>
      </c>
      <c r="R5354">
        <v>-3.2697320000000002E-2</v>
      </c>
      <c r="S5354">
        <v>2.9851990000000002</v>
      </c>
      <c r="T5354">
        <v>-8.0629589999999998E-3</v>
      </c>
      <c r="U5354">
        <v>-0.49368289999999998</v>
      </c>
      <c r="V5354">
        <v>3.3317729999999997E-2</v>
      </c>
      <c r="W5354">
        <v>6.0384549999999999E-3</v>
      </c>
      <c r="X5354">
        <v>0.9994265</v>
      </c>
      <c r="Y5354">
        <v>0.16378000000000001</v>
      </c>
      <c r="Z5354">
        <v>-2.213765E-4</v>
      </c>
      <c r="AA5354">
        <v>0.98649690000000001</v>
      </c>
      <c r="AB5354">
        <v>20</v>
      </c>
      <c r="AC5354">
        <v>103.11060000000001</v>
      </c>
      <c r="AD5354">
        <v>-0.278954599999999</v>
      </c>
      <c r="AE5354">
        <v>-17.0833618999999</v>
      </c>
      <c r="AF5354">
        <v>17.148025587291599</v>
      </c>
      <c r="AG5354">
        <v>-0.278954599999999</v>
      </c>
      <c r="AH5354">
        <v>103.09911093190399</v>
      </c>
      <c r="AI5354">
        <v>90.152923627248001</v>
      </c>
      <c r="AJ5354">
        <v>80.556690151641803</v>
      </c>
      <c r="AK5354">
        <v>104.515832638698</v>
      </c>
      <c r="AL5354">
        <v>89.654019887418897</v>
      </c>
      <c r="AM5354">
        <v>88.090646375889506</v>
      </c>
      <c r="AN5354">
        <v>0.99999993148669197</v>
      </c>
    </row>
    <row r="5355" spans="1:40" x14ac:dyDescent="0.25">
      <c r="A5355" t="str">
        <f>"20190312161122678"</f>
        <v>20190312161122678</v>
      </c>
      <c r="B5355" t="str">
        <f>"1552378282672231"</f>
        <v>1552378282672231</v>
      </c>
      <c r="C5355" t="s">
        <v>40</v>
      </c>
      <c r="D5355">
        <v>5.514615</v>
      </c>
      <c r="E5355">
        <v>0.54877819999999899</v>
      </c>
      <c r="F5355" t="s">
        <v>101</v>
      </c>
      <c r="G5355">
        <v>-279.02</v>
      </c>
      <c r="H5355">
        <v>0.645563</v>
      </c>
      <c r="I5355">
        <v>0.48607440000000002</v>
      </c>
      <c r="J5355">
        <v>-382.00529999999998</v>
      </c>
      <c r="K5355">
        <v>1.110198</v>
      </c>
      <c r="L5355">
        <v>17.329989999999999</v>
      </c>
      <c r="M5355">
        <v>0.99996280000000004</v>
      </c>
      <c r="N5355">
        <v>0</v>
      </c>
      <c r="O5355">
        <v>1.2663799999999999E-3</v>
      </c>
      <c r="P5355">
        <v>0.99946880000000005</v>
      </c>
      <c r="Q5355">
        <v>-2.9732479999999999E-3</v>
      </c>
      <c r="R5355">
        <v>-3.2455339999999999E-2</v>
      </c>
      <c r="S5355">
        <v>2.9856259999999999</v>
      </c>
      <c r="T5355">
        <v>-1.345444E-2</v>
      </c>
      <c r="U5355">
        <v>-0.48770140000000001</v>
      </c>
      <c r="V5355">
        <v>3.3714399999999999E-2</v>
      </c>
      <c r="W5355">
        <v>5.5959570000000004E-3</v>
      </c>
      <c r="X5355">
        <v>0.99941579999999997</v>
      </c>
      <c r="Y5355">
        <v>0.162461299999999</v>
      </c>
      <c r="Z5355">
        <v>-3.6931600000000001E-4</v>
      </c>
      <c r="AA5355">
        <v>0.9867148</v>
      </c>
      <c r="AB5355">
        <v>20</v>
      </c>
      <c r="AC5355">
        <v>102.9853</v>
      </c>
      <c r="AD5355">
        <v>-0.46463500000000002</v>
      </c>
      <c r="AE5355">
        <v>-16.843915599999999</v>
      </c>
      <c r="AF5355">
        <v>16.973988858367498</v>
      </c>
      <c r="AG5355">
        <v>-0.46463500000000002</v>
      </c>
      <c r="AH5355">
        <v>102.961844644211</v>
      </c>
      <c r="AI5355">
        <v>90.255112973481701</v>
      </c>
      <c r="AJ5355">
        <v>80.638586879129704</v>
      </c>
      <c r="AK5355">
        <v>104.352640771501</v>
      </c>
      <c r="AL5355">
        <v>89.679373594820504</v>
      </c>
      <c r="AM5355">
        <v>88.067910693746001</v>
      </c>
      <c r="AN5355">
        <v>0.99999995839587197</v>
      </c>
    </row>
    <row r="5356" spans="1:40" x14ac:dyDescent="0.25">
      <c r="A5356" t="str">
        <f>"20190312161122699"</f>
        <v>20190312161122699</v>
      </c>
      <c r="B5356" t="str">
        <f>"1552378282692726"</f>
        <v>1552378282692726</v>
      </c>
      <c r="C5356" t="s">
        <v>40</v>
      </c>
      <c r="D5356">
        <v>5.554284</v>
      </c>
      <c r="E5356">
        <v>0.54851450000000002</v>
      </c>
      <c r="F5356" t="s">
        <v>101</v>
      </c>
      <c r="G5356">
        <v>-279.02</v>
      </c>
      <c r="H5356">
        <v>0.56143180000000004</v>
      </c>
      <c r="I5356">
        <v>0.56050299999999997</v>
      </c>
      <c r="J5356">
        <v>-381.82170000000002</v>
      </c>
      <c r="K5356">
        <v>1.11016</v>
      </c>
      <c r="L5356">
        <v>17.331299999999999</v>
      </c>
      <c r="M5356">
        <v>0.99996160000000001</v>
      </c>
      <c r="N5356">
        <v>0</v>
      </c>
      <c r="O5356">
        <v>2.1730059999999999E-3</v>
      </c>
      <c r="P5356">
        <v>0.99950110000000003</v>
      </c>
      <c r="Q5356">
        <v>-3.6158610000000002E-3</v>
      </c>
      <c r="R5356">
        <v>-3.1379820000000003E-2</v>
      </c>
      <c r="S5356">
        <v>2.9857179999999999</v>
      </c>
      <c r="T5356">
        <v>-1.5909670000000001E-2</v>
      </c>
      <c r="U5356">
        <v>-0.48617549999999998</v>
      </c>
      <c r="V5356">
        <v>3.354621E-2</v>
      </c>
      <c r="W5356">
        <v>4.9069370000000001E-3</v>
      </c>
      <c r="X5356">
        <v>0.99942509999999996</v>
      </c>
      <c r="Y5356">
        <v>0.16285920000000001</v>
      </c>
      <c r="Z5356">
        <v>-4.4256740000000002E-4</v>
      </c>
      <c r="AA5356">
        <v>0.9866492</v>
      </c>
      <c r="AB5356">
        <v>20</v>
      </c>
      <c r="AC5356">
        <v>102.8017</v>
      </c>
      <c r="AD5356">
        <v>-0.548728199999999</v>
      </c>
      <c r="AE5356">
        <v>-16.770796999999899</v>
      </c>
      <c r="AF5356">
        <v>16.993682541172301</v>
      </c>
      <c r="AG5356">
        <v>-0.548728199999999</v>
      </c>
      <c r="AH5356">
        <v>102.762160975665</v>
      </c>
      <c r="AI5356">
        <v>90.301845080958401</v>
      </c>
      <c r="AJ5356">
        <v>80.610030661768207</v>
      </c>
      <c r="AK5356">
        <v>104.159243840074</v>
      </c>
      <c r="AL5356">
        <v>89.718852085227297</v>
      </c>
      <c r="AM5356">
        <v>88.077559873860395</v>
      </c>
      <c r="AN5356">
        <v>0.99999997837304699</v>
      </c>
    </row>
    <row r="5357" spans="1:40" x14ac:dyDescent="0.25">
      <c r="A5357" t="str">
        <f>"20190312161122724"</f>
        <v>20190312161122724</v>
      </c>
      <c r="B5357" t="str">
        <f>"1552378282712246"</f>
        <v>1552378282712246</v>
      </c>
      <c r="C5357" t="s">
        <v>40</v>
      </c>
      <c r="D5357">
        <v>5.583412</v>
      </c>
      <c r="E5357">
        <v>0.54816309999999902</v>
      </c>
      <c r="F5357" t="s">
        <v>101</v>
      </c>
      <c r="G5357">
        <v>-279.02</v>
      </c>
      <c r="H5357">
        <v>0.38933810000000002</v>
      </c>
      <c r="I5357">
        <v>0.78319169999999905</v>
      </c>
      <c r="J5357">
        <v>-381.60199999999998</v>
      </c>
      <c r="K5357">
        <v>1.110134</v>
      </c>
      <c r="L5357">
        <v>17.332979999999999</v>
      </c>
      <c r="M5357">
        <v>0.9999593</v>
      </c>
      <c r="N5357">
        <v>0</v>
      </c>
      <c r="O5357">
        <v>3.2038100000000001E-3</v>
      </c>
      <c r="P5357">
        <v>0.99952700000000005</v>
      </c>
      <c r="Q5357">
        <v>-3.699309E-3</v>
      </c>
      <c r="R5357">
        <v>-3.0532819999999999E-2</v>
      </c>
      <c r="S5357">
        <v>2.9863279999999999</v>
      </c>
      <c r="T5357">
        <v>-2.0939470000000002E-2</v>
      </c>
      <c r="U5357">
        <v>-0.4807129</v>
      </c>
      <c r="V5357">
        <v>3.3729960000000003E-2</v>
      </c>
      <c r="W5357">
        <v>4.7686559999999996E-3</v>
      </c>
      <c r="X5357">
        <v>0.99941959999999996</v>
      </c>
      <c r="Y5357">
        <v>0.1620838</v>
      </c>
      <c r="Z5357">
        <v>-5.8692939999999995E-4</v>
      </c>
      <c r="AA5357">
        <v>0.98677680000000001</v>
      </c>
      <c r="AB5357">
        <v>20</v>
      </c>
      <c r="AC5357">
        <v>102.58199999999999</v>
      </c>
      <c r="AD5357">
        <v>-0.72079589999999905</v>
      </c>
      <c r="AE5357">
        <v>-16.549788299999999</v>
      </c>
      <c r="AF5357">
        <v>16.877556141005201</v>
      </c>
      <c r="AG5357">
        <v>-0.72079589999999905</v>
      </c>
      <c r="AH5357">
        <v>102.523515824515</v>
      </c>
      <c r="AI5357">
        <v>90.397464257564707</v>
      </c>
      <c r="AJ5357">
        <v>80.651738112799293</v>
      </c>
      <c r="AK5357">
        <v>103.9059321937</v>
      </c>
      <c r="AL5357">
        <v>89.7267750999615</v>
      </c>
      <c r="AM5357">
        <v>88.067027008750699</v>
      </c>
      <c r="AN5357">
        <v>0.99999999357290303</v>
      </c>
    </row>
    <row r="5358" spans="1:40" x14ac:dyDescent="0.25">
      <c r="A5358" t="str">
        <f>"20190312161122745"</f>
        <v>20190312161122745</v>
      </c>
      <c r="B5358" t="str">
        <f>"1552378282742502"</f>
        <v>1552378282742502</v>
      </c>
      <c r="C5358" t="s">
        <v>40</v>
      </c>
      <c r="D5358">
        <v>5.5756519999999998</v>
      </c>
      <c r="E5358">
        <v>0.54790469999999902</v>
      </c>
      <c r="F5358" t="s">
        <v>101</v>
      </c>
      <c r="G5358">
        <v>-279.02</v>
      </c>
      <c r="H5358">
        <v>0.28196080000000001</v>
      </c>
      <c r="I5358">
        <v>1.0096590000000001</v>
      </c>
      <c r="J5358">
        <v>-381.41309999999999</v>
      </c>
      <c r="K5358">
        <v>1.1101110000000001</v>
      </c>
      <c r="L5358">
        <v>17.33456</v>
      </c>
      <c r="M5358">
        <v>0.99995670000000003</v>
      </c>
      <c r="N5358">
        <v>0</v>
      </c>
      <c r="O5358">
        <v>4.036942E-3</v>
      </c>
      <c r="P5358">
        <v>0.99955839999999996</v>
      </c>
      <c r="Q5358">
        <v>-3.6152300000000001E-3</v>
      </c>
      <c r="R5358">
        <v>-2.949645E-2</v>
      </c>
      <c r="S5358">
        <v>2.986847</v>
      </c>
      <c r="T5358">
        <v>-2.4113659999999999E-2</v>
      </c>
      <c r="U5358">
        <v>-0.4752808</v>
      </c>
      <c r="V5358">
        <v>3.3526630000000002E-2</v>
      </c>
      <c r="W5358">
        <v>4.8058479999999997E-3</v>
      </c>
      <c r="X5358">
        <v>0.99942620000000004</v>
      </c>
      <c r="Y5358">
        <v>0.16112789999999999</v>
      </c>
      <c r="Z5358">
        <v>-6.7873E-4</v>
      </c>
      <c r="AA5358">
        <v>0.98693330000000001</v>
      </c>
      <c r="AB5358">
        <v>20</v>
      </c>
      <c r="AC5358">
        <v>102.3931</v>
      </c>
      <c r="AD5358">
        <v>-0.82815019999999995</v>
      </c>
      <c r="AE5358">
        <v>-16.324901000000001</v>
      </c>
      <c r="AF5358">
        <v>16.737069789963201</v>
      </c>
      <c r="AG5358">
        <v>-0.82815019999999995</v>
      </c>
      <c r="AH5358">
        <v>102.31983327220399</v>
      </c>
      <c r="AI5358">
        <v>90.457645107916207</v>
      </c>
      <c r="AJ5358">
        <v>80.710059414772402</v>
      </c>
      <c r="AK5358">
        <v>103.68299580336</v>
      </c>
      <c r="AL5358">
        <v>89.724644113438899</v>
      </c>
      <c r="AM5358">
        <v>88.078683221132096</v>
      </c>
      <c r="AN5358">
        <v>0.99999993017029498</v>
      </c>
    </row>
    <row r="5359" spans="1:40" x14ac:dyDescent="0.25">
      <c r="A5359" t="str">
        <f>"20190312161122765"</f>
        <v>20190312161122765</v>
      </c>
      <c r="B5359" t="str">
        <f>"1552378282762021"</f>
        <v>1552378282762021</v>
      </c>
      <c r="C5359" t="s">
        <v>40</v>
      </c>
      <c r="D5359">
        <v>5.5516189999999996</v>
      </c>
      <c r="E5359">
        <v>0.54729680000000003</v>
      </c>
      <c r="F5359" t="s">
        <v>101</v>
      </c>
      <c r="G5359">
        <v>-279.02</v>
      </c>
      <c r="H5359">
        <v>0.2433485</v>
      </c>
      <c r="I5359">
        <v>1.222118</v>
      </c>
      <c r="J5359">
        <v>-381.22899999999998</v>
      </c>
      <c r="K5359">
        <v>1.1100920000000001</v>
      </c>
      <c r="L5359">
        <v>17.33624</v>
      </c>
      <c r="M5359">
        <v>0.99995350000000005</v>
      </c>
      <c r="N5359">
        <v>0</v>
      </c>
      <c r="O5359">
        <v>4.8156259999999999E-3</v>
      </c>
      <c r="P5359">
        <v>0.99959640000000005</v>
      </c>
      <c r="Q5359">
        <v>-2.7386749999999999E-3</v>
      </c>
      <c r="R5359">
        <v>-2.8279470000000001E-2</v>
      </c>
      <c r="S5359">
        <v>2.9873959999999999</v>
      </c>
      <c r="T5359">
        <v>-2.5288459999999999E-2</v>
      </c>
      <c r="U5359">
        <v>-0.47009279999999998</v>
      </c>
      <c r="V5359">
        <v>3.3087440000000003E-2</v>
      </c>
      <c r="W5359">
        <v>5.6398259999999997E-3</v>
      </c>
      <c r="X5359">
        <v>0.99943660000000001</v>
      </c>
      <c r="Y5359">
        <v>0.16019559999999999</v>
      </c>
      <c r="Z5359">
        <v>-7.143936E-4</v>
      </c>
      <c r="AA5359">
        <v>0.98708499999999999</v>
      </c>
      <c r="AB5359">
        <v>20</v>
      </c>
      <c r="AC5359">
        <v>102.209</v>
      </c>
      <c r="AD5359">
        <v>-0.8667435</v>
      </c>
      <c r="AE5359">
        <v>-16.114121999999998</v>
      </c>
      <c r="AF5359">
        <v>16.6049874978753</v>
      </c>
      <c r="AG5359">
        <v>-0.8667435</v>
      </c>
      <c r="AH5359">
        <v>102.12304670622601</v>
      </c>
      <c r="AI5359">
        <v>90.479968714962894</v>
      </c>
      <c r="AJ5359">
        <v>80.764651865434601</v>
      </c>
      <c r="AK5359">
        <v>103.467838107605</v>
      </c>
      <c r="AL5359">
        <v>89.676860076705196</v>
      </c>
      <c r="AM5359">
        <v>88.103853185529303</v>
      </c>
      <c r="AN5359">
        <v>1.0000000518713099</v>
      </c>
    </row>
    <row r="5360" spans="1:40" x14ac:dyDescent="0.25">
      <c r="A5360" t="str">
        <f>"20190312161122790"</f>
        <v>20190312161122790</v>
      </c>
      <c r="B5360" t="str">
        <f>"1552378282782518"</f>
        <v>1552378282782518</v>
      </c>
      <c r="C5360" t="s">
        <v>40</v>
      </c>
      <c r="D5360">
        <v>5.6844939999999999</v>
      </c>
      <c r="E5360">
        <v>0.49943009999999899</v>
      </c>
      <c r="F5360" t="s">
        <v>101</v>
      </c>
      <c r="G5360">
        <v>-279.02</v>
      </c>
      <c r="H5360">
        <v>0.53162989999999999</v>
      </c>
      <c r="I5360">
        <v>1.540651</v>
      </c>
      <c r="J5360">
        <v>-381.01029999999997</v>
      </c>
      <c r="K5360">
        <v>1.1100719999999999</v>
      </c>
      <c r="L5360">
        <v>17.338349999999998</v>
      </c>
      <c r="M5360">
        <v>0.99994930000000004</v>
      </c>
      <c r="N5360">
        <v>0</v>
      </c>
      <c r="O5360">
        <v>5.7008959999999996E-3</v>
      </c>
      <c r="P5360">
        <v>0.99963999999999997</v>
      </c>
      <c r="Q5360">
        <v>-1.950678E-3</v>
      </c>
      <c r="R5360">
        <v>-2.676773E-2</v>
      </c>
      <c r="S5360">
        <v>2.9881289999999998</v>
      </c>
      <c r="T5360">
        <v>-1.691163E-2</v>
      </c>
      <c r="U5360">
        <v>-0.46179199999999998</v>
      </c>
      <c r="V5360">
        <v>3.2460049999999997E-2</v>
      </c>
      <c r="W5360">
        <v>6.3827240000000002E-3</v>
      </c>
      <c r="X5360">
        <v>0.99945269999999997</v>
      </c>
      <c r="Y5360">
        <v>0.15835829999999901</v>
      </c>
      <c r="Z5360">
        <v>-4.7755360000000001E-4</v>
      </c>
      <c r="AA5360">
        <v>0.98738159999999997</v>
      </c>
      <c r="AB5360">
        <v>20</v>
      </c>
      <c r="AC5360">
        <v>101.9903</v>
      </c>
      <c r="AD5360">
        <v>-0.57844209999999996</v>
      </c>
      <c r="AE5360">
        <v>-15.7976989999999</v>
      </c>
      <c r="AF5360">
        <v>16.378383900501198</v>
      </c>
      <c r="AG5360">
        <v>-0.57844209999999996</v>
      </c>
      <c r="AH5360">
        <v>101.895377567368</v>
      </c>
      <c r="AI5360">
        <v>90.321132624885706</v>
      </c>
      <c r="AJ5360">
        <v>80.868540279431301</v>
      </c>
      <c r="AK5360">
        <v>103.204912790292</v>
      </c>
      <c r="AL5360">
        <v>89.634294386990007</v>
      </c>
      <c r="AM5360">
        <v>88.139811557265205</v>
      </c>
      <c r="AN5360">
        <v>1.0000000467744701</v>
      </c>
    </row>
    <row r="5361" spans="1:40" x14ac:dyDescent="0.25">
      <c r="A5361" t="str">
        <f>"20190312161122811"</f>
        <v>20190312161122811</v>
      </c>
      <c r="B5361" t="str">
        <f>"1552378282803013"</f>
        <v>1552378282803013</v>
      </c>
      <c r="C5361" t="s">
        <v>40</v>
      </c>
      <c r="D5361">
        <v>5.6871109999999998</v>
      </c>
      <c r="E5361">
        <v>0.48992259999999999</v>
      </c>
      <c r="F5361" t="s">
        <v>43</v>
      </c>
      <c r="G5361">
        <v>-294.38679999999999</v>
      </c>
      <c r="H5361">
        <v>-0.05</v>
      </c>
      <c r="I5361">
        <v>15.18224</v>
      </c>
      <c r="J5361">
        <v>-380.8143</v>
      </c>
      <c r="K5361">
        <v>1.110052</v>
      </c>
      <c r="L5361">
        <v>17.34036</v>
      </c>
      <c r="M5361">
        <v>0.99994499999999997</v>
      </c>
      <c r="N5361">
        <v>0</v>
      </c>
      <c r="O5361">
        <v>6.4631489999999996E-3</v>
      </c>
      <c r="P5361">
        <v>0.99966160000000004</v>
      </c>
      <c r="Q5361">
        <v>-1.4577399999999999E-3</v>
      </c>
      <c r="R5361">
        <v>-2.5976039999999999E-2</v>
      </c>
      <c r="S5361">
        <v>2.9989620000000001</v>
      </c>
      <c r="T5361">
        <v>-4.0162440000000001E-2</v>
      </c>
      <c r="U5361">
        <v>-7.4646000000000004E-2</v>
      </c>
      <c r="V5361">
        <v>3.2430390000000003E-2</v>
      </c>
      <c r="W5361">
        <v>6.8342799999999999E-3</v>
      </c>
      <c r="X5361">
        <v>0.99945059999999997</v>
      </c>
      <c r="Y5361">
        <v>3.1340359999999998E-2</v>
      </c>
      <c r="Z5361">
        <v>-2.963571E-4</v>
      </c>
      <c r="AA5361">
        <v>0.99950870000000003</v>
      </c>
      <c r="AB5361">
        <v>20</v>
      </c>
      <c r="AC5361">
        <v>86.427499999999995</v>
      </c>
      <c r="AD5361">
        <v>-1.1600520000000001</v>
      </c>
      <c r="AE5361">
        <v>-2.1581199999999998</v>
      </c>
      <c r="AF5361">
        <v>2.71619875060447</v>
      </c>
      <c r="AG5361">
        <v>-1.1600520000000001</v>
      </c>
      <c r="AH5361">
        <v>86.396190818468995</v>
      </c>
      <c r="AI5361">
        <v>90.768891217307498</v>
      </c>
      <c r="AJ5361">
        <v>88.199278467198098</v>
      </c>
      <c r="AK5361">
        <v>86.446661267146595</v>
      </c>
      <c r="AL5361">
        <v>89.608421539820199</v>
      </c>
      <c r="AM5361">
        <v>88.141506188444893</v>
      </c>
      <c r="AN5361">
        <v>0.99999996970951399</v>
      </c>
    </row>
    <row r="5362" spans="1:40" x14ac:dyDescent="0.25">
      <c r="A5362" t="str">
        <f>"20190312161122834"</f>
        <v>20190312161122834</v>
      </c>
      <c r="B5362" t="str">
        <f>"1552378282822534"</f>
        <v>1552378282822534</v>
      </c>
      <c r="C5362" t="s">
        <v>40</v>
      </c>
      <c r="D5362">
        <v>5.705616</v>
      </c>
      <c r="E5362">
        <v>0.48633779999999999</v>
      </c>
      <c r="F5362" t="s">
        <v>41</v>
      </c>
      <c r="G5362">
        <v>-347.17469999999997</v>
      </c>
      <c r="H5362" s="1">
        <v>-1.5869309999999901E-6</v>
      </c>
      <c r="I5362">
        <v>17.403220000000001</v>
      </c>
      <c r="J5362">
        <v>-380.61059999999998</v>
      </c>
      <c r="K5362">
        <v>1.1100350000000001</v>
      </c>
      <c r="L5362">
        <v>17.342589999999898</v>
      </c>
      <c r="M5362">
        <v>0.9999401</v>
      </c>
      <c r="N5362">
        <v>0</v>
      </c>
      <c r="O5362">
        <v>7.2237269999999897E-3</v>
      </c>
      <c r="P5362">
        <v>0.99968539999999995</v>
      </c>
      <c r="Q5362">
        <v>-9.5758590000000004E-4</v>
      </c>
      <c r="R5362">
        <v>-2.506864E-2</v>
      </c>
      <c r="S5362">
        <v>3.001007</v>
      </c>
      <c r="T5362">
        <v>-9.9028229999999995E-2</v>
      </c>
      <c r="U5362">
        <v>5.6152340000000002E-3</v>
      </c>
      <c r="V5362">
        <v>3.2283199999999998E-2</v>
      </c>
      <c r="W5362">
        <v>7.2906009999999999E-3</v>
      </c>
      <c r="X5362">
        <v>0.99945220000000001</v>
      </c>
      <c r="Y5362">
        <v>5.3460529999999999E-3</v>
      </c>
      <c r="Z5362">
        <v>-3.2649330000000001E-4</v>
      </c>
      <c r="AA5362">
        <v>0.99998560000000003</v>
      </c>
      <c r="AB5362">
        <v>20</v>
      </c>
      <c r="AC5362">
        <v>33.435899999999997</v>
      </c>
      <c r="AD5362">
        <v>-1.110036586931</v>
      </c>
      <c r="AE5362">
        <v>6.0630000000003202E-2</v>
      </c>
      <c r="AF5362">
        <v>0.18071238643283</v>
      </c>
      <c r="AG5362">
        <v>-1.110036586931</v>
      </c>
      <c r="AH5362">
        <v>33.398654667792002</v>
      </c>
      <c r="AI5362">
        <v>91.903552087114804</v>
      </c>
      <c r="AJ5362">
        <v>89.689988830092702</v>
      </c>
      <c r="AK5362">
        <v>33.4175847692403</v>
      </c>
      <c r="AL5362">
        <v>89.582275644093102</v>
      </c>
      <c r="AM5362">
        <v>88.149938314998096</v>
      </c>
      <c r="AN5362">
        <v>1.0000000289750099</v>
      </c>
    </row>
    <row r="5363" spans="1:40" x14ac:dyDescent="0.25">
      <c r="A5363" t="str">
        <f>"20190312161122855"</f>
        <v>20190312161122855</v>
      </c>
      <c r="B5363" t="str">
        <f>"1552378282843029"</f>
        <v>1552378282843029</v>
      </c>
      <c r="C5363" t="s">
        <v>40</v>
      </c>
      <c r="D5363">
        <v>5.6930430000000003</v>
      </c>
      <c r="E5363">
        <v>0.48538199999999998</v>
      </c>
      <c r="F5363" t="s">
        <v>41</v>
      </c>
      <c r="G5363">
        <v>-349.44260000000003</v>
      </c>
      <c r="H5363" s="1">
        <v>-6.7769269999999902E-7</v>
      </c>
      <c r="I5363">
        <v>17.72972</v>
      </c>
      <c r="J5363">
        <v>-380.41789999999997</v>
      </c>
      <c r="K5363">
        <v>1.1100190000000001</v>
      </c>
      <c r="L5363">
        <v>17.344819999999999</v>
      </c>
      <c r="M5363">
        <v>0.99993529999999997</v>
      </c>
      <c r="N5363">
        <v>0</v>
      </c>
      <c r="O5363">
        <v>7.9109560000000002E-3</v>
      </c>
      <c r="P5363">
        <v>0.99969419999999998</v>
      </c>
      <c r="Q5363">
        <v>-1.201985E-3</v>
      </c>
      <c r="R5363">
        <v>-2.4701000000000001E-2</v>
      </c>
      <c r="S5363">
        <v>3.00177</v>
      </c>
      <c r="T5363">
        <v>-0.1069068</v>
      </c>
      <c r="U5363">
        <v>3.7292480000000003E-2</v>
      </c>
      <c r="V5363">
        <v>3.2603149999999997E-2</v>
      </c>
      <c r="W5363">
        <v>7.0087969999999998E-3</v>
      </c>
      <c r="X5363">
        <v>0.99944379999999999</v>
      </c>
      <c r="Y5363">
        <v>-4.5136940000000004E-3</v>
      </c>
      <c r="Z5363">
        <v>-2.013009E-4</v>
      </c>
      <c r="AA5363">
        <v>0.99998980000000004</v>
      </c>
      <c r="AB5363">
        <v>20</v>
      </c>
      <c r="AC5363">
        <v>30.975299999999901</v>
      </c>
      <c r="AD5363">
        <v>-1.1100196776926901</v>
      </c>
      <c r="AE5363">
        <v>0.38489999999999802</v>
      </c>
      <c r="AF5363">
        <v>-0.13965621519601301</v>
      </c>
      <c r="AG5363">
        <v>-1.1100196776926901</v>
      </c>
      <c r="AH5363">
        <v>30.937651897931499</v>
      </c>
      <c r="AI5363">
        <v>92.054827104393695</v>
      </c>
      <c r="AJ5363">
        <v>90.258638160050793</v>
      </c>
      <c r="AK5363">
        <v>30.957873836891601</v>
      </c>
      <c r="AL5363">
        <v>89.598422224185498</v>
      </c>
      <c r="AM5363">
        <v>88.131600097508297</v>
      </c>
      <c r="AN5363">
        <v>0.99999999899187397</v>
      </c>
    </row>
    <row r="5364" spans="1:40" x14ac:dyDescent="0.25">
      <c r="A5364" t="str">
        <f>"20190312161122878"</f>
        <v>20190312161122878</v>
      </c>
      <c r="B5364" t="str">
        <f>"1552378282872310"</f>
        <v>1552378282872310</v>
      </c>
      <c r="C5364" t="s">
        <v>40</v>
      </c>
      <c r="D5364">
        <v>5.6848380000000001</v>
      </c>
      <c r="E5364">
        <v>0.48701689999999997</v>
      </c>
      <c r="F5364" t="s">
        <v>41</v>
      </c>
      <c r="G5364">
        <v>-350.49790000000002</v>
      </c>
      <c r="H5364" s="1">
        <v>-4.3800950000000003E-6</v>
      </c>
      <c r="I5364">
        <v>17.80433</v>
      </c>
      <c r="J5364">
        <v>-380.20639999999997</v>
      </c>
      <c r="K5364">
        <v>1.1099909999999999</v>
      </c>
      <c r="L5364">
        <v>17.34732</v>
      </c>
      <c r="M5364">
        <v>0.99992950000000003</v>
      </c>
      <c r="N5364">
        <v>0</v>
      </c>
      <c r="O5364">
        <v>8.6256100000000006E-3</v>
      </c>
      <c r="P5364">
        <v>0.99970890000000001</v>
      </c>
      <c r="Q5364">
        <v>-8.1070139999999996E-4</v>
      </c>
      <c r="R5364">
        <v>-2.4117960000000001E-2</v>
      </c>
      <c r="S5364">
        <v>3.0019230000000001</v>
      </c>
      <c r="T5364">
        <v>-0.11137039999999999</v>
      </c>
      <c r="U5364">
        <v>4.6112060000000003E-2</v>
      </c>
      <c r="V5364">
        <v>3.2734569999999998E-2</v>
      </c>
      <c r="W5364">
        <v>7.3635549999999999E-3</v>
      </c>
      <c r="X5364">
        <v>0.99943700000000002</v>
      </c>
      <c r="Y5364">
        <v>-6.7348809999999999E-3</v>
      </c>
      <c r="Z5364">
        <v>-1.9500029999999999E-4</v>
      </c>
      <c r="AA5364">
        <v>0.99997729999999996</v>
      </c>
      <c r="AB5364">
        <v>20</v>
      </c>
      <c r="AC5364">
        <v>29.708499999999901</v>
      </c>
      <c r="AD5364">
        <v>-1.109995380095</v>
      </c>
      <c r="AE5364">
        <v>0.45701000000000003</v>
      </c>
      <c r="AF5364">
        <v>-0.20045076977756199</v>
      </c>
      <c r="AG5364">
        <v>-1.109995380095</v>
      </c>
      <c r="AH5364">
        <v>29.669927865191099</v>
      </c>
      <c r="AI5364">
        <v>92.142470834625001</v>
      </c>
      <c r="AJ5364">
        <v>90.387085820554404</v>
      </c>
      <c r="AK5364">
        <v>29.691360524243098</v>
      </c>
      <c r="AL5364">
        <v>89.578095582676298</v>
      </c>
      <c r="AM5364">
        <v>88.124061382458706</v>
      </c>
      <c r="AN5364">
        <v>1.00000004549216</v>
      </c>
    </row>
    <row r="5365" spans="1:40" x14ac:dyDescent="0.25">
      <c r="A5365" t="str">
        <f>"20190312161122901"</f>
        <v>20190312161122901</v>
      </c>
      <c r="B5365" t="str">
        <f>"1552378282892806"</f>
        <v>1552378282892806</v>
      </c>
      <c r="C5365" t="s">
        <v>40</v>
      </c>
      <c r="D5365">
        <v>5.7582820000000003</v>
      </c>
      <c r="E5365">
        <v>0.4862997</v>
      </c>
      <c r="F5365" t="s">
        <v>42</v>
      </c>
      <c r="G5365">
        <v>-379.41109999999998</v>
      </c>
      <c r="H5365">
        <v>1.0434049999999999</v>
      </c>
      <c r="I5365">
        <v>17.35773</v>
      </c>
      <c r="J5365">
        <v>-379.99220000000003</v>
      </c>
      <c r="K5365">
        <v>1.1099509999999999</v>
      </c>
      <c r="L5365">
        <v>17.349979999999999</v>
      </c>
      <c r="M5365">
        <v>0.99992389999999998</v>
      </c>
      <c r="N5365">
        <v>0</v>
      </c>
      <c r="O5365">
        <v>9.2987750000000004E-3</v>
      </c>
      <c r="P5365">
        <v>0.99971869999999996</v>
      </c>
      <c r="Q5365">
        <v>-1.0286309999999999E-3</v>
      </c>
      <c r="R5365">
        <v>-2.3705810000000001E-2</v>
      </c>
      <c r="S5365">
        <v>3.001617</v>
      </c>
      <c r="T5365">
        <v>-0.2513609</v>
      </c>
      <c r="U5365">
        <v>3.9489749999999997E-2</v>
      </c>
      <c r="V5365">
        <v>3.299585E-2</v>
      </c>
      <c r="W5365">
        <v>7.1122690000000001E-3</v>
      </c>
      <c r="X5365">
        <v>0.99943020000000005</v>
      </c>
      <c r="Y5365">
        <v>-3.8751530000000001E-3</v>
      </c>
      <c r="Z5365">
        <v>-6.1534209999999998E-4</v>
      </c>
      <c r="AA5365">
        <v>0.99999229999999995</v>
      </c>
      <c r="AB5365">
        <v>20</v>
      </c>
      <c r="AC5365">
        <v>0.58110000000004802</v>
      </c>
      <c r="AD5365">
        <v>-6.6546000000000202E-2</v>
      </c>
      <c r="AE5365">
        <v>7.7500000000014701E-3</v>
      </c>
      <c r="AF5365">
        <v>-2.3156072098933301E-3</v>
      </c>
      <c r="AG5365">
        <v>-6.6546000000000202E-2</v>
      </c>
      <c r="AH5365">
        <v>0.57362563296862401</v>
      </c>
      <c r="AI5365">
        <v>96.617219288767203</v>
      </c>
      <c r="AJ5365">
        <v>90.231289872426402</v>
      </c>
      <c r="AK5365">
        <v>0.57747735795562105</v>
      </c>
      <c r="AL5365">
        <v>89.592493575077</v>
      </c>
      <c r="AM5365">
        <v>88.109086031693394</v>
      </c>
      <c r="AN5365">
        <v>1.0000000175797901</v>
      </c>
    </row>
    <row r="5366" spans="1:40" x14ac:dyDescent="0.25">
      <c r="A5366" t="str">
        <f>"20190312161122925"</f>
        <v>20190312161122925</v>
      </c>
      <c r="B5366" t="str">
        <f>"1552378282912326"</f>
        <v>1552378282912326</v>
      </c>
      <c r="C5366" t="s">
        <v>40</v>
      </c>
      <c r="D5366">
        <v>5.7404989999999998</v>
      </c>
      <c r="E5366">
        <v>0.48577019999999999</v>
      </c>
      <c r="F5366" t="s">
        <v>98</v>
      </c>
      <c r="G5366">
        <v>-363.28309999999999</v>
      </c>
      <c r="H5366" s="1">
        <v>-3.5334630000000002E-6</v>
      </c>
      <c r="I5366">
        <v>17.598510000000001</v>
      </c>
      <c r="J5366">
        <v>-379.77659999999997</v>
      </c>
      <c r="K5366">
        <v>1.1099139999999901</v>
      </c>
      <c r="L5366">
        <v>17.352720000000001</v>
      </c>
      <c r="M5366">
        <v>0.99991830000000004</v>
      </c>
      <c r="N5366">
        <v>0</v>
      </c>
      <c r="O5366">
        <v>9.913158E-3</v>
      </c>
      <c r="P5366">
        <v>0.99972839999999996</v>
      </c>
      <c r="Q5366">
        <v>-1.1795029999999999E-3</v>
      </c>
      <c r="R5366">
        <v>-2.328388E-2</v>
      </c>
      <c r="S5366">
        <v>3.0016479999999999</v>
      </c>
      <c r="T5366">
        <v>-0.19939480000000001</v>
      </c>
      <c r="U5366">
        <v>4.4647220000000001E-2</v>
      </c>
      <c r="V5366">
        <v>3.3188969999999998E-2</v>
      </c>
      <c r="W5366">
        <v>6.9305979999999996E-3</v>
      </c>
      <c r="X5366">
        <v>0.99942509999999996</v>
      </c>
      <c r="Y5366">
        <v>-4.9703660000000004E-3</v>
      </c>
      <c r="Z5366">
        <v>-4.9285979999999995E-4</v>
      </c>
      <c r="AA5366">
        <v>0.99998750000000003</v>
      </c>
      <c r="AB5366">
        <v>21</v>
      </c>
      <c r="AC5366">
        <v>16.493499999999901</v>
      </c>
      <c r="AD5366">
        <v>-1.10991753346299</v>
      </c>
      <c r="AE5366">
        <v>0.24578999999999901</v>
      </c>
      <c r="AF5366">
        <v>-8.1899127294548596E-2</v>
      </c>
      <c r="AG5366">
        <v>-1.10991753346299</v>
      </c>
      <c r="AH5366">
        <v>16.4207809116993</v>
      </c>
      <c r="AI5366">
        <v>93.866821008426797</v>
      </c>
      <c r="AJ5366">
        <v>90.285762014392603</v>
      </c>
      <c r="AK5366">
        <v>16.4584528479492</v>
      </c>
      <c r="AL5366">
        <v>89.602902820262997</v>
      </c>
      <c r="AM5366">
        <v>88.098017188631403</v>
      </c>
      <c r="AN5366">
        <v>1.0000000357141501</v>
      </c>
    </row>
    <row r="5367" spans="1:40" x14ac:dyDescent="0.25">
      <c r="A5367" t="str">
        <f>"20190312161122968"</f>
        <v>20190312161122968</v>
      </c>
      <c r="B5367" t="str">
        <f>"1552378282962103"</f>
        <v>1552378282962103</v>
      </c>
      <c r="C5367" t="s">
        <v>40</v>
      </c>
      <c r="D5367">
        <v>6.046818</v>
      </c>
      <c r="E5367">
        <v>0.48653489999999999</v>
      </c>
      <c r="F5367" t="s">
        <v>98</v>
      </c>
      <c r="G5367">
        <v>-361.06</v>
      </c>
      <c r="H5367" s="1">
        <v>-4.5731460000000003E-6</v>
      </c>
      <c r="I5367">
        <v>17.661739999999899</v>
      </c>
      <c r="J5367">
        <v>-379.3707</v>
      </c>
      <c r="K5367">
        <v>1.1098269999999999</v>
      </c>
      <c r="L5367">
        <v>17.358000000000001</v>
      </c>
      <c r="M5367">
        <v>0.99990860000000004</v>
      </c>
      <c r="N5367">
        <v>0</v>
      </c>
      <c r="O5367">
        <v>1.0867079999999999E-2</v>
      </c>
      <c r="P5367">
        <v>0.99974200000000002</v>
      </c>
      <c r="Q5367">
        <v>-1.9946550000000001E-3</v>
      </c>
      <c r="R5367">
        <v>-2.2628840000000001E-2</v>
      </c>
      <c r="S5367">
        <v>3.0018009999999999</v>
      </c>
      <c r="T5367">
        <v>-0.17801120000000001</v>
      </c>
      <c r="U5367">
        <v>4.9560550000000002E-2</v>
      </c>
      <c r="V5367">
        <v>3.3489339999999999E-2</v>
      </c>
      <c r="W5367">
        <v>6.0656340000000003E-3</v>
      </c>
      <c r="X5367">
        <v>0.99942059999999999</v>
      </c>
      <c r="Y5367">
        <v>-5.6502599999999998E-3</v>
      </c>
      <c r="Z5367">
        <v>-4.7644560000000002E-4</v>
      </c>
      <c r="AA5367">
        <v>0.99998390000000004</v>
      </c>
      <c r="AB5367">
        <v>21</v>
      </c>
      <c r="AC5367">
        <v>18.310700000000001</v>
      </c>
      <c r="AD5367">
        <v>-1.109831573146</v>
      </c>
      <c r="AE5367">
        <v>0.30373999999999701</v>
      </c>
      <c r="AF5367">
        <v>-0.104348544148686</v>
      </c>
      <c r="AG5367">
        <v>-1.109831573146</v>
      </c>
      <c r="AH5367">
        <v>18.245907944630101</v>
      </c>
      <c r="AI5367">
        <v>93.480746489640694</v>
      </c>
      <c r="AJ5367">
        <v>90.327671608077097</v>
      </c>
      <c r="AK5367">
        <v>18.279928103341501</v>
      </c>
      <c r="AL5367">
        <v>89.652462616895207</v>
      </c>
      <c r="AM5367">
        <v>88.080807861473801</v>
      </c>
      <c r="AN5367">
        <v>0.99999993175690605</v>
      </c>
    </row>
    <row r="5368" spans="1:40" x14ac:dyDescent="0.25">
      <c r="A5368" t="str">
        <f>"20190312161122992"</f>
        <v>20190312161122992</v>
      </c>
      <c r="B5368" t="str">
        <f>"1552378282982599"</f>
        <v>1552378282982599</v>
      </c>
      <c r="C5368" t="s">
        <v>40</v>
      </c>
      <c r="D5368">
        <v>5.7241220000000004</v>
      </c>
      <c r="E5368">
        <v>0.4874288</v>
      </c>
      <c r="F5368" t="s">
        <v>98</v>
      </c>
      <c r="G5368">
        <v>-360.3014</v>
      </c>
      <c r="H5368" s="1">
        <v>-4.934663E-6</v>
      </c>
      <c r="I5368">
        <v>17.645350000000001</v>
      </c>
      <c r="J5368">
        <v>-379.15230000000003</v>
      </c>
      <c r="K5368">
        <v>1.109785</v>
      </c>
      <c r="L5368">
        <v>17.360900000000001</v>
      </c>
      <c r="M5368">
        <v>0.99990440000000003</v>
      </c>
      <c r="N5368">
        <v>0</v>
      </c>
      <c r="O5368">
        <v>1.1273160000000001E-2</v>
      </c>
      <c r="P5368">
        <v>0.99973860000000003</v>
      </c>
      <c r="Q5368">
        <v>-2.3264610000000002E-3</v>
      </c>
      <c r="R5368">
        <v>-2.2753260000000001E-2</v>
      </c>
      <c r="S5368">
        <v>3.001404</v>
      </c>
      <c r="T5368">
        <v>-0.1746809</v>
      </c>
      <c r="U5368">
        <v>4.5227049999999998E-2</v>
      </c>
      <c r="V5368">
        <v>3.402032E-2</v>
      </c>
      <c r="W5368">
        <v>5.7099189999999999E-3</v>
      </c>
      <c r="X5368">
        <v>0.99940479999999998</v>
      </c>
      <c r="Y5368">
        <v>-3.8063509999999999E-3</v>
      </c>
      <c r="Z5368">
        <v>-5.4483590000000001E-4</v>
      </c>
      <c r="AA5368">
        <v>0.99999260000000001</v>
      </c>
      <c r="AB5368">
        <v>21</v>
      </c>
      <c r="AC5368">
        <v>18.850899999999999</v>
      </c>
      <c r="AD5368">
        <v>-1.109789934663</v>
      </c>
      <c r="AE5368">
        <v>0.28444999999999898</v>
      </c>
      <c r="AF5368">
        <v>-7.1667563081185895E-2</v>
      </c>
      <c r="AG5368">
        <v>-1.109789934663</v>
      </c>
      <c r="AH5368">
        <v>18.7878067735206</v>
      </c>
      <c r="AI5368">
        <v>93.380491289925402</v>
      </c>
      <c r="AJ5368">
        <v>90.218558186462303</v>
      </c>
      <c r="AK5368">
        <v>18.820692157777401</v>
      </c>
      <c r="AL5368">
        <v>89.672843952322594</v>
      </c>
      <c r="AM5368">
        <v>88.050371197992703</v>
      </c>
      <c r="AN5368">
        <v>0.99999996980546402</v>
      </c>
    </row>
    <row r="5369" spans="1:40" x14ac:dyDescent="0.25">
      <c r="A5369" t="str">
        <f>"20190312161123012"</f>
        <v>20190312161123012</v>
      </c>
      <c r="B5369" t="str">
        <f>"1552378282992359"</f>
        <v>1552378282992359</v>
      </c>
      <c r="C5369" t="s">
        <v>40</v>
      </c>
      <c r="D5369">
        <v>5.8523509999999996</v>
      </c>
      <c r="E5369">
        <v>0.4873845</v>
      </c>
      <c r="F5369" t="s">
        <v>98</v>
      </c>
      <c r="G5369">
        <v>-360.59649999999999</v>
      </c>
      <c r="H5369" s="1">
        <v>-4.8042760000000001E-6</v>
      </c>
      <c r="I5369">
        <v>17.59393</v>
      </c>
      <c r="J5369">
        <v>-378.96339999999998</v>
      </c>
      <c r="K5369">
        <v>1.109742</v>
      </c>
      <c r="L5369">
        <v>17.36337</v>
      </c>
      <c r="M5369">
        <v>0.99990120000000005</v>
      </c>
      <c r="N5369">
        <v>0</v>
      </c>
      <c r="O5369">
        <v>1.155045E-2</v>
      </c>
      <c r="P5369">
        <v>0.99972260000000002</v>
      </c>
      <c r="Q5369">
        <v>-2.4652279999999999E-3</v>
      </c>
      <c r="R5369">
        <v>-2.3426579999999999E-2</v>
      </c>
      <c r="S5369">
        <v>3.0011899999999998</v>
      </c>
      <c r="T5369">
        <v>-0.17949560000000001</v>
      </c>
      <c r="U5369">
        <v>3.7689210000000001E-2</v>
      </c>
      <c r="V5369">
        <v>3.4970889999999998E-2</v>
      </c>
      <c r="W5369">
        <v>5.547321E-3</v>
      </c>
      <c r="X5369">
        <v>0.99937299999999996</v>
      </c>
      <c r="Y5369">
        <v>-1.025158E-3</v>
      </c>
      <c r="Z5369">
        <v>-6.595371E-4</v>
      </c>
      <c r="AA5369">
        <v>0.99999930000000004</v>
      </c>
      <c r="AB5369">
        <v>21</v>
      </c>
      <c r="AC5369">
        <v>18.366899999999902</v>
      </c>
      <c r="AD5369">
        <v>-1.1097468042759999</v>
      </c>
      <c r="AE5369">
        <v>0.23055999999999999</v>
      </c>
      <c r="AF5369">
        <v>-1.8324962356251102E-2</v>
      </c>
      <c r="AG5369">
        <v>-1.1097468042759999</v>
      </c>
      <c r="AH5369">
        <v>18.301534969645601</v>
      </c>
      <c r="AI5369">
        <v>93.469983212780306</v>
      </c>
      <c r="AJ5369">
        <v>90.057369103390101</v>
      </c>
      <c r="AK5369">
        <v>18.335159012645899</v>
      </c>
      <c r="AL5369">
        <v>89.682160309455</v>
      </c>
      <c r="AM5369">
        <v>87.995876247225198</v>
      </c>
      <c r="AN5369">
        <v>1.00000006452333</v>
      </c>
    </row>
    <row r="5370" spans="1:40" x14ac:dyDescent="0.25">
      <c r="A5370" t="str">
        <f>"20190312161123056"</f>
        <v>20190312161123056</v>
      </c>
      <c r="B5370" t="str">
        <f>"1552378283052870"</f>
        <v>1552378283052870</v>
      </c>
      <c r="C5370" t="s">
        <v>40</v>
      </c>
      <c r="D5370">
        <v>5.802683</v>
      </c>
      <c r="E5370">
        <v>0.48748960000000002</v>
      </c>
      <c r="F5370" t="s">
        <v>98</v>
      </c>
      <c r="G5370">
        <v>-360.13510000000002</v>
      </c>
      <c r="H5370" s="1">
        <v>-5.0233139999999998E-6</v>
      </c>
      <c r="I5370">
        <v>17.588709999999999</v>
      </c>
      <c r="J5370">
        <v>-378.54610000000002</v>
      </c>
      <c r="K5370">
        <v>1.109567</v>
      </c>
      <c r="L5370">
        <v>17.368590000000001</v>
      </c>
      <c r="M5370">
        <v>0.99989349999999999</v>
      </c>
      <c r="N5370">
        <v>0</v>
      </c>
      <c r="O5370">
        <v>1.236627E-2</v>
      </c>
      <c r="P5370">
        <v>0.99969839999999999</v>
      </c>
      <c r="Q5370">
        <v>-2.889399E-3</v>
      </c>
      <c r="R5370">
        <v>-2.4401570000000001E-2</v>
      </c>
      <c r="S5370">
        <v>3.0012819999999998</v>
      </c>
      <c r="T5370">
        <v>-0.17689669999999999</v>
      </c>
      <c r="U5370">
        <v>3.5919189999999997E-2</v>
      </c>
      <c r="V5370">
        <v>3.6762259999999998E-2</v>
      </c>
      <c r="W5370">
        <v>4.8816650000000003E-3</v>
      </c>
      <c r="X5370">
        <v>0.99931210000000004</v>
      </c>
      <c r="Y5370">
        <v>3.7746729999999998E-4</v>
      </c>
      <c r="Z5370">
        <v>-7.3932329999999995E-4</v>
      </c>
      <c r="AA5370">
        <v>0.99999959999999999</v>
      </c>
      <c r="AB5370">
        <v>21</v>
      </c>
      <c r="AC5370">
        <v>18.410999999999898</v>
      </c>
      <c r="AD5370">
        <v>-1.1095720233140001</v>
      </c>
      <c r="AE5370">
        <v>0.22011999999999701</v>
      </c>
      <c r="AF5370">
        <v>7.5516430637668497E-3</v>
      </c>
      <c r="AG5370">
        <v>-1.1095720233140001</v>
      </c>
      <c r="AH5370">
        <v>18.3456906383737</v>
      </c>
      <c r="AI5370">
        <v>93.461109318912705</v>
      </c>
      <c r="AJ5370">
        <v>89.976415319541005</v>
      </c>
      <c r="AK5370">
        <v>18.3792157640402</v>
      </c>
      <c r="AL5370">
        <v>89.720300083062099</v>
      </c>
      <c r="AM5370">
        <v>87.893177782416799</v>
      </c>
      <c r="AN5370">
        <v>0.99999998380994404</v>
      </c>
    </row>
    <row r="5371" spans="1:40" x14ac:dyDescent="0.25">
      <c r="A5371" t="str">
        <f>"20190312161123090"</f>
        <v>20190312161123090</v>
      </c>
      <c r="B5371" t="str">
        <f>"1552378283082151"</f>
        <v>1552378283082151</v>
      </c>
      <c r="C5371" t="s">
        <v>40</v>
      </c>
      <c r="D5371">
        <v>5.781155</v>
      </c>
      <c r="E5371">
        <v>0.48747750000000001</v>
      </c>
      <c r="F5371" t="s">
        <v>41</v>
      </c>
      <c r="G5371">
        <v>-359.64530000000002</v>
      </c>
      <c r="H5371" s="1">
        <v>-6.5128710000000002E-7</v>
      </c>
      <c r="I5371">
        <v>17.56973</v>
      </c>
      <c r="J5371">
        <v>-378.22410000000002</v>
      </c>
      <c r="K5371">
        <v>1.109615</v>
      </c>
      <c r="L5371">
        <v>17.372499999999999</v>
      </c>
      <c r="M5371">
        <v>0.99989810000000001</v>
      </c>
      <c r="N5371">
        <v>0</v>
      </c>
      <c r="O5371">
        <v>1.19206E-2</v>
      </c>
      <c r="P5371">
        <v>0.99966469999999996</v>
      </c>
      <c r="Q5371">
        <v>-3.7991409999999998E-3</v>
      </c>
      <c r="R5371">
        <v>-2.56171E-2</v>
      </c>
      <c r="S5371">
        <v>3.0011899999999998</v>
      </c>
      <c r="T5371">
        <v>-0.17618439999999999</v>
      </c>
      <c r="U5371">
        <v>3.1951899999999998E-2</v>
      </c>
      <c r="V5371">
        <v>3.7530859999999999E-2</v>
      </c>
      <c r="W5371">
        <v>4.070097E-3</v>
      </c>
      <c r="X5371">
        <v>0.99928720000000004</v>
      </c>
      <c r="Y5371">
        <v>1.2525629999999999E-3</v>
      </c>
      <c r="Z5371">
        <v>-7.3590639999999996E-4</v>
      </c>
      <c r="AA5371">
        <v>0.99999890000000002</v>
      </c>
      <c r="AB5371">
        <v>21</v>
      </c>
      <c r="AC5371">
        <v>18.578800000000001</v>
      </c>
      <c r="AD5371">
        <v>-1.1096156512871</v>
      </c>
      <c r="AE5371">
        <v>0.19723000000000099</v>
      </c>
      <c r="AF5371">
        <v>2.4175065279943599E-2</v>
      </c>
      <c r="AG5371">
        <v>-1.1096156512871</v>
      </c>
      <c r="AH5371">
        <v>18.513798713700002</v>
      </c>
      <c r="AI5371">
        <v>93.429889197837696</v>
      </c>
      <c r="AJ5371">
        <v>89.925183996857399</v>
      </c>
      <c r="AK5371">
        <v>18.547036802108401</v>
      </c>
      <c r="AL5371">
        <v>89.766799980408607</v>
      </c>
      <c r="AM5371">
        <v>87.849117198142494</v>
      </c>
      <c r="AN5371">
        <v>1.00000001961288</v>
      </c>
    </row>
    <row r="5372" spans="1:40" x14ac:dyDescent="0.25">
      <c r="A5372" t="str">
        <f>"20190312161123113"</f>
        <v>20190312161123113</v>
      </c>
      <c r="B5372" t="str">
        <f>"1552378283102649"</f>
        <v>1552378283102649</v>
      </c>
      <c r="C5372" t="s">
        <v>40</v>
      </c>
      <c r="D5372">
        <v>5.9603270000000004</v>
      </c>
      <c r="E5372">
        <v>0.48774260000000003</v>
      </c>
      <c r="F5372" t="s">
        <v>41</v>
      </c>
      <c r="G5372">
        <v>-359.40440000000001</v>
      </c>
      <c r="H5372" s="1">
        <v>-7.3836790000000002E-7</v>
      </c>
      <c r="I5372">
        <v>17.55058</v>
      </c>
      <c r="J5372">
        <v>-378.00850000000003</v>
      </c>
      <c r="K5372">
        <v>1.109553</v>
      </c>
      <c r="L5372">
        <v>17.375060000000001</v>
      </c>
      <c r="M5372">
        <v>0.99990420000000002</v>
      </c>
      <c r="N5372">
        <v>0</v>
      </c>
      <c r="O5372">
        <v>1.13925E-2</v>
      </c>
      <c r="P5372">
        <v>0.99963860000000004</v>
      </c>
      <c r="Q5372">
        <v>-3.6234010000000001E-3</v>
      </c>
      <c r="R5372">
        <v>-2.6648910000000001E-2</v>
      </c>
      <c r="S5372">
        <v>3.0010680000000001</v>
      </c>
      <c r="T5372">
        <v>-0.1769443</v>
      </c>
      <c r="U5372">
        <v>2.8411869999999999E-2</v>
      </c>
      <c r="V5372">
        <v>3.8034600000000002E-2</v>
      </c>
      <c r="W5372">
        <v>4.2541530000000001E-3</v>
      </c>
      <c r="X5372">
        <v>0.99926729999999997</v>
      </c>
      <c r="Y5372">
        <v>1.903046E-3</v>
      </c>
      <c r="Z5372">
        <v>-7.2716220000000002E-4</v>
      </c>
      <c r="AA5372">
        <v>0.9999979</v>
      </c>
      <c r="AB5372">
        <v>21</v>
      </c>
      <c r="AC5372">
        <v>18.604099999999999</v>
      </c>
      <c r="AD5372">
        <v>-1.1095537383678999</v>
      </c>
      <c r="AE5372">
        <v>0.17551999999999801</v>
      </c>
      <c r="AF5372">
        <v>3.6315987143722403E-2</v>
      </c>
      <c r="AG5372">
        <v>-1.1095537383678999</v>
      </c>
      <c r="AH5372">
        <v>18.5389557440398</v>
      </c>
      <c r="AI5372">
        <v>93.425051683238294</v>
      </c>
      <c r="AJ5372">
        <v>89.887763358441802</v>
      </c>
      <c r="AK5372">
        <v>18.5721648826601</v>
      </c>
      <c r="AL5372">
        <v>89.756254236085894</v>
      </c>
      <c r="AM5372">
        <v>87.820232299742003</v>
      </c>
      <c r="AN5372">
        <v>0.99999993273209598</v>
      </c>
    </row>
    <row r="5373" spans="1:40" x14ac:dyDescent="0.25">
      <c r="A5373" t="str">
        <f>"20190312161123136"</f>
        <v>20190312161123136</v>
      </c>
      <c r="B5373" t="str">
        <f>"1552378283132902"</f>
        <v>1552378283132902</v>
      </c>
      <c r="C5373" t="s">
        <v>40</v>
      </c>
      <c r="D5373">
        <v>5.8748719999999999</v>
      </c>
      <c r="E5373">
        <v>0.52999219999999903</v>
      </c>
      <c r="F5373" t="s">
        <v>41</v>
      </c>
      <c r="G5373">
        <v>-358.80419999999998</v>
      </c>
      <c r="H5373" s="1">
        <v>-9.5000800000000002E-7</v>
      </c>
      <c r="I5373">
        <v>17.5228</v>
      </c>
      <c r="J5373">
        <v>-377.78699999999998</v>
      </c>
      <c r="K5373">
        <v>1.109386</v>
      </c>
      <c r="L5373">
        <v>17.377500000000001</v>
      </c>
      <c r="M5373">
        <v>0.99990800000000002</v>
      </c>
      <c r="N5373">
        <v>0</v>
      </c>
      <c r="O5373">
        <v>1.1094720000000001E-2</v>
      </c>
      <c r="P5373">
        <v>0.99963270000000004</v>
      </c>
      <c r="Q5373">
        <v>-3.1596010000000002E-3</v>
      </c>
      <c r="R5373">
        <v>-2.6922580000000002E-2</v>
      </c>
      <c r="S5373">
        <v>3.0010680000000001</v>
      </c>
      <c r="T5373">
        <v>-0.17339070000000001</v>
      </c>
      <c r="U5373">
        <v>2.310181E-2</v>
      </c>
      <c r="V5373">
        <v>3.8011400000000001E-2</v>
      </c>
      <c r="W5373">
        <v>4.6418190000000002E-3</v>
      </c>
      <c r="X5373">
        <v>0.99926649999999995</v>
      </c>
      <c r="Y5373">
        <v>3.3734440000000002E-3</v>
      </c>
      <c r="Z5373">
        <v>-7.3784169999999995E-4</v>
      </c>
      <c r="AA5373">
        <v>0.99999400000000005</v>
      </c>
      <c r="AB5373">
        <v>21</v>
      </c>
      <c r="AC5373">
        <v>18.982800000000001</v>
      </c>
      <c r="AD5373">
        <v>-1.109386950008</v>
      </c>
      <c r="AE5373">
        <v>0.14529999999999799</v>
      </c>
      <c r="AF5373">
        <v>6.5101869586255301E-2</v>
      </c>
      <c r="AG5373">
        <v>-1.109386950008</v>
      </c>
      <c r="AH5373">
        <v>18.918632177556599</v>
      </c>
      <c r="AI5373">
        <v>93.355956573514007</v>
      </c>
      <c r="AJ5373">
        <v>89.802837350628806</v>
      </c>
      <c r="AK5373">
        <v>18.9512432607455</v>
      </c>
      <c r="AL5373">
        <v>89.734042400444096</v>
      </c>
      <c r="AM5373">
        <v>87.821558870916107</v>
      </c>
      <c r="AN5373">
        <v>0.99999997551791897</v>
      </c>
    </row>
    <row r="5374" spans="1:40" x14ac:dyDescent="0.25">
      <c r="A5374" t="str">
        <f>"20190312161123158"</f>
        <v>20190312161123158</v>
      </c>
      <c r="B5374" t="str">
        <f>"1552378283152561"</f>
        <v>1552378283152561</v>
      </c>
      <c r="C5374" t="s">
        <v>40</v>
      </c>
      <c r="D5374">
        <v>5.8590369999999998</v>
      </c>
      <c r="E5374">
        <v>0.53574440000000001</v>
      </c>
      <c r="F5374" t="s">
        <v>101</v>
      </c>
      <c r="G5374">
        <v>-258.71409999999997</v>
      </c>
      <c r="H5374">
        <v>2.0980889999999999</v>
      </c>
      <c r="I5374">
        <v>4.6006429999999998</v>
      </c>
      <c r="J5374">
        <v>-377.57929999999999</v>
      </c>
      <c r="K5374">
        <v>1.1092200000000001</v>
      </c>
      <c r="L5374">
        <v>17.379519999999999</v>
      </c>
      <c r="M5374">
        <v>0.99990979999999996</v>
      </c>
      <c r="N5374">
        <v>0</v>
      </c>
      <c r="O5374">
        <v>1.098265E-2</v>
      </c>
      <c r="P5374">
        <v>0.99963950000000001</v>
      </c>
      <c r="Q5374">
        <v>-2.6292770000000002E-3</v>
      </c>
      <c r="R5374">
        <v>-2.672799E-2</v>
      </c>
      <c r="S5374">
        <v>2.9925229999999998</v>
      </c>
      <c r="T5374">
        <v>2.4847979999999999E-2</v>
      </c>
      <c r="U5374">
        <v>-0.321106</v>
      </c>
      <c r="V5374">
        <v>3.7706839999999998E-2</v>
      </c>
      <c r="W5374">
        <v>5.1081599999999996E-3</v>
      </c>
      <c r="X5374">
        <v>0.99927580000000005</v>
      </c>
      <c r="Y5374">
        <v>0.1175998</v>
      </c>
      <c r="Z5374">
        <v>5.7777589999999997E-4</v>
      </c>
      <c r="AA5374">
        <v>0.99306090000000002</v>
      </c>
      <c r="AB5374">
        <v>21</v>
      </c>
      <c r="AC5374">
        <v>118.8652</v>
      </c>
      <c r="AD5374">
        <v>0.988868999999999</v>
      </c>
      <c r="AE5374">
        <v>-12.778877</v>
      </c>
      <c r="AF5374">
        <v>14.0826366303969</v>
      </c>
      <c r="AG5374">
        <v>0.988868999999999</v>
      </c>
      <c r="AH5374">
        <v>118.709558548812</v>
      </c>
      <c r="AI5374">
        <v>89.526051535292694</v>
      </c>
      <c r="AJ5374">
        <v>83.234562091835897</v>
      </c>
      <c r="AK5374">
        <v>119.546048898392</v>
      </c>
      <c r="AL5374">
        <v>89.707322721539597</v>
      </c>
      <c r="AM5374">
        <v>87.839016744687399</v>
      </c>
      <c r="AN5374">
        <v>1.0000000117735</v>
      </c>
    </row>
    <row r="5375" spans="1:40" x14ac:dyDescent="0.25">
      <c r="A5375" t="str">
        <f>"20190312161123180"</f>
        <v>20190312161123180</v>
      </c>
      <c r="B5375" t="str">
        <f>"1552378283173056"</f>
        <v>1552378283173056</v>
      </c>
      <c r="C5375" t="s">
        <v>40</v>
      </c>
      <c r="D5375">
        <v>8.1968589999999999</v>
      </c>
      <c r="E5375">
        <v>0.53517740000000003</v>
      </c>
      <c r="F5375" t="s">
        <v>101</v>
      </c>
      <c r="G5375">
        <v>-273.0215</v>
      </c>
      <c r="H5375">
        <v>1.173022</v>
      </c>
      <c r="I5375">
        <v>4.6003360000000004</v>
      </c>
      <c r="J5375">
        <v>-377.36739999999998</v>
      </c>
      <c r="K5375">
        <v>1.1091059999999999</v>
      </c>
      <c r="L5375">
        <v>17.381409999999999</v>
      </c>
      <c r="M5375">
        <v>0.99991169999999996</v>
      </c>
      <c r="N5375">
        <v>0</v>
      </c>
      <c r="O5375">
        <v>1.0813359999999999E-2</v>
      </c>
      <c r="P5375">
        <v>0.99965749999999998</v>
      </c>
      <c r="Q5375">
        <v>-2.416213E-3</v>
      </c>
      <c r="R5375">
        <v>-2.605992E-2</v>
      </c>
      <c r="S5375">
        <v>2.9913020000000001</v>
      </c>
      <c r="T5375">
        <v>1.8253329999999999E-3</v>
      </c>
      <c r="U5375">
        <v>-0.3656006</v>
      </c>
      <c r="V5375">
        <v>3.6871269999999998E-2</v>
      </c>
      <c r="W5375">
        <v>5.2931699999999998E-3</v>
      </c>
      <c r="X5375">
        <v>0.99930600000000003</v>
      </c>
      <c r="Y5375">
        <v>0.1320451</v>
      </c>
      <c r="Z5375" s="1">
        <v>4.6713679999999897E-5</v>
      </c>
      <c r="AA5375">
        <v>0.99124369999999995</v>
      </c>
      <c r="AB5375">
        <v>21</v>
      </c>
      <c r="AC5375">
        <v>104.34589999999901</v>
      </c>
      <c r="AD5375">
        <v>6.3916000000000001E-2</v>
      </c>
      <c r="AE5375">
        <v>-12.781073999999901</v>
      </c>
      <c r="AF5375">
        <v>13.908684997321499</v>
      </c>
      <c r="AG5375">
        <v>6.3916000000000001E-2</v>
      </c>
      <c r="AH5375">
        <v>104.20154994309399</v>
      </c>
      <c r="AI5375">
        <v>89.965164405033704</v>
      </c>
      <c r="AJ5375">
        <v>82.397174684904996</v>
      </c>
      <c r="AK5375">
        <v>105.125727651003</v>
      </c>
      <c r="AL5375">
        <v>89.696722281014104</v>
      </c>
      <c r="AM5375">
        <v>87.886923255131705</v>
      </c>
      <c r="AN5375">
        <v>0.99999999491803004</v>
      </c>
    </row>
    <row r="5376" spans="1:40" x14ac:dyDescent="0.25">
      <c r="A5376" t="str">
        <f>"20190312161123202"</f>
        <v>20190312161123202</v>
      </c>
      <c r="B5376" t="str">
        <f>"1552378283192582"</f>
        <v>1552378283192582</v>
      </c>
      <c r="C5376" t="s">
        <v>40</v>
      </c>
      <c r="D5376">
        <v>5.857424</v>
      </c>
      <c r="E5376">
        <v>0.53724989999999995</v>
      </c>
      <c r="F5376" t="s">
        <v>101</v>
      </c>
      <c r="G5376">
        <v>-270.98559999999998</v>
      </c>
      <c r="H5376">
        <v>1.6159570000000001</v>
      </c>
      <c r="I5376">
        <v>4.6004829999999997</v>
      </c>
      <c r="J5376">
        <v>-377.1497</v>
      </c>
      <c r="K5376">
        <v>1.1090549999999999</v>
      </c>
      <c r="L5376">
        <v>17.383209999999998</v>
      </c>
      <c r="M5376">
        <v>0.99991560000000002</v>
      </c>
      <c r="N5376">
        <v>0</v>
      </c>
      <c r="O5376">
        <v>1.043617E-2</v>
      </c>
      <c r="P5376">
        <v>0.99966120000000003</v>
      </c>
      <c r="Q5376">
        <v>-2.8177020000000001E-3</v>
      </c>
      <c r="R5376">
        <v>-2.5874350000000001E-2</v>
      </c>
      <c r="S5376">
        <v>2.9917600000000002</v>
      </c>
      <c r="T5376">
        <v>1.425421E-2</v>
      </c>
      <c r="U5376">
        <v>-0.35943599999999998</v>
      </c>
      <c r="V5376">
        <v>3.6309260000000003E-2</v>
      </c>
      <c r="W5376">
        <v>4.8835720000000001E-3</v>
      </c>
      <c r="X5376">
        <v>0.99932869999999996</v>
      </c>
      <c r="Y5376">
        <v>0.12963810000000001</v>
      </c>
      <c r="Z5376">
        <v>3.5727479999999998E-4</v>
      </c>
      <c r="AA5376">
        <v>0.99156129999999998</v>
      </c>
      <c r="AB5376">
        <v>21</v>
      </c>
      <c r="AC5376">
        <v>106.1641</v>
      </c>
      <c r="AD5376">
        <v>0.50690199999999996</v>
      </c>
      <c r="AE5376">
        <v>-12.782727</v>
      </c>
      <c r="AF5376">
        <v>13.889698471875899</v>
      </c>
      <c r="AG5376">
        <v>0.50690199999999996</v>
      </c>
      <c r="AH5376">
        <v>106.022528892559</v>
      </c>
      <c r="AI5376">
        <v>89.728387357570099</v>
      </c>
      <c r="AJ5376">
        <v>82.536354543089601</v>
      </c>
      <c r="AK5376">
        <v>106.929683933185</v>
      </c>
      <c r="AL5376">
        <v>89.720190831950006</v>
      </c>
      <c r="AM5376">
        <v>87.919150500740699</v>
      </c>
      <c r="AN5376">
        <v>1.00000003114045</v>
      </c>
    </row>
    <row r="5377" spans="1:40" x14ac:dyDescent="0.25">
      <c r="A5377" t="str">
        <f>"20190312161123224"</f>
        <v>20190312161123224</v>
      </c>
      <c r="B5377" t="str">
        <f>"1552378283213073"</f>
        <v>1552378283213073</v>
      </c>
      <c r="C5377" t="s">
        <v>40</v>
      </c>
      <c r="D5377">
        <v>5.7751769999999896</v>
      </c>
      <c r="E5377">
        <v>0.53822950000000003</v>
      </c>
      <c r="F5377" t="s">
        <v>101</v>
      </c>
      <c r="G5377">
        <v>-278.76690000000002</v>
      </c>
      <c r="H5377">
        <v>1.1715519999999999</v>
      </c>
      <c r="I5377">
        <v>5.0474589999999999</v>
      </c>
      <c r="J5377">
        <v>-376.9436</v>
      </c>
      <c r="K5377">
        <v>1.109035</v>
      </c>
      <c r="L5377">
        <v>17.38477</v>
      </c>
      <c r="M5377">
        <v>0.99992110000000001</v>
      </c>
      <c r="N5377">
        <v>0</v>
      </c>
      <c r="O5377">
        <v>9.8951739999999996E-3</v>
      </c>
      <c r="P5377">
        <v>0.99966029999999995</v>
      </c>
      <c r="Q5377">
        <v>-2.6360279999999999E-3</v>
      </c>
      <c r="R5377">
        <v>-2.5934140000000001E-2</v>
      </c>
      <c r="S5377">
        <v>2.9912719999999999</v>
      </c>
      <c r="T5377">
        <v>1.900196E-3</v>
      </c>
      <c r="U5377">
        <v>-0.37506099999999998</v>
      </c>
      <c r="V5377">
        <v>3.5828619999999999E-2</v>
      </c>
      <c r="W5377">
        <v>5.0600000000000003E-3</v>
      </c>
      <c r="X5377">
        <v>0.99934509999999999</v>
      </c>
      <c r="Y5377">
        <v>0.1342235</v>
      </c>
      <c r="Z5377" s="1">
        <v>4.87287E-5</v>
      </c>
      <c r="AA5377">
        <v>0.99095109999999997</v>
      </c>
      <c r="AB5377">
        <v>22</v>
      </c>
      <c r="AC5377">
        <v>98.176699999999897</v>
      </c>
      <c r="AD5377">
        <v>6.25170000000001E-2</v>
      </c>
      <c r="AE5377">
        <v>-12.337311</v>
      </c>
      <c r="AF5377">
        <v>13.308206252167301</v>
      </c>
      <c r="AG5377">
        <v>6.25170000000001E-2</v>
      </c>
      <c r="AH5377">
        <v>98.049770500519699</v>
      </c>
      <c r="AI5377">
        <v>89.963799868014107</v>
      </c>
      <c r="AJ5377">
        <v>82.270530049828693</v>
      </c>
      <c r="AK5377">
        <v>98.9488239305051</v>
      </c>
      <c r="AL5377">
        <v>89.710082107264199</v>
      </c>
      <c r="AM5377">
        <v>87.946705458146795</v>
      </c>
      <c r="AN5377">
        <v>0.99999996125255597</v>
      </c>
    </row>
    <row r="5378" spans="1:40" x14ac:dyDescent="0.25">
      <c r="A5378" t="str">
        <f>"20190312161123246"</f>
        <v>20190312161123246</v>
      </c>
      <c r="B5378" t="str">
        <f>"1552378283242353"</f>
        <v>1552378283242353</v>
      </c>
      <c r="C5378" t="s">
        <v>40</v>
      </c>
      <c r="D5378">
        <v>5.8446800000000003</v>
      </c>
      <c r="E5378">
        <v>0.53932380000000002</v>
      </c>
      <c r="F5378" t="s">
        <v>101</v>
      </c>
      <c r="G5378">
        <v>-279.33690000000001</v>
      </c>
      <c r="H5378">
        <v>0.52897749999999999</v>
      </c>
      <c r="I5378">
        <v>4.9044610000000004</v>
      </c>
      <c r="J5378">
        <v>-376.72800000000001</v>
      </c>
      <c r="K5378">
        <v>1.109035</v>
      </c>
      <c r="L5378">
        <v>17.38626</v>
      </c>
      <c r="M5378">
        <v>0.99992760000000003</v>
      </c>
      <c r="N5378">
        <v>0</v>
      </c>
      <c r="O5378">
        <v>9.2366770000000004E-3</v>
      </c>
      <c r="P5378">
        <v>0.99963970000000002</v>
      </c>
      <c r="Q5378">
        <v>-2.297875E-3</v>
      </c>
      <c r="R5378">
        <v>-2.6743969999999999E-2</v>
      </c>
      <c r="S5378">
        <v>2.9910580000000002</v>
      </c>
      <c r="T5378">
        <v>-1.77752999999999E-2</v>
      </c>
      <c r="U5378">
        <v>-0.38244630000000002</v>
      </c>
      <c r="V5378">
        <v>3.5980610000000003E-2</v>
      </c>
      <c r="W5378">
        <v>5.3966419999999897E-3</v>
      </c>
      <c r="X5378">
        <v>0.9993379</v>
      </c>
      <c r="Y5378">
        <v>0.1359851</v>
      </c>
      <c r="Z5378">
        <v>-4.571032E-4</v>
      </c>
      <c r="AA5378">
        <v>0.9907108</v>
      </c>
      <c r="AB5378">
        <v>22</v>
      </c>
      <c r="AC5378">
        <v>97.391099999999994</v>
      </c>
      <c r="AD5378">
        <v>-0.5800575</v>
      </c>
      <c r="AE5378">
        <v>-12.481799000000001</v>
      </c>
      <c r="AF5378">
        <v>13.380396415613999</v>
      </c>
      <c r="AG5378">
        <v>-0.5800575</v>
      </c>
      <c r="AH5378">
        <v>97.268256687716203</v>
      </c>
      <c r="AI5378">
        <v>90.338490713487204</v>
      </c>
      <c r="AJ5378">
        <v>82.167448375384495</v>
      </c>
      <c r="AK5378">
        <v>98.185972694727198</v>
      </c>
      <c r="AL5378">
        <v>89.690793683778196</v>
      </c>
      <c r="AM5378">
        <v>87.937987756307393</v>
      </c>
      <c r="AN5378">
        <v>0.99999998320862804</v>
      </c>
    </row>
    <row r="5379" spans="1:40" x14ac:dyDescent="0.25">
      <c r="A5379" t="str">
        <f>"20190312161123268"</f>
        <v>20190312161123268</v>
      </c>
      <c r="B5379" t="str">
        <f>"1552378283262850"</f>
        <v>1552378283262850</v>
      </c>
      <c r="C5379" t="s">
        <v>40</v>
      </c>
      <c r="D5379">
        <v>5.9197879999999996</v>
      </c>
      <c r="E5379">
        <v>0.53981880000000004</v>
      </c>
      <c r="F5379" t="s">
        <v>101</v>
      </c>
      <c r="G5379">
        <v>-279.33690000000001</v>
      </c>
      <c r="H5379">
        <v>0.36283100000000001</v>
      </c>
      <c r="I5379">
        <v>4.5754380000000001</v>
      </c>
      <c r="J5379">
        <v>-376.50889999999998</v>
      </c>
      <c r="K5379">
        <v>1.109032</v>
      </c>
      <c r="L5379">
        <v>17.387629999999898</v>
      </c>
      <c r="M5379">
        <v>0.99993350000000003</v>
      </c>
      <c r="N5379">
        <v>0</v>
      </c>
      <c r="O5379">
        <v>8.559723E-3</v>
      </c>
      <c r="P5379">
        <v>0.99959589999999998</v>
      </c>
      <c r="Q5379">
        <v>-1.988793E-3</v>
      </c>
      <c r="R5379">
        <v>-2.8356900000000001E-2</v>
      </c>
      <c r="S5379">
        <v>2.9905089999999999</v>
      </c>
      <c r="T5379">
        <v>-2.2913099999999999E-2</v>
      </c>
      <c r="U5379">
        <v>-0.39337159999999999</v>
      </c>
      <c r="V5379">
        <v>3.6917180000000001E-2</v>
      </c>
      <c r="W5379">
        <v>5.7094420000000003E-3</v>
      </c>
      <c r="X5379">
        <v>0.99930200000000002</v>
      </c>
      <c r="Y5379">
        <v>0.1388944</v>
      </c>
      <c r="Z5379">
        <v>-5.9512300000000003E-4</v>
      </c>
      <c r="AA5379">
        <v>0.99030700000000005</v>
      </c>
      <c r="AB5379">
        <v>22</v>
      </c>
      <c r="AC5379">
        <v>97.171999999999898</v>
      </c>
      <c r="AD5379">
        <v>-0.746201</v>
      </c>
      <c r="AE5379">
        <v>-12.8121919999999</v>
      </c>
      <c r="AF5379">
        <v>13.6427220788017</v>
      </c>
      <c r="AG5379">
        <v>-0.746201</v>
      </c>
      <c r="AH5379">
        <v>97.053142386405099</v>
      </c>
      <c r="AI5379">
        <v>90.436225972052696</v>
      </c>
      <c r="AJ5379">
        <v>81.998383408488493</v>
      </c>
      <c r="AK5379">
        <v>98.010168496578203</v>
      </c>
      <c r="AL5379">
        <v>89.672871286699603</v>
      </c>
      <c r="AM5379">
        <v>87.884286101164406</v>
      </c>
      <c r="AN5379">
        <v>0.99999998155555103</v>
      </c>
    </row>
    <row r="5380" spans="1:40" x14ac:dyDescent="0.25">
      <c r="A5380" t="str">
        <f>"20190312161123292"</f>
        <v>20190312161123292</v>
      </c>
      <c r="B5380" t="str">
        <f>"1552378283282372"</f>
        <v>1552378283282372</v>
      </c>
      <c r="C5380" t="s">
        <v>40</v>
      </c>
      <c r="D5380">
        <v>5.972988</v>
      </c>
      <c r="E5380">
        <v>0.54067219999999905</v>
      </c>
      <c r="F5380" t="s">
        <v>101</v>
      </c>
      <c r="G5380">
        <v>-279.33690000000001</v>
      </c>
      <c r="H5380">
        <v>0.30074450000000003</v>
      </c>
      <c r="I5380">
        <v>4.3208199999999897</v>
      </c>
      <c r="J5380">
        <v>-376.27640000000002</v>
      </c>
      <c r="K5380">
        <v>1.1090260000000001</v>
      </c>
      <c r="L5380">
        <v>17.388919999999999</v>
      </c>
      <c r="M5380">
        <v>0.99993909999999997</v>
      </c>
      <c r="N5380">
        <v>0</v>
      </c>
      <c r="O5380">
        <v>7.8553939999999999E-3</v>
      </c>
      <c r="P5380">
        <v>0.99954920000000003</v>
      </c>
      <c r="Q5380">
        <v>-1.5869600000000001E-3</v>
      </c>
      <c r="R5380">
        <v>-2.9982999999999999E-2</v>
      </c>
      <c r="S5380">
        <v>2.9897770000000001</v>
      </c>
      <c r="T5380">
        <v>-2.486932E-2</v>
      </c>
      <c r="U5380">
        <v>-0.40203860000000002</v>
      </c>
      <c r="V5380">
        <v>3.7839570000000003E-2</v>
      </c>
      <c r="W5380">
        <v>6.117132E-3</v>
      </c>
      <c r="X5380">
        <v>0.99926510000000002</v>
      </c>
      <c r="Y5380">
        <v>0.1410479</v>
      </c>
      <c r="Z5380">
        <v>-6.4904699999999895E-4</v>
      </c>
      <c r="AA5380">
        <v>0.99000259999999995</v>
      </c>
      <c r="AB5380">
        <v>22</v>
      </c>
      <c r="AC5380">
        <v>96.939499999999995</v>
      </c>
      <c r="AD5380">
        <v>-0.80828149999999999</v>
      </c>
      <c r="AE5380">
        <v>-13.068099999999999</v>
      </c>
      <c r="AF5380">
        <v>13.8282734046555</v>
      </c>
      <c r="AG5380">
        <v>-0.80828149999999999</v>
      </c>
      <c r="AH5380">
        <v>96.827239185861202</v>
      </c>
      <c r="AI5380">
        <v>90.473471131550795</v>
      </c>
      <c r="AJ5380">
        <v>81.872327045703301</v>
      </c>
      <c r="AK5380">
        <v>97.813029360577104</v>
      </c>
      <c r="AL5380">
        <v>89.649511966491104</v>
      </c>
      <c r="AM5380">
        <v>87.831394024549695</v>
      </c>
      <c r="AN5380">
        <v>0.99999999621985003</v>
      </c>
    </row>
    <row r="5381" spans="1:40" x14ac:dyDescent="0.25">
      <c r="A5381" t="str">
        <f>"20190312161123313"</f>
        <v>20190312161123313</v>
      </c>
      <c r="B5381" t="str">
        <f>"1552378283302865"</f>
        <v>1552378283302865</v>
      </c>
      <c r="C5381" t="s">
        <v>40</v>
      </c>
      <c r="D5381">
        <v>5.9789199999999996</v>
      </c>
      <c r="E5381">
        <v>0.54121709999999901</v>
      </c>
      <c r="F5381" t="s">
        <v>101</v>
      </c>
      <c r="G5381">
        <v>-279.33690000000001</v>
      </c>
      <c r="H5381">
        <v>0.26551730000000001</v>
      </c>
      <c r="I5381">
        <v>3.9723869999999999</v>
      </c>
      <c r="J5381">
        <v>-376.06490000000002</v>
      </c>
      <c r="K5381">
        <v>1.1090199999999999</v>
      </c>
      <c r="L5381">
        <v>17.38992</v>
      </c>
      <c r="M5381">
        <v>0.99994400000000006</v>
      </c>
      <c r="N5381">
        <v>0</v>
      </c>
      <c r="O5381">
        <v>7.2182430000000001E-3</v>
      </c>
      <c r="P5381">
        <v>0.99951400000000001</v>
      </c>
      <c r="Q5381">
        <v>-9.0956870000000005E-4</v>
      </c>
      <c r="R5381">
        <v>-3.116654E-2</v>
      </c>
      <c r="S5381">
        <v>2.9888919999999999</v>
      </c>
      <c r="T5381">
        <v>-2.6007530000000001E-2</v>
      </c>
      <c r="U5381">
        <v>-0.41366579999999997</v>
      </c>
      <c r="V5381">
        <v>3.83871E-2</v>
      </c>
      <c r="W5381">
        <v>6.7999469999999998E-3</v>
      </c>
      <c r="X5381">
        <v>0.99923980000000001</v>
      </c>
      <c r="Y5381">
        <v>0.14423540000000001</v>
      </c>
      <c r="Z5381">
        <v>-6.8705539999999905E-4</v>
      </c>
      <c r="AA5381">
        <v>0.98954310000000001</v>
      </c>
      <c r="AB5381">
        <v>22</v>
      </c>
      <c r="AC5381">
        <v>96.727999999999994</v>
      </c>
      <c r="AD5381">
        <v>-0.84350270000000005</v>
      </c>
      <c r="AE5381">
        <v>-13.417533000000001</v>
      </c>
      <c r="AF5381">
        <v>14.1143574878589</v>
      </c>
      <c r="AG5381">
        <v>-0.84350270000000005</v>
      </c>
      <c r="AH5381">
        <v>96.621417160677197</v>
      </c>
      <c r="AI5381">
        <v>90.494925616027203</v>
      </c>
      <c r="AJ5381">
        <v>81.689074426154093</v>
      </c>
      <c r="AK5381">
        <v>97.650524003906895</v>
      </c>
      <c r="AL5381">
        <v>89.610388730785999</v>
      </c>
      <c r="AM5381">
        <v>87.799989753931499</v>
      </c>
      <c r="AN5381">
        <v>0.99999999331482603</v>
      </c>
    </row>
    <row r="5382" spans="1:40" x14ac:dyDescent="0.25">
      <c r="A5382" t="str">
        <f>"20190312161123338"</f>
        <v>20190312161123338</v>
      </c>
      <c r="B5382" t="str">
        <f>"1552378283332145"</f>
        <v>1552378283332145</v>
      </c>
      <c r="C5382" t="s">
        <v>40</v>
      </c>
      <c r="D5382">
        <v>5.9698349999999998</v>
      </c>
      <c r="E5382">
        <v>0.54184480000000002</v>
      </c>
      <c r="F5382" t="s">
        <v>43</v>
      </c>
      <c r="G5382">
        <v>-266.47809999999998</v>
      </c>
      <c r="H5382">
        <v>-0.05</v>
      </c>
      <c r="I5382">
        <v>1.9401090000000001</v>
      </c>
      <c r="J5382">
        <v>-375.83269999999999</v>
      </c>
      <c r="K5382">
        <v>1.1090279999999999</v>
      </c>
      <c r="L5382">
        <v>17.390809999999998</v>
      </c>
      <c r="M5382">
        <v>0.99994870000000002</v>
      </c>
      <c r="N5382">
        <v>0</v>
      </c>
      <c r="O5382">
        <v>6.5159619999999897E-3</v>
      </c>
      <c r="P5382">
        <v>0.9994672</v>
      </c>
      <c r="Q5382">
        <v>-9.5600730000000003E-4</v>
      </c>
      <c r="R5382">
        <v>-3.2629680000000001E-2</v>
      </c>
      <c r="S5382">
        <v>2.9882810000000002</v>
      </c>
      <c r="T5382">
        <v>-3.1604889999999997E-2</v>
      </c>
      <c r="U5382">
        <v>-0.42129519999999998</v>
      </c>
      <c r="V5382">
        <v>3.914844E-2</v>
      </c>
      <c r="W5382">
        <v>6.7565569999999998E-3</v>
      </c>
      <c r="X5382">
        <v>0.9992105</v>
      </c>
      <c r="Y5382">
        <v>0.146042899999999</v>
      </c>
      <c r="Z5382">
        <v>-8.3705719999999995E-4</v>
      </c>
      <c r="AA5382">
        <v>0.98927790000000004</v>
      </c>
      <c r="AB5382">
        <v>22</v>
      </c>
      <c r="AC5382">
        <v>109.3546</v>
      </c>
      <c r="AD5382">
        <v>-1.1590279999999999</v>
      </c>
      <c r="AE5382">
        <v>-15.450701</v>
      </c>
      <c r="AF5382">
        <v>16.161164894602901</v>
      </c>
      <c r="AG5382">
        <v>-1.1590279999999999</v>
      </c>
      <c r="AH5382">
        <v>109.239567940277</v>
      </c>
      <c r="AI5382">
        <v>90.601338779805999</v>
      </c>
      <c r="AJ5382">
        <v>81.584566114062298</v>
      </c>
      <c r="AK5382">
        <v>110.43464040070801</v>
      </c>
      <c r="AL5382">
        <v>89.612874830128106</v>
      </c>
      <c r="AM5382">
        <v>87.756334890322293</v>
      </c>
      <c r="AN5382">
        <v>0.99999993736358594</v>
      </c>
    </row>
    <row r="5383" spans="1:40" x14ac:dyDescent="0.25">
      <c r="A5383" t="str">
        <f>"20190312161123370"</f>
        <v>20190312161123370</v>
      </c>
      <c r="B5383" t="str">
        <f>"1552378283362401"</f>
        <v>1552378283362401</v>
      </c>
      <c r="C5383" t="s">
        <v>40</v>
      </c>
      <c r="D5383">
        <v>5.8366429999999996</v>
      </c>
      <c r="E5383">
        <v>0.54216299999999995</v>
      </c>
      <c r="F5383" t="s">
        <v>43</v>
      </c>
      <c r="G5383">
        <v>-284.48020000000002</v>
      </c>
      <c r="H5383">
        <v>-0.05</v>
      </c>
      <c r="I5383">
        <v>4.2284699999999997</v>
      </c>
      <c r="J5383">
        <v>-375.51139999999998</v>
      </c>
      <c r="K5383">
        <v>1.109043</v>
      </c>
      <c r="L5383">
        <v>17.391779999999901</v>
      </c>
      <c r="M5383">
        <v>0.99995460000000003</v>
      </c>
      <c r="N5383">
        <v>0</v>
      </c>
      <c r="O5383">
        <v>5.5433679999999999E-3</v>
      </c>
      <c r="P5383">
        <v>0.99936460000000005</v>
      </c>
      <c r="Q5383">
        <v>-1.862147E-3</v>
      </c>
      <c r="R5383">
        <v>-3.5593600000000003E-2</v>
      </c>
      <c r="S5383">
        <v>2.9875180000000001</v>
      </c>
      <c r="T5383">
        <v>-3.7903899999999997E-2</v>
      </c>
      <c r="U5383">
        <v>-0.43045040000000001</v>
      </c>
      <c r="V5383">
        <v>4.1139240000000001E-2</v>
      </c>
      <c r="W5383">
        <v>5.8453389999999997E-3</v>
      </c>
      <c r="X5383">
        <v>0.99913629999999998</v>
      </c>
      <c r="Y5383">
        <v>0.14808289999999999</v>
      </c>
      <c r="Z5383">
        <v>-1.0045080000000001E-3</v>
      </c>
      <c r="AA5383">
        <v>0.98897449999999998</v>
      </c>
      <c r="AB5383">
        <v>22</v>
      </c>
      <c r="AC5383">
        <v>91.031199999999899</v>
      </c>
      <c r="AD5383">
        <v>-1.159043</v>
      </c>
      <c r="AE5383">
        <v>-13.1633099999999</v>
      </c>
      <c r="AF5383">
        <v>13.665572340424999</v>
      </c>
      <c r="AG5383">
        <v>-1.159043</v>
      </c>
      <c r="AH5383">
        <v>90.942388987070501</v>
      </c>
      <c r="AI5383">
        <v>90.722078132136303</v>
      </c>
      <c r="AJ5383">
        <v>81.4543152982815</v>
      </c>
      <c r="AK5383">
        <v>91.970698392166597</v>
      </c>
      <c r="AL5383">
        <v>89.665084830028803</v>
      </c>
      <c r="AM5383">
        <v>87.642189431804695</v>
      </c>
      <c r="AN5383">
        <v>0.99999997551674502</v>
      </c>
    </row>
    <row r="5384" spans="1:40" x14ac:dyDescent="0.25">
      <c r="A5384" t="str">
        <f>"20190312161123393"</f>
        <v>20190312161123393</v>
      </c>
      <c r="B5384" t="str">
        <f>"1552378283382900"</f>
        <v>1552378283382900</v>
      </c>
      <c r="C5384" t="s">
        <v>40</v>
      </c>
      <c r="D5384">
        <v>5.85</v>
      </c>
      <c r="E5384">
        <v>0.54239090000000001</v>
      </c>
      <c r="F5384" t="s">
        <v>43</v>
      </c>
      <c r="G5384">
        <v>-291.60629999999998</v>
      </c>
      <c r="H5384">
        <v>-0.05</v>
      </c>
      <c r="I5384">
        <v>4.9752349999999996</v>
      </c>
      <c r="J5384">
        <v>-375.27910000000003</v>
      </c>
      <c r="K5384">
        <v>1.109051</v>
      </c>
      <c r="L5384">
        <v>17.39227</v>
      </c>
      <c r="M5384">
        <v>0.99995829999999997</v>
      </c>
      <c r="N5384">
        <v>0</v>
      </c>
      <c r="O5384">
        <v>4.8501229999999996E-3</v>
      </c>
      <c r="P5384">
        <v>0.9992858</v>
      </c>
      <c r="Q5384">
        <v>-1.9901070000000001E-3</v>
      </c>
      <c r="R5384">
        <v>-3.7738849999999997E-2</v>
      </c>
      <c r="S5384">
        <v>2.9861149999999999</v>
      </c>
      <c r="T5384">
        <v>-4.1249389999999997E-2</v>
      </c>
      <c r="U5384">
        <v>-0.44189450000000002</v>
      </c>
      <c r="V5384">
        <v>4.2590980000000001E-2</v>
      </c>
      <c r="W5384">
        <v>5.7123030000000002E-3</v>
      </c>
      <c r="X5384">
        <v>0.99907619999999997</v>
      </c>
      <c r="Y5384">
        <v>0.15117059999999999</v>
      </c>
      <c r="Z5384">
        <v>-1.105052E-3</v>
      </c>
      <c r="AA5384">
        <v>0.98850709999999997</v>
      </c>
      <c r="AB5384">
        <v>22</v>
      </c>
      <c r="AC5384">
        <v>83.672799999999995</v>
      </c>
      <c r="AD5384">
        <v>-1.1590510000000001</v>
      </c>
      <c r="AE5384">
        <v>-12.417035</v>
      </c>
      <c r="AF5384">
        <v>12.8203174718497</v>
      </c>
      <c r="AG5384">
        <v>-1.1590510000000001</v>
      </c>
      <c r="AH5384">
        <v>83.595894851268895</v>
      </c>
      <c r="AI5384">
        <v>90.7851723263108</v>
      </c>
      <c r="AJ5384">
        <v>81.281016074327496</v>
      </c>
      <c r="AK5384">
        <v>84.581189252008201</v>
      </c>
      <c r="AL5384">
        <v>89.672707346442706</v>
      </c>
      <c r="AM5384">
        <v>87.558938219148004</v>
      </c>
      <c r="AN5384">
        <v>0.99999993769467999</v>
      </c>
    </row>
    <row r="5385" spans="1:40" x14ac:dyDescent="0.25">
      <c r="A5385" t="str">
        <f>"20190312161123414"</f>
        <v>20190312161123414</v>
      </c>
      <c r="B5385" t="str">
        <f>"1552378283402420"</f>
        <v>1552378283402420</v>
      </c>
      <c r="C5385" t="s">
        <v>40</v>
      </c>
      <c r="D5385">
        <v>6.0201779999999996</v>
      </c>
      <c r="E5385">
        <v>0.54262189999999999</v>
      </c>
      <c r="F5385" t="s">
        <v>43</v>
      </c>
      <c r="G5385">
        <v>-290.69639999999998</v>
      </c>
      <c r="H5385">
        <v>-0.05</v>
      </c>
      <c r="I5385">
        <v>4.6393589999999998</v>
      </c>
      <c r="J5385">
        <v>-375.0727</v>
      </c>
      <c r="K5385">
        <v>1.109065</v>
      </c>
      <c r="L5385">
        <v>17.392610000000001</v>
      </c>
      <c r="M5385">
        <v>0.99996110000000005</v>
      </c>
      <c r="N5385">
        <v>0</v>
      </c>
      <c r="O5385">
        <v>4.243976E-3</v>
      </c>
      <c r="P5385">
        <v>0.99924789999999997</v>
      </c>
      <c r="Q5385">
        <v>-2.205626E-3</v>
      </c>
      <c r="R5385">
        <v>-3.8716979999999998E-2</v>
      </c>
      <c r="S5385">
        <v>2.985077</v>
      </c>
      <c r="T5385">
        <v>-4.0904999999999997E-2</v>
      </c>
      <c r="U5385">
        <v>-0.45007320000000001</v>
      </c>
      <c r="V5385">
        <v>4.296328E-2</v>
      </c>
      <c r="W5385">
        <v>5.4958230000000004E-3</v>
      </c>
      <c r="X5385">
        <v>0.99906150000000005</v>
      </c>
      <c r="Y5385">
        <v>0.1532702</v>
      </c>
      <c r="Z5385">
        <v>-1.102027E-3</v>
      </c>
      <c r="AA5385">
        <v>0.9881837</v>
      </c>
      <c r="AB5385">
        <v>22</v>
      </c>
      <c r="AC5385">
        <v>84.376300000000001</v>
      </c>
      <c r="AD5385">
        <v>-1.159065</v>
      </c>
      <c r="AE5385">
        <v>-12.753251000000001</v>
      </c>
      <c r="AF5385">
        <v>13.108819438178401</v>
      </c>
      <c r="AG5385">
        <v>-1.159065</v>
      </c>
      <c r="AH5385">
        <v>84.305860684177404</v>
      </c>
      <c r="AI5385">
        <v>90.778320240625305</v>
      </c>
      <c r="AJ5385">
        <v>81.161785665504695</v>
      </c>
      <c r="AK5385">
        <v>85.326799567527004</v>
      </c>
      <c r="AL5385">
        <v>89.685110940688404</v>
      </c>
      <c r="AM5385">
        <v>87.537590160762505</v>
      </c>
      <c r="AN5385">
        <v>0.99999996414052705</v>
      </c>
    </row>
    <row r="5386" spans="1:40" x14ac:dyDescent="0.25">
      <c r="A5386" t="str">
        <f>"20190312161123435"</f>
        <v>20190312161123435</v>
      </c>
      <c r="B5386" t="str">
        <f>"1552378283422913"</f>
        <v>1552378283422913</v>
      </c>
      <c r="C5386" t="s">
        <v>40</v>
      </c>
      <c r="D5386">
        <v>5.9749309999999998</v>
      </c>
      <c r="E5386">
        <v>0.54279960000000005</v>
      </c>
      <c r="F5386" t="s">
        <v>43</v>
      </c>
      <c r="G5386">
        <v>-293.84219999999999</v>
      </c>
      <c r="H5386">
        <v>-0.05</v>
      </c>
      <c r="I5386">
        <v>5.0149379999999999</v>
      </c>
      <c r="J5386">
        <v>-374.85700000000003</v>
      </c>
      <c r="K5386">
        <v>1.1090770000000001</v>
      </c>
      <c r="L5386">
        <v>17.392789999999898</v>
      </c>
      <c r="M5386">
        <v>0.99996350000000001</v>
      </c>
      <c r="N5386">
        <v>0</v>
      </c>
      <c r="O5386">
        <v>3.618764E-3</v>
      </c>
      <c r="P5386">
        <v>0.99923810000000002</v>
      </c>
      <c r="Q5386">
        <v>-2.3856870000000001E-3</v>
      </c>
      <c r="R5386">
        <v>-3.8957749999999999E-2</v>
      </c>
      <c r="S5386">
        <v>2.9845280000000001</v>
      </c>
      <c r="T5386">
        <v>-4.2585730000000002E-2</v>
      </c>
      <c r="U5386">
        <v>-0.45477289999999998</v>
      </c>
      <c r="V5386">
        <v>4.2578850000000001E-2</v>
      </c>
      <c r="W5386">
        <v>5.3151040000000002E-3</v>
      </c>
      <c r="X5386">
        <v>0.99907900000000005</v>
      </c>
      <c r="Y5386">
        <v>0.154199</v>
      </c>
      <c r="Z5386">
        <v>-1.1450939999999999E-3</v>
      </c>
      <c r="AA5386">
        <v>0.98803909999999995</v>
      </c>
      <c r="AB5386">
        <v>22</v>
      </c>
      <c r="AC5386">
        <v>81.014799999999894</v>
      </c>
      <c r="AD5386">
        <v>-1.1590769999999999</v>
      </c>
      <c r="AE5386">
        <v>-12.377851999999899</v>
      </c>
      <c r="AF5386">
        <v>12.668419227672</v>
      </c>
      <c r="AG5386">
        <v>-1.1590769999999999</v>
      </c>
      <c r="AH5386">
        <v>80.953283320723699</v>
      </c>
      <c r="AI5386">
        <v>90.810434237271707</v>
      </c>
      <c r="AJ5386">
        <v>81.105890491462006</v>
      </c>
      <c r="AK5386">
        <v>81.946728950125504</v>
      </c>
      <c r="AL5386">
        <v>89.695465547934106</v>
      </c>
      <c r="AM5386">
        <v>87.559639429076796</v>
      </c>
      <c r="AN5386">
        <v>1.0000000285194199</v>
      </c>
    </row>
    <row r="5387" spans="1:40" x14ac:dyDescent="0.25">
      <c r="A5387" t="str">
        <f>"20190312161123459"</f>
        <v>20190312161123459</v>
      </c>
      <c r="B5387" t="str">
        <f>"1552378283452194"</f>
        <v>1552378283452194</v>
      </c>
      <c r="C5387" t="s">
        <v>40</v>
      </c>
      <c r="D5387">
        <v>5.9474150000000003</v>
      </c>
      <c r="E5387">
        <v>0.54289799999999999</v>
      </c>
      <c r="F5387" t="s">
        <v>43</v>
      </c>
      <c r="G5387">
        <v>-296.85250000000002</v>
      </c>
      <c r="H5387">
        <v>-0.05</v>
      </c>
      <c r="I5387">
        <v>5.4494629999999997</v>
      </c>
      <c r="J5387">
        <v>-374.62650000000002</v>
      </c>
      <c r="K5387">
        <v>1.109084</v>
      </c>
      <c r="L5387">
        <v>17.392879999999899</v>
      </c>
      <c r="M5387">
        <v>0.99996580000000002</v>
      </c>
      <c r="N5387">
        <v>0</v>
      </c>
      <c r="O5387">
        <v>2.955348E-3</v>
      </c>
      <c r="P5387">
        <v>0.99927589999999999</v>
      </c>
      <c r="Q5387">
        <v>-2.632597E-3</v>
      </c>
      <c r="R5387">
        <v>-3.7960639999999997E-2</v>
      </c>
      <c r="S5387">
        <v>2.984375</v>
      </c>
      <c r="T5387">
        <v>-4.4345139999999998E-2</v>
      </c>
      <c r="U5387">
        <v>-0.4569397</v>
      </c>
      <c r="V5387">
        <v>4.0918879999999998E-2</v>
      </c>
      <c r="W5387">
        <v>5.0690589999999999E-3</v>
      </c>
      <c r="X5387">
        <v>0.99914959999999997</v>
      </c>
      <c r="Y5387">
        <v>0.15425069999999999</v>
      </c>
      <c r="Z5387">
        <v>-1.182974E-3</v>
      </c>
      <c r="AA5387">
        <v>0.98803099999999999</v>
      </c>
      <c r="AB5387">
        <v>22</v>
      </c>
      <c r="AC5387">
        <v>77.774000000000001</v>
      </c>
      <c r="AD5387">
        <v>-1.159084</v>
      </c>
      <c r="AE5387">
        <v>-11.943416999999901</v>
      </c>
      <c r="AF5387">
        <v>12.1705800474749</v>
      </c>
      <c r="AG5387">
        <v>-1.159084</v>
      </c>
      <c r="AH5387">
        <v>77.721497604022105</v>
      </c>
      <c r="AI5387">
        <v>90.844120607572506</v>
      </c>
      <c r="AJ5387">
        <v>81.100202682184502</v>
      </c>
      <c r="AK5387">
        <v>78.677173844915501</v>
      </c>
      <c r="AL5387">
        <v>89.709563065494294</v>
      </c>
      <c r="AM5387">
        <v>87.65483595357</v>
      </c>
      <c r="AN5387">
        <v>0.99999998663987899</v>
      </c>
    </row>
    <row r="5388" spans="1:40" x14ac:dyDescent="0.25">
      <c r="A5388" t="str">
        <f>"20190312161123481"</f>
        <v>20190312161123481</v>
      </c>
      <c r="B5388" t="str">
        <f>"1552378283472692"</f>
        <v>1552378283472692</v>
      </c>
      <c r="C5388" t="s">
        <v>40</v>
      </c>
      <c r="D5388">
        <v>5.839105</v>
      </c>
      <c r="E5388">
        <v>0.54311830000000005</v>
      </c>
      <c r="F5388" t="s">
        <v>43</v>
      </c>
      <c r="G5388">
        <v>-301.28460000000001</v>
      </c>
      <c r="H5388">
        <v>-0.05</v>
      </c>
      <c r="I5388">
        <v>6.2220610000000001</v>
      </c>
      <c r="J5388">
        <v>-374.39420000000001</v>
      </c>
      <c r="K5388">
        <v>1.1090880000000001</v>
      </c>
      <c r="L5388">
        <v>17.39282</v>
      </c>
      <c r="M5388">
        <v>0.99996739999999995</v>
      </c>
      <c r="N5388">
        <v>0</v>
      </c>
      <c r="O5388">
        <v>2.2890039999999999E-3</v>
      </c>
      <c r="P5388">
        <v>0.99929389999999996</v>
      </c>
      <c r="Q5388">
        <v>-2.9735880000000001E-3</v>
      </c>
      <c r="R5388">
        <v>-3.7453359999999998E-2</v>
      </c>
      <c r="S5388">
        <v>2.9848020000000002</v>
      </c>
      <c r="T5388">
        <v>-4.7171350000000001E-2</v>
      </c>
      <c r="U5388">
        <v>-0.45462039999999998</v>
      </c>
      <c r="V5388">
        <v>3.9745540000000003E-2</v>
      </c>
      <c r="W5388">
        <v>4.7281249999999997E-3</v>
      </c>
      <c r="X5388">
        <v>0.9991987</v>
      </c>
      <c r="Y5388">
        <v>0.15281879999999901</v>
      </c>
      <c r="Z5388">
        <v>-1.2365329999999999E-3</v>
      </c>
      <c r="AA5388">
        <v>0.98825350000000001</v>
      </c>
      <c r="AB5388">
        <v>22</v>
      </c>
      <c r="AC5388">
        <v>73.1096</v>
      </c>
      <c r="AD5388">
        <v>-1.1590879999999999</v>
      </c>
      <c r="AE5388">
        <v>-11.170759</v>
      </c>
      <c r="AF5388">
        <v>11.3352987562476</v>
      </c>
      <c r="AG5388">
        <v>-1.1590879999999999</v>
      </c>
      <c r="AH5388">
        <v>73.065891430613306</v>
      </c>
      <c r="AI5388">
        <v>90.898099442457493</v>
      </c>
      <c r="AJ5388">
        <v>81.181543954494501</v>
      </c>
      <c r="AK5388">
        <v>73.949016041021906</v>
      </c>
      <c r="AL5388">
        <v>89.729097397386994</v>
      </c>
      <c r="AM5388">
        <v>87.722122956636596</v>
      </c>
      <c r="AN5388">
        <v>1.00000005259879</v>
      </c>
    </row>
    <row r="5389" spans="1:40" x14ac:dyDescent="0.25">
      <c r="A5389" t="str">
        <f>"20190312161123503"</f>
        <v>20190312161123503</v>
      </c>
      <c r="B5389" t="str">
        <f>"1552378283492209"</f>
        <v>1552378283492209</v>
      </c>
      <c r="C5389" t="s">
        <v>40</v>
      </c>
      <c r="D5389">
        <v>5.9301949999999897</v>
      </c>
      <c r="E5389">
        <v>0.54306399999999999</v>
      </c>
      <c r="F5389" t="s">
        <v>43</v>
      </c>
      <c r="G5389">
        <v>-308.44369999999998</v>
      </c>
      <c r="H5389">
        <v>-0.05</v>
      </c>
      <c r="I5389">
        <v>7.3434910000000002</v>
      </c>
      <c r="J5389">
        <v>-374.17270000000002</v>
      </c>
      <c r="K5389">
        <v>1.109083</v>
      </c>
      <c r="L5389">
        <v>17.392610000000001</v>
      </c>
      <c r="M5389">
        <v>0.99996870000000004</v>
      </c>
      <c r="N5389">
        <v>0</v>
      </c>
      <c r="O5389">
        <v>1.654415E-3</v>
      </c>
      <c r="P5389">
        <v>0.99930719999999995</v>
      </c>
      <c r="Q5389">
        <v>-4.3631859999999998E-3</v>
      </c>
      <c r="R5389">
        <v>-3.6958940000000003E-2</v>
      </c>
      <c r="S5389">
        <v>2.9849239999999999</v>
      </c>
      <c r="T5389">
        <v>-5.2460430000000002E-2</v>
      </c>
      <c r="U5389">
        <v>-0.45483400000000002</v>
      </c>
      <c r="V5389">
        <v>3.8615700000000003E-2</v>
      </c>
      <c r="W5389">
        <v>3.3395859999999999E-3</v>
      </c>
      <c r="X5389">
        <v>0.99924860000000004</v>
      </c>
      <c r="Y5389">
        <v>0.15225039999999901</v>
      </c>
      <c r="Z5389">
        <v>-1.359042E-3</v>
      </c>
      <c r="AA5389">
        <v>0.98834100000000003</v>
      </c>
      <c r="AB5389">
        <v>22</v>
      </c>
      <c r="AC5389">
        <v>65.728999999999999</v>
      </c>
      <c r="AD5389">
        <v>-1.1590830000000001</v>
      </c>
      <c r="AE5389">
        <v>-10.049118999999999</v>
      </c>
      <c r="AF5389">
        <v>10.1547658687363</v>
      </c>
      <c r="AG5389">
        <v>-1.1590830000000001</v>
      </c>
      <c r="AH5389">
        <v>65.692322544057504</v>
      </c>
      <c r="AI5389">
        <v>90.998966189311702</v>
      </c>
      <c r="AJ5389">
        <v>81.212728417341907</v>
      </c>
      <c r="AK5389">
        <v>66.482659276552894</v>
      </c>
      <c r="AL5389">
        <v>89.808655469789599</v>
      </c>
      <c r="AM5389">
        <v>87.786920875937795</v>
      </c>
      <c r="AN5389">
        <v>1.00000004486154</v>
      </c>
    </row>
    <row r="5390" spans="1:40" x14ac:dyDescent="0.25">
      <c r="A5390" t="str">
        <f>"20190312161123525"</f>
        <v>20190312161123525</v>
      </c>
      <c r="B5390" t="str">
        <f>"1552378283512705"</f>
        <v>1552378283512705</v>
      </c>
      <c r="C5390" t="s">
        <v>40</v>
      </c>
      <c r="D5390">
        <v>5.9962010000000001</v>
      </c>
      <c r="E5390">
        <v>0.54325349999999994</v>
      </c>
      <c r="F5390" t="s">
        <v>41</v>
      </c>
      <c r="G5390">
        <v>-320.2396</v>
      </c>
      <c r="H5390">
        <v>7.9986329999999994E-2</v>
      </c>
      <c r="I5390">
        <v>9.2084879999999991</v>
      </c>
      <c r="J5390">
        <v>-373.9511</v>
      </c>
      <c r="K5390">
        <v>1.109081</v>
      </c>
      <c r="L5390">
        <v>17.392240000000001</v>
      </c>
      <c r="M5390">
        <v>0.99996969999999996</v>
      </c>
      <c r="N5390">
        <v>0</v>
      </c>
      <c r="O5390">
        <v>1.0187989999999999E-3</v>
      </c>
      <c r="P5390">
        <v>0.9992839</v>
      </c>
      <c r="Q5390">
        <v>-5.0411680000000004E-3</v>
      </c>
      <c r="R5390">
        <v>-3.7505379999999998E-2</v>
      </c>
      <c r="S5390">
        <v>2.985077</v>
      </c>
      <c r="T5390">
        <v>-5.69582E-2</v>
      </c>
      <c r="U5390">
        <v>-0.4529724</v>
      </c>
      <c r="V5390">
        <v>3.8526190000000002E-2</v>
      </c>
      <c r="W5390">
        <v>2.6615269999999999E-3</v>
      </c>
      <c r="X5390">
        <v>0.99925399999999998</v>
      </c>
      <c r="Y5390">
        <v>0.15100829999999901</v>
      </c>
      <c r="Z5390">
        <v>-1.4516939999999999E-3</v>
      </c>
      <c r="AA5390">
        <v>0.98853139999999995</v>
      </c>
      <c r="AB5390">
        <v>23</v>
      </c>
      <c r="AC5390">
        <v>53.711500000000001</v>
      </c>
      <c r="AD5390">
        <v>-1.0290946700000001</v>
      </c>
      <c r="AE5390">
        <v>-8.1837520000000001</v>
      </c>
      <c r="AF5390">
        <v>8.2355159960519604</v>
      </c>
      <c r="AG5390">
        <v>-1.0290946700000001</v>
      </c>
      <c r="AH5390">
        <v>53.683874421787301</v>
      </c>
      <c r="AI5390">
        <v>91.085502999722095</v>
      </c>
      <c r="AJ5390">
        <v>81.278383927337202</v>
      </c>
      <c r="AK5390">
        <v>54.321645156376398</v>
      </c>
      <c r="AL5390">
        <v>89.847505548752906</v>
      </c>
      <c r="AM5390">
        <v>87.792057562014605</v>
      </c>
      <c r="AN5390">
        <v>0.99999995377894202</v>
      </c>
    </row>
    <row r="5391" spans="1:40" x14ac:dyDescent="0.25">
      <c r="A5391" t="str">
        <f>"20190312161123548"</f>
        <v>20190312161123548</v>
      </c>
      <c r="B5391" t="str">
        <f>"1552378283542961"</f>
        <v>1552378283542961</v>
      </c>
      <c r="C5391" t="s">
        <v>40</v>
      </c>
      <c r="D5391">
        <v>6.0358809999999998</v>
      </c>
      <c r="E5391">
        <v>0.54359840000000004</v>
      </c>
      <c r="F5391" t="s">
        <v>41</v>
      </c>
      <c r="G5391">
        <v>-322.8417</v>
      </c>
      <c r="H5391">
        <v>7.998566E-2</v>
      </c>
      <c r="I5391">
        <v>9.582891</v>
      </c>
      <c r="J5391">
        <v>-373.7099</v>
      </c>
      <c r="K5391">
        <v>1.109084</v>
      </c>
      <c r="L5391">
        <v>17.391690000000001</v>
      </c>
      <c r="M5391">
        <v>0.99997000000000003</v>
      </c>
      <c r="N5391">
        <v>0</v>
      </c>
      <c r="O5391">
        <v>3.2660380000000002E-4</v>
      </c>
      <c r="P5391">
        <v>0.99924579999999996</v>
      </c>
      <c r="Q5391">
        <v>-5.126182E-3</v>
      </c>
      <c r="R5391">
        <v>-3.8496170000000003E-2</v>
      </c>
      <c r="S5391">
        <v>2.9847109999999999</v>
      </c>
      <c r="T5391">
        <v>-6.0097690000000002E-2</v>
      </c>
      <c r="U5391">
        <v>-0.45605469999999998</v>
      </c>
      <c r="V5391">
        <v>3.882509E-2</v>
      </c>
      <c r="W5391">
        <v>2.5756970000000001E-3</v>
      </c>
      <c r="X5391">
        <v>0.99924270000000004</v>
      </c>
      <c r="Y5391">
        <v>0.15133679999999999</v>
      </c>
      <c r="Z5391">
        <v>-1.5211929999999999E-3</v>
      </c>
      <c r="AA5391">
        <v>0.9884811</v>
      </c>
      <c r="AB5391">
        <v>23</v>
      </c>
      <c r="AC5391">
        <v>50.868200000000002</v>
      </c>
      <c r="AD5391">
        <v>-1.02909834</v>
      </c>
      <c r="AE5391">
        <v>-7.8087989999999996</v>
      </c>
      <c r="AF5391">
        <v>7.8222850280343303</v>
      </c>
      <c r="AG5391">
        <v>-1.02909834</v>
      </c>
      <c r="AH5391">
        <v>50.845315939018498</v>
      </c>
      <c r="AI5391">
        <v>91.146016922032899</v>
      </c>
      <c r="AJ5391">
        <v>81.253916192479196</v>
      </c>
      <c r="AK5391">
        <v>51.4537981046279</v>
      </c>
      <c r="AL5391">
        <v>89.852423269074706</v>
      </c>
      <c r="AM5391">
        <v>87.774919567174607</v>
      </c>
      <c r="AN5391">
        <v>0.99999999766591696</v>
      </c>
    </row>
    <row r="5392" spans="1:40" x14ac:dyDescent="0.25">
      <c r="A5392" t="str">
        <f>"20190312161123572"</f>
        <v>20190312161123572</v>
      </c>
      <c r="B5392" t="str">
        <f>"1552378283562481"</f>
        <v>1552378283562481</v>
      </c>
      <c r="C5392" t="s">
        <v>40</v>
      </c>
      <c r="D5392">
        <v>5.904992</v>
      </c>
      <c r="E5392">
        <v>0.54786610000000002</v>
      </c>
      <c r="F5392" t="s">
        <v>41</v>
      </c>
      <c r="G5392">
        <v>-322.03030000000001</v>
      </c>
      <c r="H5392">
        <v>7.9985870000000001E-2</v>
      </c>
      <c r="I5392">
        <v>9.3937819999999999</v>
      </c>
      <c r="J5392">
        <v>-373.47309999999999</v>
      </c>
      <c r="K5392">
        <v>1.1090850000000001</v>
      </c>
      <c r="L5392">
        <v>17.391020000000001</v>
      </c>
      <c r="M5392">
        <v>0.99996989999999997</v>
      </c>
      <c r="N5392">
        <v>0</v>
      </c>
      <c r="O5392">
        <v>-3.542757E-4</v>
      </c>
      <c r="P5392">
        <v>0.99922390000000005</v>
      </c>
      <c r="Q5392">
        <v>-5.4659419999999997E-3</v>
      </c>
      <c r="R5392">
        <v>-3.9010929999999999E-2</v>
      </c>
      <c r="S5392">
        <v>2.9841310000000001</v>
      </c>
      <c r="T5392">
        <v>-5.9423089999999998E-2</v>
      </c>
      <c r="U5392">
        <v>-0.46182250000000002</v>
      </c>
      <c r="V5392">
        <v>3.8659140000000002E-2</v>
      </c>
      <c r="W5392">
        <v>2.237143E-3</v>
      </c>
      <c r="X5392">
        <v>0.99924990000000002</v>
      </c>
      <c r="Y5392">
        <v>0.15255920000000001</v>
      </c>
      <c r="Z5392">
        <v>-1.5028109999999999E-3</v>
      </c>
      <c r="AA5392">
        <v>0.98829319999999998</v>
      </c>
      <c r="AB5392">
        <v>23</v>
      </c>
      <c r="AC5392">
        <v>51.442799999999899</v>
      </c>
      <c r="AD5392">
        <v>-1.0290991300000001</v>
      </c>
      <c r="AE5392">
        <v>-7.9972380000000003</v>
      </c>
      <c r="AF5392">
        <v>7.9758954694766597</v>
      </c>
      <c r="AG5392">
        <v>-1.0290991300000001</v>
      </c>
      <c r="AH5392">
        <v>51.425535774510003</v>
      </c>
      <c r="AI5392">
        <v>91.132877169111893</v>
      </c>
      <c r="AJ5392">
        <v>81.183895120482504</v>
      </c>
      <c r="AK5392">
        <v>52.050549307906401</v>
      </c>
      <c r="AL5392">
        <v>89.871821034384894</v>
      </c>
      <c r="AM5392">
        <v>87.784436673641196</v>
      </c>
      <c r="AN5392">
        <v>0.99999994828217398</v>
      </c>
    </row>
    <row r="5393" spans="1:40" x14ac:dyDescent="0.25">
      <c r="A5393" t="str">
        <f>"20190312161123592"</f>
        <v>20190312161123592</v>
      </c>
      <c r="B5393" t="str">
        <f>"1552378283582978"</f>
        <v>1552378283582978</v>
      </c>
      <c r="C5393" t="s">
        <v>40</v>
      </c>
      <c r="D5393">
        <v>5.8959159999999997</v>
      </c>
      <c r="E5393">
        <v>0.54894390000000004</v>
      </c>
      <c r="F5393" t="s">
        <v>101</v>
      </c>
      <c r="G5393">
        <v>-279.02</v>
      </c>
      <c r="H5393">
        <v>5.1212070000000001</v>
      </c>
      <c r="I5393">
        <v>1.478966</v>
      </c>
      <c r="J5393">
        <v>-373.26130000000001</v>
      </c>
      <c r="K5393">
        <v>1.1090799999999901</v>
      </c>
      <c r="L5393">
        <v>17.390260000000001</v>
      </c>
      <c r="M5393">
        <v>0.99996940000000001</v>
      </c>
      <c r="N5393">
        <v>0</v>
      </c>
      <c r="O5393">
        <v>-9.6369380000000001E-4</v>
      </c>
      <c r="P5393">
        <v>0.99920770000000003</v>
      </c>
      <c r="Q5393">
        <v>-5.8915299999999999E-3</v>
      </c>
      <c r="R5393">
        <v>-3.936154E-2</v>
      </c>
      <c r="S5393">
        <v>2.983368</v>
      </c>
      <c r="T5393">
        <v>0.1267258</v>
      </c>
      <c r="U5393">
        <v>-0.50259399999999999</v>
      </c>
      <c r="V5393">
        <v>3.8400320000000002E-2</v>
      </c>
      <c r="W5393">
        <v>1.8127589999999999E-3</v>
      </c>
      <c r="X5393">
        <v>0.99926079999999995</v>
      </c>
      <c r="Y5393">
        <v>0.16503019999999999</v>
      </c>
      <c r="Z5393">
        <v>3.4383389999999999E-3</v>
      </c>
      <c r="AA5393">
        <v>0.98628249999999995</v>
      </c>
      <c r="AB5393">
        <v>23</v>
      </c>
      <c r="AC5393">
        <v>94.241299999999995</v>
      </c>
      <c r="AD5393">
        <v>4.0121269999999898</v>
      </c>
      <c r="AE5393">
        <v>-15.911294</v>
      </c>
      <c r="AF5393">
        <v>15.792634017712</v>
      </c>
      <c r="AG5393">
        <v>4.0121269999999898</v>
      </c>
      <c r="AH5393">
        <v>94.090781630433298</v>
      </c>
      <c r="AI5393">
        <v>87.591971809094403</v>
      </c>
      <c r="AJ5393">
        <v>80.472021211040996</v>
      </c>
      <c r="AK5393">
        <v>95.491254259787695</v>
      </c>
      <c r="AL5393">
        <v>89.896136504028703</v>
      </c>
      <c r="AM5393">
        <v>87.799279049737294</v>
      </c>
      <c r="AN5393">
        <v>1.00000000854396</v>
      </c>
    </row>
    <row r="5394" spans="1:40" x14ac:dyDescent="0.25">
      <c r="A5394" t="str">
        <f>"20190312161123614"</f>
        <v>20190312161123614</v>
      </c>
      <c r="B5394" t="str">
        <f>"1552378283602501"</f>
        <v>1552378283602501</v>
      </c>
      <c r="C5394" t="s">
        <v>40</v>
      </c>
      <c r="D5394">
        <v>5.9114839999999997</v>
      </c>
      <c r="E5394">
        <v>0.54864659999999998</v>
      </c>
      <c r="F5394" t="s">
        <v>101</v>
      </c>
      <c r="G5394">
        <v>-279.55990000000003</v>
      </c>
      <c r="H5394">
        <v>4.8241459999999998</v>
      </c>
      <c r="I5394">
        <v>1.306187</v>
      </c>
      <c r="J5394">
        <v>-373.03800000000001</v>
      </c>
      <c r="K5394">
        <v>1.109078</v>
      </c>
      <c r="L5394">
        <v>17.389309999999998</v>
      </c>
      <c r="M5394">
        <v>0.99996870000000004</v>
      </c>
      <c r="N5394">
        <v>0</v>
      </c>
      <c r="O5394">
        <v>-1.606854E-3</v>
      </c>
      <c r="P5394">
        <v>0.99919119999999995</v>
      </c>
      <c r="Q5394">
        <v>-6.6942099999999999E-3</v>
      </c>
      <c r="R5394">
        <v>-3.9655129999999997E-2</v>
      </c>
      <c r="S5394">
        <v>2.98291</v>
      </c>
      <c r="T5394">
        <v>0.1182662</v>
      </c>
      <c r="U5394">
        <v>-0.51202389999999998</v>
      </c>
      <c r="V5394">
        <v>3.8050510000000003E-2</v>
      </c>
      <c r="W5394">
        <v>1.011674E-3</v>
      </c>
      <c r="X5394">
        <v>0.99927529999999998</v>
      </c>
      <c r="Y5394">
        <v>0.1674677</v>
      </c>
      <c r="Z5394">
        <v>3.2312840000000001E-3</v>
      </c>
      <c r="AA5394">
        <v>0.98587230000000003</v>
      </c>
      <c r="AB5394">
        <v>23</v>
      </c>
      <c r="AC5394">
        <v>93.478099999999898</v>
      </c>
      <c r="AD5394">
        <v>3.715068</v>
      </c>
      <c r="AE5394">
        <v>-16.083123000000001</v>
      </c>
      <c r="AF5394">
        <v>15.9084873791635</v>
      </c>
      <c r="AG5394">
        <v>3.715068</v>
      </c>
      <c r="AH5394">
        <v>93.360601875393698</v>
      </c>
      <c r="AI5394">
        <v>87.753595558472099</v>
      </c>
      <c r="AJ5394">
        <v>80.329776513700693</v>
      </c>
      <c r="AK5394">
        <v>94.779131054643997</v>
      </c>
      <c r="AL5394">
        <v>89.942035339378904</v>
      </c>
      <c r="AM5394">
        <v>87.819338816971197</v>
      </c>
      <c r="AN5394">
        <v>0.999999994992816</v>
      </c>
    </row>
    <row r="5395" spans="1:40" x14ac:dyDescent="0.25">
      <c r="A5395" t="str">
        <f>"20190312161123915"</f>
        <v>20190312161123915</v>
      </c>
      <c r="B5395" t="str">
        <f>"1552378283912076"</f>
        <v>1552378283912076</v>
      </c>
      <c r="C5395" t="s">
        <v>40</v>
      </c>
      <c r="D5395">
        <v>6.0682790000000004</v>
      </c>
      <c r="E5395">
        <v>0.52741579999999999</v>
      </c>
      <c r="F5395" t="s">
        <v>101</v>
      </c>
      <c r="G5395">
        <v>-279.55990000000003</v>
      </c>
      <c r="H5395">
        <v>4.8434929999999996</v>
      </c>
      <c r="I5395">
        <v>1.385178</v>
      </c>
      <c r="J5395">
        <v>-369.8562</v>
      </c>
      <c r="K5395">
        <v>1.1093980000000001</v>
      </c>
      <c r="L5395">
        <v>17.363529999999901</v>
      </c>
      <c r="M5395">
        <v>0.99993169999999998</v>
      </c>
      <c r="N5395">
        <v>0</v>
      </c>
      <c r="O5395">
        <v>-8.7211670000000002E-3</v>
      </c>
      <c r="P5395">
        <v>0.9986621</v>
      </c>
      <c r="Q5395">
        <v>-3.0668660000000001E-3</v>
      </c>
      <c r="R5395">
        <v>-5.1623780000000001E-2</v>
      </c>
      <c r="S5395">
        <v>2.9830019999999999</v>
      </c>
      <c r="T5395">
        <v>0.11916980000000001</v>
      </c>
      <c r="U5395">
        <v>-0.51071169999999999</v>
      </c>
      <c r="V5395">
        <v>4.2913409999999999E-2</v>
      </c>
      <c r="W5395">
        <v>4.7085749999999996E-3</v>
      </c>
      <c r="X5395">
        <v>0.9990677</v>
      </c>
      <c r="Y5395">
        <v>0.16003199999999901</v>
      </c>
      <c r="Z5395">
        <v>2.826584E-3</v>
      </c>
      <c r="AA5395">
        <v>0.98710779999999998</v>
      </c>
      <c r="AB5395">
        <v>24</v>
      </c>
      <c r="AC5395">
        <v>90.296299999999903</v>
      </c>
      <c r="AD5395">
        <v>3.7340949999999902</v>
      </c>
      <c r="AE5395">
        <v>-15.9783519999999</v>
      </c>
      <c r="AF5395">
        <v>15.1650844144083</v>
      </c>
      <c r="AG5395">
        <v>3.7340949999999902</v>
      </c>
      <c r="AH5395">
        <v>90.282512264339303</v>
      </c>
      <c r="AI5395">
        <v>87.664275126405499</v>
      </c>
      <c r="AJ5395">
        <v>80.464831749019993</v>
      </c>
      <c r="AK5395">
        <v>91.623442805461806</v>
      </c>
      <c r="AL5395">
        <v>89.730217528179693</v>
      </c>
      <c r="AM5395">
        <v>87.540460156944306</v>
      </c>
      <c r="AN5395">
        <v>1.0000000003098199</v>
      </c>
    </row>
    <row r="5396" spans="1:40" x14ac:dyDescent="0.25">
      <c r="A5396" t="str">
        <f>"20190312161123939"</f>
        <v>20190312161123939</v>
      </c>
      <c r="B5396" t="str">
        <f>"1552378283932572"</f>
        <v>1552378283932572</v>
      </c>
      <c r="C5396" t="s">
        <v>40</v>
      </c>
      <c r="D5396">
        <v>5.8120880000000001</v>
      </c>
      <c r="E5396">
        <v>0.5202253</v>
      </c>
      <c r="F5396" t="s">
        <v>101</v>
      </c>
      <c r="G5396">
        <v>-275.55290000000002</v>
      </c>
      <c r="H5396">
        <v>4.9070320000000001</v>
      </c>
      <c r="I5396">
        <v>5.4374960000000003</v>
      </c>
      <c r="J5396">
        <v>-369.60649999999998</v>
      </c>
      <c r="K5396">
        <v>1.10945</v>
      </c>
      <c r="L5396">
        <v>17.361149999999999</v>
      </c>
      <c r="M5396">
        <v>0.99993050000000006</v>
      </c>
      <c r="N5396">
        <v>0</v>
      </c>
      <c r="O5396">
        <v>-8.8413490000000001E-3</v>
      </c>
      <c r="P5396">
        <v>0.99870919999999996</v>
      </c>
      <c r="Q5396">
        <v>-2.7831430000000001E-3</v>
      </c>
      <c r="R5396">
        <v>-5.0717940000000003E-2</v>
      </c>
      <c r="S5396">
        <v>2.9848020000000002</v>
      </c>
      <c r="T5396">
        <v>0.1201993</v>
      </c>
      <c r="U5396">
        <v>-0.37747190000000003</v>
      </c>
      <c r="V5396">
        <v>4.1886560000000003E-2</v>
      </c>
      <c r="W5396">
        <v>5.0023029999999996E-3</v>
      </c>
      <c r="X5396">
        <v>0.9991099</v>
      </c>
      <c r="Y5396">
        <v>0.1166027</v>
      </c>
      <c r="Z5396">
        <v>1.9831250000000001E-3</v>
      </c>
      <c r="AA5396">
        <v>0.99317659999999997</v>
      </c>
      <c r="AB5396">
        <v>24</v>
      </c>
      <c r="AC5396">
        <v>94.053599999999904</v>
      </c>
      <c r="AD5396">
        <v>3.7975819999999998</v>
      </c>
      <c r="AE5396">
        <v>-11.923654000000001</v>
      </c>
      <c r="AF5396">
        <v>11.073833998137999</v>
      </c>
      <c r="AG5396">
        <v>3.7975819999999998</v>
      </c>
      <c r="AH5396">
        <v>94.004518031571493</v>
      </c>
      <c r="AI5396">
        <v>87.702499835096503</v>
      </c>
      <c r="AJ5396">
        <v>83.281458909322495</v>
      </c>
      <c r="AK5396">
        <v>94.730675278988201</v>
      </c>
      <c r="AL5396">
        <v>89.713387969147902</v>
      </c>
      <c r="AM5396">
        <v>87.599344633511294</v>
      </c>
      <c r="AN5396">
        <v>1.00000004961097</v>
      </c>
    </row>
    <row r="5397" spans="1:40" x14ac:dyDescent="0.25">
      <c r="A5397" t="str">
        <f>"20190312161123962"</f>
        <v>20190312161123962</v>
      </c>
      <c r="B5397" t="str">
        <f>"1552378283952092"</f>
        <v>1552378283952092</v>
      </c>
      <c r="C5397" t="s">
        <v>40</v>
      </c>
      <c r="D5397">
        <v>5.8080089999999904</v>
      </c>
      <c r="E5397">
        <v>0.52024890000000001</v>
      </c>
      <c r="F5397" t="s">
        <v>101</v>
      </c>
      <c r="G5397">
        <v>-252.1508</v>
      </c>
      <c r="H5397">
        <v>5.6305009999999998</v>
      </c>
      <c r="I5397">
        <v>4.8927040000000002</v>
      </c>
      <c r="J5397">
        <v>-369.35520000000002</v>
      </c>
      <c r="K5397">
        <v>1.1094820000000001</v>
      </c>
      <c r="L5397">
        <v>17.358799999999999</v>
      </c>
      <c r="M5397">
        <v>0.99993010000000004</v>
      </c>
      <c r="N5397">
        <v>0</v>
      </c>
      <c r="O5397">
        <v>-8.8985149999999992E-3</v>
      </c>
      <c r="P5397">
        <v>0.99872799999999995</v>
      </c>
      <c r="Q5397">
        <v>-3.1409570000000002E-3</v>
      </c>
      <c r="R5397">
        <v>-5.032652E-2</v>
      </c>
      <c r="S5397">
        <v>2.9880979999999999</v>
      </c>
      <c r="T5397">
        <v>0.11501649999999999</v>
      </c>
      <c r="U5397">
        <v>-0.31719969999999997</v>
      </c>
      <c r="V5397">
        <v>4.143757E-2</v>
      </c>
      <c r="W5397">
        <v>4.6499250000000001E-3</v>
      </c>
      <c r="X5397">
        <v>0.99913019999999997</v>
      </c>
      <c r="Y5397">
        <v>9.6643809999999997E-2</v>
      </c>
      <c r="Z5397">
        <v>1.5126930000000001E-3</v>
      </c>
      <c r="AA5397">
        <v>0.99531789999999998</v>
      </c>
      <c r="AB5397">
        <v>24</v>
      </c>
      <c r="AC5397">
        <v>117.20440000000001</v>
      </c>
      <c r="AD5397">
        <v>4.5210189999999999</v>
      </c>
      <c r="AE5397">
        <v>-12.466096</v>
      </c>
      <c r="AF5397">
        <v>11.4058443413468</v>
      </c>
      <c r="AG5397">
        <v>4.5210189999999999</v>
      </c>
      <c r="AH5397">
        <v>117.138347518869</v>
      </c>
      <c r="AI5397">
        <v>87.800128554190906</v>
      </c>
      <c r="AJ5397">
        <v>84.438600894601294</v>
      </c>
      <c r="AK5397">
        <v>117.779138039759</v>
      </c>
      <c r="AL5397">
        <v>89.733577942447297</v>
      </c>
      <c r="AM5397">
        <v>87.625096288069301</v>
      </c>
      <c r="AN5397">
        <v>0.999999925281022</v>
      </c>
    </row>
    <row r="5398" spans="1:40" x14ac:dyDescent="0.25">
      <c r="A5398" t="str">
        <f>"20190312161124005"</f>
        <v>20190312161124005</v>
      </c>
      <c r="B5398" t="str">
        <f>"1552378284002844"</f>
        <v>1552378284002844</v>
      </c>
      <c r="C5398" t="s">
        <v>40</v>
      </c>
      <c r="D5398">
        <v>5.7488289999999997</v>
      </c>
      <c r="E5398">
        <v>0.5234569</v>
      </c>
      <c r="F5398" t="s">
        <v>101</v>
      </c>
      <c r="G5398">
        <v>-256.47370000000001</v>
      </c>
      <c r="H5398">
        <v>4.6274069999999998</v>
      </c>
      <c r="I5398">
        <v>5.4374029999999998</v>
      </c>
      <c r="J5398">
        <v>-368.88709999999998</v>
      </c>
      <c r="K5398">
        <v>1.1095189999999999</v>
      </c>
      <c r="L5398">
        <v>17.354579999999999</v>
      </c>
      <c r="M5398">
        <v>0.99993019999999999</v>
      </c>
      <c r="N5398">
        <v>0</v>
      </c>
      <c r="O5398">
        <v>-8.8900400000000001E-3</v>
      </c>
      <c r="P5398">
        <v>0.99868539999999995</v>
      </c>
      <c r="Q5398">
        <v>-3.7105530000000001E-3</v>
      </c>
      <c r="R5398">
        <v>-5.1127020000000002E-2</v>
      </c>
      <c r="S5398">
        <v>2.9881899999999999</v>
      </c>
      <c r="T5398">
        <v>9.3126299999999995E-2</v>
      </c>
      <c r="U5398">
        <v>-0.31558229999999998</v>
      </c>
      <c r="V5398">
        <v>4.2246230000000003E-2</v>
      </c>
      <c r="W5398">
        <v>4.0753409999999997E-3</v>
      </c>
      <c r="X5398">
        <v>0.99909890000000001</v>
      </c>
      <c r="Y5398">
        <v>9.6138600000000005E-2</v>
      </c>
      <c r="Z5398">
        <v>1.2173609999999999E-3</v>
      </c>
      <c r="AA5398">
        <v>0.99536720000000001</v>
      </c>
      <c r="AB5398">
        <v>24</v>
      </c>
      <c r="AC5398">
        <v>112.413399999999</v>
      </c>
      <c r="AD5398">
        <v>3.5178880000000001</v>
      </c>
      <c r="AE5398">
        <v>-11.917177000000001</v>
      </c>
      <c r="AF5398">
        <v>10.9067535793261</v>
      </c>
      <c r="AG5398">
        <v>3.5178880000000001</v>
      </c>
      <c r="AH5398">
        <v>112.406045968418</v>
      </c>
      <c r="AI5398">
        <v>88.215815656828795</v>
      </c>
      <c r="AJ5398">
        <v>84.457942119711504</v>
      </c>
      <c r="AK5398">
        <v>112.988725012166</v>
      </c>
      <c r="AL5398">
        <v>89.766499510111302</v>
      </c>
      <c r="AM5398">
        <v>87.578728575212395</v>
      </c>
      <c r="AN5398">
        <v>0.99999998216734398</v>
      </c>
    </row>
    <row r="5399" spans="1:40" x14ac:dyDescent="0.25">
      <c r="A5399" t="str">
        <f>"20190312161124029"</f>
        <v>20190312161124029</v>
      </c>
      <c r="B5399" t="str">
        <f>"1552378284022365"</f>
        <v>1552378284022365</v>
      </c>
      <c r="C5399" t="s">
        <v>40</v>
      </c>
      <c r="D5399">
        <v>6.0085439999999997</v>
      </c>
      <c r="E5399">
        <v>0.52381800000000001</v>
      </c>
      <c r="F5399" t="s">
        <v>101</v>
      </c>
      <c r="G5399">
        <v>-257.13580000000002</v>
      </c>
      <c r="H5399">
        <v>1.322155</v>
      </c>
      <c r="I5399">
        <v>4.6003860000000003</v>
      </c>
      <c r="J5399">
        <v>-368.64400000000001</v>
      </c>
      <c r="K5399">
        <v>1.109524</v>
      </c>
      <c r="L5399">
        <v>17.352450000000001</v>
      </c>
      <c r="M5399">
        <v>0.99993050000000006</v>
      </c>
      <c r="N5399">
        <v>0</v>
      </c>
      <c r="O5399">
        <v>-8.8577710000000004E-3</v>
      </c>
      <c r="P5399">
        <v>0.99868120000000005</v>
      </c>
      <c r="Q5399">
        <v>-3.8978939999999998E-3</v>
      </c>
      <c r="R5399">
        <v>-5.1191430000000003E-2</v>
      </c>
      <c r="S5399">
        <v>2.9865110000000001</v>
      </c>
      <c r="T5399">
        <v>5.6825879999999997E-3</v>
      </c>
      <c r="U5399">
        <v>-0.34085079999999901</v>
      </c>
      <c r="V5399">
        <v>4.2342900000000003E-2</v>
      </c>
      <c r="W5399">
        <v>3.8841309999999999E-3</v>
      </c>
      <c r="X5399">
        <v>0.99909559999999997</v>
      </c>
      <c r="Y5399">
        <v>0.1045884</v>
      </c>
      <c r="Z5399" s="1">
        <v>8.2383060000000005E-5</v>
      </c>
      <c r="AA5399">
        <v>0.99451560000000006</v>
      </c>
      <c r="AB5399">
        <v>24</v>
      </c>
      <c r="AC5399">
        <v>111.5082</v>
      </c>
      <c r="AD5399">
        <v>0.21263099999999999</v>
      </c>
      <c r="AE5399">
        <v>-12.752064000000001</v>
      </c>
      <c r="AF5399">
        <v>11.7637774760535</v>
      </c>
      <c r="AG5399">
        <v>0.21263099999999999</v>
      </c>
      <c r="AH5399">
        <v>111.616382845872</v>
      </c>
      <c r="AI5399">
        <v>89.891451964788203</v>
      </c>
      <c r="AJ5399">
        <v>83.983538769243296</v>
      </c>
      <c r="AK5399">
        <v>112.234792252869</v>
      </c>
      <c r="AL5399">
        <v>89.777455129899906</v>
      </c>
      <c r="AM5399">
        <v>87.573186707592001</v>
      </c>
      <c r="AN5399">
        <v>1.0000000127966899</v>
      </c>
    </row>
    <row r="5400" spans="1:40" x14ac:dyDescent="0.25">
      <c r="A5400" t="str">
        <f>"20190312161124051"</f>
        <v>20190312161124051</v>
      </c>
      <c r="B5400" t="str">
        <f>"1552378284042861"</f>
        <v>1552378284042861</v>
      </c>
      <c r="C5400" t="s">
        <v>40</v>
      </c>
      <c r="D5400">
        <v>5.7811399999999997</v>
      </c>
      <c r="E5400">
        <v>0.52371420000000002</v>
      </c>
      <c r="F5400" t="s">
        <v>101</v>
      </c>
      <c r="G5400">
        <v>-257.90730000000002</v>
      </c>
      <c r="H5400">
        <v>1.2877000000000001</v>
      </c>
      <c r="I5400">
        <v>4.6003740000000004</v>
      </c>
      <c r="J5400">
        <v>-368.3852</v>
      </c>
      <c r="K5400">
        <v>1.1095200000000001</v>
      </c>
      <c r="L5400">
        <v>17.350159999999999</v>
      </c>
      <c r="M5400">
        <v>0.99993089999999996</v>
      </c>
      <c r="N5400">
        <v>0</v>
      </c>
      <c r="O5400">
        <v>-8.8186610000000002E-3</v>
      </c>
      <c r="P5400">
        <v>0.99868179999999995</v>
      </c>
      <c r="Q5400">
        <v>-4.0836290000000001E-3</v>
      </c>
      <c r="R5400">
        <v>-5.1170880000000002E-2</v>
      </c>
      <c r="S5400">
        <v>2.986389</v>
      </c>
      <c r="T5400">
        <v>4.8052069999999997E-3</v>
      </c>
      <c r="U5400">
        <v>-0.3439026</v>
      </c>
      <c r="V5400">
        <v>4.236123E-2</v>
      </c>
      <c r="W5400">
        <v>3.6948279999999998E-3</v>
      </c>
      <c r="X5400">
        <v>0.99909550000000003</v>
      </c>
      <c r="Y5400">
        <v>0.10563500000000001</v>
      </c>
      <c r="Z5400" s="1">
        <v>7.0564019999999904E-5</v>
      </c>
      <c r="AA5400">
        <v>0.99440499999999998</v>
      </c>
      <c r="AB5400">
        <v>24</v>
      </c>
      <c r="AC5400">
        <v>110.477899999999</v>
      </c>
      <c r="AD5400">
        <v>0.17818000000000001</v>
      </c>
      <c r="AE5400">
        <v>-12.749786</v>
      </c>
      <c r="AF5400">
        <v>11.7749633815615</v>
      </c>
      <c r="AG5400">
        <v>0.17818000000000001</v>
      </c>
      <c r="AH5400">
        <v>110.585759358239</v>
      </c>
      <c r="AI5400">
        <v>89.908201848462397</v>
      </c>
      <c r="AJ5400">
        <v>83.922153647196794</v>
      </c>
      <c r="AK5400">
        <v>111.21102321077601</v>
      </c>
      <c r="AL5400">
        <v>89.788301461933997</v>
      </c>
      <c r="AM5400">
        <v>87.572137168078996</v>
      </c>
      <c r="AN5400">
        <v>0.99999997184065503</v>
      </c>
    </row>
    <row r="5401" spans="1:40" x14ac:dyDescent="0.25">
      <c r="A5401" t="str">
        <f>"20190312161124385"</f>
        <v>20190312161124385</v>
      </c>
      <c r="B5401" t="str">
        <f>"1552378284382509"</f>
        <v>1552378284382509</v>
      </c>
      <c r="C5401" t="s">
        <v>40</v>
      </c>
      <c r="D5401">
        <v>6.3385809999999996</v>
      </c>
      <c r="E5401">
        <v>0.52304359999999905</v>
      </c>
      <c r="F5401" t="s">
        <v>101</v>
      </c>
      <c r="G5401">
        <v>-257.43270000000001</v>
      </c>
      <c r="H5401">
        <v>1.5266789999999999</v>
      </c>
      <c r="I5401">
        <v>4.600454</v>
      </c>
      <c r="J5401">
        <v>-364.63099999999997</v>
      </c>
      <c r="K5401">
        <v>1.109456</v>
      </c>
      <c r="L5401">
        <v>17.317720000000001</v>
      </c>
      <c r="M5401">
        <v>0.99993379999999998</v>
      </c>
      <c r="N5401">
        <v>0</v>
      </c>
      <c r="O5401">
        <v>-8.6030280000000004E-3</v>
      </c>
      <c r="P5401">
        <v>0.99870040000000004</v>
      </c>
      <c r="Q5401">
        <v>-4.0558970000000001E-3</v>
      </c>
      <c r="R5401">
        <v>-5.0804240000000001E-2</v>
      </c>
      <c r="S5401">
        <v>2.986389</v>
      </c>
      <c r="T5401">
        <v>1.122832E-2</v>
      </c>
      <c r="U5401">
        <v>-0.34317019999999998</v>
      </c>
      <c r="V5401">
        <v>4.2210339999999999E-2</v>
      </c>
      <c r="W5401">
        <v>3.5913550000000001E-3</v>
      </c>
      <c r="X5401">
        <v>0.9991023</v>
      </c>
      <c r="Y5401">
        <v>0.1056082</v>
      </c>
      <c r="Z5401">
        <v>1.6564640000000001E-4</v>
      </c>
      <c r="AA5401">
        <v>0.99440779999999995</v>
      </c>
      <c r="AB5401">
        <v>26</v>
      </c>
      <c r="AC5401">
        <v>107.19829999999899</v>
      </c>
      <c r="AD5401">
        <v>0.41722300000000001</v>
      </c>
      <c r="AE5401">
        <v>-12.717266</v>
      </c>
      <c r="AF5401">
        <v>11.794362265297901</v>
      </c>
      <c r="AG5401">
        <v>0.41722300000000001</v>
      </c>
      <c r="AH5401">
        <v>107.302140024777</v>
      </c>
      <c r="AI5401">
        <v>89.778551615116001</v>
      </c>
      <c r="AJ5401">
        <v>83.727382869262001</v>
      </c>
      <c r="AK5401">
        <v>107.949202452699</v>
      </c>
      <c r="AL5401">
        <v>89.794230075131694</v>
      </c>
      <c r="AM5401">
        <v>87.580791328022698</v>
      </c>
      <c r="AN5401">
        <v>1.00000000824947</v>
      </c>
    </row>
    <row r="5402" spans="1:40" x14ac:dyDescent="0.25">
      <c r="A5402" t="str">
        <f>"20190312161124407"</f>
        <v>20190312161124407</v>
      </c>
      <c r="B5402" t="str">
        <f>"1552378284403004"</f>
        <v>1552378284403004</v>
      </c>
      <c r="C5402" t="s">
        <v>40</v>
      </c>
      <c r="D5402">
        <v>5.9076769999999996</v>
      </c>
      <c r="E5402">
        <v>0.55469789999999997</v>
      </c>
      <c r="F5402" t="s">
        <v>101</v>
      </c>
      <c r="G5402">
        <v>-252.1508</v>
      </c>
      <c r="H5402">
        <v>1.8951100000000001</v>
      </c>
      <c r="I5402">
        <v>4.6242869999999998</v>
      </c>
      <c r="J5402">
        <v>-364.37479999999999</v>
      </c>
      <c r="K5402">
        <v>1.109461</v>
      </c>
      <c r="L5402">
        <v>17.315519999999999</v>
      </c>
      <c r="M5402">
        <v>0.99993379999999998</v>
      </c>
      <c r="N5402">
        <v>0</v>
      </c>
      <c r="O5402">
        <v>-8.5909719999999901E-3</v>
      </c>
      <c r="P5402">
        <v>0.99867470000000003</v>
      </c>
      <c r="Q5402">
        <v>-3.5652829999999998E-3</v>
      </c>
      <c r="R5402">
        <v>-5.1347209999999997E-2</v>
      </c>
      <c r="S5402">
        <v>2.986847</v>
      </c>
      <c r="T5402">
        <v>2.0862579999999999E-2</v>
      </c>
      <c r="U5402">
        <v>-0.3370667</v>
      </c>
      <c r="V5402">
        <v>4.2765320000000002E-2</v>
      </c>
      <c r="W5402">
        <v>4.0782020000000004E-3</v>
      </c>
      <c r="X5402">
        <v>0.99907679999999999</v>
      </c>
      <c r="Y5402">
        <v>0.1035951</v>
      </c>
      <c r="Z5402">
        <v>3.0083749999999999E-4</v>
      </c>
      <c r="AA5402">
        <v>0.99461949999999999</v>
      </c>
      <c r="AB5402">
        <v>26</v>
      </c>
      <c r="AC5402">
        <v>112.224</v>
      </c>
      <c r="AD5402">
        <v>0.78564899999999904</v>
      </c>
      <c r="AE5402">
        <v>-12.691233</v>
      </c>
      <c r="AF5402">
        <v>11.7260557016343</v>
      </c>
      <c r="AG5402">
        <v>0.78564899999999904</v>
      </c>
      <c r="AH5402">
        <v>112.323456097299</v>
      </c>
      <c r="AI5402">
        <v>89.601415895747493</v>
      </c>
      <c r="AJ5402">
        <v>84.040170671124798</v>
      </c>
      <c r="AK5402">
        <v>112.93660352742501</v>
      </c>
      <c r="AL5402">
        <v>89.766335584620094</v>
      </c>
      <c r="AM5402">
        <v>87.548959718236105</v>
      </c>
      <c r="AN5402">
        <v>0.99999997831224696</v>
      </c>
    </row>
    <row r="5403" spans="1:40" x14ac:dyDescent="0.25">
      <c r="A5403" t="str">
        <f>"20190312161124431"</f>
        <v>20190312161124431</v>
      </c>
      <c r="B5403" t="str">
        <f>"1552378284422524"</f>
        <v>1552378284422524</v>
      </c>
      <c r="C5403" t="s">
        <v>40</v>
      </c>
      <c r="D5403">
        <v>5.9153699999999896</v>
      </c>
      <c r="E5403">
        <v>0.55469769999999996</v>
      </c>
      <c r="F5403" t="s">
        <v>101</v>
      </c>
      <c r="G5403">
        <v>-279.02</v>
      </c>
      <c r="H5403">
        <v>6.6848150000000004</v>
      </c>
      <c r="I5403">
        <v>0.2082939</v>
      </c>
      <c r="J5403">
        <v>-364.10759999999999</v>
      </c>
      <c r="K5403">
        <v>1.1094619999999999</v>
      </c>
      <c r="L5403">
        <v>17.313229999999901</v>
      </c>
      <c r="M5403">
        <v>0.99993410000000005</v>
      </c>
      <c r="N5403">
        <v>0</v>
      </c>
      <c r="O5403">
        <v>-8.5772460000000002E-3</v>
      </c>
      <c r="P5403">
        <v>0.99866929999999998</v>
      </c>
      <c r="Q5403">
        <v>-3.538163E-3</v>
      </c>
      <c r="R5403">
        <v>-5.1453690000000003E-2</v>
      </c>
      <c r="S5403">
        <v>2.97403</v>
      </c>
      <c r="T5403">
        <v>0.19426270000000001</v>
      </c>
      <c r="U5403">
        <v>-0.59606930000000002</v>
      </c>
      <c r="V5403">
        <v>4.2885720000000002E-2</v>
      </c>
      <c r="W5403">
        <v>4.1029969999999997E-3</v>
      </c>
      <c r="X5403">
        <v>0.9990715</v>
      </c>
      <c r="Y5403">
        <v>0.18773229999999999</v>
      </c>
      <c r="Z5403">
        <v>5.5106010000000004E-3</v>
      </c>
      <c r="AA5403">
        <v>0.98220479999999999</v>
      </c>
      <c r="AB5403">
        <v>26</v>
      </c>
      <c r="AC5403">
        <v>85.087599999999995</v>
      </c>
      <c r="AD5403">
        <v>5.5753529999999998</v>
      </c>
      <c r="AE5403">
        <v>-17.1049360999999</v>
      </c>
      <c r="AF5403">
        <v>16.307172908021599</v>
      </c>
      <c r="AG5403">
        <v>5.5753529999999998</v>
      </c>
      <c r="AH5403">
        <v>84.880906152107698</v>
      </c>
      <c r="AI5403">
        <v>86.309261129621305</v>
      </c>
      <c r="AJ5403">
        <v>79.124939313545497</v>
      </c>
      <c r="AK5403">
        <v>86.612797429303996</v>
      </c>
      <c r="AL5403">
        <v>89.764914915040606</v>
      </c>
      <c r="AM5403">
        <v>87.542054572433301</v>
      </c>
      <c r="AN5403">
        <v>0.99999994083827304</v>
      </c>
    </row>
    <row r="5404" spans="1:40" x14ac:dyDescent="0.25">
      <c r="A5404" t="str">
        <f>"20190312161124452"</f>
        <v>20190312161124452</v>
      </c>
      <c r="B5404" t="str">
        <f>"1552378284443020"</f>
        <v>1552378284443020</v>
      </c>
      <c r="C5404" t="s">
        <v>40</v>
      </c>
      <c r="D5404">
        <v>5.8529499999999999</v>
      </c>
      <c r="E5404">
        <v>0.56940480000000004</v>
      </c>
      <c r="F5404" t="s">
        <v>101</v>
      </c>
      <c r="G5404">
        <v>-279.02</v>
      </c>
      <c r="H5404">
        <v>7.1625019999999999</v>
      </c>
      <c r="I5404">
        <v>0.23424529999999999</v>
      </c>
      <c r="J5404">
        <v>-363.85169999999999</v>
      </c>
      <c r="K5404">
        <v>1.109459</v>
      </c>
      <c r="L5404">
        <v>17.311039999999998</v>
      </c>
      <c r="M5404">
        <v>0.99993430000000005</v>
      </c>
      <c r="N5404">
        <v>0</v>
      </c>
      <c r="O5404">
        <v>-8.5594550000000005E-3</v>
      </c>
      <c r="P5404">
        <v>0.99864640000000005</v>
      </c>
      <c r="Q5404">
        <v>-2.9574200000000001E-3</v>
      </c>
      <c r="R5404">
        <v>-5.193304E-2</v>
      </c>
      <c r="S5404">
        <v>2.97403</v>
      </c>
      <c r="T5404">
        <v>0.21156929999999999</v>
      </c>
      <c r="U5404">
        <v>-0.59695430000000005</v>
      </c>
      <c r="V5404">
        <v>4.3382850000000001E-2</v>
      </c>
      <c r="W5404">
        <v>4.6828260000000002E-3</v>
      </c>
      <c r="X5404">
        <v>0.99904749999999998</v>
      </c>
      <c r="Y5404">
        <v>0.18796199999999999</v>
      </c>
      <c r="Z5404">
        <v>6.0095349999999999E-3</v>
      </c>
      <c r="AA5404">
        <v>0.98215790000000003</v>
      </c>
      <c r="AB5404">
        <v>26</v>
      </c>
      <c r="AC5404">
        <v>84.831699999999998</v>
      </c>
      <c r="AD5404">
        <v>6.0530429999999997</v>
      </c>
      <c r="AE5404">
        <v>-17.076794699999901</v>
      </c>
      <c r="AF5404">
        <v>16.2704228676313</v>
      </c>
      <c r="AG5404">
        <v>6.0530429999999997</v>
      </c>
      <c r="AH5404">
        <v>84.561003242873696</v>
      </c>
      <c r="AI5404">
        <v>85.979143629752798</v>
      </c>
      <c r="AJ5404">
        <v>79.108794017140198</v>
      </c>
      <c r="AK5404">
        <v>86.324557683736103</v>
      </c>
      <c r="AL5404">
        <v>89.731692841017704</v>
      </c>
      <c r="AM5404">
        <v>87.5135380394712</v>
      </c>
      <c r="AN5404">
        <v>0.99999995389485796</v>
      </c>
    </row>
    <row r="5405" spans="1:40" x14ac:dyDescent="0.25">
      <c r="A5405" t="str">
        <f>"20190312161124474"</f>
        <v>20190312161124474</v>
      </c>
      <c r="B5405" t="str">
        <f>"1552378284462544"</f>
        <v>1552378284462544</v>
      </c>
      <c r="C5405" t="s">
        <v>40</v>
      </c>
      <c r="D5405">
        <v>5.8816649999999999</v>
      </c>
      <c r="E5405">
        <v>0.57052320000000001</v>
      </c>
      <c r="F5405" t="s">
        <v>41</v>
      </c>
      <c r="G5405">
        <v>-344.48110000000003</v>
      </c>
      <c r="H5405" s="1">
        <v>-3.7002269999999999E-6</v>
      </c>
      <c r="I5405">
        <v>12.71565</v>
      </c>
      <c r="J5405">
        <v>-363.60570000000001</v>
      </c>
      <c r="K5405">
        <v>1.109464</v>
      </c>
      <c r="L5405">
        <v>17.308959999999999</v>
      </c>
      <c r="M5405">
        <v>0.9999344</v>
      </c>
      <c r="N5405">
        <v>0</v>
      </c>
      <c r="O5405">
        <v>-8.5342530000000003E-3</v>
      </c>
      <c r="P5405">
        <v>0.99863740000000001</v>
      </c>
      <c r="Q5405">
        <v>-2.177582E-3</v>
      </c>
      <c r="R5405">
        <v>-5.2141420000000001E-2</v>
      </c>
      <c r="S5405">
        <v>2.96698</v>
      </c>
      <c r="T5405">
        <v>-0.16993529999999901</v>
      </c>
      <c r="U5405">
        <v>-0.70385739999999997</v>
      </c>
      <c r="V5405">
        <v>4.3616780000000001E-2</v>
      </c>
      <c r="W5405">
        <v>5.4629219999999899E-3</v>
      </c>
      <c r="X5405">
        <v>0.99903339999999996</v>
      </c>
      <c r="Y5405">
        <v>0.22218019999999999</v>
      </c>
      <c r="Z5405">
        <v>-5.789102E-3</v>
      </c>
      <c r="AA5405">
        <v>0.97498839999999998</v>
      </c>
      <c r="AB5405">
        <v>26</v>
      </c>
      <c r="AC5405">
        <v>19.124599999999901</v>
      </c>
      <c r="AD5405">
        <v>-1.1094677002269999</v>
      </c>
      <c r="AE5405">
        <v>-4.59330999999999</v>
      </c>
      <c r="AF5405">
        <v>4.4158728608541997</v>
      </c>
      <c r="AG5405">
        <v>-1.1094677002269999</v>
      </c>
      <c r="AH5405">
        <v>19.102323209633099</v>
      </c>
      <c r="AI5405">
        <v>93.238794745571894</v>
      </c>
      <c r="AJ5405">
        <v>76.983615633860197</v>
      </c>
      <c r="AK5405">
        <v>19.637454104500499</v>
      </c>
      <c r="AL5405">
        <v>89.686996068929403</v>
      </c>
      <c r="AM5405">
        <v>87.500112208318299</v>
      </c>
      <c r="AN5405">
        <v>1.0000000006649501</v>
      </c>
    </row>
    <row r="5406" spans="1:40" x14ac:dyDescent="0.25">
      <c r="A5406" t="str">
        <f>"20190312161124495"</f>
        <v>20190312161124495</v>
      </c>
      <c r="B5406" t="str">
        <f>"1552378284492797"</f>
        <v>1552378284492797</v>
      </c>
      <c r="C5406" t="s">
        <v>40</v>
      </c>
      <c r="D5406">
        <v>5.9980849999999997</v>
      </c>
      <c r="E5406">
        <v>0.5691562</v>
      </c>
      <c r="F5406" t="s">
        <v>41</v>
      </c>
      <c r="G5406">
        <v>-336.5736</v>
      </c>
      <c r="H5406" s="1">
        <v>-3.4990479999999999E-6</v>
      </c>
      <c r="I5406">
        <v>10.795500000000001</v>
      </c>
      <c r="J5406">
        <v>-363.35489999999999</v>
      </c>
      <c r="K5406">
        <v>1.1094740000000001</v>
      </c>
      <c r="L5406">
        <v>17.306850000000001</v>
      </c>
      <c r="M5406">
        <v>0.99993480000000001</v>
      </c>
      <c r="N5406">
        <v>0</v>
      </c>
      <c r="O5406">
        <v>-8.4960260000000003E-3</v>
      </c>
      <c r="P5406">
        <v>0.99859810000000004</v>
      </c>
      <c r="Q5406">
        <v>-1.7826179999999999E-3</v>
      </c>
      <c r="R5406">
        <v>-5.2903940000000003E-2</v>
      </c>
      <c r="S5406">
        <v>2.9665219999999999</v>
      </c>
      <c r="T5406">
        <v>-0.1217538</v>
      </c>
      <c r="U5406">
        <v>-0.71478269999999899</v>
      </c>
      <c r="V5406">
        <v>4.4417449999999997E-2</v>
      </c>
      <c r="W5406">
        <v>5.8591669999999898E-3</v>
      </c>
      <c r="X5406">
        <v>0.99899590000000005</v>
      </c>
      <c r="Y5406">
        <v>0.2258047</v>
      </c>
      <c r="Z5406">
        <v>-4.2230319999999998E-3</v>
      </c>
      <c r="AA5406">
        <v>0.97416340000000001</v>
      </c>
      <c r="AB5406">
        <v>26</v>
      </c>
      <c r="AC5406">
        <v>26.781299999999899</v>
      </c>
      <c r="AD5406">
        <v>-1.1094774990480001</v>
      </c>
      <c r="AE5406">
        <v>-6.5113500000000002</v>
      </c>
      <c r="AF5406">
        <v>6.2734080849907699</v>
      </c>
      <c r="AG5406">
        <v>-1.1094774990480001</v>
      </c>
      <c r="AH5406">
        <v>26.792240480102599</v>
      </c>
      <c r="AI5406">
        <v>92.308907022620204</v>
      </c>
      <c r="AJ5406">
        <v>76.821600080023302</v>
      </c>
      <c r="AK5406">
        <v>27.539258146605398</v>
      </c>
      <c r="AL5406">
        <v>89.664292546665394</v>
      </c>
      <c r="AM5406">
        <v>87.454186347273904</v>
      </c>
      <c r="AN5406">
        <v>1.0000000239596201</v>
      </c>
    </row>
    <row r="5407" spans="1:40" x14ac:dyDescent="0.25">
      <c r="A5407" t="str">
        <f>"20190312161124519"</f>
        <v>20190312161124519</v>
      </c>
      <c r="B5407" t="str">
        <f>"1552378284512317"</f>
        <v>1552378284512317</v>
      </c>
      <c r="C5407" t="s">
        <v>40</v>
      </c>
      <c r="D5407">
        <v>5.886393</v>
      </c>
      <c r="E5407">
        <v>0.56926560000000004</v>
      </c>
      <c r="F5407" t="s">
        <v>41</v>
      </c>
      <c r="G5407">
        <v>-330.39490000000001</v>
      </c>
      <c r="H5407">
        <v>7.9986710000000003E-2</v>
      </c>
      <c r="I5407">
        <v>9.4530220000000007</v>
      </c>
      <c r="J5407">
        <v>-363.0797</v>
      </c>
      <c r="K5407">
        <v>1.1094889999999999</v>
      </c>
      <c r="L5407">
        <v>17.30453</v>
      </c>
      <c r="M5407">
        <v>0.99993529999999997</v>
      </c>
      <c r="N5407">
        <v>0</v>
      </c>
      <c r="O5407">
        <v>-8.4353469999999993E-3</v>
      </c>
      <c r="P5407">
        <v>0.99856109999999998</v>
      </c>
      <c r="Q5407">
        <v>-1.8633059999999999E-3</v>
      </c>
      <c r="R5407">
        <v>-5.3597850000000002E-2</v>
      </c>
      <c r="S5407">
        <v>2.966583</v>
      </c>
      <c r="T5407">
        <v>-9.2659240000000004E-2</v>
      </c>
      <c r="U5407">
        <v>-0.70687869999999997</v>
      </c>
      <c r="V5407">
        <v>4.5172120000000003E-2</v>
      </c>
      <c r="W5407">
        <v>5.7814429999999998E-3</v>
      </c>
      <c r="X5407">
        <v>0.99896249999999998</v>
      </c>
      <c r="Y5407">
        <v>0.2234777</v>
      </c>
      <c r="Z5407">
        <v>-3.181386E-3</v>
      </c>
      <c r="AA5407">
        <v>0.97470380000000001</v>
      </c>
      <c r="AB5407">
        <v>26</v>
      </c>
      <c r="AC5407">
        <v>32.684800000000003</v>
      </c>
      <c r="AD5407">
        <v>-1.0295022899999999</v>
      </c>
      <c r="AE5407">
        <v>-7.8515079999999902</v>
      </c>
      <c r="AF5407">
        <v>7.5684138837903001</v>
      </c>
      <c r="AG5407">
        <v>-1.0295022899999999</v>
      </c>
      <c r="AH5407">
        <v>32.719178916947101</v>
      </c>
      <c r="AI5407">
        <v>91.755872576225002</v>
      </c>
      <c r="AJ5407">
        <v>76.975735777849394</v>
      </c>
      <c r="AK5407">
        <v>33.598890348948501</v>
      </c>
      <c r="AL5407">
        <v>89.6687458748506</v>
      </c>
      <c r="AM5407">
        <v>87.410903888388404</v>
      </c>
      <c r="AN5407">
        <v>1.0000000109573499</v>
      </c>
    </row>
    <row r="5408" spans="1:40" x14ac:dyDescent="0.25">
      <c r="A5408" t="str">
        <f>"20190312161124542"</f>
        <v>20190312161124542</v>
      </c>
      <c r="B5408" t="str">
        <f>"1552378284532824"</f>
        <v>1552378284532824</v>
      </c>
      <c r="C5408" t="s">
        <v>40</v>
      </c>
      <c r="D5408">
        <v>5.9618520000000004</v>
      </c>
      <c r="E5408">
        <v>0.56905450000000002</v>
      </c>
      <c r="F5408" t="s">
        <v>41</v>
      </c>
      <c r="G5408">
        <v>-330.12709999999998</v>
      </c>
      <c r="H5408">
        <v>7.9986790000000002E-2</v>
      </c>
      <c r="I5408">
        <v>9.4181539999999995</v>
      </c>
      <c r="J5408">
        <v>-362.80709999999999</v>
      </c>
      <c r="K5408">
        <v>1.1095060000000001</v>
      </c>
      <c r="L5408">
        <v>17.302340000000001</v>
      </c>
      <c r="M5408">
        <v>0.99993600000000005</v>
      </c>
      <c r="N5408">
        <v>0</v>
      </c>
      <c r="O5408">
        <v>-8.3517580000000008E-3</v>
      </c>
      <c r="P5408">
        <v>0.99853910000000001</v>
      </c>
      <c r="Q5408">
        <v>-2.1762090000000001E-3</v>
      </c>
      <c r="R5408">
        <v>-5.3989559999999999E-2</v>
      </c>
      <c r="S5408">
        <v>2.9660340000000001</v>
      </c>
      <c r="T5408">
        <v>-9.26646E-2</v>
      </c>
      <c r="U5408">
        <v>-0.70983890000000005</v>
      </c>
      <c r="V5408">
        <v>4.564737E-2</v>
      </c>
      <c r="W5408">
        <v>5.4724580000000004E-3</v>
      </c>
      <c r="X5408">
        <v>0.99894260000000001</v>
      </c>
      <c r="Y5408">
        <v>0.22451950000000001</v>
      </c>
      <c r="Z5408">
        <v>-3.2003969999999998E-3</v>
      </c>
      <c r="AA5408">
        <v>0.97446440000000001</v>
      </c>
      <c r="AB5408">
        <v>26</v>
      </c>
      <c r="AC5408">
        <v>32.68</v>
      </c>
      <c r="AD5408">
        <v>-1.0295192099999999</v>
      </c>
      <c r="AE5408">
        <v>-7.8841859999999997</v>
      </c>
      <c r="AF5408">
        <v>7.6038363164941396</v>
      </c>
      <c r="AG5408">
        <v>-1.0295192099999999</v>
      </c>
      <c r="AH5408">
        <v>32.7140278924307</v>
      </c>
      <c r="AI5408">
        <v>91.755745541900396</v>
      </c>
      <c r="AJ5408">
        <v>76.914881509479997</v>
      </c>
      <c r="AK5408">
        <v>33.6018728269501</v>
      </c>
      <c r="AL5408">
        <v>89.686449679891993</v>
      </c>
      <c r="AM5408">
        <v>87.383649950478699</v>
      </c>
      <c r="AN5408">
        <v>0.99999997413961805</v>
      </c>
    </row>
    <row r="5409" spans="1:40" x14ac:dyDescent="0.25">
      <c r="A5409" t="str">
        <f>"20190312161124565"</f>
        <v>20190312161124565</v>
      </c>
      <c r="B5409" t="str">
        <f>"1552378284562092"</f>
        <v>1552378284562092</v>
      </c>
      <c r="C5409" t="s">
        <v>40</v>
      </c>
      <c r="D5409">
        <v>6.013897</v>
      </c>
      <c r="E5409">
        <v>0.56927510000000003</v>
      </c>
      <c r="F5409" t="s">
        <v>41</v>
      </c>
      <c r="G5409">
        <v>-330.66910000000001</v>
      </c>
      <c r="H5409">
        <v>4.8983730000000003E-2</v>
      </c>
      <c r="I5409">
        <v>9.6163080000000001</v>
      </c>
      <c r="J5409">
        <v>-362.54070000000002</v>
      </c>
      <c r="K5409">
        <v>1.109521</v>
      </c>
      <c r="L5409">
        <v>17.3002</v>
      </c>
      <c r="M5409">
        <v>0.99993690000000002</v>
      </c>
      <c r="N5409">
        <v>0</v>
      </c>
      <c r="O5409">
        <v>-8.2450349999999995E-3</v>
      </c>
      <c r="P5409">
        <v>0.99851990000000002</v>
      </c>
      <c r="Q5409">
        <v>-2.3690059999999999E-3</v>
      </c>
      <c r="R5409">
        <v>-5.4337730000000001E-2</v>
      </c>
      <c r="S5409">
        <v>2.9658199999999999</v>
      </c>
      <c r="T5409">
        <v>-9.7869159999999997E-2</v>
      </c>
      <c r="U5409">
        <v>-0.70928959999999996</v>
      </c>
      <c r="V5409">
        <v>4.6102120000000003E-2</v>
      </c>
      <c r="W5409">
        <v>5.2841099999999998E-3</v>
      </c>
      <c r="X5409">
        <v>0.9989228</v>
      </c>
      <c r="Y5409">
        <v>0.2244572</v>
      </c>
      <c r="Z5409">
        <v>-3.3828230000000001E-3</v>
      </c>
      <c r="AA5409">
        <v>0.97447810000000001</v>
      </c>
      <c r="AB5409">
        <v>26</v>
      </c>
      <c r="AC5409">
        <v>31.871600000000001</v>
      </c>
      <c r="AD5409">
        <v>-1.06053727</v>
      </c>
      <c r="AE5409">
        <v>-7.6838920000000002</v>
      </c>
      <c r="AF5409">
        <v>7.4130834686702602</v>
      </c>
      <c r="AG5409">
        <v>-1.06053727</v>
      </c>
      <c r="AH5409">
        <v>31.9004909625869</v>
      </c>
      <c r="AI5409">
        <v>91.854722428239597</v>
      </c>
      <c r="AJ5409">
        <v>76.917709537290804</v>
      </c>
      <c r="AK5409">
        <v>32.7676649987243</v>
      </c>
      <c r="AL5409">
        <v>89.697241402845506</v>
      </c>
      <c r="AM5409">
        <v>87.357569705560906</v>
      </c>
      <c r="AN5409">
        <v>1.00000004382341</v>
      </c>
    </row>
    <row r="5410" spans="1:40" x14ac:dyDescent="0.25">
      <c r="A5410" t="str">
        <f>"20190312161124587"</f>
        <v>20190312161124587</v>
      </c>
      <c r="B5410" t="str">
        <f>"1552378284582589"</f>
        <v>1552378284582589</v>
      </c>
      <c r="C5410" t="s">
        <v>40</v>
      </c>
      <c r="D5410">
        <v>5.6911110000000003</v>
      </c>
      <c r="E5410">
        <v>0.56909299999999996</v>
      </c>
      <c r="F5410" t="s">
        <v>41</v>
      </c>
      <c r="G5410">
        <v>-330.5351</v>
      </c>
      <c r="H5410">
        <v>4.7532329999999998E-2</v>
      </c>
      <c r="I5410">
        <v>9.6163059999999998</v>
      </c>
      <c r="J5410">
        <v>-362.28280000000001</v>
      </c>
      <c r="K5410">
        <v>1.1095269999999999</v>
      </c>
      <c r="L5410">
        <v>17.298220000000001</v>
      </c>
      <c r="M5410">
        <v>0.99993779999999999</v>
      </c>
      <c r="N5410">
        <v>0</v>
      </c>
      <c r="O5410">
        <v>-8.1189999999999995E-3</v>
      </c>
      <c r="P5410">
        <v>0.99852589999999997</v>
      </c>
      <c r="Q5410">
        <v>-2.510211E-3</v>
      </c>
      <c r="R5410">
        <v>-5.422018E-2</v>
      </c>
      <c r="S5410">
        <v>2.9654850000000001</v>
      </c>
      <c r="T5410">
        <v>-9.8398689999999997E-2</v>
      </c>
      <c r="U5410">
        <v>-0.71194460000000004</v>
      </c>
      <c r="V5410">
        <v>4.6110119999999997E-2</v>
      </c>
      <c r="W5410">
        <v>5.1429680000000004E-3</v>
      </c>
      <c r="X5410">
        <v>0.99892309999999995</v>
      </c>
      <c r="Y5410">
        <v>0.22542809999999999</v>
      </c>
      <c r="Z5410">
        <v>-3.4211390000000001E-3</v>
      </c>
      <c r="AA5410">
        <v>0.97425379999999995</v>
      </c>
      <c r="AB5410">
        <v>26</v>
      </c>
      <c r="AC5410">
        <v>31.747699999999998</v>
      </c>
      <c r="AD5410">
        <v>-1.06199467</v>
      </c>
      <c r="AE5410">
        <v>-7.6819139999999999</v>
      </c>
      <c r="AF5410">
        <v>7.41605428738435</v>
      </c>
      <c r="AG5410">
        <v>-1.06199467</v>
      </c>
      <c r="AH5410">
        <v>31.775435528857901</v>
      </c>
      <c r="AI5410">
        <v>91.864158871218294</v>
      </c>
      <c r="AJ5410">
        <v>76.862923596664501</v>
      </c>
      <c r="AK5410">
        <v>32.646653686421601</v>
      </c>
      <c r="AL5410">
        <v>89.705328333477695</v>
      </c>
      <c r="AM5410">
        <v>87.357112613096803</v>
      </c>
      <c r="AN5410">
        <v>0.99999997649993599</v>
      </c>
    </row>
    <row r="5411" spans="1:40" x14ac:dyDescent="0.25">
      <c r="A5411" t="str">
        <f>"20190312161124608"</f>
        <v>20190312161124608</v>
      </c>
      <c r="B5411" t="str">
        <f>"1552378284602108"</f>
        <v>1552378284602108</v>
      </c>
      <c r="C5411" t="s">
        <v>40</v>
      </c>
      <c r="D5411">
        <v>5.8519680000000003</v>
      </c>
      <c r="E5411">
        <v>0.57029269999999999</v>
      </c>
      <c r="F5411" t="s">
        <v>41</v>
      </c>
      <c r="G5411">
        <v>-327.95330000000001</v>
      </c>
      <c r="H5411">
        <v>7.9985890000000004E-2</v>
      </c>
      <c r="I5411">
        <v>9.0734200000000005</v>
      </c>
      <c r="J5411">
        <v>-362.02140000000003</v>
      </c>
      <c r="K5411">
        <v>1.1095349999999999</v>
      </c>
      <c r="L5411">
        <v>17.296229999999898</v>
      </c>
      <c r="M5411">
        <v>0.99993900000000002</v>
      </c>
      <c r="N5411">
        <v>0</v>
      </c>
      <c r="O5411">
        <v>-7.9748600000000003E-3</v>
      </c>
      <c r="P5411">
        <v>0.99857249999999997</v>
      </c>
      <c r="Q5411">
        <v>-2.5051050000000001E-3</v>
      </c>
      <c r="R5411">
        <v>-5.3355159999999999E-2</v>
      </c>
      <c r="S5411">
        <v>2.9656069999999999</v>
      </c>
      <c r="T5411">
        <v>-8.8938359999999994E-2</v>
      </c>
      <c r="U5411">
        <v>-0.71051030000000004</v>
      </c>
      <c r="V5411">
        <v>4.538872E-2</v>
      </c>
      <c r="W5411">
        <v>5.144399E-3</v>
      </c>
      <c r="X5411">
        <v>0.99895610000000001</v>
      </c>
      <c r="Y5411">
        <v>0.22513459999999999</v>
      </c>
      <c r="Z5411">
        <v>-3.0923399999999998E-3</v>
      </c>
      <c r="AA5411">
        <v>0.97432269999999999</v>
      </c>
      <c r="AB5411">
        <v>26</v>
      </c>
      <c r="AC5411">
        <v>34.068100000000001</v>
      </c>
      <c r="AD5411">
        <v>-1.02954911</v>
      </c>
      <c r="AE5411">
        <v>-8.2228099999999902</v>
      </c>
      <c r="AF5411">
        <v>7.9439966258447798</v>
      </c>
      <c r="AG5411">
        <v>-1.02954911</v>
      </c>
      <c r="AH5411">
        <v>34.1031634583167</v>
      </c>
      <c r="AI5411">
        <v>91.6841308746625</v>
      </c>
      <c r="AJ5411">
        <v>76.8873431362926</v>
      </c>
      <c r="AK5411">
        <v>35.031311874179103</v>
      </c>
      <c r="AL5411">
        <v>89.705246332915394</v>
      </c>
      <c r="AM5411">
        <v>87.398489561509393</v>
      </c>
      <c r="AN5411">
        <v>0.99999994523575797</v>
      </c>
    </row>
    <row r="5412" spans="1:40" x14ac:dyDescent="0.25">
      <c r="A5412" t="str">
        <f>"20190312161124631"</f>
        <v>20190312161124631</v>
      </c>
      <c r="B5412" t="str">
        <f>"1552378284622604"</f>
        <v>1552378284622604</v>
      </c>
      <c r="C5412" t="s">
        <v>40</v>
      </c>
      <c r="D5412">
        <v>5.7458879999999999</v>
      </c>
      <c r="E5412">
        <v>0.57069650000000005</v>
      </c>
      <c r="F5412" t="s">
        <v>43</v>
      </c>
      <c r="G5412">
        <v>-314.28660000000002</v>
      </c>
      <c r="H5412">
        <v>-0.05</v>
      </c>
      <c r="I5412">
        <v>5.7394100000000003</v>
      </c>
      <c r="J5412">
        <v>-361.74919999999997</v>
      </c>
      <c r="K5412">
        <v>1.109542</v>
      </c>
      <c r="L5412">
        <v>17.294250000000002</v>
      </c>
      <c r="M5412">
        <v>0.99994050000000001</v>
      </c>
      <c r="N5412">
        <v>0</v>
      </c>
      <c r="O5412">
        <v>-7.8091669999999997E-3</v>
      </c>
      <c r="P5412">
        <v>0.99860950000000004</v>
      </c>
      <c r="Q5412">
        <v>-2.901617E-3</v>
      </c>
      <c r="R5412">
        <v>-5.2640039999999999E-2</v>
      </c>
      <c r="S5412">
        <v>2.9657290000000001</v>
      </c>
      <c r="T5412">
        <v>-7.2041030000000006E-2</v>
      </c>
      <c r="U5412">
        <v>-0.71801759999999903</v>
      </c>
      <c r="V5412">
        <v>4.483869E-2</v>
      </c>
      <c r="W5412">
        <v>4.7438609999999898E-3</v>
      </c>
      <c r="X5412">
        <v>0.99898299999999995</v>
      </c>
      <c r="Y5412">
        <v>0.2276484</v>
      </c>
      <c r="Z5412">
        <v>-2.5382400000000002E-3</v>
      </c>
      <c r="AA5412">
        <v>0.9737401</v>
      </c>
      <c r="AB5412">
        <v>26</v>
      </c>
      <c r="AC5412">
        <v>47.462599999999902</v>
      </c>
      <c r="AD5412">
        <v>-1.1595420000000001</v>
      </c>
      <c r="AE5412">
        <v>-11.55484</v>
      </c>
      <c r="AF5412">
        <v>11.1775354234682</v>
      </c>
      <c r="AG5412">
        <v>-1.1595420000000001</v>
      </c>
      <c r="AH5412">
        <v>47.524610717187301</v>
      </c>
      <c r="AI5412">
        <v>91.360559488071203</v>
      </c>
      <c r="AJ5412">
        <v>76.764878897026506</v>
      </c>
      <c r="AK5412">
        <v>48.835135503168701</v>
      </c>
      <c r="AL5412">
        <v>89.728195772976605</v>
      </c>
      <c r="AM5412">
        <v>87.430041792022294</v>
      </c>
      <c r="AN5412">
        <v>1.00000002331355</v>
      </c>
    </row>
    <row r="5413" spans="1:40" x14ac:dyDescent="0.25">
      <c r="A5413" t="str">
        <f>"20190312161124653"</f>
        <v>20190312161124653</v>
      </c>
      <c r="B5413" t="str">
        <f>"1552378284642124"</f>
        <v>1552378284642124</v>
      </c>
      <c r="C5413" t="s">
        <v>40</v>
      </c>
      <c r="D5413">
        <v>5.7503419999999998</v>
      </c>
      <c r="E5413">
        <v>0.56965120000000002</v>
      </c>
      <c r="F5413" t="s">
        <v>43</v>
      </c>
      <c r="G5413">
        <v>-297.94080000000002</v>
      </c>
      <c r="H5413">
        <v>-0.05</v>
      </c>
      <c r="I5413">
        <v>1.808792</v>
      </c>
      <c r="J5413">
        <v>-361.49169999999998</v>
      </c>
      <c r="K5413">
        <v>1.109542</v>
      </c>
      <c r="L5413">
        <v>17.29242</v>
      </c>
      <c r="M5413">
        <v>0.99994159999999999</v>
      </c>
      <c r="N5413">
        <v>0</v>
      </c>
      <c r="O5413">
        <v>-7.6421969999999999E-3</v>
      </c>
      <c r="P5413">
        <v>0.99865930000000003</v>
      </c>
      <c r="Q5413">
        <v>-3.182055E-3</v>
      </c>
      <c r="R5413">
        <v>-5.1669779999999998E-2</v>
      </c>
      <c r="S5413">
        <v>2.9660340000000001</v>
      </c>
      <c r="T5413">
        <v>-5.3899530000000001E-2</v>
      </c>
      <c r="U5413">
        <v>-0.71981809999999902</v>
      </c>
      <c r="V5413">
        <v>4.403485E-2</v>
      </c>
      <c r="W5413">
        <v>4.4596690000000003E-3</v>
      </c>
      <c r="X5413">
        <v>0.99902000000000002</v>
      </c>
      <c r="Y5413">
        <v>0.2283732</v>
      </c>
      <c r="Z5413">
        <v>-1.90833E-3</v>
      </c>
      <c r="AA5413">
        <v>0.97357179999999999</v>
      </c>
      <c r="AB5413">
        <v>27</v>
      </c>
      <c r="AC5413">
        <v>63.550899999999899</v>
      </c>
      <c r="AD5413">
        <v>-1.1595420000000001</v>
      </c>
      <c r="AE5413">
        <v>-15.483628</v>
      </c>
      <c r="AF5413">
        <v>14.992781549877501</v>
      </c>
      <c r="AG5413">
        <v>-1.1595420000000001</v>
      </c>
      <c r="AH5413">
        <v>63.647374808489502</v>
      </c>
      <c r="AI5413">
        <v>91.015912584775606</v>
      </c>
      <c r="AJ5413">
        <v>76.745041095298703</v>
      </c>
      <c r="AK5413">
        <v>65.3996663314459</v>
      </c>
      <c r="AL5413">
        <v>89.744478930678895</v>
      </c>
      <c r="AM5413">
        <v>87.476147630420698</v>
      </c>
      <c r="AN5413">
        <v>0.99999995853105506</v>
      </c>
    </row>
    <row r="5414" spans="1:40" x14ac:dyDescent="0.25">
      <c r="A5414" t="str">
        <f>"20190312161124675"</f>
        <v>20190312161124675</v>
      </c>
      <c r="B5414" t="str">
        <f>"1552378284672381"</f>
        <v>1552378284672381</v>
      </c>
      <c r="C5414" t="s">
        <v>40</v>
      </c>
      <c r="D5414">
        <v>5.7720070000000003</v>
      </c>
      <c r="E5414">
        <v>0.56881669999999995</v>
      </c>
      <c r="F5414" t="s">
        <v>101</v>
      </c>
      <c r="G5414">
        <v>-279.02</v>
      </c>
      <c r="H5414">
        <v>0.49040600000000001</v>
      </c>
      <c r="I5414">
        <v>-2.4315129999999998</v>
      </c>
      <c r="J5414">
        <v>-361.23270000000002</v>
      </c>
      <c r="K5414">
        <v>1.1094869999999999</v>
      </c>
      <c r="L5414">
        <v>17.29053</v>
      </c>
      <c r="M5414">
        <v>0.99994669999999997</v>
      </c>
      <c r="N5414">
        <v>0</v>
      </c>
      <c r="O5414">
        <v>-7.1269469999999998E-3</v>
      </c>
      <c r="P5414">
        <v>0.99872910000000004</v>
      </c>
      <c r="Q5414">
        <v>-3.250827E-3</v>
      </c>
      <c r="R5414">
        <v>-5.0300150000000002E-2</v>
      </c>
      <c r="S5414">
        <v>2.967285</v>
      </c>
      <c r="T5414">
        <v>-2.227616E-2</v>
      </c>
      <c r="U5414">
        <v>-0.70965579999999995</v>
      </c>
      <c r="V5414">
        <v>4.3179769999999999E-2</v>
      </c>
      <c r="W5414">
        <v>4.2436629999999999E-3</v>
      </c>
      <c r="X5414">
        <v>0.99905829999999995</v>
      </c>
      <c r="Y5414">
        <v>0.225657</v>
      </c>
      <c r="Z5414">
        <v>-7.8249419999999997E-4</v>
      </c>
      <c r="AA5414">
        <v>0.97420649999999998</v>
      </c>
      <c r="AB5414">
        <v>27</v>
      </c>
      <c r="AC5414">
        <v>82.212699999999998</v>
      </c>
      <c r="AD5414">
        <v>-0.61908099999999999</v>
      </c>
      <c r="AE5414">
        <v>-19.722042999999999</v>
      </c>
      <c r="AF5414">
        <v>19.134574213058801</v>
      </c>
      <c r="AG5414">
        <v>-0.61908099999999999</v>
      </c>
      <c r="AH5414">
        <v>82.346758467746099</v>
      </c>
      <c r="AI5414">
        <v>90.419562622245394</v>
      </c>
      <c r="AJ5414">
        <v>76.918559680749894</v>
      </c>
      <c r="AK5414">
        <v>84.542911126509793</v>
      </c>
      <c r="AL5414">
        <v>89.756855289177295</v>
      </c>
      <c r="AM5414">
        <v>87.525189661861404</v>
      </c>
      <c r="AN5414">
        <v>0.99999999400590001</v>
      </c>
    </row>
    <row r="5415" spans="1:40" x14ac:dyDescent="0.25">
      <c r="A5415" t="str">
        <f>"20190312161124697"</f>
        <v>20190312161124697</v>
      </c>
      <c r="B5415" t="str">
        <f>"1552378284692877"</f>
        <v>1552378284692877</v>
      </c>
      <c r="C5415" t="s">
        <v>40</v>
      </c>
      <c r="D5415">
        <v>5.8180930000000002</v>
      </c>
      <c r="E5415">
        <v>0.56922010000000001</v>
      </c>
      <c r="F5415" t="s">
        <v>101</v>
      </c>
      <c r="G5415">
        <v>-279.02</v>
      </c>
      <c r="H5415">
        <v>1.047261</v>
      </c>
      <c r="I5415">
        <v>-2.0840550000000002</v>
      </c>
      <c r="J5415">
        <v>-360.9597</v>
      </c>
      <c r="K5415">
        <v>1.1095280000000001</v>
      </c>
      <c r="L5415">
        <v>17.288599999999999</v>
      </c>
      <c r="M5415">
        <v>0.99994959999999999</v>
      </c>
      <c r="N5415">
        <v>0</v>
      </c>
      <c r="O5415">
        <v>-6.6510909999999996E-3</v>
      </c>
      <c r="P5415">
        <v>0.99878619999999996</v>
      </c>
      <c r="Q5415">
        <v>-2.9739359999999999E-3</v>
      </c>
      <c r="R5415">
        <v>-4.916703E-2</v>
      </c>
      <c r="S5415">
        <v>2.9685670000000002</v>
      </c>
      <c r="T5415">
        <v>-2.2468570000000001E-3</v>
      </c>
      <c r="U5415">
        <v>-0.69958500000000001</v>
      </c>
      <c r="V5415">
        <v>4.2521070000000001E-2</v>
      </c>
      <c r="W5415">
        <v>4.556465E-3</v>
      </c>
      <c r="X5415">
        <v>0.99908520000000001</v>
      </c>
      <c r="Y5415">
        <v>0.22290160000000001</v>
      </c>
      <c r="Z5415" s="1">
        <v>-7.8250140000000001E-5</v>
      </c>
      <c r="AA5415">
        <v>0.97484090000000001</v>
      </c>
      <c r="AB5415">
        <v>27</v>
      </c>
      <c r="AC5415">
        <v>81.939700000000002</v>
      </c>
      <c r="AD5415">
        <v>-6.2267000000000003E-2</v>
      </c>
      <c r="AE5415">
        <v>-19.372655000000002</v>
      </c>
      <c r="AF5415">
        <v>18.827212366035901</v>
      </c>
      <c r="AG5415">
        <v>-6.2267000000000003E-2</v>
      </c>
      <c r="AH5415">
        <v>82.066695547042599</v>
      </c>
      <c r="AI5415">
        <v>90.042371667683497</v>
      </c>
      <c r="AJ5415">
        <v>77.079152220875898</v>
      </c>
      <c r="AK5415">
        <v>84.198636097421996</v>
      </c>
      <c r="AL5415">
        <v>89.738932887816205</v>
      </c>
      <c r="AM5415">
        <v>87.562962136915502</v>
      </c>
      <c r="AN5415">
        <v>1.00000001981314</v>
      </c>
    </row>
    <row r="5416" spans="1:40" x14ac:dyDescent="0.25">
      <c r="A5416" t="str">
        <f>"20190312161124710"</f>
        <v>20190312161124710</v>
      </c>
      <c r="B5416" t="str">
        <f>"1552378284702639"</f>
        <v>1552378284702639</v>
      </c>
      <c r="C5416" t="s">
        <v>40</v>
      </c>
      <c r="D5416">
        <v>5.8419420000000004</v>
      </c>
      <c r="E5416">
        <v>0.56943769999999905</v>
      </c>
      <c r="F5416" t="s">
        <v>101</v>
      </c>
      <c r="G5416">
        <v>-279.02</v>
      </c>
      <c r="H5416">
        <v>1.107334</v>
      </c>
      <c r="I5416">
        <v>-2.011587</v>
      </c>
      <c r="J5416">
        <v>-360.80779999999999</v>
      </c>
      <c r="K5416">
        <v>1.1096349999999999</v>
      </c>
      <c r="L5416">
        <v>17.287569999999999</v>
      </c>
      <c r="M5416">
        <v>0.99994799999999995</v>
      </c>
      <c r="N5416">
        <v>0</v>
      </c>
      <c r="O5416">
        <v>-6.7222710000000001E-3</v>
      </c>
      <c r="P5416">
        <v>0.99878560000000005</v>
      </c>
      <c r="Q5416">
        <v>-3.382889E-3</v>
      </c>
      <c r="R5416">
        <v>-4.9153799999999997E-2</v>
      </c>
      <c r="S5416">
        <v>2.9692080000000001</v>
      </c>
      <c r="T5416" s="1">
        <v>-7.9512599999999995E-5</v>
      </c>
      <c r="U5416">
        <v>-0.69937130000000003</v>
      </c>
      <c r="V5416">
        <v>4.2435630000000002E-2</v>
      </c>
      <c r="W5416">
        <v>4.3266320000000004E-3</v>
      </c>
      <c r="X5416">
        <v>0.99908980000000003</v>
      </c>
      <c r="Y5416">
        <v>0.22271879999999999</v>
      </c>
      <c r="Z5416" s="1">
        <v>-2.7642920000000001E-6</v>
      </c>
      <c r="AA5416">
        <v>0.97488269999999999</v>
      </c>
      <c r="AB5416">
        <v>27</v>
      </c>
      <c r="AC5416">
        <v>81.787800000000004</v>
      </c>
      <c r="AD5416">
        <v>-2.30099999999988E-3</v>
      </c>
      <c r="AE5416">
        <v>-19.299157000000001</v>
      </c>
      <c r="AF5416">
        <v>18.748904978048198</v>
      </c>
      <c r="AG5416">
        <v>-2.30099999999988E-3</v>
      </c>
      <c r="AH5416">
        <v>81.915689835864498</v>
      </c>
      <c r="AI5416">
        <v>90.001568861362699</v>
      </c>
      <c r="AJ5416">
        <v>77.108169706004105</v>
      </c>
      <c r="AK5416">
        <v>84.033931744599698</v>
      </c>
      <c r="AL5416">
        <v>89.752101464892107</v>
      </c>
      <c r="AM5416">
        <v>87.567864313777704</v>
      </c>
      <c r="AN5416">
        <v>0.99999996545099901</v>
      </c>
    </row>
    <row r="5417" spans="1:40" x14ac:dyDescent="0.25">
      <c r="A5417" t="str">
        <f>"20190312161124731"</f>
        <v>20190312161124731</v>
      </c>
      <c r="B5417" t="str">
        <f>"1552378284722156"</f>
        <v>1552378284722156</v>
      </c>
      <c r="C5417" t="s">
        <v>40</v>
      </c>
      <c r="D5417">
        <v>5.8197429999999999</v>
      </c>
      <c r="E5417">
        <v>0.56986519999999996</v>
      </c>
      <c r="F5417" t="s">
        <v>101</v>
      </c>
      <c r="G5417">
        <v>-279.02</v>
      </c>
      <c r="H5417">
        <v>1.0904640000000001</v>
      </c>
      <c r="I5417">
        <v>-2.0274700000000001</v>
      </c>
      <c r="J5417">
        <v>-360.54629999999997</v>
      </c>
      <c r="K5417">
        <v>1.1097790000000001</v>
      </c>
      <c r="L5417">
        <v>17.28595</v>
      </c>
      <c r="M5417">
        <v>0.99994300000000003</v>
      </c>
      <c r="N5417">
        <v>0</v>
      </c>
      <c r="O5417">
        <v>-7.1452349999999998E-3</v>
      </c>
      <c r="P5417">
        <v>0.99879629999999997</v>
      </c>
      <c r="Q5417">
        <v>-3.4499700000000001E-3</v>
      </c>
      <c r="R5417">
        <v>-4.8927930000000001E-2</v>
      </c>
      <c r="S5417">
        <v>2.9691770000000002</v>
      </c>
      <c r="T5417">
        <v>-6.9594380000000003E-4</v>
      </c>
      <c r="U5417">
        <v>-0.7012024</v>
      </c>
      <c r="V5417">
        <v>4.1785370000000002E-2</v>
      </c>
      <c r="W5417">
        <v>4.5316699999999998E-3</v>
      </c>
      <c r="X5417">
        <v>0.99911640000000002</v>
      </c>
      <c r="Y5417">
        <v>0.2228782</v>
      </c>
      <c r="Z5417" s="1">
        <v>-2.4114029999999999E-5</v>
      </c>
      <c r="AA5417">
        <v>0.97484630000000005</v>
      </c>
      <c r="AB5417">
        <v>27</v>
      </c>
      <c r="AC5417">
        <v>81.526299999999907</v>
      </c>
      <c r="AD5417">
        <v>-1.93150000000002E-2</v>
      </c>
      <c r="AE5417">
        <v>-19.313420000000001</v>
      </c>
      <c r="AF5417">
        <v>18.730383044048502</v>
      </c>
      <c r="AG5417">
        <v>-1.93150000000002E-2</v>
      </c>
      <c r="AH5417">
        <v>81.662217632582198</v>
      </c>
      <c r="AI5417">
        <v>90.013208784500407</v>
      </c>
      <c r="AJ5417">
        <v>77.081842804489696</v>
      </c>
      <c r="AK5417">
        <v>83.782727400802798</v>
      </c>
      <c r="AL5417">
        <v>89.740353563551096</v>
      </c>
      <c r="AM5417">
        <v>87.605152963998194</v>
      </c>
      <c r="AN5417">
        <v>1.0000000669639899</v>
      </c>
    </row>
    <row r="5418" spans="1:40" x14ac:dyDescent="0.25">
      <c r="A5418" t="str">
        <f>"20190312161124753"</f>
        <v>20190312161124753</v>
      </c>
      <c r="B5418" t="str">
        <f>"1552378284742656"</f>
        <v>1552378284742656</v>
      </c>
      <c r="C5418" t="s">
        <v>40</v>
      </c>
      <c r="D5418">
        <v>5.8360570000000003</v>
      </c>
      <c r="E5418">
        <v>0.5702275</v>
      </c>
      <c r="F5418" t="s">
        <v>101</v>
      </c>
      <c r="G5418">
        <v>-279.02</v>
      </c>
      <c r="H5418">
        <v>1.1137300000000001</v>
      </c>
      <c r="I5418">
        <v>-2.0448240000000002</v>
      </c>
      <c r="J5418">
        <v>-360.28989999999999</v>
      </c>
      <c r="K5418">
        <v>1.1097379999999999</v>
      </c>
      <c r="L5418">
        <v>17.28445</v>
      </c>
      <c r="M5418">
        <v>0.99994090000000002</v>
      </c>
      <c r="N5418">
        <v>0</v>
      </c>
      <c r="O5418">
        <v>-7.3835469999999999E-3</v>
      </c>
      <c r="P5418">
        <v>0.99881220000000004</v>
      </c>
      <c r="Q5418">
        <v>-3.4672980000000002E-3</v>
      </c>
      <c r="R5418">
        <v>-4.8604189999999999E-2</v>
      </c>
      <c r="S5418">
        <v>2.9691160000000001</v>
      </c>
      <c r="T5418">
        <v>1.438856E-4</v>
      </c>
      <c r="U5418">
        <v>-0.70401000000000002</v>
      </c>
      <c r="V5418">
        <v>4.1223200000000002E-2</v>
      </c>
      <c r="W5418">
        <v>4.553128E-3</v>
      </c>
      <c r="X5418">
        <v>0.99913960000000002</v>
      </c>
      <c r="Y5418">
        <v>0.22352320000000001</v>
      </c>
      <c r="Z5418" s="1">
        <v>4.9891430000000004E-6</v>
      </c>
      <c r="AA5418">
        <v>0.97469859999999997</v>
      </c>
      <c r="AB5418">
        <v>27</v>
      </c>
      <c r="AC5418">
        <v>81.269900000000007</v>
      </c>
      <c r="AD5418">
        <v>3.9919999999999903E-3</v>
      </c>
      <c r="AE5418">
        <v>-19.329274000000002</v>
      </c>
      <c r="AF5418">
        <v>18.728667798653401</v>
      </c>
      <c r="AG5418">
        <v>3.9919999999999903E-3</v>
      </c>
      <c r="AH5418">
        <v>81.410407504155302</v>
      </c>
      <c r="AI5418">
        <v>89.997261992130404</v>
      </c>
      <c r="AJ5418">
        <v>77.044378603314399</v>
      </c>
      <c r="AK5418">
        <v>83.536922755396006</v>
      </c>
      <c r="AL5418">
        <v>89.739124083706002</v>
      </c>
      <c r="AM5418">
        <v>87.637390679687798</v>
      </c>
      <c r="AN5418">
        <v>1.0000000117404899</v>
      </c>
    </row>
    <row r="5419" spans="1:40" x14ac:dyDescent="0.25">
      <c r="A5419" t="str">
        <f>"20190312161124776"</f>
        <v>20190312161124776</v>
      </c>
      <c r="B5419" t="str">
        <f>"1552378284762173"</f>
        <v>1552378284762173</v>
      </c>
      <c r="C5419" t="s">
        <v>40</v>
      </c>
      <c r="D5419">
        <v>5.763458</v>
      </c>
      <c r="E5419">
        <v>0.57046790000000003</v>
      </c>
      <c r="F5419" t="s">
        <v>101</v>
      </c>
      <c r="G5419">
        <v>-279.02</v>
      </c>
      <c r="H5419">
        <v>1.1471070000000001</v>
      </c>
      <c r="I5419">
        <v>-2.034859</v>
      </c>
      <c r="J5419">
        <v>-360.00450000000001</v>
      </c>
      <c r="K5419">
        <v>1.1095740000000001</v>
      </c>
      <c r="L5419">
        <v>17.282679999999999</v>
      </c>
      <c r="M5419">
        <v>0.99994269999999996</v>
      </c>
      <c r="N5419">
        <v>0</v>
      </c>
      <c r="O5419">
        <v>-7.2223449999999998E-3</v>
      </c>
      <c r="P5419">
        <v>0.99881989999999998</v>
      </c>
      <c r="Q5419">
        <v>-3.8605850000000001E-3</v>
      </c>
      <c r="R5419">
        <v>-4.841612E-2</v>
      </c>
      <c r="S5419">
        <v>2.9692379999999998</v>
      </c>
      <c r="T5419">
        <v>1.3653039999999999E-3</v>
      </c>
      <c r="U5419">
        <v>-0.7058411</v>
      </c>
      <c r="V5419">
        <v>4.1197339999999999E-2</v>
      </c>
      <c r="W5419">
        <v>4.0987059999999997E-3</v>
      </c>
      <c r="X5419">
        <v>0.99914259999999999</v>
      </c>
      <c r="Y5419">
        <v>0.2242403</v>
      </c>
      <c r="Z5419" s="1">
        <v>4.7571509999999997E-5</v>
      </c>
      <c r="AA5419">
        <v>0.97453389999999995</v>
      </c>
      <c r="AB5419">
        <v>27</v>
      </c>
      <c r="AC5419">
        <v>80.984499999999997</v>
      </c>
      <c r="AD5419">
        <v>3.7532999999999803E-2</v>
      </c>
      <c r="AE5419">
        <v>-19.317539</v>
      </c>
      <c r="AF5419">
        <v>18.732115073311999</v>
      </c>
      <c r="AG5419">
        <v>3.7532999999999803E-2</v>
      </c>
      <c r="AH5419">
        <v>81.121893473312099</v>
      </c>
      <c r="AI5419">
        <v>89.974170413607894</v>
      </c>
      <c r="AJ5419">
        <v>76.997552330918197</v>
      </c>
      <c r="AK5419">
        <v>83.256562171046198</v>
      </c>
      <c r="AL5419">
        <v>89.765160781963004</v>
      </c>
      <c r="AM5419">
        <v>87.638878187393502</v>
      </c>
      <c r="AN5419">
        <v>0.999999977674354</v>
      </c>
    </row>
    <row r="5420" spans="1:40" x14ac:dyDescent="0.25">
      <c r="A5420" t="str">
        <f>"20190312161124799"</f>
        <v>20190312161124799</v>
      </c>
      <c r="B5420" t="str">
        <f>"1552378284792428"</f>
        <v>1552378284792428</v>
      </c>
      <c r="C5420" t="s">
        <v>40</v>
      </c>
      <c r="D5420">
        <v>5.8271649999999999</v>
      </c>
      <c r="E5420">
        <v>0.57002129999999995</v>
      </c>
      <c r="F5420" t="s">
        <v>101</v>
      </c>
      <c r="G5420">
        <v>-279.02</v>
      </c>
      <c r="H5420">
        <v>1.1421650000000001</v>
      </c>
      <c r="I5420">
        <v>-2.0076999999999998</v>
      </c>
      <c r="J5420">
        <v>-359.73770000000002</v>
      </c>
      <c r="K5420">
        <v>1.109429</v>
      </c>
      <c r="L5420">
        <v>17.28098</v>
      </c>
      <c r="M5420">
        <v>0.99994550000000004</v>
      </c>
      <c r="N5420">
        <v>0</v>
      </c>
      <c r="O5420">
        <v>-6.8361709999999899E-3</v>
      </c>
      <c r="P5420">
        <v>0.99881540000000002</v>
      </c>
      <c r="Q5420">
        <v>-3.7965400000000002E-3</v>
      </c>
      <c r="R5420">
        <v>-4.8514099999999998E-2</v>
      </c>
      <c r="S5420">
        <v>2.9692690000000002</v>
      </c>
      <c r="T5420">
        <v>1.194954E-3</v>
      </c>
      <c r="U5420">
        <v>-0.7072754</v>
      </c>
      <c r="V5420">
        <v>4.1682230000000001E-2</v>
      </c>
      <c r="W5420">
        <v>4.1325609999999999E-3</v>
      </c>
      <c r="X5420">
        <v>0.99912239999999997</v>
      </c>
      <c r="Y5420">
        <v>0.22505990000000001</v>
      </c>
      <c r="Z5420" s="1">
        <v>4.1949100000000001E-5</v>
      </c>
      <c r="AA5420">
        <v>0.97434489999999996</v>
      </c>
      <c r="AB5420">
        <v>27</v>
      </c>
      <c r="AC5420">
        <v>80.717699999999994</v>
      </c>
      <c r="AD5420">
        <v>3.27359999999998E-2</v>
      </c>
      <c r="AE5420">
        <v>-19.288679999999999</v>
      </c>
      <c r="AF5420">
        <v>18.736409160867598</v>
      </c>
      <c r="AG5420">
        <v>3.27359999999998E-2</v>
      </c>
      <c r="AH5420">
        <v>80.8476660015493</v>
      </c>
      <c r="AI5420">
        <v>89.977399365709601</v>
      </c>
      <c r="AJ5420">
        <v>76.952067192270206</v>
      </c>
      <c r="AK5420">
        <v>82.990356052900594</v>
      </c>
      <c r="AL5420">
        <v>89.763221028855796</v>
      </c>
      <c r="AM5420">
        <v>87.611071704587701</v>
      </c>
      <c r="AN5420">
        <v>1.0000000282699699</v>
      </c>
    </row>
    <row r="5421" spans="1:40" x14ac:dyDescent="0.25">
      <c r="A5421" t="str">
        <f>"20190312161124821"</f>
        <v>20190312161124821</v>
      </c>
      <c r="B5421" t="str">
        <f>"1552378284812925"</f>
        <v>1552378284812925</v>
      </c>
      <c r="C5421" t="s">
        <v>40</v>
      </c>
      <c r="D5421">
        <v>5.6199870000000001</v>
      </c>
      <c r="E5421">
        <v>0.50617920000000005</v>
      </c>
      <c r="F5421" t="s">
        <v>101</v>
      </c>
      <c r="G5421">
        <v>-279.02</v>
      </c>
      <c r="H5421">
        <v>1.179651</v>
      </c>
      <c r="I5421">
        <v>-1.8581559999999999</v>
      </c>
      <c r="J5421">
        <v>-359.46159999999998</v>
      </c>
      <c r="K5421">
        <v>1.1093599999999999</v>
      </c>
      <c r="L5421">
        <v>17.279209999999999</v>
      </c>
      <c r="M5421">
        <v>0.99994810000000001</v>
      </c>
      <c r="N5421">
        <v>0</v>
      </c>
      <c r="O5421">
        <v>-6.4330169999999897E-3</v>
      </c>
      <c r="P5421">
        <v>0.99882729999999997</v>
      </c>
      <c r="Q5421">
        <v>-3.8202219999999999E-3</v>
      </c>
      <c r="R5421">
        <v>-4.8265570000000001E-2</v>
      </c>
      <c r="S5421">
        <v>2.96936</v>
      </c>
      <c r="T5421">
        <v>2.583265E-3</v>
      </c>
      <c r="U5421">
        <v>-0.704071</v>
      </c>
      <c r="V5421">
        <v>4.1837069999999997E-2</v>
      </c>
      <c r="W5421">
        <v>4.0996599999999998E-3</v>
      </c>
      <c r="X5421">
        <v>0.99911609999999995</v>
      </c>
      <c r="Y5421">
        <v>0.2244506</v>
      </c>
      <c r="Z5421" s="1">
        <v>9.0778899999999999E-5</v>
      </c>
      <c r="AA5421">
        <v>0.9744855</v>
      </c>
      <c r="AB5421">
        <v>27</v>
      </c>
      <c r="AC5421">
        <v>80.441599999999994</v>
      </c>
      <c r="AD5421">
        <v>7.0290999999999798E-2</v>
      </c>
      <c r="AE5421">
        <v>-19.137366</v>
      </c>
      <c r="AF5421">
        <v>18.619458198223398</v>
      </c>
      <c r="AG5421">
        <v>7.0290999999999798E-2</v>
      </c>
      <c r="AH5421">
        <v>80.562992017078798</v>
      </c>
      <c r="AI5421">
        <v>89.951293500096497</v>
      </c>
      <c r="AJ5421">
        <v>76.986479131883996</v>
      </c>
      <c r="AK5421">
        <v>82.686666683111497</v>
      </c>
      <c r="AL5421">
        <v>89.765106141714099</v>
      </c>
      <c r="AM5421">
        <v>87.6021926164657</v>
      </c>
      <c r="AN5421">
        <v>1.0000000644587499</v>
      </c>
    </row>
    <row r="5422" spans="1:40" x14ac:dyDescent="0.25">
      <c r="A5422" t="str">
        <f>"20190312161124843"</f>
        <v>20190312161124843</v>
      </c>
      <c r="B5422" t="str">
        <f>"1552378284832448"</f>
        <v>1552378284832448</v>
      </c>
      <c r="C5422" t="s">
        <v>40</v>
      </c>
      <c r="D5422">
        <v>5.6418030000000003</v>
      </c>
      <c r="E5422">
        <v>0.49989679999999997</v>
      </c>
      <c r="F5422" t="s">
        <v>43</v>
      </c>
      <c r="G5422">
        <v>-297.87939999999998</v>
      </c>
      <c r="H5422">
        <v>-0.05</v>
      </c>
      <c r="I5422">
        <v>13.31714</v>
      </c>
      <c r="J5422">
        <v>-359.19589999999999</v>
      </c>
      <c r="K5422">
        <v>1.109356</v>
      </c>
      <c r="L5422">
        <v>17.277560000000001</v>
      </c>
      <c r="M5422">
        <v>0.99995009999999995</v>
      </c>
      <c r="N5422">
        <v>0</v>
      </c>
      <c r="O5422">
        <v>-6.1530899999999999E-3</v>
      </c>
      <c r="P5422">
        <v>0.99884119999999998</v>
      </c>
      <c r="Q5422">
        <v>-3.9067370000000004E-3</v>
      </c>
      <c r="R5422">
        <v>-4.7974669999999997E-2</v>
      </c>
      <c r="S5422">
        <v>2.9939879999999999</v>
      </c>
      <c r="T5422">
        <v>-5.6365489999999997E-2</v>
      </c>
      <c r="U5422">
        <v>-0.19262699999999999</v>
      </c>
      <c r="V5422">
        <v>4.1825710000000002E-2</v>
      </c>
      <c r="W5422">
        <v>3.9995250000000003E-3</v>
      </c>
      <c r="X5422">
        <v>0.99911689999999997</v>
      </c>
      <c r="Y5422">
        <v>5.8054219999999997E-2</v>
      </c>
      <c r="Z5422">
        <v>-4.3015129999999998E-4</v>
      </c>
      <c r="AA5422">
        <v>0.99831340000000002</v>
      </c>
      <c r="AB5422">
        <v>27</v>
      </c>
      <c r="AC5422">
        <v>61.316499999999998</v>
      </c>
      <c r="AD5422">
        <v>-1.1593560000000001</v>
      </c>
      <c r="AE5422">
        <v>-3.9604200000000001</v>
      </c>
      <c r="AF5422">
        <v>3.5817722231574098</v>
      </c>
      <c r="AG5422">
        <v>-1.1593560000000001</v>
      </c>
      <c r="AH5422">
        <v>61.317878541187099</v>
      </c>
      <c r="AI5422">
        <v>91.081337069143004</v>
      </c>
      <c r="AJ5422">
        <v>86.656970164521098</v>
      </c>
      <c r="AK5422">
        <v>61.433341333392299</v>
      </c>
      <c r="AL5422">
        <v>89.770843482615007</v>
      </c>
      <c r="AM5422">
        <v>87.602844849544894</v>
      </c>
      <c r="AN5422">
        <v>0.99999998304141902</v>
      </c>
    </row>
    <row r="5423" spans="1:40" x14ac:dyDescent="0.25">
      <c r="A5423" t="str">
        <f>"20190312161124865"</f>
        <v>20190312161124865</v>
      </c>
      <c r="B5423" t="str">
        <f>"1552378284862701"</f>
        <v>1552378284862701</v>
      </c>
      <c r="C5423" t="s">
        <v>40</v>
      </c>
      <c r="D5423">
        <v>5.6357390000000001</v>
      </c>
      <c r="E5423">
        <v>0.49622080000000002</v>
      </c>
      <c r="F5423" t="s">
        <v>41</v>
      </c>
      <c r="G5423">
        <v>-320.2364</v>
      </c>
      <c r="H5423" s="1">
        <v>-5.3355510000000003E-6</v>
      </c>
      <c r="I5423">
        <v>15.445959999999999</v>
      </c>
      <c r="J5423">
        <v>-358.93099999999998</v>
      </c>
      <c r="K5423">
        <v>1.1093820000000001</v>
      </c>
      <c r="L5423">
        <v>17.276060000000001</v>
      </c>
      <c r="M5423">
        <v>0.99995120000000004</v>
      </c>
      <c r="N5423">
        <v>0</v>
      </c>
      <c r="O5423">
        <v>-5.9703100000000004E-3</v>
      </c>
      <c r="P5423">
        <v>0.99885539999999995</v>
      </c>
      <c r="Q5423">
        <v>-3.8472670000000001E-3</v>
      </c>
      <c r="R5423">
        <v>-4.7678739999999997E-2</v>
      </c>
      <c r="S5423">
        <v>2.9963989999999998</v>
      </c>
      <c r="T5423">
        <v>-8.5321659999999994E-2</v>
      </c>
      <c r="U5423">
        <v>-0.1408691</v>
      </c>
      <c r="V5423">
        <v>4.171209E-2</v>
      </c>
      <c r="W5423">
        <v>4.0386249999999997E-3</v>
      </c>
      <c r="X5423">
        <v>0.9991215</v>
      </c>
      <c r="Y5423">
        <v>4.0982039999999997E-2</v>
      </c>
      <c r="Z5423">
        <v>-4.1316299999999997E-4</v>
      </c>
      <c r="AA5423">
        <v>0.99915980000000004</v>
      </c>
      <c r="AB5423">
        <v>27</v>
      </c>
      <c r="AC5423">
        <v>38.694599999999902</v>
      </c>
      <c r="AD5423">
        <v>-1.10938733555099</v>
      </c>
      <c r="AE5423">
        <v>-1.8301000000000001</v>
      </c>
      <c r="AF5423">
        <v>1.59773108209656</v>
      </c>
      <c r="AG5423">
        <v>-1.10938733555099</v>
      </c>
      <c r="AH5423">
        <v>38.673119022384498</v>
      </c>
      <c r="AI5423">
        <v>91.641751561983099</v>
      </c>
      <c r="AJ5423">
        <v>87.634242579295304</v>
      </c>
      <c r="AK5423">
        <v>38.722004335913397</v>
      </c>
      <c r="AL5423">
        <v>89.7686032011962</v>
      </c>
      <c r="AM5423">
        <v>87.609360176119793</v>
      </c>
      <c r="AN5423">
        <v>0.99999999035315401</v>
      </c>
    </row>
    <row r="5424" spans="1:40" x14ac:dyDescent="0.25">
      <c r="A5424" t="str">
        <f>"20190312161124888"</f>
        <v>20190312161124888</v>
      </c>
      <c r="B5424" t="str">
        <f>"1552378284882221"</f>
        <v>1552378284882221</v>
      </c>
      <c r="C5424" t="s">
        <v>40</v>
      </c>
      <c r="D5424">
        <v>5.671462</v>
      </c>
      <c r="E5424">
        <v>0.494535</v>
      </c>
      <c r="F5424" t="s">
        <v>41</v>
      </c>
      <c r="G5424">
        <v>-324.0138</v>
      </c>
      <c r="H5424" s="1">
        <v>-3.4533579999999999E-6</v>
      </c>
      <c r="I5424">
        <v>15.990379999999901</v>
      </c>
      <c r="J5424">
        <v>-358.65370000000001</v>
      </c>
      <c r="K5424">
        <v>1.109407</v>
      </c>
      <c r="L5424">
        <v>17.2746</v>
      </c>
      <c r="M5424">
        <v>0.99995230000000002</v>
      </c>
      <c r="N5424">
        <v>0</v>
      </c>
      <c r="O5424">
        <v>-5.8165409999999997E-3</v>
      </c>
      <c r="P5424">
        <v>0.99888100000000002</v>
      </c>
      <c r="Q5424">
        <v>-4.1389699999999996E-3</v>
      </c>
      <c r="R5424">
        <v>-4.7110359999999997E-2</v>
      </c>
      <c r="S5424">
        <v>2.9978030000000002</v>
      </c>
      <c r="T5424">
        <v>-9.5245960000000005E-2</v>
      </c>
      <c r="U5424">
        <v>-0.1103821</v>
      </c>
      <c r="V5424">
        <v>4.1297470000000003E-2</v>
      </c>
      <c r="W5424">
        <v>3.7262990000000002E-3</v>
      </c>
      <c r="X5424">
        <v>0.99914000000000003</v>
      </c>
      <c r="Y5424">
        <v>3.0969989999999999E-2</v>
      </c>
      <c r="Z5424">
        <v>-3.0700410000000002E-4</v>
      </c>
      <c r="AA5424">
        <v>0.99952019999999997</v>
      </c>
      <c r="AB5424">
        <v>27</v>
      </c>
      <c r="AC5424">
        <v>34.639899999999997</v>
      </c>
      <c r="AD5424">
        <v>-1.109410453358</v>
      </c>
      <c r="AE5424">
        <v>-1.2842199999999999</v>
      </c>
      <c r="AF5424">
        <v>1.08159977142682</v>
      </c>
      <c r="AG5424">
        <v>-1.109410453358</v>
      </c>
      <c r="AH5424">
        <v>34.611330931520399</v>
      </c>
      <c r="AI5424">
        <v>91.835000177077504</v>
      </c>
      <c r="AJ5424">
        <v>88.210096536430697</v>
      </c>
      <c r="AK5424">
        <v>34.645993685717698</v>
      </c>
      <c r="AL5424">
        <v>89.786498311313295</v>
      </c>
      <c r="AM5424">
        <v>87.633139854916394</v>
      </c>
      <c r="AN5424">
        <v>1.00000005296631</v>
      </c>
    </row>
    <row r="5425" spans="1:40" x14ac:dyDescent="0.25">
      <c r="A5425" t="str">
        <f>"20190312161124911"</f>
        <v>20190312161124911</v>
      </c>
      <c r="B5425" t="str">
        <f>"1552378284902719"</f>
        <v>1552378284902719</v>
      </c>
      <c r="C5425" t="s">
        <v>40</v>
      </c>
      <c r="D5425">
        <v>5.6002619999999999</v>
      </c>
      <c r="E5425">
        <v>0.494203</v>
      </c>
      <c r="F5425" t="s">
        <v>41</v>
      </c>
      <c r="G5425">
        <v>-328.72140000000002</v>
      </c>
      <c r="H5425" s="1">
        <v>-1.34973E-6</v>
      </c>
      <c r="I5425">
        <v>16.32958</v>
      </c>
      <c r="J5425">
        <v>-358.35480000000001</v>
      </c>
      <c r="K5425">
        <v>1.109426</v>
      </c>
      <c r="L5425">
        <v>17.273099999999999</v>
      </c>
      <c r="M5425">
        <v>0.9999536</v>
      </c>
      <c r="N5425">
        <v>0</v>
      </c>
      <c r="O5425">
        <v>-5.6430350000000002E-3</v>
      </c>
      <c r="P5425">
        <v>0.99891810000000003</v>
      </c>
      <c r="Q5425">
        <v>-3.6071570000000002E-3</v>
      </c>
      <c r="R5425">
        <v>-4.6370479999999999E-2</v>
      </c>
      <c r="S5425">
        <v>2.9984440000000001</v>
      </c>
      <c r="T5425">
        <v>-0.1111341</v>
      </c>
      <c r="U5425">
        <v>-9.4665529999999998E-2</v>
      </c>
      <c r="V5425">
        <v>4.0730120000000002E-2</v>
      </c>
      <c r="W5425">
        <v>4.2374650000000002E-3</v>
      </c>
      <c r="X5425">
        <v>0.99916119999999997</v>
      </c>
      <c r="Y5425">
        <v>2.590104E-2</v>
      </c>
      <c r="Z5425">
        <v>-2.7068289999999999E-4</v>
      </c>
      <c r="AA5425">
        <v>0.99966449999999996</v>
      </c>
      <c r="AB5425">
        <v>28</v>
      </c>
      <c r="AC5425">
        <v>29.633399999999899</v>
      </c>
      <c r="AD5425">
        <v>-1.10942734972999</v>
      </c>
      <c r="AE5425">
        <v>-0.94351999999999903</v>
      </c>
      <c r="AF5425">
        <v>0.77519213064680803</v>
      </c>
      <c r="AG5425">
        <v>-1.10942734972999</v>
      </c>
      <c r="AH5425">
        <v>29.596810727885899</v>
      </c>
      <c r="AI5425">
        <v>92.145974342821404</v>
      </c>
      <c r="AJ5425">
        <v>88.499666548915002</v>
      </c>
      <c r="AK5425">
        <v>29.6277396563769</v>
      </c>
      <c r="AL5425">
        <v>89.757210413356901</v>
      </c>
      <c r="AM5425">
        <v>87.665669340307204</v>
      </c>
      <c r="AN5425">
        <v>1.00000000118514</v>
      </c>
    </row>
    <row r="5426" spans="1:40" x14ac:dyDescent="0.25">
      <c r="A5426" t="str">
        <f>"20190312161124933"</f>
        <v>20190312161124933</v>
      </c>
      <c r="B5426" t="str">
        <f>"1552378284922237"</f>
        <v>1552378284922237</v>
      </c>
      <c r="C5426" t="s">
        <v>40</v>
      </c>
      <c r="D5426">
        <v>5.5451920000000001</v>
      </c>
      <c r="E5426">
        <v>0.4942261</v>
      </c>
      <c r="F5426" t="s">
        <v>41</v>
      </c>
      <c r="G5426">
        <v>-330.49590000000001</v>
      </c>
      <c r="H5426" s="1">
        <v>-4.622552E-6</v>
      </c>
      <c r="I5426">
        <v>16.442299999999999</v>
      </c>
      <c r="J5426">
        <v>-358.07940000000002</v>
      </c>
      <c r="K5426">
        <v>1.1094219999999999</v>
      </c>
      <c r="L5426">
        <v>17.271789999999999</v>
      </c>
      <c r="M5426">
        <v>0.99995449999999997</v>
      </c>
      <c r="N5426">
        <v>0</v>
      </c>
      <c r="O5426">
        <v>-5.4649039999999996E-3</v>
      </c>
      <c r="P5426">
        <v>0.99894879999999997</v>
      </c>
      <c r="Q5426">
        <v>-3.0173600000000002E-3</v>
      </c>
      <c r="R5426">
        <v>-4.574027E-2</v>
      </c>
      <c r="S5426">
        <v>2.9986570000000001</v>
      </c>
      <c r="T5426">
        <v>-0.11941590000000001</v>
      </c>
      <c r="U5426">
        <v>-8.9416499999999996E-2</v>
      </c>
      <c r="V5426">
        <v>4.0277819999999999E-2</v>
      </c>
      <c r="W5426">
        <v>4.8091870000000004E-3</v>
      </c>
      <c r="X5426">
        <v>0.99917690000000003</v>
      </c>
      <c r="Y5426">
        <v>2.4327580000000001E-2</v>
      </c>
      <c r="Z5426">
        <v>-2.6660429999999998E-4</v>
      </c>
      <c r="AA5426">
        <v>0.99970400000000004</v>
      </c>
      <c r="AB5426">
        <v>28</v>
      </c>
      <c r="AC5426">
        <v>27.583500000000001</v>
      </c>
      <c r="AD5426">
        <v>-1.109426622552</v>
      </c>
      <c r="AE5426">
        <v>-0.82948999999999895</v>
      </c>
      <c r="AF5426">
        <v>0.67763660201155695</v>
      </c>
      <c r="AG5426">
        <v>-1.109426622552</v>
      </c>
      <c r="AH5426">
        <v>27.543105031692399</v>
      </c>
      <c r="AI5426">
        <v>92.3059099960509</v>
      </c>
      <c r="AJ5426">
        <v>88.5906495853623</v>
      </c>
      <c r="AK5426">
        <v>27.5737674898091</v>
      </c>
      <c r="AL5426">
        <v>89.724452807249904</v>
      </c>
      <c r="AM5426">
        <v>87.691599657208798</v>
      </c>
      <c r="AN5426">
        <v>0.99999995427858002</v>
      </c>
    </row>
    <row r="5427" spans="1:40" x14ac:dyDescent="0.25">
      <c r="A5427" t="str">
        <f>"20190312161124955"</f>
        <v>20190312161124955</v>
      </c>
      <c r="B5427" t="str">
        <f>"1552378284952493"</f>
        <v>1552378284952493</v>
      </c>
      <c r="C5427" t="s">
        <v>40</v>
      </c>
      <c r="D5427">
        <v>5.4793419999999999</v>
      </c>
      <c r="E5427">
        <v>0.49478650000000002</v>
      </c>
      <c r="F5427" t="s">
        <v>41</v>
      </c>
      <c r="G5427">
        <v>-331.56959999999998</v>
      </c>
      <c r="H5427" s="1">
        <v>-4.1521310000000002E-6</v>
      </c>
      <c r="I5427">
        <v>16.497440000000001</v>
      </c>
      <c r="J5427">
        <v>-357.81009999999998</v>
      </c>
      <c r="K5427">
        <v>1.1094189999999999</v>
      </c>
      <c r="L5427">
        <v>17.270569999999999</v>
      </c>
      <c r="M5427">
        <v>0.99995579999999995</v>
      </c>
      <c r="N5427">
        <v>0</v>
      </c>
      <c r="O5427">
        <v>-5.2806329999999999E-3</v>
      </c>
      <c r="P5427">
        <v>0.99896479999999999</v>
      </c>
      <c r="Q5427">
        <v>-2.9603099999999999E-3</v>
      </c>
      <c r="R5427">
        <v>-4.5397100000000003E-2</v>
      </c>
      <c r="S5427">
        <v>2.9987789999999999</v>
      </c>
      <c r="T5427">
        <v>-0.1254981</v>
      </c>
      <c r="U5427">
        <v>-8.7585449999999995E-2</v>
      </c>
      <c r="V5427">
        <v>4.0118819999999999E-2</v>
      </c>
      <c r="W5427">
        <v>4.850193E-3</v>
      </c>
      <c r="X5427">
        <v>0.99918309999999999</v>
      </c>
      <c r="Y5427">
        <v>2.3899360000000001E-2</v>
      </c>
      <c r="Z5427">
        <v>-2.7891450000000001E-4</v>
      </c>
      <c r="AA5427">
        <v>0.99971429999999994</v>
      </c>
      <c r="AB5427">
        <v>28</v>
      </c>
      <c r="AC5427">
        <v>26.240500000000001</v>
      </c>
      <c r="AD5427">
        <v>-1.1094231521310001</v>
      </c>
      <c r="AE5427">
        <v>-0.77313000000000098</v>
      </c>
      <c r="AF5427">
        <v>0.63341731457792305</v>
      </c>
      <c r="AG5427">
        <v>-1.1094231521310001</v>
      </c>
      <c r="AH5427">
        <v>26.197429114945699</v>
      </c>
      <c r="AI5427">
        <v>92.4242366170743</v>
      </c>
      <c r="AJ5427">
        <v>88.614937789206706</v>
      </c>
      <c r="AK5427">
        <v>26.228559423984699</v>
      </c>
      <c r="AL5427">
        <v>89.722103309402598</v>
      </c>
      <c r="AM5427">
        <v>87.700716709257406</v>
      </c>
      <c r="AN5427">
        <v>0.99999995570796796</v>
      </c>
    </row>
    <row r="5428" spans="1:40" x14ac:dyDescent="0.25">
      <c r="A5428" t="str">
        <f>"20190312161124978"</f>
        <v>20190312161124978</v>
      </c>
      <c r="B5428" t="str">
        <f>"1552378284972988"</f>
        <v>1552378284972988</v>
      </c>
      <c r="C5428" t="s">
        <v>40</v>
      </c>
      <c r="D5428">
        <v>5.5177269999999998</v>
      </c>
      <c r="E5428">
        <v>0.4946662</v>
      </c>
      <c r="F5428" t="s">
        <v>41</v>
      </c>
      <c r="G5428">
        <v>-332.54450000000003</v>
      </c>
      <c r="H5428" s="1">
        <v>-3.7326390000000001E-6</v>
      </c>
      <c r="I5428">
        <v>16.504739999999899</v>
      </c>
      <c r="J5428">
        <v>-357.52749999999997</v>
      </c>
      <c r="K5428">
        <v>1.109416</v>
      </c>
      <c r="L5428">
        <v>17.26932</v>
      </c>
      <c r="M5428">
        <v>0.99995679999999998</v>
      </c>
      <c r="N5428">
        <v>0</v>
      </c>
      <c r="O5428">
        <v>-5.0856399999999998E-3</v>
      </c>
      <c r="P5428">
        <v>0.99897530000000001</v>
      </c>
      <c r="Q5428">
        <v>-2.789063E-3</v>
      </c>
      <c r="R5428">
        <v>-4.5174869999999999E-2</v>
      </c>
      <c r="S5428">
        <v>2.998596</v>
      </c>
      <c r="T5428">
        <v>-0.13166939999999999</v>
      </c>
      <c r="U5428">
        <v>-9.088135E-2</v>
      </c>
      <c r="V5428">
        <v>4.0091639999999998E-2</v>
      </c>
      <c r="W5428">
        <v>5.006595E-3</v>
      </c>
      <c r="X5428">
        <v>0.9991835</v>
      </c>
      <c r="Y5428">
        <v>2.5190850000000001E-2</v>
      </c>
      <c r="Z5428">
        <v>-3.2952129999999999E-4</v>
      </c>
      <c r="AA5428">
        <v>0.99968259999999998</v>
      </c>
      <c r="AB5428">
        <v>28</v>
      </c>
      <c r="AC5428">
        <v>24.982999999999901</v>
      </c>
      <c r="AD5428">
        <v>-1.1094197326390001</v>
      </c>
      <c r="AE5428">
        <v>-0.76458000000000204</v>
      </c>
      <c r="AF5428">
        <v>0.63625820733842997</v>
      </c>
      <c r="AG5428">
        <v>-1.1094197326390001</v>
      </c>
      <c r="AH5428">
        <v>24.937435279519399</v>
      </c>
      <c r="AI5428">
        <v>92.546474523212495</v>
      </c>
      <c r="AJ5428">
        <v>88.538462265710606</v>
      </c>
      <c r="AK5428">
        <v>24.970208548784601</v>
      </c>
      <c r="AL5428">
        <v>89.713142048728301</v>
      </c>
      <c r="AM5428">
        <v>87.7022736936825</v>
      </c>
      <c r="AN5428">
        <v>1.00000003613181</v>
      </c>
    </row>
    <row r="5429" spans="1:40" x14ac:dyDescent="0.25">
      <c r="A5429" t="str">
        <f>"20190312161125001"</f>
        <v>20190312161125001</v>
      </c>
      <c r="B5429" t="str">
        <f>"1552378284992508"</f>
        <v>1552378284992508</v>
      </c>
      <c r="C5429" t="s">
        <v>40</v>
      </c>
      <c r="D5429">
        <v>5.486103</v>
      </c>
      <c r="E5429">
        <v>0.49433250000000001</v>
      </c>
      <c r="F5429" t="s">
        <v>41</v>
      </c>
      <c r="G5429">
        <v>-331.96879999999999</v>
      </c>
      <c r="H5429" s="1">
        <v>-3.979016E-6</v>
      </c>
      <c r="I5429">
        <v>16.508150000000001</v>
      </c>
      <c r="J5429">
        <v>-357.24380000000002</v>
      </c>
      <c r="K5429">
        <v>1.1094219999999999</v>
      </c>
      <c r="L5429">
        <v>17.2681</v>
      </c>
      <c r="M5429">
        <v>0.99995780000000001</v>
      </c>
      <c r="N5429">
        <v>0</v>
      </c>
      <c r="O5429">
        <v>-4.8940650000000004E-3</v>
      </c>
      <c r="P5429">
        <v>0.99899579999999999</v>
      </c>
      <c r="Q5429">
        <v>-2.7594199999999998E-3</v>
      </c>
      <c r="R5429">
        <v>-4.472131E-2</v>
      </c>
      <c r="S5429">
        <v>2.998688</v>
      </c>
      <c r="T5429">
        <v>-0.1301631</v>
      </c>
      <c r="U5429">
        <v>-8.9294429999999994E-2</v>
      </c>
      <c r="V5429">
        <v>3.9829400000000001E-2</v>
      </c>
      <c r="W5429">
        <v>5.024237E-3</v>
      </c>
      <c r="X5429">
        <v>0.99919380000000002</v>
      </c>
      <c r="Y5429">
        <v>2.4853469999999999E-2</v>
      </c>
      <c r="Z5429">
        <v>-3.2673990000000003E-4</v>
      </c>
      <c r="AA5429">
        <v>0.99969110000000005</v>
      </c>
      <c r="AB5429">
        <v>28</v>
      </c>
      <c r="AC5429">
        <v>25.274999999999999</v>
      </c>
      <c r="AD5429">
        <v>-1.1094259790159999</v>
      </c>
      <c r="AE5429">
        <v>-0.75994999999999902</v>
      </c>
      <c r="AF5429">
        <v>0.63501728332403395</v>
      </c>
      <c r="AG5429">
        <v>-1.1094259790159999</v>
      </c>
      <c r="AH5429">
        <v>25.229850172417201</v>
      </c>
      <c r="AI5429">
        <v>92.517035078503994</v>
      </c>
      <c r="AJ5429">
        <v>88.558210613185693</v>
      </c>
      <c r="AK5429">
        <v>25.262213138908798</v>
      </c>
      <c r="AL5429">
        <v>89.712131195374894</v>
      </c>
      <c r="AM5429">
        <v>87.717310709556301</v>
      </c>
      <c r="AN5429">
        <v>0.99999993701011403</v>
      </c>
    </row>
    <row r="5430" spans="1:40" x14ac:dyDescent="0.25">
      <c r="A5430" t="str">
        <f>"20190312161125044"</f>
        <v>20190312161125044</v>
      </c>
      <c r="B5430" t="str">
        <f>"1552378285032528"</f>
        <v>1552378285032528</v>
      </c>
      <c r="C5430" t="s">
        <v>40</v>
      </c>
      <c r="D5430">
        <v>5.5947209999999998</v>
      </c>
      <c r="E5430">
        <v>0.4159101</v>
      </c>
      <c r="F5430" t="s">
        <v>41</v>
      </c>
      <c r="G5430">
        <v>-331.34480000000002</v>
      </c>
      <c r="H5430" s="1">
        <v>-4.2426800000000003E-6</v>
      </c>
      <c r="I5430">
        <v>16.530829999999899</v>
      </c>
      <c r="J5430">
        <v>-356.7054</v>
      </c>
      <c r="K5430">
        <v>1.10944</v>
      </c>
      <c r="L5430">
        <v>17.265899999999998</v>
      </c>
      <c r="M5430">
        <v>0.99995970000000001</v>
      </c>
      <c r="N5430">
        <v>0</v>
      </c>
      <c r="O5430">
        <v>-4.5424999999999997E-3</v>
      </c>
      <c r="P5430">
        <v>0.99904479999999996</v>
      </c>
      <c r="Q5430">
        <v>-2.7320930000000001E-3</v>
      </c>
      <c r="R5430">
        <v>-4.3619459999999999E-2</v>
      </c>
      <c r="S5430">
        <v>2.99884</v>
      </c>
      <c r="T5430">
        <v>-0.12845980000000001</v>
      </c>
      <c r="U5430">
        <v>-8.5357669999999997E-2</v>
      </c>
      <c r="V5430">
        <v>3.9078880000000003E-2</v>
      </c>
      <c r="W5430">
        <v>5.0361579999999998E-3</v>
      </c>
      <c r="X5430">
        <v>0.99922339999999998</v>
      </c>
      <c r="Y5430">
        <v>2.3893210000000002E-2</v>
      </c>
      <c r="Z5430">
        <v>-3.1695429999999998E-4</v>
      </c>
      <c r="AA5430">
        <v>0.99971449999999995</v>
      </c>
      <c r="AB5430">
        <v>28</v>
      </c>
      <c r="AC5430">
        <v>25.360599999999899</v>
      </c>
      <c r="AD5430">
        <v>-1.10944424268</v>
      </c>
      <c r="AE5430">
        <v>-0.73507</v>
      </c>
      <c r="AF5430">
        <v>0.61867542156238498</v>
      </c>
      <c r="AG5430">
        <v>-1.10944424268</v>
      </c>
      <c r="AH5430">
        <v>25.3152703098907</v>
      </c>
      <c r="AI5430">
        <v>92.508639441972406</v>
      </c>
      <c r="AJ5430">
        <v>88.600037228065602</v>
      </c>
      <c r="AK5430">
        <v>25.347120875312299</v>
      </c>
      <c r="AL5430">
        <v>89.711448171037503</v>
      </c>
      <c r="AM5430">
        <v>87.760346316257397</v>
      </c>
      <c r="AN5430">
        <v>0.99999996242850597</v>
      </c>
    </row>
    <row r="5431" spans="1:40" x14ac:dyDescent="0.25">
      <c r="A5431" t="str">
        <f>"20190312161125066"</f>
        <v>20190312161125066</v>
      </c>
      <c r="B5431" t="str">
        <f>"1552378285052045"</f>
        <v>1552378285052045</v>
      </c>
      <c r="C5431" t="s">
        <v>40</v>
      </c>
      <c r="D5431">
        <v>5.5322839999999998</v>
      </c>
      <c r="E5431">
        <v>0.40495419999999999</v>
      </c>
      <c r="F5431" t="s">
        <v>43</v>
      </c>
      <c r="G5431">
        <v>-312.39280000000002</v>
      </c>
      <c r="H5431">
        <v>-0.05</v>
      </c>
      <c r="I5431">
        <v>25.196729999999999</v>
      </c>
      <c r="J5431">
        <v>-356.42840000000001</v>
      </c>
      <c r="K5431">
        <v>1.1094459999999999</v>
      </c>
      <c r="L5431">
        <v>17.26483</v>
      </c>
      <c r="M5431">
        <v>0.99996050000000003</v>
      </c>
      <c r="N5431">
        <v>0</v>
      </c>
      <c r="O5431">
        <v>-4.3640609999999998E-3</v>
      </c>
      <c r="P5431">
        <v>0.99906110000000004</v>
      </c>
      <c r="Q5431">
        <v>-2.6352279999999999E-3</v>
      </c>
      <c r="R5431">
        <v>-4.3246390000000003E-2</v>
      </c>
      <c r="S5431">
        <v>3.0262760000000002</v>
      </c>
      <c r="T5431">
        <v>-7.9182619999999995E-2</v>
      </c>
      <c r="U5431">
        <v>0.54162600000000005</v>
      </c>
      <c r="V5431">
        <v>3.8884189999999999E-2</v>
      </c>
      <c r="W5431">
        <v>5.1286630000000003E-3</v>
      </c>
      <c r="X5431">
        <v>0.99923059999999997</v>
      </c>
      <c r="Y5431">
        <v>-0.18040800000000001</v>
      </c>
      <c r="Z5431">
        <v>2.454478E-3</v>
      </c>
      <c r="AA5431">
        <v>0.98358880000000004</v>
      </c>
      <c r="AB5431">
        <v>28</v>
      </c>
      <c r="AC5431">
        <v>44.035599999999903</v>
      </c>
      <c r="AD5431">
        <v>-1.159446</v>
      </c>
      <c r="AE5431">
        <v>7.93189999999999</v>
      </c>
      <c r="AF5431">
        <v>-8.1185529079267802</v>
      </c>
      <c r="AG5431">
        <v>-1.159446</v>
      </c>
      <c r="AH5431">
        <v>43.9710390959184</v>
      </c>
      <c r="AI5431">
        <v>91.485354124845301</v>
      </c>
      <c r="AJ5431">
        <v>100.46094565388501</v>
      </c>
      <c r="AK5431">
        <v>44.729268890967901</v>
      </c>
      <c r="AL5431">
        <v>89.706147978415302</v>
      </c>
      <c r="AM5431">
        <v>87.771508978293397</v>
      </c>
      <c r="AN5431">
        <v>1.0000000376962399</v>
      </c>
    </row>
    <row r="5432" spans="1:40" x14ac:dyDescent="0.25">
      <c r="A5432" t="str">
        <f>"20190312161125089"</f>
        <v>20190312161125089</v>
      </c>
      <c r="B5432" t="str">
        <f>"1552378285082301"</f>
        <v>1552378285082301</v>
      </c>
      <c r="C5432" t="s">
        <v>40</v>
      </c>
      <c r="D5432">
        <v>5.4699929999999997</v>
      </c>
      <c r="E5432">
        <v>0.39979799999999999</v>
      </c>
      <c r="F5432" t="s">
        <v>43</v>
      </c>
      <c r="G5432">
        <v>-311.88650000000001</v>
      </c>
      <c r="H5432">
        <v>-0.05</v>
      </c>
      <c r="I5432">
        <v>26.527280000000001</v>
      </c>
      <c r="J5432">
        <v>-356.13810000000001</v>
      </c>
      <c r="K5432">
        <v>1.1094619999999999</v>
      </c>
      <c r="L5432">
        <v>17.263760000000001</v>
      </c>
      <c r="M5432">
        <v>0.99996119999999999</v>
      </c>
      <c r="N5432">
        <v>0</v>
      </c>
      <c r="O5432">
        <v>-4.175715E-3</v>
      </c>
      <c r="P5432">
        <v>0.99907959999999996</v>
      </c>
      <c r="Q5432">
        <v>-1.61418E-3</v>
      </c>
      <c r="R5432">
        <v>-4.2865250000000001E-2</v>
      </c>
      <c r="S5432">
        <v>3.0299070000000001</v>
      </c>
      <c r="T5432">
        <v>-7.8869939999999999E-2</v>
      </c>
      <c r="U5432">
        <v>0.63006589999999996</v>
      </c>
      <c r="V5432">
        <v>3.8690960000000003E-2</v>
      </c>
      <c r="W5432">
        <v>6.1466949999999998E-3</v>
      </c>
      <c r="X5432">
        <v>0.99923229999999996</v>
      </c>
      <c r="Y5432">
        <v>-0.2076113</v>
      </c>
      <c r="Z5432">
        <v>2.7806189999999998E-3</v>
      </c>
      <c r="AA5432">
        <v>0.97820750000000001</v>
      </c>
      <c r="AB5432">
        <v>28</v>
      </c>
      <c r="AC5432">
        <v>44.251600000000003</v>
      </c>
      <c r="AD5432">
        <v>-1.159462</v>
      </c>
      <c r="AE5432">
        <v>9.2635199999999909</v>
      </c>
      <c r="AF5432">
        <v>-9.4420168365411001</v>
      </c>
      <c r="AG5432">
        <v>-1.159462</v>
      </c>
      <c r="AH5432">
        <v>44.183471676310504</v>
      </c>
      <c r="AI5432">
        <v>91.470033197412505</v>
      </c>
      <c r="AJ5432">
        <v>102.06267867906</v>
      </c>
      <c r="AK5432">
        <v>45.195964459698203</v>
      </c>
      <c r="AL5432">
        <v>89.647818094080407</v>
      </c>
      <c r="AM5432">
        <v>87.782575865443803</v>
      </c>
      <c r="AN5432">
        <v>0.99999998080421704</v>
      </c>
    </row>
    <row r="5433" spans="1:40" x14ac:dyDescent="0.25">
      <c r="A5433" t="str">
        <f>"20190312161125112"</f>
        <v>20190312161125112</v>
      </c>
      <c r="B5433" t="str">
        <f>"1552378285102800"</f>
        <v>1552378285102800</v>
      </c>
      <c r="C5433" t="s">
        <v>40</v>
      </c>
      <c r="D5433">
        <v>5.4581949999999999</v>
      </c>
      <c r="E5433">
        <v>0.39852559999999998</v>
      </c>
      <c r="F5433" t="s">
        <v>43</v>
      </c>
      <c r="G5433">
        <v>-314.43119999999999</v>
      </c>
      <c r="H5433">
        <v>-0.05</v>
      </c>
      <c r="I5433">
        <v>26.515750000000001</v>
      </c>
      <c r="J5433">
        <v>-355.8442</v>
      </c>
      <c r="K5433">
        <v>1.109478</v>
      </c>
      <c r="L5433">
        <v>17.26276</v>
      </c>
      <c r="M5433">
        <v>0.99996200000000002</v>
      </c>
      <c r="N5433">
        <v>0</v>
      </c>
      <c r="O5433">
        <v>-3.982116E-3</v>
      </c>
      <c r="P5433">
        <v>0.99910259999999995</v>
      </c>
      <c r="Q5433">
        <v>-1.494783E-3</v>
      </c>
      <c r="R5433">
        <v>-4.2333599999999999E-2</v>
      </c>
      <c r="S5433">
        <v>3.0314939999999999</v>
      </c>
      <c r="T5433">
        <v>-8.4276199999999996E-2</v>
      </c>
      <c r="U5433">
        <v>0.67248540000000001</v>
      </c>
      <c r="V5433">
        <v>3.8352499999999998E-2</v>
      </c>
      <c r="W5433">
        <v>6.2649469999999999E-3</v>
      </c>
      <c r="X5433">
        <v>0.99924460000000004</v>
      </c>
      <c r="Y5433">
        <v>-0.2203717</v>
      </c>
      <c r="Z5433">
        <v>3.1352120000000001E-3</v>
      </c>
      <c r="AA5433">
        <v>0.97541089999999997</v>
      </c>
      <c r="AB5433">
        <v>28</v>
      </c>
      <c r="AC5433">
        <v>41.412999999999997</v>
      </c>
      <c r="AD5433">
        <v>-1.159478</v>
      </c>
      <c r="AE5433">
        <v>9.2529899999999898</v>
      </c>
      <c r="AF5433">
        <v>-9.4108067446376698</v>
      </c>
      <c r="AG5433">
        <v>-1.159478</v>
      </c>
      <c r="AH5433">
        <v>41.3449554251143</v>
      </c>
      <c r="AI5433">
        <v>91.566339432761197</v>
      </c>
      <c r="AJ5433">
        <v>102.823010707195</v>
      </c>
      <c r="AK5433">
        <v>42.418309866401898</v>
      </c>
      <c r="AL5433">
        <v>89.641042618081897</v>
      </c>
      <c r="AM5433">
        <v>87.801981323274106</v>
      </c>
      <c r="AN5433">
        <v>0.99999996722316098</v>
      </c>
    </row>
    <row r="5434" spans="1:40" x14ac:dyDescent="0.25">
      <c r="A5434" t="str">
        <f>"20190312161125134"</f>
        <v>20190312161125134</v>
      </c>
      <c r="B5434" t="str">
        <f>"1552378285122317"</f>
        <v>1552378285122317</v>
      </c>
      <c r="C5434" t="s">
        <v>40</v>
      </c>
      <c r="D5434">
        <v>5.4451320000000001</v>
      </c>
      <c r="E5434">
        <v>0.3978101</v>
      </c>
      <c r="F5434" t="s">
        <v>43</v>
      </c>
      <c r="G5434">
        <v>-314.0566</v>
      </c>
      <c r="H5434">
        <v>-0.05</v>
      </c>
      <c r="I5434">
        <v>26.693560000000002</v>
      </c>
      <c r="J5434">
        <v>-355.57150000000001</v>
      </c>
      <c r="K5434">
        <v>1.1094839999999999</v>
      </c>
      <c r="L5434">
        <v>17.261839999999999</v>
      </c>
      <c r="M5434">
        <v>0.99996269999999998</v>
      </c>
      <c r="N5434">
        <v>0</v>
      </c>
      <c r="O5434">
        <v>-3.7993599999999999E-3</v>
      </c>
      <c r="P5434">
        <v>0.99910339999999997</v>
      </c>
      <c r="Q5434">
        <v>-1.306546E-3</v>
      </c>
      <c r="R5434">
        <v>-4.2317090000000002E-2</v>
      </c>
      <c r="S5434">
        <v>3.031555</v>
      </c>
      <c r="T5434">
        <v>-8.4116339999999998E-2</v>
      </c>
      <c r="U5434">
        <v>0.68417359999999905</v>
      </c>
      <c r="V5434">
        <v>3.8518450000000003E-2</v>
      </c>
      <c r="W5434">
        <v>6.4528169999999996E-3</v>
      </c>
      <c r="X5434">
        <v>0.99923709999999999</v>
      </c>
      <c r="Y5434">
        <v>-0.22376860000000001</v>
      </c>
      <c r="Z5434">
        <v>3.1694290000000001E-3</v>
      </c>
      <c r="AA5434">
        <v>0.97463719999999998</v>
      </c>
      <c r="AB5434">
        <v>28</v>
      </c>
      <c r="AC5434">
        <v>41.514899999999997</v>
      </c>
      <c r="AD5434">
        <v>-1.159484</v>
      </c>
      <c r="AE5434">
        <v>9.4317200000000003</v>
      </c>
      <c r="AF5434">
        <v>-9.5822789420875196</v>
      </c>
      <c r="AG5434">
        <v>-1.159484</v>
      </c>
      <c r="AH5434">
        <v>41.448020180453099</v>
      </c>
      <c r="AI5434">
        <v>91.561239679395499</v>
      </c>
      <c r="AJ5434">
        <v>103.01738744088399</v>
      </c>
      <c r="AK5434">
        <v>42.557054053934202</v>
      </c>
      <c r="AL5434">
        <v>89.630278271082005</v>
      </c>
      <c r="AM5434">
        <v>87.792463405548304</v>
      </c>
      <c r="AN5434">
        <v>1.00000004592702</v>
      </c>
    </row>
    <row r="5435" spans="1:40" x14ac:dyDescent="0.25">
      <c r="A5435" t="str">
        <f>"20190312161125155"</f>
        <v>20190312161125155</v>
      </c>
      <c r="B5435" t="str">
        <f>"1552378285142814"</f>
        <v>1552378285142814</v>
      </c>
      <c r="C5435" t="s">
        <v>40</v>
      </c>
      <c r="D5435">
        <v>5.4541909999999998</v>
      </c>
      <c r="E5435">
        <v>0.39741199999999999</v>
      </c>
      <c r="F5435" t="s">
        <v>43</v>
      </c>
      <c r="G5435">
        <v>-313.40629999999999</v>
      </c>
      <c r="H5435">
        <v>-0.05</v>
      </c>
      <c r="I5435">
        <v>26.859950000000001</v>
      </c>
      <c r="J5435">
        <v>-355.30110000000002</v>
      </c>
      <c r="K5435">
        <v>1.1095010000000001</v>
      </c>
      <c r="L5435">
        <v>17.26099</v>
      </c>
      <c r="M5435">
        <v>0.99996339999999995</v>
      </c>
      <c r="N5435">
        <v>0</v>
      </c>
      <c r="O5435">
        <v>-3.6157680000000001E-3</v>
      </c>
      <c r="P5435">
        <v>0.99908540000000001</v>
      </c>
      <c r="Q5435">
        <v>-1.0454170000000001E-3</v>
      </c>
      <c r="R5435">
        <v>-4.2747880000000002E-2</v>
      </c>
      <c r="S5435">
        <v>3.0317690000000002</v>
      </c>
      <c r="T5435">
        <v>-8.3369369999999998E-2</v>
      </c>
      <c r="U5435">
        <v>0.69012450000000003</v>
      </c>
      <c r="V5435">
        <v>3.913283E-2</v>
      </c>
      <c r="W5435">
        <v>6.7150719999999999E-3</v>
      </c>
      <c r="X5435">
        <v>0.99921139999999997</v>
      </c>
      <c r="Y5435">
        <v>-0.22539519999999999</v>
      </c>
      <c r="Z5435">
        <v>3.1575000000000002E-3</v>
      </c>
      <c r="AA5435">
        <v>0.97426230000000003</v>
      </c>
      <c r="AB5435">
        <v>28</v>
      </c>
      <c r="AC5435">
        <v>41.894799999999996</v>
      </c>
      <c r="AD5435">
        <v>-1.1595009999999999</v>
      </c>
      <c r="AE5435">
        <v>9.5989599999999999</v>
      </c>
      <c r="AF5435">
        <v>-9.7432926844802203</v>
      </c>
      <c r="AG5435">
        <v>-1.1595009999999999</v>
      </c>
      <c r="AH5435">
        <v>41.829374788378701</v>
      </c>
      <c r="AI5435">
        <v>91.546442737505004</v>
      </c>
      <c r="AJ5435">
        <v>103.112073619817</v>
      </c>
      <c r="AK5435">
        <v>42.964785465437799</v>
      </c>
      <c r="AL5435">
        <v>89.615251803026297</v>
      </c>
      <c r="AM5435">
        <v>87.757230630803704</v>
      </c>
      <c r="AN5435">
        <v>0.99999994623286503</v>
      </c>
    </row>
    <row r="5436" spans="1:40" x14ac:dyDescent="0.25">
      <c r="A5436" t="str">
        <f>"20190312161125178"</f>
        <v>20190312161125178</v>
      </c>
      <c r="B5436" t="str">
        <f>"1552378285173068"</f>
        <v>1552378285173068</v>
      </c>
      <c r="C5436" t="s">
        <v>40</v>
      </c>
      <c r="D5436">
        <v>5.4372680000000004</v>
      </c>
      <c r="E5436">
        <v>0.39696219999999999</v>
      </c>
      <c r="F5436" t="s">
        <v>43</v>
      </c>
      <c r="G5436">
        <v>-312.2183</v>
      </c>
      <c r="H5436">
        <v>-0.05</v>
      </c>
      <c r="I5436">
        <v>27.094480000000001</v>
      </c>
      <c r="J5436">
        <v>-355.00199999999899</v>
      </c>
      <c r="K5436">
        <v>1.1095120000000001</v>
      </c>
      <c r="L5436">
        <v>17.26013</v>
      </c>
      <c r="M5436">
        <v>0.99996419999999997</v>
      </c>
      <c r="N5436">
        <v>0</v>
      </c>
      <c r="O5436">
        <v>-3.4109600000000002E-3</v>
      </c>
      <c r="P5436">
        <v>0.99906090000000003</v>
      </c>
      <c r="Q5436">
        <v>-4.5659299999999998E-4</v>
      </c>
      <c r="R5436">
        <v>-4.3327150000000002E-2</v>
      </c>
      <c r="S5436">
        <v>3.0322879999999999</v>
      </c>
      <c r="T5436">
        <v>-8.1608769999999997E-2</v>
      </c>
      <c r="U5436">
        <v>0.69210819999999995</v>
      </c>
      <c r="V5436">
        <v>3.9916779999999999E-2</v>
      </c>
      <c r="W5436">
        <v>7.30633699999999E-3</v>
      </c>
      <c r="X5436">
        <v>0.99917630000000002</v>
      </c>
      <c r="Y5436">
        <v>-0.22576879999999999</v>
      </c>
      <c r="Z5436">
        <v>3.0896259999999998E-3</v>
      </c>
      <c r="AA5436">
        <v>0.97417600000000004</v>
      </c>
      <c r="AB5436">
        <v>28</v>
      </c>
      <c r="AC5436">
        <v>42.783699999999897</v>
      </c>
      <c r="AD5436">
        <v>-1.1595120000000001</v>
      </c>
      <c r="AE5436">
        <v>9.8343499999999899</v>
      </c>
      <c r="AF5436">
        <v>-9.9732728739622498</v>
      </c>
      <c r="AG5436">
        <v>-1.1595120000000001</v>
      </c>
      <c r="AH5436">
        <v>42.720102163925702</v>
      </c>
      <c r="AI5436">
        <v>91.514052136650093</v>
      </c>
      <c r="AJ5436">
        <v>103.140698583657</v>
      </c>
      <c r="AK5436">
        <v>43.884140287727</v>
      </c>
      <c r="AL5436">
        <v>89.581374003758896</v>
      </c>
      <c r="AM5436">
        <v>87.712268106060606</v>
      </c>
      <c r="AN5436">
        <v>1.0000000051838001</v>
      </c>
    </row>
    <row r="5437" spans="1:40" x14ac:dyDescent="0.25">
      <c r="A5437" t="str">
        <f>"20190312161125212"</f>
        <v>20190312161125212</v>
      </c>
      <c r="B5437" t="str">
        <f>"1552378285202352"</f>
        <v>1552378285202352</v>
      </c>
      <c r="C5437" t="s">
        <v>40</v>
      </c>
      <c r="D5437">
        <v>5.2387319999999997</v>
      </c>
      <c r="E5437">
        <v>0.39651530000000001</v>
      </c>
      <c r="F5437" t="s">
        <v>43</v>
      </c>
      <c r="G5437">
        <v>-311.51929999999999</v>
      </c>
      <c r="H5437">
        <v>-0.05</v>
      </c>
      <c r="I5437">
        <v>27.20871</v>
      </c>
      <c r="J5437">
        <v>-354.57010000000002</v>
      </c>
      <c r="K5437">
        <v>1.109524</v>
      </c>
      <c r="L5437">
        <v>17.259</v>
      </c>
      <c r="M5437">
        <v>0.99996510000000005</v>
      </c>
      <c r="N5437">
        <v>0</v>
      </c>
      <c r="O5437">
        <v>-3.112348E-3</v>
      </c>
      <c r="P5437">
        <v>0.99906899999999998</v>
      </c>
      <c r="Q5437">
        <v>-3.797319E-4</v>
      </c>
      <c r="R5437">
        <v>-4.3140959999999999E-2</v>
      </c>
      <c r="S5437">
        <v>3.0328979999999999</v>
      </c>
      <c r="T5437">
        <v>-8.0875399999999903E-2</v>
      </c>
      <c r="U5437">
        <v>0.69390869999999905</v>
      </c>
      <c r="V5437">
        <v>4.0028750000000002E-2</v>
      </c>
      <c r="W5437">
        <v>7.3873960000000001E-3</v>
      </c>
      <c r="X5437">
        <v>0.99917120000000004</v>
      </c>
      <c r="Y5437">
        <v>-0.22598650000000001</v>
      </c>
      <c r="Z5437">
        <v>3.0560740000000002E-3</v>
      </c>
      <c r="AA5437">
        <v>0.97412560000000004</v>
      </c>
      <c r="AB5437">
        <v>29</v>
      </c>
      <c r="AC5437">
        <v>43.050800000000002</v>
      </c>
      <c r="AD5437">
        <v>-1.159524</v>
      </c>
      <c r="AE5437">
        <v>9.9497099999999907</v>
      </c>
      <c r="AF5437">
        <v>-10.076715587805699</v>
      </c>
      <c r="AG5437">
        <v>-1.159524</v>
      </c>
      <c r="AH5437">
        <v>42.9900185622378</v>
      </c>
      <c r="AI5437">
        <v>91.504252339965404</v>
      </c>
      <c r="AJ5437">
        <v>103.19178562492</v>
      </c>
      <c r="AK5437">
        <v>44.170424368865397</v>
      </c>
      <c r="AL5437">
        <v>89.576729529469702</v>
      </c>
      <c r="AM5437">
        <v>87.705845971220199</v>
      </c>
      <c r="AN5437">
        <v>0.99999998067783102</v>
      </c>
    </row>
    <row r="5438" spans="1:40" x14ac:dyDescent="0.25">
      <c r="A5438" t="str">
        <f>"20190312161125233"</f>
        <v>20190312161125233</v>
      </c>
      <c r="B5438" t="str">
        <f>"1552378285222848"</f>
        <v>1552378285222848</v>
      </c>
      <c r="C5438" t="s">
        <v>40</v>
      </c>
      <c r="D5438">
        <v>5.4403119999999996</v>
      </c>
      <c r="E5438">
        <v>0.39611479999999999</v>
      </c>
      <c r="F5438" t="s">
        <v>43</v>
      </c>
      <c r="G5438">
        <v>-311.68950000000001</v>
      </c>
      <c r="H5438">
        <v>-0.05</v>
      </c>
      <c r="I5438">
        <v>27.125889999999998</v>
      </c>
      <c r="J5438">
        <v>-354.29539999999997</v>
      </c>
      <c r="K5438">
        <v>1.1095219999999999</v>
      </c>
      <c r="L5438">
        <v>17.25836</v>
      </c>
      <c r="M5438">
        <v>0.99996560000000001</v>
      </c>
      <c r="N5438">
        <v>0</v>
      </c>
      <c r="O5438">
        <v>-2.9219820000000001E-3</v>
      </c>
      <c r="P5438">
        <v>0.99906799999999996</v>
      </c>
      <c r="Q5438">
        <v>-9.9405369999999997E-4</v>
      </c>
      <c r="R5438">
        <v>-4.31536E-2</v>
      </c>
      <c r="S5438">
        <v>3.0328979999999999</v>
      </c>
      <c r="T5438">
        <v>-8.2011940000000005E-2</v>
      </c>
      <c r="U5438">
        <v>0.69787600000000005</v>
      </c>
      <c r="V5438">
        <v>4.0231679999999999E-2</v>
      </c>
      <c r="W5438">
        <v>6.7765819999999997E-3</v>
      </c>
      <c r="X5438">
        <v>0.99916740000000004</v>
      </c>
      <c r="Y5438">
        <v>-0.22700899999999999</v>
      </c>
      <c r="Z5438">
        <v>3.107121E-3</v>
      </c>
      <c r="AA5438">
        <v>0.97388770000000002</v>
      </c>
      <c r="AB5438">
        <v>29</v>
      </c>
      <c r="AC5438">
        <v>42.605899999999899</v>
      </c>
      <c r="AD5438">
        <v>-1.1595219999999999</v>
      </c>
      <c r="AE5438">
        <v>9.8675300000000004</v>
      </c>
      <c r="AF5438">
        <v>-9.9849663263721702</v>
      </c>
      <c r="AG5438">
        <v>-1.1595219999999999</v>
      </c>
      <c r="AH5438">
        <v>42.546975929271497</v>
      </c>
      <c r="AI5438">
        <v>91.519810191382902</v>
      </c>
      <c r="AJ5438">
        <v>103.207228471704</v>
      </c>
      <c r="AK5438">
        <v>43.718293705647703</v>
      </c>
      <c r="AL5438">
        <v>89.611727480777105</v>
      </c>
      <c r="AM5438">
        <v>87.694219275448802</v>
      </c>
      <c r="AN5438">
        <v>1.00000000168099</v>
      </c>
    </row>
    <row r="5439" spans="1:40" x14ac:dyDescent="0.25">
      <c r="A5439" t="str">
        <f>"20190312161125256"</f>
        <v>20190312161125256</v>
      </c>
      <c r="B5439" t="str">
        <f>"1552378285252786"</f>
        <v>1552378285252786</v>
      </c>
      <c r="C5439" t="s">
        <v>40</v>
      </c>
      <c r="D5439">
        <v>5.4481859999999998</v>
      </c>
      <c r="E5439">
        <v>0.39565699999999998</v>
      </c>
      <c r="F5439" t="s">
        <v>43</v>
      </c>
      <c r="G5439">
        <v>-311.27600000000001</v>
      </c>
      <c r="H5439">
        <v>-0.05</v>
      </c>
      <c r="I5439">
        <v>27.201930000000001</v>
      </c>
      <c r="J5439">
        <v>-354.00549999999998</v>
      </c>
      <c r="K5439">
        <v>1.109524</v>
      </c>
      <c r="L5439">
        <v>17.257719999999999</v>
      </c>
      <c r="M5439">
        <v>0.99996609999999997</v>
      </c>
      <c r="N5439">
        <v>0</v>
      </c>
      <c r="O5439">
        <v>-2.7210099999999998E-3</v>
      </c>
      <c r="P5439">
        <v>0.99906499999999998</v>
      </c>
      <c r="Q5439">
        <v>-1.6433779999999901E-3</v>
      </c>
      <c r="R5439">
        <v>-4.3203529999999997E-2</v>
      </c>
      <c r="S5439">
        <v>3.0329899999999999</v>
      </c>
      <c r="T5439">
        <v>-8.1749559999999999E-2</v>
      </c>
      <c r="U5439">
        <v>0.70104979999999995</v>
      </c>
      <c r="V5439">
        <v>4.0482709999999998E-2</v>
      </c>
      <c r="W5439">
        <v>6.1314369999999896E-3</v>
      </c>
      <c r="X5439">
        <v>0.99916139999999998</v>
      </c>
      <c r="Y5439">
        <v>-0.2277748</v>
      </c>
      <c r="Z5439">
        <v>3.101571E-3</v>
      </c>
      <c r="AA5439">
        <v>0.97370889999999999</v>
      </c>
      <c r="AB5439">
        <v>29</v>
      </c>
      <c r="AC5439">
        <v>42.729499999999902</v>
      </c>
      <c r="AD5439">
        <v>-1.159524</v>
      </c>
      <c r="AE5439">
        <v>9.9442099999999893</v>
      </c>
      <c r="AF5439">
        <v>-10.053421283201301</v>
      </c>
      <c r="AG5439">
        <v>-1.159524</v>
      </c>
      <c r="AH5439">
        <v>42.672473872873397</v>
      </c>
      <c r="AI5439">
        <v>91.515036756918207</v>
      </c>
      <c r="AJ5439">
        <v>103.25685349886101</v>
      </c>
      <c r="AK5439">
        <v>43.856080557149298</v>
      </c>
      <c r="AL5439">
        <v>89.648692327110894</v>
      </c>
      <c r="AM5439">
        <v>87.6798338593224</v>
      </c>
      <c r="AN5439">
        <v>0.99999997378929395</v>
      </c>
    </row>
    <row r="5440" spans="1:40" x14ac:dyDescent="0.25">
      <c r="A5440" t="str">
        <f>"20190312161125278"</f>
        <v>20190312161125278</v>
      </c>
      <c r="B5440" t="str">
        <f>"1552378285272291"</f>
        <v>1552378285272291</v>
      </c>
      <c r="C5440" t="s">
        <v>40</v>
      </c>
      <c r="D5440">
        <v>5.393008</v>
      </c>
      <c r="E5440">
        <v>0.39535880000000001</v>
      </c>
      <c r="F5440" t="s">
        <v>43</v>
      </c>
      <c r="G5440">
        <v>-311.0419</v>
      </c>
      <c r="H5440">
        <v>-0.05</v>
      </c>
      <c r="I5440">
        <v>27.239249999999998</v>
      </c>
      <c r="J5440">
        <v>-353.72460000000001</v>
      </c>
      <c r="K5440">
        <v>1.109523</v>
      </c>
      <c r="L5440">
        <v>17.25714</v>
      </c>
      <c r="M5440">
        <v>0.99996669999999999</v>
      </c>
      <c r="N5440">
        <v>0</v>
      </c>
      <c r="O5440">
        <v>-2.526595E-3</v>
      </c>
      <c r="P5440">
        <v>0.99909780000000004</v>
      </c>
      <c r="Q5440">
        <v>-1.4900899999999999E-3</v>
      </c>
      <c r="R5440">
        <v>-4.2446379999999999E-2</v>
      </c>
      <c r="S5440">
        <v>3.0331730000000001</v>
      </c>
      <c r="T5440">
        <v>-8.1860779999999994E-2</v>
      </c>
      <c r="U5440">
        <v>0.70468140000000001</v>
      </c>
      <c r="V5440">
        <v>3.9919740000000002E-2</v>
      </c>
      <c r="W5440">
        <v>6.2897430000000004E-3</v>
      </c>
      <c r="X5440">
        <v>0.99918309999999999</v>
      </c>
      <c r="Y5440">
        <v>-0.22867850000000001</v>
      </c>
      <c r="Z5440">
        <v>3.1120480000000001E-3</v>
      </c>
      <c r="AA5440">
        <v>0.97349699999999995</v>
      </c>
      <c r="AB5440">
        <v>29</v>
      </c>
      <c r="AC5440">
        <v>42.682699999999997</v>
      </c>
      <c r="AD5440">
        <v>-1.1595229999999901</v>
      </c>
      <c r="AE5440">
        <v>9.9821100000000005</v>
      </c>
      <c r="AF5440">
        <v>-10.0828680284689</v>
      </c>
      <c r="AG5440">
        <v>-1.1595229999999901</v>
      </c>
      <c r="AH5440">
        <v>42.6275146377399</v>
      </c>
      <c r="AI5440">
        <v>91.516314263605906</v>
      </c>
      <c r="AJ5440">
        <v>103.307829232008</v>
      </c>
      <c r="AK5440">
        <v>43.819102289501302</v>
      </c>
      <c r="AL5440">
        <v>89.639621898199195</v>
      </c>
      <c r="AM5440">
        <v>87.712114195127</v>
      </c>
      <c r="AN5440">
        <v>1.00000000691714</v>
      </c>
    </row>
    <row r="5441" spans="1:40" x14ac:dyDescent="0.25">
      <c r="A5441" t="str">
        <f>"20190312161125301"</f>
        <v>20190312161125301</v>
      </c>
      <c r="B5441" t="str">
        <f>"1552378285292790"</f>
        <v>1552378285292790</v>
      </c>
      <c r="C5441" t="s">
        <v>40</v>
      </c>
      <c r="D5441">
        <v>5.3902580000000002</v>
      </c>
      <c r="E5441">
        <v>0.3951229</v>
      </c>
      <c r="F5441" t="s">
        <v>43</v>
      </c>
      <c r="G5441">
        <v>-309.78089999999997</v>
      </c>
      <c r="H5441">
        <v>-0.05</v>
      </c>
      <c r="I5441">
        <v>27.534569999999999</v>
      </c>
      <c r="J5441">
        <v>-353.42059999999998</v>
      </c>
      <c r="K5441">
        <v>1.109521</v>
      </c>
      <c r="L5441">
        <v>17.256589999999999</v>
      </c>
      <c r="M5441">
        <v>0.99996719999999895</v>
      </c>
      <c r="N5441">
        <v>0</v>
      </c>
      <c r="O5441">
        <v>-2.3163289999999998E-3</v>
      </c>
      <c r="P5441">
        <v>0.99912420000000002</v>
      </c>
      <c r="Q5441">
        <v>-1.7192889999999999E-3</v>
      </c>
      <c r="R5441">
        <v>-4.1810109999999998E-2</v>
      </c>
      <c r="S5441">
        <v>3.0327449999999998</v>
      </c>
      <c r="T5441">
        <v>-8.0023769999999994E-2</v>
      </c>
      <c r="U5441">
        <v>0.70928959999999996</v>
      </c>
      <c r="V5441">
        <v>3.9493699999999902E-2</v>
      </c>
      <c r="W5441">
        <v>6.0665869999999896E-3</v>
      </c>
      <c r="X5441">
        <v>0.99920140000000002</v>
      </c>
      <c r="Y5441">
        <v>-0.22991</v>
      </c>
      <c r="Z5441">
        <v>3.052688E-3</v>
      </c>
      <c r="AA5441">
        <v>0.97320709999999999</v>
      </c>
      <c r="AB5441">
        <v>29</v>
      </c>
      <c r="AC5441">
        <v>43.639699999999998</v>
      </c>
      <c r="AD5441">
        <v>-1.15952099999999</v>
      </c>
      <c r="AE5441">
        <v>10.277979999999999</v>
      </c>
      <c r="AF5441">
        <v>-10.372101682325599</v>
      </c>
      <c r="AG5441">
        <v>-1.15952099999999</v>
      </c>
      <c r="AH5441">
        <v>43.586620805745802</v>
      </c>
      <c r="AI5441">
        <v>91.4824845333697</v>
      </c>
      <c r="AJ5441">
        <v>103.385450040225</v>
      </c>
      <c r="AK5441">
        <v>44.8187292939215</v>
      </c>
      <c r="AL5441">
        <v>89.652408035614101</v>
      </c>
      <c r="AM5441">
        <v>87.736547338179093</v>
      </c>
      <c r="AN5441">
        <v>0.99999999678973905</v>
      </c>
    </row>
    <row r="5442" spans="1:40" x14ac:dyDescent="0.25">
      <c r="A5442" t="str">
        <f>"20190312161125323"</f>
        <v>20190312161125323</v>
      </c>
      <c r="B5442" t="str">
        <f>"1552378285312307"</f>
        <v>1552378285312307</v>
      </c>
      <c r="C5442" t="s">
        <v>40</v>
      </c>
      <c r="D5442">
        <v>5.3840709999999996</v>
      </c>
      <c r="E5442">
        <v>0.39488669999999998</v>
      </c>
      <c r="F5442" t="s">
        <v>43</v>
      </c>
      <c r="G5442">
        <v>-310.11149999999998</v>
      </c>
      <c r="H5442">
        <v>-0.05</v>
      </c>
      <c r="I5442">
        <v>27.43967</v>
      </c>
      <c r="J5442">
        <v>-353.1361</v>
      </c>
      <c r="K5442">
        <v>1.1095269999999999</v>
      </c>
      <c r="L5442">
        <v>17.256160000000001</v>
      </c>
      <c r="M5442">
        <v>0.99996750000000001</v>
      </c>
      <c r="N5442">
        <v>0</v>
      </c>
      <c r="O5442">
        <v>-2.1200099999999999E-3</v>
      </c>
      <c r="P5442">
        <v>0.99910129999999997</v>
      </c>
      <c r="Q5442">
        <v>-2.4612700000000002E-3</v>
      </c>
      <c r="R5442">
        <v>-4.2314200000000003E-2</v>
      </c>
      <c r="S5442">
        <v>3.032349</v>
      </c>
      <c r="T5442">
        <v>-8.1185460000000001E-2</v>
      </c>
      <c r="U5442">
        <v>0.71298219999999901</v>
      </c>
      <c r="V5442">
        <v>4.0194050000000002E-2</v>
      </c>
      <c r="W5442">
        <v>5.3308399999999999E-3</v>
      </c>
      <c r="X5442">
        <v>0.99917769999999995</v>
      </c>
      <c r="Y5442">
        <v>-0.23086789999999999</v>
      </c>
      <c r="Z5442">
        <v>3.1044219999999999E-3</v>
      </c>
      <c r="AA5442">
        <v>0.97298010000000001</v>
      </c>
      <c r="AB5442">
        <v>29</v>
      </c>
      <c r="AC5442">
        <v>43.0246</v>
      </c>
      <c r="AD5442">
        <v>-1.159527</v>
      </c>
      <c r="AE5442">
        <v>10.183509999999901</v>
      </c>
      <c r="AF5442">
        <v>-10.2676404902105</v>
      </c>
      <c r="AG5442">
        <v>-1.159527</v>
      </c>
      <c r="AH5442">
        <v>42.973356929329398</v>
      </c>
      <c r="AI5442">
        <v>91.503311665652404</v>
      </c>
      <c r="AJ5442">
        <v>103.43777225179301</v>
      </c>
      <c r="AK5442">
        <v>44.198171340853897</v>
      </c>
      <c r="AL5442">
        <v>89.694563928593695</v>
      </c>
      <c r="AM5442">
        <v>87.696397343994093</v>
      </c>
      <c r="AN5442">
        <v>1.0000000278438901</v>
      </c>
    </row>
    <row r="5443" spans="1:40" x14ac:dyDescent="0.25">
      <c r="A5443" t="str">
        <f>"20190312161125345"</f>
        <v>20190312161125345</v>
      </c>
      <c r="B5443" t="str">
        <f>"1552378285332803"</f>
        <v>1552378285332803</v>
      </c>
      <c r="C5443" t="s">
        <v>40</v>
      </c>
      <c r="D5443">
        <v>5.3449980000000004</v>
      </c>
      <c r="E5443">
        <v>0.39467400000000002</v>
      </c>
      <c r="F5443" t="s">
        <v>43</v>
      </c>
      <c r="G5443">
        <v>-310.89600000000002</v>
      </c>
      <c r="H5443">
        <v>-0.05</v>
      </c>
      <c r="I5443">
        <v>27.192240000000002</v>
      </c>
      <c r="J5443">
        <v>-352.8569</v>
      </c>
      <c r="K5443">
        <v>1.109529</v>
      </c>
      <c r="L5443">
        <v>17.255739999999999</v>
      </c>
      <c r="M5443">
        <v>0.99996779999999996</v>
      </c>
      <c r="N5443">
        <v>0</v>
      </c>
      <c r="O5443">
        <v>-1.9276250000000001E-3</v>
      </c>
      <c r="P5443">
        <v>0.99907330000000005</v>
      </c>
      <c r="Q5443">
        <v>-2.7111980000000002E-3</v>
      </c>
      <c r="R5443">
        <v>-4.295819E-2</v>
      </c>
      <c r="S5443">
        <v>3.032715</v>
      </c>
      <c r="T5443">
        <v>-8.3250519999999995E-2</v>
      </c>
      <c r="U5443">
        <v>0.71337890000000004</v>
      </c>
      <c r="V5443">
        <v>4.103043E-2</v>
      </c>
      <c r="W5443">
        <v>5.0862260000000001E-3</v>
      </c>
      <c r="X5443">
        <v>0.99914499999999995</v>
      </c>
      <c r="Y5443">
        <v>-0.23077120000000001</v>
      </c>
      <c r="Z5443">
        <v>3.1764190000000002E-3</v>
      </c>
      <c r="AA5443">
        <v>0.9730029</v>
      </c>
      <c r="AB5443">
        <v>29</v>
      </c>
      <c r="AC5443">
        <v>41.960900000000002</v>
      </c>
      <c r="AD5443">
        <v>-1.159529</v>
      </c>
      <c r="AE5443">
        <v>9.9365000000000006</v>
      </c>
      <c r="AF5443">
        <v>-10.0101308784525</v>
      </c>
      <c r="AG5443">
        <v>-1.159529</v>
      </c>
      <c r="AH5443">
        <v>41.911362893012303</v>
      </c>
      <c r="AI5443">
        <v>91.541419953456796</v>
      </c>
      <c r="AJ5443">
        <v>103.43290054446</v>
      </c>
      <c r="AK5443">
        <v>43.105795054207697</v>
      </c>
      <c r="AL5443">
        <v>89.708579474167905</v>
      </c>
      <c r="AM5443">
        <v>87.648439095244498</v>
      </c>
      <c r="AN5443">
        <v>1.0000000484529501</v>
      </c>
    </row>
    <row r="5444" spans="1:40" x14ac:dyDescent="0.25">
      <c r="A5444" t="str">
        <f>"20190312161125367"</f>
        <v>20190312161125367</v>
      </c>
      <c r="B5444" t="str">
        <f>"1552378285362832"</f>
        <v>1552378285362832</v>
      </c>
      <c r="C5444" t="s">
        <v>40</v>
      </c>
      <c r="D5444">
        <v>5.6532349999999996</v>
      </c>
      <c r="E5444">
        <v>0.39454280000000003</v>
      </c>
      <c r="F5444" t="s">
        <v>43</v>
      </c>
      <c r="G5444">
        <v>-310.8535</v>
      </c>
      <c r="H5444">
        <v>-0.05</v>
      </c>
      <c r="I5444">
        <v>27.130710000000001</v>
      </c>
      <c r="J5444">
        <v>-352.56169999999997</v>
      </c>
      <c r="K5444">
        <v>1.109534</v>
      </c>
      <c r="L5444">
        <v>17.255400000000002</v>
      </c>
      <c r="M5444">
        <v>0.99996819999999997</v>
      </c>
      <c r="N5444">
        <v>0</v>
      </c>
      <c r="O5444">
        <v>-1.7243950000000001E-3</v>
      </c>
      <c r="P5444">
        <v>0.99903830000000005</v>
      </c>
      <c r="Q5444">
        <v>-2.4564690000000002E-3</v>
      </c>
      <c r="R5444">
        <v>-4.378133E-2</v>
      </c>
      <c r="S5444">
        <v>3.0332029999999999</v>
      </c>
      <c r="T5444">
        <v>-8.3733440000000006E-2</v>
      </c>
      <c r="U5444">
        <v>0.71310419999999997</v>
      </c>
      <c r="V5444">
        <v>4.2056650000000001E-2</v>
      </c>
      <c r="W5444">
        <v>5.3475279999999998E-3</v>
      </c>
      <c r="X5444">
        <v>0.99910089999999996</v>
      </c>
      <c r="Y5444">
        <v>-0.2304543</v>
      </c>
      <c r="Z5444">
        <v>3.1845210000000001E-3</v>
      </c>
      <c r="AA5444">
        <v>0.973078</v>
      </c>
      <c r="AB5444">
        <v>29</v>
      </c>
      <c r="AC5444">
        <v>41.708199999999898</v>
      </c>
      <c r="AD5444">
        <v>-1.1595340000000001</v>
      </c>
      <c r="AE5444">
        <v>9.87530999999999</v>
      </c>
      <c r="AF5444">
        <v>-9.9399441407027993</v>
      </c>
      <c r="AG5444">
        <v>-1.1595340000000001</v>
      </c>
      <c r="AH5444">
        <v>41.660618289836997</v>
      </c>
      <c r="AI5444">
        <v>91.550786069933295</v>
      </c>
      <c r="AJ5444">
        <v>103.41950028527199</v>
      </c>
      <c r="AK5444">
        <v>42.845701358583803</v>
      </c>
      <c r="AL5444">
        <v>89.693607749320705</v>
      </c>
      <c r="AM5444">
        <v>87.589586008129302</v>
      </c>
      <c r="AN5444">
        <v>0.99999998312287097</v>
      </c>
    </row>
    <row r="5445" spans="1:40" x14ac:dyDescent="0.25">
      <c r="A5445" t="str">
        <f>"20190312161125391"</f>
        <v>20190312161125391</v>
      </c>
      <c r="B5445" t="str">
        <f>"1552378285382352"</f>
        <v>1552378285382352</v>
      </c>
      <c r="C5445" t="s">
        <v>40</v>
      </c>
      <c r="D5445">
        <v>5.1360000000000001</v>
      </c>
      <c r="E5445">
        <v>0.39652169999999998</v>
      </c>
      <c r="F5445" t="s">
        <v>43</v>
      </c>
      <c r="G5445">
        <v>-310.64019999999999</v>
      </c>
      <c r="H5445">
        <v>-0.05</v>
      </c>
      <c r="I5445">
        <v>27.089970000000001</v>
      </c>
      <c r="J5445">
        <v>-352.25199999999899</v>
      </c>
      <c r="K5445">
        <v>1.10954</v>
      </c>
      <c r="L5445">
        <v>17.255099999999999</v>
      </c>
      <c r="M5445">
        <v>0.99996850000000004</v>
      </c>
      <c r="N5445">
        <v>0</v>
      </c>
      <c r="O5445">
        <v>-1.511152E-3</v>
      </c>
      <c r="P5445">
        <v>0.99900979999999995</v>
      </c>
      <c r="Q5445">
        <v>-2.4206470000000002E-3</v>
      </c>
      <c r="R5445">
        <v>-4.4428130000000003E-2</v>
      </c>
      <c r="S5445">
        <v>3.0338750000000001</v>
      </c>
      <c r="T5445">
        <v>-8.3915950000000003E-2</v>
      </c>
      <c r="U5445">
        <v>0.711731</v>
      </c>
      <c r="V5445">
        <v>4.2916469999999998E-2</v>
      </c>
      <c r="W5445">
        <v>5.3904440000000003E-3</v>
      </c>
      <c r="X5445">
        <v>0.99906410000000001</v>
      </c>
      <c r="Y5445">
        <v>-0.22978129999999999</v>
      </c>
      <c r="Z5445">
        <v>3.175935E-3</v>
      </c>
      <c r="AA5445">
        <v>0.97323709999999997</v>
      </c>
      <c r="AB5445">
        <v>29</v>
      </c>
      <c r="AC5445">
        <v>41.611799999999903</v>
      </c>
      <c r="AD5445">
        <v>-1.15954</v>
      </c>
      <c r="AE5445">
        <v>9.8348700000000004</v>
      </c>
      <c r="AF5445">
        <v>-9.8904688435398302</v>
      </c>
      <c r="AG5445">
        <v>-1.15954</v>
      </c>
      <c r="AH5445">
        <v>41.566321591503097</v>
      </c>
      <c r="AI5445">
        <v>91.554537821050403</v>
      </c>
      <c r="AJ5445">
        <v>103.384312725824</v>
      </c>
      <c r="AK5445">
        <v>42.742543181295297</v>
      </c>
      <c r="AL5445">
        <v>89.691148806612006</v>
      </c>
      <c r="AM5445">
        <v>87.540276139070997</v>
      </c>
      <c r="AN5445">
        <v>0.99999997809629304</v>
      </c>
    </row>
    <row r="5446" spans="1:40" x14ac:dyDescent="0.25">
      <c r="A5446" t="str">
        <f>"20190312161125413"</f>
        <v>20190312161125413</v>
      </c>
      <c r="B5446" t="str">
        <f>"1552378285402848"</f>
        <v>1552378285402848</v>
      </c>
      <c r="C5446" t="s">
        <v>40</v>
      </c>
      <c r="D5446">
        <v>5.3659520000000001</v>
      </c>
      <c r="E5446">
        <v>0.5116906</v>
      </c>
      <c r="F5446" t="s">
        <v>43</v>
      </c>
      <c r="G5446">
        <v>-312.2645</v>
      </c>
      <c r="H5446">
        <v>-0.05</v>
      </c>
      <c r="I5446">
        <v>26.403400000000001</v>
      </c>
      <c r="J5446">
        <v>-351.95460000000003</v>
      </c>
      <c r="K5446">
        <v>1.10954</v>
      </c>
      <c r="L5446">
        <v>17.254850000000001</v>
      </c>
      <c r="M5446">
        <v>0.99996859999999999</v>
      </c>
      <c r="N5446">
        <v>0</v>
      </c>
      <c r="O5446">
        <v>-1.3061349999999999E-3</v>
      </c>
      <c r="P5446">
        <v>0.99902519999999995</v>
      </c>
      <c r="Q5446">
        <v>-1.9003379999999999E-3</v>
      </c>
      <c r="R5446">
        <v>-4.4104900000000002E-2</v>
      </c>
      <c r="S5446">
        <v>3.03363</v>
      </c>
      <c r="T5446">
        <v>-8.7967749999999997E-2</v>
      </c>
      <c r="U5446">
        <v>0.69403079999999995</v>
      </c>
      <c r="V5446">
        <v>4.2797849999999998E-2</v>
      </c>
      <c r="W5446">
        <v>5.9173400000000001E-3</v>
      </c>
      <c r="X5446">
        <v>0.99906620000000002</v>
      </c>
      <c r="Y5446">
        <v>-0.22420010000000001</v>
      </c>
      <c r="Z5446">
        <v>3.245904E-3</v>
      </c>
      <c r="AA5446">
        <v>0.97453769999999995</v>
      </c>
      <c r="AB5446">
        <v>29</v>
      </c>
      <c r="AC5446">
        <v>39.690100000000001</v>
      </c>
      <c r="AD5446">
        <v>-1.15954</v>
      </c>
      <c r="AE5446">
        <v>9.1485500000000002</v>
      </c>
      <c r="AF5446">
        <v>-9.1929340145032601</v>
      </c>
      <c r="AG5446">
        <v>-1.15954</v>
      </c>
      <c r="AH5446">
        <v>39.645985531792398</v>
      </c>
      <c r="AI5446">
        <v>91.631997656489801</v>
      </c>
      <c r="AJ5446">
        <v>103.054783685258</v>
      </c>
      <c r="AK5446">
        <v>40.714355424023402</v>
      </c>
      <c r="AL5446">
        <v>89.660959403770406</v>
      </c>
      <c r="AM5446">
        <v>87.547071585477994</v>
      </c>
      <c r="AN5446">
        <v>0.99999997142986796</v>
      </c>
    </row>
    <row r="5447" spans="1:40" x14ac:dyDescent="0.25">
      <c r="A5447" t="str">
        <f>"20190312161125435"</f>
        <v>20190312161125435</v>
      </c>
      <c r="B5447" t="str">
        <f>"1552378285422368"</f>
        <v>1552378285422368</v>
      </c>
      <c r="C5447" t="s">
        <v>40</v>
      </c>
      <c r="D5447">
        <v>5.385872</v>
      </c>
      <c r="E5447">
        <v>0.52353570000000005</v>
      </c>
      <c r="F5447" t="s">
        <v>43</v>
      </c>
      <c r="G5447">
        <v>-241.02950000000001</v>
      </c>
      <c r="H5447">
        <v>-0.05</v>
      </c>
      <c r="I5447">
        <v>8.9270479999999992</v>
      </c>
      <c r="J5447">
        <v>-351.67849999999999</v>
      </c>
      <c r="K5447">
        <v>1.1095389999999901</v>
      </c>
      <c r="L5447">
        <v>17.2547</v>
      </c>
      <c r="M5447">
        <v>0.99996879999999999</v>
      </c>
      <c r="N5447">
        <v>0</v>
      </c>
      <c r="O5447">
        <v>-1.1162559999999999E-3</v>
      </c>
      <c r="P5447">
        <v>0.99904800000000005</v>
      </c>
      <c r="Q5447">
        <v>-1.616632E-3</v>
      </c>
      <c r="R5447">
        <v>-4.3593989999999999E-2</v>
      </c>
      <c r="S5447">
        <v>2.9929809999999999</v>
      </c>
      <c r="T5447">
        <v>-3.1286719999999997E-2</v>
      </c>
      <c r="U5447">
        <v>-0.22470090000000001</v>
      </c>
      <c r="V5447">
        <v>4.247654E-2</v>
      </c>
      <c r="W5447">
        <v>6.2077290000000004E-3</v>
      </c>
      <c r="X5447">
        <v>0.99907820000000003</v>
      </c>
      <c r="Y5447">
        <v>7.3748129999999995E-2</v>
      </c>
      <c r="Z5447">
        <v>-3.7325370000000001E-4</v>
      </c>
      <c r="AA5447">
        <v>0.99727679999999996</v>
      </c>
      <c r="AB5447">
        <v>29</v>
      </c>
      <c r="AC5447">
        <v>110.64899999999901</v>
      </c>
      <c r="AD5447">
        <v>-1.1595390000000001</v>
      </c>
      <c r="AE5447">
        <v>-8.3276520000000005</v>
      </c>
      <c r="AF5447">
        <v>8.2032346312343698</v>
      </c>
      <c r="AG5447">
        <v>-1.1595390000000001</v>
      </c>
      <c r="AH5447">
        <v>110.646144575566</v>
      </c>
      <c r="AI5447">
        <v>90.598777652172402</v>
      </c>
      <c r="AJ5447">
        <v>85.759884876160996</v>
      </c>
      <c r="AK5447">
        <v>110.95587816129699</v>
      </c>
      <c r="AL5447">
        <v>89.644321050993597</v>
      </c>
      <c r="AM5447">
        <v>87.565494204998799</v>
      </c>
      <c r="AN5447">
        <v>1.00000002103247</v>
      </c>
    </row>
    <row r="5448" spans="1:40" x14ac:dyDescent="0.25">
      <c r="A5448" t="str">
        <f>"20190312161125458"</f>
        <v>20190312161125458</v>
      </c>
      <c r="B5448" t="str">
        <f>"1552378285452624"</f>
        <v>1552378285452624</v>
      </c>
      <c r="C5448" t="s">
        <v>40</v>
      </c>
      <c r="D5448">
        <v>5.2638319999999998</v>
      </c>
      <c r="E5448">
        <v>0.53011799999999998</v>
      </c>
      <c r="F5448" t="s">
        <v>89</v>
      </c>
      <c r="G5448">
        <v>-241.07</v>
      </c>
      <c r="H5448">
        <v>0.88655280000000003</v>
      </c>
      <c r="I5448">
        <v>5.4735649999999998</v>
      </c>
      <c r="J5448">
        <v>-351.37830000000002</v>
      </c>
      <c r="K5448">
        <v>1.1095389999999901</v>
      </c>
      <c r="L5448">
        <v>17.254579999999901</v>
      </c>
      <c r="M5448">
        <v>0.999969</v>
      </c>
      <c r="N5448">
        <v>0</v>
      </c>
      <c r="O5448">
        <v>-9.0980930000000002E-4</v>
      </c>
      <c r="P5448">
        <v>0.99906689999999998</v>
      </c>
      <c r="Q5448">
        <v>-1.924565E-3</v>
      </c>
      <c r="R5448">
        <v>-4.3150550000000003E-2</v>
      </c>
      <c r="S5448">
        <v>2.988953</v>
      </c>
      <c r="T5448">
        <v>-6.0259099999999998E-3</v>
      </c>
      <c r="U5448">
        <v>-0.31835940000000001</v>
      </c>
      <c r="V5448">
        <v>4.2239409999999998E-2</v>
      </c>
      <c r="W5448">
        <v>5.9073260000000001E-3</v>
      </c>
      <c r="X5448">
        <v>0.99909009999999998</v>
      </c>
      <c r="Y5448">
        <v>0.105008</v>
      </c>
      <c r="Z5448">
        <v>-1.037235E-4</v>
      </c>
      <c r="AA5448">
        <v>0.99447140000000001</v>
      </c>
      <c r="AB5448">
        <v>29</v>
      </c>
      <c r="AC5448">
        <v>110.3083</v>
      </c>
      <c r="AD5448">
        <v>-0.222986199999999</v>
      </c>
      <c r="AE5448">
        <v>-11.781014999999901</v>
      </c>
      <c r="AF5448">
        <v>11.6806003437479</v>
      </c>
      <c r="AG5448">
        <v>-0.222986199999999</v>
      </c>
      <c r="AH5448">
        <v>110.318527427815</v>
      </c>
      <c r="AI5448">
        <v>90.115167713879202</v>
      </c>
      <c r="AJ5448">
        <v>83.956002810860298</v>
      </c>
      <c r="AK5448">
        <v>110.935403010389</v>
      </c>
      <c r="AL5448">
        <v>89.661533199020695</v>
      </c>
      <c r="AM5448">
        <v>87.5790976891426</v>
      </c>
      <c r="AN5448">
        <v>1.00000004608781</v>
      </c>
    </row>
    <row r="5449" spans="1:40" x14ac:dyDescent="0.25">
      <c r="A5449" t="str">
        <f>"20190312161125479"</f>
        <v>20190312161125479</v>
      </c>
      <c r="B5449" t="str">
        <f>"1552378285472695"</f>
        <v>1552378285472695</v>
      </c>
      <c r="C5449" t="s">
        <v>40</v>
      </c>
      <c r="D5449">
        <v>5.265746</v>
      </c>
      <c r="E5449">
        <v>0.53204319999999905</v>
      </c>
      <c r="F5449" t="s">
        <v>101</v>
      </c>
      <c r="G5449">
        <v>-252.1508</v>
      </c>
      <c r="H5449">
        <v>1.2397530000000001</v>
      </c>
      <c r="I5449">
        <v>4.9678589999999998</v>
      </c>
      <c r="J5449">
        <v>-351.08640000000003</v>
      </c>
      <c r="K5449">
        <v>1.1095410000000001</v>
      </c>
      <c r="L5449">
        <v>17.254519999999999</v>
      </c>
      <c r="M5449">
        <v>0.99996910000000006</v>
      </c>
      <c r="N5449">
        <v>0</v>
      </c>
      <c r="O5449">
        <v>-7.0932380000000004E-4</v>
      </c>
      <c r="P5449">
        <v>0.99907919999999995</v>
      </c>
      <c r="Q5449">
        <v>-1.8717709999999999E-3</v>
      </c>
      <c r="R5449">
        <v>-4.2864270000000003E-2</v>
      </c>
      <c r="S5449">
        <v>2.986847</v>
      </c>
      <c r="T5449">
        <v>3.919601E-3</v>
      </c>
      <c r="U5449">
        <v>-0.36984250000000002</v>
      </c>
      <c r="V5449">
        <v>4.2153500000000003E-2</v>
      </c>
      <c r="W5449">
        <v>5.9674069999999897E-3</v>
      </c>
      <c r="X5449">
        <v>0.99909340000000002</v>
      </c>
      <c r="Y5449">
        <v>0.1221812</v>
      </c>
      <c r="Z5449" s="1">
        <v>7.8936109999999999E-5</v>
      </c>
      <c r="AA5449">
        <v>0.99250780000000005</v>
      </c>
      <c r="AB5449">
        <v>29</v>
      </c>
      <c r="AC5449">
        <v>98.935599999999994</v>
      </c>
      <c r="AD5449">
        <v>0.13021199999999999</v>
      </c>
      <c r="AE5449">
        <v>-12.286661</v>
      </c>
      <c r="AF5449">
        <v>12.2164575423337</v>
      </c>
      <c r="AG5449">
        <v>0.13021199999999999</v>
      </c>
      <c r="AH5449">
        <v>98.944121810050703</v>
      </c>
      <c r="AI5449">
        <v>89.925166149224395</v>
      </c>
      <c r="AJ5449">
        <v>82.961412507027504</v>
      </c>
      <c r="AK5449">
        <v>99.6955266339004</v>
      </c>
      <c r="AL5449">
        <v>89.658090760560697</v>
      </c>
      <c r="AM5449">
        <v>87.584023650306307</v>
      </c>
      <c r="AN5449">
        <v>1.00000007471605</v>
      </c>
    </row>
    <row r="5450" spans="1:40" x14ac:dyDescent="0.25">
      <c r="A5450" t="str">
        <f>"20190312161125502"</f>
        <v>20190312161125502</v>
      </c>
      <c r="B5450" t="str">
        <f>"1552378285492215"</f>
        <v>1552378285492215</v>
      </c>
      <c r="C5450" t="s">
        <v>40</v>
      </c>
      <c r="D5450">
        <v>5.2543129999999998</v>
      </c>
      <c r="E5450">
        <v>0.53334199999999998</v>
      </c>
      <c r="F5450" t="s">
        <v>101</v>
      </c>
      <c r="G5450">
        <v>-252.77979999999999</v>
      </c>
      <c r="H5450">
        <v>1.321796</v>
      </c>
      <c r="I5450">
        <v>4.6003860000000003</v>
      </c>
      <c r="J5450">
        <v>-350.77530000000002</v>
      </c>
      <c r="K5450">
        <v>1.10954</v>
      </c>
      <c r="L5450">
        <v>17.254519999999999</v>
      </c>
      <c r="M5450">
        <v>0.9999692</v>
      </c>
      <c r="N5450">
        <v>0</v>
      </c>
      <c r="O5450">
        <v>-4.9572720000000002E-4</v>
      </c>
      <c r="P5450">
        <v>0.99910960000000004</v>
      </c>
      <c r="Q5450">
        <v>-1.5869629999999901E-3</v>
      </c>
      <c r="R5450">
        <v>-4.2161730000000001E-2</v>
      </c>
      <c r="S5450">
        <v>2.9862980000000001</v>
      </c>
      <c r="T5450">
        <v>6.4477919999999999E-3</v>
      </c>
      <c r="U5450">
        <v>-0.3843994</v>
      </c>
      <c r="V5450">
        <v>4.166429E-2</v>
      </c>
      <c r="W5450">
        <v>6.2601799999999997E-3</v>
      </c>
      <c r="X5450">
        <v>0.99911209999999995</v>
      </c>
      <c r="Y5450">
        <v>0.12717580000000001</v>
      </c>
      <c r="Z5450">
        <v>1.356641E-4</v>
      </c>
      <c r="AA5450">
        <v>0.99188019999999999</v>
      </c>
      <c r="AB5450">
        <v>30</v>
      </c>
      <c r="AC5450">
        <v>97.995500000000007</v>
      </c>
      <c r="AD5450">
        <v>0.212256</v>
      </c>
      <c r="AE5450">
        <v>-12.654134000000001</v>
      </c>
      <c r="AF5450">
        <v>12.6054937517189</v>
      </c>
      <c r="AG5450">
        <v>0.212256</v>
      </c>
      <c r="AH5450">
        <v>98.001308920952397</v>
      </c>
      <c r="AI5450">
        <v>89.876920181433306</v>
      </c>
      <c r="AJ5450">
        <v>82.67053049786</v>
      </c>
      <c r="AK5450">
        <v>98.808906863471094</v>
      </c>
      <c r="AL5450">
        <v>89.641315780555402</v>
      </c>
      <c r="AM5450">
        <v>87.612074118303696</v>
      </c>
      <c r="AN5450">
        <v>1.00000004564062</v>
      </c>
    </row>
    <row r="5451" spans="1:40" x14ac:dyDescent="0.25">
      <c r="A5451" t="str">
        <f>"20190312161125523"</f>
        <v>20190312161125523</v>
      </c>
      <c r="B5451" t="str">
        <f>"1552378285512715"</f>
        <v>1552378285512715</v>
      </c>
      <c r="C5451" t="s">
        <v>40</v>
      </c>
      <c r="D5451">
        <v>5.3910159999999996</v>
      </c>
      <c r="E5451">
        <v>0.53407069999999901</v>
      </c>
      <c r="F5451" t="s">
        <v>101</v>
      </c>
      <c r="G5451">
        <v>-254.53870000000001</v>
      </c>
      <c r="H5451">
        <v>1.359327</v>
      </c>
      <c r="I5451">
        <v>4.6004009999999997</v>
      </c>
      <c r="J5451">
        <v>-350.50020000000001</v>
      </c>
      <c r="K5451">
        <v>1.109534</v>
      </c>
      <c r="L5451">
        <v>17.25461</v>
      </c>
      <c r="M5451">
        <v>0.99996929999999995</v>
      </c>
      <c r="N5451">
        <v>0</v>
      </c>
      <c r="O5451">
        <v>-3.0680319999999998E-4</v>
      </c>
      <c r="P5451">
        <v>0.99915419999999999</v>
      </c>
      <c r="Q5451">
        <v>-1.3722539999999901E-3</v>
      </c>
      <c r="R5451">
        <v>-4.110229E-2</v>
      </c>
      <c r="S5451">
        <v>2.986084</v>
      </c>
      <c r="T5451">
        <v>7.7506299999999997E-3</v>
      </c>
      <c r="U5451">
        <v>-0.39263920000000002</v>
      </c>
      <c r="V5451">
        <v>4.0793389999999999E-2</v>
      </c>
      <c r="W5451">
        <v>6.481428E-3</v>
      </c>
      <c r="X5451">
        <v>0.9991466</v>
      </c>
      <c r="Y5451">
        <v>0.13006289999999901</v>
      </c>
      <c r="Z5451">
        <v>1.672779E-4</v>
      </c>
      <c r="AA5451">
        <v>0.99150570000000005</v>
      </c>
      <c r="AB5451">
        <v>30</v>
      </c>
      <c r="AC5451">
        <v>95.961500000000001</v>
      </c>
      <c r="AD5451">
        <v>0.24979299999999999</v>
      </c>
      <c r="AE5451">
        <v>-12.6542089999999</v>
      </c>
      <c r="AF5451">
        <v>12.624682125251701</v>
      </c>
      <c r="AG5451">
        <v>0.24979299999999999</v>
      </c>
      <c r="AH5451">
        <v>95.964738821418194</v>
      </c>
      <c r="AI5451">
        <v>89.852135381775597</v>
      </c>
      <c r="AJ5451">
        <v>82.505467087393896</v>
      </c>
      <c r="AK5451">
        <v>96.791921627631197</v>
      </c>
      <c r="AL5451">
        <v>89.628638937303705</v>
      </c>
      <c r="AM5451">
        <v>87.662013096028005</v>
      </c>
      <c r="AN5451">
        <v>1.0000000189340801</v>
      </c>
    </row>
    <row r="5452" spans="1:40" x14ac:dyDescent="0.25">
      <c r="A5452" t="str">
        <f>"20190312161125545"</f>
        <v>20190312161125545</v>
      </c>
      <c r="B5452" t="str">
        <f>"1552378285542967"</f>
        <v>1552378285542967</v>
      </c>
      <c r="C5452" t="s">
        <v>40</v>
      </c>
      <c r="D5452">
        <v>5.3610530000000001</v>
      </c>
      <c r="E5452">
        <v>0.53505879999999995</v>
      </c>
      <c r="F5452" t="s">
        <v>101</v>
      </c>
      <c r="G5452">
        <v>-254.89510000000001</v>
      </c>
      <c r="H5452">
        <v>1.360204</v>
      </c>
      <c r="I5452">
        <v>4.6003990000000003</v>
      </c>
      <c r="J5452">
        <v>-350.20479999999998</v>
      </c>
      <c r="K5452">
        <v>1.109531</v>
      </c>
      <c r="L5452">
        <v>17.254729999999999</v>
      </c>
      <c r="M5452">
        <v>0.9999692</v>
      </c>
      <c r="N5452">
        <v>0</v>
      </c>
      <c r="O5452">
        <v>-1.040528E-4</v>
      </c>
      <c r="P5452">
        <v>0.99919029999999998</v>
      </c>
      <c r="Q5452">
        <v>-1.2878799999999999E-3</v>
      </c>
      <c r="R5452">
        <v>-4.0214189999999997E-2</v>
      </c>
      <c r="S5452">
        <v>2.9862980000000001</v>
      </c>
      <c r="T5452">
        <v>7.8299049999999999E-3</v>
      </c>
      <c r="U5452">
        <v>-0.3952637</v>
      </c>
      <c r="V5452">
        <v>4.0107780000000003E-2</v>
      </c>
      <c r="W5452">
        <v>6.5739319999999898E-3</v>
      </c>
      <c r="X5452">
        <v>0.9991738</v>
      </c>
      <c r="Y5452">
        <v>0.13111110000000001</v>
      </c>
      <c r="Z5452">
        <v>1.7086479999999901E-4</v>
      </c>
      <c r="AA5452">
        <v>0.99136760000000002</v>
      </c>
      <c r="AB5452">
        <v>30</v>
      </c>
      <c r="AC5452">
        <v>95.309699999999907</v>
      </c>
      <c r="AD5452">
        <v>0.25067299999999998</v>
      </c>
      <c r="AE5452">
        <v>-12.654331000000001</v>
      </c>
      <c r="AF5452">
        <v>12.6443274345968</v>
      </c>
      <c r="AG5452">
        <v>0.25067299999999998</v>
      </c>
      <c r="AH5452">
        <v>95.310368366981905</v>
      </c>
      <c r="AI5452">
        <v>89.850617225049305</v>
      </c>
      <c r="AJ5452">
        <v>82.442997073998995</v>
      </c>
      <c r="AK5452">
        <v>96.145765229031397</v>
      </c>
      <c r="AL5452">
        <v>89.623338753645498</v>
      </c>
      <c r="AM5452">
        <v>87.701327380958404</v>
      </c>
      <c r="AN5452">
        <v>1.00000006660245</v>
      </c>
    </row>
    <row r="5453" spans="1:40" x14ac:dyDescent="0.25">
      <c r="A5453" t="str">
        <f>"20190312161125569"</f>
        <v>20190312161125569</v>
      </c>
      <c r="B5453" t="str">
        <f>"1552378285562487"</f>
        <v>1552378285562487</v>
      </c>
      <c r="C5453" t="s">
        <v>40</v>
      </c>
      <c r="D5453">
        <v>5.2798080000000001</v>
      </c>
      <c r="E5453">
        <v>0.53550369999999903</v>
      </c>
      <c r="F5453" t="s">
        <v>101</v>
      </c>
      <c r="G5453">
        <v>-255.8519</v>
      </c>
      <c r="H5453">
        <v>1.4078409999999999</v>
      </c>
      <c r="I5453">
        <v>4.6004139999999998</v>
      </c>
      <c r="J5453">
        <v>-349.88650000000001</v>
      </c>
      <c r="K5453">
        <v>1.109531</v>
      </c>
      <c r="L5453">
        <v>17.254909999999999</v>
      </c>
      <c r="M5453">
        <v>0.99996910000000006</v>
      </c>
      <c r="N5453">
        <v>0</v>
      </c>
      <c r="O5453">
        <v>1.144308E-4</v>
      </c>
      <c r="P5453">
        <v>0.99919800000000003</v>
      </c>
      <c r="Q5453">
        <v>-1.3853890000000001E-3</v>
      </c>
      <c r="R5453">
        <v>-4.0020220000000002E-2</v>
      </c>
      <c r="S5453">
        <v>2.9862980000000001</v>
      </c>
      <c r="T5453">
        <v>9.4416139999999992E-3</v>
      </c>
      <c r="U5453">
        <v>-0.4005127</v>
      </c>
      <c r="V5453">
        <v>4.013216E-2</v>
      </c>
      <c r="W5453">
        <v>6.4842880000000004E-3</v>
      </c>
      <c r="X5453">
        <v>0.99917330000000004</v>
      </c>
      <c r="Y5453">
        <v>0.1330394</v>
      </c>
      <c r="Z5453">
        <v>2.097341E-4</v>
      </c>
      <c r="AA5453">
        <v>0.99111070000000001</v>
      </c>
      <c r="AB5453">
        <v>30</v>
      </c>
      <c r="AC5453">
        <v>94.034599999999998</v>
      </c>
      <c r="AD5453">
        <v>0.29830999999999902</v>
      </c>
      <c r="AE5453">
        <v>-12.6544959999999</v>
      </c>
      <c r="AF5453">
        <v>12.665131512445001</v>
      </c>
      <c r="AG5453">
        <v>0.29830999999999902</v>
      </c>
      <c r="AH5453">
        <v>94.032221790581701</v>
      </c>
      <c r="AI5453">
        <v>89.819860766765203</v>
      </c>
      <c r="AJ5453">
        <v>82.329037684502197</v>
      </c>
      <c r="AK5453">
        <v>94.881785817704596</v>
      </c>
      <c r="AL5453">
        <v>89.628475045980494</v>
      </c>
      <c r="AM5453">
        <v>87.699930455429595</v>
      </c>
      <c r="AN5453">
        <v>0.99999995984501</v>
      </c>
    </row>
    <row r="5454" spans="1:40" x14ac:dyDescent="0.25">
      <c r="A5454" t="str">
        <f>"20190312161125592"</f>
        <v>20190312161125592</v>
      </c>
      <c r="B5454" t="str">
        <f>"1552378285582983"</f>
        <v>1552378285582983</v>
      </c>
      <c r="C5454" t="s">
        <v>40</v>
      </c>
      <c r="D5454">
        <v>5.320341</v>
      </c>
      <c r="E5454">
        <v>0.53585669999999996</v>
      </c>
      <c r="F5454" t="s">
        <v>101</v>
      </c>
      <c r="G5454">
        <v>-256.24669999999998</v>
      </c>
      <c r="H5454">
        <v>1.4154500000000001</v>
      </c>
      <c r="I5454">
        <v>4.6004160000000001</v>
      </c>
      <c r="J5454">
        <v>-349.58350000000002</v>
      </c>
      <c r="K5454">
        <v>1.1095360000000001</v>
      </c>
      <c r="L5454">
        <v>17.255189999999999</v>
      </c>
      <c r="M5454">
        <v>0.9999692</v>
      </c>
      <c r="N5454">
        <v>0</v>
      </c>
      <c r="O5454">
        <v>3.2206759999999998E-4</v>
      </c>
      <c r="P5454">
        <v>0.99919429999999998</v>
      </c>
      <c r="Q5454">
        <v>-1.5703099999999999E-3</v>
      </c>
      <c r="R5454">
        <v>-4.0110930000000003E-2</v>
      </c>
      <c r="S5454">
        <v>2.9862669999999998</v>
      </c>
      <c r="T5454">
        <v>9.7560879999999996E-3</v>
      </c>
      <c r="U5454">
        <v>-0.40356449999999999</v>
      </c>
      <c r="V5454">
        <v>4.0430340000000002E-2</v>
      </c>
      <c r="W5454">
        <v>6.3073859999999999E-3</v>
      </c>
      <c r="X5454">
        <v>0.99916240000000001</v>
      </c>
      <c r="Y5454">
        <v>0.1342412</v>
      </c>
      <c r="Z5454">
        <v>2.1933670000000001E-4</v>
      </c>
      <c r="AA5454">
        <v>0.99094870000000002</v>
      </c>
      <c r="AB5454">
        <v>30</v>
      </c>
      <c r="AC5454">
        <v>93.336799999999997</v>
      </c>
      <c r="AD5454">
        <v>0.30591399999999902</v>
      </c>
      <c r="AE5454">
        <v>-12.654774</v>
      </c>
      <c r="AF5454">
        <v>12.6847012252579</v>
      </c>
      <c r="AG5454">
        <v>0.30591399999999902</v>
      </c>
      <c r="AH5454">
        <v>93.331734850840604</v>
      </c>
      <c r="AI5454">
        <v>89.813912722357102</v>
      </c>
      <c r="AJ5454">
        <v>82.260361445774393</v>
      </c>
      <c r="AK5454">
        <v>94.190275287935506</v>
      </c>
      <c r="AL5454">
        <v>89.6386109876197</v>
      </c>
      <c r="AM5454">
        <v>87.6828343588178</v>
      </c>
      <c r="AN5454">
        <v>0.99999994854221297</v>
      </c>
    </row>
    <row r="5455" spans="1:40" x14ac:dyDescent="0.25">
      <c r="A5455" t="str">
        <f>"20190312161125614"</f>
        <v>20190312161125614</v>
      </c>
      <c r="B5455" t="str">
        <f>"1552378285602503"</f>
        <v>1552378285602503</v>
      </c>
      <c r="C5455" t="s">
        <v>40</v>
      </c>
      <c r="D5455">
        <v>5.2698019999999897</v>
      </c>
      <c r="E5455">
        <v>0.54843589999999998</v>
      </c>
      <c r="F5455" t="s">
        <v>101</v>
      </c>
      <c r="G5455">
        <v>-256.66410000000002</v>
      </c>
      <c r="H5455">
        <v>1.405969</v>
      </c>
      <c r="I5455">
        <v>4.6004139999999998</v>
      </c>
      <c r="J5455">
        <v>-349.28949999999998</v>
      </c>
      <c r="K5455">
        <v>1.1095360000000001</v>
      </c>
      <c r="L5455">
        <v>17.255459999999999</v>
      </c>
      <c r="M5455">
        <v>0.99996890000000005</v>
      </c>
      <c r="N5455">
        <v>0</v>
      </c>
      <c r="O5455">
        <v>5.2380370000000001E-4</v>
      </c>
      <c r="P5455">
        <v>0.99918289999999998</v>
      </c>
      <c r="Q5455">
        <v>-8.801697E-4</v>
      </c>
      <c r="R5455">
        <v>-4.0410160000000001E-2</v>
      </c>
      <c r="S5455">
        <v>2.986084</v>
      </c>
      <c r="T5455">
        <v>9.5261340000000003E-3</v>
      </c>
      <c r="U5455">
        <v>-0.40667720000000002</v>
      </c>
      <c r="V5455">
        <v>4.0930809999999998E-2</v>
      </c>
      <c r="W5455">
        <v>7.0049819999999999E-3</v>
      </c>
      <c r="X5455">
        <v>0.99913739999999995</v>
      </c>
      <c r="Y5455">
        <v>0.13546340000000001</v>
      </c>
      <c r="Z5455">
        <v>2.1674619999999999E-4</v>
      </c>
      <c r="AA5455">
        <v>0.9907823</v>
      </c>
      <c r="AB5455">
        <v>30</v>
      </c>
      <c r="AC5455">
        <v>92.6253999999999</v>
      </c>
      <c r="AD5455">
        <v>0.296432999999999</v>
      </c>
      <c r="AE5455">
        <v>-12.655046</v>
      </c>
      <c r="AF5455">
        <v>12.7034355665395</v>
      </c>
      <c r="AG5455">
        <v>0.296432999999999</v>
      </c>
      <c r="AH5455">
        <v>92.617827100577202</v>
      </c>
      <c r="AI5455">
        <v>89.818320492419303</v>
      </c>
      <c r="AJ5455">
        <v>82.190059004676897</v>
      </c>
      <c r="AK5455">
        <v>93.485437606876104</v>
      </c>
      <c r="AL5455">
        <v>89.598640802329498</v>
      </c>
      <c r="AM5455">
        <v>87.654124366926297</v>
      </c>
      <c r="AN5455">
        <v>0.99999997252941697</v>
      </c>
    </row>
    <row r="5456" spans="1:40" x14ac:dyDescent="0.25">
      <c r="A5456" t="str">
        <f>"20190312161125636"</f>
        <v>20190312161125636</v>
      </c>
      <c r="B5456" t="str">
        <f>"1552378285632760"</f>
        <v>1552378285632760</v>
      </c>
      <c r="C5456" t="s">
        <v>40</v>
      </c>
      <c r="D5456">
        <v>5.3144039999999997</v>
      </c>
      <c r="E5456">
        <v>0.54503880000000005</v>
      </c>
      <c r="F5456" t="s">
        <v>41</v>
      </c>
      <c r="G5456">
        <v>-325.60899999999998</v>
      </c>
      <c r="H5456" s="1">
        <v>-3.3618289999999999E-6</v>
      </c>
      <c r="I5456">
        <v>13.259399999999999</v>
      </c>
      <c r="J5456">
        <v>-348.99360000000001</v>
      </c>
      <c r="K5456">
        <v>1.1095429999999999</v>
      </c>
      <c r="L5456">
        <v>17.25583</v>
      </c>
      <c r="M5456">
        <v>0.99996879999999999</v>
      </c>
      <c r="N5456">
        <v>0</v>
      </c>
      <c r="O5456">
        <v>7.2667249999999999E-4</v>
      </c>
      <c r="P5456">
        <v>0.99919020000000003</v>
      </c>
      <c r="Q5456">
        <v>-3.970833E-4</v>
      </c>
      <c r="R5456">
        <v>-4.0237460000000003E-2</v>
      </c>
      <c r="S5456">
        <v>2.9819640000000001</v>
      </c>
      <c r="T5456">
        <v>-0.139718799999999</v>
      </c>
      <c r="U5456">
        <v>-0.50320429999999905</v>
      </c>
      <c r="V5456">
        <v>4.0960780000000002E-2</v>
      </c>
      <c r="W5456">
        <v>7.4961130000000004E-3</v>
      </c>
      <c r="X5456">
        <v>0.99913260000000004</v>
      </c>
      <c r="Y5456">
        <v>0.16693440000000001</v>
      </c>
      <c r="Z5456">
        <v>-3.9150790000000001E-3</v>
      </c>
      <c r="AA5456">
        <v>0.98596019999999895</v>
      </c>
      <c r="AB5456">
        <v>30</v>
      </c>
      <c r="AC5456">
        <v>23.384599999999899</v>
      </c>
      <c r="AD5456">
        <v>-1.109546361829</v>
      </c>
      <c r="AE5456">
        <v>-3.9964300000000001</v>
      </c>
      <c r="AF5456">
        <v>4.0046626142796802</v>
      </c>
      <c r="AG5456">
        <v>-1.109546361829</v>
      </c>
      <c r="AH5456">
        <v>23.330656145448199</v>
      </c>
      <c r="AI5456">
        <v>92.683601368542597</v>
      </c>
      <c r="AJ5456">
        <v>80.260203363967307</v>
      </c>
      <c r="AK5456">
        <v>23.697846567998401</v>
      </c>
      <c r="AL5456">
        <v>89.570500324775495</v>
      </c>
      <c r="AM5456">
        <v>87.652397345848001</v>
      </c>
      <c r="AN5456">
        <v>0.99999996479553699</v>
      </c>
    </row>
    <row r="5457" spans="1:40" x14ac:dyDescent="0.25">
      <c r="A5457" t="str">
        <f>"20190312161125658"</f>
        <v>20190312161125658</v>
      </c>
      <c r="B5457" t="str">
        <f>"1552378285652279"</f>
        <v>1552378285652279</v>
      </c>
      <c r="C5457" t="s">
        <v>40</v>
      </c>
      <c r="D5457">
        <v>5.3163390000000001</v>
      </c>
      <c r="E5457">
        <v>0.54327579999999998</v>
      </c>
      <c r="F5457" t="s">
        <v>43</v>
      </c>
      <c r="G5457">
        <v>-292.43729999999999</v>
      </c>
      <c r="H5457">
        <v>-0.05</v>
      </c>
      <c r="I5457">
        <v>8.1925349999999995</v>
      </c>
      <c r="J5457">
        <v>-348.6823</v>
      </c>
      <c r="K5457">
        <v>1.1095429999999999</v>
      </c>
      <c r="L5457">
        <v>17.25629</v>
      </c>
      <c r="M5457">
        <v>0.99996839999999998</v>
      </c>
      <c r="N5457">
        <v>0</v>
      </c>
      <c r="O5457">
        <v>9.3985110000000005E-4</v>
      </c>
      <c r="P5457">
        <v>0.99917829999999996</v>
      </c>
      <c r="Q5457">
        <v>-1.012171E-4</v>
      </c>
      <c r="R5457">
        <v>-4.0528380000000003E-2</v>
      </c>
      <c r="S5457">
        <v>2.9831539999999999</v>
      </c>
      <c r="T5457">
        <v>-6.1161989999999999E-2</v>
      </c>
      <c r="U5457">
        <v>-0.47805789999999998</v>
      </c>
      <c r="V5457">
        <v>4.1464679999999997E-2</v>
      </c>
      <c r="W5457">
        <v>7.8003269999999897E-3</v>
      </c>
      <c r="X5457">
        <v>0.99910949999999998</v>
      </c>
      <c r="Y5457">
        <v>0.15912870000000001</v>
      </c>
      <c r="Z5457">
        <v>-1.6399029999999901E-3</v>
      </c>
      <c r="AA5457">
        <v>0.98725649999999998</v>
      </c>
      <c r="AB5457">
        <v>30</v>
      </c>
      <c r="AC5457">
        <v>56.244999999999997</v>
      </c>
      <c r="AD5457">
        <v>-1.159543</v>
      </c>
      <c r="AE5457">
        <v>-9.0637550000000005</v>
      </c>
      <c r="AF5457">
        <v>9.1128394943994095</v>
      </c>
      <c r="AG5457">
        <v>-1.159543</v>
      </c>
      <c r="AH5457">
        <v>56.213169508149598</v>
      </c>
      <c r="AI5457">
        <v>91.166482962619895</v>
      </c>
      <c r="AJ5457">
        <v>80.791763830057803</v>
      </c>
      <c r="AK5457">
        <v>56.958834343510702</v>
      </c>
      <c r="AL5457">
        <v>89.553069642311101</v>
      </c>
      <c r="AM5457">
        <v>87.623495138466296</v>
      </c>
      <c r="AN5457">
        <v>0.99999997888952896</v>
      </c>
    </row>
    <row r="5458" spans="1:40" x14ac:dyDescent="0.25">
      <c r="A5458" t="str">
        <f>"20190312161125681"</f>
        <v>20190312161125681</v>
      </c>
      <c r="B5458" t="str">
        <f>"1552378285672305"</f>
        <v>1552378285672305</v>
      </c>
      <c r="C5458" t="s">
        <v>40</v>
      </c>
      <c r="D5458">
        <v>5.3318209999999997</v>
      </c>
      <c r="E5458">
        <v>0.54487580000000002</v>
      </c>
      <c r="F5458" t="s">
        <v>101</v>
      </c>
      <c r="G5458">
        <v>-267.58170000000001</v>
      </c>
      <c r="H5458">
        <v>0.2011598</v>
      </c>
      <c r="I5458">
        <v>4.6000139999999998</v>
      </c>
      <c r="J5458">
        <v>-348.38909999999998</v>
      </c>
      <c r="K5458">
        <v>1.1095469999999901</v>
      </c>
      <c r="L5458">
        <v>17.256740000000001</v>
      </c>
      <c r="M5458">
        <v>0.99996830000000003</v>
      </c>
      <c r="N5458">
        <v>0</v>
      </c>
      <c r="O5458">
        <v>1.140634E-3</v>
      </c>
      <c r="P5458">
        <v>0.99916400000000005</v>
      </c>
      <c r="Q5458">
        <v>-1.110759E-3</v>
      </c>
      <c r="R5458">
        <v>-4.0869889999999999E-2</v>
      </c>
      <c r="S5458">
        <v>2.9835820000000002</v>
      </c>
      <c r="T5458">
        <v>-3.3418059999999999E-2</v>
      </c>
      <c r="U5458">
        <v>-0.46560669999999998</v>
      </c>
      <c r="V5458">
        <v>4.2007000000000003E-2</v>
      </c>
      <c r="W5458">
        <v>6.798994E-3</v>
      </c>
      <c r="X5458">
        <v>0.99909420000000004</v>
      </c>
      <c r="Y5458">
        <v>0.15530739999999901</v>
      </c>
      <c r="Z5458">
        <v>-8.7721279999999999E-4</v>
      </c>
      <c r="AA5458">
        <v>0.98786580000000002</v>
      </c>
      <c r="AB5458">
        <v>30</v>
      </c>
      <c r="AC5458">
        <v>80.807399999999902</v>
      </c>
      <c r="AD5458">
        <v>-0.90838719999999895</v>
      </c>
      <c r="AE5458">
        <v>-12.6567259999999</v>
      </c>
      <c r="AF5458">
        <v>12.747320004866801</v>
      </c>
      <c r="AG5458">
        <v>-0.90838719999999895</v>
      </c>
      <c r="AH5458">
        <v>80.782946289223901</v>
      </c>
      <c r="AI5458">
        <v>90.636378290455596</v>
      </c>
      <c r="AJ5458">
        <v>81.032827868535904</v>
      </c>
      <c r="AK5458">
        <v>81.787552511242396</v>
      </c>
      <c r="AL5458">
        <v>89.610443344317403</v>
      </c>
      <c r="AM5458">
        <v>87.5924121468301</v>
      </c>
      <c r="AN5458">
        <v>1.00000001742102</v>
      </c>
    </row>
    <row r="5459" spans="1:40" x14ac:dyDescent="0.25">
      <c r="A5459" t="str">
        <f>"20190312161125702"</f>
        <v>20190312161125702</v>
      </c>
      <c r="B5459" t="str">
        <f>"1552378285692805"</f>
        <v>1552378285692805</v>
      </c>
      <c r="C5459" t="s">
        <v>40</v>
      </c>
      <c r="D5459">
        <v>5.1606949999999996</v>
      </c>
      <c r="E5459">
        <v>0.54541530000000005</v>
      </c>
      <c r="F5459" t="s">
        <v>43</v>
      </c>
      <c r="G5459">
        <v>-278.83659999999998</v>
      </c>
      <c r="H5459">
        <v>-0.05</v>
      </c>
      <c r="I5459">
        <v>6.0891270000000004</v>
      </c>
      <c r="J5459">
        <v>-348.09089999999998</v>
      </c>
      <c r="K5459">
        <v>1.1095469999999901</v>
      </c>
      <c r="L5459">
        <v>17.257290000000001</v>
      </c>
      <c r="M5459">
        <v>0.99996779999999996</v>
      </c>
      <c r="N5459">
        <v>0</v>
      </c>
      <c r="O5459">
        <v>1.344991E-3</v>
      </c>
      <c r="P5459">
        <v>0.99915279999999995</v>
      </c>
      <c r="Q5459">
        <v>-1.018164E-3</v>
      </c>
      <c r="R5459">
        <v>-4.1145180000000003E-2</v>
      </c>
      <c r="S5459">
        <v>2.9828800000000002</v>
      </c>
      <c r="T5459">
        <v>-4.9729229999999999E-2</v>
      </c>
      <c r="U5459">
        <v>-0.4789429</v>
      </c>
      <c r="V5459">
        <v>4.2486370000000002E-2</v>
      </c>
      <c r="W5459">
        <v>6.8996049999999996E-3</v>
      </c>
      <c r="X5459">
        <v>0.99907319999999999</v>
      </c>
      <c r="Y5459">
        <v>0.15983939999999999</v>
      </c>
      <c r="Z5459">
        <v>-1.3460970000000001E-3</v>
      </c>
      <c r="AA5459">
        <v>0.98714210000000002</v>
      </c>
      <c r="AB5459">
        <v>30</v>
      </c>
      <c r="AC5459">
        <v>69.254300000000001</v>
      </c>
      <c r="AD5459">
        <v>-1.1595470000000001</v>
      </c>
      <c r="AE5459">
        <v>-11.168163</v>
      </c>
      <c r="AF5459">
        <v>11.2582261023522</v>
      </c>
      <c r="AG5459">
        <v>-1.1595470000000001</v>
      </c>
      <c r="AH5459">
        <v>69.220302524240793</v>
      </c>
      <c r="AI5459">
        <v>90.947258292603607</v>
      </c>
      <c r="AJ5459">
        <v>80.762108495570999</v>
      </c>
      <c r="AK5459">
        <v>70.139450281309706</v>
      </c>
      <c r="AL5459">
        <v>89.604678607767696</v>
      </c>
      <c r="AM5459">
        <v>87.564919313266202</v>
      </c>
      <c r="AN5459">
        <v>0.99999997757158599</v>
      </c>
    </row>
    <row r="5460" spans="1:40" x14ac:dyDescent="0.25">
      <c r="A5460" t="str">
        <f>"20190312161125725"</f>
        <v>20190312161125725</v>
      </c>
      <c r="B5460" t="str">
        <f>"1552378285712321"</f>
        <v>1552378285712321</v>
      </c>
      <c r="C5460" t="s">
        <v>40</v>
      </c>
      <c r="D5460">
        <v>5.3112820000000003</v>
      </c>
      <c r="E5460">
        <v>0.54666409999999999</v>
      </c>
      <c r="F5460" t="s">
        <v>43</v>
      </c>
      <c r="G5460">
        <v>-275.90249999999997</v>
      </c>
      <c r="H5460">
        <v>-0.05</v>
      </c>
      <c r="I5460">
        <v>5.5395659999999998</v>
      </c>
      <c r="J5460">
        <v>-347.79410000000001</v>
      </c>
      <c r="K5460">
        <v>1.10954</v>
      </c>
      <c r="L5460">
        <v>17.257899999999999</v>
      </c>
      <c r="M5460">
        <v>0.99996750000000001</v>
      </c>
      <c r="N5460">
        <v>0</v>
      </c>
      <c r="O5460">
        <v>1.547978E-3</v>
      </c>
      <c r="P5460">
        <v>0.99915690000000001</v>
      </c>
      <c r="Q5460">
        <v>-3.3642909999999999E-4</v>
      </c>
      <c r="R5460">
        <v>-4.1055099999999997E-2</v>
      </c>
      <c r="S5460">
        <v>2.9825439999999999</v>
      </c>
      <c r="T5460">
        <v>-4.7907949999999998E-2</v>
      </c>
      <c r="U5460">
        <v>-0.48413089999999998</v>
      </c>
      <c r="V5460">
        <v>4.259893E-2</v>
      </c>
      <c r="W5460">
        <v>7.5895700000000003E-3</v>
      </c>
      <c r="X5460">
        <v>0.99906340000000005</v>
      </c>
      <c r="Y5460">
        <v>0.16173170000000001</v>
      </c>
      <c r="Z5460">
        <v>-1.3151059999999999E-3</v>
      </c>
      <c r="AA5460">
        <v>0.98683390000000004</v>
      </c>
      <c r="AB5460">
        <v>30</v>
      </c>
      <c r="AC5460">
        <v>71.891599999999997</v>
      </c>
      <c r="AD5460">
        <v>-1.15954</v>
      </c>
      <c r="AE5460">
        <v>-11.718334</v>
      </c>
      <c r="AF5460">
        <v>11.826613053352</v>
      </c>
      <c r="AG5460">
        <v>-1.15954</v>
      </c>
      <c r="AH5460">
        <v>71.855164614489695</v>
      </c>
      <c r="AI5460">
        <v>90.912240782752093</v>
      </c>
      <c r="AJ5460">
        <v>80.653507197086199</v>
      </c>
      <c r="AK5460">
        <v>72.831160852348901</v>
      </c>
      <c r="AL5460">
        <v>89.565145484508506</v>
      </c>
      <c r="AM5460">
        <v>87.558451880880796</v>
      </c>
      <c r="AN5460">
        <v>0.99999997381474404</v>
      </c>
    </row>
    <row r="5461" spans="1:40" x14ac:dyDescent="0.25">
      <c r="A5461" t="str">
        <f>"20190312161125747"</f>
        <v>20190312161125747</v>
      </c>
      <c r="B5461" t="str">
        <f>"1552378285742578"</f>
        <v>1552378285742578</v>
      </c>
      <c r="C5461" t="s">
        <v>40</v>
      </c>
      <c r="D5461">
        <v>5.2841420000000001</v>
      </c>
      <c r="E5461">
        <v>0.54782969999999998</v>
      </c>
      <c r="F5461" t="s">
        <v>43</v>
      </c>
      <c r="G5461">
        <v>-275.39479999999998</v>
      </c>
      <c r="H5461">
        <v>-0.05</v>
      </c>
      <c r="I5461">
        <v>5.2720949999999904</v>
      </c>
      <c r="J5461">
        <v>-347.48660000000001</v>
      </c>
      <c r="K5461">
        <v>1.1095379999999999</v>
      </c>
      <c r="L5461">
        <v>17.258610000000001</v>
      </c>
      <c r="M5461">
        <v>0.9999671</v>
      </c>
      <c r="N5461">
        <v>0</v>
      </c>
      <c r="O5461">
        <v>1.758354E-3</v>
      </c>
      <c r="P5461">
        <v>0.99916519999999998</v>
      </c>
      <c r="Q5461" s="1">
        <v>5.1365230000000003E-5</v>
      </c>
      <c r="R5461">
        <v>-4.0851279999999997E-2</v>
      </c>
      <c r="S5461">
        <v>2.9822389999999999</v>
      </c>
      <c r="T5461">
        <v>-4.7763229999999997E-2</v>
      </c>
      <c r="U5461">
        <v>-0.49371340000000002</v>
      </c>
      <c r="V5461">
        <v>4.2605369999999997E-2</v>
      </c>
      <c r="W5461">
        <v>7.985809E-3</v>
      </c>
      <c r="X5461">
        <v>0.99905999999999995</v>
      </c>
      <c r="Y5461">
        <v>0.16504189999999999</v>
      </c>
      <c r="Z5461">
        <v>-1.3406030000000001E-3</v>
      </c>
      <c r="AA5461">
        <v>0.98628559999999998</v>
      </c>
      <c r="AB5461">
        <v>30</v>
      </c>
      <c r="AC5461">
        <v>72.091800000000006</v>
      </c>
      <c r="AD5461">
        <v>-1.159538</v>
      </c>
      <c r="AE5461">
        <v>-11.986514999999899</v>
      </c>
      <c r="AF5461">
        <v>12.1102147021549</v>
      </c>
      <c r="AG5461">
        <v>-1.159538</v>
      </c>
      <c r="AH5461">
        <v>72.052472735409694</v>
      </c>
      <c r="AI5461">
        <v>90.909228591303602</v>
      </c>
      <c r="AJ5461">
        <v>80.459188662128099</v>
      </c>
      <c r="AK5461">
        <v>73.072297458015399</v>
      </c>
      <c r="AL5461">
        <v>89.542441956136997</v>
      </c>
      <c r="AM5461">
        <v>87.558074920229402</v>
      </c>
      <c r="AN5461">
        <v>0.99999993714910795</v>
      </c>
    </row>
    <row r="5462" spans="1:40" x14ac:dyDescent="0.25">
      <c r="A5462" t="str">
        <f>"20190312161125759"</f>
        <v>20190312161125759</v>
      </c>
      <c r="B5462" t="str">
        <f>"1552378285752338"</f>
        <v>1552378285752338</v>
      </c>
      <c r="C5462" t="s">
        <v>40</v>
      </c>
      <c r="D5462">
        <v>5.219036</v>
      </c>
      <c r="E5462">
        <v>0.54801140000000004</v>
      </c>
      <c r="F5462" t="s">
        <v>43</v>
      </c>
      <c r="G5462">
        <v>-278.84719999999999</v>
      </c>
      <c r="H5462">
        <v>-0.05</v>
      </c>
      <c r="I5462">
        <v>5.6954190000000002</v>
      </c>
      <c r="J5462">
        <v>-347.30779999999999</v>
      </c>
      <c r="K5462">
        <v>1.1095379999999999</v>
      </c>
      <c r="L5462">
        <v>17.259</v>
      </c>
      <c r="M5462">
        <v>0.99996689999999999</v>
      </c>
      <c r="N5462">
        <v>0</v>
      </c>
      <c r="O5462">
        <v>1.8805860000000001E-3</v>
      </c>
      <c r="P5462">
        <v>0.99917739999999999</v>
      </c>
      <c r="Q5462" s="1">
        <v>-9.7989099999999993E-5</v>
      </c>
      <c r="R5462">
        <v>-4.0556450000000001E-2</v>
      </c>
      <c r="S5462">
        <v>2.9819640000000001</v>
      </c>
      <c r="T5462">
        <v>-5.0374870000000002E-2</v>
      </c>
      <c r="U5462">
        <v>-0.50234990000000002</v>
      </c>
      <c r="V5462">
        <v>4.2432520000000001E-2</v>
      </c>
      <c r="W5462">
        <v>7.8413330000000007E-3</v>
      </c>
      <c r="X5462">
        <v>0.99906859999999997</v>
      </c>
      <c r="Y5462">
        <v>0.16795270000000001</v>
      </c>
      <c r="Z5462">
        <v>-1.440151E-3</v>
      </c>
      <c r="AA5462">
        <v>0.98579399999999995</v>
      </c>
      <c r="AB5462">
        <v>31</v>
      </c>
      <c r="AC5462">
        <v>68.460599999999999</v>
      </c>
      <c r="AD5462">
        <v>-1.159538</v>
      </c>
      <c r="AE5462">
        <v>-11.563580999999999</v>
      </c>
      <c r="AF5462">
        <v>11.6890503814833</v>
      </c>
      <c r="AG5462">
        <v>-1.159538</v>
      </c>
      <c r="AH5462">
        <v>68.419648690592993</v>
      </c>
      <c r="AI5462">
        <v>90.957059930315197</v>
      </c>
      <c r="AJ5462">
        <v>80.304991247739196</v>
      </c>
      <c r="AK5462">
        <v>69.420650775820803</v>
      </c>
      <c r="AL5462">
        <v>89.550720125500604</v>
      </c>
      <c r="AM5462">
        <v>87.567990801226898</v>
      </c>
      <c r="AN5462">
        <v>1.0000000363813599</v>
      </c>
    </row>
    <row r="5463" spans="1:40" x14ac:dyDescent="0.25">
      <c r="A5463" t="str">
        <f>"20190312161125781"</f>
        <v>20190312161125781</v>
      </c>
      <c r="B5463" t="str">
        <f>"1552378285772833"</f>
        <v>1552378285772833</v>
      </c>
      <c r="C5463" t="s">
        <v>40</v>
      </c>
      <c r="D5463">
        <v>5.4277049999999996</v>
      </c>
      <c r="E5463">
        <v>0.54799469999999995</v>
      </c>
      <c r="F5463" t="s">
        <v>43</v>
      </c>
      <c r="G5463">
        <v>-276.44880000000001</v>
      </c>
      <c r="H5463">
        <v>-0.05</v>
      </c>
      <c r="I5463">
        <v>5.3071440000000001</v>
      </c>
      <c r="J5463">
        <v>-347.01350000000002</v>
      </c>
      <c r="K5463">
        <v>1.109537</v>
      </c>
      <c r="L5463">
        <v>17.25977</v>
      </c>
      <c r="M5463">
        <v>0.99996640000000003</v>
      </c>
      <c r="N5463">
        <v>0</v>
      </c>
      <c r="O5463">
        <v>2.082024E-3</v>
      </c>
      <c r="P5463">
        <v>0.99920500000000001</v>
      </c>
      <c r="Q5463">
        <v>-3.8590279999999998E-4</v>
      </c>
      <c r="R5463">
        <v>-3.9867010000000001E-2</v>
      </c>
      <c r="S5463">
        <v>2.9820859999999998</v>
      </c>
      <c r="T5463">
        <v>-4.8798920000000003E-2</v>
      </c>
      <c r="U5463">
        <v>-0.50299070000000001</v>
      </c>
      <c r="V5463">
        <v>4.1944500000000003E-2</v>
      </c>
      <c r="W5463">
        <v>7.5614380000000002E-3</v>
      </c>
      <c r="X5463">
        <v>0.99909130000000002</v>
      </c>
      <c r="Y5463">
        <v>0.168352</v>
      </c>
      <c r="Z5463">
        <v>-1.401539E-3</v>
      </c>
      <c r="AA5463">
        <v>0.98572590000000004</v>
      </c>
      <c r="AB5463">
        <v>31</v>
      </c>
      <c r="AC5463">
        <v>70.564700000000002</v>
      </c>
      <c r="AD5463">
        <v>-1.159537</v>
      </c>
      <c r="AE5463">
        <v>-11.952626</v>
      </c>
      <c r="AF5463">
        <v>12.0963469657039</v>
      </c>
      <c r="AG5463">
        <v>-1.159537</v>
      </c>
      <c r="AH5463">
        <v>70.521149669847603</v>
      </c>
      <c r="AI5463">
        <v>90.928438535990196</v>
      </c>
      <c r="AJ5463">
        <v>80.266891124759994</v>
      </c>
      <c r="AK5463">
        <v>71.560454768860396</v>
      </c>
      <c r="AL5463">
        <v>89.566757374487807</v>
      </c>
      <c r="AM5463">
        <v>87.595983094267694</v>
      </c>
      <c r="AN5463">
        <v>0.99999997108028305</v>
      </c>
    </row>
    <row r="5464" spans="1:40" x14ac:dyDescent="0.25">
      <c r="A5464" t="str">
        <f>"20190312161125805"</f>
        <v>20190312161125805</v>
      </c>
      <c r="B5464" t="str">
        <f>"1552378285792354"</f>
        <v>1552378285792354</v>
      </c>
      <c r="C5464" t="s">
        <v>40</v>
      </c>
      <c r="D5464">
        <v>5.5497189999999996</v>
      </c>
      <c r="E5464">
        <v>0.5480758</v>
      </c>
      <c r="F5464" t="s">
        <v>43</v>
      </c>
      <c r="G5464">
        <v>-273.63080000000002</v>
      </c>
      <c r="H5464">
        <v>-0.05</v>
      </c>
      <c r="I5464">
        <v>4.9353179999999996</v>
      </c>
      <c r="J5464">
        <v>-346.70569999999998</v>
      </c>
      <c r="K5464">
        <v>1.109534</v>
      </c>
      <c r="L5464">
        <v>17.260649999999998</v>
      </c>
      <c r="M5464">
        <v>0.99996589999999996</v>
      </c>
      <c r="N5464">
        <v>0</v>
      </c>
      <c r="O5464">
        <v>2.2921629999999998E-3</v>
      </c>
      <c r="P5464">
        <v>0.99924360000000001</v>
      </c>
      <c r="Q5464">
        <v>-3.4425969999999999E-4</v>
      </c>
      <c r="R5464">
        <v>-3.8891469999999997E-2</v>
      </c>
      <c r="S5464">
        <v>2.9823909999999998</v>
      </c>
      <c r="T5464">
        <v>-4.7125460000000001E-2</v>
      </c>
      <c r="U5464">
        <v>-0.50088500000000002</v>
      </c>
      <c r="V5464">
        <v>4.1178840000000001E-2</v>
      </c>
      <c r="W5464">
        <v>7.6119809999999899E-3</v>
      </c>
      <c r="X5464">
        <v>0.99912279999999998</v>
      </c>
      <c r="Y5464">
        <v>0.167867299999999</v>
      </c>
      <c r="Z5464">
        <v>-1.3529200000000001E-3</v>
      </c>
      <c r="AA5464">
        <v>0.98580869999999998</v>
      </c>
      <c r="AB5464">
        <v>31</v>
      </c>
      <c r="AC5464">
        <v>73.0748999999999</v>
      </c>
      <c r="AD5464">
        <v>-1.1595340000000001</v>
      </c>
      <c r="AE5464">
        <v>-12.325332</v>
      </c>
      <c r="AF5464">
        <v>12.489746726004601</v>
      </c>
      <c r="AG5464">
        <v>-1.1595340000000001</v>
      </c>
      <c r="AH5464">
        <v>73.028576561656706</v>
      </c>
      <c r="AI5464">
        <v>90.896638643634006</v>
      </c>
      <c r="AJ5464">
        <v>80.294859528324693</v>
      </c>
      <c r="AK5464">
        <v>74.097984365289307</v>
      </c>
      <c r="AL5464">
        <v>89.563861404963205</v>
      </c>
      <c r="AM5464">
        <v>87.639890551758498</v>
      </c>
      <c r="AN5464">
        <v>1.0000000042991599</v>
      </c>
    </row>
    <row r="5465" spans="1:40" x14ac:dyDescent="0.25">
      <c r="A5465" t="str">
        <f>"20190312161125826"</f>
        <v>20190312161125826</v>
      </c>
      <c r="B5465" t="str">
        <f>"1552378285812849"</f>
        <v>1552378285812849</v>
      </c>
      <c r="C5465" t="s">
        <v>40</v>
      </c>
      <c r="D5465">
        <v>5.6167499999999997</v>
      </c>
      <c r="E5465">
        <v>0.49714449999999999</v>
      </c>
      <c r="F5465" t="s">
        <v>43</v>
      </c>
      <c r="G5465">
        <v>-276.35879999999997</v>
      </c>
      <c r="H5465">
        <v>-0.05</v>
      </c>
      <c r="I5465">
        <v>5.5026859999999997</v>
      </c>
      <c r="J5465">
        <v>-346.40140000000002</v>
      </c>
      <c r="K5465">
        <v>1.1095330000000001</v>
      </c>
      <c r="L5465">
        <v>17.261569999999999</v>
      </c>
      <c r="M5465">
        <v>0.99996529999999995</v>
      </c>
      <c r="N5465">
        <v>0</v>
      </c>
      <c r="O5465">
        <v>2.4999179999999998E-3</v>
      </c>
      <c r="P5465">
        <v>0.99928530000000004</v>
      </c>
      <c r="Q5465">
        <v>1.7664119999999999E-4</v>
      </c>
      <c r="R5465">
        <v>-3.7795710000000003E-2</v>
      </c>
      <c r="S5465">
        <v>2.9828800000000002</v>
      </c>
      <c r="T5465">
        <v>-4.9167040000000002E-2</v>
      </c>
      <c r="U5465">
        <v>-0.4985657</v>
      </c>
      <c r="V5465">
        <v>4.0290800000000002E-2</v>
      </c>
      <c r="W5465">
        <v>8.1407760000000006E-3</v>
      </c>
      <c r="X5465">
        <v>0.99915480000000001</v>
      </c>
      <c r="Y5465">
        <v>0.16729840000000001</v>
      </c>
      <c r="Z5465">
        <v>-1.410131E-3</v>
      </c>
      <c r="AA5465">
        <v>0.98590529999999998</v>
      </c>
      <c r="AB5465">
        <v>31</v>
      </c>
      <c r="AC5465">
        <v>70.042599999999993</v>
      </c>
      <c r="AD5465">
        <v>-1.1595329999999999</v>
      </c>
      <c r="AE5465">
        <v>-11.758884</v>
      </c>
      <c r="AF5465">
        <v>11.9307734496394</v>
      </c>
      <c r="AG5465">
        <v>-1.1595329999999999</v>
      </c>
      <c r="AH5465">
        <v>69.994327297030495</v>
      </c>
      <c r="AI5465">
        <v>90.935589066100704</v>
      </c>
      <c r="AJ5465">
        <v>80.326706450182201</v>
      </c>
      <c r="AK5465">
        <v>71.013334843876606</v>
      </c>
      <c r="AL5465">
        <v>89.533562726046796</v>
      </c>
      <c r="AM5465">
        <v>87.690805533314801</v>
      </c>
      <c r="AN5465">
        <v>0.99999996758078002</v>
      </c>
    </row>
    <row r="5466" spans="1:40" x14ac:dyDescent="0.25">
      <c r="A5466" t="str">
        <f>"20190312161125848"</f>
        <v>20190312161125848</v>
      </c>
      <c r="B5466" t="str">
        <f>"1552378285843106"</f>
        <v>1552378285843106</v>
      </c>
      <c r="C5466" t="s">
        <v>40</v>
      </c>
      <c r="D5466">
        <v>5.2115720000000003</v>
      </c>
      <c r="E5466">
        <v>0.48298829999999998</v>
      </c>
      <c r="F5466" t="s">
        <v>102</v>
      </c>
      <c r="G5466">
        <v>-279.68</v>
      </c>
      <c r="H5466">
        <v>0.34289309999999901</v>
      </c>
      <c r="I5466">
        <v>15.26867</v>
      </c>
      <c r="J5466">
        <v>-346.09789999999998</v>
      </c>
      <c r="K5466">
        <v>1.1095389999999901</v>
      </c>
      <c r="L5466">
        <v>17.262509999999999</v>
      </c>
      <c r="M5466">
        <v>0.99996479999999999</v>
      </c>
      <c r="N5466">
        <v>0</v>
      </c>
      <c r="O5466">
        <v>2.7067789999999999E-3</v>
      </c>
      <c r="P5466">
        <v>0.99932330000000003</v>
      </c>
      <c r="Q5466">
        <v>1.066653E-4</v>
      </c>
      <c r="R5466">
        <v>-3.679176E-2</v>
      </c>
      <c r="S5466">
        <v>2.9987490000000001</v>
      </c>
      <c r="T5466">
        <v>-3.4456010000000002E-2</v>
      </c>
      <c r="U5466">
        <v>-8.9569090000000004E-2</v>
      </c>
      <c r="V5466">
        <v>3.9493359999999998E-2</v>
      </c>
      <c r="W5466">
        <v>8.0792659999999999E-3</v>
      </c>
      <c r="X5466">
        <v>0.99918720000000005</v>
      </c>
      <c r="Y5466">
        <v>3.2558740000000003E-2</v>
      </c>
      <c r="Z5466">
        <v>-2.1809880000000001E-4</v>
      </c>
      <c r="AA5466">
        <v>0.99946979999999996</v>
      </c>
      <c r="AB5466">
        <v>31</v>
      </c>
      <c r="AC5466">
        <v>66.417899999999904</v>
      </c>
      <c r="AD5466">
        <v>-0.76664589999999899</v>
      </c>
      <c r="AE5466">
        <v>-1.9938399999999901</v>
      </c>
      <c r="AF5466">
        <v>2.1733276388784701</v>
      </c>
      <c r="AG5466">
        <v>-0.76664589999999899</v>
      </c>
      <c r="AH5466">
        <v>66.403420304454798</v>
      </c>
      <c r="AI5466">
        <v>90.661112308334495</v>
      </c>
      <c r="AJ5466">
        <v>88.125426876129396</v>
      </c>
      <c r="AK5466">
        <v>66.443399424562699</v>
      </c>
      <c r="AL5466">
        <v>89.537087134514493</v>
      </c>
      <c r="AM5466">
        <v>87.736534670463698</v>
      </c>
      <c r="AN5466">
        <v>1.0000000303335099</v>
      </c>
    </row>
    <row r="5467" spans="1:40" x14ac:dyDescent="0.25">
      <c r="A5467" t="str">
        <f>"20190312161125872"</f>
        <v>20190312161125872</v>
      </c>
      <c r="B5467" t="str">
        <f>"1552378285862629"</f>
        <v>1552378285862629</v>
      </c>
      <c r="C5467" t="s">
        <v>40</v>
      </c>
      <c r="D5467">
        <v>5.1951739999999997</v>
      </c>
      <c r="E5467">
        <v>0.47990500000000003</v>
      </c>
      <c r="F5467" t="s">
        <v>102</v>
      </c>
      <c r="G5467">
        <v>-279.68</v>
      </c>
      <c r="H5467">
        <v>0.30104259999999999</v>
      </c>
      <c r="I5467">
        <v>17.844999999999999</v>
      </c>
      <c r="J5467">
        <v>-345.7688</v>
      </c>
      <c r="K5467">
        <v>1.1095360000000001</v>
      </c>
      <c r="L5467">
        <v>17.263639999999999</v>
      </c>
      <c r="M5467">
        <v>0.99996390000000002</v>
      </c>
      <c r="N5467">
        <v>0</v>
      </c>
      <c r="O5467">
        <v>2.9315180000000001E-3</v>
      </c>
      <c r="P5467">
        <v>0.99935890000000005</v>
      </c>
      <c r="Q5467">
        <v>6.7679399999999999E-4</v>
      </c>
      <c r="R5467">
        <v>-3.5799520000000001E-2</v>
      </c>
      <c r="S5467">
        <v>3.0030209999999999</v>
      </c>
      <c r="T5467">
        <v>-3.6555289999999997E-2</v>
      </c>
      <c r="U5467">
        <v>2.633667E-2</v>
      </c>
      <c r="V5467">
        <v>3.872569E-2</v>
      </c>
      <c r="W5467">
        <v>8.6590820000000002E-3</v>
      </c>
      <c r="X5467">
        <v>0.9992124</v>
      </c>
      <c r="Y5467">
        <v>-5.8379699999999996E-3</v>
      </c>
      <c r="Z5467" s="1">
        <v>-1.535263E-7</v>
      </c>
      <c r="AA5467">
        <v>0.99998299999999996</v>
      </c>
      <c r="AB5467">
        <v>31</v>
      </c>
      <c r="AC5467">
        <v>66.088799999999907</v>
      </c>
      <c r="AD5467">
        <v>-0.80849340000000003</v>
      </c>
      <c r="AE5467">
        <v>0.58135999999999999</v>
      </c>
      <c r="AF5467">
        <v>-0.38755283774289001</v>
      </c>
      <c r="AG5467">
        <v>-0.80849340000000003</v>
      </c>
      <c r="AH5467">
        <v>66.080331702601498</v>
      </c>
      <c r="AI5467">
        <v>90.700967301362994</v>
      </c>
      <c r="AJ5467">
        <v>90.336028690825401</v>
      </c>
      <c r="AK5467">
        <v>66.086413858717705</v>
      </c>
      <c r="AL5467">
        <v>89.503864966418803</v>
      </c>
      <c r="AM5467">
        <v>87.780543281204601</v>
      </c>
      <c r="AN5467">
        <v>1.0000000395404001</v>
      </c>
    </row>
    <row r="5468" spans="1:40" x14ac:dyDescent="0.25">
      <c r="A5468" t="str">
        <f>"20190312161125885"</f>
        <v>20190312161125885</v>
      </c>
      <c r="B5468" t="str">
        <f>"1552378285872386"</f>
        <v>1552378285872386</v>
      </c>
      <c r="C5468" t="s">
        <v>40</v>
      </c>
      <c r="D5468">
        <v>5.2335279999999997</v>
      </c>
      <c r="E5468">
        <v>0.47900280000000001</v>
      </c>
      <c r="F5468" t="s">
        <v>102</v>
      </c>
      <c r="G5468">
        <v>-279.68</v>
      </c>
      <c r="H5468">
        <v>0.1959853</v>
      </c>
      <c r="I5468">
        <v>18.453379999999999</v>
      </c>
      <c r="J5468">
        <v>-345.59160000000003</v>
      </c>
      <c r="K5468">
        <v>1.1095379999999999</v>
      </c>
      <c r="L5468">
        <v>17.264250000000001</v>
      </c>
      <c r="M5468">
        <v>0.99996359999999995</v>
      </c>
      <c r="N5468">
        <v>0</v>
      </c>
      <c r="O5468">
        <v>3.052201E-3</v>
      </c>
      <c r="P5468">
        <v>0.99936400000000003</v>
      </c>
      <c r="Q5468">
        <v>6.5154679999999997E-4</v>
      </c>
      <c r="R5468">
        <v>-3.5657990000000001E-2</v>
      </c>
      <c r="S5468">
        <v>3.0039370000000001</v>
      </c>
      <c r="T5468">
        <v>-4.1523579999999997E-2</v>
      </c>
      <c r="U5468">
        <v>5.4077149999999997E-2</v>
      </c>
      <c r="V5468">
        <v>3.8704879999999997E-2</v>
      </c>
      <c r="W5468">
        <v>8.6385769999999997E-3</v>
      </c>
      <c r="X5468">
        <v>0.99921329999999997</v>
      </c>
      <c r="Y5468">
        <v>-1.494616E-2</v>
      </c>
      <c r="Z5468" s="1">
        <v>6.1101149999999994E-5</v>
      </c>
      <c r="AA5468">
        <v>0.99988829999999995</v>
      </c>
      <c r="AB5468">
        <v>31</v>
      </c>
      <c r="AC5468">
        <v>65.911600000000007</v>
      </c>
      <c r="AD5468">
        <v>-0.9135527</v>
      </c>
      <c r="AE5468">
        <v>1.18912999999999</v>
      </c>
      <c r="AF5468">
        <v>-0.98775293074232295</v>
      </c>
      <c r="AG5468">
        <v>-0.9135527</v>
      </c>
      <c r="AH5468">
        <v>65.902266368458399</v>
      </c>
      <c r="AI5468">
        <v>90.794107508840099</v>
      </c>
      <c r="AJ5468">
        <v>90.858693334416998</v>
      </c>
      <c r="AK5468">
        <v>65.915999172333798</v>
      </c>
      <c r="AL5468">
        <v>89.505039818836394</v>
      </c>
      <c r="AM5468">
        <v>87.781736753517805</v>
      </c>
      <c r="AN5468">
        <v>0.99999995582264301</v>
      </c>
    </row>
    <row r="5469" spans="1:40" x14ac:dyDescent="0.25">
      <c r="A5469" t="str">
        <f>"20190312161125904"</f>
        <v>20190312161125904</v>
      </c>
      <c r="B5469" t="str">
        <f>"1552378285892882"</f>
        <v>1552378285892882</v>
      </c>
      <c r="C5469" t="s">
        <v>40</v>
      </c>
      <c r="D5469">
        <v>5.2332010000000002</v>
      </c>
      <c r="E5469">
        <v>0.47779700000000003</v>
      </c>
      <c r="F5469" t="s">
        <v>102</v>
      </c>
      <c r="G5469">
        <v>-279.68</v>
      </c>
      <c r="H5469">
        <v>0.1828429</v>
      </c>
      <c r="I5469">
        <v>18.618120000000001</v>
      </c>
      <c r="J5469">
        <v>-345.31819999999999</v>
      </c>
      <c r="K5469">
        <v>1.1095410000000001</v>
      </c>
      <c r="L5469">
        <v>17.26529</v>
      </c>
      <c r="M5469">
        <v>0.99996300000000005</v>
      </c>
      <c r="N5469">
        <v>0</v>
      </c>
      <c r="O5469">
        <v>3.238678E-3</v>
      </c>
      <c r="P5469">
        <v>0.99936720000000001</v>
      </c>
      <c r="Q5469">
        <v>7.8868399999999902E-4</v>
      </c>
      <c r="R5469">
        <v>-3.5562089999999998E-2</v>
      </c>
      <c r="S5469">
        <v>3.0041199999999999</v>
      </c>
      <c r="T5469">
        <v>-4.2236799999999998E-2</v>
      </c>
      <c r="U5469">
        <v>6.1706539999999997E-2</v>
      </c>
      <c r="V5469">
        <v>3.8795299999999998E-2</v>
      </c>
      <c r="W5469">
        <v>8.7830530000000007E-3</v>
      </c>
      <c r="X5469">
        <v>0.9992086</v>
      </c>
      <c r="Y5469">
        <v>-1.729671E-2</v>
      </c>
      <c r="Z5469" s="1">
        <v>7.6045300000000002E-5</v>
      </c>
      <c r="AA5469">
        <v>0.99985040000000003</v>
      </c>
      <c r="AB5469">
        <v>31</v>
      </c>
      <c r="AC5469">
        <v>65.638199999999898</v>
      </c>
      <c r="AD5469">
        <v>-0.92669809999999997</v>
      </c>
      <c r="AE5469">
        <v>1.35283</v>
      </c>
      <c r="AF5469">
        <v>-1.14000802313121</v>
      </c>
      <c r="AG5469">
        <v>-0.92669809999999997</v>
      </c>
      <c r="AH5469">
        <v>65.629161234842499</v>
      </c>
      <c r="AI5469">
        <v>90.808853163798602</v>
      </c>
      <c r="AJ5469">
        <v>90.995153355774505</v>
      </c>
      <c r="AK5469">
        <v>65.645602990987101</v>
      </c>
      <c r="AL5469">
        <v>89.496761672561803</v>
      </c>
      <c r="AM5469">
        <v>87.776549328171996</v>
      </c>
      <c r="AN5469">
        <v>1.0000000218180201</v>
      </c>
    </row>
    <row r="5470" spans="1:40" x14ac:dyDescent="0.25">
      <c r="A5470" t="str">
        <f>"20190312161125927"</f>
        <v>20190312161125927</v>
      </c>
      <c r="B5470" t="str">
        <f>"1552378285912402"</f>
        <v>1552378285912402</v>
      </c>
      <c r="C5470" t="s">
        <v>40</v>
      </c>
      <c r="D5470">
        <v>5.2193110000000003</v>
      </c>
      <c r="E5470">
        <v>0.47742479999999998</v>
      </c>
      <c r="F5470" t="s">
        <v>102</v>
      </c>
      <c r="G5470">
        <v>-279.68</v>
      </c>
      <c r="H5470">
        <v>0.17613690000000001</v>
      </c>
      <c r="I5470">
        <v>18.83006</v>
      </c>
      <c r="J5470">
        <v>-345.01119999999997</v>
      </c>
      <c r="K5470">
        <v>1.10954</v>
      </c>
      <c r="L5470">
        <v>17.266479999999898</v>
      </c>
      <c r="M5470">
        <v>0.99996209999999996</v>
      </c>
      <c r="N5470">
        <v>0</v>
      </c>
      <c r="O5470">
        <v>3.4481590000000001E-3</v>
      </c>
      <c r="P5470">
        <v>0.99935870000000004</v>
      </c>
      <c r="Q5470">
        <v>1.411271E-3</v>
      </c>
      <c r="R5470">
        <v>-3.578071E-2</v>
      </c>
      <c r="S5470">
        <v>3.004486</v>
      </c>
      <c r="T5470">
        <v>-4.2724970000000001E-2</v>
      </c>
      <c r="U5470">
        <v>7.1624759999999996E-2</v>
      </c>
      <c r="V5470">
        <v>3.9222970000000003E-2</v>
      </c>
      <c r="W5470">
        <v>9.4143600000000001E-3</v>
      </c>
      <c r="X5470">
        <v>0.99918620000000002</v>
      </c>
      <c r="Y5470">
        <v>-2.038336E-2</v>
      </c>
      <c r="Z5470" s="1">
        <v>9.5876060000000006E-5</v>
      </c>
      <c r="AA5470">
        <v>0.99979220000000002</v>
      </c>
      <c r="AB5470">
        <v>31</v>
      </c>
      <c r="AC5470">
        <v>65.331199999999896</v>
      </c>
      <c r="AD5470">
        <v>-0.93340309999999904</v>
      </c>
      <c r="AE5470">
        <v>1.56358</v>
      </c>
      <c r="AF5470">
        <v>-1.3380181727660501</v>
      </c>
      <c r="AG5470">
        <v>-0.93340309999999904</v>
      </c>
      <c r="AH5470">
        <v>65.322876801383998</v>
      </c>
      <c r="AI5470">
        <v>90.818475980522905</v>
      </c>
      <c r="AJ5470">
        <v>91.173433858577297</v>
      </c>
      <c r="AK5470">
        <v>65.343245768683104</v>
      </c>
      <c r="AL5470">
        <v>89.460588973060098</v>
      </c>
      <c r="AM5470">
        <v>87.752013211212798</v>
      </c>
      <c r="AN5470">
        <v>1.0000000669101301</v>
      </c>
    </row>
    <row r="5471" spans="1:40" x14ac:dyDescent="0.25">
      <c r="A5471" t="str">
        <f>"20190312161125949"</f>
        <v>20190312161125949</v>
      </c>
      <c r="B5471" t="str">
        <f>"1552378285942659"</f>
        <v>1552378285942659</v>
      </c>
      <c r="C5471" t="s">
        <v>40</v>
      </c>
      <c r="D5471">
        <v>5.3847509999999996</v>
      </c>
      <c r="E5471">
        <v>0.47727940000000002</v>
      </c>
      <c r="F5471" t="s">
        <v>102</v>
      </c>
      <c r="G5471">
        <v>-279.68</v>
      </c>
      <c r="H5471">
        <v>0.20166600000000001</v>
      </c>
      <c r="I5471">
        <v>18.875589999999999</v>
      </c>
      <c r="J5471">
        <v>-344.6918</v>
      </c>
      <c r="K5471">
        <v>1.1095410000000001</v>
      </c>
      <c r="L5471">
        <v>17.267789999999898</v>
      </c>
      <c r="M5471">
        <v>0.9999614</v>
      </c>
      <c r="N5471">
        <v>0</v>
      </c>
      <c r="O5471">
        <v>3.6655659999999999E-3</v>
      </c>
      <c r="P5471">
        <v>0.99934509999999999</v>
      </c>
      <c r="Q5471">
        <v>1.832719E-3</v>
      </c>
      <c r="R5471">
        <v>-3.614324E-2</v>
      </c>
      <c r="S5471">
        <v>3.0046689999999998</v>
      </c>
      <c r="T5471">
        <v>-4.175425E-2</v>
      </c>
      <c r="U5471">
        <v>7.4005130000000002E-2</v>
      </c>
      <c r="V5471">
        <v>3.9802459999999998E-2</v>
      </c>
      <c r="W5471">
        <v>9.8449230000000002E-3</v>
      </c>
      <c r="X5471">
        <v>0.99915900000000002</v>
      </c>
      <c r="Y5471">
        <v>-2.095617E-2</v>
      </c>
      <c r="Z5471" s="1">
        <v>9.4649979999999995E-5</v>
      </c>
      <c r="AA5471">
        <v>0.99978040000000001</v>
      </c>
      <c r="AB5471">
        <v>31</v>
      </c>
      <c r="AC5471">
        <v>65.011799999999994</v>
      </c>
      <c r="AD5471">
        <v>-0.90787499999999999</v>
      </c>
      <c r="AE5471">
        <v>1.6077999999999999</v>
      </c>
      <c r="AF5471">
        <v>-1.36920970326877</v>
      </c>
      <c r="AG5471">
        <v>-0.90787499999999999</v>
      </c>
      <c r="AH5471">
        <v>65.0045877814227</v>
      </c>
      <c r="AI5471">
        <v>90.799981860955498</v>
      </c>
      <c r="AJ5471">
        <v>91.2066585034448</v>
      </c>
      <c r="AK5471">
        <v>65.025344327114894</v>
      </c>
      <c r="AL5471">
        <v>89.435918312279497</v>
      </c>
      <c r="AM5471">
        <v>87.718773687435004</v>
      </c>
      <c r="AN5471">
        <v>0.999999932805961</v>
      </c>
    </row>
    <row r="5472" spans="1:40" x14ac:dyDescent="0.25">
      <c r="A5472" t="str">
        <f>"20190312161125972"</f>
        <v>20190312161125972</v>
      </c>
      <c r="B5472" t="str">
        <f>"1552378285962178"</f>
        <v>1552378285962178</v>
      </c>
      <c r="C5472" t="s">
        <v>40</v>
      </c>
      <c r="D5472">
        <v>5.3354929999999996</v>
      </c>
      <c r="E5472">
        <v>0.47700819999999999</v>
      </c>
      <c r="F5472" t="s">
        <v>102</v>
      </c>
      <c r="G5472">
        <v>-279.68</v>
      </c>
      <c r="H5472">
        <v>9.4156859999999995E-2</v>
      </c>
      <c r="I5472">
        <v>18.874300000000002</v>
      </c>
      <c r="J5472">
        <v>-344.36110000000002</v>
      </c>
      <c r="K5472">
        <v>1.1095379999999999</v>
      </c>
      <c r="L5472">
        <v>17.269259999999999</v>
      </c>
      <c r="M5472">
        <v>0.99996039999999997</v>
      </c>
      <c r="N5472">
        <v>0</v>
      </c>
      <c r="O5472">
        <v>3.891018E-3</v>
      </c>
      <c r="P5472">
        <v>0.99934829999999997</v>
      </c>
      <c r="Q5472">
        <v>1.8667499999999999E-3</v>
      </c>
      <c r="R5472">
        <v>-3.60503E-2</v>
      </c>
      <c r="S5472">
        <v>3.0047000000000001</v>
      </c>
      <c r="T5472">
        <v>-4.6928640000000001E-2</v>
      </c>
      <c r="U5472">
        <v>7.4249270000000006E-2</v>
      </c>
      <c r="V5472">
        <v>3.9934520000000001E-2</v>
      </c>
      <c r="W5472">
        <v>9.8883129999999993E-3</v>
      </c>
      <c r="X5472">
        <v>0.99915339999999997</v>
      </c>
      <c r="Y5472">
        <v>-2.0811300000000001E-2</v>
      </c>
      <c r="Z5472">
        <v>1.0172539999999999E-4</v>
      </c>
      <c r="AA5472">
        <v>0.99978339999999999</v>
      </c>
      <c r="AB5472">
        <v>31</v>
      </c>
      <c r="AC5472">
        <v>64.681100000000001</v>
      </c>
      <c r="AD5472">
        <v>-1.0153811399999999</v>
      </c>
      <c r="AE5472">
        <v>1.60504</v>
      </c>
      <c r="AF5472">
        <v>-1.35301123839355</v>
      </c>
      <c r="AG5472">
        <v>-1.0153811399999999</v>
      </c>
      <c r="AH5472">
        <v>64.670928360328006</v>
      </c>
      <c r="AI5472">
        <v>90.899315204864706</v>
      </c>
      <c r="AJ5472">
        <v>91.198537393582299</v>
      </c>
      <c r="AK5472">
        <v>64.693049188126594</v>
      </c>
      <c r="AL5472">
        <v>89.433432182673101</v>
      </c>
      <c r="AM5472">
        <v>87.711200061734303</v>
      </c>
      <c r="AN5472">
        <v>1.0000000306765799</v>
      </c>
    </row>
    <row r="5473" spans="1:40" x14ac:dyDescent="0.25">
      <c r="A5473" t="str">
        <f>"20190312161126016"</f>
        <v>20190312161126016</v>
      </c>
      <c r="B5473" t="str">
        <f>"1552378286002195"</f>
        <v>1552378286002195</v>
      </c>
      <c r="C5473" t="s">
        <v>40</v>
      </c>
      <c r="D5473">
        <v>5.3734409999999997</v>
      </c>
      <c r="E5473">
        <v>0.4767884</v>
      </c>
      <c r="F5473" t="s">
        <v>102</v>
      </c>
      <c r="G5473">
        <v>-279.68</v>
      </c>
      <c r="H5473">
        <v>8.2133769999999995E-2</v>
      </c>
      <c r="I5473">
        <v>18.920079999999999</v>
      </c>
      <c r="J5473">
        <v>-343.75450000000001</v>
      </c>
      <c r="K5473">
        <v>1.1095360000000001</v>
      </c>
      <c r="L5473">
        <v>17.272029999999901</v>
      </c>
      <c r="M5473">
        <v>0.99995860000000003</v>
      </c>
      <c r="N5473">
        <v>0</v>
      </c>
      <c r="O5473">
        <v>4.3039510000000003E-3</v>
      </c>
      <c r="P5473">
        <v>0.99933899999999998</v>
      </c>
      <c r="Q5473">
        <v>6.432133E-4</v>
      </c>
      <c r="R5473">
        <v>-3.6350960000000002E-2</v>
      </c>
      <c r="S5473">
        <v>3.0048219999999999</v>
      </c>
      <c r="T5473">
        <v>-4.7728899999999998E-2</v>
      </c>
      <c r="U5473">
        <v>7.6690670000000002E-2</v>
      </c>
      <c r="V5473">
        <v>4.0648450000000003E-2</v>
      </c>
      <c r="W5473">
        <v>8.6843509999999999E-3</v>
      </c>
      <c r="X5473">
        <v>0.99913580000000002</v>
      </c>
      <c r="Y5473">
        <v>-2.1209169999999999E-2</v>
      </c>
      <c r="Z5473">
        <v>1.0005620000000001E-4</v>
      </c>
      <c r="AA5473">
        <v>0.99977510000000003</v>
      </c>
      <c r="AB5473">
        <v>31</v>
      </c>
      <c r="AC5473">
        <v>64.0745</v>
      </c>
      <c r="AD5473">
        <v>-1.0274022300000001</v>
      </c>
      <c r="AE5473">
        <v>1.64805</v>
      </c>
      <c r="AF5473">
        <v>-1.3718998742123401</v>
      </c>
      <c r="AG5473">
        <v>-1.0274022300000001</v>
      </c>
      <c r="AH5473">
        <v>64.064539430577597</v>
      </c>
      <c r="AI5473">
        <v>90.918562396908698</v>
      </c>
      <c r="AJ5473">
        <v>91.226763845479397</v>
      </c>
      <c r="AK5473">
        <v>64.087462713537903</v>
      </c>
      <c r="AL5473">
        <v>89.502417100555306</v>
      </c>
      <c r="AM5473">
        <v>87.670285701903595</v>
      </c>
      <c r="AN5473">
        <v>1.00000003064066</v>
      </c>
    </row>
    <row r="5474" spans="1:40" x14ac:dyDescent="0.25">
      <c r="A5474" t="str">
        <f>"20190312161126039"</f>
        <v>20190312161126039</v>
      </c>
      <c r="B5474" t="str">
        <f>"1552378286032450"</f>
        <v>1552378286032450</v>
      </c>
      <c r="C5474" t="s">
        <v>40</v>
      </c>
      <c r="D5474">
        <v>5.3003</v>
      </c>
      <c r="E5474">
        <v>0.47680660000000002</v>
      </c>
      <c r="F5474" t="s">
        <v>102</v>
      </c>
      <c r="G5474">
        <v>-279.68</v>
      </c>
      <c r="H5474">
        <v>-2.9130219999999998E-2</v>
      </c>
      <c r="I5474">
        <v>18.928820000000002</v>
      </c>
      <c r="J5474">
        <v>-343.4393</v>
      </c>
      <c r="K5474">
        <v>1.109531</v>
      </c>
      <c r="L5474">
        <v>17.273620000000001</v>
      </c>
      <c r="M5474">
        <v>0.9999576</v>
      </c>
      <c r="N5474">
        <v>0</v>
      </c>
      <c r="O5474">
        <v>4.5183990000000002E-3</v>
      </c>
      <c r="P5474">
        <v>0.99935810000000003</v>
      </c>
      <c r="Q5474">
        <v>8.4544350000000004E-4</v>
      </c>
      <c r="R5474">
        <v>-3.5817880000000003E-2</v>
      </c>
      <c r="S5474">
        <v>3.004883</v>
      </c>
      <c r="T5474">
        <v>-5.3399559999999999E-2</v>
      </c>
      <c r="U5474">
        <v>7.7697749999999996E-2</v>
      </c>
      <c r="V5474">
        <v>4.0329490000000003E-2</v>
      </c>
      <c r="W5474">
        <v>8.9060730000000005E-3</v>
      </c>
      <c r="X5474">
        <v>0.9991468</v>
      </c>
      <c r="Y5474">
        <v>-2.132858E-2</v>
      </c>
      <c r="Z5474">
        <v>1.091901E-4</v>
      </c>
      <c r="AA5474">
        <v>0.99977249999999995</v>
      </c>
      <c r="AB5474">
        <v>31</v>
      </c>
      <c r="AC5474">
        <v>63.759300000000003</v>
      </c>
      <c r="AD5474">
        <v>-1.1386612199999999</v>
      </c>
      <c r="AE5474">
        <v>1.6552</v>
      </c>
      <c r="AF5474">
        <v>-1.3666482926295</v>
      </c>
      <c r="AG5474">
        <v>-1.1386612199999999</v>
      </c>
      <c r="AH5474">
        <v>63.745811128329301</v>
      </c>
      <c r="AI5474">
        <v>91.023103483332406</v>
      </c>
      <c r="AJ5474">
        <v>91.228177731002106</v>
      </c>
      <c r="AK5474">
        <v>63.770625787570197</v>
      </c>
      <c r="AL5474">
        <v>89.489712888124302</v>
      </c>
      <c r="AM5474">
        <v>87.688572002744095</v>
      </c>
      <c r="AN5474">
        <v>1.00000005692508</v>
      </c>
    </row>
    <row r="5475" spans="1:40" x14ac:dyDescent="0.25">
      <c r="A5475" t="str">
        <f>"20190312161126060"</f>
        <v>20190312161126060</v>
      </c>
      <c r="B5475" t="str">
        <f>"1552378286052948"</f>
        <v>1552378286052948</v>
      </c>
      <c r="C5475" t="s">
        <v>40</v>
      </c>
      <c r="D5475">
        <v>5.38</v>
      </c>
      <c r="E5475">
        <v>0.47693340000000001</v>
      </c>
      <c r="F5475" t="s">
        <v>43</v>
      </c>
      <c r="G5475">
        <v>-281.30790000000002</v>
      </c>
      <c r="H5475">
        <v>-0.05</v>
      </c>
      <c r="I5475">
        <v>18.911740000000002</v>
      </c>
      <c r="J5475">
        <v>-343.12099999999998</v>
      </c>
      <c r="K5475">
        <v>1.109534</v>
      </c>
      <c r="L5475">
        <v>17.275269999999999</v>
      </c>
      <c r="M5475">
        <v>0.99995630000000002</v>
      </c>
      <c r="N5475">
        <v>0</v>
      </c>
      <c r="O5475">
        <v>4.7347149999999996E-3</v>
      </c>
      <c r="P5475">
        <v>0.99937410000000004</v>
      </c>
      <c r="Q5475">
        <v>1.0271360000000001E-3</v>
      </c>
      <c r="R5475">
        <v>-3.5366500000000002E-2</v>
      </c>
      <c r="S5475">
        <v>3.0048219999999999</v>
      </c>
      <c r="T5475">
        <v>-5.6077599999999998E-2</v>
      </c>
      <c r="U5475">
        <v>7.9223630000000003E-2</v>
      </c>
      <c r="V5475">
        <v>4.0094230000000002E-2</v>
      </c>
      <c r="W5475">
        <v>9.1168250000000003E-3</v>
      </c>
      <c r="X5475">
        <v>0.99915430000000005</v>
      </c>
      <c r="Y5475">
        <v>-2.1619880000000001E-2</v>
      </c>
      <c r="Z5475">
        <v>1.133484E-4</v>
      </c>
      <c r="AA5475">
        <v>0.99976620000000005</v>
      </c>
      <c r="AB5475">
        <v>31</v>
      </c>
      <c r="AC5475">
        <v>61.813099999999899</v>
      </c>
      <c r="AD5475">
        <v>-1.1595340000000001</v>
      </c>
      <c r="AE5475">
        <v>1.6364699999999901</v>
      </c>
      <c r="AF5475">
        <v>-1.34330237231771</v>
      </c>
      <c r="AG5475">
        <v>-1.1595340000000001</v>
      </c>
      <c r="AH5475">
        <v>61.798424607100301</v>
      </c>
      <c r="AI5475">
        <v>91.074670201143803</v>
      </c>
      <c r="AJ5475">
        <v>91.245233007894996</v>
      </c>
      <c r="AK5475">
        <v>61.823897194208698</v>
      </c>
      <c r="AL5475">
        <v>89.477637163119994</v>
      </c>
      <c r="AM5475">
        <v>87.702058332347704</v>
      </c>
      <c r="AN5475">
        <v>0.99999998949293101</v>
      </c>
    </row>
    <row r="5476" spans="1:40" x14ac:dyDescent="0.25">
      <c r="A5476" t="str">
        <f>"20190312161126085"</f>
        <v>20190312161126085</v>
      </c>
      <c r="B5476" t="str">
        <f>"1552378286072469"</f>
        <v>1552378286072469</v>
      </c>
      <c r="C5476" t="s">
        <v>40</v>
      </c>
      <c r="D5476">
        <v>5.3998339999999896</v>
      </c>
      <c r="E5476">
        <v>0.4768135</v>
      </c>
      <c r="F5476" t="s">
        <v>43</v>
      </c>
      <c r="G5476">
        <v>-283.83179999999999</v>
      </c>
      <c r="H5476">
        <v>-0.05</v>
      </c>
      <c r="I5476">
        <v>18.846920000000001</v>
      </c>
      <c r="J5476">
        <v>-342.79430000000002</v>
      </c>
      <c r="K5476">
        <v>1.1095389999999901</v>
      </c>
      <c r="L5476">
        <v>17.277010000000001</v>
      </c>
      <c r="M5476">
        <v>0.99995489999999998</v>
      </c>
      <c r="N5476">
        <v>0</v>
      </c>
      <c r="O5476">
        <v>4.9564090000000002E-3</v>
      </c>
      <c r="P5476">
        <v>0.99938059999999995</v>
      </c>
      <c r="Q5476">
        <v>4.2778720000000002E-4</v>
      </c>
      <c r="R5476">
        <v>-3.5190800000000001E-2</v>
      </c>
      <c r="S5476">
        <v>3.0047299999999999</v>
      </c>
      <c r="T5476">
        <v>-5.8764339999999998E-2</v>
      </c>
      <c r="U5476">
        <v>7.9650879999999993E-2</v>
      </c>
      <c r="V5476">
        <v>4.0140309999999998E-2</v>
      </c>
      <c r="W5476">
        <v>8.5589480000000003E-3</v>
      </c>
      <c r="X5476">
        <v>0.99915739999999997</v>
      </c>
      <c r="Y5476">
        <v>-2.1540859999999998E-2</v>
      </c>
      <c r="Z5476">
        <v>1.136743E-4</v>
      </c>
      <c r="AA5476">
        <v>0.99976799999999999</v>
      </c>
      <c r="AB5476">
        <v>32</v>
      </c>
      <c r="AC5476">
        <v>58.962499999999999</v>
      </c>
      <c r="AD5476">
        <v>-1.1595390000000001</v>
      </c>
      <c r="AE5476">
        <v>1.5699099999999999</v>
      </c>
      <c r="AF5476">
        <v>-1.2771452859736401</v>
      </c>
      <c r="AG5476">
        <v>-1.1595390000000001</v>
      </c>
      <c r="AH5476">
        <v>58.946776164897003</v>
      </c>
      <c r="AI5476">
        <v>91.126652655968201</v>
      </c>
      <c r="AJ5476">
        <v>91.241180481486495</v>
      </c>
      <c r="AK5476">
        <v>58.972010742457002</v>
      </c>
      <c r="AL5476">
        <v>89.509602417474497</v>
      </c>
      <c r="AM5476">
        <v>87.699427291323403</v>
      </c>
      <c r="AN5476">
        <v>1.0000000050262601</v>
      </c>
    </row>
    <row r="5477" spans="1:40" x14ac:dyDescent="0.25">
      <c r="A5477" t="str">
        <f>"20190312161126105"</f>
        <v>20190312161126105</v>
      </c>
      <c r="B5477" t="str">
        <f>"1552378286092965"</f>
        <v>1552378286092965</v>
      </c>
      <c r="C5477" t="s">
        <v>40</v>
      </c>
      <c r="D5477">
        <v>5.4551879999999997</v>
      </c>
      <c r="E5477">
        <v>0.47674460000000002</v>
      </c>
      <c r="F5477" t="s">
        <v>43</v>
      </c>
      <c r="G5477">
        <v>-287.84230000000002</v>
      </c>
      <c r="H5477">
        <v>-0.05</v>
      </c>
      <c r="I5477">
        <v>18.763809999999999</v>
      </c>
      <c r="J5477">
        <v>-342.5025</v>
      </c>
      <c r="K5477">
        <v>1.109548</v>
      </c>
      <c r="L5477">
        <v>17.278659999999999</v>
      </c>
      <c r="M5477">
        <v>0.99995339999999999</v>
      </c>
      <c r="N5477">
        <v>0</v>
      </c>
      <c r="O5477">
        <v>5.1542849999999998E-3</v>
      </c>
      <c r="P5477">
        <v>0.99937469999999995</v>
      </c>
      <c r="Q5477">
        <v>-3.278051E-4</v>
      </c>
      <c r="R5477">
        <v>-3.5358359999999998E-2</v>
      </c>
      <c r="S5477">
        <v>3.0047609999999998</v>
      </c>
      <c r="T5477">
        <v>-6.3403249999999994E-2</v>
      </c>
      <c r="U5477">
        <v>8.1298830000000002E-2</v>
      </c>
      <c r="V5477">
        <v>4.0505909999999999E-2</v>
      </c>
      <c r="W5477">
        <v>7.8532540000000005E-3</v>
      </c>
      <c r="X5477">
        <v>0.99914840000000005</v>
      </c>
      <c r="Y5477">
        <v>-2.1890119999999999E-2</v>
      </c>
      <c r="Z5477">
        <v>1.2215349999999999E-4</v>
      </c>
      <c r="AA5477">
        <v>0.99976039999999999</v>
      </c>
      <c r="AB5477">
        <v>32</v>
      </c>
      <c r="AC5477">
        <v>54.660199999999897</v>
      </c>
      <c r="AD5477">
        <v>-1.159548</v>
      </c>
      <c r="AE5477">
        <v>1.48514999999999</v>
      </c>
      <c r="AF5477">
        <v>-1.20284572593512</v>
      </c>
      <c r="AG5477">
        <v>-1.159548</v>
      </c>
      <c r="AH5477">
        <v>54.642556733796098</v>
      </c>
      <c r="AI5477">
        <v>91.215374187684702</v>
      </c>
      <c r="AJ5477">
        <v>91.261047413584294</v>
      </c>
      <c r="AK5477">
        <v>54.668093032506903</v>
      </c>
      <c r="AL5477">
        <v>89.5500370488393</v>
      </c>
      <c r="AM5477">
        <v>87.678475491100997</v>
      </c>
      <c r="AN5477">
        <v>0.99999996378293698</v>
      </c>
    </row>
    <row r="5478" spans="1:40" x14ac:dyDescent="0.25">
      <c r="A5478" t="str">
        <f>"20190312161126127"</f>
        <v>20190312161126127</v>
      </c>
      <c r="B5478" t="str">
        <f>"1552378286122242"</f>
        <v>1552378286122242</v>
      </c>
      <c r="C5478" t="s">
        <v>40</v>
      </c>
      <c r="D5478">
        <v>5.5493819999999996</v>
      </c>
      <c r="E5478">
        <v>0.49561660000000002</v>
      </c>
      <c r="F5478" t="s">
        <v>43</v>
      </c>
      <c r="G5478">
        <v>-289.43369999999999</v>
      </c>
      <c r="H5478">
        <v>-0.05</v>
      </c>
      <c r="I5478">
        <v>18.716159999999999</v>
      </c>
      <c r="J5478">
        <v>-342.18549999999999</v>
      </c>
      <c r="K5478">
        <v>1.109556</v>
      </c>
      <c r="L5478">
        <v>17.280519999999999</v>
      </c>
      <c r="M5478">
        <v>0.9999517</v>
      </c>
      <c r="N5478">
        <v>0</v>
      </c>
      <c r="O5478">
        <v>5.3696339999999999E-3</v>
      </c>
      <c r="P5478">
        <v>0.99937089999999995</v>
      </c>
      <c r="Q5478">
        <v>-6.106067E-4</v>
      </c>
      <c r="R5478">
        <v>-3.5465679999999999E-2</v>
      </c>
      <c r="S5478">
        <v>3.0047299999999999</v>
      </c>
      <c r="T5478">
        <v>-6.5652970000000005E-2</v>
      </c>
      <c r="U5478">
        <v>8.1390379999999998E-2</v>
      </c>
      <c r="V5478">
        <v>4.0828280000000002E-2</v>
      </c>
      <c r="W5478">
        <v>7.6324849999999996E-3</v>
      </c>
      <c r="X5478">
        <v>0.99913700000000005</v>
      </c>
      <c r="Y5478">
        <v>-2.1705350000000002E-2</v>
      </c>
      <c r="Z5478">
        <v>1.197661E-4</v>
      </c>
      <c r="AA5478">
        <v>0.9997644</v>
      </c>
      <c r="AB5478">
        <v>32</v>
      </c>
      <c r="AC5478">
        <v>52.751800000000003</v>
      </c>
      <c r="AD5478">
        <v>-1.159556</v>
      </c>
      <c r="AE5478">
        <v>1.43563999999999</v>
      </c>
      <c r="AF5478">
        <v>-1.15179573210016</v>
      </c>
      <c r="AG5478">
        <v>-1.159556</v>
      </c>
      <c r="AH5478">
        <v>52.733287761330097</v>
      </c>
      <c r="AI5478">
        <v>91.259377681856193</v>
      </c>
      <c r="AJ5478">
        <v>91.251250314619696</v>
      </c>
      <c r="AK5478">
        <v>52.758609170872397</v>
      </c>
      <c r="AL5478">
        <v>89.562686564935902</v>
      </c>
      <c r="AM5478">
        <v>87.659993213019504</v>
      </c>
      <c r="AN5478">
        <v>0.99999997402201601</v>
      </c>
    </row>
    <row r="5479" spans="1:40" x14ac:dyDescent="0.25">
      <c r="A5479" t="str">
        <f>"20190312161126151"</f>
        <v>20190312161126151</v>
      </c>
      <c r="B5479" t="str">
        <f>"1552378286142739"</f>
        <v>1552378286142739</v>
      </c>
      <c r="C5479" t="s">
        <v>40</v>
      </c>
      <c r="D5479">
        <v>5.431292</v>
      </c>
      <c r="E5479">
        <v>0.49924170000000001</v>
      </c>
      <c r="F5479" t="s">
        <v>43</v>
      </c>
      <c r="G5479">
        <v>-313.18079999999998</v>
      </c>
      <c r="H5479">
        <v>-0.05</v>
      </c>
      <c r="I5479">
        <v>16.62567</v>
      </c>
      <c r="J5479">
        <v>-341.84609999999998</v>
      </c>
      <c r="K5479">
        <v>1.109561</v>
      </c>
      <c r="L5479">
        <v>17.282589999999999</v>
      </c>
      <c r="M5479">
        <v>0.9999498</v>
      </c>
      <c r="N5479">
        <v>0</v>
      </c>
      <c r="O5479">
        <v>5.5994419999999996E-3</v>
      </c>
      <c r="P5479">
        <v>0.99937710000000002</v>
      </c>
      <c r="Q5479">
        <v>-6.6237899999999897E-4</v>
      </c>
      <c r="R5479">
        <v>-3.5287150000000003E-2</v>
      </c>
      <c r="S5479">
        <v>2.99939</v>
      </c>
      <c r="T5479">
        <v>-0.119910199999999</v>
      </c>
      <c r="U5479">
        <v>-6.7718509999999996E-2</v>
      </c>
      <c r="V5479">
        <v>4.0879579999999999E-2</v>
      </c>
      <c r="W5479">
        <v>7.6639539999999997E-3</v>
      </c>
      <c r="X5479">
        <v>0.99913470000000004</v>
      </c>
      <c r="Y5479">
        <v>2.8142589999999999E-2</v>
      </c>
      <c r="Z5479">
        <v>-7.8599750000000004E-4</v>
      </c>
      <c r="AA5479">
        <v>0.99960360000000004</v>
      </c>
      <c r="AB5479">
        <v>32</v>
      </c>
      <c r="AC5479">
        <v>28.665299999999998</v>
      </c>
      <c r="AD5479">
        <v>-1.1595610000000001</v>
      </c>
      <c r="AE5479">
        <v>-0.65691999999999895</v>
      </c>
      <c r="AF5479">
        <v>0.81609022472215498</v>
      </c>
      <c r="AG5479">
        <v>-1.1595610000000001</v>
      </c>
      <c r="AH5479">
        <v>28.6143737318056</v>
      </c>
      <c r="AI5479">
        <v>92.319626508828804</v>
      </c>
      <c r="AJ5479">
        <v>88.366350621625799</v>
      </c>
      <c r="AK5479">
        <v>28.649484620688298</v>
      </c>
      <c r="AL5479">
        <v>89.560883488162304</v>
      </c>
      <c r="AM5479">
        <v>87.657050923609106</v>
      </c>
      <c r="AN5479">
        <v>1.00000001249799</v>
      </c>
    </row>
    <row r="5480" spans="1:40" x14ac:dyDescent="0.25">
      <c r="A5480" t="str">
        <f>"20190312161126164"</f>
        <v>20190312161126164</v>
      </c>
      <c r="B5480" t="str">
        <f>"1552378286152498"</f>
        <v>1552378286152498</v>
      </c>
      <c r="C5480" t="s">
        <v>40</v>
      </c>
      <c r="D5480">
        <v>5.431222</v>
      </c>
      <c r="E5480">
        <v>0.49977539999999998</v>
      </c>
      <c r="F5480" t="s">
        <v>43</v>
      </c>
      <c r="G5480">
        <v>-311.63159999999999</v>
      </c>
      <c r="H5480">
        <v>-0.05</v>
      </c>
      <c r="I5480">
        <v>16.312059999999999</v>
      </c>
      <c r="J5480">
        <v>-341.66109999999998</v>
      </c>
      <c r="K5480">
        <v>1.1095680000000001</v>
      </c>
      <c r="L5480">
        <v>17.28369</v>
      </c>
      <c r="M5480">
        <v>0.99994870000000002</v>
      </c>
      <c r="N5480">
        <v>0</v>
      </c>
      <c r="O5480">
        <v>5.7244499999999999E-3</v>
      </c>
      <c r="P5480">
        <v>0.99938300000000002</v>
      </c>
      <c r="Q5480">
        <v>-1.8179700000000001E-4</v>
      </c>
      <c r="R5480">
        <v>-3.5124990000000002E-2</v>
      </c>
      <c r="S5480">
        <v>2.998383</v>
      </c>
      <c r="T5480">
        <v>-0.1150708</v>
      </c>
      <c r="U5480">
        <v>-9.6313480000000007E-2</v>
      </c>
      <c r="V5480">
        <v>4.084231E-2</v>
      </c>
      <c r="W5480">
        <v>8.2003790000000007E-3</v>
      </c>
      <c r="X5480">
        <v>0.99913200000000002</v>
      </c>
      <c r="Y5480">
        <v>3.7794420000000002E-2</v>
      </c>
      <c r="Z5480">
        <v>-9.443419E-4</v>
      </c>
      <c r="AA5480">
        <v>0.99928510000000004</v>
      </c>
      <c r="AB5480">
        <v>32</v>
      </c>
      <c r="AC5480">
        <v>30.029499999999899</v>
      </c>
      <c r="AD5480">
        <v>-1.1595679999999999</v>
      </c>
      <c r="AE5480">
        <v>-0.97163000000000099</v>
      </c>
      <c r="AF5480">
        <v>1.14182170376756</v>
      </c>
      <c r="AG5480">
        <v>-1.1595679999999999</v>
      </c>
      <c r="AH5480">
        <v>29.978792151353101</v>
      </c>
      <c r="AI5480">
        <v>92.2134708748424</v>
      </c>
      <c r="AJ5480">
        <v>87.818792807017601</v>
      </c>
      <c r="AK5480">
        <v>30.022930130216299</v>
      </c>
      <c r="AL5480">
        <v>89.530147648892395</v>
      </c>
      <c r="AM5480">
        <v>87.659178299404104</v>
      </c>
      <c r="AN5480">
        <v>1.00000004696293</v>
      </c>
    </row>
    <row r="5481" spans="1:40" x14ac:dyDescent="0.25">
      <c r="A5481" t="str">
        <f>"20190312161126194"</f>
        <v>20190312161126194</v>
      </c>
      <c r="B5481" t="str">
        <f>"1552378286182757"</f>
        <v>1552378286182757</v>
      </c>
      <c r="C5481" t="s">
        <v>40</v>
      </c>
      <c r="D5481">
        <v>5.4590439999999996</v>
      </c>
      <c r="E5481">
        <v>0.50419619999999998</v>
      </c>
      <c r="F5481" t="s">
        <v>43</v>
      </c>
      <c r="G5481">
        <v>-310.947</v>
      </c>
      <c r="H5481">
        <v>-0.05</v>
      </c>
      <c r="I5481">
        <v>16.257349999999999</v>
      </c>
      <c r="J5481">
        <v>-341.23509999999999</v>
      </c>
      <c r="K5481">
        <v>1.109602</v>
      </c>
      <c r="L5481">
        <v>17.286470000000001</v>
      </c>
      <c r="M5481">
        <v>0.99994519999999998</v>
      </c>
      <c r="N5481">
        <v>0</v>
      </c>
      <c r="O5481">
        <v>6.0084350000000003E-3</v>
      </c>
      <c r="P5481">
        <v>0.99940600000000002</v>
      </c>
      <c r="Q5481">
        <v>-1.1937390000000001E-3</v>
      </c>
      <c r="R5481">
        <v>-3.4441659999999999E-2</v>
      </c>
      <c r="S5481">
        <v>2.998291</v>
      </c>
      <c r="T5481">
        <v>-0.11319609999999999</v>
      </c>
      <c r="U5481">
        <v>-0.10018920000000001</v>
      </c>
      <c r="V5481">
        <v>4.0443010000000001E-2</v>
      </c>
      <c r="W5481">
        <v>7.3840579999999998E-3</v>
      </c>
      <c r="X5481">
        <v>0.9991546</v>
      </c>
      <c r="Y5481">
        <v>3.9369210000000002E-2</v>
      </c>
      <c r="Z5481">
        <v>-9.6940109999999998E-4</v>
      </c>
      <c r="AA5481">
        <v>0.99922420000000001</v>
      </c>
      <c r="AB5481">
        <v>32</v>
      </c>
      <c r="AC5481">
        <v>30.288099999999901</v>
      </c>
      <c r="AD5481">
        <v>-1.159602</v>
      </c>
      <c r="AE5481">
        <v>-1.02912</v>
      </c>
      <c r="AF5481">
        <v>1.2093216142211001</v>
      </c>
      <c r="AG5481">
        <v>-1.159602</v>
      </c>
      <c r="AH5481">
        <v>30.237099265033098</v>
      </c>
      <c r="AI5481">
        <v>92.194481684670507</v>
      </c>
      <c r="AJ5481">
        <v>87.709697112400093</v>
      </c>
      <c r="AK5481">
        <v>30.283482420760201</v>
      </c>
      <c r="AL5481">
        <v>89.576920812269407</v>
      </c>
      <c r="AM5481">
        <v>87.682090925665705</v>
      </c>
      <c r="AN5481">
        <v>1.0000000380357801</v>
      </c>
    </row>
    <row r="5482" spans="1:40" x14ac:dyDescent="0.25">
      <c r="A5482" t="str">
        <f>"20190312161126230"</f>
        <v>20190312161126230</v>
      </c>
      <c r="B5482" t="str">
        <f>"1552378286222770"</f>
        <v>1552378286222770</v>
      </c>
      <c r="C5482" t="s">
        <v>40</v>
      </c>
      <c r="D5482">
        <v>5.486383</v>
      </c>
      <c r="E5482">
        <v>0.5023339</v>
      </c>
      <c r="F5482" t="s">
        <v>42</v>
      </c>
      <c r="G5482">
        <v>-340.36520000000002</v>
      </c>
      <c r="H5482">
        <v>1.0461149999999999</v>
      </c>
      <c r="I5482">
        <v>17.248270000000002</v>
      </c>
      <c r="J5482">
        <v>-340.72980000000001</v>
      </c>
      <c r="K5482">
        <v>1.1096539999999999</v>
      </c>
      <c r="L5482">
        <v>17.289860000000001</v>
      </c>
      <c r="M5482">
        <v>0.99994050000000001</v>
      </c>
      <c r="N5482">
        <v>0</v>
      </c>
      <c r="O5482">
        <v>6.3310659999999998E-3</v>
      </c>
      <c r="P5482">
        <v>0.99939440000000002</v>
      </c>
      <c r="Q5482">
        <v>-2.2015390000000002E-3</v>
      </c>
      <c r="R5482">
        <v>-3.4726010000000002E-2</v>
      </c>
      <c r="S5482">
        <v>2.9970089999999998</v>
      </c>
      <c r="T5482">
        <v>-0.2187017</v>
      </c>
      <c r="U5482">
        <v>-0.1303406</v>
      </c>
      <c r="V5482">
        <v>4.1050209999999997E-2</v>
      </c>
      <c r="W5482">
        <v>6.6912319999999897E-3</v>
      </c>
      <c r="X5482">
        <v>0.99913470000000004</v>
      </c>
      <c r="Y5482">
        <v>4.9625089999999997E-2</v>
      </c>
      <c r="Z5482">
        <v>-2.268599E-3</v>
      </c>
      <c r="AA5482">
        <v>0.99876529999999997</v>
      </c>
      <c r="AB5482">
        <v>32</v>
      </c>
      <c r="AC5482">
        <v>0.36459999999999498</v>
      </c>
      <c r="AD5482">
        <v>-6.3539000000000206E-2</v>
      </c>
      <c r="AE5482">
        <v>-4.1589999999999301E-2</v>
      </c>
      <c r="AF5482">
        <v>4.2619818477987501E-2</v>
      </c>
      <c r="AG5482">
        <v>-6.3539000000000206E-2</v>
      </c>
      <c r="AH5482">
        <v>0.35372467781262601</v>
      </c>
      <c r="AI5482">
        <v>100.111740699077</v>
      </c>
      <c r="AJ5482">
        <v>83.129626515205004</v>
      </c>
      <c r="AK5482">
        <v>0.36190440884540598</v>
      </c>
      <c r="AL5482">
        <v>89.616617793658307</v>
      </c>
      <c r="AM5482">
        <v>87.647282498967698</v>
      </c>
      <c r="AN5482">
        <v>1.0000000205354</v>
      </c>
    </row>
    <row r="5483" spans="1:40" x14ac:dyDescent="0.25">
      <c r="A5483" t="str">
        <f>"20190312161126252"</f>
        <v>20190312161126252</v>
      </c>
      <c r="B5483" t="str">
        <f>"1552378286242290"</f>
        <v>1552378286242290</v>
      </c>
      <c r="C5483" t="s">
        <v>40</v>
      </c>
      <c r="D5483">
        <v>5.6155809999999997</v>
      </c>
      <c r="E5483">
        <v>0.5024999</v>
      </c>
      <c r="F5483" t="s">
        <v>43</v>
      </c>
      <c r="G5483">
        <v>-317.69659999999999</v>
      </c>
      <c r="H5483">
        <v>-0.05</v>
      </c>
      <c r="I5483">
        <v>16.380890000000001</v>
      </c>
      <c r="J5483">
        <v>-340.41649999999998</v>
      </c>
      <c r="K5483">
        <v>1.1096889999999999</v>
      </c>
      <c r="L5483">
        <v>17.29205</v>
      </c>
      <c r="M5483">
        <v>0.99993719999999997</v>
      </c>
      <c r="N5483">
        <v>0</v>
      </c>
      <c r="O5483">
        <v>6.5193630000000002E-3</v>
      </c>
      <c r="P5483">
        <v>0.99938300000000002</v>
      </c>
      <c r="Q5483">
        <v>-2.2337899999999998E-3</v>
      </c>
      <c r="R5483">
        <v>-3.5055349999999999E-2</v>
      </c>
      <c r="S5483">
        <v>2.9973749999999999</v>
      </c>
      <c r="T5483">
        <v>-0.1509093</v>
      </c>
      <c r="U5483">
        <v>-0.11828610000000001</v>
      </c>
      <c r="V5483">
        <v>4.1567600000000003E-2</v>
      </c>
      <c r="W5483">
        <v>6.8905449999999997E-3</v>
      </c>
      <c r="X5483">
        <v>0.999112</v>
      </c>
      <c r="Y5483">
        <v>4.5879999999999997E-2</v>
      </c>
      <c r="Z5483">
        <v>-1.48170299999999E-3</v>
      </c>
      <c r="AA5483">
        <v>0.99894579999999999</v>
      </c>
      <c r="AB5483">
        <v>32</v>
      </c>
      <c r="AC5483">
        <v>22.719899999999999</v>
      </c>
      <c r="AD5483">
        <v>-1.159689</v>
      </c>
      <c r="AE5483">
        <v>-0.91115999999999797</v>
      </c>
      <c r="AF5483">
        <v>1.05651785959413</v>
      </c>
      <c r="AG5483">
        <v>-1.159689</v>
      </c>
      <c r="AH5483">
        <v>22.654547887643499</v>
      </c>
      <c r="AI5483">
        <v>92.927243913825606</v>
      </c>
      <c r="AJ5483">
        <v>87.329887742238796</v>
      </c>
      <c r="AK5483">
        <v>22.708801125508501</v>
      </c>
      <c r="AL5483">
        <v>89.605197755094906</v>
      </c>
      <c r="AM5483">
        <v>87.617609128847903</v>
      </c>
      <c r="AN5483">
        <v>1.0000000667620701</v>
      </c>
    </row>
    <row r="5484" spans="1:40" x14ac:dyDescent="0.25">
      <c r="A5484" t="str">
        <f>"20190312161126272"</f>
        <v>20190312161126272</v>
      </c>
      <c r="B5484" t="str">
        <f>"1552378286262786"</f>
        <v>1552378286262786</v>
      </c>
      <c r="C5484" t="s">
        <v>40</v>
      </c>
      <c r="D5484">
        <v>5.4407310000000004</v>
      </c>
      <c r="E5484">
        <v>0.50269560000000002</v>
      </c>
      <c r="F5484" t="s">
        <v>43</v>
      </c>
      <c r="G5484">
        <v>-316.51319999999998</v>
      </c>
      <c r="H5484">
        <v>-0.05</v>
      </c>
      <c r="I5484">
        <v>16.328510000000001</v>
      </c>
      <c r="J5484">
        <v>-340.10840000000002</v>
      </c>
      <c r="K5484">
        <v>1.1097239999999999</v>
      </c>
      <c r="L5484">
        <v>17.294219999999999</v>
      </c>
      <c r="M5484">
        <v>0.99993379999999998</v>
      </c>
      <c r="N5484">
        <v>0</v>
      </c>
      <c r="O5484">
        <v>6.6956359999999996E-3</v>
      </c>
      <c r="P5484">
        <v>0.99939049999999996</v>
      </c>
      <c r="Q5484">
        <v>-2.0152550000000001E-3</v>
      </c>
      <c r="R5484">
        <v>-3.4851670000000001E-2</v>
      </c>
      <c r="S5484">
        <v>2.9972530000000002</v>
      </c>
      <c r="T5484">
        <v>-0.1454146</v>
      </c>
      <c r="U5484">
        <v>-0.1208191</v>
      </c>
      <c r="V5484">
        <v>4.1539960000000001E-2</v>
      </c>
      <c r="W5484">
        <v>7.3564030000000001E-3</v>
      </c>
      <c r="X5484">
        <v>0.99910969999999999</v>
      </c>
      <c r="Y5484">
        <v>4.690387E-2</v>
      </c>
      <c r="Z5484">
        <v>-1.461209E-3</v>
      </c>
      <c r="AA5484">
        <v>0.99889830000000002</v>
      </c>
      <c r="AB5484">
        <v>32</v>
      </c>
      <c r="AC5484">
        <v>23.595199999999998</v>
      </c>
      <c r="AD5484">
        <v>-1.159724</v>
      </c>
      <c r="AE5484">
        <v>-0.96571000000000096</v>
      </c>
      <c r="AF5484">
        <v>1.1209766059344899</v>
      </c>
      <c r="AG5484">
        <v>-1.159724</v>
      </c>
      <c r="AH5484">
        <v>23.531452372620301</v>
      </c>
      <c r="AI5484">
        <v>92.818291229440106</v>
      </c>
      <c r="AJ5484">
        <v>87.272641337702595</v>
      </c>
      <c r="AK5484">
        <v>23.586665704845402</v>
      </c>
      <c r="AL5484">
        <v>89.578505328195803</v>
      </c>
      <c r="AM5484">
        <v>87.619185980209707</v>
      </c>
      <c r="AN5484">
        <v>0.99999993878799298</v>
      </c>
    </row>
    <row r="5485" spans="1:40" x14ac:dyDescent="0.25">
      <c r="A5485" t="str">
        <f>"20190312161126294"</f>
        <v>20190312161126294</v>
      </c>
      <c r="B5485" t="str">
        <f>"1552378286282306"</f>
        <v>1552378286282306</v>
      </c>
      <c r="C5485" t="s">
        <v>40</v>
      </c>
      <c r="D5485">
        <v>5.2571159999999999</v>
      </c>
      <c r="E5485">
        <v>0.50279529999999995</v>
      </c>
      <c r="F5485" t="s">
        <v>43</v>
      </c>
      <c r="G5485">
        <v>-314.80599999999998</v>
      </c>
      <c r="H5485">
        <v>-0.05</v>
      </c>
      <c r="I5485">
        <v>16.263719999999999</v>
      </c>
      <c r="J5485">
        <v>-339.80700000000002</v>
      </c>
      <c r="K5485">
        <v>1.1097549999999901</v>
      </c>
      <c r="L5485">
        <v>17.296420000000001</v>
      </c>
      <c r="M5485">
        <v>0.99993030000000005</v>
      </c>
      <c r="N5485">
        <v>0</v>
      </c>
      <c r="O5485">
        <v>6.8605719999999997E-3</v>
      </c>
      <c r="P5485">
        <v>0.9993862</v>
      </c>
      <c r="Q5485">
        <v>-2.1004610000000001E-3</v>
      </c>
      <c r="R5485">
        <v>-3.4971019999999998E-2</v>
      </c>
      <c r="S5485">
        <v>2.9972530000000002</v>
      </c>
      <c r="T5485">
        <v>-0.13737769999999999</v>
      </c>
      <c r="U5485">
        <v>-0.12207030000000001</v>
      </c>
      <c r="V5485">
        <v>4.1824340000000002E-2</v>
      </c>
      <c r="W5485">
        <v>7.5280590000000001E-3</v>
      </c>
      <c r="X5485">
        <v>0.9990966</v>
      </c>
      <c r="Y5485">
        <v>4.7490930000000001E-2</v>
      </c>
      <c r="Z5485">
        <v>-1.401521E-3</v>
      </c>
      <c r="AA5485">
        <v>0.9988707</v>
      </c>
      <c r="AB5485">
        <v>32</v>
      </c>
      <c r="AC5485">
        <v>25.000999999999902</v>
      </c>
      <c r="AD5485">
        <v>-1.1597550000000001</v>
      </c>
      <c r="AE5485">
        <v>-1.03269999999999</v>
      </c>
      <c r="AF5485">
        <v>1.2016234300878901</v>
      </c>
      <c r="AG5485">
        <v>-1.1597550000000001</v>
      </c>
      <c r="AH5485">
        <v>24.939750431482899</v>
      </c>
      <c r="AI5485">
        <v>92.659385194730902</v>
      </c>
      <c r="AJ5485">
        <v>87.241562199434895</v>
      </c>
      <c r="AK5485">
        <v>24.9956012552692</v>
      </c>
      <c r="AL5485">
        <v>89.568669909343996</v>
      </c>
      <c r="AM5485">
        <v>87.602874628862594</v>
      </c>
      <c r="AN5485">
        <v>0.99999998161015102</v>
      </c>
    </row>
    <row r="5486" spans="1:40" x14ac:dyDescent="0.25">
      <c r="A5486" t="str">
        <f>"20190312161126317"</f>
        <v>20190312161126317</v>
      </c>
      <c r="B5486" t="str">
        <f>"1552378286312562"</f>
        <v>1552378286312562</v>
      </c>
      <c r="C5486" t="s">
        <v>40</v>
      </c>
      <c r="D5486">
        <v>5.3910989999999996</v>
      </c>
      <c r="E5486">
        <v>0.50326269999999995</v>
      </c>
      <c r="F5486" t="s">
        <v>43</v>
      </c>
      <c r="G5486">
        <v>-314.10120000000001</v>
      </c>
      <c r="H5486">
        <v>-0.05</v>
      </c>
      <c r="I5486">
        <v>16.23929</v>
      </c>
      <c r="J5486">
        <v>-339.48469999999998</v>
      </c>
      <c r="K5486">
        <v>1.109796</v>
      </c>
      <c r="L5486">
        <v>17.298829999999999</v>
      </c>
      <c r="M5486">
        <v>0.99992610000000004</v>
      </c>
      <c r="N5486">
        <v>0</v>
      </c>
      <c r="O5486">
        <v>7.0232430000000002E-3</v>
      </c>
      <c r="P5486">
        <v>0.99937799999999999</v>
      </c>
      <c r="Q5486">
        <v>-2.549824E-3</v>
      </c>
      <c r="R5486">
        <v>-3.5171870000000001E-2</v>
      </c>
      <c r="S5486">
        <v>2.9972530000000002</v>
      </c>
      <c r="T5486">
        <v>-0.1352254</v>
      </c>
      <c r="U5486">
        <v>-0.1232605</v>
      </c>
      <c r="V5486">
        <v>4.2187780000000001E-2</v>
      </c>
      <c r="W5486">
        <v>7.37786E-3</v>
      </c>
      <c r="X5486">
        <v>0.99908240000000004</v>
      </c>
      <c r="Y5486">
        <v>4.8050460000000003E-2</v>
      </c>
      <c r="Z5486">
        <v>-1.3995189999999999E-3</v>
      </c>
      <c r="AA5486">
        <v>0.99884390000000001</v>
      </c>
      <c r="AB5486">
        <v>32</v>
      </c>
      <c r="AC5486">
        <v>25.383499999999898</v>
      </c>
      <c r="AD5486">
        <v>-1.1597959999999901</v>
      </c>
      <c r="AE5486">
        <v>-1.0595399999999899</v>
      </c>
      <c r="AF5486">
        <v>1.2352228894573101</v>
      </c>
      <c r="AG5486">
        <v>-1.1597959999999901</v>
      </c>
      <c r="AH5486">
        <v>25.322658918477401</v>
      </c>
      <c r="AI5486">
        <v>92.619245358516693</v>
      </c>
      <c r="AJ5486">
        <v>87.2073625645383</v>
      </c>
      <c r="AK5486">
        <v>25.3792820436237</v>
      </c>
      <c r="AL5486">
        <v>89.577275900486697</v>
      </c>
      <c r="AM5486">
        <v>87.582034674728902</v>
      </c>
      <c r="AN5486">
        <v>0.99999994179463203</v>
      </c>
    </row>
    <row r="5487" spans="1:40" x14ac:dyDescent="0.25">
      <c r="A5487" t="str">
        <f>"20190312161126339"</f>
        <v>20190312161126339</v>
      </c>
      <c r="B5487" t="str">
        <f>"1552378286333058"</f>
        <v>1552378286333058</v>
      </c>
      <c r="C5487" t="s">
        <v>40</v>
      </c>
      <c r="D5487">
        <v>5.6013120000000001</v>
      </c>
      <c r="E5487">
        <v>0.503189</v>
      </c>
      <c r="F5487" t="s">
        <v>43</v>
      </c>
      <c r="G5487">
        <v>-313.41739999999999</v>
      </c>
      <c r="H5487">
        <v>-0.05</v>
      </c>
      <c r="I5487">
        <v>16.189070000000001</v>
      </c>
      <c r="J5487">
        <v>-339.15539999999999</v>
      </c>
      <c r="K5487">
        <v>1.109839</v>
      </c>
      <c r="L5487">
        <v>17.301300000000001</v>
      </c>
      <c r="M5487">
        <v>0.99992179999999997</v>
      </c>
      <c r="N5487">
        <v>0</v>
      </c>
      <c r="O5487">
        <v>7.1709670000000003E-3</v>
      </c>
      <c r="P5487">
        <v>0.99937699999999996</v>
      </c>
      <c r="Q5487">
        <v>-2.8632480000000001E-3</v>
      </c>
      <c r="R5487">
        <v>-3.518462E-2</v>
      </c>
      <c r="S5487">
        <v>2.9970699999999999</v>
      </c>
      <c r="T5487">
        <v>-0.13334660000000001</v>
      </c>
      <c r="U5487">
        <v>-0.12759400000000001</v>
      </c>
      <c r="V5487">
        <v>4.234806E-2</v>
      </c>
      <c r="W5487">
        <v>7.4021790000000001E-3</v>
      </c>
      <c r="X5487">
        <v>0.99907550000000001</v>
      </c>
      <c r="Y5487">
        <v>4.9642039999999998E-2</v>
      </c>
      <c r="Z5487">
        <v>-1.4220770000000001E-3</v>
      </c>
      <c r="AA5487">
        <v>0.99876609999999999</v>
      </c>
      <c r="AB5487">
        <v>32</v>
      </c>
      <c r="AC5487">
        <v>25.738</v>
      </c>
      <c r="AD5487">
        <v>-1.1598389999999901</v>
      </c>
      <c r="AE5487">
        <v>-1.1122300000000001</v>
      </c>
      <c r="AF5487">
        <v>1.2941542951591001</v>
      </c>
      <c r="AG5487">
        <v>-1.1598389999999901</v>
      </c>
      <c r="AH5487">
        <v>25.6773162373029</v>
      </c>
      <c r="AI5487">
        <v>92.583006202486402</v>
      </c>
      <c r="AJ5487">
        <v>87.114694995687202</v>
      </c>
      <c r="AK5487">
        <v>25.7360570211534</v>
      </c>
      <c r="AL5487">
        <v>89.575882512070606</v>
      </c>
      <c r="AM5487">
        <v>87.572842552736702</v>
      </c>
      <c r="AN5487">
        <v>1.00000000256998</v>
      </c>
    </row>
    <row r="5488" spans="1:40" x14ac:dyDescent="0.25">
      <c r="A5488" t="str">
        <f>"20190312161126363"</f>
        <v>20190312161126363</v>
      </c>
      <c r="B5488" t="str">
        <f>"1552378286352582"</f>
        <v>1552378286352582</v>
      </c>
      <c r="C5488" t="s">
        <v>40</v>
      </c>
      <c r="D5488">
        <v>5.462974</v>
      </c>
      <c r="E5488">
        <v>0.50284379999999995</v>
      </c>
      <c r="F5488" t="s">
        <v>43</v>
      </c>
      <c r="G5488">
        <v>-313.34109999999998</v>
      </c>
      <c r="H5488">
        <v>-0.05</v>
      </c>
      <c r="I5488">
        <v>16.207789999999999</v>
      </c>
      <c r="J5488">
        <v>-338.82040000000001</v>
      </c>
      <c r="K5488">
        <v>1.1098790000000001</v>
      </c>
      <c r="L5488">
        <v>17.303889999999999</v>
      </c>
      <c r="M5488">
        <v>0.99991680000000005</v>
      </c>
      <c r="N5488">
        <v>0</v>
      </c>
      <c r="O5488">
        <v>7.3135489999999999E-3</v>
      </c>
      <c r="P5488">
        <v>0.99938360000000004</v>
      </c>
      <c r="Q5488">
        <v>-2.637627E-3</v>
      </c>
      <c r="R5488">
        <v>-3.5012910000000001E-2</v>
      </c>
      <c r="S5488">
        <v>2.9969790000000001</v>
      </c>
      <c r="T5488">
        <v>-0.13465489999999999</v>
      </c>
      <c r="U5488">
        <v>-0.12695310000000001</v>
      </c>
      <c r="V5488">
        <v>4.23189E-2</v>
      </c>
      <c r="W5488">
        <v>7.9972540000000005E-3</v>
      </c>
      <c r="X5488">
        <v>0.99907210000000002</v>
      </c>
      <c r="Y5488">
        <v>4.9571410000000003E-2</v>
      </c>
      <c r="Z5488">
        <v>-1.44088299999999E-3</v>
      </c>
      <c r="AA5488">
        <v>0.99876949999999998</v>
      </c>
      <c r="AB5488">
        <v>32</v>
      </c>
      <c r="AC5488">
        <v>25.479299999999999</v>
      </c>
      <c r="AD5488">
        <v>-1.1598790000000001</v>
      </c>
      <c r="AE5488">
        <v>-1.0961000000000001</v>
      </c>
      <c r="AF5488">
        <v>1.27977814016848</v>
      </c>
      <c r="AG5488">
        <v>-1.1598790000000001</v>
      </c>
      <c r="AH5488">
        <v>25.418025459912698</v>
      </c>
      <c r="AI5488">
        <v>92.609415968332797</v>
      </c>
      <c r="AJ5488">
        <v>87.117635323414405</v>
      </c>
      <c r="AK5488">
        <v>25.476639685474002</v>
      </c>
      <c r="AL5488">
        <v>89.541786192306006</v>
      </c>
      <c r="AM5488">
        <v>87.574503602119407</v>
      </c>
      <c r="AN5488">
        <v>0.99999995318357904</v>
      </c>
    </row>
    <row r="5489" spans="1:40" x14ac:dyDescent="0.25">
      <c r="A5489" t="str">
        <f>"20190312161126383"</f>
        <v>20190312161126383</v>
      </c>
      <c r="B5489" t="str">
        <f>"1552378286373073"</f>
        <v>1552378286373073</v>
      </c>
      <c r="C5489" t="s">
        <v>40</v>
      </c>
      <c r="D5489">
        <v>5.631132</v>
      </c>
      <c r="E5489">
        <v>0.50299919999999998</v>
      </c>
      <c r="F5489" t="s">
        <v>43</v>
      </c>
      <c r="G5489">
        <v>-313.17630000000003</v>
      </c>
      <c r="H5489">
        <v>-0.05</v>
      </c>
      <c r="I5489">
        <v>16.246659999999999</v>
      </c>
      <c r="J5489">
        <v>-338.53739999999999</v>
      </c>
      <c r="K5489">
        <v>1.1099019999999999</v>
      </c>
      <c r="L5489">
        <v>17.30612</v>
      </c>
      <c r="M5489">
        <v>0.99991240000000003</v>
      </c>
      <c r="N5489">
        <v>0</v>
      </c>
      <c r="O5489">
        <v>7.4278199999999999E-3</v>
      </c>
      <c r="P5489">
        <v>0.99938329999999997</v>
      </c>
      <c r="Q5489">
        <v>-2.8599950000000002E-3</v>
      </c>
      <c r="R5489">
        <v>-3.4996270000000003E-2</v>
      </c>
      <c r="S5489">
        <v>2.9971619999999999</v>
      </c>
      <c r="T5489">
        <v>-0.13556089999999901</v>
      </c>
      <c r="U5489">
        <v>-0.1235657</v>
      </c>
      <c r="V5489">
        <v>4.2416990000000002E-2</v>
      </c>
      <c r="W5489">
        <v>8.1050140000000007E-3</v>
      </c>
      <c r="X5489">
        <v>0.99906709999999999</v>
      </c>
      <c r="Y5489">
        <v>4.8556259999999997E-2</v>
      </c>
      <c r="Z5489">
        <v>-1.43274299999999E-3</v>
      </c>
      <c r="AA5489">
        <v>0.99881940000000002</v>
      </c>
      <c r="AB5489">
        <v>32</v>
      </c>
      <c r="AC5489">
        <v>25.361099999999901</v>
      </c>
      <c r="AD5489">
        <v>-1.159902</v>
      </c>
      <c r="AE5489">
        <v>-1.0594599999999901</v>
      </c>
      <c r="AF5489">
        <v>1.24521963048783</v>
      </c>
      <c r="AG5489">
        <v>-1.159902</v>
      </c>
      <c r="AH5489">
        <v>25.299702287736999</v>
      </c>
      <c r="AI5489">
        <v>92.621801749935798</v>
      </c>
      <c r="AJ5489">
        <v>87.182247412414199</v>
      </c>
      <c r="AK5489">
        <v>25.356870477759699</v>
      </c>
      <c r="AL5489">
        <v>89.535611811752005</v>
      </c>
      <c r="AM5489">
        <v>87.568876185398295</v>
      </c>
      <c r="AN5489">
        <v>0.999999981297505</v>
      </c>
    </row>
    <row r="5490" spans="1:40" x14ac:dyDescent="0.25">
      <c r="A5490" t="str">
        <f>"20190312161126407"</f>
        <v>20190312161126407</v>
      </c>
      <c r="B5490" t="str">
        <f>"1552378286403330"</f>
        <v>1552378286403330</v>
      </c>
      <c r="C5490" t="s">
        <v>40</v>
      </c>
      <c r="D5490">
        <v>5.6368039999999997</v>
      </c>
      <c r="E5490">
        <v>0.57221119999999903</v>
      </c>
      <c r="F5490" t="s">
        <v>43</v>
      </c>
      <c r="G5490">
        <v>-312.77010000000001</v>
      </c>
      <c r="H5490">
        <v>-0.05</v>
      </c>
      <c r="I5490">
        <v>16.231459999999998</v>
      </c>
      <c r="J5490">
        <v>-338.2106</v>
      </c>
      <c r="K5490">
        <v>1.1099330000000001</v>
      </c>
      <c r="L5490">
        <v>17.30865</v>
      </c>
      <c r="M5490">
        <v>0.99990730000000005</v>
      </c>
      <c r="N5490">
        <v>0</v>
      </c>
      <c r="O5490">
        <v>7.5440189999999999E-3</v>
      </c>
      <c r="P5490">
        <v>0.9993881</v>
      </c>
      <c r="Q5490">
        <v>-2.9292049999999998E-3</v>
      </c>
      <c r="R5490">
        <v>-3.4856129999999999E-2</v>
      </c>
      <c r="S5490">
        <v>2.9971009999999998</v>
      </c>
      <c r="T5490">
        <v>-0.13491310000000001</v>
      </c>
      <c r="U5490">
        <v>-0.125</v>
      </c>
      <c r="V5490">
        <v>4.239329E-2</v>
      </c>
      <c r="W5490">
        <v>8.4178090000000001E-3</v>
      </c>
      <c r="X5490">
        <v>0.99906550000000005</v>
      </c>
      <c r="Y5490">
        <v>4.9150190000000003E-2</v>
      </c>
      <c r="Z5490">
        <v>-1.4445009999999999E-3</v>
      </c>
      <c r="AA5490">
        <v>0.99879039999999997</v>
      </c>
      <c r="AB5490">
        <v>32</v>
      </c>
      <c r="AC5490">
        <v>25.440499999999901</v>
      </c>
      <c r="AD5490">
        <v>-1.1599330000000001</v>
      </c>
      <c r="AE5490">
        <v>-1.0771899999999901</v>
      </c>
      <c r="AF5490">
        <v>1.2664672570519599</v>
      </c>
      <c r="AG5490">
        <v>-1.1599330000000001</v>
      </c>
      <c r="AH5490">
        <v>25.378985455282798</v>
      </c>
      <c r="AI5490">
        <v>92.613604261963999</v>
      </c>
      <c r="AJ5490">
        <v>87.143184243993304</v>
      </c>
      <c r="AK5490">
        <v>25.437025899604102</v>
      </c>
      <c r="AL5490">
        <v>89.517689357021496</v>
      </c>
      <c r="AM5490">
        <v>87.570229032518498</v>
      </c>
      <c r="AN5490">
        <v>0.99999996191781604</v>
      </c>
    </row>
    <row r="5491" spans="1:40" x14ac:dyDescent="0.25">
      <c r="A5491" t="str">
        <f>"20190312161126430"</f>
        <v>20190312161126430</v>
      </c>
      <c r="B5491" t="str">
        <f>"1552378286422851"</f>
        <v>1552378286422851</v>
      </c>
      <c r="C5491" t="s">
        <v>40</v>
      </c>
      <c r="D5491">
        <v>5.5481160000000003</v>
      </c>
      <c r="E5491">
        <v>0.57201190000000002</v>
      </c>
      <c r="F5491" t="s">
        <v>101</v>
      </c>
      <c r="G5491">
        <v>-279.33690000000001</v>
      </c>
      <c r="H5491">
        <v>0.82833969999999901</v>
      </c>
      <c r="I5491">
        <v>3.8621560000000001</v>
      </c>
      <c r="J5491">
        <v>-337.87599999999998</v>
      </c>
      <c r="K5491">
        <v>1.109953</v>
      </c>
      <c r="L5491">
        <v>17.31128</v>
      </c>
      <c r="M5491">
        <v>0.99990219999999996</v>
      </c>
      <c r="N5491">
        <v>0</v>
      </c>
      <c r="O5491">
        <v>7.6375509999999898E-3</v>
      </c>
      <c r="P5491">
        <v>0.99938170000000004</v>
      </c>
      <c r="Q5491">
        <v>-3.6587389999999998E-3</v>
      </c>
      <c r="R5491">
        <v>-3.4971879999999997E-2</v>
      </c>
      <c r="S5491">
        <v>2.9780579999999999</v>
      </c>
      <c r="T5491">
        <v>-1.4244079999999999E-2</v>
      </c>
      <c r="U5491">
        <v>-0.6801758</v>
      </c>
      <c r="V5491">
        <v>4.2602889999999997E-2</v>
      </c>
      <c r="W5491">
        <v>8.0559009999999903E-3</v>
      </c>
      <c r="X5491">
        <v>0.99905960000000005</v>
      </c>
      <c r="Y5491">
        <v>0.23009930000000001</v>
      </c>
      <c r="Z5491">
        <v>-5.7936130000000002E-4</v>
      </c>
      <c r="AA5491">
        <v>0.973167</v>
      </c>
      <c r="AB5491">
        <v>32</v>
      </c>
      <c r="AC5491">
        <v>58.539099999999898</v>
      </c>
      <c r="AD5491">
        <v>-0.28161330000000001</v>
      </c>
      <c r="AE5491">
        <v>-13.449123999999999</v>
      </c>
      <c r="AF5491">
        <v>13.895552272985601</v>
      </c>
      <c r="AG5491">
        <v>-0.28161330000000001</v>
      </c>
      <c r="AH5491">
        <v>58.433382456730001</v>
      </c>
      <c r="AI5491">
        <v>90.268637501391396</v>
      </c>
      <c r="AJ5491">
        <v>76.623424535466697</v>
      </c>
      <c r="AK5491">
        <v>60.063515251411097</v>
      </c>
      <c r="AL5491">
        <v>89.538425877189098</v>
      </c>
      <c r="AM5491">
        <v>87.558215912831997</v>
      </c>
      <c r="AN5491">
        <v>0.99999999406471596</v>
      </c>
    </row>
    <row r="5492" spans="1:40" x14ac:dyDescent="0.25">
      <c r="A5492" t="str">
        <f>"20190312161126451"</f>
        <v>20190312161126451</v>
      </c>
      <c r="B5492" t="str">
        <f>"1552378286442373"</f>
        <v>1552378286442373</v>
      </c>
      <c r="C5492" t="s">
        <v>40</v>
      </c>
      <c r="D5492">
        <v>5.495355</v>
      </c>
      <c r="E5492">
        <v>0.57355669999999903</v>
      </c>
      <c r="F5492" t="s">
        <v>101</v>
      </c>
      <c r="G5492">
        <v>-279.33690000000001</v>
      </c>
      <c r="H5492">
        <v>0.54476669999999905</v>
      </c>
      <c r="I5492">
        <v>3.971994</v>
      </c>
      <c r="J5492">
        <v>-337.57060000000001</v>
      </c>
      <c r="K5492">
        <v>1.109977</v>
      </c>
      <c r="L5492">
        <v>17.313690000000001</v>
      </c>
      <c r="M5492">
        <v>0.99989799999999995</v>
      </c>
      <c r="N5492">
        <v>0</v>
      </c>
      <c r="O5492">
        <v>7.7016630000000001E-3</v>
      </c>
      <c r="P5492">
        <v>0.99936069999999999</v>
      </c>
      <c r="Q5492">
        <v>-4.301694E-3</v>
      </c>
      <c r="R5492">
        <v>-3.5495150000000003E-2</v>
      </c>
      <c r="S5492">
        <v>2.9779659999999999</v>
      </c>
      <c r="T5492">
        <v>-2.8751849999999999E-2</v>
      </c>
      <c r="U5492">
        <v>-0.67858890000000005</v>
      </c>
      <c r="V5492">
        <v>4.3190369999999999E-2</v>
      </c>
      <c r="W5492">
        <v>7.7211729999999996E-3</v>
      </c>
      <c r="X5492">
        <v>0.99903699999999995</v>
      </c>
      <c r="Y5492">
        <v>0.22966729999999999</v>
      </c>
      <c r="Z5492">
        <v>-1.1680849999999999E-3</v>
      </c>
      <c r="AA5492">
        <v>0.97326849999999998</v>
      </c>
      <c r="AB5492">
        <v>32</v>
      </c>
      <c r="AC5492">
        <v>58.233699999999999</v>
      </c>
      <c r="AD5492">
        <v>-0.56521030000000005</v>
      </c>
      <c r="AE5492">
        <v>-13.341695999999899</v>
      </c>
      <c r="AF5492">
        <v>13.788594864525001</v>
      </c>
      <c r="AG5492">
        <v>-0.56521030000000005</v>
      </c>
      <c r="AH5492">
        <v>58.1240094961925</v>
      </c>
      <c r="AI5492">
        <v>90.542094896330397</v>
      </c>
      <c r="AJ5492">
        <v>76.654579263601505</v>
      </c>
      <c r="AK5492">
        <v>59.739813281719499</v>
      </c>
      <c r="AL5492">
        <v>89.557604967830201</v>
      </c>
      <c r="AM5492">
        <v>87.524530176314101</v>
      </c>
      <c r="AN5492">
        <v>0.99999997597111601</v>
      </c>
    </row>
    <row r="5493" spans="1:40" x14ac:dyDescent="0.25">
      <c r="A5493" t="str">
        <f>"20190312161126473"</f>
        <v>20190312161126473</v>
      </c>
      <c r="B5493" t="str">
        <f>"1552378286462869"</f>
        <v>1552378286462869</v>
      </c>
      <c r="C5493" t="s">
        <v>40</v>
      </c>
      <c r="D5493">
        <v>5.5858109999999996</v>
      </c>
      <c r="E5493">
        <v>0.57493700000000003</v>
      </c>
      <c r="F5493" t="s">
        <v>101</v>
      </c>
      <c r="G5493">
        <v>-279.33690000000001</v>
      </c>
      <c r="H5493">
        <v>0.20837459999999999</v>
      </c>
      <c r="I5493">
        <v>3.780659</v>
      </c>
      <c r="J5493">
        <v>-337.26229999999998</v>
      </c>
      <c r="K5493">
        <v>1.1099859999999999</v>
      </c>
      <c r="L5493">
        <v>17.316129999999902</v>
      </c>
      <c r="M5493">
        <v>0.99989419999999996</v>
      </c>
      <c r="N5493">
        <v>0</v>
      </c>
      <c r="O5493">
        <v>7.7448930000000001E-3</v>
      </c>
      <c r="P5493">
        <v>0.99935940000000001</v>
      </c>
      <c r="Q5493">
        <v>-3.686585E-3</v>
      </c>
      <c r="R5493">
        <v>-3.5601149999999998E-2</v>
      </c>
      <c r="S5493">
        <v>2.9771420000000002</v>
      </c>
      <c r="T5493">
        <v>-4.6093580000000002E-2</v>
      </c>
      <c r="U5493">
        <v>-0.69186400000000003</v>
      </c>
      <c r="V5493">
        <v>4.3339759999999998E-2</v>
      </c>
      <c r="W5493">
        <v>8.6180749999999993E-3</v>
      </c>
      <c r="X5493">
        <v>0.9990232</v>
      </c>
      <c r="Y5493">
        <v>0.2338701</v>
      </c>
      <c r="Z5493">
        <v>-1.904899E-3</v>
      </c>
      <c r="AA5493">
        <v>0.97226599999999996</v>
      </c>
      <c r="AB5493">
        <v>32</v>
      </c>
      <c r="AC5493">
        <v>57.925399999999897</v>
      </c>
      <c r="AD5493">
        <v>-0.90161139999999995</v>
      </c>
      <c r="AE5493">
        <v>-13.5354709999999</v>
      </c>
      <c r="AF5493">
        <v>13.980513314826601</v>
      </c>
      <c r="AG5493">
        <v>-0.90161139999999995</v>
      </c>
      <c r="AH5493">
        <v>57.805544211939498</v>
      </c>
      <c r="AI5493">
        <v>90.868550703539498</v>
      </c>
      <c r="AJ5493">
        <v>76.403857576114504</v>
      </c>
      <c r="AK5493">
        <v>59.478976094929102</v>
      </c>
      <c r="AL5493">
        <v>89.506214552664801</v>
      </c>
      <c r="AM5493">
        <v>87.515944277510101</v>
      </c>
      <c r="AN5493">
        <v>0.99999998007590096</v>
      </c>
    </row>
    <row r="5494" spans="1:40" x14ac:dyDescent="0.25">
      <c r="A5494" t="str">
        <f>"20190312161126495"</f>
        <v>20190312161126495</v>
      </c>
      <c r="B5494" t="str">
        <f>"1552378286493122"</f>
        <v>1552378286493122</v>
      </c>
      <c r="C5494" t="s">
        <v>40</v>
      </c>
      <c r="D5494">
        <v>5.215452</v>
      </c>
      <c r="E5494">
        <v>0.57317130000000005</v>
      </c>
      <c r="F5494" t="s">
        <v>101</v>
      </c>
      <c r="G5494">
        <v>-279.02</v>
      </c>
      <c r="H5494">
        <v>0.40671089999999999</v>
      </c>
      <c r="I5494">
        <v>3.5494140000000001</v>
      </c>
      <c r="J5494">
        <v>-336.95409999999998</v>
      </c>
      <c r="K5494">
        <v>1.1099889999999999</v>
      </c>
      <c r="L5494">
        <v>17.318539999999999</v>
      </c>
      <c r="M5494">
        <v>0.99989090000000003</v>
      </c>
      <c r="N5494">
        <v>0</v>
      </c>
      <c r="O5494">
        <v>7.7699630000000004E-3</v>
      </c>
      <c r="P5494">
        <v>0.99933799999999995</v>
      </c>
      <c r="Q5494">
        <v>-3.9981319999999997E-3</v>
      </c>
      <c r="R5494">
        <v>-3.61625E-2</v>
      </c>
      <c r="S5494">
        <v>2.9767459999999999</v>
      </c>
      <c r="T5494">
        <v>-3.5944219999999999E-2</v>
      </c>
      <c r="U5494">
        <v>-0.7036133</v>
      </c>
      <c r="V5494">
        <v>4.3926359999999998E-2</v>
      </c>
      <c r="W5494">
        <v>8.559901E-3</v>
      </c>
      <c r="X5494">
        <v>0.9989981</v>
      </c>
      <c r="Y5494">
        <v>0.23756959999999999</v>
      </c>
      <c r="Z5494">
        <v>-1.5073560000000001E-3</v>
      </c>
      <c r="AA5494">
        <v>0.97136929999999999</v>
      </c>
      <c r="AB5494">
        <v>32</v>
      </c>
      <c r="AC5494">
        <v>57.934100000000001</v>
      </c>
      <c r="AD5494">
        <v>-0.70327809999999902</v>
      </c>
      <c r="AE5494">
        <v>-13.769125999999901</v>
      </c>
      <c r="AF5494">
        <v>14.216908609621701</v>
      </c>
      <c r="AG5494">
        <v>-0.70327809999999902</v>
      </c>
      <c r="AH5494">
        <v>57.817292309086</v>
      </c>
      <c r="AI5494">
        <v>90.676743157546198</v>
      </c>
      <c r="AJ5494">
        <v>76.185402977452398</v>
      </c>
      <c r="AK5494">
        <v>59.543718228328501</v>
      </c>
      <c r="AL5494">
        <v>89.509547810330403</v>
      </c>
      <c r="AM5494">
        <v>87.4823025908657</v>
      </c>
      <c r="AN5494">
        <v>1.0000000004057901</v>
      </c>
    </row>
    <row r="5495" spans="1:40" x14ac:dyDescent="0.25">
      <c r="A5495" t="str">
        <f>"20190312161126519"</f>
        <v>20190312161126519</v>
      </c>
      <c r="B5495" t="str">
        <f>"1552378286512642"</f>
        <v>1552378286512642</v>
      </c>
      <c r="C5495" t="s">
        <v>40</v>
      </c>
      <c r="D5495">
        <v>5.6338509999999999</v>
      </c>
      <c r="E5495">
        <v>0.57293119999999997</v>
      </c>
      <c r="F5495" t="s">
        <v>101</v>
      </c>
      <c r="G5495">
        <v>-279.33690000000001</v>
      </c>
      <c r="H5495">
        <v>0.74973040000000002</v>
      </c>
      <c r="I5495">
        <v>3.9306390000000002</v>
      </c>
      <c r="J5495">
        <v>-336.62779999999998</v>
      </c>
      <c r="K5495">
        <v>1.1099870000000001</v>
      </c>
      <c r="L5495">
        <v>17.32114</v>
      </c>
      <c r="M5495">
        <v>0.99988779999999999</v>
      </c>
      <c r="N5495">
        <v>0</v>
      </c>
      <c r="O5495">
        <v>7.7831200000000001E-3</v>
      </c>
      <c r="P5495">
        <v>0.99931230000000004</v>
      </c>
      <c r="Q5495">
        <v>-4.9284619999999998E-3</v>
      </c>
      <c r="R5495">
        <v>-3.6757070000000003E-2</v>
      </c>
      <c r="S5495">
        <v>2.9768979999999998</v>
      </c>
      <c r="T5495">
        <v>-1.8613459999999998E-2</v>
      </c>
      <c r="U5495">
        <v>-0.69171139999999998</v>
      </c>
      <c r="V5495">
        <v>4.4534150000000002E-2</v>
      </c>
      <c r="W5495">
        <v>7.8685109999999999E-3</v>
      </c>
      <c r="X5495">
        <v>0.99897689999999995</v>
      </c>
      <c r="Y5495">
        <v>0.23390059999999999</v>
      </c>
      <c r="Z5495">
        <v>-7.6966749999999998E-4</v>
      </c>
      <c r="AA5495">
        <v>0.97226020000000002</v>
      </c>
      <c r="AB5495">
        <v>32</v>
      </c>
      <c r="AC5495">
        <v>57.290899999999901</v>
      </c>
      <c r="AD5495">
        <v>-0.36025659999999998</v>
      </c>
      <c r="AE5495">
        <v>-13.390501</v>
      </c>
      <c r="AF5495">
        <v>13.8355150870531</v>
      </c>
      <c r="AG5495">
        <v>-0.36025659999999998</v>
      </c>
      <c r="AH5495">
        <v>57.182792053892001</v>
      </c>
      <c r="AI5495">
        <v>90.350840690198297</v>
      </c>
      <c r="AJ5495">
        <v>76.398540617501197</v>
      </c>
      <c r="AK5495">
        <v>58.833859040696801</v>
      </c>
      <c r="AL5495">
        <v>89.549162887850301</v>
      </c>
      <c r="AM5495">
        <v>87.447457966455403</v>
      </c>
      <c r="AN5495">
        <v>1.00000002535759</v>
      </c>
    </row>
    <row r="5496" spans="1:40" x14ac:dyDescent="0.25">
      <c r="A5496" t="str">
        <f>"20190312161126540"</f>
        <v>20190312161126540</v>
      </c>
      <c r="B5496" t="str">
        <f>"1552378286533138"</f>
        <v>1552378286533138</v>
      </c>
      <c r="C5496" t="s">
        <v>40</v>
      </c>
      <c r="D5496">
        <v>5.5569699999999997</v>
      </c>
      <c r="E5496">
        <v>0.57379820000000004</v>
      </c>
      <c r="F5496" t="s">
        <v>101</v>
      </c>
      <c r="G5496">
        <v>-279.33690000000001</v>
      </c>
      <c r="H5496">
        <v>1.0453520000000001</v>
      </c>
      <c r="I5496">
        <v>3.9988630000000001</v>
      </c>
      <c r="J5496">
        <v>-336.29860000000002</v>
      </c>
      <c r="K5496">
        <v>1.1099870000000001</v>
      </c>
      <c r="L5496">
        <v>17.323699999999999</v>
      </c>
      <c r="M5496">
        <v>0.99988500000000002</v>
      </c>
      <c r="N5496">
        <v>0</v>
      </c>
      <c r="O5496">
        <v>7.7822430000000003E-3</v>
      </c>
      <c r="P5496">
        <v>0.99926999999999999</v>
      </c>
      <c r="Q5496">
        <v>-5.453973E-3</v>
      </c>
      <c r="R5496">
        <v>-3.7810990000000003E-2</v>
      </c>
      <c r="S5496">
        <v>2.9765929999999998</v>
      </c>
      <c r="T5496">
        <v>-3.3581259999999999E-3</v>
      </c>
      <c r="U5496">
        <v>-0.69216919999999904</v>
      </c>
      <c r="V5496">
        <v>4.5587139999999998E-2</v>
      </c>
      <c r="W5496">
        <v>7.5542859999999899E-3</v>
      </c>
      <c r="X5496">
        <v>0.99893180000000004</v>
      </c>
      <c r="Y5496">
        <v>0.234068</v>
      </c>
      <c r="Z5496">
        <v>-1.3896359999999999E-4</v>
      </c>
      <c r="AA5496">
        <v>0.97222019999999998</v>
      </c>
      <c r="AB5496">
        <v>32</v>
      </c>
      <c r="AC5496">
        <v>56.9617</v>
      </c>
      <c r="AD5496">
        <v>-6.4634999999999998E-2</v>
      </c>
      <c r="AE5496">
        <v>-13.324837</v>
      </c>
      <c r="AF5496">
        <v>13.7677439679656</v>
      </c>
      <c r="AG5496">
        <v>-6.4634999999999998E-2</v>
      </c>
      <c r="AH5496">
        <v>56.856199474181899</v>
      </c>
      <c r="AI5496">
        <v>90.063305129142805</v>
      </c>
      <c r="AJ5496">
        <v>76.387832290303194</v>
      </c>
      <c r="AK5496">
        <v>58.499421965508702</v>
      </c>
      <c r="AL5496">
        <v>89.567167177188793</v>
      </c>
      <c r="AM5496">
        <v>87.387069128791296</v>
      </c>
      <c r="AN5496">
        <v>0.99999999781079396</v>
      </c>
    </row>
    <row r="5497" spans="1:40" x14ac:dyDescent="0.25">
      <c r="A5497" t="str">
        <f>"20190312161126563"</f>
        <v>20190312161126563</v>
      </c>
      <c r="B5497" t="str">
        <f>"1552378286552661"</f>
        <v>1552378286552661</v>
      </c>
      <c r="C5497" t="s">
        <v>40</v>
      </c>
      <c r="D5497">
        <v>5.6339699999999997</v>
      </c>
      <c r="E5497">
        <v>0.57436899999999902</v>
      </c>
      <c r="F5497" t="s">
        <v>101</v>
      </c>
      <c r="G5497">
        <v>-279.33690000000001</v>
      </c>
      <c r="H5497">
        <v>0.95676039999999996</v>
      </c>
      <c r="I5497">
        <v>3.8830490000000002</v>
      </c>
      <c r="J5497">
        <v>-335.99700000000001</v>
      </c>
      <c r="K5497">
        <v>1.109979</v>
      </c>
      <c r="L5497">
        <v>17.325990000000001</v>
      </c>
      <c r="M5497">
        <v>0.99988299999999997</v>
      </c>
      <c r="N5497">
        <v>0</v>
      </c>
      <c r="O5497">
        <v>7.7583309999999898E-3</v>
      </c>
      <c r="P5497">
        <v>0.99925010000000003</v>
      </c>
      <c r="Q5497">
        <v>-5.5318240000000003E-3</v>
      </c>
      <c r="R5497">
        <v>-3.8329719999999998E-2</v>
      </c>
      <c r="S5497">
        <v>2.9755859999999998</v>
      </c>
      <c r="T5497">
        <v>-8.0043079999999999E-3</v>
      </c>
      <c r="U5497">
        <v>-0.70211789999999996</v>
      </c>
      <c r="V5497">
        <v>4.6081990000000003E-2</v>
      </c>
      <c r="W5497">
        <v>7.6458350000000001E-3</v>
      </c>
      <c r="X5497">
        <v>0.99890840000000003</v>
      </c>
      <c r="Y5497">
        <v>0.23719689999999999</v>
      </c>
      <c r="Z5497">
        <v>-3.3530080000000002E-4</v>
      </c>
      <c r="AA5497">
        <v>0.97146149999999998</v>
      </c>
      <c r="AB5497">
        <v>32</v>
      </c>
      <c r="AC5497">
        <v>56.6600999999999</v>
      </c>
      <c r="AD5497">
        <v>-0.15321860000000001</v>
      </c>
      <c r="AE5497">
        <v>-13.442940999999999</v>
      </c>
      <c r="AF5497">
        <v>13.882066257639201</v>
      </c>
      <c r="AG5497">
        <v>-0.15321860000000001</v>
      </c>
      <c r="AH5497">
        <v>56.553699081198602</v>
      </c>
      <c r="AI5497">
        <v>90.150753406592997</v>
      </c>
      <c r="AJ5497">
        <v>76.208460629452006</v>
      </c>
      <c r="AK5497">
        <v>58.2327753012651</v>
      </c>
      <c r="AL5497">
        <v>89.561921655361303</v>
      </c>
      <c r="AM5497">
        <v>87.358683838290403</v>
      </c>
      <c r="AN5497">
        <v>1.0000000000928799</v>
      </c>
    </row>
    <row r="5498" spans="1:40" x14ac:dyDescent="0.25">
      <c r="A5498" t="str">
        <f>"20190312161126584"</f>
        <v>20190312161126584</v>
      </c>
      <c r="B5498" t="str">
        <f>"1552378286572178"</f>
        <v>1552378286572178</v>
      </c>
      <c r="C5498" t="s">
        <v>40</v>
      </c>
      <c r="D5498">
        <v>5.6933769999999999</v>
      </c>
      <c r="E5498">
        <v>0.57481289999999996</v>
      </c>
      <c r="F5498" t="s">
        <v>101</v>
      </c>
      <c r="G5498">
        <v>-279.33690000000001</v>
      </c>
      <c r="H5498">
        <v>0.87560490000000002</v>
      </c>
      <c r="I5498">
        <v>3.8407040000000001</v>
      </c>
      <c r="J5498">
        <v>-335.69900000000001</v>
      </c>
      <c r="K5498">
        <v>1.1099589999999999</v>
      </c>
      <c r="L5498">
        <v>17.328279999999999</v>
      </c>
      <c r="M5498">
        <v>0.99988129999999997</v>
      </c>
      <c r="N5498">
        <v>0</v>
      </c>
      <c r="O5498">
        <v>7.7023559999999996E-3</v>
      </c>
      <c r="P5498">
        <v>0.99924250000000003</v>
      </c>
      <c r="Q5498">
        <v>-5.2759670000000003E-3</v>
      </c>
      <c r="R5498">
        <v>-3.8560079999999997E-2</v>
      </c>
      <c r="S5498">
        <v>2.9750369999999999</v>
      </c>
      <c r="T5498">
        <v>-1.230621E-2</v>
      </c>
      <c r="U5498">
        <v>-0.70806880000000005</v>
      </c>
      <c r="V5498">
        <v>4.625696E-2</v>
      </c>
      <c r="W5498">
        <v>8.0473190000000007E-3</v>
      </c>
      <c r="X5498">
        <v>0.99889709999999998</v>
      </c>
      <c r="Y5498">
        <v>0.23902090000000001</v>
      </c>
      <c r="Z5498">
        <v>-5.1897409999999999E-4</v>
      </c>
      <c r="AA5498">
        <v>0.9710143</v>
      </c>
      <c r="AB5498">
        <v>32</v>
      </c>
      <c r="AC5498">
        <v>56.362099999999998</v>
      </c>
      <c r="AD5498">
        <v>-0.23435409999999901</v>
      </c>
      <c r="AE5498">
        <v>-13.487576000000001</v>
      </c>
      <c r="AF5498">
        <v>13.9211078066346</v>
      </c>
      <c r="AG5498">
        <v>-0.23435409999999901</v>
      </c>
      <c r="AH5498">
        <v>56.255612512954997</v>
      </c>
      <c r="AI5498">
        <v>90.231697162267693</v>
      </c>
      <c r="AJ5498">
        <v>76.100718645666106</v>
      </c>
      <c r="AK5498">
        <v>57.952964580044302</v>
      </c>
      <c r="AL5498">
        <v>89.538917581061696</v>
      </c>
      <c r="AM5498">
        <v>87.348639284176997</v>
      </c>
      <c r="AN5498">
        <v>0.99999994103996703</v>
      </c>
    </row>
    <row r="5499" spans="1:40" x14ac:dyDescent="0.25">
      <c r="A5499" t="str">
        <f>"20190312161126607"</f>
        <v>20190312161126607</v>
      </c>
      <c r="B5499" t="str">
        <f>"1552378286602434"</f>
        <v>1552378286602434</v>
      </c>
      <c r="C5499" t="s">
        <v>40</v>
      </c>
      <c r="D5499">
        <v>5.6554190000000002</v>
      </c>
      <c r="E5499">
        <v>0.57556379999999996</v>
      </c>
      <c r="F5499" t="s">
        <v>101</v>
      </c>
      <c r="G5499">
        <v>-279.33690000000001</v>
      </c>
      <c r="H5499">
        <v>0.9372104</v>
      </c>
      <c r="I5499">
        <v>3.8323140000000002</v>
      </c>
      <c r="J5499">
        <v>-335.37619999999998</v>
      </c>
      <c r="K5499">
        <v>1.1099300000000001</v>
      </c>
      <c r="L5499">
        <v>17.330660000000002</v>
      </c>
      <c r="M5499">
        <v>0.99988030000000006</v>
      </c>
      <c r="N5499">
        <v>0</v>
      </c>
      <c r="O5499">
        <v>7.5938830000000001E-3</v>
      </c>
      <c r="P5499">
        <v>0.99921150000000003</v>
      </c>
      <c r="Q5499">
        <v>-5.418806E-3</v>
      </c>
      <c r="R5499">
        <v>-3.9328679999999998E-2</v>
      </c>
      <c r="S5499">
        <v>2.9747620000000001</v>
      </c>
      <c r="T5499">
        <v>-9.1176030000000002E-3</v>
      </c>
      <c r="U5499">
        <v>-0.71231080000000002</v>
      </c>
      <c r="V5499">
        <v>4.6917739999999999E-2</v>
      </c>
      <c r="W5499">
        <v>8.0396909999999999E-3</v>
      </c>
      <c r="X5499">
        <v>0.99886640000000004</v>
      </c>
      <c r="Y5499">
        <v>0.2402464</v>
      </c>
      <c r="Z5499">
        <v>-3.8600139999999999E-4</v>
      </c>
      <c r="AA5499">
        <v>0.97071189999999996</v>
      </c>
      <c r="AB5499">
        <v>31</v>
      </c>
      <c r="AC5499">
        <v>56.039299999999898</v>
      </c>
      <c r="AD5499">
        <v>-0.172719599999999</v>
      </c>
      <c r="AE5499">
        <v>-13.498346</v>
      </c>
      <c r="AF5499">
        <v>13.9234262657094</v>
      </c>
      <c r="AG5499">
        <v>-0.172719599999999</v>
      </c>
      <c r="AH5499">
        <v>55.934667487454902</v>
      </c>
      <c r="AI5499">
        <v>90.171682990793201</v>
      </c>
      <c r="AJ5499">
        <v>76.021847937648502</v>
      </c>
      <c r="AK5499">
        <v>57.641813451426202</v>
      </c>
      <c r="AL5499">
        <v>89.539354673673103</v>
      </c>
      <c r="AM5499">
        <v>87.310737312336499</v>
      </c>
      <c r="AN5499">
        <v>0.99999999800352102</v>
      </c>
    </row>
    <row r="5500" spans="1:40" x14ac:dyDescent="0.25">
      <c r="A5500" t="str">
        <f>"20190312161126631"</f>
        <v>20190312161126631</v>
      </c>
      <c r="B5500" t="str">
        <f>"1552378286622930"</f>
        <v>1552378286622930</v>
      </c>
      <c r="C5500" t="s">
        <v>40</v>
      </c>
      <c r="D5500">
        <v>5.612692</v>
      </c>
      <c r="E5500">
        <v>0.57548980000000005</v>
      </c>
      <c r="F5500" t="s">
        <v>101</v>
      </c>
      <c r="G5500">
        <v>-279.33690000000001</v>
      </c>
      <c r="H5500">
        <v>0.98703839999999998</v>
      </c>
      <c r="I5500">
        <v>3.7486760000000001</v>
      </c>
      <c r="J5500">
        <v>-335.03879999999998</v>
      </c>
      <c r="K5500">
        <v>1.109901</v>
      </c>
      <c r="L5500">
        <v>17.333069999999999</v>
      </c>
      <c r="M5500">
        <v>0.99987979999999999</v>
      </c>
      <c r="N5500">
        <v>0</v>
      </c>
      <c r="O5500">
        <v>7.4342660000000001E-3</v>
      </c>
      <c r="P5500">
        <v>0.99918039999999997</v>
      </c>
      <c r="Q5500">
        <v>-5.4361459999999898E-3</v>
      </c>
      <c r="R5500">
        <v>-4.0109810000000003E-2</v>
      </c>
      <c r="S5500">
        <v>2.9739990000000001</v>
      </c>
      <c r="T5500">
        <v>-6.5218209999999997E-3</v>
      </c>
      <c r="U5500">
        <v>-0.72079469999999901</v>
      </c>
      <c r="V5500">
        <v>4.7539890000000001E-2</v>
      </c>
      <c r="W5500">
        <v>8.1426850000000002E-3</v>
      </c>
      <c r="X5500">
        <v>0.99883619999999995</v>
      </c>
      <c r="Y5500">
        <v>0.2427648</v>
      </c>
      <c r="Z5500">
        <v>-2.7846179999999998E-4</v>
      </c>
      <c r="AA5500">
        <v>0.97008510000000003</v>
      </c>
      <c r="AB5500">
        <v>31</v>
      </c>
      <c r="AC5500">
        <v>55.701899999999902</v>
      </c>
      <c r="AD5500">
        <v>-0.1228626</v>
      </c>
      <c r="AE5500">
        <v>-13.584394</v>
      </c>
      <c r="AF5500">
        <v>13.9980953272481</v>
      </c>
      <c r="AG5500">
        <v>-0.1228626</v>
      </c>
      <c r="AH5500">
        <v>55.599105756635097</v>
      </c>
      <c r="AI5500">
        <v>90.1227801408386</v>
      </c>
      <c r="AJ5500">
        <v>75.868437026763104</v>
      </c>
      <c r="AK5500">
        <v>57.334303248114097</v>
      </c>
      <c r="AL5500">
        <v>89.533453382969199</v>
      </c>
      <c r="AM5500">
        <v>87.275047631554102</v>
      </c>
      <c r="AN5500">
        <v>1.0000000494453201</v>
      </c>
    </row>
    <row r="5501" spans="1:40" x14ac:dyDescent="0.25">
      <c r="A5501" t="str">
        <f>"20190312161126653"</f>
        <v>20190312161126653</v>
      </c>
      <c r="B5501" t="str">
        <f>"1552378286642450"</f>
        <v>1552378286642450</v>
      </c>
      <c r="C5501" t="s">
        <v>40</v>
      </c>
      <c r="D5501">
        <v>5.6969770000000004</v>
      </c>
      <c r="E5501">
        <v>0.5748799</v>
      </c>
      <c r="F5501" t="s">
        <v>101</v>
      </c>
      <c r="G5501">
        <v>-279.33690000000001</v>
      </c>
      <c r="H5501">
        <v>0.94447369999999997</v>
      </c>
      <c r="I5501">
        <v>3.7993549999999998</v>
      </c>
      <c r="J5501">
        <v>-334.7364</v>
      </c>
      <c r="K5501">
        <v>1.109877</v>
      </c>
      <c r="L5501">
        <v>17.335139999999999</v>
      </c>
      <c r="M5501">
        <v>0.99987999999999999</v>
      </c>
      <c r="N5501">
        <v>0</v>
      </c>
      <c r="O5501">
        <v>7.2423219999999998E-3</v>
      </c>
      <c r="P5501">
        <v>0.99916990000000006</v>
      </c>
      <c r="Q5501">
        <v>-5.1111289999999998E-3</v>
      </c>
      <c r="R5501">
        <v>-4.0422609999999998E-2</v>
      </c>
      <c r="S5501">
        <v>2.9734189999999998</v>
      </c>
      <c r="T5501">
        <v>-8.8306670000000004E-3</v>
      </c>
      <c r="U5501">
        <v>-0.72244259999999905</v>
      </c>
      <c r="V5501">
        <v>4.7661620000000002E-2</v>
      </c>
      <c r="W5501">
        <v>8.5608560000000004E-3</v>
      </c>
      <c r="X5501">
        <v>0.99882689999999996</v>
      </c>
      <c r="Y5501">
        <v>0.24312909999999999</v>
      </c>
      <c r="Z5501">
        <v>-3.770604E-4</v>
      </c>
      <c r="AA5501">
        <v>0.96999389999999996</v>
      </c>
      <c r="AB5501">
        <v>31</v>
      </c>
      <c r="AC5501">
        <v>55.399499999999897</v>
      </c>
      <c r="AD5501">
        <v>-0.1654033</v>
      </c>
      <c r="AE5501">
        <v>-13.535785000000001</v>
      </c>
      <c r="AF5501">
        <v>13.9365713555525</v>
      </c>
      <c r="AG5501">
        <v>-0.1654033</v>
      </c>
      <c r="AH5501">
        <v>55.299541940733199</v>
      </c>
      <c r="AI5501">
        <v>90.166177593093394</v>
      </c>
      <c r="AJ5501">
        <v>75.854897733453498</v>
      </c>
      <c r="AK5501">
        <v>57.028893714107497</v>
      </c>
      <c r="AL5501">
        <v>89.509493113819303</v>
      </c>
      <c r="AM5501">
        <v>87.268055314329402</v>
      </c>
      <c r="AN5501">
        <v>1.0000000472200401</v>
      </c>
    </row>
    <row r="5502" spans="1:40" x14ac:dyDescent="0.25">
      <c r="A5502" t="str">
        <f>"20190312161126673"</f>
        <v>20190312161126673</v>
      </c>
      <c r="B5502" t="str">
        <f>"1552378286662946"</f>
        <v>1552378286662946</v>
      </c>
      <c r="C5502" t="s">
        <v>40</v>
      </c>
      <c r="D5502">
        <v>5.6500599999999999</v>
      </c>
      <c r="E5502">
        <v>0.57478219999999902</v>
      </c>
      <c r="F5502" t="s">
        <v>101</v>
      </c>
      <c r="G5502">
        <v>-279.33690000000001</v>
      </c>
      <c r="H5502">
        <v>0.9452007</v>
      </c>
      <c r="I5502">
        <v>3.9493900000000002</v>
      </c>
      <c r="J5502">
        <v>-334.44349999999997</v>
      </c>
      <c r="K5502">
        <v>1.109845</v>
      </c>
      <c r="L5502">
        <v>17.337009999999999</v>
      </c>
      <c r="M5502">
        <v>0.9998804</v>
      </c>
      <c r="N5502">
        <v>0</v>
      </c>
      <c r="O5502">
        <v>7.0016740000000003E-3</v>
      </c>
      <c r="P5502">
        <v>0.99916110000000002</v>
      </c>
      <c r="Q5502">
        <v>-4.5976200000000002E-3</v>
      </c>
      <c r="R5502">
        <v>-4.0694769999999998E-2</v>
      </c>
      <c r="S5502">
        <v>2.9734189999999998</v>
      </c>
      <c r="T5502">
        <v>-8.8385340000000003E-3</v>
      </c>
      <c r="U5502">
        <v>-0.71844479999999999</v>
      </c>
      <c r="V5502">
        <v>4.7694470000000003E-2</v>
      </c>
      <c r="W5502">
        <v>9.1516340000000005E-3</v>
      </c>
      <c r="X5502">
        <v>0.99882009999999999</v>
      </c>
      <c r="Y5502">
        <v>0.2416635</v>
      </c>
      <c r="Z5502">
        <v>-3.7460230000000002E-4</v>
      </c>
      <c r="AA5502">
        <v>0.97036</v>
      </c>
      <c r="AB5502">
        <v>31</v>
      </c>
      <c r="AC5502">
        <v>55.106599999999901</v>
      </c>
      <c r="AD5502">
        <v>-0.16464429999999899</v>
      </c>
      <c r="AE5502">
        <v>-13.387619999999901</v>
      </c>
      <c r="AF5502">
        <v>13.773050824982301</v>
      </c>
      <c r="AG5502">
        <v>-0.16464429999999899</v>
      </c>
      <c r="AH5502">
        <v>55.011040609965498</v>
      </c>
      <c r="AI5502">
        <v>90.166347418889401</v>
      </c>
      <c r="AJ5502">
        <v>75.943868007455706</v>
      </c>
      <c r="AK5502">
        <v>56.709246386849003</v>
      </c>
      <c r="AL5502">
        <v>89.475642704677099</v>
      </c>
      <c r="AM5502">
        <v>87.266156637542196</v>
      </c>
      <c r="AN5502">
        <v>1.0000000535187199</v>
      </c>
    </row>
    <row r="5503" spans="1:40" x14ac:dyDescent="0.25">
      <c r="A5503" t="str">
        <f>"20190312161126696"</f>
        <v>20190312161126696</v>
      </c>
      <c r="B5503" t="str">
        <f>"1552378286682470"</f>
        <v>1552378286682470</v>
      </c>
      <c r="C5503" t="s">
        <v>40</v>
      </c>
      <c r="D5503">
        <v>5.5813870000000003</v>
      </c>
      <c r="E5503">
        <v>0.57402739999999997</v>
      </c>
      <c r="F5503" t="s">
        <v>101</v>
      </c>
      <c r="G5503">
        <v>-279.33690000000001</v>
      </c>
      <c r="H5503">
        <v>0.98620640000000004</v>
      </c>
      <c r="I5503">
        <v>4.0211959999999998</v>
      </c>
      <c r="J5503">
        <v>-334.13130000000001</v>
      </c>
      <c r="K5503">
        <v>1.109802</v>
      </c>
      <c r="L5503">
        <v>17.338899999999999</v>
      </c>
      <c r="M5503">
        <v>0.99988160000000004</v>
      </c>
      <c r="N5503">
        <v>0</v>
      </c>
      <c r="O5503">
        <v>6.6805669999999897E-3</v>
      </c>
      <c r="P5503">
        <v>0.99917270000000002</v>
      </c>
      <c r="Q5503">
        <v>-4.2862239999999999E-3</v>
      </c>
      <c r="R5503">
        <v>-4.0444580000000001E-2</v>
      </c>
      <c r="S5503">
        <v>2.973236</v>
      </c>
      <c r="T5503">
        <v>-6.6708330000000001E-3</v>
      </c>
      <c r="U5503">
        <v>-0.71844479999999999</v>
      </c>
      <c r="V5503">
        <v>4.712496E-2</v>
      </c>
      <c r="W5503">
        <v>9.5340389999999994E-3</v>
      </c>
      <c r="X5503">
        <v>0.9988435</v>
      </c>
      <c r="Y5503">
        <v>0.241366</v>
      </c>
      <c r="Z5503">
        <v>-2.8170659999999999E-4</v>
      </c>
      <c r="AA5503">
        <v>0.97043409999999997</v>
      </c>
      <c r="AB5503">
        <v>31</v>
      </c>
      <c r="AC5503">
        <v>54.794400000000003</v>
      </c>
      <c r="AD5503">
        <v>-0.123595599999999</v>
      </c>
      <c r="AE5503">
        <v>-13.317704000000001</v>
      </c>
      <c r="AF5503">
        <v>13.683433854786699</v>
      </c>
      <c r="AG5503">
        <v>-0.123595599999999</v>
      </c>
      <c r="AH5503">
        <v>54.703935851168602</v>
      </c>
      <c r="AI5503">
        <v>90.125582170184003</v>
      </c>
      <c r="AJ5503">
        <v>75.956412895475495</v>
      </c>
      <c r="AK5503">
        <v>56.389469190084</v>
      </c>
      <c r="AL5503">
        <v>89.453731526845601</v>
      </c>
      <c r="AM5503">
        <v>87.298815453173503</v>
      </c>
      <c r="AN5503">
        <v>0.99999999862345201</v>
      </c>
    </row>
    <row r="5504" spans="1:40" x14ac:dyDescent="0.25">
      <c r="A5504" t="str">
        <f>"20190312161126719"</f>
        <v>20190312161126719</v>
      </c>
      <c r="B5504" t="str">
        <f>"1552378286712722"</f>
        <v>1552378286712722</v>
      </c>
      <c r="C5504" t="s">
        <v>40</v>
      </c>
      <c r="D5504">
        <v>5.4578170000000004</v>
      </c>
      <c r="E5504">
        <v>0.57454910000000003</v>
      </c>
      <c r="F5504" t="s">
        <v>101</v>
      </c>
      <c r="G5504">
        <v>-279.33690000000001</v>
      </c>
      <c r="H5504">
        <v>1.18059</v>
      </c>
      <c r="I5504">
        <v>4.2179570000000002</v>
      </c>
      <c r="J5504">
        <v>-333.80829999999997</v>
      </c>
      <c r="K5504">
        <v>1.1097539999999999</v>
      </c>
      <c r="L5504">
        <v>17.34064</v>
      </c>
      <c r="M5504">
        <v>0.99988330000000003</v>
      </c>
      <c r="N5504">
        <v>0</v>
      </c>
      <c r="O5504">
        <v>6.2745989999999996E-3</v>
      </c>
      <c r="P5504">
        <v>0.99917420000000001</v>
      </c>
      <c r="Q5504">
        <v>-3.6854600000000002E-3</v>
      </c>
      <c r="R5504">
        <v>-4.0464300000000002E-2</v>
      </c>
      <c r="S5504">
        <v>2.9736630000000002</v>
      </c>
      <c r="T5504">
        <v>3.841639E-3</v>
      </c>
      <c r="U5504">
        <v>-0.71206669999999905</v>
      </c>
      <c r="V5504">
        <v>4.6741030000000003E-2</v>
      </c>
      <c r="W5504">
        <v>1.0197289999999999E-2</v>
      </c>
      <c r="X5504">
        <v>0.99885500000000005</v>
      </c>
      <c r="Y5504">
        <v>0.2389722</v>
      </c>
      <c r="Z5504">
        <v>1.602063E-4</v>
      </c>
      <c r="AA5504">
        <v>0.97102639999999996</v>
      </c>
      <c r="AB5504">
        <v>31</v>
      </c>
      <c r="AC5504">
        <v>54.471399999999903</v>
      </c>
      <c r="AD5504">
        <v>7.0835999999999899E-2</v>
      </c>
      <c r="AE5504">
        <v>-13.122682999999901</v>
      </c>
      <c r="AF5504">
        <v>13.4642224557332</v>
      </c>
      <c r="AG5504">
        <v>7.0835999999999899E-2</v>
      </c>
      <c r="AH5504">
        <v>54.387893002829898</v>
      </c>
      <c r="AI5504">
        <v>89.927563397853206</v>
      </c>
      <c r="AJ5504">
        <v>76.095453966898901</v>
      </c>
      <c r="AK5504">
        <v>56.029752894008404</v>
      </c>
      <c r="AL5504">
        <v>89.415728200076202</v>
      </c>
      <c r="AM5504">
        <v>87.320820776902295</v>
      </c>
      <c r="AN5504">
        <v>1.0000000098169</v>
      </c>
    </row>
    <row r="5505" spans="1:40" x14ac:dyDescent="0.25">
      <c r="A5505" t="str">
        <f>"20190312161126733"</f>
        <v>20190312161126733</v>
      </c>
      <c r="B5505" t="str">
        <f>"1552378286722483"</f>
        <v>1552378286722483</v>
      </c>
      <c r="C5505" t="s">
        <v>40</v>
      </c>
      <c r="D5505">
        <v>5.4446070000000004</v>
      </c>
      <c r="E5505">
        <v>0.57468069999999905</v>
      </c>
      <c r="F5505" t="s">
        <v>101</v>
      </c>
      <c r="G5505">
        <v>-279.33690000000001</v>
      </c>
      <c r="H5505">
        <v>1.1286940000000001</v>
      </c>
      <c r="I5505">
        <v>4.2224500000000003</v>
      </c>
      <c r="J5505">
        <v>-333.61360000000002</v>
      </c>
      <c r="K5505">
        <v>1.109721</v>
      </c>
      <c r="L5505">
        <v>17.34158</v>
      </c>
      <c r="M5505">
        <v>0.99988449999999995</v>
      </c>
      <c r="N5505">
        <v>0</v>
      </c>
      <c r="O5505">
        <v>5.9857720000000003E-3</v>
      </c>
      <c r="P5505">
        <v>0.99916340000000003</v>
      </c>
      <c r="Q5505">
        <v>-3.8089439999999999E-3</v>
      </c>
      <c r="R5505">
        <v>-4.0718539999999998E-2</v>
      </c>
      <c r="S5505">
        <v>2.9734799999999999</v>
      </c>
      <c r="T5505">
        <v>1.033902E-3</v>
      </c>
      <c r="U5505">
        <v>-0.71609500000000004</v>
      </c>
      <c r="V5505">
        <v>4.6707480000000003E-2</v>
      </c>
      <c r="W5505">
        <v>1.0104790000000001E-2</v>
      </c>
      <c r="X5505">
        <v>0.99885749999999995</v>
      </c>
      <c r="Y5505">
        <v>0.2399491</v>
      </c>
      <c r="Z5505" s="1">
        <v>4.3180679999999997E-5</v>
      </c>
      <c r="AA5505">
        <v>0.97078549999999997</v>
      </c>
      <c r="AB5505">
        <v>31</v>
      </c>
      <c r="AC5505">
        <v>54.276699999999998</v>
      </c>
      <c r="AD5505">
        <v>1.8973000000000101E-2</v>
      </c>
      <c r="AE5505">
        <v>-13.119129999999901</v>
      </c>
      <c r="AF5505">
        <v>13.4438130321081</v>
      </c>
      <c r="AG5505">
        <v>1.8973000000000101E-2</v>
      </c>
      <c r="AH5505">
        <v>54.197185407134199</v>
      </c>
      <c r="AI5505">
        <v>89.980532256238106</v>
      </c>
      <c r="AJ5505">
        <v>76.068758924445703</v>
      </c>
      <c r="AK5505">
        <v>55.839693542070002</v>
      </c>
      <c r="AL5505">
        <v>89.421028327250994</v>
      </c>
      <c r="AM5505">
        <v>87.322747743007696</v>
      </c>
      <c r="AN5505">
        <v>1.00000000038757</v>
      </c>
    </row>
    <row r="5506" spans="1:40" x14ac:dyDescent="0.25">
      <c r="A5506" t="str">
        <f>"20190312161126745"</f>
        <v>20190312161126745</v>
      </c>
      <c r="B5506" t="str">
        <f>"1552378286742979"</f>
        <v>1552378286742979</v>
      </c>
      <c r="C5506" t="s">
        <v>40</v>
      </c>
      <c r="D5506">
        <v>5.3947890000000003</v>
      </c>
      <c r="E5506">
        <v>0.57522050000000002</v>
      </c>
      <c r="F5506" t="s">
        <v>101</v>
      </c>
      <c r="G5506">
        <v>-279.33690000000001</v>
      </c>
      <c r="H5506">
        <v>1.1274550000000001</v>
      </c>
      <c r="I5506">
        <v>4.2364730000000002</v>
      </c>
      <c r="J5506">
        <v>-333.43939999999998</v>
      </c>
      <c r="K5506">
        <v>1.1096889999999999</v>
      </c>
      <c r="L5506">
        <v>17.342379999999999</v>
      </c>
      <c r="M5506">
        <v>0.99988580000000005</v>
      </c>
      <c r="N5506">
        <v>0</v>
      </c>
      <c r="O5506">
        <v>5.7065550000000003E-3</v>
      </c>
      <c r="P5506">
        <v>0.99913750000000001</v>
      </c>
      <c r="Q5506">
        <v>-3.9596240000000001E-3</v>
      </c>
      <c r="R5506">
        <v>-4.1336680000000001E-2</v>
      </c>
      <c r="S5506">
        <v>2.9732669999999999</v>
      </c>
      <c r="T5506">
        <v>9.7143649999999995E-4</v>
      </c>
      <c r="U5506">
        <v>-0.71789550000000002</v>
      </c>
      <c r="V5506">
        <v>4.7047430000000001E-2</v>
      </c>
      <c r="W5506">
        <v>9.9793859999999998E-3</v>
      </c>
      <c r="X5506">
        <v>0.99884280000000003</v>
      </c>
      <c r="Y5506">
        <v>0.2402494</v>
      </c>
      <c r="Z5506" s="1">
        <v>4.05302E-5</v>
      </c>
      <c r="AA5506">
        <v>0.9707112</v>
      </c>
      <c r="AB5506">
        <v>31</v>
      </c>
      <c r="AC5506">
        <v>54.1024999999999</v>
      </c>
      <c r="AD5506">
        <v>1.77659999999999E-2</v>
      </c>
      <c r="AE5506">
        <v>-13.105906999999901</v>
      </c>
      <c r="AF5506">
        <v>13.4144613200127</v>
      </c>
      <c r="AG5506">
        <v>1.77659999999999E-2</v>
      </c>
      <c r="AH5506">
        <v>54.026816496764901</v>
      </c>
      <c r="AI5506">
        <v>89.981714267116104</v>
      </c>
      <c r="AJ5506">
        <v>76.0558631727679</v>
      </c>
      <c r="AK5506">
        <v>55.667270356215397</v>
      </c>
      <c r="AL5506">
        <v>89.428213805827298</v>
      </c>
      <c r="AM5506">
        <v>87.303250990070595</v>
      </c>
      <c r="AN5506">
        <v>0.99999999396319095</v>
      </c>
    </row>
    <row r="5507" spans="1:40" x14ac:dyDescent="0.25">
      <c r="A5507" t="str">
        <f>"20190312161126762"</f>
        <v>20190312161126762</v>
      </c>
      <c r="B5507" t="str">
        <f>"1552378286752742"</f>
        <v>1552378286752742</v>
      </c>
      <c r="C5507" t="s">
        <v>40</v>
      </c>
      <c r="D5507">
        <v>5.3519110000000003</v>
      </c>
      <c r="E5507">
        <v>0.575488</v>
      </c>
      <c r="F5507" t="s">
        <v>101</v>
      </c>
      <c r="G5507">
        <v>-279.33690000000001</v>
      </c>
      <c r="H5507">
        <v>1.058106</v>
      </c>
      <c r="I5507">
        <v>4.1672289999999998</v>
      </c>
      <c r="J5507">
        <v>-333.19470000000001</v>
      </c>
      <c r="K5507">
        <v>1.1096330000000001</v>
      </c>
      <c r="L5507">
        <v>17.343350000000001</v>
      </c>
      <c r="M5507">
        <v>0.99988779999999999</v>
      </c>
      <c r="N5507">
        <v>0</v>
      </c>
      <c r="O5507">
        <v>5.2560200000000001E-3</v>
      </c>
      <c r="P5507">
        <v>0.99908830000000004</v>
      </c>
      <c r="Q5507">
        <v>-4.3409140000000004E-3</v>
      </c>
      <c r="R5507">
        <v>-4.2473009999999999E-2</v>
      </c>
      <c r="S5507">
        <v>2.9726560000000002</v>
      </c>
      <c r="T5507">
        <v>-2.8342010000000002E-3</v>
      </c>
      <c r="U5507">
        <v>-0.72390750000000004</v>
      </c>
      <c r="V5507">
        <v>4.7734470000000001E-2</v>
      </c>
      <c r="W5507">
        <v>9.6279720000000003E-3</v>
      </c>
      <c r="X5507">
        <v>0.99881359999999997</v>
      </c>
      <c r="Y5507">
        <v>0.24171129999999999</v>
      </c>
      <c r="Z5507">
        <v>-1.185074E-4</v>
      </c>
      <c r="AA5507">
        <v>0.97034819999999999</v>
      </c>
      <c r="AB5507">
        <v>31</v>
      </c>
      <c r="AC5507">
        <v>53.857799999999997</v>
      </c>
      <c r="AD5507">
        <v>-5.15270000000001E-2</v>
      </c>
      <c r="AE5507">
        <v>-13.176121</v>
      </c>
      <c r="AF5507">
        <v>13.4590328667071</v>
      </c>
      <c r="AG5507">
        <v>-5.15270000000001E-2</v>
      </c>
      <c r="AH5507">
        <v>53.787748695060202</v>
      </c>
      <c r="AI5507">
        <v>90.053245945085294</v>
      </c>
      <c r="AJ5507">
        <v>75.951630517258494</v>
      </c>
      <c r="AK5507">
        <v>55.446101129130703</v>
      </c>
      <c r="AL5507">
        <v>89.448349284384605</v>
      </c>
      <c r="AM5507">
        <v>87.263849544443005</v>
      </c>
      <c r="AN5507">
        <v>0.99999994250798496</v>
      </c>
    </row>
    <row r="5508" spans="1:40" x14ac:dyDescent="0.25">
      <c r="A5508" t="str">
        <f>"20190312161126776"</f>
        <v>20190312161126776</v>
      </c>
      <c r="B5508" t="str">
        <f>"1552378286772258"</f>
        <v>1552378286772258</v>
      </c>
      <c r="C5508" t="s">
        <v>40</v>
      </c>
      <c r="D5508">
        <v>5.3216789999999996</v>
      </c>
      <c r="E5508">
        <v>0.57608599999999999</v>
      </c>
      <c r="F5508" t="s">
        <v>101</v>
      </c>
      <c r="G5508">
        <v>-279.33690000000001</v>
      </c>
      <c r="H5508">
        <v>1.0175129999999999</v>
      </c>
      <c r="I5508">
        <v>4.1219830000000002</v>
      </c>
      <c r="J5508">
        <v>-333.02120000000002</v>
      </c>
      <c r="K5508">
        <v>1.1095930000000001</v>
      </c>
      <c r="L5508">
        <v>17.343900000000001</v>
      </c>
      <c r="M5508">
        <v>0.99988940000000004</v>
      </c>
      <c r="N5508">
        <v>0</v>
      </c>
      <c r="O5508">
        <v>4.8895020000000004E-3</v>
      </c>
      <c r="P5508">
        <v>0.99905960000000005</v>
      </c>
      <c r="Q5508">
        <v>-4.5892870000000001E-3</v>
      </c>
      <c r="R5508">
        <v>-4.3123559999999998E-2</v>
      </c>
      <c r="S5508">
        <v>2.9717410000000002</v>
      </c>
      <c r="T5508">
        <v>-5.0829650000000001E-3</v>
      </c>
      <c r="U5508">
        <v>-0.72952269999999997</v>
      </c>
      <c r="V5508">
        <v>4.8019359999999997E-2</v>
      </c>
      <c r="W5508">
        <v>9.3971939999999993E-3</v>
      </c>
      <c r="X5508">
        <v>0.99880219999999997</v>
      </c>
      <c r="Y5508">
        <v>0.2431538</v>
      </c>
      <c r="Z5508">
        <v>-2.131499E-4</v>
      </c>
      <c r="AA5508">
        <v>0.96998770000000001</v>
      </c>
      <c r="AB5508">
        <v>31</v>
      </c>
      <c r="AC5508">
        <v>53.6843</v>
      </c>
      <c r="AD5508">
        <v>-9.2080000000000106E-2</v>
      </c>
      <c r="AE5508">
        <v>-13.221916999999999</v>
      </c>
      <c r="AF5508">
        <v>13.484236904950301</v>
      </c>
      <c r="AG5508">
        <v>-9.2080000000000106E-2</v>
      </c>
      <c r="AH5508">
        <v>53.618854457679497</v>
      </c>
      <c r="AI5508">
        <v>90.095423114834404</v>
      </c>
      <c r="AJ5508">
        <v>75.883806490590501</v>
      </c>
      <c r="AK5508">
        <v>55.288467848087798</v>
      </c>
      <c r="AL5508">
        <v>89.461572520073503</v>
      </c>
      <c r="AM5508">
        <v>87.247513256975694</v>
      </c>
      <c r="AN5508">
        <v>1.0000000004573599</v>
      </c>
    </row>
    <row r="5509" spans="1:40" x14ac:dyDescent="0.25">
      <c r="A5509" t="str">
        <f>"20190312161126797"</f>
        <v>20190312161126797</v>
      </c>
      <c r="B5509" t="str">
        <f>"1552378286792755"</f>
        <v>1552378286792755</v>
      </c>
      <c r="C5509" t="s">
        <v>40</v>
      </c>
      <c r="D5509">
        <v>5.4193160000000002</v>
      </c>
      <c r="E5509">
        <v>0.576740699999999</v>
      </c>
      <c r="F5509" t="s">
        <v>101</v>
      </c>
      <c r="G5509">
        <v>-279.33690000000001</v>
      </c>
      <c r="H5509">
        <v>0.97882939999999996</v>
      </c>
      <c r="I5509">
        <v>4.041811</v>
      </c>
      <c r="J5509">
        <v>-332.72309999999999</v>
      </c>
      <c r="K5509">
        <v>1.1095159999999999</v>
      </c>
      <c r="L5509">
        <v>17.344670000000001</v>
      </c>
      <c r="M5509">
        <v>0.9998918</v>
      </c>
      <c r="N5509">
        <v>0</v>
      </c>
      <c r="O5509">
        <v>4.1923919999999996E-3</v>
      </c>
      <c r="P5509">
        <v>0.99900699999999998</v>
      </c>
      <c r="Q5509">
        <v>-4.005621E-3</v>
      </c>
      <c r="R5509">
        <v>-4.4373320000000001E-2</v>
      </c>
      <c r="S5509">
        <v>2.9710390000000002</v>
      </c>
      <c r="T5509">
        <v>-7.2368379999999998E-3</v>
      </c>
      <c r="U5509">
        <v>-0.73617549999999998</v>
      </c>
      <c r="V5509">
        <v>4.8575159999999999E-2</v>
      </c>
      <c r="W5509">
        <v>1.0006559999999999E-2</v>
      </c>
      <c r="X5509">
        <v>0.99876940000000003</v>
      </c>
      <c r="Y5509">
        <v>0.2445775</v>
      </c>
      <c r="Z5509">
        <v>-3.034949E-4</v>
      </c>
      <c r="AA5509">
        <v>0.96962969999999904</v>
      </c>
      <c r="AB5509">
        <v>31</v>
      </c>
      <c r="AC5509">
        <v>53.386199999999903</v>
      </c>
      <c r="AD5509">
        <v>-0.13068660000000001</v>
      </c>
      <c r="AE5509">
        <v>-13.302859</v>
      </c>
      <c r="AF5509">
        <v>13.526503881343899</v>
      </c>
      <c r="AG5509">
        <v>-0.13068660000000001</v>
      </c>
      <c r="AH5509">
        <v>53.329653506057099</v>
      </c>
      <c r="AI5509">
        <v>90.136095998184899</v>
      </c>
      <c r="AJ5509">
        <v>75.767666381141794</v>
      </c>
      <c r="AK5509">
        <v>55.018499882453497</v>
      </c>
      <c r="AL5509">
        <v>89.426656773668299</v>
      </c>
      <c r="AM5509">
        <v>87.215613156429498</v>
      </c>
      <c r="AN5509">
        <v>0.99999999589420896</v>
      </c>
    </row>
    <row r="5510" spans="1:40" x14ac:dyDescent="0.25">
      <c r="A5510" t="str">
        <f>"20190312161126821"</f>
        <v>20190312161126821</v>
      </c>
      <c r="B5510" t="str">
        <f>"1552378286812274"</f>
        <v>1552378286812274</v>
      </c>
      <c r="C5510" t="s">
        <v>40</v>
      </c>
      <c r="D5510">
        <v>5.2947670000000002</v>
      </c>
      <c r="E5510">
        <v>0.57731650000000001</v>
      </c>
      <c r="F5510" t="s">
        <v>101</v>
      </c>
      <c r="G5510">
        <v>-279.33690000000001</v>
      </c>
      <c r="H5510">
        <v>1.022375</v>
      </c>
      <c r="I5510">
        <v>3.9528789999999998</v>
      </c>
      <c r="J5510">
        <v>-332.40230000000003</v>
      </c>
      <c r="K5510">
        <v>1.109424</v>
      </c>
      <c r="L5510">
        <v>17.345120000000001</v>
      </c>
      <c r="M5510">
        <v>0.99989470000000003</v>
      </c>
      <c r="N5510">
        <v>0</v>
      </c>
      <c r="O5510">
        <v>3.3230009999999999E-3</v>
      </c>
      <c r="P5510">
        <v>0.99895690000000004</v>
      </c>
      <c r="Q5510">
        <v>-4.1340980000000001E-3</v>
      </c>
      <c r="R5510">
        <v>-4.5477160000000003E-2</v>
      </c>
      <c r="S5510">
        <v>2.96991</v>
      </c>
      <c r="T5510">
        <v>-4.8477650000000004E-3</v>
      </c>
      <c r="U5510">
        <v>-0.74499510000000002</v>
      </c>
      <c r="V5510">
        <v>4.8812620000000001E-2</v>
      </c>
      <c r="W5510">
        <v>9.9002340000000008E-3</v>
      </c>
      <c r="X5510">
        <v>0.99875890000000001</v>
      </c>
      <c r="Y5510">
        <v>0.24653130000000001</v>
      </c>
      <c r="Z5510">
        <v>-2.0347860000000001E-4</v>
      </c>
      <c r="AA5510">
        <v>0.96913479999999996</v>
      </c>
      <c r="AB5510">
        <v>31</v>
      </c>
      <c r="AC5510">
        <v>53.065399999999997</v>
      </c>
      <c r="AD5510">
        <v>-8.7048999999999904E-2</v>
      </c>
      <c r="AE5510">
        <v>-13.392241</v>
      </c>
      <c r="AF5510">
        <v>13.568486692017499</v>
      </c>
      <c r="AG5510">
        <v>-8.7048999999999904E-2</v>
      </c>
      <c r="AH5510">
        <v>53.020465954679501</v>
      </c>
      <c r="AI5510">
        <v>90.091131349241394</v>
      </c>
      <c r="AJ5510">
        <v>75.645483498441294</v>
      </c>
      <c r="AK5510">
        <v>54.7291624153996</v>
      </c>
      <c r="AL5510">
        <v>89.432749116480295</v>
      </c>
      <c r="AM5510">
        <v>87.201993871103795</v>
      </c>
      <c r="AN5510">
        <v>1.0000000134168601</v>
      </c>
    </row>
    <row r="5511" spans="1:40" x14ac:dyDescent="0.25">
      <c r="A5511" t="str">
        <f>"20190312161126843"</f>
        <v>20190312161126843</v>
      </c>
      <c r="B5511" t="str">
        <f>"1552378286832770"</f>
        <v>1552378286832770</v>
      </c>
      <c r="C5511" t="s">
        <v>40</v>
      </c>
      <c r="D5511">
        <v>5.2771889999999999</v>
      </c>
      <c r="E5511">
        <v>0.57792129999999997</v>
      </c>
      <c r="F5511" t="s">
        <v>101</v>
      </c>
      <c r="G5511">
        <v>-279.33690000000001</v>
      </c>
      <c r="H5511">
        <v>1.018248</v>
      </c>
      <c r="I5511">
        <v>3.8876110000000001</v>
      </c>
      <c r="J5511">
        <v>-332.08260000000001</v>
      </c>
      <c r="K5511">
        <v>1.109326</v>
      </c>
      <c r="L5511">
        <v>17.34515</v>
      </c>
      <c r="M5511">
        <v>0.99989709999999998</v>
      </c>
      <c r="N5511">
        <v>0</v>
      </c>
      <c r="O5511">
        <v>2.3274469999999998E-3</v>
      </c>
      <c r="P5511">
        <v>0.99886249999999999</v>
      </c>
      <c r="Q5511">
        <v>-5.2176050000000002E-3</v>
      </c>
      <c r="R5511">
        <v>-4.7399259999999999E-2</v>
      </c>
      <c r="S5511">
        <v>2.9688110000000001</v>
      </c>
      <c r="T5511">
        <v>-5.1009649999999998E-3</v>
      </c>
      <c r="U5511">
        <v>-0.75289919999999899</v>
      </c>
      <c r="V5511">
        <v>4.9740390000000002E-2</v>
      </c>
      <c r="W5511">
        <v>8.8316880000000007E-3</v>
      </c>
      <c r="X5511">
        <v>0.99872309999999997</v>
      </c>
      <c r="Y5511">
        <v>0.2480764</v>
      </c>
      <c r="Z5511">
        <v>-2.13737E-4</v>
      </c>
      <c r="AA5511">
        <v>0.9687405</v>
      </c>
      <c r="AB5511">
        <v>31</v>
      </c>
      <c r="AC5511">
        <v>52.745699999999999</v>
      </c>
      <c r="AD5511">
        <v>-9.1078000000000006E-2</v>
      </c>
      <c r="AE5511">
        <v>-13.457539000000001</v>
      </c>
      <c r="AF5511">
        <v>13.5802396486222</v>
      </c>
      <c r="AG5511">
        <v>-9.1078000000000006E-2</v>
      </c>
      <c r="AH5511">
        <v>52.714084694491298</v>
      </c>
      <c r="AI5511">
        <v>90.095863968436902</v>
      </c>
      <c r="AJ5511">
        <v>75.553549246514507</v>
      </c>
      <c r="AK5511">
        <v>54.4353371376911</v>
      </c>
      <c r="AL5511">
        <v>89.493974956962902</v>
      </c>
      <c r="AM5511">
        <v>87.148797725111905</v>
      </c>
      <c r="AN5511">
        <v>0.999999967791945</v>
      </c>
    </row>
    <row r="5512" spans="1:40" x14ac:dyDescent="0.25">
      <c r="A5512" t="str">
        <f>"20190312161126863"</f>
        <v>20190312161126863</v>
      </c>
      <c r="B5512" t="str">
        <f>"1552378286852290"</f>
        <v>1552378286852290</v>
      </c>
      <c r="C5512" t="s">
        <v>40</v>
      </c>
      <c r="D5512">
        <v>5.2347479999999997</v>
      </c>
      <c r="E5512">
        <v>0.57866209999999996</v>
      </c>
      <c r="F5512" t="s">
        <v>101</v>
      </c>
      <c r="G5512">
        <v>-279.33690000000001</v>
      </c>
      <c r="H5512">
        <v>0.93822000000000005</v>
      </c>
      <c r="I5512">
        <v>3.7739729999999998</v>
      </c>
      <c r="J5512">
        <v>-331.80290000000002</v>
      </c>
      <c r="K5512">
        <v>1.1092360000000001</v>
      </c>
      <c r="L5512">
        <v>17.344819999999999</v>
      </c>
      <c r="M5512">
        <v>0.99989859999999997</v>
      </c>
      <c r="N5512">
        <v>0</v>
      </c>
      <c r="O5512">
        <v>1.331746E-3</v>
      </c>
      <c r="P5512">
        <v>0.99874339999999995</v>
      </c>
      <c r="Q5512">
        <v>-6.0292189999999997E-3</v>
      </c>
      <c r="R5512">
        <v>-4.9753810000000002E-2</v>
      </c>
      <c r="S5512">
        <v>2.967133</v>
      </c>
      <c r="T5512">
        <v>-9.6253160000000001E-3</v>
      </c>
      <c r="U5512">
        <v>-0.76342769999999904</v>
      </c>
      <c r="V5512">
        <v>5.1100609999999998E-2</v>
      </c>
      <c r="W5512">
        <v>8.0268159999999904E-3</v>
      </c>
      <c r="X5512">
        <v>0.99866129999999997</v>
      </c>
      <c r="Y5512">
        <v>0.25046750000000001</v>
      </c>
      <c r="Z5512">
        <v>-4.0399629999999999E-4</v>
      </c>
      <c r="AA5512">
        <v>0.96812489999999995</v>
      </c>
      <c r="AB5512">
        <v>31</v>
      </c>
      <c r="AC5512">
        <v>52.466000000000001</v>
      </c>
      <c r="AD5512">
        <v>-0.171016</v>
      </c>
      <c r="AE5512">
        <v>-13.570847000000001</v>
      </c>
      <c r="AF5512">
        <v>13.6405775335929</v>
      </c>
      <c r="AG5512">
        <v>-0.171016</v>
      </c>
      <c r="AH5512">
        <v>52.447356432680799</v>
      </c>
      <c r="AI5512">
        <v>90.180809584344402</v>
      </c>
      <c r="AJ5512">
        <v>75.421419781741704</v>
      </c>
      <c r="AK5512">
        <v>54.192433039114299</v>
      </c>
      <c r="AL5512">
        <v>89.540092403227902</v>
      </c>
      <c r="AM5512">
        <v>87.070780671349894</v>
      </c>
      <c r="AN5512">
        <v>1.0000000471175701</v>
      </c>
    </row>
    <row r="5513" spans="1:40" x14ac:dyDescent="0.25">
      <c r="A5513" t="str">
        <f>"20190312161126875"</f>
        <v>20190312161126875</v>
      </c>
      <c r="B5513" t="str">
        <f>"1552378286872476"</f>
        <v>1552378286872476</v>
      </c>
      <c r="C5513" t="s">
        <v>40</v>
      </c>
      <c r="D5513">
        <v>5.2467899999999998</v>
      </c>
      <c r="E5513">
        <v>0.57929350000000002</v>
      </c>
      <c r="F5513" t="s">
        <v>101</v>
      </c>
      <c r="G5513">
        <v>-279.02</v>
      </c>
      <c r="H5513">
        <v>0.91989829999999995</v>
      </c>
      <c r="I5513">
        <v>3.5229870000000001</v>
      </c>
      <c r="J5513">
        <v>-331.64120000000003</v>
      </c>
      <c r="K5513">
        <v>1.1091789999999999</v>
      </c>
      <c r="L5513">
        <v>17.344360000000002</v>
      </c>
      <c r="M5513">
        <v>0.99989910000000004</v>
      </c>
      <c r="N5513">
        <v>0</v>
      </c>
      <c r="O5513">
        <v>6.8739409999999995E-4</v>
      </c>
      <c r="P5513">
        <v>0.99869059999999998</v>
      </c>
      <c r="Q5513">
        <v>-5.9756490000000004E-3</v>
      </c>
      <c r="R5513">
        <v>-5.0812169999999997E-2</v>
      </c>
      <c r="S5513">
        <v>2.9650270000000001</v>
      </c>
      <c r="T5513">
        <v>-1.0635850000000001E-2</v>
      </c>
      <c r="U5513">
        <v>-0.77642819999999901</v>
      </c>
      <c r="V5513">
        <v>5.1516489999999998E-2</v>
      </c>
      <c r="W5513">
        <v>8.0830829999999996E-3</v>
      </c>
      <c r="X5513">
        <v>0.99863939999999995</v>
      </c>
      <c r="Y5513">
        <v>0.2539843</v>
      </c>
      <c r="Z5513">
        <v>-4.504051E-4</v>
      </c>
      <c r="AA5513">
        <v>0.96720830000000002</v>
      </c>
      <c r="AB5513">
        <v>31</v>
      </c>
      <c r="AC5513">
        <v>52.621200000000002</v>
      </c>
      <c r="AD5513">
        <v>-0.1892807</v>
      </c>
      <c r="AE5513">
        <v>-13.821372999999999</v>
      </c>
      <c r="AF5513">
        <v>13.857377152481799</v>
      </c>
      <c r="AG5513">
        <v>-0.1892807</v>
      </c>
      <c r="AH5513">
        <v>52.611049090786302</v>
      </c>
      <c r="AI5513">
        <v>90.199335693316002</v>
      </c>
      <c r="AJ5513">
        <v>75.243844788410797</v>
      </c>
      <c r="AK5513">
        <v>54.405746159414498</v>
      </c>
      <c r="AL5513">
        <v>89.536868400567599</v>
      </c>
      <c r="AM5513">
        <v>87.046918732875497</v>
      </c>
      <c r="AN5513">
        <v>0.999999968102531</v>
      </c>
    </row>
    <row r="5514" spans="1:40" x14ac:dyDescent="0.25">
      <c r="A5514" t="str">
        <f>"20190312161126888"</f>
        <v>20190312161126888</v>
      </c>
      <c r="B5514" t="str">
        <f>"1552378286882235"</f>
        <v>1552378286882235</v>
      </c>
      <c r="C5514" t="s">
        <v>40</v>
      </c>
      <c r="D5514">
        <v>5.2342149999999998</v>
      </c>
      <c r="E5514">
        <v>0.57964759999999904</v>
      </c>
      <c r="F5514" t="s">
        <v>101</v>
      </c>
      <c r="G5514">
        <v>-279.02</v>
      </c>
      <c r="H5514">
        <v>0.95860789999999996</v>
      </c>
      <c r="I5514">
        <v>3.4146879999999999</v>
      </c>
      <c r="J5514">
        <v>-331.46910000000003</v>
      </c>
      <c r="K5514">
        <v>1.109124</v>
      </c>
      <c r="L5514">
        <v>17.34384</v>
      </c>
      <c r="M5514">
        <v>0.99989930000000005</v>
      </c>
      <c r="N5514">
        <v>0</v>
      </c>
      <c r="O5514" s="1">
        <v>-2.4242189999999999E-5</v>
      </c>
      <c r="P5514">
        <v>0.99860599999999999</v>
      </c>
      <c r="Q5514">
        <v>-5.7611629999999997E-3</v>
      </c>
      <c r="R5514">
        <v>-5.2473730000000003E-2</v>
      </c>
      <c r="S5514">
        <v>2.963959</v>
      </c>
      <c r="T5514">
        <v>-8.4811450000000007E-3</v>
      </c>
      <c r="U5514">
        <v>-0.7846069</v>
      </c>
      <c r="V5514">
        <v>5.2469059999999998E-2</v>
      </c>
      <c r="W5514">
        <v>8.2976500000000002E-3</v>
      </c>
      <c r="X5514">
        <v>0.99858809999999998</v>
      </c>
      <c r="Y5514">
        <v>0.25587720000000003</v>
      </c>
      <c r="Z5514">
        <v>-3.5981970000000001E-4</v>
      </c>
      <c r="AA5514">
        <v>0.96670929999999999</v>
      </c>
      <c r="AB5514">
        <v>31</v>
      </c>
      <c r="AC5514">
        <v>52.449100000000001</v>
      </c>
      <c r="AD5514">
        <v>-0.15051610000000001</v>
      </c>
      <c r="AE5514">
        <v>-13.929151999999901</v>
      </c>
      <c r="AF5514">
        <v>13.9277732416083</v>
      </c>
      <c r="AG5514">
        <v>-0.15051610000000001</v>
      </c>
      <c r="AH5514">
        <v>52.449034205689301</v>
      </c>
      <c r="AI5514">
        <v>90.158917006309906</v>
      </c>
      <c r="AJ5514">
        <v>75.128401222257693</v>
      </c>
      <c r="AK5514">
        <v>54.2669946807043</v>
      </c>
      <c r="AL5514">
        <v>89.524574230531996</v>
      </c>
      <c r="AM5514">
        <v>86.992259654253601</v>
      </c>
      <c r="AN5514">
        <v>1.0000000233572</v>
      </c>
    </row>
    <row r="5515" spans="1:40" x14ac:dyDescent="0.25">
      <c r="A5515" t="str">
        <f>"20190312161126909"</f>
        <v>20190312161126909</v>
      </c>
      <c r="B5515" t="str">
        <f>"1552378286902732"</f>
        <v>1552378286902732</v>
      </c>
      <c r="C5515" t="s">
        <v>40</v>
      </c>
      <c r="D5515">
        <v>5.2432819999999998</v>
      </c>
      <c r="E5515">
        <v>0.58008590000000004</v>
      </c>
      <c r="F5515" t="s">
        <v>101</v>
      </c>
      <c r="G5515">
        <v>-279.02</v>
      </c>
      <c r="H5515">
        <v>0.98233099999999995</v>
      </c>
      <c r="I5515">
        <v>3.315245</v>
      </c>
      <c r="J5515">
        <v>-331.17140000000001</v>
      </c>
      <c r="K5515">
        <v>1.1090199999999999</v>
      </c>
      <c r="L5515">
        <v>17.34244</v>
      </c>
      <c r="M5515">
        <v>0.99989799999999995</v>
      </c>
      <c r="N5515">
        <v>0</v>
      </c>
      <c r="O5515">
        <v>-1.37488E-3</v>
      </c>
      <c r="P5515">
        <v>0.99847629999999998</v>
      </c>
      <c r="Q5515">
        <v>-5.2412229999999997E-3</v>
      </c>
      <c r="R5515">
        <v>-5.4934089999999998E-2</v>
      </c>
      <c r="S5515">
        <v>2.9625240000000002</v>
      </c>
      <c r="T5515">
        <v>-7.1617360000000001E-3</v>
      </c>
      <c r="U5515">
        <v>-0.79238889999999995</v>
      </c>
      <c r="V5515">
        <v>5.3584569999999998E-2</v>
      </c>
      <c r="W5515">
        <v>8.8169069999999902E-3</v>
      </c>
      <c r="X5515">
        <v>0.99852439999999998</v>
      </c>
      <c r="Y5515">
        <v>0.25705860000000003</v>
      </c>
      <c r="Z5515">
        <v>-3.0207859999999999E-4</v>
      </c>
      <c r="AA5515">
        <v>0.96639580000000003</v>
      </c>
      <c r="AB5515">
        <v>31</v>
      </c>
      <c r="AC5515">
        <v>52.151400000000002</v>
      </c>
      <c r="AD5515">
        <v>-0.126689</v>
      </c>
      <c r="AE5515">
        <v>-14.027195000000001</v>
      </c>
      <c r="AF5515">
        <v>13.9553957775409</v>
      </c>
      <c r="AG5515">
        <v>-0.126689</v>
      </c>
      <c r="AH5515">
        <v>52.1703512570095</v>
      </c>
      <c r="AI5515">
        <v>90.134409466134599</v>
      </c>
      <c r="AJ5515">
        <v>75.024192982356595</v>
      </c>
      <c r="AK5515">
        <v>54.004765268356401</v>
      </c>
      <c r="AL5515">
        <v>89.494821900555394</v>
      </c>
      <c r="AM5515">
        <v>86.928239677510703</v>
      </c>
      <c r="AN5515">
        <v>1.0000000106932401</v>
      </c>
    </row>
    <row r="5516" spans="1:40" x14ac:dyDescent="0.25">
      <c r="A5516" t="str">
        <f>"20190312161126932"</f>
        <v>20190312161126932</v>
      </c>
      <c r="B5516" t="str">
        <f>"1552378286922251"</f>
        <v>1552378286922251</v>
      </c>
      <c r="C5516" t="s">
        <v>40</v>
      </c>
      <c r="D5516">
        <v>5.3269769999999896</v>
      </c>
      <c r="E5516">
        <v>0.5806</v>
      </c>
      <c r="F5516" t="s">
        <v>101</v>
      </c>
      <c r="G5516">
        <v>-279.02</v>
      </c>
      <c r="H5516">
        <v>1.0039209999999901</v>
      </c>
      <c r="I5516">
        <v>3.1922489999999999</v>
      </c>
      <c r="J5516">
        <v>-330.85590000000002</v>
      </c>
      <c r="K5516">
        <v>1.108911</v>
      </c>
      <c r="L5516">
        <v>17.34036</v>
      </c>
      <c r="M5516">
        <v>0.99989439999999996</v>
      </c>
      <c r="N5516">
        <v>0</v>
      </c>
      <c r="O5516">
        <v>-2.9444639999999999E-3</v>
      </c>
      <c r="P5516">
        <v>0.99832279999999995</v>
      </c>
      <c r="Q5516">
        <v>-5.3599989999999998E-3</v>
      </c>
      <c r="R5516">
        <v>-5.7643029999999998E-2</v>
      </c>
      <c r="S5516">
        <v>2.9603269999999999</v>
      </c>
      <c r="T5516">
        <v>-5.9658289999999998E-3</v>
      </c>
      <c r="U5516">
        <v>-0.80322269999999996</v>
      </c>
      <c r="V5516">
        <v>5.4728600000000002E-2</v>
      </c>
      <c r="W5516">
        <v>8.6957960000000004E-3</v>
      </c>
      <c r="X5516">
        <v>0.9984634</v>
      </c>
      <c r="Y5516">
        <v>0.25901750000000001</v>
      </c>
      <c r="Z5516">
        <v>-2.5053059999999999E-4</v>
      </c>
      <c r="AA5516">
        <v>0.96587259999999997</v>
      </c>
      <c r="AB5516">
        <v>31</v>
      </c>
      <c r="AC5516">
        <v>51.835900000000002</v>
      </c>
      <c r="AD5516">
        <v>-0.10499</v>
      </c>
      <c r="AE5516">
        <v>-14.148110999999901</v>
      </c>
      <c r="AF5516">
        <v>13.995351823905599</v>
      </c>
      <c r="AG5516">
        <v>-0.10499</v>
      </c>
      <c r="AH5516">
        <v>51.877140007227403</v>
      </c>
      <c r="AI5516">
        <v>90.111953721793697</v>
      </c>
      <c r="AJ5516">
        <v>74.902238993965298</v>
      </c>
      <c r="AK5516">
        <v>53.731913709679802</v>
      </c>
      <c r="AL5516">
        <v>89.501761309768895</v>
      </c>
      <c r="AM5516">
        <v>86.862595982165004</v>
      </c>
      <c r="AN5516">
        <v>0.999999998832796</v>
      </c>
    </row>
    <row r="5517" spans="1:40" x14ac:dyDescent="0.25">
      <c r="A5517" t="str">
        <f>"20190312161126955"</f>
        <v>20190312161126955</v>
      </c>
      <c r="B5517" t="str">
        <f>"1552378286942747"</f>
        <v>1552378286942747</v>
      </c>
      <c r="C5517" t="s">
        <v>40</v>
      </c>
      <c r="D5517">
        <v>5.409014</v>
      </c>
      <c r="E5517">
        <v>0.58095869999999905</v>
      </c>
      <c r="F5517" t="s">
        <v>101</v>
      </c>
      <c r="G5517">
        <v>-279.02</v>
      </c>
      <c r="H5517">
        <v>0.97709690000000005</v>
      </c>
      <c r="I5517">
        <v>3.055504</v>
      </c>
      <c r="J5517">
        <v>-330.55160000000001</v>
      </c>
      <c r="K5517">
        <v>1.1088169999999999</v>
      </c>
      <c r="L5517">
        <v>17.337769999999999</v>
      </c>
      <c r="M5517">
        <v>0.99988809999999995</v>
      </c>
      <c r="N5517">
        <v>0</v>
      </c>
      <c r="O5517">
        <v>-4.5864139999999996E-3</v>
      </c>
      <c r="P5517">
        <v>0.99817869999999997</v>
      </c>
      <c r="Q5517">
        <v>-4.6109180000000003E-3</v>
      </c>
      <c r="R5517">
        <v>-6.0152240000000003E-2</v>
      </c>
      <c r="S5517">
        <v>2.9579770000000001</v>
      </c>
      <c r="T5517">
        <v>-7.5218680000000001E-3</v>
      </c>
      <c r="U5517">
        <v>-0.81515499999999996</v>
      </c>
      <c r="V5517">
        <v>5.5603380000000001E-2</v>
      </c>
      <c r="W5517">
        <v>9.4401060000000002E-3</v>
      </c>
      <c r="X5517">
        <v>0.99840830000000003</v>
      </c>
      <c r="Y5517">
        <v>0.26124930000000002</v>
      </c>
      <c r="Z5517">
        <v>-3.1463960000000001E-4</v>
      </c>
      <c r="AA5517">
        <v>0.96527130000000005</v>
      </c>
      <c r="AB5517">
        <v>31</v>
      </c>
      <c r="AC5517">
        <v>51.531599999999997</v>
      </c>
      <c r="AD5517">
        <v>-0.13172009999999901</v>
      </c>
      <c r="AE5517">
        <v>-14.282266</v>
      </c>
      <c r="AF5517">
        <v>14.0456613153292</v>
      </c>
      <c r="AG5517">
        <v>-0.13172009999999901</v>
      </c>
      <c r="AH5517">
        <v>51.596255860441502</v>
      </c>
      <c r="AI5517">
        <v>90.141134188933094</v>
      </c>
      <c r="AJ5517">
        <v>74.771804305190003</v>
      </c>
      <c r="AK5517">
        <v>53.474027067220497</v>
      </c>
      <c r="AL5517">
        <v>89.459113730210703</v>
      </c>
      <c r="AM5517">
        <v>86.812374874960099</v>
      </c>
      <c r="AN5517">
        <v>0.999999992488802</v>
      </c>
    </row>
    <row r="5518" spans="1:40" x14ac:dyDescent="0.25">
      <c r="A5518" t="str">
        <f>"20190312161126975"</f>
        <v>20190312161126975</v>
      </c>
      <c r="B5518" t="str">
        <f>"1552378286962268"</f>
        <v>1552378286962268</v>
      </c>
      <c r="C5518" t="s">
        <v>40</v>
      </c>
      <c r="D5518">
        <v>5.3692710000000003</v>
      </c>
      <c r="E5518">
        <v>0.58124560000000003</v>
      </c>
      <c r="F5518" t="s">
        <v>101</v>
      </c>
      <c r="G5518">
        <v>-279.02</v>
      </c>
      <c r="H5518">
        <v>0.97689910000000002</v>
      </c>
      <c r="I5518">
        <v>2.9451710000000002</v>
      </c>
      <c r="J5518">
        <v>-330.2577</v>
      </c>
      <c r="K5518">
        <v>1.108725</v>
      </c>
      <c r="L5518">
        <v>17.33466</v>
      </c>
      <c r="M5518">
        <v>0.9998785</v>
      </c>
      <c r="N5518">
        <v>0</v>
      </c>
      <c r="O5518">
        <v>-6.2976250000000003E-3</v>
      </c>
      <c r="P5518">
        <v>0.9980658</v>
      </c>
      <c r="Q5518">
        <v>-3.831597E-3</v>
      </c>
      <c r="R5518">
        <v>-6.2050439999999998E-2</v>
      </c>
      <c r="S5518">
        <v>2.9557500000000001</v>
      </c>
      <c r="T5518">
        <v>-7.5665709999999898E-3</v>
      </c>
      <c r="U5518">
        <v>-0.82553099999999902</v>
      </c>
      <c r="V5518">
        <v>5.5798170000000001E-2</v>
      </c>
      <c r="W5518">
        <v>1.021684E-2</v>
      </c>
      <c r="X5518">
        <v>0.99838979999999999</v>
      </c>
      <c r="Y5518">
        <v>0.26292959999999999</v>
      </c>
      <c r="Z5518">
        <v>-3.1440679999999999E-4</v>
      </c>
      <c r="AA5518">
        <v>0.96481499999999998</v>
      </c>
      <c r="AB5518">
        <v>31</v>
      </c>
      <c r="AC5518">
        <v>51.237699999999997</v>
      </c>
      <c r="AD5518">
        <v>-0.131825899999999</v>
      </c>
      <c r="AE5518">
        <v>-14.389488999999999</v>
      </c>
      <c r="AF5518">
        <v>14.066408660387999</v>
      </c>
      <c r="AG5518">
        <v>-0.131825899999999</v>
      </c>
      <c r="AH5518">
        <v>51.326997638222799</v>
      </c>
      <c r="AI5518">
        <v>90.141922411411699</v>
      </c>
      <c r="AJ5518">
        <v>74.674110749058002</v>
      </c>
      <c r="AK5518">
        <v>53.2197511946747</v>
      </c>
      <c r="AL5518">
        <v>89.414608007107901</v>
      </c>
      <c r="AM5518">
        <v>86.801171972481399</v>
      </c>
      <c r="AN5518">
        <v>1.00000000616948</v>
      </c>
    </row>
    <row r="5519" spans="1:40" x14ac:dyDescent="0.25">
      <c r="A5519" t="str">
        <f>"20190312161126998"</f>
        <v>20190312161126998</v>
      </c>
      <c r="B5519" t="str">
        <f>"1552378286992485"</f>
        <v>1552378286992485</v>
      </c>
      <c r="C5519" t="s">
        <v>40</v>
      </c>
      <c r="D5519">
        <v>5.3349570000000002</v>
      </c>
      <c r="E5519">
        <v>0.56006999999999996</v>
      </c>
      <c r="F5519" t="s">
        <v>101</v>
      </c>
      <c r="G5519">
        <v>-279.02</v>
      </c>
      <c r="H5519">
        <v>1.025793</v>
      </c>
      <c r="I5519">
        <v>2.880592</v>
      </c>
      <c r="J5519">
        <v>-329.9504</v>
      </c>
      <c r="K5519">
        <v>1.1086290000000001</v>
      </c>
      <c r="L5519">
        <v>17.330719999999999</v>
      </c>
      <c r="M5519">
        <v>0.99986450000000004</v>
      </c>
      <c r="N5519">
        <v>0</v>
      </c>
      <c r="O5519">
        <v>-8.2222879999999995E-3</v>
      </c>
      <c r="P5519">
        <v>0.99794470000000002</v>
      </c>
      <c r="Q5519">
        <v>-3.8926329999999999E-3</v>
      </c>
      <c r="R5519">
        <v>-6.3963599999999995E-2</v>
      </c>
      <c r="S5519">
        <v>2.9539789999999999</v>
      </c>
      <c r="T5519">
        <v>-4.7812459999999899E-3</v>
      </c>
      <c r="U5519">
        <v>-0.83331299999999997</v>
      </c>
      <c r="V5519">
        <v>5.579282E-2</v>
      </c>
      <c r="W5519">
        <v>1.0151510000000001E-2</v>
      </c>
      <c r="X5519">
        <v>0.99839069999999996</v>
      </c>
      <c r="Y5519">
        <v>0.26357839999999999</v>
      </c>
      <c r="Z5519">
        <v>-1.9617690000000001E-4</v>
      </c>
      <c r="AA5519">
        <v>0.96463790000000005</v>
      </c>
      <c r="AB5519">
        <v>31</v>
      </c>
      <c r="AC5519">
        <v>50.930399999999999</v>
      </c>
      <c r="AD5519">
        <v>-8.2836000000000104E-2</v>
      </c>
      <c r="AE5519">
        <v>-14.450127999999999</v>
      </c>
      <c r="AF5519">
        <v>14.0307980768512</v>
      </c>
      <c r="AG5519">
        <v>-8.2836000000000104E-2</v>
      </c>
      <c r="AH5519">
        <v>51.047378239706099</v>
      </c>
      <c r="AI5519">
        <v>90.089650607398795</v>
      </c>
      <c r="AJ5519">
        <v>74.631294437205199</v>
      </c>
      <c r="AK5519">
        <v>52.940579725045403</v>
      </c>
      <c r="AL5519">
        <v>89.418351296514899</v>
      </c>
      <c r="AM5519">
        <v>86.801480920683005</v>
      </c>
      <c r="AN5519">
        <v>0.99999994088265898</v>
      </c>
    </row>
    <row r="5520" spans="1:40" x14ac:dyDescent="0.25">
      <c r="A5520" t="str">
        <f>"20190312161127021"</f>
        <v>20190312161127021</v>
      </c>
      <c r="B5520" t="str">
        <f>"1552378287012980"</f>
        <v>1552378287012980</v>
      </c>
      <c r="C5520" t="s">
        <v>40</v>
      </c>
      <c r="D5520">
        <v>5.4619350000000004</v>
      </c>
      <c r="E5520">
        <v>0.56102559999999901</v>
      </c>
      <c r="F5520" t="s">
        <v>43</v>
      </c>
      <c r="G5520">
        <v>-305.23090000000002</v>
      </c>
      <c r="H5520">
        <v>-0.05</v>
      </c>
      <c r="I5520">
        <v>11.77158</v>
      </c>
      <c r="J5520">
        <v>-329.62</v>
      </c>
      <c r="K5520">
        <v>1.108508</v>
      </c>
      <c r="L5520">
        <v>17.325710000000001</v>
      </c>
      <c r="M5520">
        <v>0.9998435</v>
      </c>
      <c r="N5520">
        <v>0</v>
      </c>
      <c r="O5520">
        <v>-1.044785E-2</v>
      </c>
      <c r="P5520">
        <v>0.99776629999999999</v>
      </c>
      <c r="Q5520">
        <v>-3.9196270000000002E-3</v>
      </c>
      <c r="R5520">
        <v>-6.6687189999999993E-2</v>
      </c>
      <c r="S5520">
        <v>2.9628909999999999</v>
      </c>
      <c r="T5520">
        <v>-0.13887349999999901</v>
      </c>
      <c r="U5520">
        <v>-0.66632080000000005</v>
      </c>
      <c r="V5520">
        <v>5.629841E-2</v>
      </c>
      <c r="W5520">
        <v>1.0115280000000001E-2</v>
      </c>
      <c r="X5520">
        <v>0.99836270000000005</v>
      </c>
      <c r="Y5520">
        <v>0.20899529999999999</v>
      </c>
      <c r="Z5520">
        <v>-4.3516290000000001E-3</v>
      </c>
      <c r="AA5520">
        <v>0.97790690000000002</v>
      </c>
      <c r="AB5520">
        <v>31</v>
      </c>
      <c r="AC5520">
        <v>24.3890999999999</v>
      </c>
      <c r="AD5520">
        <v>-1.1585080000000001</v>
      </c>
      <c r="AE5520">
        <v>-5.5541299999999998</v>
      </c>
      <c r="AF5520">
        <v>5.28764461868706</v>
      </c>
      <c r="AG5520">
        <v>-1.1585080000000001</v>
      </c>
      <c r="AH5520">
        <v>24.393476671756002</v>
      </c>
      <c r="AI5520">
        <v>92.6574540119272</v>
      </c>
      <c r="AJ5520">
        <v>77.769512471907305</v>
      </c>
      <c r="AK5520">
        <v>24.986857156014999</v>
      </c>
      <c r="AL5520">
        <v>89.420427237675398</v>
      </c>
      <c r="AM5520">
        <v>86.772466875004099</v>
      </c>
      <c r="AN5520">
        <v>0.99999995530464703</v>
      </c>
    </row>
    <row r="5521" spans="1:40" x14ac:dyDescent="0.25">
      <c r="A5521" t="str">
        <f>"20190312161127045"</f>
        <v>20190312161127045</v>
      </c>
      <c r="B5521" t="str">
        <f>"1552378287032500"</f>
        <v>1552378287032500</v>
      </c>
      <c r="C5521" t="s">
        <v>40</v>
      </c>
      <c r="D5521">
        <v>5.4090439999999997</v>
      </c>
      <c r="E5521">
        <v>0.56040869999999998</v>
      </c>
      <c r="F5521" t="s">
        <v>43</v>
      </c>
      <c r="G5521">
        <v>-295.34089999999998</v>
      </c>
      <c r="H5521">
        <v>-0.05</v>
      </c>
      <c r="I5521">
        <v>9.4158170000000005</v>
      </c>
      <c r="J5521">
        <v>-329.31240000000003</v>
      </c>
      <c r="K5521">
        <v>1.108395</v>
      </c>
      <c r="L5521">
        <v>17.320219999999999</v>
      </c>
      <c r="M5521">
        <v>0.99981759999999997</v>
      </c>
      <c r="N5521">
        <v>0</v>
      </c>
      <c r="O5521">
        <v>-1.2674E-2</v>
      </c>
      <c r="P5521">
        <v>0.99754379999999998</v>
      </c>
      <c r="Q5521">
        <v>-4.1190259999999996E-3</v>
      </c>
      <c r="R5521">
        <v>-6.9926920000000004E-2</v>
      </c>
      <c r="S5521">
        <v>2.9606319999999999</v>
      </c>
      <c r="T5521">
        <v>-0.1000586</v>
      </c>
      <c r="U5521">
        <v>-0.68316650000000001</v>
      </c>
      <c r="V5521">
        <v>5.7319639999999998E-2</v>
      </c>
      <c r="W5521">
        <v>9.9026189999999997E-3</v>
      </c>
      <c r="X5521">
        <v>0.99830680000000005</v>
      </c>
      <c r="Y5521">
        <v>0.2123649</v>
      </c>
      <c r="Z5521">
        <v>-3.1185230000000002E-3</v>
      </c>
      <c r="AA5521">
        <v>0.97718539999999998</v>
      </c>
      <c r="AB5521">
        <v>31</v>
      </c>
      <c r="AC5521">
        <v>33.971499999999999</v>
      </c>
      <c r="AD5521">
        <v>-1.1583950000000001</v>
      </c>
      <c r="AE5521">
        <v>-7.9044030000000003</v>
      </c>
      <c r="AF5521">
        <v>7.4649352336845096</v>
      </c>
      <c r="AG5521">
        <v>-1.1583950000000001</v>
      </c>
      <c r="AH5521">
        <v>34.031423962354701</v>
      </c>
      <c r="AI5521">
        <v>91.904296201216198</v>
      </c>
      <c r="AJ5521">
        <v>77.627880539393303</v>
      </c>
      <c r="AK5521">
        <v>34.8597899294397</v>
      </c>
      <c r="AL5521">
        <v>89.432612471572497</v>
      </c>
      <c r="AM5521">
        <v>86.713864311399902</v>
      </c>
      <c r="AN5521">
        <v>1.00000003495951</v>
      </c>
    </row>
    <row r="5522" spans="1:40" x14ac:dyDescent="0.25">
      <c r="A5522" t="str">
        <f>"20190312161127064"</f>
        <v>20190312161127064</v>
      </c>
      <c r="B5522" t="str">
        <f>"1552378287052997"</f>
        <v>1552378287052997</v>
      </c>
      <c r="C5522" t="s">
        <v>40</v>
      </c>
      <c r="D5522">
        <v>5.4264659999999996</v>
      </c>
      <c r="E5522">
        <v>0.55986049999999998</v>
      </c>
      <c r="F5522" t="s">
        <v>43</v>
      </c>
      <c r="G5522">
        <v>-295.5308</v>
      </c>
      <c r="H5522">
        <v>-0.05</v>
      </c>
      <c r="I5522">
        <v>9.4671780000000005</v>
      </c>
      <c r="J5522">
        <v>-329.03539999999998</v>
      </c>
      <c r="K5522">
        <v>1.108285</v>
      </c>
      <c r="L5522">
        <v>17.31448</v>
      </c>
      <c r="M5522">
        <v>0.99978800000000001</v>
      </c>
      <c r="N5522">
        <v>0</v>
      </c>
      <c r="O5522">
        <v>-1.481405E-2</v>
      </c>
      <c r="P5522">
        <v>0.99731159999999996</v>
      </c>
      <c r="Q5522">
        <v>-3.6510359999999999E-3</v>
      </c>
      <c r="R5522">
        <v>-7.318653E-2</v>
      </c>
      <c r="S5522">
        <v>2.9587400000000001</v>
      </c>
      <c r="T5522">
        <v>-0.1014574</v>
      </c>
      <c r="U5522">
        <v>-0.68780520000000001</v>
      </c>
      <c r="V5522">
        <v>5.8450210000000002E-2</v>
      </c>
      <c r="W5522">
        <v>1.035607E-2</v>
      </c>
      <c r="X5522">
        <v>0.99823660000000003</v>
      </c>
      <c r="Y5522">
        <v>0.21186260000000001</v>
      </c>
      <c r="Z5522">
        <v>-3.0826730000000002E-3</v>
      </c>
      <c r="AA5522">
        <v>0.97729460000000001</v>
      </c>
      <c r="AB5522">
        <v>31</v>
      </c>
      <c r="AC5522">
        <v>33.504599999999897</v>
      </c>
      <c r="AD5522">
        <v>-1.158285</v>
      </c>
      <c r="AE5522">
        <v>-7.8473019999999902</v>
      </c>
      <c r="AF5522">
        <v>7.34173297500329</v>
      </c>
      <c r="AG5522">
        <v>-1.158285</v>
      </c>
      <c r="AH5522">
        <v>33.579139830646199</v>
      </c>
      <c r="AI5522">
        <v>91.930031086176498</v>
      </c>
      <c r="AJ5522">
        <v>77.666944122729504</v>
      </c>
      <c r="AK5522">
        <v>34.3918783869617</v>
      </c>
      <c r="AL5522">
        <v>89.406630285526006</v>
      </c>
      <c r="AM5522">
        <v>86.648959878338005</v>
      </c>
      <c r="AN5522">
        <v>0.99999999240722404</v>
      </c>
    </row>
    <row r="5523" spans="1:40" x14ac:dyDescent="0.25">
      <c r="A5523" t="str">
        <f>"20190312161127076"</f>
        <v>20190312161127076</v>
      </c>
      <c r="B5523" t="str">
        <f>"1552378287072517"</f>
        <v>1552378287072517</v>
      </c>
      <c r="C5523" t="s">
        <v>40</v>
      </c>
      <c r="D5523">
        <v>5.4860749999999996</v>
      </c>
      <c r="E5523">
        <v>0.56003890000000001</v>
      </c>
      <c r="F5523" t="s">
        <v>43</v>
      </c>
      <c r="G5523">
        <v>-293.6497</v>
      </c>
      <c r="H5523">
        <v>-0.05</v>
      </c>
      <c r="I5523">
        <v>9.0175169999999998</v>
      </c>
      <c r="J5523">
        <v>-328.86689999999999</v>
      </c>
      <c r="K5523">
        <v>1.1082270000000001</v>
      </c>
      <c r="L5523">
        <v>17.31061</v>
      </c>
      <c r="M5523">
        <v>0.99976710000000002</v>
      </c>
      <c r="N5523">
        <v>0</v>
      </c>
      <c r="O5523">
        <v>-1.6175999999999999E-2</v>
      </c>
      <c r="P5523">
        <v>0.99716349999999998</v>
      </c>
      <c r="Q5523">
        <v>-3.317459E-3</v>
      </c>
      <c r="R5523">
        <v>-7.519431E-2</v>
      </c>
      <c r="S5523">
        <v>2.9568479999999999</v>
      </c>
      <c r="T5523">
        <v>-9.6786860000000002E-2</v>
      </c>
      <c r="U5523">
        <v>-0.69329830000000003</v>
      </c>
      <c r="V5523">
        <v>5.9103469999999998E-2</v>
      </c>
      <c r="W5523">
        <v>1.068125E-2</v>
      </c>
      <c r="X5523">
        <v>0.99819469999999999</v>
      </c>
      <c r="Y5523">
        <v>0.21240100000000001</v>
      </c>
      <c r="Z5523">
        <v>-2.9068179999999998E-3</v>
      </c>
      <c r="AA5523">
        <v>0.97717830000000006</v>
      </c>
      <c r="AB5523">
        <v>31</v>
      </c>
      <c r="AC5523">
        <v>35.217199999999899</v>
      </c>
      <c r="AD5523">
        <v>-1.1582269999999999</v>
      </c>
      <c r="AE5523">
        <v>-8.2930929999999901</v>
      </c>
      <c r="AF5523">
        <v>7.7143704603857604</v>
      </c>
      <c r="AG5523">
        <v>-1.1582269999999999</v>
      </c>
      <c r="AH5523">
        <v>35.310567749974403</v>
      </c>
      <c r="AI5523">
        <v>91.835432132724307</v>
      </c>
      <c r="AJ5523">
        <v>77.676114286806495</v>
      </c>
      <c r="AK5523">
        <v>36.161985512539701</v>
      </c>
      <c r="AL5523">
        <v>89.387997807892305</v>
      </c>
      <c r="AM5523">
        <v>86.611452364302195</v>
      </c>
      <c r="AN5523">
        <v>0.99999998418784597</v>
      </c>
    </row>
    <row r="5524" spans="1:40" x14ac:dyDescent="0.25">
      <c r="A5524" t="str">
        <f>"20190312161127090"</f>
        <v>20190312161127090</v>
      </c>
      <c r="B5524" t="str">
        <f>"1552378287082277"</f>
        <v>1552378287082277</v>
      </c>
      <c r="C5524" t="s">
        <v>40</v>
      </c>
      <c r="D5524">
        <v>5.5450949999999999</v>
      </c>
      <c r="E5524">
        <v>0.56019219999999903</v>
      </c>
      <c r="F5524" t="s">
        <v>43</v>
      </c>
      <c r="G5524">
        <v>-292.5394</v>
      </c>
      <c r="H5524">
        <v>-0.05</v>
      </c>
      <c r="I5524">
        <v>8.6981959999999994</v>
      </c>
      <c r="J5524">
        <v>-328.69389999999999</v>
      </c>
      <c r="K5524">
        <v>1.108171</v>
      </c>
      <c r="L5524">
        <v>17.306429999999999</v>
      </c>
      <c r="M5524">
        <v>0.99974289999999999</v>
      </c>
      <c r="N5524">
        <v>0</v>
      </c>
      <c r="O5524">
        <v>-1.7602779999999998E-2</v>
      </c>
      <c r="P5524">
        <v>0.99701759999999995</v>
      </c>
      <c r="Q5524">
        <v>-3.008672E-3</v>
      </c>
      <c r="R5524">
        <v>-7.7118729999999996E-2</v>
      </c>
      <c r="S5524">
        <v>2.9553829999999999</v>
      </c>
      <c r="T5524">
        <v>-9.4226240000000003E-2</v>
      </c>
      <c r="U5524">
        <v>-0.70065310000000003</v>
      </c>
      <c r="V5524">
        <v>5.9608340000000003E-2</v>
      </c>
      <c r="W5524">
        <v>1.098212E-2</v>
      </c>
      <c r="X5524">
        <v>0.99816139999999998</v>
      </c>
      <c r="Y5524">
        <v>0.2134231</v>
      </c>
      <c r="Z5524">
        <v>-2.8017770000000001E-3</v>
      </c>
      <c r="AA5524">
        <v>0.97695580000000004</v>
      </c>
      <c r="AB5524">
        <v>31</v>
      </c>
      <c r="AC5524">
        <v>36.154499999999899</v>
      </c>
      <c r="AD5524">
        <v>-1.1581709999999901</v>
      </c>
      <c r="AE5524">
        <v>-8.6082339999999906</v>
      </c>
      <c r="AF5524">
        <v>7.9626825115751796</v>
      </c>
      <c r="AG5524">
        <v>-1.1581709999999901</v>
      </c>
      <c r="AH5524">
        <v>36.265223462042599</v>
      </c>
      <c r="AI5524">
        <v>91.7866520895044</v>
      </c>
      <c r="AJ5524">
        <v>77.616192818999195</v>
      </c>
      <c r="AK5524">
        <v>37.1471682042827</v>
      </c>
      <c r="AL5524">
        <v>89.370758206599604</v>
      </c>
      <c r="AM5524">
        <v>86.582461494871595</v>
      </c>
      <c r="AN5524">
        <v>0.99999997080360403</v>
      </c>
    </row>
    <row r="5525" spans="1:40" x14ac:dyDescent="0.25">
      <c r="A5525" t="str">
        <f>"20190312161127110"</f>
        <v>20190312161127110</v>
      </c>
      <c r="B5525" t="str">
        <f>"1552378287102773"</f>
        <v>1552378287102773</v>
      </c>
      <c r="C5525" t="s">
        <v>40</v>
      </c>
      <c r="D5525">
        <v>5.4466739999999998</v>
      </c>
      <c r="E5525">
        <v>0.56047179999999996</v>
      </c>
      <c r="F5525" t="s">
        <v>43</v>
      </c>
      <c r="G5525">
        <v>-292.82249999999999</v>
      </c>
      <c r="H5525">
        <v>-0.05</v>
      </c>
      <c r="I5525">
        <v>8.7139889999999998</v>
      </c>
      <c r="J5525">
        <v>-328.40460000000002</v>
      </c>
      <c r="K5525">
        <v>1.10808</v>
      </c>
      <c r="L5525">
        <v>17.298739999999999</v>
      </c>
      <c r="M5525">
        <v>0.99969589999999997</v>
      </c>
      <c r="N5525">
        <v>0</v>
      </c>
      <c r="O5525">
        <v>-2.0087279999999999E-2</v>
      </c>
      <c r="P5525">
        <v>0.99671290000000001</v>
      </c>
      <c r="Q5525">
        <v>-2.5475480000000002E-3</v>
      </c>
      <c r="R5525">
        <v>-8.0977250000000001E-2</v>
      </c>
      <c r="S5525">
        <v>2.9539789999999999</v>
      </c>
      <c r="T5525">
        <v>-9.5374349999999997E-2</v>
      </c>
      <c r="U5525">
        <v>-0.7075806</v>
      </c>
      <c r="V5525">
        <v>6.0996170000000002E-2</v>
      </c>
      <c r="W5525">
        <v>1.142698E-2</v>
      </c>
      <c r="X5525">
        <v>0.99807259999999998</v>
      </c>
      <c r="Y5525">
        <v>0.21326629999999999</v>
      </c>
      <c r="Z5525">
        <v>-2.7549689999999999E-3</v>
      </c>
      <c r="AA5525">
        <v>0.97699020000000003</v>
      </c>
      <c r="AB5525">
        <v>31</v>
      </c>
      <c r="AC5525">
        <v>35.582099999999997</v>
      </c>
      <c r="AD5525">
        <v>-1.15808</v>
      </c>
      <c r="AE5525">
        <v>-8.58475099999999</v>
      </c>
      <c r="AF5525">
        <v>7.8603294229872196</v>
      </c>
      <c r="AG5525">
        <v>-1.15808</v>
      </c>
      <c r="AH5525">
        <v>35.711633050184403</v>
      </c>
      <c r="AI5525">
        <v>91.813983007270494</v>
      </c>
      <c r="AJ5525">
        <v>77.586812012942303</v>
      </c>
      <c r="AK5525">
        <v>36.584787317070798</v>
      </c>
      <c r="AL5525">
        <v>89.345268031885198</v>
      </c>
      <c r="AM5525">
        <v>86.502777578890601</v>
      </c>
      <c r="AN5525">
        <v>1.00000001174867</v>
      </c>
    </row>
    <row r="5526" spans="1:40" x14ac:dyDescent="0.25">
      <c r="A5526" t="str">
        <f>"20190312161127132"</f>
        <v>20190312161127132</v>
      </c>
      <c r="B5526" t="str">
        <f>"1552378287122296"</f>
        <v>1552378287122296</v>
      </c>
      <c r="C5526" t="s">
        <v>40</v>
      </c>
      <c r="D5526">
        <v>5.5710769999999998</v>
      </c>
      <c r="E5526">
        <v>0.56055410000000006</v>
      </c>
      <c r="F5526" t="s">
        <v>43</v>
      </c>
      <c r="G5526">
        <v>-292.80180000000001</v>
      </c>
      <c r="H5526">
        <v>-0.05</v>
      </c>
      <c r="I5526">
        <v>8.5999909999999993</v>
      </c>
      <c r="J5526">
        <v>-328.1123</v>
      </c>
      <c r="K5526">
        <v>1.1079920000000001</v>
      </c>
      <c r="L5526">
        <v>17.290099999999999</v>
      </c>
      <c r="M5526">
        <v>0.99963939999999996</v>
      </c>
      <c r="N5526">
        <v>0</v>
      </c>
      <c r="O5526">
        <v>-2.2724749999999998E-2</v>
      </c>
      <c r="P5526">
        <v>0.99624089999999998</v>
      </c>
      <c r="Q5526">
        <v>-2.1048870000000002E-3</v>
      </c>
      <c r="R5526">
        <v>-8.660176E-2</v>
      </c>
      <c r="S5526">
        <v>2.951111</v>
      </c>
      <c r="T5526">
        <v>-9.5993159999999994E-2</v>
      </c>
      <c r="U5526">
        <v>-0.72103879999999998</v>
      </c>
      <c r="V5526">
        <v>6.40014E-2</v>
      </c>
      <c r="W5526">
        <v>1.18418E-2</v>
      </c>
      <c r="X5526">
        <v>0.99787959999999998</v>
      </c>
      <c r="Y5526">
        <v>0.21511150000000001</v>
      </c>
      <c r="Z5526">
        <v>-2.7191519999999999E-3</v>
      </c>
      <c r="AA5526">
        <v>0.9765857</v>
      </c>
      <c r="AB5526">
        <v>30</v>
      </c>
      <c r="AC5526">
        <v>35.310499999999898</v>
      </c>
      <c r="AD5526">
        <v>-1.1579919999999999</v>
      </c>
      <c r="AE5526">
        <v>-8.6901089999999908</v>
      </c>
      <c r="AF5526">
        <v>7.8773718445256904</v>
      </c>
      <c r="AG5526">
        <v>-1.1579919999999999</v>
      </c>
      <c r="AH5526">
        <v>35.462918668114</v>
      </c>
      <c r="AI5526">
        <v>91.825779071062598</v>
      </c>
      <c r="AJ5526">
        <v>77.476237345100898</v>
      </c>
      <c r="AK5526">
        <v>36.345736106319997</v>
      </c>
      <c r="AL5526">
        <v>89.321499015155297</v>
      </c>
      <c r="AM5526">
        <v>86.330224341871201</v>
      </c>
      <c r="AN5526">
        <v>1.0000000517626699</v>
      </c>
    </row>
    <row r="5527" spans="1:40" x14ac:dyDescent="0.25">
      <c r="A5527" t="str">
        <f>"20190312161127165"</f>
        <v>20190312161127165</v>
      </c>
      <c r="B5527" t="str">
        <f>"1552378287162309"</f>
        <v>1552378287162309</v>
      </c>
      <c r="C5527" t="s">
        <v>40</v>
      </c>
      <c r="D5527">
        <v>5.5230949999999996</v>
      </c>
      <c r="E5527">
        <v>0.56049249999999995</v>
      </c>
      <c r="F5527" t="s">
        <v>43</v>
      </c>
      <c r="G5527">
        <v>-291.83600000000001</v>
      </c>
      <c r="H5527">
        <v>-0.05</v>
      </c>
      <c r="I5527">
        <v>8.2023320000000002</v>
      </c>
      <c r="J5527">
        <v>-327.66500000000002</v>
      </c>
      <c r="K5527">
        <v>1.107847</v>
      </c>
      <c r="L5527">
        <v>17.275269999999999</v>
      </c>
      <c r="M5527">
        <v>0.99953369999999997</v>
      </c>
      <c r="N5527">
        <v>0</v>
      </c>
      <c r="O5527">
        <v>-2.6971289999999998E-2</v>
      </c>
      <c r="P5527">
        <v>0.9954847</v>
      </c>
      <c r="Q5527">
        <v>-5.1092170000000003E-4</v>
      </c>
      <c r="R5527">
        <v>-9.4921149999999996E-2</v>
      </c>
      <c r="S5527">
        <v>2.94693</v>
      </c>
      <c r="T5527">
        <v>-9.4070200000000007E-2</v>
      </c>
      <c r="U5527">
        <v>-0.73825069999999904</v>
      </c>
      <c r="V5527">
        <v>6.8111199999999997E-2</v>
      </c>
      <c r="W5527">
        <v>1.3393779999999999E-2</v>
      </c>
      <c r="X5527">
        <v>0.99758780000000002</v>
      </c>
      <c r="Y5527">
        <v>0.2166613</v>
      </c>
      <c r="Z5527">
        <v>-2.557662E-3</v>
      </c>
      <c r="AA5527">
        <v>0.97624350000000004</v>
      </c>
      <c r="AB5527">
        <v>30</v>
      </c>
      <c r="AC5527">
        <v>35.829000000000001</v>
      </c>
      <c r="AD5527">
        <v>-1.1578469999999901</v>
      </c>
      <c r="AE5527">
        <v>-9.0729380000000006</v>
      </c>
      <c r="AF5527">
        <v>8.0952387197341409</v>
      </c>
      <c r="AG5527">
        <v>-1.1578469999999901</v>
      </c>
      <c r="AH5527">
        <v>36.025342156385499</v>
      </c>
      <c r="AI5527">
        <v>91.796083554376395</v>
      </c>
      <c r="AJ5527">
        <v>77.335456721792298</v>
      </c>
      <c r="AK5527">
        <v>36.941829639171097</v>
      </c>
      <c r="AL5527">
        <v>89.232569967699604</v>
      </c>
      <c r="AM5527">
        <v>86.094141022565395</v>
      </c>
      <c r="AN5527">
        <v>0.99999997380848304</v>
      </c>
    </row>
    <row r="5528" spans="1:40" x14ac:dyDescent="0.25">
      <c r="A5528" t="str">
        <f>"20190312161127187"</f>
        <v>20190312161127187</v>
      </c>
      <c r="B5528" t="str">
        <f>"1552378287182805"</f>
        <v>1552378287182805</v>
      </c>
      <c r="C5528" t="s">
        <v>40</v>
      </c>
      <c r="D5528">
        <v>5.496855</v>
      </c>
      <c r="E5528">
        <v>0.54392099999999999</v>
      </c>
      <c r="F5528" t="s">
        <v>43</v>
      </c>
      <c r="G5528">
        <v>-294.59269999999998</v>
      </c>
      <c r="H5528">
        <v>-0.05</v>
      </c>
      <c r="I5528">
        <v>8.7048030000000001</v>
      </c>
      <c r="J5528">
        <v>-327.35570000000001</v>
      </c>
      <c r="K5528">
        <v>1.107758</v>
      </c>
      <c r="L5528">
        <v>17.263639999999999</v>
      </c>
      <c r="M5528">
        <v>0.99944540000000004</v>
      </c>
      <c r="N5528">
        <v>0</v>
      </c>
      <c r="O5528">
        <v>-3.006588E-2</v>
      </c>
      <c r="P5528">
        <v>0.99493640000000005</v>
      </c>
      <c r="Q5528">
        <v>9.991926999999999E-4</v>
      </c>
      <c r="R5528">
        <v>-0.1005046</v>
      </c>
      <c r="S5528">
        <v>2.9409179999999999</v>
      </c>
      <c r="T5528">
        <v>-0.10295989999999999</v>
      </c>
      <c r="U5528">
        <v>-0.76211549999999995</v>
      </c>
      <c r="V5528">
        <v>7.0631100000000002E-2</v>
      </c>
      <c r="W5528">
        <v>1.487517E-2</v>
      </c>
      <c r="X5528">
        <v>0.99739160000000004</v>
      </c>
      <c r="Y5528">
        <v>0.22152520000000001</v>
      </c>
      <c r="Z5528">
        <v>-2.7794349999999998E-3</v>
      </c>
      <c r="AA5528">
        <v>0.97515070000000004</v>
      </c>
      <c r="AB5528">
        <v>30</v>
      </c>
      <c r="AC5528">
        <v>32.762999999999998</v>
      </c>
      <c r="AD5528">
        <v>-1.1577580000000001</v>
      </c>
      <c r="AE5528">
        <v>-8.5588369999999898</v>
      </c>
      <c r="AF5528">
        <v>7.5609790962948997</v>
      </c>
      <c r="AG5528">
        <v>-1.1577580000000001</v>
      </c>
      <c r="AH5528">
        <v>32.967003822384903</v>
      </c>
      <c r="AI5528">
        <v>91.960466583663205</v>
      </c>
      <c r="AJ5528">
        <v>77.082616963092207</v>
      </c>
      <c r="AK5528">
        <v>33.842756233887201</v>
      </c>
      <c r="AL5528">
        <v>89.147684116790799</v>
      </c>
      <c r="AM5528">
        <v>85.949314823501894</v>
      </c>
      <c r="AN5528">
        <v>1.0000000133601401</v>
      </c>
    </row>
    <row r="5529" spans="1:40" x14ac:dyDescent="0.25">
      <c r="A5529" t="str">
        <f>"20190312161127211"</f>
        <v>20190312161127211</v>
      </c>
      <c r="B5529" t="str">
        <f>"1552378287202324"</f>
        <v>1552378287202324</v>
      </c>
      <c r="C5529" t="s">
        <v>40</v>
      </c>
      <c r="D5529">
        <v>5.7394020000000001</v>
      </c>
      <c r="E5529">
        <v>0.55676890000000001</v>
      </c>
      <c r="F5529" t="s">
        <v>101</v>
      </c>
      <c r="G5529">
        <v>-269.9332</v>
      </c>
      <c r="H5529">
        <v>1.36222</v>
      </c>
      <c r="I5529">
        <v>4.6003990000000003</v>
      </c>
      <c r="J5529">
        <v>-327.04360000000003</v>
      </c>
      <c r="K5529">
        <v>1.1076729999999999</v>
      </c>
      <c r="L5529">
        <v>17.250789999999999</v>
      </c>
      <c r="M5529">
        <v>0.99934290000000003</v>
      </c>
      <c r="N5529">
        <v>0</v>
      </c>
      <c r="O5529">
        <v>-3.3291290000000001E-2</v>
      </c>
      <c r="P5529">
        <v>0.99432489999999996</v>
      </c>
      <c r="Q5529">
        <v>1.2667760000000001E-3</v>
      </c>
      <c r="R5529">
        <v>-0.10637919999999999</v>
      </c>
      <c r="S5529">
        <v>2.9495239999999998</v>
      </c>
      <c r="T5529">
        <v>1.307058E-2</v>
      </c>
      <c r="U5529">
        <v>-0.65045169999999997</v>
      </c>
      <c r="V5529">
        <v>7.3307830000000004E-2</v>
      </c>
      <c r="W5529">
        <v>1.511356E-2</v>
      </c>
      <c r="X5529">
        <v>0.99719480000000005</v>
      </c>
      <c r="Y5529">
        <v>0.18271899999999999</v>
      </c>
      <c r="Z5529">
        <v>2.5440599999999999E-4</v>
      </c>
      <c r="AA5529">
        <v>0.98316510000000001</v>
      </c>
      <c r="AB5529">
        <v>30</v>
      </c>
      <c r="AC5529">
        <v>57.110399999999998</v>
      </c>
      <c r="AD5529">
        <v>0.25454700000000002</v>
      </c>
      <c r="AE5529">
        <v>-12.650391000000001</v>
      </c>
      <c r="AF5529">
        <v>10.7416996908541</v>
      </c>
      <c r="AG5529">
        <v>0.25454700000000002</v>
      </c>
      <c r="AH5529">
        <v>57.4988389769291</v>
      </c>
      <c r="AI5529">
        <v>89.750667114013893</v>
      </c>
      <c r="AJ5529">
        <v>79.418212015660799</v>
      </c>
      <c r="AK5529">
        <v>58.494148340825802</v>
      </c>
      <c r="AL5529">
        <v>89.134023797074605</v>
      </c>
      <c r="AM5529">
        <v>85.795518338291103</v>
      </c>
      <c r="AN5529">
        <v>0.99999996339110997</v>
      </c>
    </row>
    <row r="5530" spans="1:40" x14ac:dyDescent="0.25">
      <c r="A5530" t="str">
        <f>"20190312161127233"</f>
        <v>20190312161127233</v>
      </c>
      <c r="B5530" t="str">
        <f>"1552378287222820"</f>
        <v>1552378287222820</v>
      </c>
      <c r="C5530" t="s">
        <v>40</v>
      </c>
      <c r="D5530">
        <v>5.6985390000000002</v>
      </c>
      <c r="E5530">
        <v>0.55647269999999904</v>
      </c>
      <c r="F5530" t="s">
        <v>43</v>
      </c>
      <c r="G5530">
        <v>-306.24799999999999</v>
      </c>
      <c r="H5530">
        <v>-0.05</v>
      </c>
      <c r="I5530">
        <v>11.83385</v>
      </c>
      <c r="J5530">
        <v>-326.73419999999999</v>
      </c>
      <c r="K5530">
        <v>1.107593</v>
      </c>
      <c r="L5530">
        <v>17.236999999999998</v>
      </c>
      <c r="M5530">
        <v>0.99922690000000003</v>
      </c>
      <c r="N5530">
        <v>0</v>
      </c>
      <c r="O5530">
        <v>-3.6608729999999999E-2</v>
      </c>
      <c r="P5530">
        <v>0.99364370000000002</v>
      </c>
      <c r="Q5530">
        <v>1.3292250000000001E-3</v>
      </c>
      <c r="R5530">
        <v>-0.1125636</v>
      </c>
      <c r="S5530">
        <v>2.935486</v>
      </c>
      <c r="T5530">
        <v>-0.1634158</v>
      </c>
      <c r="U5530">
        <v>-0.76464840000000001</v>
      </c>
      <c r="V5530">
        <v>7.6205540000000002E-2</v>
      </c>
      <c r="W5530">
        <v>1.5142640000000001E-2</v>
      </c>
      <c r="X5530">
        <v>0.99697720000000001</v>
      </c>
      <c r="Y5530">
        <v>0.21621399999999999</v>
      </c>
      <c r="Z5530">
        <v>-3.9145129999999997E-3</v>
      </c>
      <c r="AA5530">
        <v>0.97633809999999999</v>
      </c>
      <c r="AB5530">
        <v>30</v>
      </c>
      <c r="AC5530">
        <v>20.4862</v>
      </c>
      <c r="AD5530">
        <v>-1.1575930000000001</v>
      </c>
      <c r="AE5530">
        <v>-5.4031500000000001</v>
      </c>
      <c r="AF5530">
        <v>4.6356379802820804</v>
      </c>
      <c r="AG5530">
        <v>-1.1575930000000001</v>
      </c>
      <c r="AH5530">
        <v>20.608764910674299</v>
      </c>
      <c r="AI5530">
        <v>93.136711188374207</v>
      </c>
      <c r="AJ5530">
        <v>77.323146919894597</v>
      </c>
      <c r="AK5530">
        <v>21.155385890626601</v>
      </c>
      <c r="AL5530">
        <v>89.132357529399997</v>
      </c>
      <c r="AM5530">
        <v>85.629005214359793</v>
      </c>
      <c r="AN5530">
        <v>1.0000000605963399</v>
      </c>
    </row>
    <row r="5531" spans="1:40" x14ac:dyDescent="0.25">
      <c r="A5531" t="str">
        <f>"20190312161127255"</f>
        <v>20190312161127255</v>
      </c>
      <c r="B5531" t="str">
        <f>"1552378287253076"</f>
        <v>1552378287253076</v>
      </c>
      <c r="C5531" t="s">
        <v>40</v>
      </c>
      <c r="D5531">
        <v>6.0347980000000003</v>
      </c>
      <c r="E5531">
        <v>0.55933389999999905</v>
      </c>
      <c r="F5531" t="s">
        <v>43</v>
      </c>
      <c r="G5531">
        <v>-304.36419999999998</v>
      </c>
      <c r="H5531">
        <v>-0.05</v>
      </c>
      <c r="I5531">
        <v>11.27788</v>
      </c>
      <c r="J5531">
        <v>-326.43860000000001</v>
      </c>
      <c r="K5531">
        <v>1.1075189999999999</v>
      </c>
      <c r="L5531">
        <v>17.22269</v>
      </c>
      <c r="M5531">
        <v>0.99910100000000002</v>
      </c>
      <c r="N5531">
        <v>0</v>
      </c>
      <c r="O5531">
        <v>-3.9897740000000001E-2</v>
      </c>
      <c r="P5531">
        <v>0.99289419999999995</v>
      </c>
      <c r="Q5531">
        <v>2.5879649999999998E-3</v>
      </c>
      <c r="R5531">
        <v>-0.1189728</v>
      </c>
      <c r="S5531">
        <v>2.9309080000000001</v>
      </c>
      <c r="T5531">
        <v>-0.15166740000000001</v>
      </c>
      <c r="U5531">
        <v>-0.780761699999999</v>
      </c>
      <c r="V5531">
        <v>7.9368190000000005E-2</v>
      </c>
      <c r="W5531">
        <v>1.636462E-2</v>
      </c>
      <c r="X5531">
        <v>0.99671100000000001</v>
      </c>
      <c r="Y5531">
        <v>0.2184275</v>
      </c>
      <c r="Z5531">
        <v>-3.5260589999999998E-3</v>
      </c>
      <c r="AA5531">
        <v>0.97584680000000001</v>
      </c>
      <c r="AB5531">
        <v>30</v>
      </c>
      <c r="AC5531">
        <v>22.074400000000001</v>
      </c>
      <c r="AD5531">
        <v>-1.157519</v>
      </c>
      <c r="AE5531">
        <v>-5.9448099999999897</v>
      </c>
      <c r="AF5531">
        <v>5.0463290949833599</v>
      </c>
      <c r="AG5531">
        <v>-1.157519</v>
      </c>
      <c r="AH5531">
        <v>22.2370194354707</v>
      </c>
      <c r="AI5531">
        <v>92.906010286374098</v>
      </c>
      <c r="AJ5531">
        <v>77.214206057054398</v>
      </c>
      <c r="AK5531">
        <v>22.831783131059598</v>
      </c>
      <c r="AL5531">
        <v>89.062334452418696</v>
      </c>
      <c r="AM5531">
        <v>85.447138667133203</v>
      </c>
      <c r="AN5531">
        <v>0.99999996394630897</v>
      </c>
    </row>
    <row r="5532" spans="1:40" x14ac:dyDescent="0.25">
      <c r="A5532" t="str">
        <f>"20190312161127276"</f>
        <v>20190312161127276</v>
      </c>
      <c r="B5532" t="str">
        <f>"1552378287272597"</f>
        <v>1552378287272597</v>
      </c>
      <c r="C5532" t="s">
        <v>40</v>
      </c>
      <c r="D5532">
        <v>5.8302809999999896</v>
      </c>
      <c r="E5532">
        <v>0.56874409999999997</v>
      </c>
      <c r="F5532" t="s">
        <v>43</v>
      </c>
      <c r="G5532">
        <v>-304.80430000000001</v>
      </c>
      <c r="H5532">
        <v>-0.05</v>
      </c>
      <c r="I5532">
        <v>11.138059999999999</v>
      </c>
      <c r="J5532">
        <v>-326.14870000000002</v>
      </c>
      <c r="K5532">
        <v>1.107434</v>
      </c>
      <c r="L5532">
        <v>17.207639999999898</v>
      </c>
      <c r="M5532">
        <v>0.99896169999999995</v>
      </c>
      <c r="N5532">
        <v>0</v>
      </c>
      <c r="O5532">
        <v>-4.3240059999999997E-2</v>
      </c>
      <c r="P5532">
        <v>0.99210759999999998</v>
      </c>
      <c r="Q5532">
        <v>4.7164950000000002E-3</v>
      </c>
      <c r="R5532">
        <v>-0.12530230000000001</v>
      </c>
      <c r="S5532">
        <v>2.9234010000000001</v>
      </c>
      <c r="T5532">
        <v>-0.1564132</v>
      </c>
      <c r="U5532">
        <v>-0.82220459999999995</v>
      </c>
      <c r="V5532">
        <v>8.2408410000000001E-2</v>
      </c>
      <c r="W5532">
        <v>1.8454760000000001E-2</v>
      </c>
      <c r="X5532">
        <v>0.99642779999999997</v>
      </c>
      <c r="Y5532">
        <v>0.2286173</v>
      </c>
      <c r="Z5532">
        <v>-3.7312339999999999E-3</v>
      </c>
      <c r="AA5532">
        <v>0.97350919999999996</v>
      </c>
      <c r="AB5532">
        <v>30</v>
      </c>
      <c r="AC5532">
        <v>21.3444</v>
      </c>
      <c r="AD5532">
        <v>-1.1574340000000001</v>
      </c>
      <c r="AE5532">
        <v>-6.0695799999999904</v>
      </c>
      <c r="AF5532">
        <v>5.1269259210370697</v>
      </c>
      <c r="AG5532">
        <v>-1.1574340000000001</v>
      </c>
      <c r="AH5532">
        <v>21.528340172778901</v>
      </c>
      <c r="AI5532">
        <v>92.993877338070604</v>
      </c>
      <c r="AJ5532">
        <v>76.604654609051394</v>
      </c>
      <c r="AK5532">
        <v>22.160651016137699</v>
      </c>
      <c r="AL5532">
        <v>88.942560155640393</v>
      </c>
      <c r="AM5532">
        <v>85.272178475884601</v>
      </c>
      <c r="AN5532">
        <v>1.00000004240911</v>
      </c>
    </row>
    <row r="5533" spans="1:40" x14ac:dyDescent="0.25">
      <c r="A5533" t="str">
        <f>"20190312161127299"</f>
        <v>20190312161127299</v>
      </c>
      <c r="B5533" t="str">
        <f>"1552378287293092"</f>
        <v>1552378287293092</v>
      </c>
      <c r="C5533" t="s">
        <v>40</v>
      </c>
      <c r="D5533">
        <v>5.7522140000000004</v>
      </c>
      <c r="E5533">
        <v>0.57613269999999905</v>
      </c>
      <c r="F5533" t="s">
        <v>43</v>
      </c>
      <c r="G5533">
        <v>-300.92649999999998</v>
      </c>
      <c r="H5533">
        <v>-0.05</v>
      </c>
      <c r="I5533">
        <v>9.2654420000000002</v>
      </c>
      <c r="J5533">
        <v>-325.83710000000002</v>
      </c>
      <c r="K5533">
        <v>1.107337</v>
      </c>
      <c r="L5533">
        <v>17.190249999999999</v>
      </c>
      <c r="M5533">
        <v>0.99879340000000005</v>
      </c>
      <c r="N5533">
        <v>0</v>
      </c>
      <c r="O5533">
        <v>-4.6968309999999999E-2</v>
      </c>
      <c r="P5533">
        <v>0.99137900000000001</v>
      </c>
      <c r="Q5533">
        <v>6.0221739999999999E-3</v>
      </c>
      <c r="R5533">
        <v>-0.13088710000000001</v>
      </c>
      <c r="S5533">
        <v>2.9088129999999999</v>
      </c>
      <c r="T5533">
        <v>-0.13348360000000001</v>
      </c>
      <c r="U5533">
        <v>-0.91595459999999995</v>
      </c>
      <c r="V5533">
        <v>8.4315109999999999E-2</v>
      </c>
      <c r="W5533">
        <v>1.9728160000000002E-2</v>
      </c>
      <c r="X5533">
        <v>0.99624380000000001</v>
      </c>
      <c r="Y5533">
        <v>0.25501629999999997</v>
      </c>
      <c r="Z5533">
        <v>-3.6109639999999999E-3</v>
      </c>
      <c r="AA5533">
        <v>0.96692999999999996</v>
      </c>
      <c r="AB5533">
        <v>30</v>
      </c>
      <c r="AC5533">
        <v>24.910599999999999</v>
      </c>
      <c r="AD5533">
        <v>-1.1573370000000001</v>
      </c>
      <c r="AE5533">
        <v>-7.9248079999999899</v>
      </c>
      <c r="AF5533">
        <v>6.73273411146742</v>
      </c>
      <c r="AG5533">
        <v>-1.1573370000000001</v>
      </c>
      <c r="AH5533">
        <v>25.2059489705196</v>
      </c>
      <c r="AI5533">
        <v>92.539976359740606</v>
      </c>
      <c r="AJ5533">
        <v>75.044927806204797</v>
      </c>
      <c r="AK5533">
        <v>26.1153020478746</v>
      </c>
      <c r="AL5533">
        <v>88.869586330235094</v>
      </c>
      <c r="AM5533">
        <v>85.162413959518403</v>
      </c>
      <c r="AN5533">
        <v>0.99999997355486803</v>
      </c>
    </row>
    <row r="5534" spans="1:40" x14ac:dyDescent="0.25">
      <c r="A5534" t="str">
        <f>"20190312161127321"</f>
        <v>20190312161127321</v>
      </c>
      <c r="B5534" t="str">
        <f>"1552378287312616"</f>
        <v>1552378287312616</v>
      </c>
      <c r="C5534" t="s">
        <v>40</v>
      </c>
      <c r="D5534">
        <v>5.8033190000000001</v>
      </c>
      <c r="E5534">
        <v>0.57814779999999999</v>
      </c>
      <c r="F5534" t="s">
        <v>43</v>
      </c>
      <c r="G5534">
        <v>-303.27800000000002</v>
      </c>
      <c r="H5534">
        <v>-0.05</v>
      </c>
      <c r="I5534">
        <v>9.4739380000000004</v>
      </c>
      <c r="J5534">
        <v>-325.54840000000002</v>
      </c>
      <c r="K5534">
        <v>1.1072340000000001</v>
      </c>
      <c r="L5534">
        <v>17.172910000000002</v>
      </c>
      <c r="M5534">
        <v>0.99861789999999995</v>
      </c>
      <c r="N5534">
        <v>0</v>
      </c>
      <c r="O5534">
        <v>-5.0559550000000002E-2</v>
      </c>
      <c r="P5534">
        <v>0.9906334</v>
      </c>
      <c r="Q5534">
        <v>6.5119590000000003E-3</v>
      </c>
      <c r="R5534">
        <v>-0.13639389999999901</v>
      </c>
      <c r="S5534">
        <v>2.8961790000000001</v>
      </c>
      <c r="T5534">
        <v>-0.14858080000000001</v>
      </c>
      <c r="U5534">
        <v>-0.99063109999999999</v>
      </c>
      <c r="V5534">
        <v>8.6277530000000005E-2</v>
      </c>
      <c r="W5534">
        <v>2.0184879999999999E-2</v>
      </c>
      <c r="X5534">
        <v>0.99606660000000002</v>
      </c>
      <c r="Y5534">
        <v>0.27511809999999998</v>
      </c>
      <c r="Z5534">
        <v>-4.3430500000000002E-3</v>
      </c>
      <c r="AA5534">
        <v>0.96140060000000005</v>
      </c>
      <c r="AB5534">
        <v>30</v>
      </c>
      <c r="AC5534">
        <v>22.270399999999899</v>
      </c>
      <c r="AD5534">
        <v>-1.1572340000000001</v>
      </c>
      <c r="AE5534">
        <v>-7.6989720000000004</v>
      </c>
      <c r="AF5534">
        <v>6.5472347251195</v>
      </c>
      <c r="AG5534">
        <v>-1.1572340000000001</v>
      </c>
      <c r="AH5534">
        <v>22.576755331296599</v>
      </c>
      <c r="AI5534">
        <v>92.8183652038975</v>
      </c>
      <c r="AJ5534">
        <v>73.827897918327693</v>
      </c>
      <c r="AK5534">
        <v>23.5354063989938</v>
      </c>
      <c r="AL5534">
        <v>88.843412968831004</v>
      </c>
      <c r="AM5534">
        <v>85.049496823944295</v>
      </c>
      <c r="AN5534">
        <v>0.999999956599536</v>
      </c>
    </row>
    <row r="5535" spans="1:40" x14ac:dyDescent="0.25">
      <c r="A5535" t="str">
        <f>"20190312161127342"</f>
        <v>20190312161127342</v>
      </c>
      <c r="B5535" t="str">
        <f>"1552378287333109"</f>
        <v>1552378287333109</v>
      </c>
      <c r="C5535" t="s">
        <v>40</v>
      </c>
      <c r="D5535">
        <v>5.77942</v>
      </c>
      <c r="E5535">
        <v>0.57927600000000001</v>
      </c>
      <c r="F5535" t="s">
        <v>43</v>
      </c>
      <c r="G5535">
        <v>-292.72640000000001</v>
      </c>
      <c r="H5535">
        <v>-0.05</v>
      </c>
      <c r="I5535">
        <v>5.5359339999999904</v>
      </c>
      <c r="J5535">
        <v>-325.26010000000002</v>
      </c>
      <c r="K5535">
        <v>1.107121</v>
      </c>
      <c r="L5535">
        <v>17.154450000000001</v>
      </c>
      <c r="M5535">
        <v>0.99842260000000005</v>
      </c>
      <c r="N5535">
        <v>0</v>
      </c>
      <c r="O5535">
        <v>-5.427821E-2</v>
      </c>
      <c r="P5535">
        <v>0.98994680000000002</v>
      </c>
      <c r="Q5535">
        <v>6.7664789999999997E-3</v>
      </c>
      <c r="R5535">
        <v>-0.1412785</v>
      </c>
      <c r="S5535">
        <v>2.8880620000000001</v>
      </c>
      <c r="T5535">
        <v>-0.101826899999999</v>
      </c>
      <c r="U5535">
        <v>-1.0239560000000001</v>
      </c>
      <c r="V5535">
        <v>8.7488350000000006E-2</v>
      </c>
      <c r="W5535">
        <v>2.0411800000000001E-2</v>
      </c>
      <c r="X5535">
        <v>0.99595639999999996</v>
      </c>
      <c r="Y5535">
        <v>0.282385099999999</v>
      </c>
      <c r="Z5535">
        <v>-2.9776910000000002E-3</v>
      </c>
      <c r="AA5535">
        <v>0.9592965</v>
      </c>
      <c r="AB5535">
        <v>30</v>
      </c>
      <c r="AC5535">
        <v>32.533700000000003</v>
      </c>
      <c r="AD5535">
        <v>-1.1571209999999901</v>
      </c>
      <c r="AE5535">
        <v>-11.618516</v>
      </c>
      <c r="AF5535">
        <v>9.82430992409593</v>
      </c>
      <c r="AG5535">
        <v>-1.1571209999999901</v>
      </c>
      <c r="AH5535">
        <v>33.079315682053902</v>
      </c>
      <c r="AI5535">
        <v>91.920555755806305</v>
      </c>
      <c r="AJ5535">
        <v>73.458973366087207</v>
      </c>
      <c r="AK5535">
        <v>34.526759484294402</v>
      </c>
      <c r="AL5535">
        <v>88.830408783567293</v>
      </c>
      <c r="AM5535">
        <v>84.979821342612695</v>
      </c>
      <c r="AN5535">
        <v>1.00000000183296</v>
      </c>
    </row>
    <row r="5536" spans="1:40" x14ac:dyDescent="0.25">
      <c r="A5536" t="str">
        <f>"20190312161127366"</f>
        <v>20190312161127366</v>
      </c>
      <c r="B5536" t="str">
        <f>"1552378287362389"</f>
        <v>1552378287362389</v>
      </c>
      <c r="C5536" t="s">
        <v>40</v>
      </c>
      <c r="D5536">
        <v>5.8071710000000003</v>
      </c>
      <c r="E5536">
        <v>0.58031359999999999</v>
      </c>
      <c r="F5536" t="s">
        <v>43</v>
      </c>
      <c r="G5536">
        <v>-277.35230000000001</v>
      </c>
      <c r="H5536">
        <v>-0.05</v>
      </c>
      <c r="I5536">
        <v>-0.26426699999999997</v>
      </c>
      <c r="J5536">
        <v>-324.9495</v>
      </c>
      <c r="K5536">
        <v>1.107002</v>
      </c>
      <c r="L5536">
        <v>17.133120000000002</v>
      </c>
      <c r="M5536">
        <v>0.99818709999999999</v>
      </c>
      <c r="N5536">
        <v>0</v>
      </c>
      <c r="O5536">
        <v>-5.8448489999999999E-2</v>
      </c>
      <c r="P5536">
        <v>0.98927600000000004</v>
      </c>
      <c r="Q5536">
        <v>6.8920689999999998E-3</v>
      </c>
      <c r="R5536">
        <v>-0.1458969</v>
      </c>
      <c r="S5536">
        <v>2.8814700000000002</v>
      </c>
      <c r="T5536">
        <v>-6.9596290000000005E-2</v>
      </c>
      <c r="U5536">
        <v>-1.047668</v>
      </c>
      <c r="V5536">
        <v>8.7982649999999996E-2</v>
      </c>
      <c r="W5536">
        <v>2.051383E-2</v>
      </c>
      <c r="X5536">
        <v>0.99591079999999998</v>
      </c>
      <c r="Y5536">
        <v>0.2861244</v>
      </c>
      <c r="Z5536">
        <v>-1.9839480000000001E-3</v>
      </c>
      <c r="AA5536">
        <v>0.9581904</v>
      </c>
      <c r="AB5536">
        <v>30</v>
      </c>
      <c r="AC5536">
        <v>47.597200000000001</v>
      </c>
      <c r="AD5536">
        <v>-1.1570020000000001</v>
      </c>
      <c r="AE5536">
        <v>-17.397386999999998</v>
      </c>
      <c r="AF5536">
        <v>14.5777686195693</v>
      </c>
      <c r="AG5536">
        <v>-1.1570020000000001</v>
      </c>
      <c r="AH5536">
        <v>48.507483638610402</v>
      </c>
      <c r="AI5536">
        <v>91.308567972808305</v>
      </c>
      <c r="AJ5536">
        <v>73.273101306827201</v>
      </c>
      <c r="AK5536">
        <v>50.663852602262303</v>
      </c>
      <c r="AL5536">
        <v>88.824561718981997</v>
      </c>
      <c r="AM5536">
        <v>84.951374067490207</v>
      </c>
      <c r="AN5536">
        <v>1.00000004273946</v>
      </c>
    </row>
    <row r="5537" spans="1:40" x14ac:dyDescent="0.25">
      <c r="A5537" t="str">
        <f>"20190312161127388"</f>
        <v>20190312161127388</v>
      </c>
      <c r="B5537" t="str">
        <f>"1552378287382885"</f>
        <v>1552378287382885</v>
      </c>
      <c r="C5537" t="s">
        <v>40</v>
      </c>
      <c r="D5537">
        <v>5.8531269999999997</v>
      </c>
      <c r="E5537">
        <v>0.58041019999999999</v>
      </c>
      <c r="F5537" t="s">
        <v>101</v>
      </c>
      <c r="G5537">
        <v>-279.02</v>
      </c>
      <c r="H5537">
        <v>0.4804233</v>
      </c>
      <c r="I5537">
        <v>3.6149979999999998E-2</v>
      </c>
      <c r="J5537">
        <v>-324.6377</v>
      </c>
      <c r="K5537">
        <v>1.106887</v>
      </c>
      <c r="L5537">
        <v>17.110199999999999</v>
      </c>
      <c r="M5537">
        <v>0.997923</v>
      </c>
      <c r="N5537">
        <v>0</v>
      </c>
      <c r="O5537">
        <v>-6.2795290000000004E-2</v>
      </c>
      <c r="P5537">
        <v>0.98857969999999895</v>
      </c>
      <c r="Q5537">
        <v>7.0149490000000004E-3</v>
      </c>
      <c r="R5537">
        <v>-0.15053639999999999</v>
      </c>
      <c r="S5537">
        <v>2.8749690000000001</v>
      </c>
      <c r="T5537">
        <v>-3.9220930000000001E-2</v>
      </c>
      <c r="U5537">
        <v>-1.07019</v>
      </c>
      <c r="V5537">
        <v>8.8324449999999999E-2</v>
      </c>
      <c r="W5537">
        <v>2.0615850000000002E-2</v>
      </c>
      <c r="X5537">
        <v>0.99587840000000005</v>
      </c>
      <c r="Y5537">
        <v>0.28929480000000002</v>
      </c>
      <c r="Z5537">
        <v>-1.0830379999999999E-3</v>
      </c>
      <c r="AA5537">
        <v>0.95723939999999996</v>
      </c>
      <c r="AB5537">
        <v>30</v>
      </c>
      <c r="AC5537">
        <v>45.617699999999999</v>
      </c>
      <c r="AD5537">
        <v>-0.62646369999999996</v>
      </c>
      <c r="AE5537">
        <v>-17.074050019999898</v>
      </c>
      <c r="AF5537">
        <v>14.173129260324901</v>
      </c>
      <c r="AG5537">
        <v>-0.62646369999999996</v>
      </c>
      <c r="AH5537">
        <v>46.5922249471679</v>
      </c>
      <c r="AI5537">
        <v>90.736993269519601</v>
      </c>
      <c r="AJ5537">
        <v>73.080492930694007</v>
      </c>
      <c r="AK5537">
        <v>48.704265473619401</v>
      </c>
      <c r="AL5537">
        <v>88.818715122396696</v>
      </c>
      <c r="AM5537">
        <v>84.931698801766203</v>
      </c>
      <c r="AN5537">
        <v>1.0000000046627899</v>
      </c>
    </row>
    <row r="5538" spans="1:40" x14ac:dyDescent="0.25">
      <c r="A5538" t="str">
        <f>"20190312161127412"</f>
        <v>20190312161127412</v>
      </c>
      <c r="B5538" t="str">
        <f>"1552378287402405"</f>
        <v>1552378287402405</v>
      </c>
      <c r="C5538" t="s">
        <v>40</v>
      </c>
      <c r="D5538">
        <v>5.582217</v>
      </c>
      <c r="E5538">
        <v>0.58140800000000004</v>
      </c>
      <c r="F5538" t="s">
        <v>101</v>
      </c>
      <c r="G5538">
        <v>-279.02</v>
      </c>
      <c r="H5538">
        <v>0.70915539999999999</v>
      </c>
      <c r="I5538">
        <v>-0.13189319999999999</v>
      </c>
      <c r="J5538">
        <v>-324.33120000000002</v>
      </c>
      <c r="K5538">
        <v>1.106789</v>
      </c>
      <c r="L5538">
        <v>17.086210000000001</v>
      </c>
      <c r="M5538">
        <v>0.99763639999999998</v>
      </c>
      <c r="N5538">
        <v>0</v>
      </c>
      <c r="O5538">
        <v>-6.7193310000000006E-2</v>
      </c>
      <c r="P5538">
        <v>0.98784340000000004</v>
      </c>
      <c r="Q5538">
        <v>6.9037930000000001E-3</v>
      </c>
      <c r="R5538">
        <v>-0.15530079999999999</v>
      </c>
      <c r="S5538">
        <v>2.8696899999999999</v>
      </c>
      <c r="T5538">
        <v>-2.5020239999999999E-2</v>
      </c>
      <c r="U5538">
        <v>-1.0846559999999901</v>
      </c>
      <c r="V5538">
        <v>8.8739830000000006E-2</v>
      </c>
      <c r="W5538">
        <v>2.0485699999999999E-2</v>
      </c>
      <c r="X5538">
        <v>0.99584410000000001</v>
      </c>
      <c r="Y5538">
        <v>0.28989110000000001</v>
      </c>
      <c r="Z5538">
        <v>-6.5726130000000002E-4</v>
      </c>
      <c r="AA5538">
        <v>0.9570594</v>
      </c>
      <c r="AB5538">
        <v>30</v>
      </c>
      <c r="AC5538">
        <v>45.311199999999999</v>
      </c>
      <c r="AD5538">
        <v>-0.39763359999999998</v>
      </c>
      <c r="AE5538">
        <v>-17.218103200000002</v>
      </c>
      <c r="AF5538">
        <v>14.133306549084701</v>
      </c>
      <c r="AG5538">
        <v>-0.39763359999999998</v>
      </c>
      <c r="AH5538">
        <v>46.362715366909597</v>
      </c>
      <c r="AI5538">
        <v>90.470036070557498</v>
      </c>
      <c r="AJ5538">
        <v>73.046572601979904</v>
      </c>
      <c r="AK5538">
        <v>48.470711184006099</v>
      </c>
      <c r="AL5538">
        <v>88.826173674875207</v>
      </c>
      <c r="AM5538">
        <v>84.907813704314293</v>
      </c>
      <c r="AN5538">
        <v>0.99999994641886303</v>
      </c>
    </row>
    <row r="5539" spans="1:40" x14ac:dyDescent="0.25">
      <c r="A5539" t="str">
        <f>"20190312161127433"</f>
        <v>20190312161127433</v>
      </c>
      <c r="B5539" t="str">
        <f>"1552378287422904"</f>
        <v>1552378287422904</v>
      </c>
      <c r="C5539" t="s">
        <v>40</v>
      </c>
      <c r="D5539">
        <v>6.1164139999999998</v>
      </c>
      <c r="E5539">
        <v>0.58262559999999997</v>
      </c>
      <c r="F5539" t="s">
        <v>101</v>
      </c>
      <c r="G5539">
        <v>-279.02</v>
      </c>
      <c r="H5539">
        <v>0.7497414</v>
      </c>
      <c r="I5539">
        <v>-0.42460059999999999</v>
      </c>
      <c r="J5539">
        <v>-324.03809999999999</v>
      </c>
      <c r="K5539">
        <v>1.106711</v>
      </c>
      <c r="L5539">
        <v>17.061920000000001</v>
      </c>
      <c r="M5539">
        <v>0.99733579999999999</v>
      </c>
      <c r="N5539">
        <v>0</v>
      </c>
      <c r="O5539">
        <v>-7.1514720000000004E-2</v>
      </c>
      <c r="P5539">
        <v>0.98720719999999995</v>
      </c>
      <c r="Q5539">
        <v>6.8375519999999898E-3</v>
      </c>
      <c r="R5539">
        <v>-0.15929599999999999</v>
      </c>
      <c r="S5539">
        <v>2.8631289999999998</v>
      </c>
      <c r="T5539">
        <v>-2.2561189999999998E-2</v>
      </c>
      <c r="U5539">
        <v>-1.106476</v>
      </c>
      <c r="V5539">
        <v>8.8458380000000003E-2</v>
      </c>
      <c r="W5539">
        <v>2.0408470000000001E-2</v>
      </c>
      <c r="X5539">
        <v>0.99587079999999994</v>
      </c>
      <c r="Y5539">
        <v>0.29283229999999999</v>
      </c>
      <c r="Z5539">
        <v>-5.7177219999999997E-4</v>
      </c>
      <c r="AA5539">
        <v>0.9561636</v>
      </c>
      <c r="AB5539">
        <v>30</v>
      </c>
      <c r="AC5539">
        <v>45.018099999999997</v>
      </c>
      <c r="AD5539">
        <v>-0.356969599999999</v>
      </c>
      <c r="AE5539">
        <v>-17.486520599999999</v>
      </c>
      <c r="AF5539">
        <v>14.221170914770299</v>
      </c>
      <c r="AG5539">
        <v>-0.356969599999999</v>
      </c>
      <c r="AH5539">
        <v>46.150960926185398</v>
      </c>
      <c r="AI5539">
        <v>90.423513682408696</v>
      </c>
      <c r="AJ5539">
        <v>72.873599126015705</v>
      </c>
      <c r="AK5539">
        <v>48.293688240728997</v>
      </c>
      <c r="AL5539">
        <v>88.830599640058097</v>
      </c>
      <c r="AM5539">
        <v>84.924015112110098</v>
      </c>
      <c r="AN5539">
        <v>1.0000000204663</v>
      </c>
    </row>
    <row r="5540" spans="1:40" x14ac:dyDescent="0.25">
      <c r="A5540" t="str">
        <f>"20190312161127457"</f>
        <v>20190312161127457</v>
      </c>
      <c r="B5540" t="str">
        <f>"1552378287442421"</f>
        <v>1552378287442421</v>
      </c>
      <c r="C5540" t="s">
        <v>40</v>
      </c>
      <c r="D5540">
        <v>5.9369420000000002</v>
      </c>
      <c r="E5540">
        <v>0.58286910000000003</v>
      </c>
      <c r="F5540" t="s">
        <v>101</v>
      </c>
      <c r="G5540">
        <v>-279.02</v>
      </c>
      <c r="H5540">
        <v>0.67104580000000003</v>
      </c>
      <c r="I5540">
        <v>-0.70467760000000002</v>
      </c>
      <c r="J5540">
        <v>-323.73200000000003</v>
      </c>
      <c r="K5540">
        <v>1.106625</v>
      </c>
      <c r="L5540">
        <v>17.035029999999999</v>
      </c>
      <c r="M5540">
        <v>0.99699289999999996</v>
      </c>
      <c r="N5540">
        <v>0</v>
      </c>
      <c r="O5540">
        <v>-7.614775E-2</v>
      </c>
      <c r="P5540">
        <v>0.98647390000000001</v>
      </c>
      <c r="Q5540">
        <v>6.7610600000000002E-3</v>
      </c>
      <c r="R5540">
        <v>-0.1637805</v>
      </c>
      <c r="S5540">
        <v>2.8570859999999998</v>
      </c>
      <c r="T5540">
        <v>-2.764964E-2</v>
      </c>
      <c r="U5540">
        <v>-1.1275630000000001</v>
      </c>
      <c r="V5540">
        <v>8.8360549999999996E-2</v>
      </c>
      <c r="W5540">
        <v>2.0319799999999999E-2</v>
      </c>
      <c r="X5540">
        <v>0.99588129999999997</v>
      </c>
      <c r="Y5540">
        <v>0.29518729999999999</v>
      </c>
      <c r="Z5540">
        <v>-6.6939460000000001E-4</v>
      </c>
      <c r="AA5540">
        <v>0.95543920000000004</v>
      </c>
      <c r="AB5540">
        <v>30</v>
      </c>
      <c r="AC5540">
        <v>44.712000000000003</v>
      </c>
      <c r="AD5540">
        <v>-0.4355792</v>
      </c>
      <c r="AE5540">
        <v>-17.739707599999999</v>
      </c>
      <c r="AF5540">
        <v>14.2819493286748</v>
      </c>
      <c r="AG5540">
        <v>-0.4355792</v>
      </c>
      <c r="AH5540">
        <v>45.929366219165402</v>
      </c>
      <c r="AI5540">
        <v>90.518853735411696</v>
      </c>
      <c r="AJ5540">
        <v>72.726676203466795</v>
      </c>
      <c r="AK5540">
        <v>48.100628760552802</v>
      </c>
      <c r="AL5540">
        <v>88.835681112699504</v>
      </c>
      <c r="AM5540">
        <v>84.929652767805095</v>
      </c>
      <c r="AN5540">
        <v>1.00000002237901</v>
      </c>
    </row>
    <row r="5541" spans="1:40" x14ac:dyDescent="0.25">
      <c r="A5541" t="str">
        <f>"20190312161127478"</f>
        <v>20190312161127478</v>
      </c>
      <c r="B5541" t="str">
        <f>"1552378287472677"</f>
        <v>1552378287472677</v>
      </c>
      <c r="C5541" t="s">
        <v>40</v>
      </c>
      <c r="D5541">
        <v>6.2310720000000002</v>
      </c>
      <c r="E5541">
        <v>0.58247139999999997</v>
      </c>
      <c r="F5541" t="s">
        <v>101</v>
      </c>
      <c r="G5541">
        <v>-279.02</v>
      </c>
      <c r="H5541">
        <v>0.71878560000000002</v>
      </c>
      <c r="I5541">
        <v>-0.88066480000000003</v>
      </c>
      <c r="J5541">
        <v>-323.44369999999998</v>
      </c>
      <c r="K5541">
        <v>1.10654599999999</v>
      </c>
      <c r="L5541">
        <v>17.008329999999901</v>
      </c>
      <c r="M5541">
        <v>0.99664109999999995</v>
      </c>
      <c r="N5541">
        <v>0</v>
      </c>
      <c r="O5541">
        <v>-8.0619730000000001E-2</v>
      </c>
      <c r="P5541">
        <v>0.98575800000000002</v>
      </c>
      <c r="Q5541">
        <v>6.9597610000000001E-3</v>
      </c>
      <c r="R5541">
        <v>-0.1680266</v>
      </c>
      <c r="S5541">
        <v>2.8515929999999998</v>
      </c>
      <c r="T5541">
        <v>-2.4735210000000001E-2</v>
      </c>
      <c r="U5541">
        <v>-1.142609</v>
      </c>
      <c r="V5541">
        <v>8.8186699999999896E-2</v>
      </c>
      <c r="W5541">
        <v>2.0507629999999999E-2</v>
      </c>
      <c r="X5541">
        <v>0.99589280000000002</v>
      </c>
      <c r="Y5541">
        <v>0.295882599999999</v>
      </c>
      <c r="Z5541">
        <v>-5.6529910000000004E-4</v>
      </c>
      <c r="AA5541">
        <v>0.95522419999999997</v>
      </c>
      <c r="AB5541">
        <v>30</v>
      </c>
      <c r="AC5541">
        <v>44.423699999999997</v>
      </c>
      <c r="AD5541">
        <v>-0.38776039999999901</v>
      </c>
      <c r="AE5541">
        <v>-17.888994799999999</v>
      </c>
      <c r="AF5541">
        <v>14.2480213498414</v>
      </c>
      <c r="AG5541">
        <v>-0.38776039999999901</v>
      </c>
      <c r="AH5541">
        <v>45.718425799371403</v>
      </c>
      <c r="AI5541">
        <v>90.463935353829896</v>
      </c>
      <c r="AJ5541">
        <v>72.690498626941505</v>
      </c>
      <c r="AK5541">
        <v>47.888734876648897</v>
      </c>
      <c r="AL5541">
        <v>88.824916933853203</v>
      </c>
      <c r="AM5541">
        <v>84.939634994204098</v>
      </c>
      <c r="AN5541">
        <v>0.99999996301847205</v>
      </c>
    </row>
    <row r="5542" spans="1:40" x14ac:dyDescent="0.25">
      <c r="A5542" t="str">
        <f>"20190312161127500"</f>
        <v>20190312161127500</v>
      </c>
      <c r="B5542" t="str">
        <f>"1552378287493173"</f>
        <v>1552378287493173</v>
      </c>
      <c r="C5542" t="s">
        <v>40</v>
      </c>
      <c r="D5542">
        <v>5.8611490000000002</v>
      </c>
      <c r="E5542">
        <v>0.58230819999999905</v>
      </c>
      <c r="F5542" t="s">
        <v>101</v>
      </c>
      <c r="G5542">
        <v>-279.02</v>
      </c>
      <c r="H5542">
        <v>0.88088659999999996</v>
      </c>
      <c r="I5542">
        <v>-0.96294400000000002</v>
      </c>
      <c r="J5542">
        <v>-323.13729999999998</v>
      </c>
      <c r="K5542">
        <v>1.106468</v>
      </c>
      <c r="L5542">
        <v>16.978390000000001</v>
      </c>
      <c r="M5542">
        <v>0.99623609999999896</v>
      </c>
      <c r="N5542">
        <v>0</v>
      </c>
      <c r="O5542">
        <v>-8.5477730000000002E-2</v>
      </c>
      <c r="P5542">
        <v>0.98492999999999997</v>
      </c>
      <c r="Q5542">
        <v>8.1684870000000003E-3</v>
      </c>
      <c r="R5542">
        <v>-0.17276140000000001</v>
      </c>
      <c r="S5542">
        <v>2.8470759999999999</v>
      </c>
      <c r="T5542">
        <v>-1.4462350000000001E-2</v>
      </c>
      <c r="U5542">
        <v>-1.151764</v>
      </c>
      <c r="V5542">
        <v>8.813298E-2</v>
      </c>
      <c r="W5542">
        <v>2.1704230000000001E-2</v>
      </c>
      <c r="X5542">
        <v>0.99587230000000004</v>
      </c>
      <c r="Y5542">
        <v>0.29439539999999997</v>
      </c>
      <c r="Z5542">
        <v>-3.0370769999999998E-4</v>
      </c>
      <c r="AA5542">
        <v>0.95568359999999997</v>
      </c>
      <c r="AB5542">
        <v>30</v>
      </c>
      <c r="AC5542">
        <v>44.1173</v>
      </c>
      <c r="AD5542">
        <v>-0.22558139999999999</v>
      </c>
      <c r="AE5542">
        <v>-17.941334000000001</v>
      </c>
      <c r="AF5542">
        <v>14.1039027460686</v>
      </c>
      <c r="AG5542">
        <v>-0.22558139999999999</v>
      </c>
      <c r="AH5542">
        <v>45.488523627479204</v>
      </c>
      <c r="AI5542">
        <v>90.271387035861594</v>
      </c>
      <c r="AJ5542">
        <v>72.773736498464302</v>
      </c>
      <c r="AK5542">
        <v>47.625379173780097</v>
      </c>
      <c r="AL5542">
        <v>88.756341651074194</v>
      </c>
      <c r="AM5542">
        <v>84.942598021816707</v>
      </c>
      <c r="AN5542">
        <v>1.0000000668354201</v>
      </c>
    </row>
    <row r="5543" spans="1:40" x14ac:dyDescent="0.25">
      <c r="A5543" t="str">
        <f>"20190312161127522"</f>
        <v>20190312161127522</v>
      </c>
      <c r="B5543" t="str">
        <f>"1552378287512693"</f>
        <v>1552378287512693</v>
      </c>
      <c r="C5543" t="s">
        <v>40</v>
      </c>
      <c r="D5543">
        <v>5.8970840000000004</v>
      </c>
      <c r="E5543">
        <v>0.58223780000000003</v>
      </c>
      <c r="F5543" t="s">
        <v>101</v>
      </c>
      <c r="G5543">
        <v>-279.02</v>
      </c>
      <c r="H5543">
        <v>1.0189269999999999</v>
      </c>
      <c r="I5543">
        <v>-1.0978559999999999</v>
      </c>
      <c r="J5543">
        <v>-322.86009999999999</v>
      </c>
      <c r="K5543">
        <v>1.1064020000000001</v>
      </c>
      <c r="L5543">
        <v>16.949919999999999</v>
      </c>
      <c r="M5543">
        <v>0.99584059999999996</v>
      </c>
      <c r="N5543">
        <v>0</v>
      </c>
      <c r="O5543">
        <v>-8.9967469999999994E-2</v>
      </c>
      <c r="P5543">
        <v>0.98410549999999997</v>
      </c>
      <c r="Q5543">
        <v>9.1627640000000003E-3</v>
      </c>
      <c r="R5543">
        <v>-0.17734849999999999</v>
      </c>
      <c r="S5543">
        <v>2.8417050000000001</v>
      </c>
      <c r="T5543">
        <v>-5.6387190000000004E-3</v>
      </c>
      <c r="U5543">
        <v>-1.164337</v>
      </c>
      <c r="V5543">
        <v>8.8298100000000004E-2</v>
      </c>
      <c r="W5543">
        <v>2.2685790000000001E-2</v>
      </c>
      <c r="X5543">
        <v>0.99583569999999999</v>
      </c>
      <c r="Y5543">
        <v>0.29434359999999998</v>
      </c>
      <c r="Z5543">
        <v>-1.100174E-4</v>
      </c>
      <c r="AA5543">
        <v>0.95569959999999998</v>
      </c>
      <c r="AB5543">
        <v>30</v>
      </c>
      <c r="AC5543">
        <v>43.8401</v>
      </c>
      <c r="AD5543">
        <v>-8.74749999999999E-2</v>
      </c>
      <c r="AE5543">
        <v>-18.047775999999999</v>
      </c>
      <c r="AF5543">
        <v>14.0299320959358</v>
      </c>
      <c r="AG5543">
        <v>-8.74749999999999E-2</v>
      </c>
      <c r="AH5543">
        <v>45.286005435084498</v>
      </c>
      <c r="AI5543">
        <v>90.1057159844475</v>
      </c>
      <c r="AJ5543">
        <v>72.786640684708104</v>
      </c>
      <c r="AK5543">
        <v>47.409586949884897</v>
      </c>
      <c r="AL5543">
        <v>88.700088424571604</v>
      </c>
      <c r="AM5543">
        <v>84.932986839789905</v>
      </c>
      <c r="AN5543">
        <v>0.99999997046301103</v>
      </c>
    </row>
    <row r="5544" spans="1:40" x14ac:dyDescent="0.25">
      <c r="A5544" t="str">
        <f>"20190312161127544"</f>
        <v>20190312161127544</v>
      </c>
      <c r="B5544" t="str">
        <f>"1552378287533189"</f>
        <v>1552378287533189</v>
      </c>
      <c r="C5544" t="s">
        <v>40</v>
      </c>
      <c r="D5544">
        <v>5.6384740000000004</v>
      </c>
      <c r="E5544">
        <v>0.58232069999999903</v>
      </c>
      <c r="F5544" t="s">
        <v>101</v>
      </c>
      <c r="G5544">
        <v>-279.02</v>
      </c>
      <c r="H5544">
        <v>1.06040499999999</v>
      </c>
      <c r="I5544">
        <v>-1.240524</v>
      </c>
      <c r="J5544">
        <v>-322.56049999999999</v>
      </c>
      <c r="K5544">
        <v>1.1063289999999999</v>
      </c>
      <c r="L5544">
        <v>16.917570000000001</v>
      </c>
      <c r="M5544">
        <v>0.9953805</v>
      </c>
      <c r="N5544">
        <v>0</v>
      </c>
      <c r="O5544">
        <v>-9.4922019999999996E-2</v>
      </c>
      <c r="P5544">
        <v>0.98319979999999996</v>
      </c>
      <c r="Q5544">
        <v>9.4530369999999992E-3</v>
      </c>
      <c r="R5544">
        <v>-0.18228739999999999</v>
      </c>
      <c r="S5544">
        <v>2.8364259999999999</v>
      </c>
      <c r="T5544">
        <v>-2.9759410000000002E-3</v>
      </c>
      <c r="U5544">
        <v>-1.1769099999999999</v>
      </c>
      <c r="V5544">
        <v>8.8349949999999997E-2</v>
      </c>
      <c r="W5544">
        <v>2.2963239999999999E-2</v>
      </c>
      <c r="X5544">
        <v>0.99582479999999995</v>
      </c>
      <c r="Y5544">
        <v>0.29383169999999997</v>
      </c>
      <c r="Z5544" s="1">
        <v>-5.2932290000000001E-5</v>
      </c>
      <c r="AA5544">
        <v>0.95585719999999996</v>
      </c>
      <c r="AB5544">
        <v>30</v>
      </c>
      <c r="AC5544">
        <v>43.540500000000002</v>
      </c>
      <c r="AD5544">
        <v>-4.5924000000000298E-2</v>
      </c>
      <c r="AE5544">
        <v>-18.158093999999998</v>
      </c>
      <c r="AF5544">
        <v>13.942693684084499</v>
      </c>
      <c r="AG5544">
        <v>-4.5924000000000298E-2</v>
      </c>
      <c r="AH5544">
        <v>45.067600255317203</v>
      </c>
      <c r="AI5544">
        <v>90.055776292553205</v>
      </c>
      <c r="AJ5544">
        <v>72.809350226753594</v>
      </c>
      <c r="AK5544">
        <v>47.175093099590697</v>
      </c>
      <c r="AL5544">
        <v>88.684187643594498</v>
      </c>
      <c r="AM5544">
        <v>84.929971709763507</v>
      </c>
      <c r="AN5544">
        <v>1.00000002817566</v>
      </c>
    </row>
    <row r="5545" spans="1:40" x14ac:dyDescent="0.25">
      <c r="A5545" t="str">
        <f>"20190312161127567"</f>
        <v>20190312161127567</v>
      </c>
      <c r="B5545" t="str">
        <f>"1552378287562470"</f>
        <v>1552378287562470</v>
      </c>
      <c r="C5545" t="s">
        <v>40</v>
      </c>
      <c r="D5545">
        <v>5.8053900000000001</v>
      </c>
      <c r="E5545">
        <v>0.58223380000000002</v>
      </c>
      <c r="F5545" t="s">
        <v>101</v>
      </c>
      <c r="G5545">
        <v>-279.02</v>
      </c>
      <c r="H5545">
        <v>1.1534719999999901</v>
      </c>
      <c r="I5545">
        <v>-1.4204779999999999</v>
      </c>
      <c r="J5545">
        <v>-322.26749999999998</v>
      </c>
      <c r="K5545">
        <v>1.1062459999999901</v>
      </c>
      <c r="L5545">
        <v>16.884309999999999</v>
      </c>
      <c r="M5545">
        <v>0.99489590000000006</v>
      </c>
      <c r="N5545">
        <v>0</v>
      </c>
      <c r="O5545">
        <v>-9.9873219999999999E-2</v>
      </c>
      <c r="P5545">
        <v>0.98230170000000006</v>
      </c>
      <c r="Q5545">
        <v>9.8471050000000001E-3</v>
      </c>
      <c r="R5545">
        <v>-0.18704709999999999</v>
      </c>
      <c r="S5545">
        <v>2.8302309999999999</v>
      </c>
      <c r="T5545">
        <v>3.0643939999999998E-3</v>
      </c>
      <c r="U5545">
        <v>-1.1920170000000001</v>
      </c>
      <c r="V5545">
        <v>8.8226600000000002E-2</v>
      </c>
      <c r="W5545">
        <v>2.3347940000000001E-2</v>
      </c>
      <c r="X5545">
        <v>0.99582680000000001</v>
      </c>
      <c r="Y5545">
        <v>0.29415770000000002</v>
      </c>
      <c r="Z5545" s="1">
        <v>4.9663080000000001E-5</v>
      </c>
      <c r="AA5545">
        <v>0.95575690000000002</v>
      </c>
      <c r="AB5545">
        <v>30</v>
      </c>
      <c r="AC5545">
        <v>43.247500000000002</v>
      </c>
      <c r="AD5545">
        <v>4.72259999999999E-2</v>
      </c>
      <c r="AE5545">
        <v>-18.304787999999999</v>
      </c>
      <c r="AF5545">
        <v>13.8935188454171</v>
      </c>
      <c r="AG5545">
        <v>4.72259999999999E-2</v>
      </c>
      <c r="AH5545">
        <v>44.859527343515303</v>
      </c>
      <c r="AI5545">
        <v>89.942381855475901</v>
      </c>
      <c r="AJ5545">
        <v>72.791637069702801</v>
      </c>
      <c r="AK5545">
        <v>46.961785418429599</v>
      </c>
      <c r="AL5545">
        <v>88.662140058528493</v>
      </c>
      <c r="AM5545">
        <v>84.9370235412498</v>
      </c>
      <c r="AN5545">
        <v>1.0000000374240201</v>
      </c>
    </row>
    <row r="5546" spans="1:40" x14ac:dyDescent="0.25">
      <c r="A5546" t="str">
        <f>"20190312161127589"</f>
        <v>20190312161127589</v>
      </c>
      <c r="B5546" t="str">
        <f>"1552378287582968"</f>
        <v>1552378287582968</v>
      </c>
      <c r="C5546" t="s">
        <v>40</v>
      </c>
      <c r="D5546">
        <v>5.7966049999999996</v>
      </c>
      <c r="E5546">
        <v>0.58235619999999999</v>
      </c>
      <c r="F5546" t="s">
        <v>101</v>
      </c>
      <c r="G5546">
        <v>-279.02</v>
      </c>
      <c r="H5546">
        <v>1.1467419999999999</v>
      </c>
      <c r="I5546">
        <v>-1.563949</v>
      </c>
      <c r="J5546">
        <v>-321.95389999999998</v>
      </c>
      <c r="K5546">
        <v>1.1061810000000001</v>
      </c>
      <c r="L5546">
        <v>16.84695</v>
      </c>
      <c r="M5546">
        <v>0.99434020000000001</v>
      </c>
      <c r="N5546">
        <v>0</v>
      </c>
      <c r="O5546">
        <v>-0.10526149999999999</v>
      </c>
      <c r="P5546">
        <v>0.98120700000000005</v>
      </c>
      <c r="Q5546">
        <v>1.003217E-2</v>
      </c>
      <c r="R5546">
        <v>-0.19269790000000001</v>
      </c>
      <c r="S5546">
        <v>2.8245849999999999</v>
      </c>
      <c r="T5546">
        <v>2.6448969999999998E-3</v>
      </c>
      <c r="U5546">
        <v>-1.204895</v>
      </c>
      <c r="V5546">
        <v>8.856957E-2</v>
      </c>
      <c r="W5546">
        <v>2.3519559999999998E-2</v>
      </c>
      <c r="X5546">
        <v>0.99579229999999996</v>
      </c>
      <c r="Y5546">
        <v>0.2933559</v>
      </c>
      <c r="Z5546" s="1">
        <v>3.7786179999999999E-5</v>
      </c>
      <c r="AA5546">
        <v>0.9560033</v>
      </c>
      <c r="AB5546">
        <v>30</v>
      </c>
      <c r="AC5546">
        <v>42.933900000000001</v>
      </c>
      <c r="AD5546">
        <v>4.0561E-2</v>
      </c>
      <c r="AE5546">
        <v>-18.410899000000001</v>
      </c>
      <c r="AF5546">
        <v>13.788831124526</v>
      </c>
      <c r="AG5546">
        <v>4.0561E-2</v>
      </c>
      <c r="AH5546">
        <v>44.633460733308297</v>
      </c>
      <c r="AI5546">
        <v>89.950251937480004</v>
      </c>
      <c r="AJ5546">
        <v>72.832258953904898</v>
      </c>
      <c r="AK5546">
        <v>46.714872642523602</v>
      </c>
      <c r="AL5546">
        <v>88.652304234865397</v>
      </c>
      <c r="AM5546">
        <v>84.917269569203498</v>
      </c>
      <c r="AN5546">
        <v>1.0000000215859299</v>
      </c>
    </row>
    <row r="5547" spans="1:40" x14ac:dyDescent="0.25">
      <c r="A5547" t="str">
        <f>"20190312161127611"</f>
        <v>20190312161127611</v>
      </c>
      <c r="B5547" t="str">
        <f>"1552378287602488"</f>
        <v>1552378287602488</v>
      </c>
      <c r="C5547" t="s">
        <v>40</v>
      </c>
      <c r="D5547">
        <v>5.7801179999999999</v>
      </c>
      <c r="E5547">
        <v>0.58249629999999997</v>
      </c>
      <c r="F5547" t="s">
        <v>101</v>
      </c>
      <c r="G5547">
        <v>-279.02</v>
      </c>
      <c r="H5547">
        <v>1.174758</v>
      </c>
      <c r="I5547">
        <v>-1.778516</v>
      </c>
      <c r="J5547">
        <v>-321.673</v>
      </c>
      <c r="K5547">
        <v>1.106123</v>
      </c>
      <c r="L5547">
        <v>16.81195</v>
      </c>
      <c r="M5547">
        <v>0.99380849999999998</v>
      </c>
      <c r="N5547">
        <v>0</v>
      </c>
      <c r="O5547">
        <v>-0.11016620000000001</v>
      </c>
      <c r="P5547">
        <v>0.98019279999999998</v>
      </c>
      <c r="Q5547">
        <v>1.0047210000000001E-2</v>
      </c>
      <c r="R5547">
        <v>-0.1977903</v>
      </c>
      <c r="S5547">
        <v>2.817383</v>
      </c>
      <c r="T5547">
        <v>4.500151E-3</v>
      </c>
      <c r="U5547">
        <v>-1.222229</v>
      </c>
      <c r="V5547">
        <v>8.8830690000000004E-2</v>
      </c>
      <c r="W5547">
        <v>2.3523849999999999E-2</v>
      </c>
      <c r="X5547">
        <v>0.99576889999999996</v>
      </c>
      <c r="Y5547">
        <v>0.29448180000000002</v>
      </c>
      <c r="Z5547" s="1">
        <v>5.7858819999999997E-5</v>
      </c>
      <c r="AA5547">
        <v>0.95565710000000004</v>
      </c>
      <c r="AB5547">
        <v>30</v>
      </c>
      <c r="AC5547">
        <v>42.652999999999999</v>
      </c>
      <c r="AD5547">
        <v>6.8635000000000002E-2</v>
      </c>
      <c r="AE5547">
        <v>-18.590465999999999</v>
      </c>
      <c r="AF5547">
        <v>13.7778477023188</v>
      </c>
      <c r="AG5547">
        <v>6.8635000000000002E-2</v>
      </c>
      <c r="AH5547">
        <v>44.4414820442924</v>
      </c>
      <c r="AI5547">
        <v>89.915481534862906</v>
      </c>
      <c r="AJ5547">
        <v>72.775401407315698</v>
      </c>
      <c r="AK5547">
        <v>46.528261566113599</v>
      </c>
      <c r="AL5547">
        <v>88.652058315399302</v>
      </c>
      <c r="AM5547">
        <v>84.902244386763101</v>
      </c>
      <c r="AN5547">
        <v>0.99999998260595402</v>
      </c>
    </row>
    <row r="5548" spans="1:40" x14ac:dyDescent="0.25">
      <c r="A5548" t="str">
        <f>"20190312161127633"</f>
        <v>20190312161127633</v>
      </c>
      <c r="B5548" t="str">
        <f>"1552378287622982"</f>
        <v>1552378287622982</v>
      </c>
      <c r="C5548" t="s">
        <v>40</v>
      </c>
      <c r="D5548">
        <v>5.8028909999999998</v>
      </c>
      <c r="E5548">
        <v>0.58258310000000002</v>
      </c>
      <c r="F5548" t="s">
        <v>101</v>
      </c>
      <c r="G5548">
        <v>-279.02</v>
      </c>
      <c r="H5548">
        <v>1.1921250000000001</v>
      </c>
      <c r="I5548">
        <v>-1.972162</v>
      </c>
      <c r="J5548">
        <v>-321.38819999999998</v>
      </c>
      <c r="K5548">
        <v>1.1060620000000001</v>
      </c>
      <c r="L5548">
        <v>16.77496</v>
      </c>
      <c r="M5548">
        <v>0.99323459999999997</v>
      </c>
      <c r="N5548">
        <v>0</v>
      </c>
      <c r="O5548">
        <v>-0.11522499999999999</v>
      </c>
      <c r="P5548">
        <v>0.97904809999999998</v>
      </c>
      <c r="Q5548">
        <v>9.4076449999999992E-3</v>
      </c>
      <c r="R5548">
        <v>-0.2034108</v>
      </c>
      <c r="S5548">
        <v>2.810791</v>
      </c>
      <c r="T5548">
        <v>5.6674480000000003E-3</v>
      </c>
      <c r="U5548">
        <v>-1.237854</v>
      </c>
      <c r="V5548">
        <v>8.9469809999999997E-2</v>
      </c>
      <c r="W5548">
        <v>2.2868369999999999E-2</v>
      </c>
      <c r="X5548">
        <v>0.99572689999999997</v>
      </c>
      <c r="Y5548">
        <v>0.29489209999999999</v>
      </c>
      <c r="Z5548" s="1">
        <v>6.3768649999999995E-5</v>
      </c>
      <c r="AA5548">
        <v>0.95553049999999995</v>
      </c>
      <c r="AB5548">
        <v>30</v>
      </c>
      <c r="AC5548">
        <v>42.368200000000002</v>
      </c>
      <c r="AD5548">
        <v>8.6063000000000001E-2</v>
      </c>
      <c r="AE5548">
        <v>-18.747122000000001</v>
      </c>
      <c r="AF5548">
        <v>13.739797554645</v>
      </c>
      <c r="AG5548">
        <v>8.6063000000000001E-2</v>
      </c>
      <c r="AH5548">
        <v>44.246153551207001</v>
      </c>
      <c r="AI5548">
        <v>89.893567871318098</v>
      </c>
      <c r="AJ5548">
        <v>72.748816947950104</v>
      </c>
      <c r="AK5548">
        <v>46.330460258447502</v>
      </c>
      <c r="AL5548">
        <v>88.689624598817701</v>
      </c>
      <c r="AM5548">
        <v>84.865546927185605</v>
      </c>
      <c r="AN5548">
        <v>0.99999993431574896</v>
      </c>
    </row>
    <row r="5549" spans="1:40" x14ac:dyDescent="0.25">
      <c r="A5549" t="str">
        <f>"20190312161127657"</f>
        <v>20190312161127657</v>
      </c>
      <c r="B5549" t="str">
        <f>"1552378287653237"</f>
        <v>1552378287653237</v>
      </c>
      <c r="C5549" t="s">
        <v>40</v>
      </c>
      <c r="D5549">
        <v>5.7801609999999997</v>
      </c>
      <c r="E5549">
        <v>0.58264359999999904</v>
      </c>
      <c r="F5549" t="s">
        <v>101</v>
      </c>
      <c r="G5549">
        <v>-279.02</v>
      </c>
      <c r="H5549">
        <v>1.1552359999999999</v>
      </c>
      <c r="I5549">
        <v>-2.1888899999999998</v>
      </c>
      <c r="J5549">
        <v>-321.07639999999998</v>
      </c>
      <c r="K5549">
        <v>1.1059680000000001</v>
      </c>
      <c r="L5549">
        <v>16.732849999999999</v>
      </c>
      <c r="M5549">
        <v>0.99248499999999995</v>
      </c>
      <c r="N5549">
        <v>0</v>
      </c>
      <c r="O5549">
        <v>-0.1215483</v>
      </c>
      <c r="P5549">
        <v>0.97761399999999998</v>
      </c>
      <c r="Q5549">
        <v>9.1920270000000002E-3</v>
      </c>
      <c r="R5549">
        <v>-0.210206</v>
      </c>
      <c r="S5549">
        <v>2.8034669999999999</v>
      </c>
      <c r="T5549">
        <v>3.2538179999999999E-3</v>
      </c>
      <c r="U5549">
        <v>-1.2548220000000001</v>
      </c>
      <c r="V5549">
        <v>9.0040190000000006E-2</v>
      </c>
      <c r="W5549">
        <v>2.234684E-2</v>
      </c>
      <c r="X5549">
        <v>0.9956874</v>
      </c>
      <c r="Y5549">
        <v>0.2945566</v>
      </c>
      <c r="Z5549" s="1">
        <v>2.960085E-5</v>
      </c>
      <c r="AA5549">
        <v>0.95563410000000004</v>
      </c>
      <c r="AB5549">
        <v>30</v>
      </c>
      <c r="AC5549">
        <v>42.056399999999996</v>
      </c>
      <c r="AD5549">
        <v>4.9267999999999999E-2</v>
      </c>
      <c r="AE5549">
        <v>-18.92174</v>
      </c>
      <c r="AF5549">
        <v>13.669007395013599</v>
      </c>
      <c r="AG5549">
        <v>4.9267999999999999E-2</v>
      </c>
      <c r="AH5549">
        <v>44.044595670289901</v>
      </c>
      <c r="AI5549">
        <v>89.938789303125503</v>
      </c>
      <c r="AJ5549">
        <v>72.758546598467504</v>
      </c>
      <c r="AK5549">
        <v>46.116923122212803</v>
      </c>
      <c r="AL5549">
        <v>88.719513802311297</v>
      </c>
      <c r="AM5549">
        <v>84.832786970714196</v>
      </c>
      <c r="AN5549">
        <v>1.0000000077959901</v>
      </c>
    </row>
    <row r="5550" spans="1:40" x14ac:dyDescent="0.25">
      <c r="A5550" t="str">
        <f>"20190312161127680"</f>
        <v>20190312161127680</v>
      </c>
      <c r="B5550" t="str">
        <f>"1552378287672761"</f>
        <v>1552378287672761</v>
      </c>
      <c r="C5550" t="s">
        <v>40</v>
      </c>
      <c r="D5550">
        <v>6.031021</v>
      </c>
      <c r="E5550">
        <v>0.58326319999999998</v>
      </c>
      <c r="F5550" t="s">
        <v>101</v>
      </c>
      <c r="G5550">
        <v>-279.02</v>
      </c>
      <c r="H5550">
        <v>1.124878</v>
      </c>
      <c r="I5550">
        <v>-2.447057</v>
      </c>
      <c r="J5550">
        <v>-320.76949999999999</v>
      </c>
      <c r="K5550">
        <v>1.1055839999999999</v>
      </c>
      <c r="L5550">
        <v>16.68976</v>
      </c>
      <c r="M5550">
        <v>0.99166909999999997</v>
      </c>
      <c r="N5550">
        <v>0</v>
      </c>
      <c r="O5550">
        <v>-0.1281052</v>
      </c>
      <c r="P5550">
        <v>0.97605160000000002</v>
      </c>
      <c r="Q5550">
        <v>9.8021370000000007E-3</v>
      </c>
      <c r="R5550">
        <v>-0.2173177</v>
      </c>
      <c r="S5550">
        <v>2.7946469999999999</v>
      </c>
      <c r="T5550">
        <v>1.256585E-3</v>
      </c>
      <c r="U5550">
        <v>-1.2745059999999999</v>
      </c>
      <c r="V5550">
        <v>9.0718820000000006E-2</v>
      </c>
      <c r="W5550">
        <v>2.225102E-2</v>
      </c>
      <c r="X5550">
        <v>0.99562790000000001</v>
      </c>
      <c r="Y5550">
        <v>0.29495250000000001</v>
      </c>
      <c r="Z5550" s="1">
        <v>8.7841109999999996E-6</v>
      </c>
      <c r="AA5550">
        <v>0.95551189999999997</v>
      </c>
      <c r="AB5550">
        <v>29</v>
      </c>
      <c r="AC5550">
        <v>41.749499999999998</v>
      </c>
      <c r="AD5550">
        <v>1.9293999999999902E-2</v>
      </c>
      <c r="AE5550">
        <v>-19.136817000000001</v>
      </c>
      <c r="AF5550">
        <v>13.630296329364</v>
      </c>
      <c r="AG5550">
        <v>1.9293999999999902E-2</v>
      </c>
      <c r="AH5550">
        <v>43.857186327881699</v>
      </c>
      <c r="AI5550">
        <v>89.975929666299905</v>
      </c>
      <c r="AJ5550">
        <v>72.735371494156595</v>
      </c>
      <c r="AK5550">
        <v>45.9264427414452</v>
      </c>
      <c r="AL5550">
        <v>88.725005193124602</v>
      </c>
      <c r="AM5550">
        <v>84.793745647985801</v>
      </c>
      <c r="AN5550">
        <v>0.99999996372582001</v>
      </c>
    </row>
    <row r="5551" spans="1:40" x14ac:dyDescent="0.25">
      <c r="A5551" t="str">
        <f>"20190312161127692"</f>
        <v>20190312161127692</v>
      </c>
      <c r="B5551" t="str">
        <f>"1552378287682518"</f>
        <v>1552378287682518</v>
      </c>
      <c r="C5551" t="s">
        <v>40</v>
      </c>
      <c r="D5551">
        <v>5.552619</v>
      </c>
      <c r="E5551">
        <v>0.58391340000000003</v>
      </c>
      <c r="F5551" t="s">
        <v>101</v>
      </c>
      <c r="G5551">
        <v>-279.02</v>
      </c>
      <c r="H5551">
        <v>1.090851</v>
      </c>
      <c r="I5551">
        <v>-2.7984360000000001</v>
      </c>
      <c r="J5551">
        <v>-320.59980000000002</v>
      </c>
      <c r="K5551">
        <v>1.105246</v>
      </c>
      <c r="L5551">
        <v>16.66498</v>
      </c>
      <c r="M5551">
        <v>0.99123749999999999</v>
      </c>
      <c r="N5551">
        <v>0</v>
      </c>
      <c r="O5551">
        <v>-0.13142209999999999</v>
      </c>
      <c r="P5551">
        <v>0.97522500000000001</v>
      </c>
      <c r="Q5551">
        <v>9.9842170000000001E-3</v>
      </c>
      <c r="R5551">
        <v>-0.22099009999999999</v>
      </c>
      <c r="S5551">
        <v>2.7842410000000002</v>
      </c>
      <c r="T5551">
        <v>-9.825229999999999E-4</v>
      </c>
      <c r="U5551">
        <v>-1.299652</v>
      </c>
      <c r="V5551">
        <v>9.1146770000000002E-2</v>
      </c>
      <c r="W5551">
        <v>2.2207169999999998E-2</v>
      </c>
      <c r="X5551">
        <v>0.99558990000000003</v>
      </c>
      <c r="Y5551">
        <v>0.30020960000000002</v>
      </c>
      <c r="Z5551" s="1">
        <v>-6.6772920000000002E-6</v>
      </c>
      <c r="AA5551">
        <v>0.95387330000000004</v>
      </c>
      <c r="AB5551">
        <v>30</v>
      </c>
      <c r="AC5551">
        <v>41.579799999999999</v>
      </c>
      <c r="AD5551">
        <v>-1.4394999999999899E-2</v>
      </c>
      <c r="AE5551">
        <v>-19.463415999999999</v>
      </c>
      <c r="AF5551">
        <v>13.8295819944606</v>
      </c>
      <c r="AG5551">
        <v>-1.4394999999999899E-2</v>
      </c>
      <c r="AH5551">
        <v>43.777238125029697</v>
      </c>
      <c r="AI5551">
        <v>90.017965093679095</v>
      </c>
      <c r="AJ5551">
        <v>72.468253911615406</v>
      </c>
      <c r="AK5551">
        <v>45.909738871105397</v>
      </c>
      <c r="AL5551">
        <v>88.727518370042702</v>
      </c>
      <c r="AM5551">
        <v>84.769123438676601</v>
      </c>
      <c r="AN5551">
        <v>1.00000007053142</v>
      </c>
    </row>
    <row r="5552" spans="1:40" x14ac:dyDescent="0.25">
      <c r="A5552" t="str">
        <f>"20190312161127704"</f>
        <v>20190312161127704</v>
      </c>
      <c r="B5552" t="str">
        <f>"1552378287693253"</f>
        <v>1552378287693253</v>
      </c>
      <c r="C5552" t="s">
        <v>40</v>
      </c>
      <c r="D5552">
        <v>6.297193</v>
      </c>
      <c r="E5552">
        <v>0.58391340000000003</v>
      </c>
      <c r="F5552" t="s">
        <v>101</v>
      </c>
      <c r="G5552">
        <v>-279.02</v>
      </c>
      <c r="H5552">
        <v>1.100279</v>
      </c>
      <c r="I5552">
        <v>-3.0182440000000001</v>
      </c>
      <c r="J5552">
        <v>-320.44240000000002</v>
      </c>
      <c r="K5552">
        <v>1.1049040000000001</v>
      </c>
      <c r="L5552">
        <v>16.641660000000002</v>
      </c>
      <c r="M5552">
        <v>0.99084050000000001</v>
      </c>
      <c r="N5552">
        <v>0</v>
      </c>
      <c r="O5552">
        <v>-0.13438929999999999</v>
      </c>
      <c r="P5552">
        <v>0.97447569999999994</v>
      </c>
      <c r="Q5552">
        <v>1.0031969999999999E-2</v>
      </c>
      <c r="R5552">
        <v>-0.22426969999999999</v>
      </c>
      <c r="S5552">
        <v>2.7781980000000002</v>
      </c>
      <c r="T5552">
        <v>-3.3187869999999999E-4</v>
      </c>
      <c r="U5552">
        <v>-1.3151550000000001</v>
      </c>
      <c r="V5552">
        <v>9.1526460000000004E-2</v>
      </c>
      <c r="W5552">
        <v>2.214758E-2</v>
      </c>
      <c r="X5552">
        <v>0.99555629999999995</v>
      </c>
      <c r="Y5552">
        <v>0.30250539999999998</v>
      </c>
      <c r="Z5552" s="1">
        <v>-2.0595220000000001E-6</v>
      </c>
      <c r="AA5552">
        <v>0.95314759999999998</v>
      </c>
      <c r="AB5552">
        <v>30</v>
      </c>
      <c r="AC5552">
        <v>41.422400000000003</v>
      </c>
      <c r="AD5552">
        <v>-4.6250000000001004E-3</v>
      </c>
      <c r="AE5552">
        <v>-19.659904000000001</v>
      </c>
      <c r="AF5552">
        <v>13.914316536699401</v>
      </c>
      <c r="AG5552">
        <v>-4.6250000000001004E-3</v>
      </c>
      <c r="AH5552">
        <v>43.688886453931197</v>
      </c>
      <c r="AI5552">
        <v>90.005779419695003</v>
      </c>
      <c r="AJ5552">
        <v>72.334029818257207</v>
      </c>
      <c r="AK5552">
        <v>45.851139851246799</v>
      </c>
      <c r="AL5552">
        <v>88.730933346935302</v>
      </c>
      <c r="AM5552">
        <v>84.747278530524596</v>
      </c>
      <c r="AN5552">
        <v>0.99999997732483803</v>
      </c>
    </row>
    <row r="5553" spans="1:40" x14ac:dyDescent="0.25">
      <c r="A5553" t="str">
        <f>"20190312161127717"</f>
        <v>20190312161127717</v>
      </c>
      <c r="B5553" t="str">
        <f>"1552378287712774"</f>
        <v>1552378287712774</v>
      </c>
      <c r="C5553" t="s">
        <v>40</v>
      </c>
      <c r="D5553">
        <v>4.5983510000000001</v>
      </c>
      <c r="E5553">
        <v>0.58494449999999998</v>
      </c>
      <c r="F5553" t="s">
        <v>101</v>
      </c>
      <c r="G5553">
        <v>-279.02</v>
      </c>
      <c r="H5553">
        <v>1.11066</v>
      </c>
      <c r="I5553">
        <v>-3.1413829999999998</v>
      </c>
      <c r="J5553">
        <v>-320.26400000000001</v>
      </c>
      <c r="K5553">
        <v>1.1044670000000001</v>
      </c>
      <c r="L5553">
        <v>16.614319999999999</v>
      </c>
      <c r="M5553">
        <v>0.99038630000000005</v>
      </c>
      <c r="N5553">
        <v>0</v>
      </c>
      <c r="O5553">
        <v>-0.13767309999999999</v>
      </c>
      <c r="P5553">
        <v>0.97371439999999998</v>
      </c>
      <c r="Q5553">
        <v>9.3630139999999994E-3</v>
      </c>
      <c r="R5553">
        <v>-0.22758129999999999</v>
      </c>
      <c r="S5553">
        <v>2.7737120000000002</v>
      </c>
      <c r="T5553">
        <v>3.8540360000000002E-4</v>
      </c>
      <c r="U5553">
        <v>-1.3247070000000001</v>
      </c>
      <c r="V5553">
        <v>9.1616329999999996E-2</v>
      </c>
      <c r="W5553">
        <v>2.1659890000000001E-2</v>
      </c>
      <c r="X5553">
        <v>0.99555879999999997</v>
      </c>
      <c r="Y5553">
        <v>0.30261769999999999</v>
      </c>
      <c r="Z5553" s="1">
        <v>1.9785460000000002E-6</v>
      </c>
      <c r="AA5553">
        <v>0.95311199999999996</v>
      </c>
      <c r="AB5553">
        <v>30</v>
      </c>
      <c r="AC5553">
        <v>41.244</v>
      </c>
      <c r="AD5553">
        <v>6.1929999999998904E-3</v>
      </c>
      <c r="AE5553">
        <v>-19.755703</v>
      </c>
      <c r="AF5553">
        <v>13.8888456593778</v>
      </c>
      <c r="AG5553">
        <v>6.1929999999998904E-3</v>
      </c>
      <c r="AH5553">
        <v>43.5712660656962</v>
      </c>
      <c r="AI5553">
        <v>89.992240927618894</v>
      </c>
      <c r="AJ5553">
        <v>72.319716678674297</v>
      </c>
      <c r="AK5553">
        <v>45.731338255849899</v>
      </c>
      <c r="AL5553">
        <v>88.758882676940303</v>
      </c>
      <c r="AM5553">
        <v>84.742162895689006</v>
      </c>
      <c r="AN5553">
        <v>1.00000001350746</v>
      </c>
    </row>
    <row r="5554" spans="1:40" x14ac:dyDescent="0.25">
      <c r="A5554" t="str">
        <f>"20190312161127846"</f>
        <v>20190312161127846</v>
      </c>
      <c r="B5554" t="str">
        <f>"1552378287842581"</f>
        <v>1552378287842581</v>
      </c>
      <c r="C5554" t="s">
        <v>40</v>
      </c>
      <c r="D5554">
        <v>5.5337519999999998</v>
      </c>
      <c r="E5554">
        <v>0.58494449999999998</v>
      </c>
      <c r="F5554" t="s">
        <v>101</v>
      </c>
      <c r="G5554">
        <v>-279.02</v>
      </c>
      <c r="H5554">
        <v>1.0479780000000001</v>
      </c>
      <c r="I5554">
        <v>-3.3861490000000001</v>
      </c>
      <c r="J5554">
        <v>-318.58069999999998</v>
      </c>
      <c r="K5554">
        <v>1.097386</v>
      </c>
      <c r="L5554">
        <v>16.323060000000002</v>
      </c>
      <c r="M5554">
        <v>0.98506950000000004</v>
      </c>
      <c r="N5554">
        <v>0</v>
      </c>
      <c r="O5554">
        <v>-0.1708364</v>
      </c>
      <c r="P5554">
        <v>0.9621421</v>
      </c>
      <c r="Q5554">
        <v>1.541705E-3</v>
      </c>
      <c r="R5554">
        <v>-0.27254460000000003</v>
      </c>
      <c r="S5554">
        <v>2.7673649999999999</v>
      </c>
      <c r="T5554">
        <v>-3.7902589999999998E-3</v>
      </c>
      <c r="U5554">
        <v>-1.34198</v>
      </c>
      <c r="V5554">
        <v>0.10445889999999999</v>
      </c>
      <c r="W5554">
        <v>2.1146930000000001E-2</v>
      </c>
      <c r="X5554">
        <v>0.99430439999999998</v>
      </c>
      <c r="Y5554">
        <v>0.2761651</v>
      </c>
      <c r="Z5554" s="1">
        <v>3.9590389999999999E-5</v>
      </c>
      <c r="AA5554">
        <v>0.96111020000000003</v>
      </c>
      <c r="AB5554">
        <v>29</v>
      </c>
      <c r="AC5554">
        <v>39.560699999999997</v>
      </c>
      <c r="AD5554">
        <v>-4.9407999999999799E-2</v>
      </c>
      <c r="AE5554">
        <v>-19.709209000000001</v>
      </c>
      <c r="AF5554">
        <v>12.6593849742597</v>
      </c>
      <c r="AG5554">
        <v>-4.9407999999999799E-2</v>
      </c>
      <c r="AH5554">
        <v>42.346629071006198</v>
      </c>
      <c r="AI5554">
        <v>90.064049146836098</v>
      </c>
      <c r="AJ5554">
        <v>73.356138503500304</v>
      </c>
      <c r="AK5554">
        <v>44.198410183561599</v>
      </c>
      <c r="AL5554">
        <v>88.788279894976995</v>
      </c>
      <c r="AM5554">
        <v>84.002661854373898</v>
      </c>
      <c r="AN5554">
        <v>1.00000004714849</v>
      </c>
    </row>
    <row r="5555" spans="1:40" x14ac:dyDescent="0.25">
      <c r="A5555" t="str">
        <f>"20190312161127869"</f>
        <v>20190312161127869</v>
      </c>
      <c r="B5555" t="str">
        <f>"1552378287863077"</f>
        <v>1552378287863077</v>
      </c>
      <c r="C5555" t="s">
        <v>40</v>
      </c>
      <c r="D5555">
        <v>5.5713249999999999</v>
      </c>
      <c r="E5555">
        <v>0.64141169999999903</v>
      </c>
      <c r="F5555" t="s">
        <v>101</v>
      </c>
      <c r="G5555">
        <v>-279.02</v>
      </c>
      <c r="H5555">
        <v>0.76759880000000003</v>
      </c>
      <c r="I5555">
        <v>-5.1869430000000003</v>
      </c>
      <c r="J5555">
        <v>-318.2792</v>
      </c>
      <c r="K5555">
        <v>1.095415</v>
      </c>
      <c r="L5555">
        <v>16.26379</v>
      </c>
      <c r="M5555">
        <v>0.98361829999999995</v>
      </c>
      <c r="N5555">
        <v>0</v>
      </c>
      <c r="O5555">
        <v>-0.17883189999999999</v>
      </c>
      <c r="P5555">
        <v>0.95912920000000002</v>
      </c>
      <c r="Q5555">
        <v>4.7896620000000001E-4</v>
      </c>
      <c r="R5555">
        <v>-0.28296919999999998</v>
      </c>
      <c r="S5555">
        <v>2.701965</v>
      </c>
      <c r="T5555">
        <v>-2.2524240000000001E-2</v>
      </c>
      <c r="U5555">
        <v>-1.4691160000000001</v>
      </c>
      <c r="V5555">
        <v>0.1071816</v>
      </c>
      <c r="W5555">
        <v>2.137433E-2</v>
      </c>
      <c r="X5555">
        <v>0.9940097</v>
      </c>
      <c r="Y5555">
        <v>0.31281979999999998</v>
      </c>
      <c r="Z5555">
        <v>1.540123E-4</v>
      </c>
      <c r="AA5555">
        <v>0.94981249999999995</v>
      </c>
      <c r="AB5555">
        <v>29</v>
      </c>
      <c r="AC5555">
        <v>39.2592</v>
      </c>
      <c r="AD5555">
        <v>-0.3278162</v>
      </c>
      <c r="AE5555">
        <v>-21.450733</v>
      </c>
      <c r="AF5555">
        <v>14.081401044927</v>
      </c>
      <c r="AG5555">
        <v>-0.3278162</v>
      </c>
      <c r="AH5555">
        <v>42.460781503362902</v>
      </c>
      <c r="AI5555">
        <v>90.419855269966106</v>
      </c>
      <c r="AJ5555">
        <v>71.6527698834483</v>
      </c>
      <c r="AK5555">
        <v>44.736017756673199</v>
      </c>
      <c r="AL5555">
        <v>88.775247857033605</v>
      </c>
      <c r="AM5555">
        <v>83.845716219926501</v>
      </c>
      <c r="AN5555">
        <v>1.0000000205277899</v>
      </c>
    </row>
    <row r="5556" spans="1:40" x14ac:dyDescent="0.25">
      <c r="A5556" t="str">
        <f>"20190312161127892"</f>
        <v>20190312161127892</v>
      </c>
      <c r="B5556" t="str">
        <f>"1552378287882597"</f>
        <v>1552378287882597</v>
      </c>
      <c r="C5556" t="s">
        <v>40</v>
      </c>
      <c r="D5556">
        <v>5.713959</v>
      </c>
      <c r="E5556">
        <v>0.63873290000000005</v>
      </c>
      <c r="F5556" t="s">
        <v>42</v>
      </c>
      <c r="G5556">
        <v>-317.70269999999999</v>
      </c>
      <c r="H5556">
        <v>1.1773439999999999</v>
      </c>
      <c r="I5556">
        <v>15.8273299999999</v>
      </c>
      <c r="J5556">
        <v>-317.99329999999998</v>
      </c>
      <c r="K5556">
        <v>1.093097</v>
      </c>
      <c r="L5556">
        <v>16.205200000000001</v>
      </c>
      <c r="M5556">
        <v>0.98226659999999999</v>
      </c>
      <c r="N5556">
        <v>0</v>
      </c>
      <c r="O5556">
        <v>-0.18598000000000001</v>
      </c>
      <c r="P5556">
        <v>0.95639510000000005</v>
      </c>
      <c r="Q5556">
        <v>-8.8725939999999997E-4</v>
      </c>
      <c r="R5556">
        <v>-0.29207509999999998</v>
      </c>
      <c r="S5556">
        <v>2.5567630000000001</v>
      </c>
      <c r="T5556">
        <v>0.36330820000000003</v>
      </c>
      <c r="U5556">
        <v>-1.9350890000000001</v>
      </c>
      <c r="V5556">
        <v>0.1094181</v>
      </c>
      <c r="W5556">
        <v>2.0902839999999999E-2</v>
      </c>
      <c r="X5556">
        <v>0.99377599999999999</v>
      </c>
      <c r="Y5556">
        <v>0.44301810000000003</v>
      </c>
      <c r="Z5556">
        <v>4.9127559999999999E-3</v>
      </c>
      <c r="AA5556">
        <v>0.89649920000000005</v>
      </c>
      <c r="AB5556">
        <v>29</v>
      </c>
      <c r="AC5556">
        <v>0.29059999999998298</v>
      </c>
      <c r="AD5556">
        <v>8.4246999999999905E-2</v>
      </c>
      <c r="AE5556">
        <v>-0.37787000000000298</v>
      </c>
      <c r="AF5556">
        <v>0.30760482045409598</v>
      </c>
      <c r="AG5556">
        <v>8.4246999999999905E-2</v>
      </c>
      <c r="AH5556">
        <v>0.34504589458833901</v>
      </c>
      <c r="AI5556">
        <v>79.671028445533196</v>
      </c>
      <c r="AJ5556">
        <v>48.283328701282102</v>
      </c>
      <c r="AK5556">
        <v>0.46986695132544098</v>
      </c>
      <c r="AL5556">
        <v>88.802268249311695</v>
      </c>
      <c r="AM5556">
        <v>83.716848957023302</v>
      </c>
      <c r="AN5556">
        <v>0.99999999375183701</v>
      </c>
    </row>
    <row r="5557" spans="1:40" x14ac:dyDescent="0.25">
      <c r="A5557" t="str">
        <f>"20190312161127913"</f>
        <v>20190312161127913</v>
      </c>
      <c r="B5557" t="str">
        <f>"1552378287903093"</f>
        <v>1552378287903093</v>
      </c>
      <c r="C5557" t="s">
        <v>40</v>
      </c>
      <c r="D5557">
        <v>5.4952439999999996</v>
      </c>
      <c r="E5557">
        <v>0.64069989999999999</v>
      </c>
      <c r="F5557" t="s">
        <v>42</v>
      </c>
      <c r="G5557">
        <v>-317.4049</v>
      </c>
      <c r="H5557">
        <v>1.1638820000000001</v>
      </c>
      <c r="I5557">
        <v>15.75732</v>
      </c>
      <c r="J5557">
        <v>-317.70800000000003</v>
      </c>
      <c r="K5557">
        <v>1.0904860000000001</v>
      </c>
      <c r="L5557">
        <v>16.144289999999899</v>
      </c>
      <c r="M5557">
        <v>0.98094840000000005</v>
      </c>
      <c r="N5557">
        <v>0</v>
      </c>
      <c r="O5557">
        <v>-0.19270989999999999</v>
      </c>
      <c r="P5557">
        <v>0.95381559999999999</v>
      </c>
      <c r="Q5557">
        <v>-1.851917E-3</v>
      </c>
      <c r="R5557">
        <v>-0.30038769999999998</v>
      </c>
      <c r="S5557">
        <v>2.5452270000000001</v>
      </c>
      <c r="T5557">
        <v>0.30623939999999999</v>
      </c>
      <c r="U5557">
        <v>-1.937927</v>
      </c>
      <c r="V5557">
        <v>0.1112778</v>
      </c>
      <c r="W5557">
        <v>2.055626E-2</v>
      </c>
      <c r="X5557">
        <v>0.99357669999999998</v>
      </c>
      <c r="Y5557">
        <v>0.43995420000000002</v>
      </c>
      <c r="Z5557">
        <v>3.3129840000000002E-3</v>
      </c>
      <c r="AA5557">
        <v>0.89801409999999904</v>
      </c>
      <c r="AB5557">
        <v>29</v>
      </c>
      <c r="AC5557">
        <v>0.303099999999972</v>
      </c>
      <c r="AD5557">
        <v>7.3395999999999795E-2</v>
      </c>
      <c r="AE5557">
        <v>-0.38696999999999598</v>
      </c>
      <c r="AF5557">
        <v>0.31427712097251498</v>
      </c>
      <c r="AG5557">
        <v>7.3395999999999795E-2</v>
      </c>
      <c r="AH5557">
        <v>0.363897285079544</v>
      </c>
      <c r="AI5557">
        <v>81.321000442122894</v>
      </c>
      <c r="AJ5557">
        <v>49.184718355415598</v>
      </c>
      <c r="AK5557">
        <v>0.48639316984414599</v>
      </c>
      <c r="AL5557">
        <v>88.822130076862607</v>
      </c>
      <c r="AM5557">
        <v>83.6096636036592</v>
      </c>
      <c r="AN5557">
        <v>0.99999998369045795</v>
      </c>
    </row>
    <row r="5558" spans="1:40" x14ac:dyDescent="0.25">
      <c r="A5558" t="str">
        <f>"20190312161127936"</f>
        <v>20190312161127936</v>
      </c>
      <c r="B5558" t="str">
        <f>"1552378287932373"</f>
        <v>1552378287932373</v>
      </c>
      <c r="C5558" t="s">
        <v>40</v>
      </c>
      <c r="D5558">
        <v>5.530303</v>
      </c>
      <c r="E5558">
        <v>0.6733595</v>
      </c>
      <c r="F5558" t="s">
        <v>101</v>
      </c>
      <c r="G5558">
        <v>-279.55990000000003</v>
      </c>
      <c r="H5558">
        <v>4.8333519999999996</v>
      </c>
      <c r="I5558">
        <v>-13.693160000000001</v>
      </c>
      <c r="J5558">
        <v>-317.42160000000001</v>
      </c>
      <c r="K5558">
        <v>1.087726</v>
      </c>
      <c r="L5558">
        <v>16.080439999999999</v>
      </c>
      <c r="M5558">
        <v>0.97958529999999999</v>
      </c>
      <c r="N5558">
        <v>0</v>
      </c>
      <c r="O5558">
        <v>-0.19945309999999999</v>
      </c>
      <c r="P5558">
        <v>0.95124330000000001</v>
      </c>
      <c r="Q5558">
        <v>-2.7705009999999999E-3</v>
      </c>
      <c r="R5558">
        <v>-0.30842930000000002</v>
      </c>
      <c r="S5558">
        <v>2.5240170000000002</v>
      </c>
      <c r="T5558">
        <v>0.24764130000000001</v>
      </c>
      <c r="U5558">
        <v>-1.9741519999999999</v>
      </c>
      <c r="V5558">
        <v>0.11284950000000001</v>
      </c>
      <c r="W5558">
        <v>2.0002760000000001E-2</v>
      </c>
      <c r="X5558">
        <v>0.99341069999999998</v>
      </c>
      <c r="Y5558">
        <v>0.44582660000000002</v>
      </c>
      <c r="Z5558">
        <v>2.392787E-3</v>
      </c>
      <c r="AA5558">
        <v>0.89511609999999997</v>
      </c>
      <c r="AB5558">
        <v>29</v>
      </c>
      <c r="AC5558">
        <v>37.8616999999999</v>
      </c>
      <c r="AD5558">
        <v>3.7456260000000001</v>
      </c>
      <c r="AE5558">
        <v>-29.773599999999998</v>
      </c>
      <c r="AF5558">
        <v>21.4910073023234</v>
      </c>
      <c r="AG5558">
        <v>3.7456260000000001</v>
      </c>
      <c r="AH5558">
        <v>42.782066941396799</v>
      </c>
      <c r="AI5558">
        <v>85.526576278136005</v>
      </c>
      <c r="AJ5558">
        <v>63.327937204610301</v>
      </c>
      <c r="AK5558">
        <v>48.022894131638402</v>
      </c>
      <c r="AL5558">
        <v>88.853849798617802</v>
      </c>
      <c r="AM5558">
        <v>83.519094586191201</v>
      </c>
      <c r="AN5558">
        <v>0.99999996946617797</v>
      </c>
    </row>
    <row r="5559" spans="1:40" x14ac:dyDescent="0.25">
      <c r="A5559" t="str">
        <f>"20190312161127949"</f>
        <v>20190312161127949</v>
      </c>
      <c r="B5559" t="str">
        <f>"1552378287943110"</f>
        <v>1552378287943110</v>
      </c>
      <c r="C5559" t="s">
        <v>40</v>
      </c>
      <c r="D5559">
        <v>5.5957999999999997</v>
      </c>
      <c r="E5559">
        <v>0.66985729999999999</v>
      </c>
      <c r="F5559" t="s">
        <v>43</v>
      </c>
      <c r="G5559">
        <v>-306.23129999999998</v>
      </c>
      <c r="H5559">
        <v>-0.05</v>
      </c>
      <c r="I5559">
        <v>5.7609859999999999</v>
      </c>
      <c r="J5559">
        <v>-317.24529999999999</v>
      </c>
      <c r="K5559">
        <v>1.0859989999999999</v>
      </c>
      <c r="L5559">
        <v>16.03989</v>
      </c>
      <c r="M5559">
        <v>0.97870880000000005</v>
      </c>
      <c r="N5559">
        <v>0</v>
      </c>
      <c r="O5559">
        <v>-0.20368259999999999</v>
      </c>
      <c r="P5559">
        <v>0.94969479999999995</v>
      </c>
      <c r="Q5559">
        <v>-2.946892E-3</v>
      </c>
      <c r="R5559">
        <v>-0.31316359999999999</v>
      </c>
      <c r="S5559">
        <v>2.4272770000000001</v>
      </c>
      <c r="T5559">
        <v>-0.24678230000000001</v>
      </c>
      <c r="U5559">
        <v>-2.2383730000000002</v>
      </c>
      <c r="V5559">
        <v>0.1135212</v>
      </c>
      <c r="W5559">
        <v>1.996129E-2</v>
      </c>
      <c r="X5559">
        <v>0.99333499999999997</v>
      </c>
      <c r="Y5559">
        <v>0.51308710000000002</v>
      </c>
      <c r="Z5559">
        <v>-4.968816E-3</v>
      </c>
      <c r="AA5559">
        <v>0.85832219999999904</v>
      </c>
      <c r="AB5559">
        <v>29</v>
      </c>
      <c r="AC5559">
        <v>11.013999999999999</v>
      </c>
      <c r="AD5559">
        <v>-1.135999</v>
      </c>
      <c r="AE5559">
        <v>-10.278903999999899</v>
      </c>
      <c r="AF5559">
        <v>7.7749980816854203</v>
      </c>
      <c r="AG5559">
        <v>-1.135999</v>
      </c>
      <c r="AH5559">
        <v>12.8044651564693</v>
      </c>
      <c r="AI5559">
        <v>94.336645819315606</v>
      </c>
      <c r="AJ5559">
        <v>58.733461474755202</v>
      </c>
      <c r="AK5559">
        <v>15.023162677727001</v>
      </c>
      <c r="AL5559">
        <v>88.856226328732006</v>
      </c>
      <c r="AM5559">
        <v>83.480357670753307</v>
      </c>
      <c r="AN5559">
        <v>0.99999996908645095</v>
      </c>
    </row>
    <row r="5560" spans="1:40" x14ac:dyDescent="0.25">
      <c r="A5560" t="str">
        <f>"20190312161127970"</f>
        <v>20190312161127970</v>
      </c>
      <c r="B5560" t="str">
        <f>"1552378287962630"</f>
        <v>1552378287962630</v>
      </c>
      <c r="C5560" t="s">
        <v>40</v>
      </c>
      <c r="D5560">
        <v>5.7153720000000003</v>
      </c>
      <c r="E5560">
        <v>0.66545779999999999</v>
      </c>
      <c r="F5560" t="s">
        <v>43</v>
      </c>
      <c r="G5560">
        <v>-305.67009999999999</v>
      </c>
      <c r="H5560">
        <v>-0.05</v>
      </c>
      <c r="I5560">
        <v>5.4233859999999998</v>
      </c>
      <c r="J5560">
        <v>-316.98419999999999</v>
      </c>
      <c r="K5560">
        <v>1.0834239999999999</v>
      </c>
      <c r="L5560">
        <v>15.977969999999999</v>
      </c>
      <c r="M5560">
        <v>0.97735419999999995</v>
      </c>
      <c r="N5560">
        <v>0</v>
      </c>
      <c r="O5560">
        <v>-0.2100592</v>
      </c>
      <c r="P5560">
        <v>0.94739030000000002</v>
      </c>
      <c r="Q5560">
        <v>-3.2021939999999998E-3</v>
      </c>
      <c r="R5560">
        <v>-0.32006499999999999</v>
      </c>
      <c r="S5560">
        <v>2.4248050000000001</v>
      </c>
      <c r="T5560">
        <v>-0.2379715</v>
      </c>
      <c r="U5560">
        <v>-2.2239689999999999</v>
      </c>
      <c r="V5560">
        <v>0.11428770000000001</v>
      </c>
      <c r="W5560">
        <v>1.9812550000000002E-2</v>
      </c>
      <c r="X5560">
        <v>0.99325010000000002</v>
      </c>
      <c r="Y5560">
        <v>0.50523600000000002</v>
      </c>
      <c r="Z5560">
        <v>-3.9744560000000003E-3</v>
      </c>
      <c r="AA5560">
        <v>0.86297209999999902</v>
      </c>
      <c r="AB5560">
        <v>29</v>
      </c>
      <c r="AC5560">
        <v>11.3140999999999</v>
      </c>
      <c r="AD5560">
        <v>-1.133424</v>
      </c>
      <c r="AE5560">
        <v>-10.554584</v>
      </c>
      <c r="AF5560">
        <v>7.8991467542892302</v>
      </c>
      <c r="AG5560">
        <v>-1.133424</v>
      </c>
      <c r="AH5560">
        <v>13.208437301569999</v>
      </c>
      <c r="AI5560">
        <v>94.211981591200797</v>
      </c>
      <c r="AJ5560">
        <v>59.118974756885798</v>
      </c>
      <c r="AK5560">
        <v>15.4319145072502</v>
      </c>
      <c r="AL5560">
        <v>88.864750210812304</v>
      </c>
      <c r="AM5560">
        <v>83.436163465288004</v>
      </c>
      <c r="AN5560">
        <v>0.99999998832940096</v>
      </c>
    </row>
    <row r="5561" spans="1:40" x14ac:dyDescent="0.25">
      <c r="A5561" t="str">
        <f>"20190312161128081"</f>
        <v>20190312161128081</v>
      </c>
      <c r="B5561" t="str">
        <f>"1552378288072917"</f>
        <v>1552378288072917</v>
      </c>
      <c r="C5561" t="s">
        <v>40</v>
      </c>
      <c r="D5561">
        <v>10.241619999999999</v>
      </c>
      <c r="E5561">
        <v>0.64495930000000001</v>
      </c>
      <c r="F5561" t="s">
        <v>43</v>
      </c>
      <c r="G5561">
        <v>-305.2885</v>
      </c>
      <c r="H5561">
        <v>-0.05</v>
      </c>
      <c r="I5561">
        <v>5.3015290000000004</v>
      </c>
      <c r="J5561">
        <v>-315.57960000000003</v>
      </c>
      <c r="K5561">
        <v>1.0707770000000001</v>
      </c>
      <c r="L5561">
        <v>15.6066</v>
      </c>
      <c r="M5561">
        <v>0.96825000000000006</v>
      </c>
      <c r="N5561">
        <v>0</v>
      </c>
      <c r="O5561">
        <v>-0.2488242</v>
      </c>
      <c r="P5561">
        <v>0.92935789999999996</v>
      </c>
      <c r="Q5561">
        <v>-3.938151E-3</v>
      </c>
      <c r="R5561">
        <v>-0.36915900000000001</v>
      </c>
      <c r="S5561">
        <v>2.4195859999999998</v>
      </c>
      <c r="T5561">
        <v>-0.23447950000000001</v>
      </c>
      <c r="U5561">
        <v>-2.20871</v>
      </c>
      <c r="V5561">
        <v>0.12662609999999999</v>
      </c>
      <c r="W5561">
        <v>1.7216140000000001E-2</v>
      </c>
      <c r="X5561">
        <v>0.99180109999999999</v>
      </c>
      <c r="Y5561">
        <v>0.4686051</v>
      </c>
      <c r="Z5561">
        <v>5.6610999999999999E-4</v>
      </c>
      <c r="AA5561">
        <v>0.88340759999999996</v>
      </c>
      <c r="AB5561">
        <v>29</v>
      </c>
      <c r="AC5561">
        <v>10.2911</v>
      </c>
      <c r="AD5561">
        <v>-1.1207769999999999</v>
      </c>
      <c r="AE5561">
        <v>-10.305071</v>
      </c>
      <c r="AF5561">
        <v>7.3756750170086303</v>
      </c>
      <c r="AG5561">
        <v>-1.1207769999999999</v>
      </c>
      <c r="AH5561">
        <v>12.458350871776901</v>
      </c>
      <c r="AI5561">
        <v>94.426591289269595</v>
      </c>
      <c r="AJ5561">
        <v>59.373339053918201</v>
      </c>
      <c r="AK5561">
        <v>14.521268177557999</v>
      </c>
      <c r="AL5561">
        <v>89.013539097385404</v>
      </c>
      <c r="AM5561">
        <v>82.724245077854704</v>
      </c>
      <c r="AN5561">
        <v>0.99999999331945899</v>
      </c>
    </row>
    <row r="5562" spans="1:40" x14ac:dyDescent="0.25">
      <c r="A5562" t="str">
        <f>"20190312161128102"</f>
        <v>20190312161128102</v>
      </c>
      <c r="B5562" t="str">
        <f>"1552378288092437"</f>
        <v>1552378288092437</v>
      </c>
      <c r="C5562" t="s">
        <v>40</v>
      </c>
      <c r="D5562">
        <v>5.3501629999999896</v>
      </c>
      <c r="E5562">
        <v>0.64495930000000001</v>
      </c>
      <c r="F5562" t="s">
        <v>42</v>
      </c>
      <c r="G5562">
        <v>-315.11360000000002</v>
      </c>
      <c r="H5562">
        <v>1.1430209999999901</v>
      </c>
      <c r="I5562">
        <v>15.17526</v>
      </c>
      <c r="J5562">
        <v>-315.31810000000002</v>
      </c>
      <c r="K5562">
        <v>1.0687690000000001</v>
      </c>
      <c r="L5562">
        <v>15.52985</v>
      </c>
      <c r="M5562">
        <v>0.96607080000000001</v>
      </c>
      <c r="N5562">
        <v>0</v>
      </c>
      <c r="O5562">
        <v>-0.25720710000000002</v>
      </c>
      <c r="P5562">
        <v>0.92479599999999995</v>
      </c>
      <c r="Q5562">
        <v>-4.3112230000000003E-3</v>
      </c>
      <c r="R5562">
        <v>-0.38043949999999999</v>
      </c>
      <c r="S5562">
        <v>2.3616329999999999</v>
      </c>
      <c r="T5562">
        <v>0.36612640000000002</v>
      </c>
      <c r="U5562">
        <v>-2.185028</v>
      </c>
      <c r="V5562">
        <v>0.1300741</v>
      </c>
      <c r="W5562">
        <v>1.6248769999999999E-2</v>
      </c>
      <c r="X5562">
        <v>0.99137120000000001</v>
      </c>
      <c r="Y5562">
        <v>0.466115</v>
      </c>
      <c r="Z5562">
        <v>-2.075084E-3</v>
      </c>
      <c r="AA5562">
        <v>0.8847218</v>
      </c>
      <c r="AB5562">
        <v>29</v>
      </c>
      <c r="AC5562">
        <v>0.20449999999999499</v>
      </c>
      <c r="AD5562">
        <v>7.4251999999999693E-2</v>
      </c>
      <c r="AE5562">
        <v>-0.35459000000000002</v>
      </c>
      <c r="AF5562">
        <v>0.28080049939695401</v>
      </c>
      <c r="AG5562">
        <v>7.4251999999999693E-2</v>
      </c>
      <c r="AH5562">
        <v>0.27964262049670902</v>
      </c>
      <c r="AI5562">
        <v>79.387764186014294</v>
      </c>
      <c r="AJ5562">
        <v>44.881626738867297</v>
      </c>
      <c r="AK5562">
        <v>0.40319012285005801</v>
      </c>
      <c r="AL5562">
        <v>89.068973154905706</v>
      </c>
      <c r="AM5562">
        <v>82.525133805745298</v>
      </c>
      <c r="AN5562">
        <v>1.00000007510337</v>
      </c>
    </row>
    <row r="5563" spans="1:40" x14ac:dyDescent="0.25">
      <c r="A5563" t="str">
        <f>"20190312161128116"</f>
        <v>20190312161128116</v>
      </c>
      <c r="B5563" t="str">
        <f>"1552378288112934"</f>
        <v>1552378288112934</v>
      </c>
      <c r="C5563" t="s">
        <v>40</v>
      </c>
      <c r="D5563">
        <v>5.2568349999999997</v>
      </c>
      <c r="E5563">
        <v>0.64436610000000005</v>
      </c>
      <c r="F5563" t="s">
        <v>42</v>
      </c>
      <c r="G5563">
        <v>-314.8546</v>
      </c>
      <c r="H5563">
        <v>1.1410260000000001</v>
      </c>
      <c r="I5563">
        <v>15.09051</v>
      </c>
      <c r="J5563">
        <v>-315.14749999999998</v>
      </c>
      <c r="K5563">
        <v>1.067502</v>
      </c>
      <c r="L5563">
        <v>15.478120000000001</v>
      </c>
      <c r="M5563">
        <v>0.96456419999999998</v>
      </c>
      <c r="N5563">
        <v>0</v>
      </c>
      <c r="O5563">
        <v>-0.26283509999999999</v>
      </c>
      <c r="P5563">
        <v>0.92186509999999999</v>
      </c>
      <c r="Q5563">
        <v>-4.0689029999999996E-3</v>
      </c>
      <c r="R5563">
        <v>-0.3874898</v>
      </c>
      <c r="S5563">
        <v>2.3348689999999999</v>
      </c>
      <c r="T5563">
        <v>0.36403099999999999</v>
      </c>
      <c r="U5563">
        <v>-2.2139890000000002</v>
      </c>
      <c r="V5563">
        <v>0.13186020000000001</v>
      </c>
      <c r="W5563">
        <v>1.6086659999999999E-2</v>
      </c>
      <c r="X5563">
        <v>0.99113779999999996</v>
      </c>
      <c r="Y5563">
        <v>0.47180359999999999</v>
      </c>
      <c r="Z5563">
        <v>-2.3678929999999998E-3</v>
      </c>
      <c r="AA5563">
        <v>0.881700499999999</v>
      </c>
      <c r="AB5563">
        <v>29</v>
      </c>
      <c r="AC5563">
        <v>0.29289999999997401</v>
      </c>
      <c r="AD5563">
        <v>7.3524000000000103E-2</v>
      </c>
      <c r="AE5563">
        <v>-0.38761000000000001</v>
      </c>
      <c r="AF5563">
        <v>0.29032043840681399</v>
      </c>
      <c r="AG5563">
        <v>7.3524000000000103E-2</v>
      </c>
      <c r="AH5563">
        <v>0.37589201027993202</v>
      </c>
      <c r="AI5563">
        <v>81.200315217069104</v>
      </c>
      <c r="AJ5563">
        <v>52.319273235791698</v>
      </c>
      <c r="AK5563">
        <v>0.480610589692959</v>
      </c>
      <c r="AL5563">
        <v>89.078262532536002</v>
      </c>
      <c r="AM5563">
        <v>82.421914363131407</v>
      </c>
      <c r="AN5563">
        <v>1.00000001578141</v>
      </c>
    </row>
    <row r="5564" spans="1:40" x14ac:dyDescent="0.25">
      <c r="A5564" t="str">
        <f>"20190312161128130"</f>
        <v>20190312161128130</v>
      </c>
      <c r="B5564" t="str">
        <f>"1552378288122694"</f>
        <v>1552378288122694</v>
      </c>
      <c r="C5564" t="s">
        <v>40</v>
      </c>
      <c r="D5564">
        <v>3.7534019999999999</v>
      </c>
      <c r="E5564">
        <v>0.64135189999999997</v>
      </c>
      <c r="F5564" t="s">
        <v>42</v>
      </c>
      <c r="G5564">
        <v>-314.69040000000001</v>
      </c>
      <c r="H5564">
        <v>1.1416550000000001</v>
      </c>
      <c r="I5564">
        <v>15.038919999999999</v>
      </c>
      <c r="J5564">
        <v>-314.97570000000002</v>
      </c>
      <c r="K5564">
        <v>1.0662579999999999</v>
      </c>
      <c r="L5564">
        <v>15.42511</v>
      </c>
      <c r="M5564">
        <v>0.96299820000000003</v>
      </c>
      <c r="N5564">
        <v>0</v>
      </c>
      <c r="O5564">
        <v>-0.26854990000000001</v>
      </c>
      <c r="P5564">
        <v>0.91899249999999999</v>
      </c>
      <c r="Q5564">
        <v>-3.9488989999999996E-3</v>
      </c>
      <c r="R5564">
        <v>-0.39425559999999998</v>
      </c>
      <c r="S5564">
        <v>2.3196409999999998</v>
      </c>
      <c r="T5564">
        <v>0.37624760000000002</v>
      </c>
      <c r="U5564">
        <v>-2.2274780000000001</v>
      </c>
      <c r="V5564">
        <v>0.1332632</v>
      </c>
      <c r="W5564">
        <v>1.579583E-2</v>
      </c>
      <c r="X5564">
        <v>0.99095480000000002</v>
      </c>
      <c r="Y5564">
        <v>0.47207979999999999</v>
      </c>
      <c r="Z5564">
        <v>-3.141759E-3</v>
      </c>
      <c r="AA5564">
        <v>0.88155019999999995</v>
      </c>
      <c r="AB5564">
        <v>29</v>
      </c>
      <c r="AC5564">
        <v>0.28530000000000599</v>
      </c>
      <c r="AD5564">
        <v>7.5396999999999895E-2</v>
      </c>
      <c r="AE5564">
        <v>-0.38618999999999898</v>
      </c>
      <c r="AF5564">
        <v>0.28825131186584102</v>
      </c>
      <c r="AG5564">
        <v>7.5396999999999895E-2</v>
      </c>
      <c r="AH5564">
        <v>0.36944239957606201</v>
      </c>
      <c r="AI5564">
        <v>80.859345826942203</v>
      </c>
      <c r="AJ5564">
        <v>52.037454504884501</v>
      </c>
      <c r="AK5564">
        <v>0.47461691184143201</v>
      </c>
      <c r="AL5564">
        <v>89.094927969251401</v>
      </c>
      <c r="AM5564">
        <v>82.340837579256402</v>
      </c>
      <c r="AN5564">
        <v>1.00000000218133</v>
      </c>
    </row>
    <row r="5565" spans="1:40" x14ac:dyDescent="0.25">
      <c r="A5565" t="str">
        <f>"20190312161128147"</f>
        <v>20190312161128147</v>
      </c>
      <c r="B5565" t="str">
        <f>"1552378288143189"</f>
        <v>1552378288143189</v>
      </c>
      <c r="C5565" t="s">
        <v>40</v>
      </c>
      <c r="D5565">
        <v>5.2773570000000003</v>
      </c>
      <c r="E5565">
        <v>0.64188129999999999</v>
      </c>
      <c r="F5565" t="s">
        <v>42</v>
      </c>
      <c r="G5565">
        <v>-314.4572</v>
      </c>
      <c r="H5565">
        <v>1.1491880000000001</v>
      </c>
      <c r="I5565">
        <v>14.926830000000001</v>
      </c>
      <c r="J5565">
        <v>-314.76499999999999</v>
      </c>
      <c r="K5565">
        <v>1.064778</v>
      </c>
      <c r="L5565">
        <v>15.35849</v>
      </c>
      <c r="M5565">
        <v>0.96100819999999998</v>
      </c>
      <c r="N5565">
        <v>0</v>
      </c>
      <c r="O5565">
        <v>-0.2756265</v>
      </c>
      <c r="P5565">
        <v>0.91494330000000001</v>
      </c>
      <c r="Q5565">
        <v>-3.4295160000000001E-3</v>
      </c>
      <c r="R5565">
        <v>-0.4035687</v>
      </c>
      <c r="S5565">
        <v>2.312592</v>
      </c>
      <c r="T5565">
        <v>0.3699094</v>
      </c>
      <c r="U5565">
        <v>-2.2224430000000002</v>
      </c>
      <c r="V5565">
        <v>0.1360392</v>
      </c>
      <c r="W5565">
        <v>1.576675E-2</v>
      </c>
      <c r="X5565">
        <v>0.99057799999999996</v>
      </c>
      <c r="Y5565">
        <v>0.46605380000000002</v>
      </c>
      <c r="Z5565">
        <v>-4.3687559999999997E-3</v>
      </c>
      <c r="AA5565">
        <v>0.88474549999999996</v>
      </c>
      <c r="AB5565">
        <v>29</v>
      </c>
      <c r="AC5565">
        <v>0.30779999999998597</v>
      </c>
      <c r="AD5565">
        <v>8.4409999999999805E-2</v>
      </c>
      <c r="AE5565">
        <v>-0.43165999999999999</v>
      </c>
      <c r="AF5565">
        <v>0.32191203287062098</v>
      </c>
      <c r="AG5565">
        <v>8.4409999999999805E-2</v>
      </c>
      <c r="AH5565">
        <v>0.40462061631861601</v>
      </c>
      <c r="AI5565">
        <v>80.728157719732806</v>
      </c>
      <c r="AJ5565">
        <v>51.494600493607301</v>
      </c>
      <c r="AK5565">
        <v>0.52389908203484403</v>
      </c>
      <c r="AL5565">
        <v>89.096594348903295</v>
      </c>
      <c r="AM5565">
        <v>82.180305948790107</v>
      </c>
      <c r="AN5565">
        <v>1.0000000142131</v>
      </c>
    </row>
    <row r="5566" spans="1:40" x14ac:dyDescent="0.25">
      <c r="A5566" t="str">
        <f>"20190312161128158"</f>
        <v>20190312161128158</v>
      </c>
      <c r="B5566" t="str">
        <f>"1552378288152949"</f>
        <v>1552378288152949</v>
      </c>
      <c r="C5566" t="s">
        <v>40</v>
      </c>
      <c r="D5566">
        <v>5.3935209999999998</v>
      </c>
      <c r="E5566">
        <v>0.64326430000000001</v>
      </c>
      <c r="F5566" t="s">
        <v>42</v>
      </c>
      <c r="G5566">
        <v>-314.22160000000002</v>
      </c>
      <c r="H5566">
        <v>1.1470610000000001</v>
      </c>
      <c r="I5566">
        <v>14.82409</v>
      </c>
      <c r="J5566">
        <v>-314.61540000000002</v>
      </c>
      <c r="K5566">
        <v>1.0637840000000001</v>
      </c>
      <c r="L5566">
        <v>15.309939999999999</v>
      </c>
      <c r="M5566">
        <v>0.95954720000000004</v>
      </c>
      <c r="N5566">
        <v>0</v>
      </c>
      <c r="O5566">
        <v>-0.28069820000000001</v>
      </c>
      <c r="P5566">
        <v>0.91239329999999996</v>
      </c>
      <c r="Q5566">
        <v>-2.8267470000000001E-3</v>
      </c>
      <c r="R5566">
        <v>-0.40930519999999998</v>
      </c>
      <c r="S5566">
        <v>2.2880859999999998</v>
      </c>
      <c r="T5566">
        <v>0.34641080000000002</v>
      </c>
      <c r="U5566">
        <v>-2.2493289999999999</v>
      </c>
      <c r="V5566">
        <v>0.13703360000000001</v>
      </c>
      <c r="W5566">
        <v>1.5997029999999999E-2</v>
      </c>
      <c r="X5566">
        <v>0.99043720000000002</v>
      </c>
      <c r="Y5566">
        <v>0.47154760000000001</v>
      </c>
      <c r="Z5566">
        <v>-4.3351329999999997E-3</v>
      </c>
      <c r="AA5566">
        <v>0.881829999999999</v>
      </c>
      <c r="AB5566">
        <v>29</v>
      </c>
      <c r="AC5566">
        <v>0.39379999999999798</v>
      </c>
      <c r="AD5566">
        <v>8.3277000000000004E-2</v>
      </c>
      <c r="AE5566">
        <v>-0.485849999999999</v>
      </c>
      <c r="AF5566">
        <v>0.34954430250441898</v>
      </c>
      <c r="AG5566">
        <v>8.3277000000000004E-2</v>
      </c>
      <c r="AH5566">
        <v>0.50540843686426895</v>
      </c>
      <c r="AI5566">
        <v>82.282384784094205</v>
      </c>
      <c r="AJ5566">
        <v>55.331972330062399</v>
      </c>
      <c r="AK5566">
        <v>0.620124153856213</v>
      </c>
      <c r="AL5566">
        <v>89.083398581114196</v>
      </c>
      <c r="AM5566">
        <v>82.122755854812993</v>
      </c>
      <c r="AN5566">
        <v>0.99999997982081001</v>
      </c>
    </row>
    <row r="5567" spans="1:40" x14ac:dyDescent="0.25">
      <c r="A5567" t="str">
        <f>"20190312161128171"</f>
        <v>20190312161128171</v>
      </c>
      <c r="B5567" t="str">
        <f>"1552378288162710"</f>
        <v>1552378288162710</v>
      </c>
      <c r="C5567" t="s">
        <v>40</v>
      </c>
      <c r="D5567">
        <v>5.2436759999999998</v>
      </c>
      <c r="E5567">
        <v>0.64347650000000001</v>
      </c>
      <c r="F5567" t="s">
        <v>101</v>
      </c>
      <c r="G5567">
        <v>-279.02</v>
      </c>
      <c r="H5567">
        <v>5.8898849999999996</v>
      </c>
      <c r="I5567">
        <v>-20.345780000000001</v>
      </c>
      <c r="J5567">
        <v>-314.47210000000001</v>
      </c>
      <c r="K5567">
        <v>1.0628820000000001</v>
      </c>
      <c r="L5567">
        <v>15.262510000000001</v>
      </c>
      <c r="M5567">
        <v>0.9581094</v>
      </c>
      <c r="N5567">
        <v>0</v>
      </c>
      <c r="O5567">
        <v>-0.28559309999999899</v>
      </c>
      <c r="P5567">
        <v>0.90984240000000005</v>
      </c>
      <c r="Q5567">
        <v>-2.482251E-3</v>
      </c>
      <c r="R5567">
        <v>-0.41494710000000001</v>
      </c>
      <c r="S5567">
        <v>2.2692869999999998</v>
      </c>
      <c r="T5567">
        <v>0.30767489999999997</v>
      </c>
      <c r="U5567">
        <v>-2.2731319999999999</v>
      </c>
      <c r="V5567">
        <v>0.13811199999999901</v>
      </c>
      <c r="W5567">
        <v>1.5984160000000001E-2</v>
      </c>
      <c r="X5567">
        <v>0.99028760000000005</v>
      </c>
      <c r="Y5567">
        <v>0.47555209999999998</v>
      </c>
      <c r="Z5567">
        <v>-4.129494E-3</v>
      </c>
      <c r="AA5567">
        <v>0.87967779999999995</v>
      </c>
      <c r="AB5567">
        <v>29</v>
      </c>
      <c r="AC5567">
        <v>35.452100000000002</v>
      </c>
      <c r="AD5567">
        <v>4.8270030000000004</v>
      </c>
      <c r="AE5567">
        <v>-35.608289999999997</v>
      </c>
      <c r="AF5567">
        <v>23.7778851861387</v>
      </c>
      <c r="AG5567">
        <v>4.8270030000000004</v>
      </c>
      <c r="AH5567">
        <v>43.743013050421702</v>
      </c>
      <c r="AI5567">
        <v>84.462409627302094</v>
      </c>
      <c r="AJ5567">
        <v>61.472322740162397</v>
      </c>
      <c r="AK5567">
        <v>50.0213851529181</v>
      </c>
      <c r="AL5567">
        <v>89.084136067061806</v>
      </c>
      <c r="AM5567">
        <v>82.060368406193803</v>
      </c>
      <c r="AN5567">
        <v>0.99999997431433196</v>
      </c>
    </row>
    <row r="5568" spans="1:40" x14ac:dyDescent="0.25">
      <c r="A5568" t="str">
        <f>"20190312161128192"</f>
        <v>20190312161128192</v>
      </c>
      <c r="B5568" t="str">
        <f>"1552378288183205"</f>
        <v>1552378288183205</v>
      </c>
      <c r="C5568" t="s">
        <v>40</v>
      </c>
      <c r="D5568">
        <v>5.6599079999999997</v>
      </c>
      <c r="E5568">
        <v>0.64661020000000002</v>
      </c>
      <c r="F5568" t="s">
        <v>103</v>
      </c>
      <c r="G5568">
        <v>-282.43270000000001</v>
      </c>
      <c r="H5568">
        <v>5.0900850000000002</v>
      </c>
      <c r="I5568">
        <v>-17.25919</v>
      </c>
      <c r="J5568">
        <v>-314.21140000000003</v>
      </c>
      <c r="K5568">
        <v>1.0613729999999999</v>
      </c>
      <c r="L5568">
        <v>15.17407</v>
      </c>
      <c r="M5568">
        <v>0.95538699999999999</v>
      </c>
      <c r="N5568">
        <v>0</v>
      </c>
      <c r="O5568">
        <v>-0.29461490000000001</v>
      </c>
      <c r="P5568">
        <v>0.90509269999999997</v>
      </c>
      <c r="Q5568">
        <v>-2.4483109999999999E-3</v>
      </c>
      <c r="R5568">
        <v>-0.42520750000000002</v>
      </c>
      <c r="S5568">
        <v>2.2543639999999998</v>
      </c>
      <c r="T5568">
        <v>0.28336240000000001</v>
      </c>
      <c r="U5568">
        <v>-2.2883</v>
      </c>
      <c r="V5568">
        <v>0.13996220000000001</v>
      </c>
      <c r="W5568">
        <v>1.5383890000000001E-2</v>
      </c>
      <c r="X5568">
        <v>0.99003730000000001</v>
      </c>
      <c r="Y5568">
        <v>0.47325499999999998</v>
      </c>
      <c r="Z5568">
        <v>-4.775947E-3</v>
      </c>
      <c r="AA5568">
        <v>0.88091249999999999</v>
      </c>
      <c r="AB5568">
        <v>28</v>
      </c>
      <c r="AC5568">
        <v>31.778700000000001</v>
      </c>
      <c r="AD5568">
        <v>4.0287119999999996</v>
      </c>
      <c r="AE5568">
        <v>-32.433259999999997</v>
      </c>
      <c r="AF5568">
        <v>21.459640387360999</v>
      </c>
      <c r="AG5568">
        <v>4.0287119999999996</v>
      </c>
      <c r="AH5568">
        <v>39.613182629006097</v>
      </c>
      <c r="AI5568">
        <v>84.890044295586605</v>
      </c>
      <c r="AJ5568">
        <v>61.554275986257203</v>
      </c>
      <c r="AK5568">
        <v>45.232189024330701</v>
      </c>
      <c r="AL5568">
        <v>89.118533231773995</v>
      </c>
      <c r="AM5568">
        <v>81.953382275423394</v>
      </c>
      <c r="AN5568">
        <v>0.99999996844582995</v>
      </c>
    </row>
    <row r="5569" spans="1:40" x14ac:dyDescent="0.25">
      <c r="A5569" t="str">
        <f>"20190312161128214"</f>
        <v>20190312161128214</v>
      </c>
      <c r="B5569" t="str">
        <f>"1552378288202726"</f>
        <v>1552378288202726</v>
      </c>
      <c r="C5569" t="s">
        <v>40</v>
      </c>
      <c r="D5569">
        <v>5.6257070000000002</v>
      </c>
      <c r="E5569">
        <v>0.64869889999999997</v>
      </c>
      <c r="F5569" t="s">
        <v>103</v>
      </c>
      <c r="G5569">
        <v>-283.45159999999998</v>
      </c>
      <c r="H5569">
        <v>4.1329909999999996</v>
      </c>
      <c r="I5569">
        <v>-17.223229999999901</v>
      </c>
      <c r="J5569">
        <v>-313.95150000000001</v>
      </c>
      <c r="K5569">
        <v>1.060019</v>
      </c>
      <c r="L5569">
        <v>15.082979999999999</v>
      </c>
      <c r="M5569">
        <v>0.95251969999999997</v>
      </c>
      <c r="N5569">
        <v>0</v>
      </c>
      <c r="O5569">
        <v>-0.30379620000000002</v>
      </c>
      <c r="P5569">
        <v>0.89986010000000005</v>
      </c>
      <c r="Q5569">
        <v>-2.738388E-3</v>
      </c>
      <c r="R5569">
        <v>-0.43617040000000001</v>
      </c>
      <c r="S5569">
        <v>2.2178040000000001</v>
      </c>
      <c r="T5569">
        <v>0.22146579999999999</v>
      </c>
      <c r="U5569">
        <v>-2.3358759999999998</v>
      </c>
      <c r="V5569">
        <v>0.14244509999999999</v>
      </c>
      <c r="W5569">
        <v>1.4476569999999999E-2</v>
      </c>
      <c r="X5569">
        <v>0.98969680000000004</v>
      </c>
      <c r="Y5569">
        <v>0.48128080000000001</v>
      </c>
      <c r="Z5569">
        <v>-4.0874090000000002E-3</v>
      </c>
      <c r="AA5569">
        <v>0.87655689999999997</v>
      </c>
      <c r="AB5569">
        <v>28</v>
      </c>
      <c r="AC5569">
        <v>30.4999</v>
      </c>
      <c r="AD5569">
        <v>3.072972</v>
      </c>
      <c r="AE5569">
        <v>-32.306209999999901</v>
      </c>
      <c r="AF5569">
        <v>21.4085848851397</v>
      </c>
      <c r="AG5569">
        <v>3.072972</v>
      </c>
      <c r="AH5569">
        <v>38.689222668557299</v>
      </c>
      <c r="AI5569">
        <v>86.024518365752101</v>
      </c>
      <c r="AJ5569">
        <v>61.042160703684601</v>
      </c>
      <c r="AK5569">
        <v>44.324108726450703</v>
      </c>
      <c r="AL5569">
        <v>89.170524635541199</v>
      </c>
      <c r="AM5569">
        <v>81.809777122261096</v>
      </c>
      <c r="AN5569">
        <v>0.99999996676160696</v>
      </c>
    </row>
    <row r="5570" spans="1:40" x14ac:dyDescent="0.25">
      <c r="A5570" t="str">
        <f>"20190312161128236"</f>
        <v>20190312161128236</v>
      </c>
      <c r="B5570" t="str">
        <f>"1552378288232982"</f>
        <v>1552378288232982</v>
      </c>
      <c r="C5570" t="s">
        <v>40</v>
      </c>
      <c r="D5570">
        <v>5.3001569999999996</v>
      </c>
      <c r="E5570">
        <v>0.64967779999999997</v>
      </c>
      <c r="F5570" t="s">
        <v>103</v>
      </c>
      <c r="G5570">
        <v>-284.29899999999998</v>
      </c>
      <c r="H5570">
        <v>3.511504</v>
      </c>
      <c r="I5570">
        <v>-17.223220000000001</v>
      </c>
      <c r="J5570">
        <v>-313.67910000000001</v>
      </c>
      <c r="K5570">
        <v>1.058781</v>
      </c>
      <c r="L5570">
        <v>14.984310000000001</v>
      </c>
      <c r="M5570">
        <v>0.94933769999999995</v>
      </c>
      <c r="N5570">
        <v>0</v>
      </c>
      <c r="O5570">
        <v>-0.31363340000000001</v>
      </c>
      <c r="P5570">
        <v>0.89457809999999904</v>
      </c>
      <c r="Q5570">
        <v>-2.3052440000000001E-3</v>
      </c>
      <c r="R5570">
        <v>-0.44690570000000002</v>
      </c>
      <c r="S5570">
        <v>2.1820680000000001</v>
      </c>
      <c r="T5570">
        <v>0.1803997</v>
      </c>
      <c r="U5570">
        <v>-2.3773499999999999</v>
      </c>
      <c r="V5570">
        <v>0.1440487</v>
      </c>
      <c r="W5570">
        <v>1.432686E-2</v>
      </c>
      <c r="X5570">
        <v>0.98946690000000004</v>
      </c>
      <c r="Y5570">
        <v>0.48714540000000001</v>
      </c>
      <c r="Z5570">
        <v>-3.7302250000000002E-3</v>
      </c>
      <c r="AA5570">
        <v>0.87331289999999995</v>
      </c>
      <c r="AB5570">
        <v>28</v>
      </c>
      <c r="AC5570">
        <v>29.380099999999899</v>
      </c>
      <c r="AD5570">
        <v>2.4527230000000002</v>
      </c>
      <c r="AE5570">
        <v>-32.207529999999998</v>
      </c>
      <c r="AF5570">
        <v>21.298013790374799</v>
      </c>
      <c r="AG5570">
        <v>2.4527230000000002</v>
      </c>
      <c r="AH5570">
        <v>37.880536694166601</v>
      </c>
      <c r="AI5570">
        <v>86.769665583519995</v>
      </c>
      <c r="AJ5570">
        <v>60.6534941364677</v>
      </c>
      <c r="AK5570">
        <v>43.5265011431866</v>
      </c>
      <c r="AL5570">
        <v>89.179103317544403</v>
      </c>
      <c r="AM5570">
        <v>81.716948637499897</v>
      </c>
      <c r="AN5570">
        <v>1.0000000165423699</v>
      </c>
    </row>
    <row r="5571" spans="1:40" x14ac:dyDescent="0.25">
      <c r="A5571" t="str">
        <f>"20190312161128260"</f>
        <v>20190312161128260</v>
      </c>
      <c r="B5571" t="str">
        <f>"1552378288252505"</f>
        <v>1552378288252505</v>
      </c>
      <c r="C5571" t="s">
        <v>40</v>
      </c>
      <c r="D5571">
        <v>5.4834120000000004</v>
      </c>
      <c r="E5571">
        <v>0.64866519999999905</v>
      </c>
      <c r="F5571" t="s">
        <v>103</v>
      </c>
      <c r="G5571">
        <v>-284.94479999999999</v>
      </c>
      <c r="H5571">
        <v>3.1880739999999999</v>
      </c>
      <c r="I5571">
        <v>-17.223220000000001</v>
      </c>
      <c r="J5571">
        <v>-313.39670000000001</v>
      </c>
      <c r="K5571">
        <v>1.0576399999999999</v>
      </c>
      <c r="L5571">
        <v>14.878539999999999</v>
      </c>
      <c r="M5571">
        <v>0.94584170000000001</v>
      </c>
      <c r="N5571">
        <v>0</v>
      </c>
      <c r="O5571">
        <v>-0.3240558</v>
      </c>
      <c r="P5571">
        <v>0.88875729999999997</v>
      </c>
      <c r="Q5571">
        <v>-1.9925949999999998E-3</v>
      </c>
      <c r="R5571">
        <v>-0.45837359999999999</v>
      </c>
      <c r="S5571">
        <v>2.1500240000000002</v>
      </c>
      <c r="T5571">
        <v>0.15932299999999999</v>
      </c>
      <c r="U5571">
        <v>-2.4099119999999998</v>
      </c>
      <c r="V5571">
        <v>0.14589009999999999</v>
      </c>
      <c r="W5571">
        <v>1.407273E-2</v>
      </c>
      <c r="X5571">
        <v>0.98920070000000004</v>
      </c>
      <c r="Y5571">
        <v>0.48994510000000002</v>
      </c>
      <c r="Z5571">
        <v>-3.7710769999999998E-3</v>
      </c>
      <c r="AA5571">
        <v>0.871745199999999</v>
      </c>
      <c r="AB5571">
        <v>28</v>
      </c>
      <c r="AC5571">
        <v>28.451899999999998</v>
      </c>
      <c r="AD5571">
        <v>2.1304340000000002</v>
      </c>
      <c r="AE5571">
        <v>-32.101759999999999</v>
      </c>
      <c r="AF5571">
        <v>21.0950720354381</v>
      </c>
      <c r="AG5571">
        <v>2.1304340000000002</v>
      </c>
      <c r="AH5571">
        <v>37.228853367864097</v>
      </c>
      <c r="AI5571">
        <v>87.149708260437606</v>
      </c>
      <c r="AJ5571">
        <v>60.462706796315103</v>
      </c>
      <c r="AK5571">
        <v>42.8430663736223</v>
      </c>
      <c r="AL5571">
        <v>89.1936653437443</v>
      </c>
      <c r="AM5571">
        <v>81.610336868885597</v>
      </c>
      <c r="AN5571">
        <v>0.99999999394407602</v>
      </c>
    </row>
    <row r="5572" spans="1:40" x14ac:dyDescent="0.25">
      <c r="A5572" t="str">
        <f>"20190312161128282"</f>
        <v>20190312161128282</v>
      </c>
      <c r="B5572" t="str">
        <f>"1552378288272581"</f>
        <v>1552378288272581</v>
      </c>
      <c r="C5572" t="s">
        <v>40</v>
      </c>
      <c r="D5572">
        <v>5.5037979999999997</v>
      </c>
      <c r="E5572">
        <v>0.6488159</v>
      </c>
      <c r="F5572" t="s">
        <v>103</v>
      </c>
      <c r="G5572">
        <v>-285.3691</v>
      </c>
      <c r="H5572">
        <v>3.4159670000000002</v>
      </c>
      <c r="I5572">
        <v>-17.223220000000001</v>
      </c>
      <c r="J5572">
        <v>-313.13819999999998</v>
      </c>
      <c r="K5572">
        <v>1.0567120000000001</v>
      </c>
      <c r="L5572">
        <v>14.77844</v>
      </c>
      <c r="M5572">
        <v>0.94245730000000005</v>
      </c>
      <c r="N5572">
        <v>0</v>
      </c>
      <c r="O5572">
        <v>-0.33379560000000003</v>
      </c>
      <c r="P5572">
        <v>0.88317590000000001</v>
      </c>
      <c r="Q5572">
        <v>-1.80707E-3</v>
      </c>
      <c r="R5572">
        <v>-0.46903869999999998</v>
      </c>
      <c r="S5572">
        <v>2.122223</v>
      </c>
      <c r="T5572">
        <v>0.17857049999999999</v>
      </c>
      <c r="U5572">
        <v>-2.4307249999999998</v>
      </c>
      <c r="V5572">
        <v>0.14759129999999901</v>
      </c>
      <c r="W5572">
        <v>1.377569E-2</v>
      </c>
      <c r="X5572">
        <v>0.98895250000000001</v>
      </c>
      <c r="Y5572">
        <v>0.49026449999999999</v>
      </c>
      <c r="Z5572">
        <v>-4.8070470000000001E-3</v>
      </c>
      <c r="AA5572">
        <v>0.87156049999999996</v>
      </c>
      <c r="AB5572">
        <v>28</v>
      </c>
      <c r="AC5572">
        <v>27.769099999999899</v>
      </c>
      <c r="AD5572">
        <v>2.3592550000000001</v>
      </c>
      <c r="AE5572">
        <v>-32.001660000000001</v>
      </c>
      <c r="AF5572">
        <v>20.8301175510307</v>
      </c>
      <c r="AG5572">
        <v>2.3592550000000001</v>
      </c>
      <c r="AH5572">
        <v>36.745812708044397</v>
      </c>
      <c r="AI5572">
        <v>86.8030857209109</v>
      </c>
      <c r="AJ5572">
        <v>60.452377999126</v>
      </c>
      <c r="AK5572">
        <v>42.305019003889598</v>
      </c>
      <c r="AL5572">
        <v>89.210686140587399</v>
      </c>
      <c r="AM5572">
        <v>81.511824086974599</v>
      </c>
      <c r="AN5572">
        <v>1.00000000436345</v>
      </c>
    </row>
    <row r="5573" spans="1:40" x14ac:dyDescent="0.25">
      <c r="A5573" t="str">
        <f>"20190312161128302"</f>
        <v>20190312161128302</v>
      </c>
      <c r="B5573" t="str">
        <f>"1552378288293062"</f>
        <v>1552378288293062</v>
      </c>
      <c r="C5573" t="s">
        <v>40</v>
      </c>
      <c r="D5573">
        <v>5.2875050000000003</v>
      </c>
      <c r="E5573">
        <v>0.64699300000000004</v>
      </c>
      <c r="F5573" t="s">
        <v>103</v>
      </c>
      <c r="G5573">
        <v>-285.86779999999999</v>
      </c>
      <c r="H5573">
        <v>3.0727099999999998</v>
      </c>
      <c r="I5573">
        <v>-17.247250000000001</v>
      </c>
      <c r="J5573">
        <v>-312.88260000000002</v>
      </c>
      <c r="K5573">
        <v>1.0558799999999999</v>
      </c>
      <c r="L5573">
        <v>14.67615</v>
      </c>
      <c r="M5573">
        <v>0.93892469999999995</v>
      </c>
      <c r="N5573">
        <v>0</v>
      </c>
      <c r="O5573">
        <v>-0.34362819999999999</v>
      </c>
      <c r="P5573">
        <v>0.87787899999999996</v>
      </c>
      <c r="Q5573">
        <v>-4.9447689999999997E-4</v>
      </c>
      <c r="R5573">
        <v>-0.47888229999999998</v>
      </c>
      <c r="S5573">
        <v>2.0922550000000002</v>
      </c>
      <c r="T5573">
        <v>0.1546719</v>
      </c>
      <c r="U5573">
        <v>-2.4570919999999998</v>
      </c>
      <c r="V5573">
        <v>0.1483332</v>
      </c>
      <c r="W5573">
        <v>1.466347E-2</v>
      </c>
      <c r="X5573">
        <v>0.9888287</v>
      </c>
      <c r="Y5573">
        <v>0.49200310000000003</v>
      </c>
      <c r="Z5573">
        <v>-4.6313530000000004E-3</v>
      </c>
      <c r="AA5573">
        <v>0.87058119999999894</v>
      </c>
      <c r="AB5573">
        <v>28</v>
      </c>
      <c r="AC5573">
        <v>27.014800000000001</v>
      </c>
      <c r="AD5573">
        <v>2.0168300000000001</v>
      </c>
      <c r="AE5573">
        <v>-31.923400000000001</v>
      </c>
      <c r="AF5573">
        <v>20.646121867980501</v>
      </c>
      <c r="AG5573">
        <v>2.0168300000000001</v>
      </c>
      <c r="AH5573">
        <v>36.256497700226902</v>
      </c>
      <c r="AI5573">
        <v>87.232548184849506</v>
      </c>
      <c r="AJ5573">
        <v>60.3408183555756</v>
      </c>
      <c r="AK5573">
        <v>41.771564214462501</v>
      </c>
      <c r="AL5573">
        <v>89.1598149255598</v>
      </c>
      <c r="AM5573">
        <v>81.468730328430496</v>
      </c>
      <c r="AN5573">
        <v>0.99999997675918495</v>
      </c>
    </row>
    <row r="5574" spans="1:40" x14ac:dyDescent="0.25">
      <c r="A5574" t="str">
        <f>"20190312161128326"</f>
        <v>20190312161128326</v>
      </c>
      <c r="B5574" t="str">
        <f>"1552378288322342"</f>
        <v>1552378288322342</v>
      </c>
      <c r="C5574" t="s">
        <v>40</v>
      </c>
      <c r="D5574">
        <v>5.6661299999999999</v>
      </c>
      <c r="E5574">
        <v>0.64636499999999997</v>
      </c>
      <c r="F5574" t="s">
        <v>103</v>
      </c>
      <c r="G5574">
        <v>-285.86779999999999</v>
      </c>
      <c r="H5574">
        <v>3.1176210000000002</v>
      </c>
      <c r="I5574">
        <v>-17.50301</v>
      </c>
      <c r="J5574">
        <v>-312.61900000000003</v>
      </c>
      <c r="K5574">
        <v>1.0551010000000001</v>
      </c>
      <c r="L5574">
        <v>14.567170000000001</v>
      </c>
      <c r="M5574">
        <v>0.93507709999999999</v>
      </c>
      <c r="N5574">
        <v>0</v>
      </c>
      <c r="O5574">
        <v>-0.35398259999999998</v>
      </c>
      <c r="P5574">
        <v>0.8723959</v>
      </c>
      <c r="Q5574">
        <v>-1.634071E-4</v>
      </c>
      <c r="R5574">
        <v>-0.48880050000000003</v>
      </c>
      <c r="S5574">
        <v>2.0714419999999998</v>
      </c>
      <c r="T5574">
        <v>0.1580868</v>
      </c>
      <c r="U5574">
        <v>-2.467438</v>
      </c>
      <c r="V5574">
        <v>0.14861750000000001</v>
      </c>
      <c r="W5574">
        <v>1.4601009999999999E-2</v>
      </c>
      <c r="X5574">
        <v>0.98878699999999997</v>
      </c>
      <c r="Y5574">
        <v>0.48848209999999997</v>
      </c>
      <c r="Z5574">
        <v>-5.3980149999999999E-3</v>
      </c>
      <c r="AA5574">
        <v>0.87255720000000003</v>
      </c>
      <c r="AB5574">
        <v>28</v>
      </c>
      <c r="AC5574">
        <v>26.751200000000001</v>
      </c>
      <c r="AD5574">
        <v>2.0625200000000001</v>
      </c>
      <c r="AE5574">
        <v>-32.070180000000001</v>
      </c>
      <c r="AF5574">
        <v>20.472056401153601</v>
      </c>
      <c r="AG5574">
        <v>2.0625200000000001</v>
      </c>
      <c r="AH5574">
        <v>36.284171506679101</v>
      </c>
      <c r="AI5574">
        <v>87.165765599303498</v>
      </c>
      <c r="AJ5574">
        <v>60.567677702556203</v>
      </c>
      <c r="AK5574">
        <v>41.712110758969203</v>
      </c>
      <c r="AL5574">
        <v>89.163394057015594</v>
      </c>
      <c r="AM5574">
        <v>81.452265181841796</v>
      </c>
      <c r="AN5574">
        <v>1.0000000410841301</v>
      </c>
    </row>
    <row r="5575" spans="1:40" x14ac:dyDescent="0.25">
      <c r="A5575" t="str">
        <f>"20190312161128348"</f>
        <v>20190312161128348</v>
      </c>
      <c r="B5575" t="str">
        <f>"1552378288342841"</f>
        <v>1552378288342841</v>
      </c>
      <c r="C5575" t="s">
        <v>40</v>
      </c>
      <c r="D5575">
        <v>5.5988439999999997</v>
      </c>
      <c r="E5575">
        <v>0.64518140000000002</v>
      </c>
      <c r="F5575" t="s">
        <v>103</v>
      </c>
      <c r="G5575">
        <v>-282.32900000000001</v>
      </c>
      <c r="H5575">
        <v>3.1872959999999999</v>
      </c>
      <c r="I5575">
        <v>-22.24418</v>
      </c>
      <c r="J5575">
        <v>-312.35219999999998</v>
      </c>
      <c r="K5575">
        <v>1.0543990000000001</v>
      </c>
      <c r="L5575">
        <v>14.452970000000001</v>
      </c>
      <c r="M5575">
        <v>0.93095640000000002</v>
      </c>
      <c r="N5575">
        <v>0</v>
      </c>
      <c r="O5575">
        <v>-0.36469750000000001</v>
      </c>
      <c r="P5575">
        <v>0.86638419999999905</v>
      </c>
      <c r="Q5575">
        <v>8.0604009999999998E-4</v>
      </c>
      <c r="R5575">
        <v>-0.49937720000000002</v>
      </c>
      <c r="S5575">
        <v>2.0458069999999999</v>
      </c>
      <c r="T5575">
        <v>0.1440099</v>
      </c>
      <c r="U5575">
        <v>-2.4862669999999998</v>
      </c>
      <c r="V5575">
        <v>0.14931150000000001</v>
      </c>
      <c r="W5575">
        <v>1.5197469999999999E-2</v>
      </c>
      <c r="X5575">
        <v>0.98867340000000004</v>
      </c>
      <c r="Y5575">
        <v>0.48710239999999999</v>
      </c>
      <c r="Z5575">
        <v>-5.4829739999999998E-3</v>
      </c>
      <c r="AA5575">
        <v>0.87332759999999998</v>
      </c>
      <c r="AB5575">
        <v>28</v>
      </c>
      <c r="AC5575">
        <v>30.0231999999999</v>
      </c>
      <c r="AD5575">
        <v>2.1328969999999998</v>
      </c>
      <c r="AE5575">
        <v>-36.697150000000001</v>
      </c>
      <c r="AF5575">
        <v>23.1708393648039</v>
      </c>
      <c r="AG5575">
        <v>2.1328969999999998</v>
      </c>
      <c r="AH5575">
        <v>41.256691624710299</v>
      </c>
      <c r="AI5575">
        <v>87.419098923454001</v>
      </c>
      <c r="AJ5575">
        <v>60.680291822629002</v>
      </c>
      <c r="AK5575">
        <v>47.366144558097602</v>
      </c>
      <c r="AL5575">
        <v>89.129215578539302</v>
      </c>
      <c r="AM5575">
        <v>81.411971504390607</v>
      </c>
      <c r="AN5575">
        <v>0.999999989497105</v>
      </c>
    </row>
    <row r="5576" spans="1:40" x14ac:dyDescent="0.25">
      <c r="A5576" t="str">
        <f>"20190312161128371"</f>
        <v>20190312161128371</v>
      </c>
      <c r="B5576" t="str">
        <f>"1552378288362361"</f>
        <v>1552378288362361</v>
      </c>
      <c r="C5576" t="s">
        <v>40</v>
      </c>
      <c r="D5576">
        <v>5.6512650000000004</v>
      </c>
      <c r="E5576">
        <v>0.64402619999999999</v>
      </c>
      <c r="F5576" t="s">
        <v>103</v>
      </c>
      <c r="G5576">
        <v>-282.32900000000001</v>
      </c>
      <c r="H5576">
        <v>3.4448699999999999</v>
      </c>
      <c r="I5576">
        <v>-22.745550000000001</v>
      </c>
      <c r="J5576">
        <v>-312.09070000000003</v>
      </c>
      <c r="K5576">
        <v>1.053817</v>
      </c>
      <c r="L5576">
        <v>14.33731</v>
      </c>
      <c r="M5576">
        <v>0.92669979999999996</v>
      </c>
      <c r="N5576">
        <v>0</v>
      </c>
      <c r="O5576">
        <v>-0.3753957</v>
      </c>
      <c r="P5576">
        <v>0.86040839999999996</v>
      </c>
      <c r="Q5576">
        <v>1.212079E-4</v>
      </c>
      <c r="R5576">
        <v>-0.50960509999999903</v>
      </c>
      <c r="S5576">
        <v>2.0199579999999999</v>
      </c>
      <c r="T5576">
        <v>0.16083149999999999</v>
      </c>
      <c r="U5576">
        <v>-2.5027159999999999</v>
      </c>
      <c r="V5576">
        <v>0.149620899999999</v>
      </c>
      <c r="W5576">
        <v>1.4190980000000001E-2</v>
      </c>
      <c r="X5576">
        <v>0.98864160000000001</v>
      </c>
      <c r="Y5576">
        <v>0.48528470000000001</v>
      </c>
      <c r="Z5576">
        <v>-6.7708019999999898E-3</v>
      </c>
      <c r="AA5576">
        <v>0.87432999999999905</v>
      </c>
      <c r="AB5576">
        <v>28</v>
      </c>
      <c r="AC5576">
        <v>29.761700000000001</v>
      </c>
      <c r="AD5576">
        <v>2.3910529999999999</v>
      </c>
      <c r="AE5576">
        <v>-37.082859999999997</v>
      </c>
      <c r="AF5576">
        <v>23.1373014111979</v>
      </c>
      <c r="AG5576">
        <v>2.3910529999999999</v>
      </c>
      <c r="AH5576">
        <v>41.402554657787597</v>
      </c>
      <c r="AI5576">
        <v>87.113970825060207</v>
      </c>
      <c r="AJ5576">
        <v>60.801902643981698</v>
      </c>
      <c r="AK5576">
        <v>47.4891922781649</v>
      </c>
      <c r="AL5576">
        <v>89.186889450481104</v>
      </c>
      <c r="AM5576">
        <v>81.394169085198996</v>
      </c>
      <c r="AN5576">
        <v>1.0000000054403599</v>
      </c>
    </row>
    <row r="5577" spans="1:40" x14ac:dyDescent="0.25">
      <c r="A5577" t="str">
        <f>"20190312161128393"</f>
        <v>20190312161128393</v>
      </c>
      <c r="B5577" t="str">
        <f>"1552378288382489"</f>
        <v>1552378288382489</v>
      </c>
      <c r="C5577" t="s">
        <v>40</v>
      </c>
      <c r="D5577">
        <v>5.7689959999999996</v>
      </c>
      <c r="E5577">
        <v>0.64413779999999998</v>
      </c>
      <c r="F5577" t="s">
        <v>103</v>
      </c>
      <c r="G5577">
        <v>-282.32900000000001</v>
      </c>
      <c r="H5577">
        <v>3.5953409999999999</v>
      </c>
      <c r="I5577">
        <v>-23.22888</v>
      </c>
      <c r="J5577">
        <v>-311.8349</v>
      </c>
      <c r="K5577">
        <v>1.0533079999999999</v>
      </c>
      <c r="L5577">
        <v>14.22052</v>
      </c>
      <c r="M5577">
        <v>0.92231790000000002</v>
      </c>
      <c r="N5577">
        <v>0</v>
      </c>
      <c r="O5577">
        <v>-0.38604729999999998</v>
      </c>
      <c r="P5577">
        <v>0.85404530000000001</v>
      </c>
      <c r="Q5577">
        <v>-4.3820799999999999E-4</v>
      </c>
      <c r="R5577">
        <v>-0.52019879999999996</v>
      </c>
      <c r="S5577">
        <v>1.995117</v>
      </c>
      <c r="T5577">
        <v>0.17037449999999901</v>
      </c>
      <c r="U5577">
        <v>-2.5183110000000002</v>
      </c>
      <c r="V5577">
        <v>0.15043529999999999</v>
      </c>
      <c r="W5577">
        <v>1.3335130000000001E-2</v>
      </c>
      <c r="X5577">
        <v>0.98852989999999996</v>
      </c>
      <c r="Y5577">
        <v>0.48313479999999998</v>
      </c>
      <c r="Z5577">
        <v>-7.8679909999999995E-3</v>
      </c>
      <c r="AA5577">
        <v>0.87551060000000003</v>
      </c>
      <c r="AB5577">
        <v>28</v>
      </c>
      <c r="AC5577">
        <v>29.5059</v>
      </c>
      <c r="AD5577">
        <v>2.542033</v>
      </c>
      <c r="AE5577">
        <v>-37.449399999999997</v>
      </c>
      <c r="AF5577">
        <v>23.087385698279899</v>
      </c>
      <c r="AG5577">
        <v>2.542033</v>
      </c>
      <c r="AH5577">
        <v>41.559106773201201</v>
      </c>
      <c r="AI5577">
        <v>86.939317493539406</v>
      </c>
      <c r="AJ5577">
        <v>60.946456739888902</v>
      </c>
      <c r="AK5577">
        <v>47.609333811140097</v>
      </c>
      <c r="AL5577">
        <v>89.235930673324503</v>
      </c>
      <c r="AM5577">
        <v>81.347070904016405</v>
      </c>
      <c r="AN5577">
        <v>0.99999998418610803</v>
      </c>
    </row>
    <row r="5578" spans="1:40" x14ac:dyDescent="0.25">
      <c r="A5578" t="str">
        <f>"20190312161128414"</f>
        <v>20190312161128414</v>
      </c>
      <c r="B5578" t="str">
        <f>"1552378288412744"</f>
        <v>1552378288412744</v>
      </c>
      <c r="C5578" t="s">
        <v>40</v>
      </c>
      <c r="D5578">
        <v>5.8703709999999996</v>
      </c>
      <c r="E5578">
        <v>0.64280969999999904</v>
      </c>
      <c r="F5578" t="s">
        <v>103</v>
      </c>
      <c r="G5578">
        <v>-282.32900000000001</v>
      </c>
      <c r="H5578">
        <v>3.75528</v>
      </c>
      <c r="I5578">
        <v>-24.009930000000001</v>
      </c>
      <c r="J5578">
        <v>-311.57990000000001</v>
      </c>
      <c r="K5578">
        <v>1.0528470000000001</v>
      </c>
      <c r="L5578">
        <v>14.10031</v>
      </c>
      <c r="M5578">
        <v>0.91771999999999998</v>
      </c>
      <c r="N5578">
        <v>0</v>
      </c>
      <c r="O5578">
        <v>-0.39686280000000002</v>
      </c>
      <c r="P5578">
        <v>0.84729739999999998</v>
      </c>
      <c r="Q5578">
        <v>-1.1102499999999999E-3</v>
      </c>
      <c r="R5578">
        <v>-0.53111759999999997</v>
      </c>
      <c r="S5578">
        <v>1.9633179999999999</v>
      </c>
      <c r="T5578">
        <v>0.1797888</v>
      </c>
      <c r="U5578">
        <v>-2.5438540000000001</v>
      </c>
      <c r="V5578">
        <v>0.15148809999999999</v>
      </c>
      <c r="W5578">
        <v>1.238774E-2</v>
      </c>
      <c r="X5578">
        <v>0.98838139999999997</v>
      </c>
      <c r="Y5578">
        <v>0.48395270000000001</v>
      </c>
      <c r="Z5578">
        <v>-8.9459099999999996E-3</v>
      </c>
      <c r="AA5578">
        <v>0.87504850000000001</v>
      </c>
      <c r="AB5578">
        <v>28</v>
      </c>
      <c r="AC5578">
        <v>29.250900000000001</v>
      </c>
      <c r="AD5578">
        <v>2.7024330000000001</v>
      </c>
      <c r="AE5578">
        <v>-38.110239999999997</v>
      </c>
      <c r="AF5578">
        <v>23.2956097216423</v>
      </c>
      <c r="AG5578">
        <v>2.7024330000000001</v>
      </c>
      <c r="AH5578">
        <v>41.842357235973701</v>
      </c>
      <c r="AI5578">
        <v>86.770235514366505</v>
      </c>
      <c r="AJ5578">
        <v>60.893254735751697</v>
      </c>
      <c r="AK5578">
        <v>47.966357329751503</v>
      </c>
      <c r="AL5578">
        <v>89.290216587888693</v>
      </c>
      <c r="AM5578">
        <v>81.286151721574598</v>
      </c>
      <c r="AN5578">
        <v>0.99999994620493704</v>
      </c>
    </row>
    <row r="5579" spans="1:40" x14ac:dyDescent="0.25">
      <c r="A5579" t="str">
        <f>"20190312161128437"</f>
        <v>20190312161128437</v>
      </c>
      <c r="B5579" t="str">
        <f>"1552378288433243"</f>
        <v>1552378288433243</v>
      </c>
      <c r="C5579" t="s">
        <v>40</v>
      </c>
      <c r="D5579">
        <v>5.7255229999999999</v>
      </c>
      <c r="E5579">
        <v>0.64184540000000001</v>
      </c>
      <c r="F5579" t="s">
        <v>103</v>
      </c>
      <c r="G5579">
        <v>-282.32900000000001</v>
      </c>
      <c r="H5579">
        <v>3.8500969999999999</v>
      </c>
      <c r="I5579">
        <v>-24.572579999999999</v>
      </c>
      <c r="J5579">
        <v>-311.32100000000003</v>
      </c>
      <c r="K5579">
        <v>1.052438</v>
      </c>
      <c r="L5579">
        <v>13.974299999999999</v>
      </c>
      <c r="M5579">
        <v>0.9128058</v>
      </c>
      <c r="N5579">
        <v>0</v>
      </c>
      <c r="O5579">
        <v>-0.40804699999999999</v>
      </c>
      <c r="P5579">
        <v>0.84017949999999997</v>
      </c>
      <c r="Q5579">
        <v>-1.170527E-3</v>
      </c>
      <c r="R5579">
        <v>-0.54230769999999995</v>
      </c>
      <c r="S5579">
        <v>1.9362490000000001</v>
      </c>
      <c r="T5579">
        <v>0.18516189999999999</v>
      </c>
      <c r="U5579">
        <v>-2.5599370000000001</v>
      </c>
      <c r="V5579">
        <v>0.152517299999999</v>
      </c>
      <c r="W5579">
        <v>1.2074E-2</v>
      </c>
      <c r="X5579">
        <v>0.98822710000000002</v>
      </c>
      <c r="Y5579">
        <v>0.48178949999999998</v>
      </c>
      <c r="Z5579">
        <v>-1.001022E-2</v>
      </c>
      <c r="AA5579">
        <v>0.87622979999999995</v>
      </c>
      <c r="AB5579">
        <v>28</v>
      </c>
      <c r="AC5579">
        <v>28.991999999999901</v>
      </c>
      <c r="AD5579">
        <v>2.7976589999999999</v>
      </c>
      <c r="AE5579">
        <v>-38.546880000000002</v>
      </c>
      <c r="AF5579">
        <v>23.280699875738701</v>
      </c>
      <c r="AG5579">
        <v>2.7976589999999999</v>
      </c>
      <c r="AH5579">
        <v>42.057483144224001</v>
      </c>
      <c r="AI5579">
        <v>86.669231316676203</v>
      </c>
      <c r="AJ5579">
        <v>61.033508471740099</v>
      </c>
      <c r="AK5579">
        <v>48.152359973434201</v>
      </c>
      <c r="AL5579">
        <v>89.308193986574295</v>
      </c>
      <c r="AM5579">
        <v>81.226519840909504</v>
      </c>
      <c r="AN5579">
        <v>1.00000005472484</v>
      </c>
    </row>
    <row r="5580" spans="1:40" x14ac:dyDescent="0.25">
      <c r="A5580" t="str">
        <f>"20190312161128460"</f>
        <v>20190312161128460</v>
      </c>
      <c r="B5580" t="str">
        <f>"1552378288452764"</f>
        <v>1552378288452764</v>
      </c>
      <c r="C5580" t="s">
        <v>40</v>
      </c>
      <c r="D5580">
        <v>5.4706519999999896</v>
      </c>
      <c r="E5580">
        <v>0.64090509999999901</v>
      </c>
      <c r="F5580" t="s">
        <v>103</v>
      </c>
      <c r="G5580">
        <v>-282.32900000000001</v>
      </c>
      <c r="H5580">
        <v>3.9259300000000001</v>
      </c>
      <c r="I5580">
        <v>-25.252230000000001</v>
      </c>
      <c r="J5580">
        <v>-311.05680000000001</v>
      </c>
      <c r="K5580">
        <v>1.0520640000000001</v>
      </c>
      <c r="L5580">
        <v>13.84149</v>
      </c>
      <c r="M5580">
        <v>0.90752350000000004</v>
      </c>
      <c r="N5580">
        <v>0</v>
      </c>
      <c r="O5580">
        <v>-0.4196706</v>
      </c>
      <c r="P5580">
        <v>0.83255469999999898</v>
      </c>
      <c r="Q5580">
        <v>-4.0370370000000002E-4</v>
      </c>
      <c r="R5580">
        <v>-0.55394290000000002</v>
      </c>
      <c r="S5580">
        <v>1.9061889999999999</v>
      </c>
      <c r="T5580">
        <v>0.18892880000000001</v>
      </c>
      <c r="U5580">
        <v>-2.5791019999999998</v>
      </c>
      <c r="V5580">
        <v>0.1536622</v>
      </c>
      <c r="W5580">
        <v>1.26023E-2</v>
      </c>
      <c r="X5580">
        <v>0.98804309999999995</v>
      </c>
      <c r="Y5580">
        <v>0.48032079999999999</v>
      </c>
      <c r="Z5580">
        <v>-1.103345E-2</v>
      </c>
      <c r="AA5580">
        <v>0.87702349999999996</v>
      </c>
      <c r="AB5580">
        <v>28</v>
      </c>
      <c r="AC5580">
        <v>28.727799999999998</v>
      </c>
      <c r="AD5580">
        <v>2.873866</v>
      </c>
      <c r="AE5580">
        <v>-39.093719999999998</v>
      </c>
      <c r="AF5580">
        <v>23.3435935273999</v>
      </c>
      <c r="AG5580">
        <v>2.873866</v>
      </c>
      <c r="AH5580">
        <v>42.334978536796697</v>
      </c>
      <c r="AI5580">
        <v>86.598011376348097</v>
      </c>
      <c r="AJ5580">
        <v>61.127568320903698</v>
      </c>
      <c r="AK5580">
        <v>48.429669338840803</v>
      </c>
      <c r="AL5580">
        <v>89.277922304457704</v>
      </c>
      <c r="AM5580">
        <v>81.160076150238794</v>
      </c>
      <c r="AN5580">
        <v>1.0000000285658599</v>
      </c>
    </row>
    <row r="5581" spans="1:40" x14ac:dyDescent="0.25">
      <c r="A5581" t="str">
        <f>"20190312161128482"</f>
        <v>20190312161128482</v>
      </c>
      <c r="B5581" t="str">
        <f>"1552378288472829"</f>
        <v>1552378288472829</v>
      </c>
      <c r="C5581" t="s">
        <v>40</v>
      </c>
      <c r="D5581">
        <v>5.7553739999999998</v>
      </c>
      <c r="E5581">
        <v>0.63990819999999904</v>
      </c>
      <c r="F5581" t="s">
        <v>103</v>
      </c>
      <c r="G5581">
        <v>-282.32900000000001</v>
      </c>
      <c r="H5581">
        <v>4.0286140000000001</v>
      </c>
      <c r="I5581">
        <v>-25.98977</v>
      </c>
      <c r="J5581">
        <v>-310.80990000000003</v>
      </c>
      <c r="K5581">
        <v>1.051739</v>
      </c>
      <c r="L5581">
        <v>13.71326</v>
      </c>
      <c r="M5581">
        <v>0.90232749999999995</v>
      </c>
      <c r="N5581">
        <v>0</v>
      </c>
      <c r="O5581">
        <v>-0.43073410000000001</v>
      </c>
      <c r="P5581">
        <v>0.82501059999999904</v>
      </c>
      <c r="Q5581">
        <v>-1.84508E-4</v>
      </c>
      <c r="R5581">
        <v>-0.56511750000000005</v>
      </c>
      <c r="S5581">
        <v>1.8743590000000001</v>
      </c>
      <c r="T5581">
        <v>0.19420609999999999</v>
      </c>
      <c r="U5581">
        <v>-2.5988159999999998</v>
      </c>
      <c r="V5581">
        <v>0.15491070000000001</v>
      </c>
      <c r="W5581">
        <v>1.261279E-2</v>
      </c>
      <c r="X5581">
        <v>0.98784799999999995</v>
      </c>
      <c r="Y5581">
        <v>0.47982150000000001</v>
      </c>
      <c r="Z5581">
        <v>-1.2117930000000001E-2</v>
      </c>
      <c r="AA5581">
        <v>0.87728240000000002</v>
      </c>
      <c r="AB5581">
        <v>28</v>
      </c>
      <c r="AC5581">
        <v>28.480899999999998</v>
      </c>
      <c r="AD5581">
        <v>2.9768750000000002</v>
      </c>
      <c r="AE5581">
        <v>-39.703029999999998</v>
      </c>
      <c r="AF5581">
        <v>23.4735318060292</v>
      </c>
      <c r="AG5581">
        <v>2.9768750000000002</v>
      </c>
      <c r="AH5581">
        <v>42.648097064367498</v>
      </c>
      <c r="AI5581">
        <v>86.500703011510495</v>
      </c>
      <c r="AJ5581">
        <v>61.171593817973402</v>
      </c>
      <c r="AK5581">
        <v>48.772212000544002</v>
      </c>
      <c r="AL5581">
        <v>89.277321231714694</v>
      </c>
      <c r="AM5581">
        <v>81.087668469656606</v>
      </c>
      <c r="AN5581">
        <v>1.0000000392750299</v>
      </c>
    </row>
    <row r="5582" spans="1:40" x14ac:dyDescent="0.25">
      <c r="A5582" t="str">
        <f>"20190312161128505"</f>
        <v>20190312161128505</v>
      </c>
      <c r="B5582" t="str">
        <f>"1552378288492340"</f>
        <v>1552378288492340</v>
      </c>
      <c r="C5582" t="s">
        <v>40</v>
      </c>
      <c r="D5582">
        <v>5.7673050000000003</v>
      </c>
      <c r="E5582">
        <v>0.63934550000000001</v>
      </c>
      <c r="F5582" t="s">
        <v>103</v>
      </c>
      <c r="G5582">
        <v>-282.32900000000001</v>
      </c>
      <c r="H5582">
        <v>4.1168480000000001</v>
      </c>
      <c r="I5582">
        <v>-26.722069999999999</v>
      </c>
      <c r="J5582">
        <v>-310.56849999999997</v>
      </c>
      <c r="K5582">
        <v>1.051447</v>
      </c>
      <c r="L5582">
        <v>13.58389</v>
      </c>
      <c r="M5582">
        <v>0.89699300000000004</v>
      </c>
      <c r="N5582">
        <v>0</v>
      </c>
      <c r="O5582">
        <v>-0.44173990000000002</v>
      </c>
      <c r="P5582">
        <v>0.81729430000000003</v>
      </c>
      <c r="Q5582" s="1">
        <v>-7.8687440000000001E-6</v>
      </c>
      <c r="R5582">
        <v>-0.57622090000000004</v>
      </c>
      <c r="S5582">
        <v>1.8435360000000001</v>
      </c>
      <c r="T5582">
        <v>0.19840160000000001</v>
      </c>
      <c r="U5582">
        <v>-2.61734</v>
      </c>
      <c r="V5582">
        <v>0.15618899999999999</v>
      </c>
      <c r="W5582">
        <v>1.259944E-2</v>
      </c>
      <c r="X5582">
        <v>0.98764680000000005</v>
      </c>
      <c r="Y5582">
        <v>0.4789216</v>
      </c>
      <c r="Z5582">
        <v>-1.318593E-2</v>
      </c>
      <c r="AA5582">
        <v>0.87775859999999895</v>
      </c>
      <c r="AB5582">
        <v>28</v>
      </c>
      <c r="AC5582">
        <v>28.2394999999999</v>
      </c>
      <c r="AD5582">
        <v>3.065401</v>
      </c>
      <c r="AE5582">
        <v>-40.305959999999999</v>
      </c>
      <c r="AF5582">
        <v>23.591314381781501</v>
      </c>
      <c r="AG5582">
        <v>3.065401</v>
      </c>
      <c r="AH5582">
        <v>42.9744702775549</v>
      </c>
      <c r="AI5582">
        <v>86.422036564981795</v>
      </c>
      <c r="AJ5582">
        <v>61.234924608851401</v>
      </c>
      <c r="AK5582">
        <v>49.119770899173602</v>
      </c>
      <c r="AL5582">
        <v>89.278086145139994</v>
      </c>
      <c r="AM5582">
        <v>81.013519702085404</v>
      </c>
      <c r="AN5582">
        <v>0.99999997557977605</v>
      </c>
    </row>
    <row r="5583" spans="1:40" x14ac:dyDescent="0.25">
      <c r="A5583" t="str">
        <f>"20190312161128526"</f>
        <v>20190312161128526</v>
      </c>
      <c r="B5583" t="str">
        <f>"1552378288522609"</f>
        <v>1552378288522609</v>
      </c>
      <c r="C5583" t="s">
        <v>40</v>
      </c>
      <c r="D5583">
        <v>5.5057489999999998</v>
      </c>
      <c r="E5583">
        <v>0.63774629999999999</v>
      </c>
      <c r="F5583" t="s">
        <v>103</v>
      </c>
      <c r="G5583">
        <v>-282.32900000000001</v>
      </c>
      <c r="H5583">
        <v>4.1243410000000003</v>
      </c>
      <c r="I5583">
        <v>-27.559429999999999</v>
      </c>
      <c r="J5583">
        <v>-310.32139999999998</v>
      </c>
      <c r="K5583">
        <v>1.0511790000000001</v>
      </c>
      <c r="L5583">
        <v>13.446960000000001</v>
      </c>
      <c r="M5583">
        <v>0.89124769999999898</v>
      </c>
      <c r="N5583">
        <v>0</v>
      </c>
      <c r="O5583">
        <v>-0.45322299999999899</v>
      </c>
      <c r="P5583">
        <v>0.80908919999999995</v>
      </c>
      <c r="Q5583" s="1">
        <v>-8.7735240000000006E-6</v>
      </c>
      <c r="R5583">
        <v>-0.58768609999999999</v>
      </c>
      <c r="S5583">
        <v>1.8106990000000001</v>
      </c>
      <c r="T5583">
        <v>0.1970315</v>
      </c>
      <c r="U5583">
        <v>-2.6380919999999999</v>
      </c>
      <c r="V5583">
        <v>0.15743170000000001</v>
      </c>
      <c r="W5583">
        <v>1.242302E-2</v>
      </c>
      <c r="X5583">
        <v>0.98745170000000004</v>
      </c>
      <c r="Y5583">
        <v>0.47831030000000002</v>
      </c>
      <c r="Z5583">
        <v>-1.3918720000000001E-2</v>
      </c>
      <c r="AA5583">
        <v>0.87808059999999999</v>
      </c>
      <c r="AB5583">
        <v>28</v>
      </c>
      <c r="AC5583">
        <v>27.9923999999999</v>
      </c>
      <c r="AD5583">
        <v>3.0731619999999999</v>
      </c>
      <c r="AE5583">
        <v>-41.006390000000003</v>
      </c>
      <c r="AF5583">
        <v>23.772154394782699</v>
      </c>
      <c r="AG5583">
        <v>3.0731619999999999</v>
      </c>
      <c r="AH5583">
        <v>43.372831387275902</v>
      </c>
      <c r="AI5583">
        <v>86.444557198322698</v>
      </c>
      <c r="AJ5583">
        <v>61.273354884889201</v>
      </c>
      <c r="AK5583">
        <v>49.555647022278897</v>
      </c>
      <c r="AL5583">
        <v>89.288195051006795</v>
      </c>
      <c r="AM5583">
        <v>80.941440552264297</v>
      </c>
      <c r="AN5583">
        <v>0.99999996571184901</v>
      </c>
    </row>
    <row r="5584" spans="1:40" x14ac:dyDescent="0.25">
      <c r="A5584" t="str">
        <f>"20190312161128549"</f>
        <v>20190312161128549</v>
      </c>
      <c r="B5584" t="str">
        <f>"1552378288543093"</f>
        <v>1552378288543093</v>
      </c>
      <c r="C5584" t="s">
        <v>40</v>
      </c>
      <c r="D5584">
        <v>5.9412129999999896</v>
      </c>
      <c r="E5584">
        <v>0.63691549999999997</v>
      </c>
      <c r="F5584" t="s">
        <v>103</v>
      </c>
      <c r="G5584">
        <v>-282.32900000000001</v>
      </c>
      <c r="H5584">
        <v>4.1263949999999996</v>
      </c>
      <c r="I5584">
        <v>-28.24635</v>
      </c>
      <c r="J5584">
        <v>-310.06400000000002</v>
      </c>
      <c r="K5584">
        <v>1.050948</v>
      </c>
      <c r="L5584">
        <v>13.29959</v>
      </c>
      <c r="M5584">
        <v>0.88496719999999895</v>
      </c>
      <c r="N5584">
        <v>0</v>
      </c>
      <c r="O5584">
        <v>-0.46537050000000002</v>
      </c>
      <c r="P5584">
        <v>0.80075039999999997</v>
      </c>
      <c r="Q5584">
        <v>-1.157993E-4</v>
      </c>
      <c r="R5584">
        <v>-0.598998699999999</v>
      </c>
      <c r="S5584">
        <v>1.7810360000000001</v>
      </c>
      <c r="T5584">
        <v>0.1956629</v>
      </c>
      <c r="U5584">
        <v>-2.652771</v>
      </c>
      <c r="V5584">
        <v>0.1578029</v>
      </c>
      <c r="W5584">
        <v>1.217699E-2</v>
      </c>
      <c r="X5584">
        <v>0.98739549999999998</v>
      </c>
      <c r="Y5584">
        <v>0.47532340000000001</v>
      </c>
      <c r="Z5584">
        <v>-1.4780410000000001E-2</v>
      </c>
      <c r="AA5584">
        <v>0.879687</v>
      </c>
      <c r="AB5584">
        <v>28</v>
      </c>
      <c r="AC5584">
        <v>27.734999999999999</v>
      </c>
      <c r="AD5584">
        <v>3.075447</v>
      </c>
      <c r="AE5584">
        <v>-41.545940000000002</v>
      </c>
      <c r="AF5584">
        <v>23.772775462039998</v>
      </c>
      <c r="AG5584">
        <v>3.075447</v>
      </c>
      <c r="AH5584">
        <v>43.718883428248901</v>
      </c>
      <c r="AI5584">
        <v>86.463603185689905</v>
      </c>
      <c r="AJ5584">
        <v>61.464223539355402</v>
      </c>
      <c r="AK5584">
        <v>49.859241827681203</v>
      </c>
      <c r="AL5584">
        <v>89.302292590351996</v>
      </c>
      <c r="AM5584">
        <v>80.919929047876096</v>
      </c>
      <c r="AN5584">
        <v>0.99999995387705898</v>
      </c>
    </row>
    <row r="5585" spans="1:40" x14ac:dyDescent="0.25">
      <c r="A5585" t="str">
        <f>"20190312161128571"</f>
        <v>20190312161128571</v>
      </c>
      <c r="B5585" t="str">
        <f>"1552378288562616"</f>
        <v>1552378288562616</v>
      </c>
      <c r="C5585" t="s">
        <v>40</v>
      </c>
      <c r="D5585">
        <v>5.8555859999999997</v>
      </c>
      <c r="E5585">
        <v>0.63602219999999998</v>
      </c>
      <c r="F5585" t="s">
        <v>103</v>
      </c>
      <c r="G5585">
        <v>-282.72699999999998</v>
      </c>
      <c r="H5585">
        <v>4.1075049999999997</v>
      </c>
      <c r="I5585">
        <v>-28.491489999999999</v>
      </c>
      <c r="J5585">
        <v>-309.83199999999999</v>
      </c>
      <c r="K5585">
        <v>1.0507610000000001</v>
      </c>
      <c r="L5585">
        <v>13.162660000000001</v>
      </c>
      <c r="M5585">
        <v>0.87904079999999996</v>
      </c>
      <c r="N5585">
        <v>0</v>
      </c>
      <c r="O5585">
        <v>-0.47647210000000001</v>
      </c>
      <c r="P5585">
        <v>0.79245580000000004</v>
      </c>
      <c r="Q5585" s="1">
        <v>-7.7465429999999994E-5</v>
      </c>
      <c r="R5585">
        <v>-0.6099291</v>
      </c>
      <c r="S5585">
        <v>1.74780299999999</v>
      </c>
      <c r="T5585">
        <v>0.19542229999999999</v>
      </c>
      <c r="U5585">
        <v>-2.6719360000000001</v>
      </c>
      <c r="V5585">
        <v>0.15892590000000001</v>
      </c>
      <c r="W5585">
        <v>1.208211E-2</v>
      </c>
      <c r="X5585">
        <v>0.9872166</v>
      </c>
      <c r="Y5585">
        <v>0.47481190000000001</v>
      </c>
      <c r="Z5585">
        <v>-1.556013E-2</v>
      </c>
      <c r="AA5585">
        <v>0.87994969999999995</v>
      </c>
      <c r="AB5585">
        <v>28</v>
      </c>
      <c r="AC5585">
        <v>27.104999999999901</v>
      </c>
      <c r="AD5585">
        <v>3.0567440000000001</v>
      </c>
      <c r="AE5585">
        <v>-41.654150000000001</v>
      </c>
      <c r="AF5585">
        <v>23.614681581853901</v>
      </c>
      <c r="AG5585">
        <v>3.0567440000000001</v>
      </c>
      <c r="AH5585">
        <v>43.5145286008566</v>
      </c>
      <c r="AI5585">
        <v>86.466994676491197</v>
      </c>
      <c r="AJ5585">
        <v>61.511980372628301</v>
      </c>
      <c r="AK5585">
        <v>49.603538880292099</v>
      </c>
      <c r="AL5585">
        <v>89.307729257948694</v>
      </c>
      <c r="AM5585">
        <v>80.8547697845069</v>
      </c>
      <c r="AN5585">
        <v>1.0000000171942101</v>
      </c>
    </row>
    <row r="5586" spans="1:40" x14ac:dyDescent="0.25">
      <c r="A5586" t="str">
        <f>"20190312161128593"</f>
        <v>20190312161128593</v>
      </c>
      <c r="B5586" t="str">
        <f>"1552378288582656"</f>
        <v>1552378288582656</v>
      </c>
      <c r="C5586" t="s">
        <v>40</v>
      </c>
      <c r="D5586">
        <v>5.7618769999999904</v>
      </c>
      <c r="E5586">
        <v>0.63553369999999998</v>
      </c>
      <c r="F5586" t="s">
        <v>103</v>
      </c>
      <c r="G5586">
        <v>-283.20859999999999</v>
      </c>
      <c r="H5586">
        <v>4.0714180000000004</v>
      </c>
      <c r="I5586">
        <v>-28.593229999999998</v>
      </c>
      <c r="J5586">
        <v>-309.59980000000002</v>
      </c>
      <c r="K5586">
        <v>1.050589</v>
      </c>
      <c r="L5586">
        <v>13.02136</v>
      </c>
      <c r="M5586">
        <v>0.87283359999999999</v>
      </c>
      <c r="N5586">
        <v>0</v>
      </c>
      <c r="O5586">
        <v>-0.48775180000000001</v>
      </c>
      <c r="P5586">
        <v>0.78391049999999995</v>
      </c>
      <c r="Q5586">
        <v>1.4061670000000001E-4</v>
      </c>
      <c r="R5586">
        <v>-0.62087369999999897</v>
      </c>
      <c r="S5586">
        <v>1.7152099999999999</v>
      </c>
      <c r="T5586">
        <v>0.19460569999999999</v>
      </c>
      <c r="U5586">
        <v>-2.6901250000000001</v>
      </c>
      <c r="V5586">
        <v>0.1599285</v>
      </c>
      <c r="W5586">
        <v>1.218033E-2</v>
      </c>
      <c r="X5586">
        <v>0.98705350000000003</v>
      </c>
      <c r="Y5586">
        <v>0.47376570000000001</v>
      </c>
      <c r="Z5586">
        <v>-1.6323150000000002E-2</v>
      </c>
      <c r="AA5586">
        <v>0.880499699999999</v>
      </c>
      <c r="AB5586">
        <v>28</v>
      </c>
      <c r="AC5586">
        <v>26.391200000000001</v>
      </c>
      <c r="AD5586">
        <v>3.020829</v>
      </c>
      <c r="AE5586">
        <v>-41.61459</v>
      </c>
      <c r="AF5586">
        <v>23.365495318411</v>
      </c>
      <c r="AG5586">
        <v>3.020829</v>
      </c>
      <c r="AH5586">
        <v>43.176089651292997</v>
      </c>
      <c r="AI5586">
        <v>86.478869517475403</v>
      </c>
      <c r="AJ5586">
        <v>61.579189532639298</v>
      </c>
      <c r="AK5586">
        <v>49.185836344403199</v>
      </c>
      <c r="AL5586">
        <v>89.302101274430896</v>
      </c>
      <c r="AM5586">
        <v>80.796565649892599</v>
      </c>
      <c r="AN5586">
        <v>1.0000000487067</v>
      </c>
    </row>
    <row r="5587" spans="1:40" x14ac:dyDescent="0.25">
      <c r="A5587" t="str">
        <f>"20190312161128615"</f>
        <v>20190312161128615</v>
      </c>
      <c r="B5587" t="str">
        <f>"1552378288612912"</f>
        <v>1552378288612912</v>
      </c>
      <c r="C5587" t="s">
        <v>40</v>
      </c>
      <c r="D5587">
        <v>5.3866370000000003</v>
      </c>
      <c r="E5587">
        <v>0.67232939999999997</v>
      </c>
      <c r="F5587" t="s">
        <v>103</v>
      </c>
      <c r="G5587">
        <v>-283.80700000000002</v>
      </c>
      <c r="H5587">
        <v>4.0545429999999998</v>
      </c>
      <c r="I5587">
        <v>-28.593229999999998</v>
      </c>
      <c r="J5587">
        <v>-309.35879999999997</v>
      </c>
      <c r="K5587">
        <v>1.0504279999999999</v>
      </c>
      <c r="L5587">
        <v>12.87021</v>
      </c>
      <c r="M5587">
        <v>0.86609219999999898</v>
      </c>
      <c r="N5587">
        <v>0</v>
      </c>
      <c r="O5587">
        <v>-0.49962600000000001</v>
      </c>
      <c r="P5587">
        <v>0.77550830000000004</v>
      </c>
      <c r="Q5587">
        <v>4.568428E-4</v>
      </c>
      <c r="R5587">
        <v>-0.63133729999999999</v>
      </c>
      <c r="S5587">
        <v>1.6800539999999999</v>
      </c>
      <c r="T5587">
        <v>0.1956666</v>
      </c>
      <c r="U5587">
        <v>-2.7106319999999999</v>
      </c>
      <c r="V5587">
        <v>0.15970409999999999</v>
      </c>
      <c r="W5587">
        <v>1.2417299999999999E-2</v>
      </c>
      <c r="X5587">
        <v>0.98708680000000004</v>
      </c>
      <c r="Y5587">
        <v>0.47298469999999998</v>
      </c>
      <c r="Z5587">
        <v>-1.7275499999999999E-2</v>
      </c>
      <c r="AA5587">
        <v>0.8809013</v>
      </c>
      <c r="AB5587">
        <v>28</v>
      </c>
      <c r="AC5587">
        <v>25.551799999999901</v>
      </c>
      <c r="AD5587">
        <v>3.0041150000000001</v>
      </c>
      <c r="AE5587">
        <v>-41.463439999999999</v>
      </c>
      <c r="AF5587">
        <v>23.060074324678599</v>
      </c>
      <c r="AG5587">
        <v>3.0041150000000001</v>
      </c>
      <c r="AH5587">
        <v>42.689546515706901</v>
      </c>
      <c r="AI5587">
        <v>86.457035881479499</v>
      </c>
      <c r="AJ5587">
        <v>61.622932995821301</v>
      </c>
      <c r="AK5587">
        <v>48.612643586927398</v>
      </c>
      <c r="AL5587">
        <v>89.288522811077399</v>
      </c>
      <c r="AM5587">
        <v>80.809563469035396</v>
      </c>
      <c r="AN5587">
        <v>0.99999996981516903</v>
      </c>
    </row>
    <row r="5588" spans="1:40" x14ac:dyDescent="0.25">
      <c r="A5588" t="str">
        <f>"20190312161128639"</f>
        <v>20190312161128639</v>
      </c>
      <c r="B5588" t="str">
        <f>"1552378288632435"</f>
        <v>1552378288632435</v>
      </c>
      <c r="C5588" t="s">
        <v>40</v>
      </c>
      <c r="D5588">
        <v>5.1398929999999998</v>
      </c>
      <c r="E5588">
        <v>0.66237709999999905</v>
      </c>
      <c r="F5588" t="s">
        <v>42</v>
      </c>
      <c r="G5588">
        <v>-309.06130000000002</v>
      </c>
      <c r="H5588">
        <v>1.1608099999999999</v>
      </c>
      <c r="I5588">
        <v>12.265779999999999</v>
      </c>
      <c r="J5588">
        <v>-309.11320000000001</v>
      </c>
      <c r="K5588">
        <v>1.0502640000000001</v>
      </c>
      <c r="L5588">
        <v>12.711180000000001</v>
      </c>
      <c r="M5588">
        <v>0.85889009999999999</v>
      </c>
      <c r="N5588">
        <v>0</v>
      </c>
      <c r="O5588">
        <v>-0.51190930000000001</v>
      </c>
      <c r="P5588">
        <v>0.76662819999999898</v>
      </c>
      <c r="Q5588">
        <v>7.0179699999999999E-4</v>
      </c>
      <c r="R5588">
        <v>-0.64209110000000003</v>
      </c>
      <c r="S5588">
        <v>1.457489</v>
      </c>
      <c r="T5588">
        <v>0.54079140000000003</v>
      </c>
      <c r="U5588">
        <v>-2.9611209999999999</v>
      </c>
      <c r="V5588">
        <v>0.159421799999999</v>
      </c>
      <c r="W5588">
        <v>1.259276E-2</v>
      </c>
      <c r="X5588">
        <v>0.98713019999999996</v>
      </c>
      <c r="Y5588">
        <v>0.5437303</v>
      </c>
      <c r="Z5588">
        <v>-4.1941689999999997E-2</v>
      </c>
      <c r="AA5588">
        <v>0.83821139999999905</v>
      </c>
      <c r="AB5588">
        <v>28</v>
      </c>
      <c r="AC5588">
        <v>5.1899999999989101E-2</v>
      </c>
      <c r="AD5588">
        <v>0.11054600000000001</v>
      </c>
      <c r="AE5588">
        <v>-0.44540000000000102</v>
      </c>
      <c r="AF5588">
        <v>0.33562921959693698</v>
      </c>
      <c r="AG5588">
        <v>0.11054600000000001</v>
      </c>
      <c r="AH5588">
        <v>0.25699668599366998</v>
      </c>
      <c r="AI5588">
        <v>75.344793977053996</v>
      </c>
      <c r="AJ5588">
        <v>37.441860933513603</v>
      </c>
      <c r="AK5588">
        <v>0.43693785344712099</v>
      </c>
      <c r="AL5588">
        <v>89.278468899962604</v>
      </c>
      <c r="AM5588">
        <v>80.825928888517893</v>
      </c>
      <c r="AN5588">
        <v>0.999999959835848</v>
      </c>
    </row>
    <row r="5589" spans="1:40" x14ac:dyDescent="0.25">
      <c r="A5589" t="str">
        <f>"20190312161128661"</f>
        <v>20190312161128661</v>
      </c>
      <c r="B5589" t="str">
        <f>"1552378288652932"</f>
        <v>1552378288652932</v>
      </c>
      <c r="C5589" t="s">
        <v>40</v>
      </c>
      <c r="D5589">
        <v>5.2120470000000001</v>
      </c>
      <c r="E5589">
        <v>0.64231899999999997</v>
      </c>
      <c r="F5589" t="s">
        <v>42</v>
      </c>
      <c r="G5589">
        <v>-308.83690000000001</v>
      </c>
      <c r="H5589">
        <v>1.1441300000000001</v>
      </c>
      <c r="I5589">
        <v>12.16133</v>
      </c>
      <c r="J5589">
        <v>-308.8827</v>
      </c>
      <c r="K5589">
        <v>1.0501180000000001</v>
      </c>
      <c r="L5589">
        <v>12.55719</v>
      </c>
      <c r="M5589">
        <v>0.85181530000000005</v>
      </c>
      <c r="N5589">
        <v>0</v>
      </c>
      <c r="O5589">
        <v>-0.52359769999999894</v>
      </c>
      <c r="P5589">
        <v>0.7576174</v>
      </c>
      <c r="Q5589">
        <v>7.0265189999999997E-4</v>
      </c>
      <c r="R5589">
        <v>-0.65269849999999996</v>
      </c>
      <c r="S5589">
        <v>1.4671940000000001</v>
      </c>
      <c r="T5589">
        <v>0.49848720000000002</v>
      </c>
      <c r="U5589">
        <v>-2.9198909999999998</v>
      </c>
      <c r="V5589">
        <v>0.15967439999999999</v>
      </c>
      <c r="W5589">
        <v>1.252172E-2</v>
      </c>
      <c r="X5589">
        <v>0.98709029999999998</v>
      </c>
      <c r="Y5589">
        <v>0.5256035</v>
      </c>
      <c r="Z5589">
        <v>-4.2669480000000003E-2</v>
      </c>
      <c r="AA5589">
        <v>0.84965900000000005</v>
      </c>
      <c r="AB5589">
        <v>28</v>
      </c>
      <c r="AC5589">
        <v>4.5799999999985602E-2</v>
      </c>
      <c r="AD5589">
        <v>9.4011999999999707E-2</v>
      </c>
      <c r="AE5589">
        <v>-0.39585999999999999</v>
      </c>
      <c r="AF5589">
        <v>0.296743527711268</v>
      </c>
      <c r="AG5589">
        <v>9.4011999999999707E-2</v>
      </c>
      <c r="AH5589">
        <v>0.23332996660560201</v>
      </c>
      <c r="AI5589">
        <v>76.015308633926594</v>
      </c>
      <c r="AJ5589">
        <v>38.178033398185903</v>
      </c>
      <c r="AK5589">
        <v>0.38902165839281999</v>
      </c>
      <c r="AL5589">
        <v>89.282539530532802</v>
      </c>
      <c r="AM5589">
        <v>80.811275472072097</v>
      </c>
      <c r="AN5589">
        <v>0.99999998392060396</v>
      </c>
    </row>
    <row r="5590" spans="1:40" x14ac:dyDescent="0.25">
      <c r="A5590" t="str">
        <f>"20190312161128683"</f>
        <v>20190312161128683</v>
      </c>
      <c r="B5590" t="str">
        <f>"1552378288673038"</f>
        <v>1552378288673038</v>
      </c>
      <c r="C5590" t="s">
        <v>40</v>
      </c>
      <c r="D5590">
        <v>5.4716719999999999</v>
      </c>
      <c r="E5590">
        <v>0.64773950000000002</v>
      </c>
      <c r="F5590" t="s">
        <v>81</v>
      </c>
      <c r="G5590">
        <v>-258.75349999999997</v>
      </c>
      <c r="H5590">
        <v>7.6120710000000003</v>
      </c>
      <c r="I5590">
        <v>-79.671169999999904</v>
      </c>
      <c r="J5590">
        <v>-308.65010000000001</v>
      </c>
      <c r="K5590">
        <v>1.049968</v>
      </c>
      <c r="L5590">
        <v>12.39697</v>
      </c>
      <c r="M5590">
        <v>0.84435339999999903</v>
      </c>
      <c r="N5590">
        <v>0</v>
      </c>
      <c r="O5590">
        <v>-0.53554809999999997</v>
      </c>
      <c r="P5590">
        <v>0.74885570000000001</v>
      </c>
      <c r="Q5590">
        <v>5.7353199999999997E-4</v>
      </c>
      <c r="R5590">
        <v>-0.66273289999999996</v>
      </c>
      <c r="S5590">
        <v>1.5317379999999901</v>
      </c>
      <c r="T5590">
        <v>0.2005064</v>
      </c>
      <c r="U5590">
        <v>-2.8181150000000001</v>
      </c>
      <c r="V5590">
        <v>0.15891440000000001</v>
      </c>
      <c r="W5590">
        <v>1.235579E-2</v>
      </c>
      <c r="X5590">
        <v>0.98721499999999995</v>
      </c>
      <c r="Y5590">
        <v>0.4861569</v>
      </c>
      <c r="Z5590">
        <v>-1.976234E-2</v>
      </c>
      <c r="AA5590">
        <v>0.87364809999999904</v>
      </c>
      <c r="AB5590">
        <v>27</v>
      </c>
      <c r="AC5590">
        <v>49.896599999999999</v>
      </c>
      <c r="AD5590">
        <v>6.5621029999999996</v>
      </c>
      <c r="AE5590">
        <v>-92.06814</v>
      </c>
      <c r="AF5590">
        <v>50.822970675360999</v>
      </c>
      <c r="AG5590">
        <v>6.5621029999999996</v>
      </c>
      <c r="AH5590">
        <v>91.091278282062007</v>
      </c>
      <c r="AI5590">
        <v>86.400290924224805</v>
      </c>
      <c r="AJ5590">
        <v>60.841342812120601</v>
      </c>
      <c r="AK5590">
        <v>104.516297882728</v>
      </c>
      <c r="AL5590">
        <v>89.292047333879793</v>
      </c>
      <c r="AM5590">
        <v>80.855405788704402</v>
      </c>
      <c r="AN5590">
        <v>0.99999995414944098</v>
      </c>
    </row>
    <row r="5591" spans="1:40" x14ac:dyDescent="0.25">
      <c r="A5591" t="str">
        <f>"20190312161128706"</f>
        <v>20190312161128706</v>
      </c>
      <c r="B5591" t="str">
        <f>"1552378288702288"</f>
        <v>1552378288702288</v>
      </c>
      <c r="C5591" t="s">
        <v>40</v>
      </c>
      <c r="D5591">
        <v>5.6597770000000001</v>
      </c>
      <c r="E5591">
        <v>0.65143099999999998</v>
      </c>
      <c r="F5591" t="s">
        <v>81</v>
      </c>
      <c r="G5591">
        <v>-261.65789999999998</v>
      </c>
      <c r="H5591">
        <v>7.8012499999999996</v>
      </c>
      <c r="I5591">
        <v>-79.671169999999904</v>
      </c>
      <c r="J5591">
        <v>-308.42500000000001</v>
      </c>
      <c r="K5591">
        <v>1.0498400000000001</v>
      </c>
      <c r="L5591">
        <v>12.236660000000001</v>
      </c>
      <c r="M5591">
        <v>0.83679150000000002</v>
      </c>
      <c r="N5591">
        <v>0</v>
      </c>
      <c r="O5591">
        <v>-0.54728869999999996</v>
      </c>
      <c r="P5591">
        <v>0.74025479999999999</v>
      </c>
      <c r="Q5591">
        <v>3.0138259999999998E-4</v>
      </c>
      <c r="R5591">
        <v>-0.67232639999999999</v>
      </c>
      <c r="S5591">
        <v>1.465271</v>
      </c>
      <c r="T5591">
        <v>0.21051300000000001</v>
      </c>
      <c r="U5591">
        <v>-2.8707889999999998</v>
      </c>
      <c r="V5591">
        <v>0.1578417</v>
      </c>
      <c r="W5591">
        <v>1.2064470000000001E-2</v>
      </c>
      <c r="X5591">
        <v>0.98739069999999995</v>
      </c>
      <c r="Y5591">
        <v>0.49656600000000001</v>
      </c>
      <c r="Z5591">
        <v>-2.1190560000000001E-2</v>
      </c>
      <c r="AA5591">
        <v>0.86774030000000002</v>
      </c>
      <c r="AB5591">
        <v>27</v>
      </c>
      <c r="AC5591">
        <v>46.767099999999999</v>
      </c>
      <c r="AD5591">
        <v>6.7514099999999999</v>
      </c>
      <c r="AE5591">
        <v>-91.907830000000004</v>
      </c>
      <c r="AF5591">
        <v>51.100099894263899</v>
      </c>
      <c r="AG5591">
        <v>6.7514099999999999</v>
      </c>
      <c r="AH5591">
        <v>89.064080147780999</v>
      </c>
      <c r="AI5591">
        <v>86.238185674574794</v>
      </c>
      <c r="AJ5591">
        <v>60.155152741027599</v>
      </c>
      <c r="AK5591">
        <v>102.90389749063</v>
      </c>
      <c r="AL5591">
        <v>89.308739999341</v>
      </c>
      <c r="AM5591">
        <v>80.917690264409401</v>
      </c>
      <c r="AN5591">
        <v>0.99999997407088004</v>
      </c>
    </row>
    <row r="5592" spans="1:40" x14ac:dyDescent="0.25">
      <c r="A5592" t="str">
        <f>"20190312161128728"</f>
        <v>20190312161128728</v>
      </c>
      <c r="B5592" t="str">
        <f>"1552378288722799"</f>
        <v>1552378288722799</v>
      </c>
      <c r="C5592" t="s">
        <v>40</v>
      </c>
      <c r="D5592">
        <v>5.5149900000000001</v>
      </c>
      <c r="E5592">
        <v>0.648057199999999</v>
      </c>
      <c r="F5592" t="s">
        <v>81</v>
      </c>
      <c r="G5592">
        <v>-258.47919999999999</v>
      </c>
      <c r="H5592">
        <v>5.3612539999999997</v>
      </c>
      <c r="I5592">
        <v>-90.976820000000004</v>
      </c>
      <c r="J5592">
        <v>-308.2</v>
      </c>
      <c r="K5592">
        <v>1.0497270000000001</v>
      </c>
      <c r="L5592">
        <v>12.071289999999999</v>
      </c>
      <c r="M5592">
        <v>0.82889590000000002</v>
      </c>
      <c r="N5592">
        <v>0</v>
      </c>
      <c r="O5592">
        <v>-0.55917519999999998</v>
      </c>
      <c r="P5592">
        <v>0.73079119999999997</v>
      </c>
      <c r="Q5592">
        <v>7.1613999999999998E-4</v>
      </c>
      <c r="R5592">
        <v>-0.68260089999999995</v>
      </c>
      <c r="S5592">
        <v>1.4086909999999999</v>
      </c>
      <c r="T5592">
        <v>0.1216011</v>
      </c>
      <c r="U5592">
        <v>-2.9110719999999999</v>
      </c>
      <c r="V5592">
        <v>0.15755549999999999</v>
      </c>
      <c r="W5592">
        <v>1.2445909999999999E-2</v>
      </c>
      <c r="X5592">
        <v>0.98743170000000002</v>
      </c>
      <c r="Y5592">
        <v>0.50261769999999995</v>
      </c>
      <c r="Z5592">
        <v>-1.2619490000000001E-2</v>
      </c>
      <c r="AA5592">
        <v>0.86441669999999904</v>
      </c>
      <c r="AB5592">
        <v>27</v>
      </c>
      <c r="AC5592">
        <v>49.720799999999997</v>
      </c>
      <c r="AD5592">
        <v>4.3115269999999999</v>
      </c>
      <c r="AE5592">
        <v>-103.04810999999999</v>
      </c>
      <c r="AF5592">
        <v>57.539150232698802</v>
      </c>
      <c r="AG5592">
        <v>4.3115269999999999</v>
      </c>
      <c r="AH5592">
        <v>98.707738439965794</v>
      </c>
      <c r="AI5592">
        <v>87.838892398588001</v>
      </c>
      <c r="AJ5592">
        <v>59.7610470685918</v>
      </c>
      <c r="AK5592">
        <v>114.335299459552</v>
      </c>
      <c r="AL5592">
        <v>89.286883473057202</v>
      </c>
      <c r="AM5592">
        <v>80.934254827843105</v>
      </c>
      <c r="AN5592">
        <v>0.99999999921043403</v>
      </c>
    </row>
    <row r="5593" spans="1:40" x14ac:dyDescent="0.25">
      <c r="A5593" t="str">
        <f>"20190312161128750"</f>
        <v>20190312161128750</v>
      </c>
      <c r="B5593" t="str">
        <f>"1552378288742309"</f>
        <v>1552378288742309</v>
      </c>
      <c r="C5593" t="s">
        <v>40</v>
      </c>
      <c r="D5593">
        <v>5.6476459999999999</v>
      </c>
      <c r="E5593">
        <v>0.64648719999999904</v>
      </c>
      <c r="F5593" t="s">
        <v>81</v>
      </c>
      <c r="G5593">
        <v>-259.12779999999998</v>
      </c>
      <c r="H5593">
        <v>6.2535600000000002</v>
      </c>
      <c r="I5593">
        <v>-90.976820000000004</v>
      </c>
      <c r="J5593">
        <v>-307.9803</v>
      </c>
      <c r="K5593">
        <v>1.0496369999999999</v>
      </c>
      <c r="L5593">
        <v>11.90494</v>
      </c>
      <c r="M5593">
        <v>0.82086369999999897</v>
      </c>
      <c r="N5593">
        <v>0</v>
      </c>
      <c r="O5593">
        <v>-0.57090109999999905</v>
      </c>
      <c r="P5593">
        <v>0.72122569999999997</v>
      </c>
      <c r="Q5593">
        <v>5.5630329999999996E-4</v>
      </c>
      <c r="R5593">
        <v>-0.69269969999999903</v>
      </c>
      <c r="S5593">
        <v>1.386139</v>
      </c>
      <c r="T5593">
        <v>0.14699289999999901</v>
      </c>
      <c r="U5593">
        <v>-2.9107970000000001</v>
      </c>
      <c r="V5593">
        <v>0.15725239999999999</v>
      </c>
      <c r="W5593">
        <v>1.2261859999999999E-2</v>
      </c>
      <c r="X5593">
        <v>0.98748230000000004</v>
      </c>
      <c r="Y5593">
        <v>0.49573430000000002</v>
      </c>
      <c r="Z5593">
        <v>-1.6090670000000001E-2</v>
      </c>
      <c r="AA5593">
        <v>0.86832520000000002</v>
      </c>
      <c r="AB5593">
        <v>27</v>
      </c>
      <c r="AC5593">
        <v>48.852499999999999</v>
      </c>
      <c r="AD5593">
        <v>5.2039229999999996</v>
      </c>
      <c r="AE5593">
        <v>-102.88176</v>
      </c>
      <c r="AF5593">
        <v>56.451304462863099</v>
      </c>
      <c r="AG5593">
        <v>5.2039229999999996</v>
      </c>
      <c r="AH5593">
        <v>98.643200658195099</v>
      </c>
      <c r="AI5593">
        <v>87.378405229391404</v>
      </c>
      <c r="AJ5593">
        <v>60.218456179255199</v>
      </c>
      <c r="AK5593">
        <v>113.77307074278001</v>
      </c>
      <c r="AL5593">
        <v>89.297429553767202</v>
      </c>
      <c r="AM5593">
        <v>80.951862380726595</v>
      </c>
      <c r="AN5593">
        <v>0.99999998166485404</v>
      </c>
    </row>
    <row r="5594" spans="1:40" x14ac:dyDescent="0.25">
      <c r="A5594" t="str">
        <f>"20190312161128771"</f>
        <v>20190312161128771</v>
      </c>
      <c r="B5594" t="str">
        <f>"1552378288762805"</f>
        <v>1552378288762805</v>
      </c>
      <c r="C5594" t="s">
        <v>40</v>
      </c>
      <c r="D5594">
        <v>5.7398259999999999</v>
      </c>
      <c r="E5594">
        <v>0.64615889999999998</v>
      </c>
      <c r="F5594" t="s">
        <v>81</v>
      </c>
      <c r="G5594">
        <v>-265.52670000000001</v>
      </c>
      <c r="H5594">
        <v>6.8099350000000003</v>
      </c>
      <c r="I5594">
        <v>-79.671169999999904</v>
      </c>
      <c r="J5594">
        <v>-307.76729999999998</v>
      </c>
      <c r="K5594">
        <v>1.0495559999999999</v>
      </c>
      <c r="L5594">
        <v>11.738709999999999</v>
      </c>
      <c r="M5594">
        <v>0.812756699999999</v>
      </c>
      <c r="N5594">
        <v>0</v>
      </c>
      <c r="O5594">
        <v>-0.58238489999999998</v>
      </c>
      <c r="P5594">
        <v>0.71159729999999999</v>
      </c>
      <c r="Q5594">
        <v>1.2038719999999999E-3</v>
      </c>
      <c r="R5594">
        <v>-0.70258640000000006</v>
      </c>
      <c r="S5594">
        <v>1.354095</v>
      </c>
      <c r="T5594">
        <v>0.18373010000000001</v>
      </c>
      <c r="U5594">
        <v>-2.9208980000000002</v>
      </c>
      <c r="V5594">
        <v>0.15701590000000001</v>
      </c>
      <c r="W5594">
        <v>1.289028E-2</v>
      </c>
      <c r="X5594">
        <v>0.9875119</v>
      </c>
      <c r="Y5594">
        <v>0.49251299999999998</v>
      </c>
      <c r="Z5594">
        <v>-2.1001209999999999E-2</v>
      </c>
      <c r="AA5594">
        <v>0.87005169999999998</v>
      </c>
      <c r="AB5594">
        <v>27</v>
      </c>
      <c r="AC5594">
        <v>42.240599999999901</v>
      </c>
      <c r="AD5594">
        <v>5.7603790000000004</v>
      </c>
      <c r="AE5594">
        <v>-91.409880000000001</v>
      </c>
      <c r="AF5594">
        <v>49.537919920879098</v>
      </c>
      <c r="AG5594">
        <v>5.7603790000000004</v>
      </c>
      <c r="AH5594">
        <v>87.292550330199703</v>
      </c>
      <c r="AI5594">
        <v>86.715292683171299</v>
      </c>
      <c r="AJ5594">
        <v>60.425388574823103</v>
      </c>
      <c r="AK5594">
        <v>100.534455881859</v>
      </c>
      <c r="AL5594">
        <v>89.261420869508299</v>
      </c>
      <c r="AM5594">
        <v>80.965512066273504</v>
      </c>
      <c r="AN5594">
        <v>0.99999995240644801</v>
      </c>
    </row>
    <row r="5595" spans="1:40" x14ac:dyDescent="0.25">
      <c r="A5595" t="str">
        <f>"20190312161128794"</f>
        <v>20190312161128794</v>
      </c>
      <c r="B5595" t="str">
        <f>"1552378288783058"</f>
        <v>1552378288783058</v>
      </c>
      <c r="C5595" t="s">
        <v>40</v>
      </c>
      <c r="D5595">
        <v>5.6573140000000004</v>
      </c>
      <c r="E5595">
        <v>0.64451800000000004</v>
      </c>
      <c r="F5595" t="s">
        <v>81</v>
      </c>
      <c r="G5595">
        <v>-266.82350000000002</v>
      </c>
      <c r="H5595">
        <v>6.8343369999999997</v>
      </c>
      <c r="I5595">
        <v>-79.671169999999904</v>
      </c>
      <c r="J5595">
        <v>-307.5489</v>
      </c>
      <c r="K5595">
        <v>1.0494870000000001</v>
      </c>
      <c r="L5595">
        <v>11.563079999999999</v>
      </c>
      <c r="M5595">
        <v>0.80410459999999995</v>
      </c>
      <c r="N5595">
        <v>0</v>
      </c>
      <c r="O5595">
        <v>-0.59427379999999996</v>
      </c>
      <c r="P5595">
        <v>0.70118459999999905</v>
      </c>
      <c r="Q5595">
        <v>1.719174E-3</v>
      </c>
      <c r="R5595">
        <v>-0.71297779999999999</v>
      </c>
      <c r="S5595">
        <v>1.315582</v>
      </c>
      <c r="T5595">
        <v>0.18587400000000001</v>
      </c>
      <c r="U5595">
        <v>-2.9371339999999999</v>
      </c>
      <c r="V5595">
        <v>0.15703590000000001</v>
      </c>
      <c r="W5595">
        <v>1.3383290000000001E-2</v>
      </c>
      <c r="X5595">
        <v>0.9875022</v>
      </c>
      <c r="Y5595">
        <v>0.49102010000000001</v>
      </c>
      <c r="Z5595">
        <v>-2.2113210000000001E-2</v>
      </c>
      <c r="AA5595">
        <v>0.87086759999999996</v>
      </c>
      <c r="AB5595">
        <v>27</v>
      </c>
      <c r="AC5595">
        <v>40.725399999999901</v>
      </c>
      <c r="AD5595">
        <v>5.7848499999999996</v>
      </c>
      <c r="AE5595">
        <v>-91.234250000000003</v>
      </c>
      <c r="AF5595">
        <v>49.001823524865003</v>
      </c>
      <c r="AG5595">
        <v>5.7848499999999996</v>
      </c>
      <c r="AH5595">
        <v>86.686065497546494</v>
      </c>
      <c r="AI5595">
        <v>86.675194639917606</v>
      </c>
      <c r="AJ5595">
        <v>60.521430250903997</v>
      </c>
      <c r="AK5595">
        <v>99.745261289594296</v>
      </c>
      <c r="AL5595">
        <v>89.233171067250694</v>
      </c>
      <c r="AM5595">
        <v>80.964292985885905</v>
      </c>
      <c r="AN5595">
        <v>0.99999999067243694</v>
      </c>
    </row>
    <row r="5596" spans="1:40" x14ac:dyDescent="0.25">
      <c r="A5596" t="str">
        <f>"20190312161128817"</f>
        <v>20190312161128817</v>
      </c>
      <c r="B5596" t="str">
        <f>"1552378288813314"</f>
        <v>1552378288813314</v>
      </c>
      <c r="C5596" t="s">
        <v>40</v>
      </c>
      <c r="D5596">
        <v>5.7255549999999999</v>
      </c>
      <c r="E5596">
        <v>0.64263680000000001</v>
      </c>
      <c r="F5596" t="s">
        <v>81</v>
      </c>
      <c r="G5596">
        <v>-267.86149999999998</v>
      </c>
      <c r="H5596">
        <v>7.4340929999999901</v>
      </c>
      <c r="I5596">
        <v>-79.671169999999904</v>
      </c>
      <c r="J5596">
        <v>-307.33300000000003</v>
      </c>
      <c r="K5596">
        <v>1.0494220000000001</v>
      </c>
      <c r="L5596">
        <v>11.38406</v>
      </c>
      <c r="M5596">
        <v>0.79519770000000001</v>
      </c>
      <c r="N5596">
        <v>0</v>
      </c>
      <c r="O5596">
        <v>-0.60614029999999997</v>
      </c>
      <c r="P5596">
        <v>0.69016630000000001</v>
      </c>
      <c r="Q5596">
        <v>9.0545700000000003E-4</v>
      </c>
      <c r="R5596">
        <v>-0.72365040000000003</v>
      </c>
      <c r="S5596">
        <v>1.2817989999999999</v>
      </c>
      <c r="T5596">
        <v>0.20620630000000001</v>
      </c>
      <c r="U5596">
        <v>-2.946625</v>
      </c>
      <c r="V5596">
        <v>0.1575107</v>
      </c>
      <c r="W5596">
        <v>1.253698E-2</v>
      </c>
      <c r="X5596">
        <v>0.98743769999999997</v>
      </c>
      <c r="Y5596">
        <v>0.48752210000000001</v>
      </c>
      <c r="Z5596">
        <v>-2.558247E-2</v>
      </c>
      <c r="AA5596">
        <v>0.87273579999999995</v>
      </c>
      <c r="AB5596">
        <v>27</v>
      </c>
      <c r="AC5596">
        <v>39.471499999999899</v>
      </c>
      <c r="AD5596">
        <v>6.3846709999999902</v>
      </c>
      <c r="AE5596">
        <v>-91.055229999999995</v>
      </c>
      <c r="AF5596">
        <v>48.287956497684704</v>
      </c>
      <c r="AG5596">
        <v>6.3846709999999902</v>
      </c>
      <c r="AH5596">
        <v>86.234000286093504</v>
      </c>
      <c r="AI5596">
        <v>86.303807094434902</v>
      </c>
      <c r="AJ5596">
        <v>60.752733411403099</v>
      </c>
      <c r="AK5596">
        <v>99.039353652184701</v>
      </c>
      <c r="AL5596">
        <v>89.281665142662206</v>
      </c>
      <c r="AM5596">
        <v>80.936843985404394</v>
      </c>
      <c r="AN5596">
        <v>1.0000000039316499</v>
      </c>
    </row>
    <row r="5597" spans="1:40" x14ac:dyDescent="0.25">
      <c r="A5597" t="str">
        <f>"20190312161128839"</f>
        <v>20190312161128839</v>
      </c>
      <c r="B5597" t="str">
        <f>"1552378288832838"</f>
        <v>1552378288832838</v>
      </c>
      <c r="C5597" t="s">
        <v>40</v>
      </c>
      <c r="D5597">
        <v>5.7021420000000003</v>
      </c>
      <c r="E5597">
        <v>0.64134049999999998</v>
      </c>
      <c r="F5597" t="s">
        <v>81</v>
      </c>
      <c r="G5597">
        <v>-268.91609999999997</v>
      </c>
      <c r="H5597">
        <v>7.5074209999999999</v>
      </c>
      <c r="I5597">
        <v>-79.671169999999904</v>
      </c>
      <c r="J5597">
        <v>-307.11739999999998</v>
      </c>
      <c r="K5597">
        <v>1.0493570000000001</v>
      </c>
      <c r="L5597">
        <v>11.19965</v>
      </c>
      <c r="M5597">
        <v>0.78593469999999999</v>
      </c>
      <c r="N5597">
        <v>0</v>
      </c>
      <c r="O5597">
        <v>-0.61810359999999998</v>
      </c>
      <c r="P5597">
        <v>0.67915099999999995</v>
      </c>
      <c r="Q5597">
        <v>5.5911229999999995E-4</v>
      </c>
      <c r="R5597">
        <v>-0.73399840000000005</v>
      </c>
      <c r="S5597">
        <v>1.247131</v>
      </c>
      <c r="T5597">
        <v>0.2096469</v>
      </c>
      <c r="U5597">
        <v>-2.9559329999999999</v>
      </c>
      <c r="V5597">
        <v>0.15748500000000001</v>
      </c>
      <c r="W5597">
        <v>1.217556E-2</v>
      </c>
      <c r="X5597">
        <v>0.9874463</v>
      </c>
      <c r="Y5597">
        <v>0.4839851</v>
      </c>
      <c r="Z5597">
        <v>-2.7097489999999998E-2</v>
      </c>
      <c r="AA5597">
        <v>0.87465659999999901</v>
      </c>
      <c r="AB5597">
        <v>27</v>
      </c>
      <c r="AC5597">
        <v>38.201300000000003</v>
      </c>
      <c r="AD5597">
        <v>6.4580640000000002</v>
      </c>
      <c r="AE5597">
        <v>-90.870819999999995</v>
      </c>
      <c r="AF5597">
        <v>47.607913747775299</v>
      </c>
      <c r="AG5597">
        <v>6.4580640000000002</v>
      </c>
      <c r="AH5597">
        <v>85.833866264271606</v>
      </c>
      <c r="AI5597">
        <v>86.235590250136099</v>
      </c>
      <c r="AJ5597">
        <v>60.984977154007701</v>
      </c>
      <c r="AK5597">
        <v>98.364997025957194</v>
      </c>
      <c r="AL5597">
        <v>89.3023745493186</v>
      </c>
      <c r="AM5597">
        <v>80.938375835287601</v>
      </c>
      <c r="AN5597">
        <v>0.99999998243500099</v>
      </c>
    </row>
    <row r="5598" spans="1:40" x14ac:dyDescent="0.25">
      <c r="A5598" t="str">
        <f>"20190312161128862"</f>
        <v>20190312161128862</v>
      </c>
      <c r="B5598" t="str">
        <f>"1552378288852357"</f>
        <v>1552378288852357</v>
      </c>
      <c r="C5598" t="s">
        <v>40</v>
      </c>
      <c r="D5598">
        <v>5.724367</v>
      </c>
      <c r="E5598">
        <v>0.63982589999999995</v>
      </c>
      <c r="F5598" t="s">
        <v>81</v>
      </c>
      <c r="G5598">
        <v>-270.06330000000003</v>
      </c>
      <c r="H5598">
        <v>7.595072</v>
      </c>
      <c r="I5598">
        <v>-79.671169999999904</v>
      </c>
      <c r="J5598">
        <v>-306.91669999999999</v>
      </c>
      <c r="K5598">
        <v>1.0492919999999999</v>
      </c>
      <c r="L5598">
        <v>11.022640000000001</v>
      </c>
      <c r="M5598">
        <v>0.77696569999999898</v>
      </c>
      <c r="N5598">
        <v>0</v>
      </c>
      <c r="O5598">
        <v>-0.62934040000000002</v>
      </c>
      <c r="P5598">
        <v>0.66831890000000005</v>
      </c>
      <c r="Q5598">
        <v>8.3288209999999999E-4</v>
      </c>
      <c r="R5598">
        <v>-0.74387449999999999</v>
      </c>
      <c r="S5598">
        <v>1.2100219999999999</v>
      </c>
      <c r="T5598">
        <v>0.21375440000000001</v>
      </c>
      <c r="U5598">
        <v>-2.967438</v>
      </c>
      <c r="V5598">
        <v>0.15776970000000001</v>
      </c>
      <c r="W5598">
        <v>1.2428740000000001E-2</v>
      </c>
      <c r="X5598">
        <v>0.98739770000000004</v>
      </c>
      <c r="Y5598">
        <v>0.48197279999999998</v>
      </c>
      <c r="Z5598">
        <v>-2.862311E-2</v>
      </c>
      <c r="AA5598">
        <v>0.87571849999999996</v>
      </c>
      <c r="AB5598">
        <v>27</v>
      </c>
      <c r="AC5598">
        <v>36.853399999999901</v>
      </c>
      <c r="AD5598">
        <v>6.5457799999999997</v>
      </c>
      <c r="AE5598">
        <v>-90.6938099999999</v>
      </c>
      <c r="AF5598">
        <v>47.068235305630097</v>
      </c>
      <c r="AG5598">
        <v>6.5457799999999997</v>
      </c>
      <c r="AH5598">
        <v>85.340484590917995</v>
      </c>
      <c r="AI5598">
        <v>86.157563845875401</v>
      </c>
      <c r="AJ5598">
        <v>61.1217416441173</v>
      </c>
      <c r="AK5598">
        <v>97.679395579657793</v>
      </c>
      <c r="AL5598">
        <v>89.287867307491098</v>
      </c>
      <c r="AM5598">
        <v>80.921827469886594</v>
      </c>
      <c r="AN5598">
        <v>0.99999998489068298</v>
      </c>
    </row>
    <row r="5599" spans="1:40" x14ac:dyDescent="0.25">
      <c r="A5599" t="str">
        <f>"20190312161128884"</f>
        <v>20190312161128884</v>
      </c>
      <c r="B5599" t="str">
        <f>"1552378288872850"</f>
        <v>1552378288872850</v>
      </c>
      <c r="C5599" t="s">
        <v>40</v>
      </c>
      <c r="D5599">
        <v>5.5225439999999999</v>
      </c>
      <c r="E5599">
        <v>0.64028260000000004</v>
      </c>
      <c r="F5599" t="s">
        <v>81</v>
      </c>
      <c r="G5599">
        <v>-271.09890000000001</v>
      </c>
      <c r="H5599">
        <v>7.5411890000000001</v>
      </c>
      <c r="I5599">
        <v>-79.671169999999904</v>
      </c>
      <c r="J5599">
        <v>-306.70940000000002</v>
      </c>
      <c r="K5599">
        <v>1.0492269999999999</v>
      </c>
      <c r="L5599">
        <v>10.834289999999999</v>
      </c>
      <c r="M5599">
        <v>0.76733619999999902</v>
      </c>
      <c r="N5599">
        <v>0</v>
      </c>
      <c r="O5599">
        <v>-0.641046</v>
      </c>
      <c r="P5599">
        <v>0.65723290000000001</v>
      </c>
      <c r="Q5599">
        <v>8.4899149999999996E-4</v>
      </c>
      <c r="R5599">
        <v>-0.75368740000000001</v>
      </c>
      <c r="S5599">
        <v>1.1755370000000001</v>
      </c>
      <c r="T5599">
        <v>0.213064</v>
      </c>
      <c r="U5599">
        <v>-2.9765630000000001</v>
      </c>
      <c r="V5599">
        <v>0.15742200000000001</v>
      </c>
      <c r="W5599">
        <v>1.244352E-2</v>
      </c>
      <c r="X5599">
        <v>0.98745300000000003</v>
      </c>
      <c r="Y5599">
        <v>0.47838540000000002</v>
      </c>
      <c r="Z5599">
        <v>-2.9622989999999998E-2</v>
      </c>
      <c r="AA5599">
        <v>0.87765029999999999</v>
      </c>
      <c r="AB5599">
        <v>27</v>
      </c>
      <c r="AC5599">
        <v>35.610500000000002</v>
      </c>
      <c r="AD5599">
        <v>6.491962</v>
      </c>
      <c r="AE5599">
        <v>-90.505459999999999</v>
      </c>
      <c r="AF5599">
        <v>46.419278206587002</v>
      </c>
      <c r="AG5599">
        <v>6.491962</v>
      </c>
      <c r="AH5599">
        <v>84.975675773234798</v>
      </c>
      <c r="AI5599">
        <v>86.164259354008095</v>
      </c>
      <c r="AJ5599">
        <v>61.353743436539801</v>
      </c>
      <c r="AK5599">
        <v>97.045146364709495</v>
      </c>
      <c r="AL5599">
        <v>89.287020404911104</v>
      </c>
      <c r="AM5599">
        <v>80.942001160286594</v>
      </c>
      <c r="AN5599">
        <v>0.99999997724149403</v>
      </c>
    </row>
    <row r="5600" spans="1:40" x14ac:dyDescent="0.25">
      <c r="A5600" t="str">
        <f>"20190312161128907"</f>
        <v>20190312161128907</v>
      </c>
      <c r="B5600" t="str">
        <f>"1552378288903105"</f>
        <v>1552378288903105</v>
      </c>
      <c r="C5600" t="s">
        <v>40</v>
      </c>
      <c r="D5600">
        <v>4.8679129999999997</v>
      </c>
      <c r="E5600">
        <v>0.67640140000000004</v>
      </c>
      <c r="F5600" t="s">
        <v>81</v>
      </c>
      <c r="G5600">
        <v>-272.6123</v>
      </c>
      <c r="H5600">
        <v>7.9784679999999897</v>
      </c>
      <c r="I5600">
        <v>-79.671169999999904</v>
      </c>
      <c r="J5600">
        <v>-306.5043</v>
      </c>
      <c r="K5600">
        <v>1.0491710000000001</v>
      </c>
      <c r="L5600">
        <v>10.64142</v>
      </c>
      <c r="M5600">
        <v>0.75740050000000003</v>
      </c>
      <c r="N5600">
        <v>0</v>
      </c>
      <c r="O5600">
        <v>-0.65275509999999903</v>
      </c>
      <c r="P5600">
        <v>0.64577519999999999</v>
      </c>
      <c r="Q5600">
        <v>7.7739309999999995E-4</v>
      </c>
      <c r="R5600">
        <v>-0.76352739999999997</v>
      </c>
      <c r="S5600">
        <v>1.1286929999999999</v>
      </c>
      <c r="T5600">
        <v>0.22937440000000001</v>
      </c>
      <c r="U5600">
        <v>-2.9959410000000002</v>
      </c>
      <c r="V5600">
        <v>0.157169899999999</v>
      </c>
      <c r="W5600">
        <v>1.2370569999999999E-2</v>
      </c>
      <c r="X5600">
        <v>0.98749410000000004</v>
      </c>
      <c r="Y5600">
        <v>0.47882390000000002</v>
      </c>
      <c r="Z5600">
        <v>-3.2873819999999998E-2</v>
      </c>
      <c r="AA5600">
        <v>0.8772953</v>
      </c>
      <c r="AB5600">
        <v>27</v>
      </c>
      <c r="AC5600">
        <v>33.892000000000003</v>
      </c>
      <c r="AD5600">
        <v>6.929297</v>
      </c>
      <c r="AE5600">
        <v>-90.31259</v>
      </c>
      <c r="AF5600">
        <v>46.047919645489102</v>
      </c>
      <c r="AG5600">
        <v>6.929297</v>
      </c>
      <c r="AH5600">
        <v>84.198150638323099</v>
      </c>
      <c r="AI5600">
        <v>85.870142168369995</v>
      </c>
      <c r="AJ5600">
        <v>61.325776528139897</v>
      </c>
      <c r="AK5600">
        <v>96.217226272146206</v>
      </c>
      <c r="AL5600">
        <v>89.2912004721221</v>
      </c>
      <c r="AM5600">
        <v>80.956637153778004</v>
      </c>
      <c r="AN5600">
        <v>1.00000000300147</v>
      </c>
    </row>
    <row r="5601" spans="1:40" x14ac:dyDescent="0.25">
      <c r="A5601" t="str">
        <f>"20190312161128930"</f>
        <v>20190312161128930</v>
      </c>
      <c r="B5601" t="str">
        <f>"1552378288922625"</f>
        <v>1552378288922625</v>
      </c>
      <c r="C5601" t="s">
        <v>40</v>
      </c>
      <c r="D5601">
        <v>4.7092479999999997</v>
      </c>
      <c r="E5601">
        <v>0.67742340000000001</v>
      </c>
      <c r="F5601" t="s">
        <v>42</v>
      </c>
      <c r="G5601">
        <v>-306.29610000000002</v>
      </c>
      <c r="H5601">
        <v>1.195673</v>
      </c>
      <c r="I5601">
        <v>9.8699279999999998</v>
      </c>
      <c r="J5601">
        <v>-306.30349999999999</v>
      </c>
      <c r="K5601">
        <v>1.0491280000000001</v>
      </c>
      <c r="L5601">
        <v>10.44669</v>
      </c>
      <c r="M5601">
        <v>0.74729299999999999</v>
      </c>
      <c r="N5601">
        <v>0</v>
      </c>
      <c r="O5601">
        <v>-0.66430219999999995</v>
      </c>
      <c r="P5601">
        <v>0.63405540000000005</v>
      </c>
      <c r="Q5601">
        <v>7.1737690000000002E-4</v>
      </c>
      <c r="R5601">
        <v>-0.77328769999999902</v>
      </c>
      <c r="S5601">
        <v>0.86367799999999995</v>
      </c>
      <c r="T5601">
        <v>0.60737559999999902</v>
      </c>
      <c r="U5601">
        <v>-3.198029</v>
      </c>
      <c r="V5601">
        <v>0.15707460000000001</v>
      </c>
      <c r="W5601">
        <v>1.230907E-2</v>
      </c>
      <c r="X5601">
        <v>0.98751</v>
      </c>
      <c r="Y5601">
        <v>0.54818719999999999</v>
      </c>
      <c r="Z5601">
        <v>-7.9933690000000002E-2</v>
      </c>
      <c r="AA5601">
        <v>0.83252719999999902</v>
      </c>
      <c r="AB5601">
        <v>27</v>
      </c>
      <c r="AC5601">
        <v>7.3999999999614296E-3</v>
      </c>
      <c r="AD5601">
        <v>0.14654499999999901</v>
      </c>
      <c r="AE5601">
        <v>-0.576762</v>
      </c>
      <c r="AF5601">
        <v>0.40030998889405001</v>
      </c>
      <c r="AG5601">
        <v>0.14654499999999901</v>
      </c>
      <c r="AH5601">
        <v>0.36515426978452797</v>
      </c>
      <c r="AI5601">
        <v>74.865846118206207</v>
      </c>
      <c r="AJ5601">
        <v>42.370406457291502</v>
      </c>
      <c r="AK5601">
        <v>0.56130309546200297</v>
      </c>
      <c r="AL5601">
        <v>89.294724408737594</v>
      </c>
      <c r="AM5601">
        <v>80.962173181117905</v>
      </c>
      <c r="AN5601">
        <v>0.99999997163471199</v>
      </c>
    </row>
    <row r="5602" spans="1:40" x14ac:dyDescent="0.25">
      <c r="A5602" t="str">
        <f>"20190312161128951"</f>
        <v>20190312161128951</v>
      </c>
      <c r="B5602" t="str">
        <f>"1552378288943122"</f>
        <v>1552378288943122</v>
      </c>
      <c r="C5602" t="s">
        <v>40</v>
      </c>
      <c r="D5602">
        <v>4.7665360000000003</v>
      </c>
      <c r="E5602">
        <v>0.67532479999999995</v>
      </c>
      <c r="F5602" t="s">
        <v>42</v>
      </c>
      <c r="G5602">
        <v>-306.11810000000003</v>
      </c>
      <c r="H5602">
        <v>1.1896949999999999</v>
      </c>
      <c r="I5602">
        <v>9.7090420000000002</v>
      </c>
      <c r="J5602">
        <v>-306.11529999999999</v>
      </c>
      <c r="K5602">
        <v>1.0490950000000001</v>
      </c>
      <c r="L5602">
        <v>10.258509999999999</v>
      </c>
      <c r="M5602">
        <v>0.73746</v>
      </c>
      <c r="N5602">
        <v>0</v>
      </c>
      <c r="O5602">
        <v>-0.67520119999999995</v>
      </c>
      <c r="P5602">
        <v>0.62298790000000004</v>
      </c>
      <c r="Q5602">
        <v>4.2425129999999999E-4</v>
      </c>
      <c r="R5602">
        <v>-0.78223149999999997</v>
      </c>
      <c r="S5602">
        <v>0.80859380000000003</v>
      </c>
      <c r="T5602">
        <v>0.61285590000000001</v>
      </c>
      <c r="U5602">
        <v>-3.215973</v>
      </c>
      <c r="V5602">
        <v>0.15662239999999999</v>
      </c>
      <c r="W5602">
        <v>1.2026800000000001E-2</v>
      </c>
      <c r="X5602">
        <v>0.9875853</v>
      </c>
      <c r="Y5602">
        <v>0.55049349999999997</v>
      </c>
      <c r="Z5602">
        <v>-8.2865220000000003E-2</v>
      </c>
      <c r="AA5602">
        <v>0.83071679999999903</v>
      </c>
      <c r="AB5602">
        <v>27</v>
      </c>
      <c r="AC5602">
        <v>-2.8000000000361E-3</v>
      </c>
      <c r="AD5602">
        <v>0.1406</v>
      </c>
      <c r="AE5602">
        <v>-0.54946800000000096</v>
      </c>
      <c r="AF5602">
        <v>0.38213325175976298</v>
      </c>
      <c r="AG5602">
        <v>0.1406</v>
      </c>
      <c r="AH5602">
        <v>0.34630926478645102</v>
      </c>
      <c r="AI5602">
        <v>74.749839935646605</v>
      </c>
      <c r="AJ5602">
        <v>42.184526082983403</v>
      </c>
      <c r="AK5602">
        <v>0.53453184093880002</v>
      </c>
      <c r="AL5602">
        <v>89.310898486887197</v>
      </c>
      <c r="AM5602">
        <v>80.988440297584702</v>
      </c>
      <c r="AN5602">
        <v>0.99999997243804395</v>
      </c>
    </row>
    <row r="5603" spans="1:40" x14ac:dyDescent="0.25">
      <c r="A5603" t="str">
        <f>"20190312161128973"</f>
        <v>20190312161128973</v>
      </c>
      <c r="B5603" t="str">
        <f>"1552378288962642"</f>
        <v>1552378288962642</v>
      </c>
      <c r="C5603" t="s">
        <v>40</v>
      </c>
      <c r="D5603">
        <v>5.1484310000000004</v>
      </c>
      <c r="E5603">
        <v>0.67350100000000002</v>
      </c>
      <c r="F5603" t="s">
        <v>42</v>
      </c>
      <c r="G5603">
        <v>-305.9434</v>
      </c>
      <c r="H5603">
        <v>1.1831199999999999</v>
      </c>
      <c r="I5603">
        <v>9.5448529999999998</v>
      </c>
      <c r="J5603">
        <v>-305.92450000000002</v>
      </c>
      <c r="K5603">
        <v>1.0490699999999999</v>
      </c>
      <c r="L5603">
        <v>10.061920000000001</v>
      </c>
      <c r="M5603">
        <v>0.72712140000000003</v>
      </c>
      <c r="N5603">
        <v>0</v>
      </c>
      <c r="O5603">
        <v>-0.68632230000000005</v>
      </c>
      <c r="P5603">
        <v>0.6111993</v>
      </c>
      <c r="Q5603">
        <v>5.3246279999999999E-4</v>
      </c>
      <c r="R5603">
        <v>-0.79147679999999998</v>
      </c>
      <c r="S5603">
        <v>0.77603149999999999</v>
      </c>
      <c r="T5603">
        <v>0.60426219999999997</v>
      </c>
      <c r="U5603">
        <v>-3.2167970000000001</v>
      </c>
      <c r="V5603">
        <v>0.1564239</v>
      </c>
      <c r="W5603">
        <v>1.214075E-2</v>
      </c>
      <c r="X5603">
        <v>0.98761540000000003</v>
      </c>
      <c r="Y5603">
        <v>0.54590919999999998</v>
      </c>
      <c r="Z5603">
        <v>-8.484295E-2</v>
      </c>
      <c r="AA5603">
        <v>0.83353759999999999</v>
      </c>
      <c r="AB5603">
        <v>27</v>
      </c>
      <c r="AC5603">
        <v>-1.8899999999973702E-2</v>
      </c>
      <c r="AD5603">
        <v>0.13405</v>
      </c>
      <c r="AE5603">
        <v>-0.51706699999999794</v>
      </c>
      <c r="AF5603">
        <v>0.36452445699071501</v>
      </c>
      <c r="AG5603">
        <v>0.13405</v>
      </c>
      <c r="AH5603">
        <v>0.31971597958536402</v>
      </c>
      <c r="AI5603">
        <v>74.545616458347098</v>
      </c>
      <c r="AJ5603">
        <v>41.253252610402797</v>
      </c>
      <c r="AK5603">
        <v>0.50305644797239701</v>
      </c>
      <c r="AL5603">
        <v>89.304369179475302</v>
      </c>
      <c r="AM5603">
        <v>80.999944106373206</v>
      </c>
      <c r="AN5603">
        <v>1.0000000063094601</v>
      </c>
    </row>
    <row r="5604" spans="1:40" x14ac:dyDescent="0.25">
      <c r="A5604" t="str">
        <f>"20190312161128996"</f>
        <v>20190312161128996</v>
      </c>
      <c r="B5604" t="str">
        <f>"1552378288992429"</f>
        <v>1552378288992429</v>
      </c>
      <c r="C5604" t="s">
        <v>40</v>
      </c>
      <c r="D5604">
        <v>5.7442199999999897</v>
      </c>
      <c r="E5604">
        <v>0.67004869999999905</v>
      </c>
      <c r="F5604" t="s">
        <v>42</v>
      </c>
      <c r="G5604">
        <v>-305.7681</v>
      </c>
      <c r="H5604">
        <v>1.174442</v>
      </c>
      <c r="I5604">
        <v>9.3814930000000007</v>
      </c>
      <c r="J5604">
        <v>-305.73340000000002</v>
      </c>
      <c r="K5604">
        <v>1.049053</v>
      </c>
      <c r="L5604">
        <v>9.8588559999999994</v>
      </c>
      <c r="M5604">
        <v>0.71637930000000005</v>
      </c>
      <c r="N5604">
        <v>0</v>
      </c>
      <c r="O5604">
        <v>-0.69752720000000001</v>
      </c>
      <c r="P5604">
        <v>0.59912730000000003</v>
      </c>
      <c r="Q5604">
        <v>9.400678E-4</v>
      </c>
      <c r="R5604">
        <v>-0.80065339999999996</v>
      </c>
      <c r="S5604">
        <v>0.73934940000000005</v>
      </c>
      <c r="T5604">
        <v>0.59307909999999997</v>
      </c>
      <c r="U5604">
        <v>-3.219055</v>
      </c>
      <c r="V5604">
        <v>0.15607979999999999</v>
      </c>
      <c r="W5604">
        <v>1.256034E-2</v>
      </c>
      <c r="X5604">
        <v>0.9876646</v>
      </c>
      <c r="Y5604">
        <v>0.54213869999999997</v>
      </c>
      <c r="Z5604">
        <v>-8.6313899999999902E-2</v>
      </c>
      <c r="AA5604">
        <v>0.83584419999999904</v>
      </c>
      <c r="AB5604">
        <v>27</v>
      </c>
      <c r="AC5604">
        <v>-3.4699999999986603E-2</v>
      </c>
      <c r="AD5604">
        <v>0.125388999999999</v>
      </c>
      <c r="AE5604">
        <v>-0.47736299999999998</v>
      </c>
      <c r="AF5604">
        <v>0.34270339580978298</v>
      </c>
      <c r="AG5604">
        <v>0.125388999999999</v>
      </c>
      <c r="AH5604">
        <v>0.288363597420981</v>
      </c>
      <c r="AI5604">
        <v>74.359917300131599</v>
      </c>
      <c r="AJ5604">
        <v>40.078525313760601</v>
      </c>
      <c r="AK5604">
        <v>0.46510384124206799</v>
      </c>
      <c r="AL5604">
        <v>89.280326615184194</v>
      </c>
      <c r="AM5604">
        <v>81.019859405989607</v>
      </c>
      <c r="AN5604">
        <v>1.0000000141010501</v>
      </c>
    </row>
    <row r="5605" spans="1:40" x14ac:dyDescent="0.25">
      <c r="A5605" t="str">
        <f>"20190312161129018"</f>
        <v>20190312161129018</v>
      </c>
      <c r="B5605" t="str">
        <f>"1552378289012925"</f>
        <v>1552378289012925</v>
      </c>
      <c r="C5605" t="s">
        <v>40</v>
      </c>
      <c r="D5605">
        <v>5.6411379999999998</v>
      </c>
      <c r="E5605">
        <v>0.66832950000000002</v>
      </c>
      <c r="F5605" t="s">
        <v>42</v>
      </c>
      <c r="G5605">
        <v>-305.5917</v>
      </c>
      <c r="H5605">
        <v>1.1627529999999999</v>
      </c>
      <c r="I5605">
        <v>9.2193819999999995</v>
      </c>
      <c r="J5605">
        <v>-305.54860000000002</v>
      </c>
      <c r="K5605">
        <v>1.0490440000000001</v>
      </c>
      <c r="L5605">
        <v>9.6562809999999999</v>
      </c>
      <c r="M5605">
        <v>0.70560500000000004</v>
      </c>
      <c r="N5605">
        <v>0</v>
      </c>
      <c r="O5605">
        <v>-0.7084241</v>
      </c>
      <c r="P5605">
        <v>0.58752490000000002</v>
      </c>
      <c r="Q5605">
        <v>1.393898E-3</v>
      </c>
      <c r="R5605">
        <v>-0.80920509999999901</v>
      </c>
      <c r="S5605">
        <v>0.712677</v>
      </c>
      <c r="T5605">
        <v>0.57134750000000001</v>
      </c>
      <c r="U5605">
        <v>-3.2129819999999998</v>
      </c>
      <c r="V5605">
        <v>0.15519089999999999</v>
      </c>
      <c r="W5605">
        <v>1.3043809999999999E-2</v>
      </c>
      <c r="X5605">
        <v>0.98779839999999997</v>
      </c>
      <c r="Y5605">
        <v>0.53561539999999996</v>
      </c>
      <c r="Z5605">
        <v>-8.6426089999999997E-2</v>
      </c>
      <c r="AA5605">
        <v>0.84002770000000004</v>
      </c>
      <c r="AB5605">
        <v>27</v>
      </c>
      <c r="AC5605">
        <v>-4.3099999999981202E-2</v>
      </c>
      <c r="AD5605">
        <v>0.113709</v>
      </c>
      <c r="AE5605">
        <v>-0.43689899999999798</v>
      </c>
      <c r="AF5605">
        <v>0.31755194063470699</v>
      </c>
      <c r="AG5605">
        <v>0.113709</v>
      </c>
      <c r="AH5605">
        <v>0.26158573674102598</v>
      </c>
      <c r="AI5605">
        <v>74.550166231919505</v>
      </c>
      <c r="AJ5605">
        <v>39.480240163006002</v>
      </c>
      <c r="AK5605">
        <v>0.42684431511760101</v>
      </c>
      <c r="AL5605">
        <v>89.252623557234102</v>
      </c>
      <c r="AM5605">
        <v>81.071366364834006</v>
      </c>
      <c r="AN5605">
        <v>1.00000001773234</v>
      </c>
    </row>
    <row r="5606" spans="1:40" x14ac:dyDescent="0.25">
      <c r="A5606" t="str">
        <f>"20190312161129040"</f>
        <v>20190312161129040</v>
      </c>
      <c r="B5606" t="str">
        <f>"1552378289032445"</f>
        <v>1552378289032445</v>
      </c>
      <c r="C5606" t="s">
        <v>40</v>
      </c>
      <c r="D5606">
        <v>5.6063869999999998</v>
      </c>
      <c r="E5606">
        <v>0.66748509999999905</v>
      </c>
      <c r="F5606" t="s">
        <v>42</v>
      </c>
      <c r="G5606">
        <v>-305.42110000000002</v>
      </c>
      <c r="H5606">
        <v>1.1545240000000001</v>
      </c>
      <c r="I5606">
        <v>9.0511970000000002</v>
      </c>
      <c r="J5606">
        <v>-305.3734</v>
      </c>
      <c r="K5606">
        <v>1.0490429999999999</v>
      </c>
      <c r="L5606">
        <v>9.4581300000000006</v>
      </c>
      <c r="M5606">
        <v>0.69502449999999905</v>
      </c>
      <c r="N5606">
        <v>0</v>
      </c>
      <c r="O5606">
        <v>-0.71880739999999999</v>
      </c>
      <c r="P5606">
        <v>0.57604560000000005</v>
      </c>
      <c r="Q5606">
        <v>1.817438E-3</v>
      </c>
      <c r="R5606">
        <v>-0.81741589999999997</v>
      </c>
      <c r="S5606">
        <v>0.67715449999999999</v>
      </c>
      <c r="T5606">
        <v>0.56036589999999997</v>
      </c>
      <c r="U5606">
        <v>-3.2147220000000001</v>
      </c>
      <c r="V5606">
        <v>0.15449879999999999</v>
      </c>
      <c r="W5606">
        <v>1.3493430000000001E-2</v>
      </c>
      <c r="X5606">
        <v>0.98790089999999997</v>
      </c>
      <c r="Y5606">
        <v>0.53213509999999997</v>
      </c>
      <c r="Z5606">
        <v>-8.7467799999999998E-2</v>
      </c>
      <c r="AA5606">
        <v>0.84212919999999902</v>
      </c>
      <c r="AB5606">
        <v>27</v>
      </c>
      <c r="AC5606">
        <v>-4.7700000000020198E-2</v>
      </c>
      <c r="AD5606">
        <v>0.10548099999999901</v>
      </c>
      <c r="AE5606">
        <v>-0.40693299999999999</v>
      </c>
      <c r="AF5606">
        <v>0.29744208660493399</v>
      </c>
      <c r="AG5606">
        <v>0.10548099999999901</v>
      </c>
      <c r="AH5606">
        <v>0.243263814165676</v>
      </c>
      <c r="AI5606">
        <v>74.649829529244997</v>
      </c>
      <c r="AJ5606">
        <v>39.278109523664</v>
      </c>
      <c r="AK5606">
        <v>0.39846620876472</v>
      </c>
      <c r="AL5606">
        <v>89.226860001509806</v>
      </c>
      <c r="AM5606">
        <v>81.111455394119801</v>
      </c>
      <c r="AN5606">
        <v>1.0000000700377001</v>
      </c>
    </row>
    <row r="5607" spans="1:40" x14ac:dyDescent="0.25">
      <c r="A5607" t="str">
        <f>"20190312161129062"</f>
        <v>20190312161129062</v>
      </c>
      <c r="B5607" t="str">
        <f>"1552378289052942"</f>
        <v>1552378289052942</v>
      </c>
      <c r="C5607" t="s">
        <v>40</v>
      </c>
      <c r="D5607">
        <v>5.4599209999999996</v>
      </c>
      <c r="E5607">
        <v>0.66454169999999901</v>
      </c>
      <c r="F5607" t="s">
        <v>42</v>
      </c>
      <c r="G5607">
        <v>-305.25810000000001</v>
      </c>
      <c r="H5607">
        <v>1.1494120000000001</v>
      </c>
      <c r="I5607">
        <v>8.8757529999999996</v>
      </c>
      <c r="J5607">
        <v>-305.19909999999999</v>
      </c>
      <c r="K5607">
        <v>1.0490489999999999</v>
      </c>
      <c r="L5607">
        <v>9.2550659999999993</v>
      </c>
      <c r="M5607">
        <v>0.68414069999999905</v>
      </c>
      <c r="N5607">
        <v>0</v>
      </c>
      <c r="O5607">
        <v>-0.72917390000000004</v>
      </c>
      <c r="P5607">
        <v>0.56387600000000004</v>
      </c>
      <c r="Q5607">
        <v>2.0616789999999999E-3</v>
      </c>
      <c r="R5607">
        <v>-0.82585719999999996</v>
      </c>
      <c r="S5607">
        <v>0.63766480000000003</v>
      </c>
      <c r="T5607">
        <v>0.55491420000000002</v>
      </c>
      <c r="U5607">
        <v>-3.2194820000000002</v>
      </c>
      <c r="V5607">
        <v>0.1542859</v>
      </c>
      <c r="W5607">
        <v>1.374947E-2</v>
      </c>
      <c r="X5607">
        <v>0.98793059999999999</v>
      </c>
      <c r="Y5607">
        <v>0.52964230000000001</v>
      </c>
      <c r="Z5607">
        <v>-8.9147660000000004E-2</v>
      </c>
      <c r="AA5607">
        <v>0.84352340000000003</v>
      </c>
      <c r="AB5607">
        <v>27</v>
      </c>
      <c r="AC5607">
        <v>-5.90000000000259E-2</v>
      </c>
      <c r="AD5607">
        <v>0.10036299999999999</v>
      </c>
      <c r="AE5607">
        <v>-0.37931300000000101</v>
      </c>
      <c r="AF5607">
        <v>0.28320513719639101</v>
      </c>
      <c r="AG5607">
        <v>0.10036299999999999</v>
      </c>
      <c r="AH5607">
        <v>0.22113549789097101</v>
      </c>
      <c r="AI5607">
        <v>74.393947001659498</v>
      </c>
      <c r="AJ5607">
        <v>37.9838400562994</v>
      </c>
      <c r="AK5607">
        <v>0.37306673656453798</v>
      </c>
      <c r="AL5607">
        <v>89.2121885973405</v>
      </c>
      <c r="AM5607">
        <v>81.123771269925697</v>
      </c>
      <c r="AN5607">
        <v>1.00000002864022</v>
      </c>
    </row>
    <row r="5608" spans="1:40" x14ac:dyDescent="0.25">
      <c r="A5608" t="str">
        <f>"20190312161129086"</f>
        <v>20190312161129086</v>
      </c>
      <c r="B5608" t="str">
        <f>"1552378289082705"</f>
        <v>1552378289082705</v>
      </c>
      <c r="C5608" t="s">
        <v>40</v>
      </c>
      <c r="D5608">
        <v>5.3344769999999997</v>
      </c>
      <c r="E5608">
        <v>0.65148099999999998</v>
      </c>
      <c r="F5608" t="s">
        <v>42</v>
      </c>
      <c r="G5608">
        <v>-305.09429999999998</v>
      </c>
      <c r="H5608">
        <v>1.139615</v>
      </c>
      <c r="I5608">
        <v>8.7013869999999898</v>
      </c>
      <c r="J5608">
        <v>-305.01929999999999</v>
      </c>
      <c r="K5608">
        <v>1.0490649999999999</v>
      </c>
      <c r="L5608">
        <v>9.0386959999999998</v>
      </c>
      <c r="M5608">
        <v>0.67251179999999999</v>
      </c>
      <c r="N5608">
        <v>0</v>
      </c>
      <c r="O5608">
        <v>-0.73991260000000003</v>
      </c>
      <c r="P5608">
        <v>0.55089189999999999</v>
      </c>
      <c r="Q5608">
        <v>2.2908130000000001E-3</v>
      </c>
      <c r="R5608">
        <v>-0.83457359999999903</v>
      </c>
      <c r="S5608">
        <v>0.60864259999999903</v>
      </c>
      <c r="T5608">
        <v>0.52604059999999997</v>
      </c>
      <c r="U5608">
        <v>-3.2157290000000001</v>
      </c>
      <c r="V5608">
        <v>0.15410170000000001</v>
      </c>
      <c r="W5608">
        <v>1.3991200000000001E-2</v>
      </c>
      <c r="X5608">
        <v>0.9879559</v>
      </c>
      <c r="Y5608">
        <v>0.52342339999999998</v>
      </c>
      <c r="Z5608">
        <v>-8.7488270000000007E-2</v>
      </c>
      <c r="AA5608">
        <v>0.84756929999999997</v>
      </c>
      <c r="AB5608">
        <v>27</v>
      </c>
      <c r="AC5608">
        <v>-7.4999999999988604E-2</v>
      </c>
      <c r="AD5608">
        <v>9.0550000000000103E-2</v>
      </c>
      <c r="AE5608">
        <v>-0.33730900000000102</v>
      </c>
      <c r="AF5608">
        <v>0.26422953228507501</v>
      </c>
      <c r="AG5608">
        <v>9.0550000000000103E-2</v>
      </c>
      <c r="AH5608">
        <v>0.18636857117410999</v>
      </c>
      <c r="AI5608">
        <v>74.355445091074003</v>
      </c>
      <c r="AJ5608">
        <v>35.196400366669899</v>
      </c>
      <c r="AK5608">
        <v>0.33578235890688002</v>
      </c>
      <c r="AL5608">
        <v>89.198337112624799</v>
      </c>
      <c r="AM5608">
        <v>81.134423473259403</v>
      </c>
      <c r="AN5608">
        <v>0.99999997398256901</v>
      </c>
    </row>
    <row r="5609" spans="1:40" x14ac:dyDescent="0.25">
      <c r="A5609" t="str">
        <f>"20190312161129110"</f>
        <v>20190312161129110</v>
      </c>
      <c r="B5609" t="str">
        <f>"1552378289103201"</f>
        <v>1552378289103201</v>
      </c>
      <c r="C5609" t="s">
        <v>40</v>
      </c>
      <c r="D5609">
        <v>5.637251</v>
      </c>
      <c r="E5609">
        <v>0.6521496</v>
      </c>
      <c r="F5609" t="s">
        <v>104</v>
      </c>
      <c r="G5609">
        <v>-286.81779999999998</v>
      </c>
      <c r="H5609">
        <v>2.3376260000000002</v>
      </c>
      <c r="I5609">
        <v>-80.464519999999993</v>
      </c>
      <c r="J5609">
        <v>-304.83539999999999</v>
      </c>
      <c r="K5609">
        <v>1.0490839999999999</v>
      </c>
      <c r="L5609">
        <v>8.8094179999999902</v>
      </c>
      <c r="M5609">
        <v>0.66016009999999903</v>
      </c>
      <c r="N5609">
        <v>0</v>
      </c>
      <c r="O5609">
        <v>-0.75095389999999995</v>
      </c>
      <c r="P5609">
        <v>0.53716249999999999</v>
      </c>
      <c r="Q5609">
        <v>2.197484E-3</v>
      </c>
      <c r="R5609">
        <v>-0.84347649999999996</v>
      </c>
      <c r="S5609">
        <v>0.64447019999999899</v>
      </c>
      <c r="T5609">
        <v>4.5625329999999999E-2</v>
      </c>
      <c r="U5609">
        <v>-3.169098</v>
      </c>
      <c r="V5609">
        <v>0.153894899999999</v>
      </c>
      <c r="W5609">
        <v>1.391158E-2</v>
      </c>
      <c r="X5609">
        <v>0.98798929999999996</v>
      </c>
      <c r="Y5609">
        <v>0.49733460000000002</v>
      </c>
      <c r="Z5609">
        <v>-8.1147319999999995E-3</v>
      </c>
      <c r="AA5609">
        <v>0.86752090000000004</v>
      </c>
      <c r="AB5609">
        <v>27</v>
      </c>
      <c r="AC5609">
        <v>18.017600000000002</v>
      </c>
      <c r="AD5609">
        <v>1.2885420000000001</v>
      </c>
      <c r="AE5609">
        <v>-89.273937999999902</v>
      </c>
      <c r="AF5609">
        <v>45.401449600751</v>
      </c>
      <c r="AG5609">
        <v>1.2885420000000001</v>
      </c>
      <c r="AH5609">
        <v>78.929453347743802</v>
      </c>
      <c r="AI5609">
        <v>89.189253967933197</v>
      </c>
      <c r="AJ5609">
        <v>60.091817221981799</v>
      </c>
      <c r="AK5609">
        <v>91.064870131730601</v>
      </c>
      <c r="AL5609">
        <v>89.202899479126103</v>
      </c>
      <c r="AM5609">
        <v>81.146426770499204</v>
      </c>
      <c r="AN5609">
        <v>1.00000001460929</v>
      </c>
    </row>
    <row r="5610" spans="1:40" x14ac:dyDescent="0.25">
      <c r="A5610" t="str">
        <f>"20190312161129132"</f>
        <v>20190312161129132</v>
      </c>
      <c r="B5610" t="str">
        <f>"1552378289122721"</f>
        <v>1552378289122721</v>
      </c>
      <c r="C5610" t="s">
        <v>40</v>
      </c>
      <c r="D5610">
        <v>5.8352190000000004</v>
      </c>
      <c r="E5610">
        <v>0.64849809999999997</v>
      </c>
      <c r="F5610" t="s">
        <v>104</v>
      </c>
      <c r="G5610">
        <v>-288.13979999999998</v>
      </c>
      <c r="H5610">
        <v>4.0168249999999999</v>
      </c>
      <c r="I5610">
        <v>-81.521550000000005</v>
      </c>
      <c r="J5610">
        <v>-304.66719999999998</v>
      </c>
      <c r="K5610">
        <v>1.049102</v>
      </c>
      <c r="L5610">
        <v>8.5928649999999998</v>
      </c>
      <c r="M5610">
        <v>0.64846530000000002</v>
      </c>
      <c r="N5610">
        <v>0</v>
      </c>
      <c r="O5610">
        <v>-0.76107519999999995</v>
      </c>
      <c r="P5610">
        <v>0.52402229999999905</v>
      </c>
      <c r="Q5610">
        <v>2.0791939999999999E-3</v>
      </c>
      <c r="R5610">
        <v>-0.85170199999999996</v>
      </c>
      <c r="S5610">
        <v>0.58810419999999997</v>
      </c>
      <c r="T5610">
        <v>0.1045394</v>
      </c>
      <c r="U5610">
        <v>-3.181915</v>
      </c>
      <c r="V5610">
        <v>0.1539249</v>
      </c>
      <c r="W5610">
        <v>1.3799530000000001E-2</v>
      </c>
      <c r="X5610">
        <v>0.98798620000000004</v>
      </c>
      <c r="Y5610">
        <v>0.49942039999999999</v>
      </c>
      <c r="Z5610">
        <v>-1.8976380000000001E-2</v>
      </c>
      <c r="AA5610">
        <v>0.86615189999999997</v>
      </c>
      <c r="AB5610">
        <v>27</v>
      </c>
      <c r="AC5610">
        <v>16.5274</v>
      </c>
      <c r="AD5610">
        <v>2.9677229999999999</v>
      </c>
      <c r="AE5610">
        <v>-90.114414999999994</v>
      </c>
      <c r="AF5610">
        <v>45.815304544711999</v>
      </c>
      <c r="AG5610">
        <v>2.9677229999999999</v>
      </c>
      <c r="AH5610">
        <v>79.228363209254098</v>
      </c>
      <c r="AI5610">
        <v>88.142747470605201</v>
      </c>
      <c r="AJ5610">
        <v>59.960537143687702</v>
      </c>
      <c r="AK5610">
        <v>91.5695530574815</v>
      </c>
      <c r="AL5610">
        <v>89.209320089059702</v>
      </c>
      <c r="AM5610">
        <v>81.144700876366102</v>
      </c>
      <c r="AN5610">
        <v>1.0000000166293299</v>
      </c>
    </row>
    <row r="5611" spans="1:40" x14ac:dyDescent="0.25">
      <c r="A5611" t="str">
        <f>"20190312161129152"</f>
        <v>20190312161129152</v>
      </c>
      <c r="B5611" t="str">
        <f>"1552378289143217"</f>
        <v>1552378289143217</v>
      </c>
      <c r="C5611" t="s">
        <v>40</v>
      </c>
      <c r="D5611">
        <v>5.7004900000000003</v>
      </c>
      <c r="E5611">
        <v>0.64593239999999996</v>
      </c>
      <c r="F5611" t="s">
        <v>104</v>
      </c>
      <c r="G5611">
        <v>-288.28059999999999</v>
      </c>
      <c r="H5611">
        <v>6.674086</v>
      </c>
      <c r="I5611">
        <v>-83.640010000000004</v>
      </c>
      <c r="J5611">
        <v>-304.52330000000001</v>
      </c>
      <c r="K5611">
        <v>1.0491159999999999</v>
      </c>
      <c r="L5611">
        <v>8.4020689999999991</v>
      </c>
      <c r="M5611">
        <v>0.63813660000000005</v>
      </c>
      <c r="N5611">
        <v>0</v>
      </c>
      <c r="O5611">
        <v>-0.76975609999999905</v>
      </c>
      <c r="P5611">
        <v>0.51260240000000001</v>
      </c>
      <c r="Q5611">
        <v>1.363593E-3</v>
      </c>
      <c r="R5611">
        <v>-0.85862510000000003</v>
      </c>
      <c r="S5611">
        <v>0.56405640000000001</v>
      </c>
      <c r="T5611">
        <v>0.1936234</v>
      </c>
      <c r="U5611">
        <v>-3.1748349999999999</v>
      </c>
      <c r="V5611">
        <v>0.153767299999999</v>
      </c>
      <c r="W5611">
        <v>1.309483E-2</v>
      </c>
      <c r="X5611">
        <v>0.98802029999999996</v>
      </c>
      <c r="Y5611">
        <v>0.4937685</v>
      </c>
      <c r="Z5611">
        <v>-3.6052090000000002E-2</v>
      </c>
      <c r="AA5611">
        <v>0.8688458</v>
      </c>
      <c r="AB5611">
        <v>26</v>
      </c>
      <c r="AC5611">
        <v>16.242699999999999</v>
      </c>
      <c r="AD5611">
        <v>5.6249699999999896</v>
      </c>
      <c r="AE5611">
        <v>-92.042079000000001</v>
      </c>
      <c r="AF5611">
        <v>46.071577657471103</v>
      </c>
      <c r="AG5611">
        <v>5.6249699999999896</v>
      </c>
      <c r="AH5611">
        <v>80.932323074126501</v>
      </c>
      <c r="AI5611">
        <v>86.5434718924771</v>
      </c>
      <c r="AJ5611">
        <v>60.348848358373402</v>
      </c>
      <c r="AK5611">
        <v>93.296685222595599</v>
      </c>
      <c r="AL5611">
        <v>89.249700052493495</v>
      </c>
      <c r="AM5611">
        <v>81.153924614221296</v>
      </c>
      <c r="AN5611">
        <v>0.99999998516705402</v>
      </c>
    </row>
    <row r="5612" spans="1:40" x14ac:dyDescent="0.25">
      <c r="A5612" t="str">
        <f>"20190312161129175"</f>
        <v>20190312161129175</v>
      </c>
      <c r="B5612" t="str">
        <f>"1552378289162737"</f>
        <v>1552378289162737</v>
      </c>
      <c r="C5612" t="s">
        <v>40</v>
      </c>
      <c r="D5612">
        <v>5.7509930000000002</v>
      </c>
      <c r="E5612">
        <v>0.64302649999999995</v>
      </c>
      <c r="F5612" t="s">
        <v>104</v>
      </c>
      <c r="G5612">
        <v>-289.56009999999998</v>
      </c>
      <c r="H5612">
        <v>7.3728280000000002</v>
      </c>
      <c r="I5612">
        <v>-79.671169999999904</v>
      </c>
      <c r="J5612">
        <v>-304.35939999999999</v>
      </c>
      <c r="K5612">
        <v>1.049139</v>
      </c>
      <c r="L5612">
        <v>8.1778870000000001</v>
      </c>
      <c r="M5612">
        <v>0.62598450000000005</v>
      </c>
      <c r="N5612">
        <v>0</v>
      </c>
      <c r="O5612">
        <v>-0.7796708</v>
      </c>
      <c r="P5612">
        <v>0.49900149999999999</v>
      </c>
      <c r="Q5612">
        <v>1.183854E-3</v>
      </c>
      <c r="R5612">
        <v>-0.86660059999999906</v>
      </c>
      <c r="S5612">
        <v>0.53887940000000001</v>
      </c>
      <c r="T5612">
        <v>0.22774079999999999</v>
      </c>
      <c r="U5612">
        <v>-3.1718440000000001</v>
      </c>
      <c r="V5612">
        <v>0.1538418</v>
      </c>
      <c r="W5612">
        <v>1.2920320000000001E-2</v>
      </c>
      <c r="X5612">
        <v>0.98801099999999997</v>
      </c>
      <c r="Y5612">
        <v>0.4866992</v>
      </c>
      <c r="Z5612">
        <v>-4.359354E-2</v>
      </c>
      <c r="AA5612">
        <v>0.87248130000000002</v>
      </c>
      <c r="AB5612">
        <v>26</v>
      </c>
      <c r="AC5612">
        <v>14.799300000000001</v>
      </c>
      <c r="AD5612">
        <v>6.3236889999999999</v>
      </c>
      <c r="AE5612">
        <v>-87.849056999999902</v>
      </c>
      <c r="AF5612">
        <v>43.241270361065702</v>
      </c>
      <c r="AG5612">
        <v>6.3236889999999999</v>
      </c>
      <c r="AH5612">
        <v>77.377587092740299</v>
      </c>
      <c r="AI5612">
        <v>85.919373259272504</v>
      </c>
      <c r="AJ5612">
        <v>60.802032052545002</v>
      </c>
      <c r="AK5612">
        <v>88.865558510044295</v>
      </c>
      <c r="AL5612">
        <v>89.259699585075296</v>
      </c>
      <c r="AM5612">
        <v>81.149624551679807</v>
      </c>
      <c r="AN5612">
        <v>0.99999998510857102</v>
      </c>
    </row>
    <row r="5613" spans="1:40" x14ac:dyDescent="0.25">
      <c r="A5613" t="str">
        <f>"20190312161129196"</f>
        <v>20190312161129196</v>
      </c>
      <c r="B5613" t="str">
        <f>"1552378289192994"</f>
        <v>1552378289192994</v>
      </c>
      <c r="C5613" t="s">
        <v>40</v>
      </c>
      <c r="D5613">
        <v>5.8009789999999999</v>
      </c>
      <c r="E5613">
        <v>0.63827719999999999</v>
      </c>
      <c r="F5613" t="s">
        <v>104</v>
      </c>
      <c r="G5613">
        <v>-290.23950000000002</v>
      </c>
      <c r="H5613">
        <v>8.0177359999999993</v>
      </c>
      <c r="I5613">
        <v>-79.671169999999904</v>
      </c>
      <c r="J5613">
        <v>-304.20780000000002</v>
      </c>
      <c r="K5613">
        <v>1.049169</v>
      </c>
      <c r="L5613">
        <v>7.9638369999999998</v>
      </c>
      <c r="M5613">
        <v>0.61436239999999998</v>
      </c>
      <c r="N5613">
        <v>0</v>
      </c>
      <c r="O5613">
        <v>-0.78886119999999904</v>
      </c>
      <c r="P5613">
        <v>0.48593700000000001</v>
      </c>
      <c r="Q5613">
        <v>1.08285E-3</v>
      </c>
      <c r="R5613">
        <v>-0.87399349999999998</v>
      </c>
      <c r="S5613">
        <v>0.50921629999999996</v>
      </c>
      <c r="T5613">
        <v>0.25131550000000002</v>
      </c>
      <c r="U5613">
        <v>-3.1681819999999998</v>
      </c>
      <c r="V5613">
        <v>0.15402829999999901</v>
      </c>
      <c r="W5613">
        <v>1.2820669999999999E-2</v>
      </c>
      <c r="X5613">
        <v>0.98798319999999995</v>
      </c>
      <c r="Y5613">
        <v>0.48156100000000002</v>
      </c>
      <c r="Z5613">
        <v>-4.9313309999999999E-2</v>
      </c>
      <c r="AA5613">
        <v>0.87502409999999997</v>
      </c>
      <c r="AB5613">
        <v>26</v>
      </c>
      <c r="AC5613">
        <v>13.968299999999999</v>
      </c>
      <c r="AD5613">
        <v>6.9685669999999904</v>
      </c>
      <c r="AE5613">
        <v>-87.635006999999902</v>
      </c>
      <c r="AF5613">
        <v>42.563636600142701</v>
      </c>
      <c r="AG5613">
        <v>6.9685669999999904</v>
      </c>
      <c r="AH5613">
        <v>77.247096136708805</v>
      </c>
      <c r="AI5613">
        <v>85.482385626540704</v>
      </c>
      <c r="AJ5613">
        <v>61.144958870151903</v>
      </c>
      <c r="AK5613">
        <v>88.4722439424729</v>
      </c>
      <c r="AL5613">
        <v>89.265409553171693</v>
      </c>
      <c r="AM5613">
        <v>81.138820165919</v>
      </c>
      <c r="AN5613">
        <v>0.99999994513118695</v>
      </c>
    </row>
    <row r="5614" spans="1:40" x14ac:dyDescent="0.25">
      <c r="A5614" t="str">
        <f>"20190312161129219"</f>
        <v>20190312161129219</v>
      </c>
      <c r="B5614" t="str">
        <f>"1552378289212513"</f>
        <v>1552378289212513</v>
      </c>
      <c r="C5614" t="s">
        <v>40</v>
      </c>
      <c r="D5614">
        <v>5.7967690000000003</v>
      </c>
      <c r="E5614">
        <v>0.63631870000000001</v>
      </c>
      <c r="F5614" t="s">
        <v>104</v>
      </c>
      <c r="G5614">
        <v>-290.47660000000002</v>
      </c>
      <c r="H5614">
        <v>7.6248969999999998</v>
      </c>
      <c r="I5614">
        <v>-79.671169999999904</v>
      </c>
      <c r="J5614">
        <v>-304.0521</v>
      </c>
      <c r="K5614">
        <v>1.0492060000000001</v>
      </c>
      <c r="L5614">
        <v>7.7368160000000001</v>
      </c>
      <c r="M5614">
        <v>0.60201380000000004</v>
      </c>
      <c r="N5614">
        <v>0</v>
      </c>
      <c r="O5614">
        <v>-0.79832479999999995</v>
      </c>
      <c r="P5614">
        <v>0.4716648</v>
      </c>
      <c r="Q5614">
        <v>1.2168050000000001E-3</v>
      </c>
      <c r="R5614">
        <v>-0.88177700000000003</v>
      </c>
      <c r="S5614">
        <v>0.49468990000000002</v>
      </c>
      <c r="T5614">
        <v>0.236902</v>
      </c>
      <c r="U5614">
        <v>-3.1571959999999999</v>
      </c>
      <c r="V5614">
        <v>0.15471889999999999</v>
      </c>
      <c r="W5614">
        <v>1.294082E-2</v>
      </c>
      <c r="X5614">
        <v>0.98787380000000002</v>
      </c>
      <c r="Y5614">
        <v>0.47134710000000002</v>
      </c>
      <c r="Z5614">
        <v>-4.7897240000000001E-2</v>
      </c>
      <c r="AA5614">
        <v>0.88064619999999905</v>
      </c>
      <c r="AB5614">
        <v>26</v>
      </c>
      <c r="AC5614">
        <v>13.5754999999999</v>
      </c>
      <c r="AD5614">
        <v>6.575691</v>
      </c>
      <c r="AE5614">
        <v>-87.407985999999994</v>
      </c>
      <c r="AF5614">
        <v>41.558859704735802</v>
      </c>
      <c r="AG5614">
        <v>6.575691</v>
      </c>
      <c r="AH5614">
        <v>77.534144637217594</v>
      </c>
      <c r="AI5614">
        <v>85.725123238273397</v>
      </c>
      <c r="AJ5614">
        <v>61.808371203304603</v>
      </c>
      <c r="AK5614">
        <v>88.215203432913896</v>
      </c>
      <c r="AL5614">
        <v>89.258524952049896</v>
      </c>
      <c r="AM5614">
        <v>81.098755061157505</v>
      </c>
      <c r="AN5614">
        <v>1.00000002378296</v>
      </c>
    </row>
    <row r="5615" spans="1:40" x14ac:dyDescent="0.25">
      <c r="A5615" t="str">
        <f>"20190312161129242"</f>
        <v>20190312161129242</v>
      </c>
      <c r="B5615" t="str">
        <f>"1552378289233009"</f>
        <v>1552378289233009</v>
      </c>
      <c r="C5615" t="s">
        <v>40</v>
      </c>
      <c r="D5615">
        <v>6.0054030000000003</v>
      </c>
      <c r="E5615">
        <v>0.63463789999999998</v>
      </c>
      <c r="F5615" t="s">
        <v>104</v>
      </c>
      <c r="G5615">
        <v>-291.41469999999998</v>
      </c>
      <c r="H5615">
        <v>7.1146869999999902</v>
      </c>
      <c r="I5615">
        <v>-79.671180000000007</v>
      </c>
      <c r="J5615">
        <v>-303.90100000000001</v>
      </c>
      <c r="K5615">
        <v>1.04924</v>
      </c>
      <c r="L5615">
        <v>7.5089110000000003</v>
      </c>
      <c r="M5615">
        <v>0.58959890000000004</v>
      </c>
      <c r="N5615">
        <v>0</v>
      </c>
      <c r="O5615">
        <v>-0.80753730000000001</v>
      </c>
      <c r="P5615">
        <v>0.45710719999999999</v>
      </c>
      <c r="Q5615">
        <v>1.411259E-3</v>
      </c>
      <c r="R5615">
        <v>-0.8894107</v>
      </c>
      <c r="S5615">
        <v>0.45654299999999998</v>
      </c>
      <c r="T5615">
        <v>0.21912300000000001</v>
      </c>
      <c r="U5615">
        <v>-3.157715</v>
      </c>
      <c r="V5615">
        <v>0.15568689999999999</v>
      </c>
      <c r="W5615">
        <v>1.311438E-2</v>
      </c>
      <c r="X5615">
        <v>0.98771940000000003</v>
      </c>
      <c r="Y5615">
        <v>0.46812749999999997</v>
      </c>
      <c r="Z5615">
        <v>-4.5311209999999998E-2</v>
      </c>
      <c r="AA5615">
        <v>0.88249840000000002</v>
      </c>
      <c r="AB5615">
        <v>26</v>
      </c>
      <c r="AC5615">
        <v>12.4863</v>
      </c>
      <c r="AD5615">
        <v>6.06544699999999</v>
      </c>
      <c r="AE5615">
        <v>-87.180091000000004</v>
      </c>
      <c r="AF5615">
        <v>41.128355423323598</v>
      </c>
      <c r="AG5615">
        <v>6.06544699999999</v>
      </c>
      <c r="AH5615">
        <v>77.405912253794099</v>
      </c>
      <c r="AI5615">
        <v>86.041577437490105</v>
      </c>
      <c r="AJ5615">
        <v>62.016793915769703</v>
      </c>
      <c r="AK5615">
        <v>87.863567643131304</v>
      </c>
      <c r="AL5615">
        <v>89.248579839047906</v>
      </c>
      <c r="AM5615">
        <v>81.042587037334499</v>
      </c>
      <c r="AN5615">
        <v>1.0000000054653699</v>
      </c>
    </row>
    <row r="5616" spans="1:40" x14ac:dyDescent="0.25">
      <c r="A5616" t="str">
        <f>"20190312161129274"</f>
        <v>20190312161129274</v>
      </c>
      <c r="B5616" t="str">
        <f>"1552378289262289"</f>
        <v>1552378289262289</v>
      </c>
      <c r="C5616" t="s">
        <v>40</v>
      </c>
      <c r="D5616">
        <v>5.8774629999999997</v>
      </c>
      <c r="E5616">
        <v>0.6322854</v>
      </c>
      <c r="F5616" t="s">
        <v>104</v>
      </c>
      <c r="G5616">
        <v>-292.4051</v>
      </c>
      <c r="H5616">
        <v>7.1111820000000003</v>
      </c>
      <c r="I5616">
        <v>-79.671169999999904</v>
      </c>
      <c r="J5616">
        <v>-303.6925</v>
      </c>
      <c r="K5616">
        <v>1.049291</v>
      </c>
      <c r="L5616">
        <v>7.1806340000000004</v>
      </c>
      <c r="M5616">
        <v>0.57169559999999997</v>
      </c>
      <c r="N5616">
        <v>0</v>
      </c>
      <c r="O5616">
        <v>-0.82030949999999903</v>
      </c>
      <c r="P5616">
        <v>0.43790829999999997</v>
      </c>
      <c r="Q5616">
        <v>1.602689E-3</v>
      </c>
      <c r="R5616">
        <v>-0.89901830000000005</v>
      </c>
      <c r="S5616">
        <v>0.41650389999999998</v>
      </c>
      <c r="T5616">
        <v>0.2196292</v>
      </c>
      <c r="U5616">
        <v>-3.1585999999999999</v>
      </c>
      <c r="V5616">
        <v>0.15517059999999999</v>
      </c>
      <c r="W5616">
        <v>1.332941E-2</v>
      </c>
      <c r="X5616">
        <v>0.9877977</v>
      </c>
      <c r="Y5616">
        <v>0.45969579999999999</v>
      </c>
      <c r="Z5616">
        <v>-4.6863059999999998E-2</v>
      </c>
      <c r="AA5616">
        <v>0.88683919999999905</v>
      </c>
      <c r="AB5616">
        <v>26</v>
      </c>
      <c r="AC5616">
        <v>11.2873999999999</v>
      </c>
      <c r="AD5616">
        <v>6.0618910000000001</v>
      </c>
      <c r="AE5616">
        <v>-86.851803999999902</v>
      </c>
      <c r="AF5616">
        <v>40.206204050142397</v>
      </c>
      <c r="AG5616">
        <v>6.0618910000000001</v>
      </c>
      <c r="AH5616">
        <v>77.337792325243299</v>
      </c>
      <c r="AI5616">
        <v>86.021752868811404</v>
      </c>
      <c r="AJ5616">
        <v>62.531078354602997</v>
      </c>
      <c r="AK5616">
        <v>87.375165169286106</v>
      </c>
      <c r="AL5616">
        <v>89.236258402251295</v>
      </c>
      <c r="AM5616">
        <v>81.072509251977905</v>
      </c>
      <c r="AN5616">
        <v>0.99999994220029698</v>
      </c>
    </row>
    <row r="5617" spans="1:40" x14ac:dyDescent="0.25">
      <c r="A5617" t="str">
        <f>"20190312161129302"</f>
        <v>20190312161129302</v>
      </c>
      <c r="B5617" t="str">
        <f>"1552378289292545"</f>
        <v>1552378289292545</v>
      </c>
      <c r="C5617" t="s">
        <v>40</v>
      </c>
      <c r="D5617">
        <v>6.0044519999999997</v>
      </c>
      <c r="E5617">
        <v>0.63221629999999995</v>
      </c>
      <c r="F5617" t="s">
        <v>104</v>
      </c>
      <c r="G5617">
        <v>-293.64019999999999</v>
      </c>
      <c r="H5617">
        <v>7.0158160000000001</v>
      </c>
      <c r="I5617">
        <v>-79.671169999999904</v>
      </c>
      <c r="J5617">
        <v>-303.51960000000003</v>
      </c>
      <c r="K5617">
        <v>1.049337</v>
      </c>
      <c r="L5617">
        <v>6.89639299999999</v>
      </c>
      <c r="M5617">
        <v>0.55615150000000002</v>
      </c>
      <c r="N5617">
        <v>0</v>
      </c>
      <c r="O5617">
        <v>-0.83092679999999997</v>
      </c>
      <c r="P5617">
        <v>0.42171350000000002</v>
      </c>
      <c r="Q5617">
        <v>1.466413E-3</v>
      </c>
      <c r="R5617">
        <v>-0.90672830000000004</v>
      </c>
      <c r="S5617">
        <v>0.36557010000000001</v>
      </c>
      <c r="T5617">
        <v>0.21698300000000001</v>
      </c>
      <c r="U5617">
        <v>-3.1585079999999999</v>
      </c>
      <c r="V5617">
        <v>0.15428629999999999</v>
      </c>
      <c r="W5617">
        <v>1.322595E-2</v>
      </c>
      <c r="X5617">
        <v>0.98793759999999997</v>
      </c>
      <c r="Y5617">
        <v>0.45706200000000002</v>
      </c>
      <c r="Z5617">
        <v>-4.7432139999999998E-2</v>
      </c>
      <c r="AA5617">
        <v>0.88816919999999899</v>
      </c>
      <c r="AB5617">
        <v>26</v>
      </c>
      <c r="AC5617">
        <v>9.8794000000000306</v>
      </c>
      <c r="AD5617">
        <v>5.9664789999999996</v>
      </c>
      <c r="AE5617">
        <v>-86.567562999999893</v>
      </c>
      <c r="AF5617">
        <v>39.754318690283696</v>
      </c>
      <c r="AG5617">
        <v>5.9664789999999996</v>
      </c>
      <c r="AH5617">
        <v>77.074247297151302</v>
      </c>
      <c r="AI5617">
        <v>86.064285435030698</v>
      </c>
      <c r="AJ5617">
        <v>62.715655752896701</v>
      </c>
      <c r="AK5617">
        <v>86.927810984796594</v>
      </c>
      <c r="AL5617">
        <v>89.242186748517895</v>
      </c>
      <c r="AM5617">
        <v>81.123810514883601</v>
      </c>
      <c r="AN5617">
        <v>0.99999994480742405</v>
      </c>
    </row>
    <row r="5618" spans="1:40" x14ac:dyDescent="0.25">
      <c r="A5618" t="str">
        <f>"20190312161129326"</f>
        <v>20190312161129326</v>
      </c>
      <c r="B5618" t="str">
        <f>"1552378289322801"</f>
        <v>1552378289322801</v>
      </c>
      <c r="C5618" t="s">
        <v>40</v>
      </c>
      <c r="D5618">
        <v>5.8206179999999996</v>
      </c>
      <c r="E5618">
        <v>0.60824809999999996</v>
      </c>
      <c r="F5618" t="s">
        <v>41</v>
      </c>
      <c r="G5618">
        <v>-301.93189999999998</v>
      </c>
      <c r="H5618" s="1">
        <v>-5.5256989999999999E-7</v>
      </c>
      <c r="I5618">
        <v>-9.3811199999999992</v>
      </c>
      <c r="J5618">
        <v>-303.37869999999998</v>
      </c>
      <c r="K5618">
        <v>1.049369</v>
      </c>
      <c r="L5618">
        <v>6.6550900000000004</v>
      </c>
      <c r="M5618">
        <v>0.54294219999999904</v>
      </c>
      <c r="N5618">
        <v>0</v>
      </c>
      <c r="O5618">
        <v>-0.83961779999999997</v>
      </c>
      <c r="P5618">
        <v>0.40893279999999999</v>
      </c>
      <c r="Q5618">
        <v>1.7672059999999999E-3</v>
      </c>
      <c r="R5618">
        <v>-0.91256320000000002</v>
      </c>
      <c r="S5618">
        <v>0.30874629999999997</v>
      </c>
      <c r="T5618">
        <v>-0.2040554</v>
      </c>
      <c r="U5618">
        <v>-3.1653440000000002</v>
      </c>
      <c r="V5618">
        <v>0.15254999999999999</v>
      </c>
      <c r="W5618">
        <v>1.358211E-2</v>
      </c>
      <c r="X5618">
        <v>0.98820249999999998</v>
      </c>
      <c r="Y5618">
        <v>0.45897640000000001</v>
      </c>
      <c r="Z5618">
        <v>4.5326930000000001E-2</v>
      </c>
      <c r="AA5618">
        <v>0.88729139999999995</v>
      </c>
      <c r="AB5618">
        <v>26</v>
      </c>
      <c r="AC5618">
        <v>1.4467999999999901</v>
      </c>
      <c r="AD5618">
        <v>-1.0493695525699001</v>
      </c>
      <c r="AE5618">
        <v>-16.036209999999901</v>
      </c>
      <c r="AF5618">
        <v>7.4612426249259398</v>
      </c>
      <c r="AG5618">
        <v>-1.0493695525699001</v>
      </c>
      <c r="AH5618">
        <v>14.1913607399865</v>
      </c>
      <c r="AI5618">
        <v>93.744645926010193</v>
      </c>
      <c r="AJ5618">
        <v>62.266424591623597</v>
      </c>
      <c r="AK5618">
        <v>16.067546098216202</v>
      </c>
      <c r="AL5618">
        <v>89.221778553144205</v>
      </c>
      <c r="AM5618">
        <v>81.224453015779204</v>
      </c>
      <c r="AN5618">
        <v>1.0000000786091401</v>
      </c>
    </row>
    <row r="5619" spans="1:40" x14ac:dyDescent="0.25">
      <c r="A5619" t="str">
        <f>"20190312161129348"</f>
        <v>20190312161129348</v>
      </c>
      <c r="B5619" t="str">
        <f>"1552378289342321"</f>
        <v>1552378289342321</v>
      </c>
      <c r="C5619" t="s">
        <v>40</v>
      </c>
      <c r="D5619">
        <v>6.013077</v>
      </c>
      <c r="E5619">
        <v>0.60499899999999995</v>
      </c>
      <c r="F5619" t="s">
        <v>104</v>
      </c>
      <c r="G5619">
        <v>-289.4282</v>
      </c>
      <c r="H5619">
        <v>3.8000980000000002</v>
      </c>
      <c r="I5619">
        <v>-91.564989999999995</v>
      </c>
      <c r="J5619">
        <v>-303.24880000000002</v>
      </c>
      <c r="K5619">
        <v>1.0493980000000001</v>
      </c>
      <c r="L5619">
        <v>6.424042</v>
      </c>
      <c r="M5619">
        <v>0.53027800000000003</v>
      </c>
      <c r="N5619">
        <v>0</v>
      </c>
      <c r="O5619">
        <v>-0.84767309999999996</v>
      </c>
      <c r="P5619">
        <v>0.39754879999999998</v>
      </c>
      <c r="Q5619">
        <v>2.2173850000000001E-3</v>
      </c>
      <c r="R5619">
        <v>-0.91757849999999996</v>
      </c>
      <c r="S5619">
        <v>0.43896479999999999</v>
      </c>
      <c r="T5619">
        <v>8.6554290000000006E-2</v>
      </c>
      <c r="U5619">
        <v>-3.090576</v>
      </c>
      <c r="V5619">
        <v>0.15001970000000001</v>
      </c>
      <c r="W5619">
        <v>1.410992E-2</v>
      </c>
      <c r="X5619">
        <v>0.98858230000000002</v>
      </c>
      <c r="Y5619">
        <v>0.40588380000000002</v>
      </c>
      <c r="Z5619">
        <v>-2.0381420000000001E-2</v>
      </c>
      <c r="AA5619">
        <v>0.91369739999999999</v>
      </c>
      <c r="AB5619">
        <v>26</v>
      </c>
      <c r="AC5619">
        <v>13.820600000000001</v>
      </c>
      <c r="AD5619">
        <v>2.7507000000000001</v>
      </c>
      <c r="AE5619">
        <v>-97.989031999999995</v>
      </c>
      <c r="AF5619">
        <v>40.220144984646197</v>
      </c>
      <c r="AG5619">
        <v>2.7507000000000001</v>
      </c>
      <c r="AH5619">
        <v>90.333184009121894</v>
      </c>
      <c r="AI5619">
        <v>88.406564318878694</v>
      </c>
      <c r="AJ5619">
        <v>65.999354086094002</v>
      </c>
      <c r="AK5619">
        <v>98.920728597710195</v>
      </c>
      <c r="AL5619">
        <v>89.191534292490005</v>
      </c>
      <c r="AM5619">
        <v>81.371066077833405</v>
      </c>
      <c r="AN5619">
        <v>0.999999982051893</v>
      </c>
    </row>
    <row r="5620" spans="1:40" x14ac:dyDescent="0.25">
      <c r="A5620" t="str">
        <f>"20190312161129368"</f>
        <v>20190312161129368</v>
      </c>
      <c r="B5620" t="str">
        <f>"1552378289362817"</f>
        <v>1552378289362817</v>
      </c>
      <c r="C5620" t="s">
        <v>40</v>
      </c>
      <c r="D5620">
        <v>5.8314510000000004</v>
      </c>
      <c r="E5620">
        <v>0.60449119999999901</v>
      </c>
      <c r="F5620" t="s">
        <v>104</v>
      </c>
      <c r="G5620">
        <v>-289.77429999999998</v>
      </c>
      <c r="H5620">
        <v>3.3357109999999999</v>
      </c>
      <c r="I5620">
        <v>-91.564989999999995</v>
      </c>
      <c r="J5620">
        <v>-303.13069999999999</v>
      </c>
      <c r="K5620">
        <v>1.0494319999999999</v>
      </c>
      <c r="L5620">
        <v>6.2069700000000001</v>
      </c>
      <c r="M5620">
        <v>0.51836380000000004</v>
      </c>
      <c r="N5620">
        <v>0</v>
      </c>
      <c r="O5620">
        <v>-0.85501090000000002</v>
      </c>
      <c r="P5620">
        <v>0.38741520000000002</v>
      </c>
      <c r="Q5620">
        <v>2.0147619999999998E-3</v>
      </c>
      <c r="R5620">
        <v>-0.92190309999999998</v>
      </c>
      <c r="S5620">
        <v>0.42428589999999999</v>
      </c>
      <c r="T5620">
        <v>7.1991799999999995E-2</v>
      </c>
      <c r="U5620">
        <v>-3.08548</v>
      </c>
      <c r="V5620">
        <v>0.147070799999999</v>
      </c>
      <c r="W5620">
        <v>1.399597E-2</v>
      </c>
      <c r="X5620">
        <v>0.98902699999999999</v>
      </c>
      <c r="Y5620">
        <v>0.39712259999999999</v>
      </c>
      <c r="Z5620">
        <v>-1.7280400000000001E-2</v>
      </c>
      <c r="AA5620">
        <v>0.9176029</v>
      </c>
      <c r="AB5620">
        <v>26</v>
      </c>
      <c r="AC5620">
        <v>13.356400000000001</v>
      </c>
      <c r="AD5620">
        <v>2.286279</v>
      </c>
      <c r="AE5620">
        <v>-97.771959999999893</v>
      </c>
      <c r="AF5620">
        <v>39.245524074099997</v>
      </c>
      <c r="AG5620">
        <v>2.286279</v>
      </c>
      <c r="AH5620">
        <v>90.482554624798595</v>
      </c>
      <c r="AI5620">
        <v>88.672061856219699</v>
      </c>
      <c r="AJ5620">
        <v>66.551895480880304</v>
      </c>
      <c r="AK5620">
        <v>98.653590522323398</v>
      </c>
      <c r="AL5620">
        <v>89.198063851612801</v>
      </c>
      <c r="AM5620">
        <v>81.541952884599297</v>
      </c>
      <c r="AN5620">
        <v>1.00000005705893</v>
      </c>
    </row>
    <row r="5621" spans="1:40" x14ac:dyDescent="0.25">
      <c r="A5621" t="str">
        <f>"20190312161129409"</f>
        <v>20190312161129409</v>
      </c>
      <c r="B5621" t="str">
        <f>"1552378289402833"</f>
        <v>1552378289402833</v>
      </c>
      <c r="C5621" t="s">
        <v>40</v>
      </c>
      <c r="D5621">
        <v>5.7308849999999998</v>
      </c>
      <c r="E5621">
        <v>0.6039873</v>
      </c>
      <c r="F5621" t="s">
        <v>104</v>
      </c>
      <c r="G5621">
        <v>-290.6601</v>
      </c>
      <c r="H5621">
        <v>3.6014599999999999</v>
      </c>
      <c r="I5621">
        <v>-91.564989999999995</v>
      </c>
      <c r="J5621">
        <v>-302.90809999999999</v>
      </c>
      <c r="K5621">
        <v>1.049493</v>
      </c>
      <c r="L5621">
        <v>5.7766719999999996</v>
      </c>
      <c r="M5621">
        <v>0.494701</v>
      </c>
      <c r="N5621">
        <v>0</v>
      </c>
      <c r="O5621">
        <v>-0.86891659999999904</v>
      </c>
      <c r="P5621">
        <v>0.3657128</v>
      </c>
      <c r="Q5621">
        <v>4.4596129999999998E-4</v>
      </c>
      <c r="R5621">
        <v>-0.93072770000000005</v>
      </c>
      <c r="S5621">
        <v>0.39392090000000002</v>
      </c>
      <c r="T5621">
        <v>8.0613610000000002E-2</v>
      </c>
      <c r="U5621">
        <v>-3.088409</v>
      </c>
      <c r="V5621">
        <v>0.1430497</v>
      </c>
      <c r="W5621">
        <v>1.2548419999999999E-2</v>
      </c>
      <c r="X5621">
        <v>0.98963590000000001</v>
      </c>
      <c r="Y5621">
        <v>0.38085799999999997</v>
      </c>
      <c r="Z5621">
        <v>-1.9959930000000001E-2</v>
      </c>
      <c r="AA5621">
        <v>0.92441810000000002</v>
      </c>
      <c r="AB5621">
        <v>26</v>
      </c>
      <c r="AC5621">
        <v>12.2479999999999</v>
      </c>
      <c r="AD5621">
        <v>2.5519669999999999</v>
      </c>
      <c r="AE5621">
        <v>-97.341661999999999</v>
      </c>
      <c r="AF5621">
        <v>37.491941230010298</v>
      </c>
      <c r="AG5621">
        <v>2.5519669999999999</v>
      </c>
      <c r="AH5621">
        <v>90.591142744647399</v>
      </c>
      <c r="AI5621">
        <v>88.508979207957395</v>
      </c>
      <c r="AJ5621">
        <v>67.517352046486195</v>
      </c>
      <c r="AK5621">
        <v>98.076058936647399</v>
      </c>
      <c r="AL5621">
        <v>89.281009586477097</v>
      </c>
      <c r="AM5621">
        <v>81.774989582624102</v>
      </c>
      <c r="AN5621">
        <v>0.99999994704169604</v>
      </c>
    </row>
    <row r="5622" spans="1:40" x14ac:dyDescent="0.25">
      <c r="A5622" t="str">
        <f>"20190312161129433"</f>
        <v>20190312161129433</v>
      </c>
      <c r="B5622" t="str">
        <f>"1552378289422354"</f>
        <v>1552378289422354</v>
      </c>
      <c r="C5622" t="s">
        <v>40</v>
      </c>
      <c r="D5622">
        <v>6.1143720000000004</v>
      </c>
      <c r="E5622">
        <v>0.60329259999999996</v>
      </c>
      <c r="F5622" t="s">
        <v>104</v>
      </c>
      <c r="G5622">
        <v>-292.66879999999998</v>
      </c>
      <c r="H5622">
        <v>3.6145969999999998</v>
      </c>
      <c r="I5622">
        <v>-91.564989999999995</v>
      </c>
      <c r="J5622">
        <v>-302.78519999999997</v>
      </c>
      <c r="K5622">
        <v>1.049534</v>
      </c>
      <c r="L5622">
        <v>5.5258180000000001</v>
      </c>
      <c r="M5622">
        <v>0.48088619999999999</v>
      </c>
      <c r="N5622">
        <v>0</v>
      </c>
      <c r="O5622">
        <v>-0.87663769999999996</v>
      </c>
      <c r="P5622">
        <v>0.3518638</v>
      </c>
      <c r="Q5622">
        <v>-1.6178880000000001E-4</v>
      </c>
      <c r="R5622">
        <v>-0.93605119999999997</v>
      </c>
      <c r="S5622">
        <v>0.32559199999999999</v>
      </c>
      <c r="T5622">
        <v>8.1566570000000005E-2</v>
      </c>
      <c r="U5622">
        <v>-3.0953059999999999</v>
      </c>
      <c r="V5622">
        <v>0.14205200000000001</v>
      </c>
      <c r="W5622">
        <v>1.19734E-2</v>
      </c>
      <c r="X5622">
        <v>0.98978679999999997</v>
      </c>
      <c r="Y5622">
        <v>0.38660820000000001</v>
      </c>
      <c r="Z5622">
        <v>-2.0435620000000002E-2</v>
      </c>
      <c r="AA5622">
        <v>0.92201759999999999</v>
      </c>
      <c r="AB5622">
        <v>26</v>
      </c>
      <c r="AC5622">
        <v>10.116400000000001</v>
      </c>
      <c r="AD5622">
        <v>2.5650629999999999</v>
      </c>
      <c r="AE5622">
        <v>-97.090807999999996</v>
      </c>
      <c r="AF5622">
        <v>37.799931488300402</v>
      </c>
      <c r="AG5622">
        <v>2.5650629999999999</v>
      </c>
      <c r="AH5622">
        <v>89.927672307923103</v>
      </c>
      <c r="AI5622">
        <v>88.4937485779745</v>
      </c>
      <c r="AJ5622">
        <v>67.201180992126297</v>
      </c>
      <c r="AK5622">
        <v>97.582788520493594</v>
      </c>
      <c r="AL5622">
        <v>89.313958335393096</v>
      </c>
      <c r="AM5622">
        <v>81.832806634638501</v>
      </c>
      <c r="AN5622">
        <v>1.0000000212328899</v>
      </c>
    </row>
    <row r="5623" spans="1:40" x14ac:dyDescent="0.25">
      <c r="A5623" t="str">
        <f>"20190312161129454"</f>
        <v>20190312161129454</v>
      </c>
      <c r="B5623" t="str">
        <f>"1552378289442850"</f>
        <v>1552378289442850</v>
      </c>
      <c r="C5623" t="s">
        <v>40</v>
      </c>
      <c r="D5623">
        <v>5.8041600000000004</v>
      </c>
      <c r="E5623">
        <v>0.60231319999999999</v>
      </c>
      <c r="F5623" t="s">
        <v>104</v>
      </c>
      <c r="G5623">
        <v>-293.8578</v>
      </c>
      <c r="H5623">
        <v>3.214718</v>
      </c>
      <c r="I5623">
        <v>-91.564989999999995</v>
      </c>
      <c r="J5623">
        <v>-302.67529999999999</v>
      </c>
      <c r="K5623">
        <v>1.0495650000000001</v>
      </c>
      <c r="L5623">
        <v>5.292389</v>
      </c>
      <c r="M5623">
        <v>0.46801680000000001</v>
      </c>
      <c r="N5623">
        <v>0</v>
      </c>
      <c r="O5623">
        <v>-0.88357569999999996</v>
      </c>
      <c r="P5623">
        <v>0.33889530000000001</v>
      </c>
      <c r="Q5623">
        <v>-9.7045029999999997E-4</v>
      </c>
      <c r="R5623">
        <v>-0.94082410000000005</v>
      </c>
      <c r="S5623">
        <v>0.28485110000000002</v>
      </c>
      <c r="T5623">
        <v>6.9085480000000005E-2</v>
      </c>
      <c r="U5623">
        <v>-3.0979000000000001</v>
      </c>
      <c r="V5623">
        <v>0.14123479999999999</v>
      </c>
      <c r="W5623">
        <v>1.119144E-2</v>
      </c>
      <c r="X5623">
        <v>0.98991289999999998</v>
      </c>
      <c r="Y5623">
        <v>0.38520759999999998</v>
      </c>
      <c r="Z5623">
        <v>-1.753774E-2</v>
      </c>
      <c r="AA5623">
        <v>0.92266329999999996</v>
      </c>
      <c r="AB5623">
        <v>26</v>
      </c>
      <c r="AC5623">
        <v>8.8174999999999901</v>
      </c>
      <c r="AD5623">
        <v>2.1651530000000001</v>
      </c>
      <c r="AE5623">
        <v>-96.857378999999995</v>
      </c>
      <c r="AF5623">
        <v>37.526127374640801</v>
      </c>
      <c r="AG5623">
        <v>2.1651530000000001</v>
      </c>
      <c r="AH5623">
        <v>89.674528867009698</v>
      </c>
      <c r="AI5623">
        <v>88.724061647664399</v>
      </c>
      <c r="AJ5623">
        <v>67.292137754317096</v>
      </c>
      <c r="AK5623">
        <v>97.233837992600797</v>
      </c>
      <c r="AL5623">
        <v>89.358764356604098</v>
      </c>
      <c r="AM5623">
        <v>81.880183233203795</v>
      </c>
      <c r="AN5623">
        <v>1.0000000333233601</v>
      </c>
    </row>
    <row r="5624" spans="1:40" x14ac:dyDescent="0.25">
      <c r="A5624" t="str">
        <f>"20190312161129480"</f>
        <v>20190312161129480</v>
      </c>
      <c r="B5624" t="str">
        <f>"1552378289473105"</f>
        <v>1552378289473105</v>
      </c>
      <c r="C5624" t="s">
        <v>40</v>
      </c>
      <c r="D5624">
        <v>6.3557379999999997</v>
      </c>
      <c r="E5624">
        <v>0.60571129999999995</v>
      </c>
      <c r="F5624" t="s">
        <v>104</v>
      </c>
      <c r="G5624">
        <v>-294.88839999999999</v>
      </c>
      <c r="H5624">
        <v>3.0730569999999999</v>
      </c>
      <c r="I5624">
        <v>-91.564989999999995</v>
      </c>
      <c r="J5624">
        <v>-302.54969999999997</v>
      </c>
      <c r="K5624">
        <v>1.0496080000000001</v>
      </c>
      <c r="L5624">
        <v>5.0149540000000004</v>
      </c>
      <c r="M5624">
        <v>0.45271080000000002</v>
      </c>
      <c r="N5624">
        <v>0</v>
      </c>
      <c r="O5624">
        <v>-0.8915151</v>
      </c>
      <c r="P5624">
        <v>0.32298070000000001</v>
      </c>
      <c r="Q5624">
        <v>-2.2801090000000002E-3</v>
      </c>
      <c r="R5624">
        <v>-0.94640299999999999</v>
      </c>
      <c r="S5624">
        <v>0.24914549999999999</v>
      </c>
      <c r="T5624">
        <v>6.4743040000000002E-2</v>
      </c>
      <c r="U5624">
        <v>-3.0989990000000001</v>
      </c>
      <c r="V5624">
        <v>0.140822799999999</v>
      </c>
      <c r="W5624">
        <v>9.8983260000000007E-3</v>
      </c>
      <c r="X5624">
        <v>0.98998529999999996</v>
      </c>
      <c r="Y5624">
        <v>0.37986829999999999</v>
      </c>
      <c r="Z5624">
        <v>-1.670371E-2</v>
      </c>
      <c r="AA5624">
        <v>0.92488970000000004</v>
      </c>
      <c r="AB5624">
        <v>26</v>
      </c>
      <c r="AC5624">
        <v>7.6612999999999802</v>
      </c>
      <c r="AD5624">
        <v>2.0234489999999998</v>
      </c>
      <c r="AE5624">
        <v>-96.579943999999998</v>
      </c>
      <c r="AF5624">
        <v>36.881213256437398</v>
      </c>
      <c r="AG5624">
        <v>2.0234489999999998</v>
      </c>
      <c r="AH5624">
        <v>89.543139728904194</v>
      </c>
      <c r="AI5624">
        <v>88.803005893646301</v>
      </c>
      <c r="AJ5624">
        <v>67.614115833751995</v>
      </c>
      <c r="AK5624">
        <v>96.8622326277506</v>
      </c>
      <c r="AL5624">
        <v>89.432858415310903</v>
      </c>
      <c r="AM5624">
        <v>81.904139526456902</v>
      </c>
      <c r="AN5624">
        <v>0.999999966036765</v>
      </c>
    </row>
    <row r="5625" spans="1:40" x14ac:dyDescent="0.25">
      <c r="A5625" t="str">
        <f>"20190312161129508"</f>
        <v>20190312161129508</v>
      </c>
      <c r="B5625" t="str">
        <f>"1552378289502385"</f>
        <v>1552378289502385</v>
      </c>
      <c r="C5625" t="s">
        <v>40</v>
      </c>
      <c r="D5625">
        <v>6.1908859999999999</v>
      </c>
      <c r="E5625">
        <v>0.60341859999999903</v>
      </c>
      <c r="F5625" t="s">
        <v>41</v>
      </c>
      <c r="G5625">
        <v>-301.78320000000002</v>
      </c>
      <c r="H5625" s="1">
        <v>-7.0027699999999999E-7</v>
      </c>
      <c r="I5625">
        <v>-8.9849730000000001</v>
      </c>
      <c r="J5625">
        <v>-302.42720000000003</v>
      </c>
      <c r="K5625">
        <v>1.0496620000000001</v>
      </c>
      <c r="L5625">
        <v>4.7308960000000004</v>
      </c>
      <c r="M5625">
        <v>0.43704539999999997</v>
      </c>
      <c r="N5625">
        <v>0</v>
      </c>
      <c r="O5625">
        <v>-0.8992985</v>
      </c>
      <c r="P5625">
        <v>0.30675059999999998</v>
      </c>
      <c r="Q5625">
        <v>-3.064972E-3</v>
      </c>
      <c r="R5625">
        <v>-0.95178510000000005</v>
      </c>
      <c r="S5625">
        <v>0.1703491</v>
      </c>
      <c r="T5625">
        <v>-0.23325470000000001</v>
      </c>
      <c r="U5625">
        <v>-3.1112060000000001</v>
      </c>
      <c r="V5625">
        <v>0.14040949999999999</v>
      </c>
      <c r="W5625">
        <v>9.1306549999999997E-3</v>
      </c>
      <c r="X5625">
        <v>0.99005140000000003</v>
      </c>
      <c r="Y5625">
        <v>0.3873357</v>
      </c>
      <c r="Z5625">
        <v>6.0576999999999999E-2</v>
      </c>
      <c r="AA5625">
        <v>0.9199465</v>
      </c>
      <c r="AB5625">
        <v>26</v>
      </c>
      <c r="AC5625">
        <v>0.64400000000000501</v>
      </c>
      <c r="AD5625">
        <v>-1.049662700277</v>
      </c>
      <c r="AE5625">
        <v>-13.715869</v>
      </c>
      <c r="AF5625">
        <v>5.3845296142147703</v>
      </c>
      <c r="AG5625">
        <v>-1.049662700277</v>
      </c>
      <c r="AH5625">
        <v>12.544410001264</v>
      </c>
      <c r="AI5625">
        <v>94.396911431464403</v>
      </c>
      <c r="AJ5625">
        <v>66.769182108599196</v>
      </c>
      <c r="AK5625">
        <v>13.691500035807699</v>
      </c>
      <c r="AL5625">
        <v>89.476844727459607</v>
      </c>
      <c r="AM5625">
        <v>81.928118227943401</v>
      </c>
      <c r="AN5625">
        <v>0.99999998559646897</v>
      </c>
    </row>
    <row r="5626" spans="1:40" x14ac:dyDescent="0.25">
      <c r="A5626" t="str">
        <f>"20190312161129542"</f>
        <v>20190312161129542</v>
      </c>
      <c r="B5626" t="str">
        <f>"1552378289532641"</f>
        <v>1552378289532641</v>
      </c>
      <c r="C5626" t="s">
        <v>40</v>
      </c>
      <c r="D5626">
        <v>6.1310379999999904</v>
      </c>
      <c r="E5626">
        <v>0.60208709999999999</v>
      </c>
      <c r="F5626" t="s">
        <v>41</v>
      </c>
      <c r="G5626">
        <v>-301.90949999999998</v>
      </c>
      <c r="H5626" s="1">
        <v>-1.5394639999999999E-6</v>
      </c>
      <c r="I5626">
        <v>-7.2807630000000003</v>
      </c>
      <c r="J5626">
        <v>-302.26650000000001</v>
      </c>
      <c r="K5626">
        <v>1.049747</v>
      </c>
      <c r="L5626">
        <v>4.3357849999999996</v>
      </c>
      <c r="M5626">
        <v>0.41528759999999998</v>
      </c>
      <c r="N5626">
        <v>0</v>
      </c>
      <c r="O5626">
        <v>-0.90955129999999995</v>
      </c>
      <c r="P5626">
        <v>0.28504400000000002</v>
      </c>
      <c r="Q5626">
        <v>-4.0273330000000001E-3</v>
      </c>
      <c r="R5626">
        <v>-0.95850639999999998</v>
      </c>
      <c r="S5626">
        <v>0.13397220000000001</v>
      </c>
      <c r="T5626">
        <v>-0.27159119999999998</v>
      </c>
      <c r="U5626">
        <v>-3.10791</v>
      </c>
      <c r="V5626">
        <v>0.13906360000000001</v>
      </c>
      <c r="W5626">
        <v>8.2146839999999999E-3</v>
      </c>
      <c r="X5626">
        <v>0.99024939999999995</v>
      </c>
      <c r="Y5626">
        <v>0.37584040000000002</v>
      </c>
      <c r="Z5626">
        <v>7.2086689999999995E-2</v>
      </c>
      <c r="AA5626">
        <v>0.92387629999999998</v>
      </c>
      <c r="AB5626">
        <v>26</v>
      </c>
      <c r="AC5626">
        <v>0.35700000000002702</v>
      </c>
      <c r="AD5626">
        <v>-1.049748539464</v>
      </c>
      <c r="AE5626">
        <v>-11.616548</v>
      </c>
      <c r="AF5626">
        <v>4.4636506488624503</v>
      </c>
      <c r="AG5626">
        <v>-1.049748539464</v>
      </c>
      <c r="AH5626">
        <v>10.6287438568895</v>
      </c>
      <c r="AI5626">
        <v>95.203056042836295</v>
      </c>
      <c r="AJ5626">
        <v>67.219526987893005</v>
      </c>
      <c r="AK5626">
        <v>11.575679033497901</v>
      </c>
      <c r="AL5626">
        <v>89.529327992524898</v>
      </c>
      <c r="AM5626">
        <v>82.006064224657294</v>
      </c>
      <c r="AN5626">
        <v>1.00000002003926</v>
      </c>
    </row>
    <row r="5627" spans="1:40" x14ac:dyDescent="0.25">
      <c r="A5627" t="str">
        <f>"20190312161129570"</f>
        <v>20190312161129570</v>
      </c>
      <c r="B5627" t="str">
        <f>"1552378289562898"</f>
        <v>1552378289562898</v>
      </c>
      <c r="C5627" t="s">
        <v>40</v>
      </c>
      <c r="D5627">
        <v>5.929246</v>
      </c>
      <c r="E5627">
        <v>0.59959879999999999</v>
      </c>
      <c r="F5627" t="s">
        <v>41</v>
      </c>
      <c r="G5627">
        <v>-301.97629999999998</v>
      </c>
      <c r="H5627" s="1">
        <v>-1.2486749999999999E-6</v>
      </c>
      <c r="I5627">
        <v>-7.9335300000000002</v>
      </c>
      <c r="J5627">
        <v>-302.15210000000002</v>
      </c>
      <c r="K5627">
        <v>1.0498320000000001</v>
      </c>
      <c r="L5627">
        <v>4.0359189999999998</v>
      </c>
      <c r="M5627">
        <v>0.39882119999999999</v>
      </c>
      <c r="N5627">
        <v>0</v>
      </c>
      <c r="O5627">
        <v>-0.91689109999999996</v>
      </c>
      <c r="P5627">
        <v>0.26790920000000001</v>
      </c>
      <c r="Q5627">
        <v>-4.7588029999999998E-3</v>
      </c>
      <c r="R5627">
        <v>-0.96343259999999997</v>
      </c>
      <c r="S5627">
        <v>7.3486330000000002E-2</v>
      </c>
      <c r="T5627">
        <v>-0.26582299999999998</v>
      </c>
      <c r="U5627">
        <v>-3.106903</v>
      </c>
      <c r="V5627">
        <v>0.1388433</v>
      </c>
      <c r="W5627">
        <v>7.49659E-3</v>
      </c>
      <c r="X5627">
        <v>0.990286</v>
      </c>
      <c r="Y5627">
        <v>0.37708629999999999</v>
      </c>
      <c r="Z5627">
        <v>7.1508650000000007E-2</v>
      </c>
      <c r="AA5627">
        <v>0.9234135</v>
      </c>
      <c r="AB5627">
        <v>26</v>
      </c>
      <c r="AC5627">
        <v>0.17580000000003701</v>
      </c>
      <c r="AD5627">
        <v>-1.0498332486749999</v>
      </c>
      <c r="AE5627">
        <v>-11.969448999999999</v>
      </c>
      <c r="AF5627">
        <v>4.5778531211579798</v>
      </c>
      <c r="AG5627">
        <v>-1.0498332486749999</v>
      </c>
      <c r="AH5627">
        <v>10.9618770575992</v>
      </c>
      <c r="AI5627">
        <v>95.050363616857496</v>
      </c>
      <c r="AJ5627">
        <v>67.333813626838193</v>
      </c>
      <c r="AK5627">
        <v>11.9256713720796</v>
      </c>
      <c r="AL5627">
        <v>89.570473013897697</v>
      </c>
      <c r="AM5627">
        <v>82.018855820930099</v>
      </c>
      <c r="AN5627">
        <v>1.0000000113062499</v>
      </c>
    </row>
    <row r="5628" spans="1:40" x14ac:dyDescent="0.25">
      <c r="A5628" t="str">
        <f>"20190312161129592"</f>
        <v>20190312161129592</v>
      </c>
      <c r="B5628" t="str">
        <f>"1552378289582417"</f>
        <v>1552378289582417</v>
      </c>
      <c r="C5628" t="s">
        <v>40</v>
      </c>
      <c r="D5628">
        <v>6.2541650000000004</v>
      </c>
      <c r="E5628">
        <v>0.59738899999999995</v>
      </c>
      <c r="F5628" t="s">
        <v>41</v>
      </c>
      <c r="G5628">
        <v>-301.98340000000002</v>
      </c>
      <c r="H5628" s="1">
        <v>-2.576099E-7</v>
      </c>
      <c r="I5628">
        <v>-10.034090000000001</v>
      </c>
      <c r="J5628">
        <v>-302.06200000000001</v>
      </c>
      <c r="K5628">
        <v>1.049901</v>
      </c>
      <c r="L5628">
        <v>3.7882690000000001</v>
      </c>
      <c r="M5628">
        <v>0.38526189999999999</v>
      </c>
      <c r="N5628">
        <v>0</v>
      </c>
      <c r="O5628">
        <v>-0.92267089999999996</v>
      </c>
      <c r="P5628">
        <v>0.25459379999999998</v>
      </c>
      <c r="Q5628">
        <v>-4.6723399999999997E-3</v>
      </c>
      <c r="R5628">
        <v>-0.96703700000000004</v>
      </c>
      <c r="S5628">
        <v>3.720093E-2</v>
      </c>
      <c r="T5628">
        <v>-0.23148189999999999</v>
      </c>
      <c r="U5628">
        <v>-3.1023559999999999</v>
      </c>
      <c r="V5628">
        <v>0.13790629999999901</v>
      </c>
      <c r="W5628">
        <v>7.6153189999999997E-3</v>
      </c>
      <c r="X5628">
        <v>0.99041599999999996</v>
      </c>
      <c r="Y5628">
        <v>0.37420350000000002</v>
      </c>
      <c r="Z5628">
        <v>6.3099589999999997E-2</v>
      </c>
      <c r="AA5628">
        <v>0.92519739999999995</v>
      </c>
      <c r="AB5628">
        <v>26</v>
      </c>
      <c r="AC5628">
        <v>7.8599999999994397E-2</v>
      </c>
      <c r="AD5628">
        <v>-1.0499012576099001</v>
      </c>
      <c r="AE5628">
        <v>-13.822359000000001</v>
      </c>
      <c r="AF5628">
        <v>5.2232333981157497</v>
      </c>
      <c r="AG5628">
        <v>-1.0499012576099001</v>
      </c>
      <c r="AH5628">
        <v>12.712040210652001</v>
      </c>
      <c r="AI5628">
        <v>94.368552192523694</v>
      </c>
      <c r="AJ5628">
        <v>67.662794419390906</v>
      </c>
      <c r="AK5628">
        <v>13.7833387137934</v>
      </c>
      <c r="AL5628">
        <v>89.563670142862307</v>
      </c>
      <c r="AM5628">
        <v>82.073057729032897</v>
      </c>
      <c r="AN5628">
        <v>0.99999999685957996</v>
      </c>
    </row>
    <row r="5629" spans="1:40" x14ac:dyDescent="0.25">
      <c r="A5629" t="str">
        <f>"20190312161129616"</f>
        <v>20190312161129616</v>
      </c>
      <c r="B5629" t="str">
        <f>"1552378289612674"</f>
        <v>1552378289612674</v>
      </c>
      <c r="C5629" t="s">
        <v>40</v>
      </c>
      <c r="D5629">
        <v>6.126042</v>
      </c>
      <c r="E5629">
        <v>0.59606179999999997</v>
      </c>
      <c r="F5629" t="s">
        <v>41</v>
      </c>
      <c r="G5629">
        <v>-302.0016</v>
      </c>
      <c r="H5629" s="1">
        <v>-3.937571E-6</v>
      </c>
      <c r="I5629">
        <v>-12.47373</v>
      </c>
      <c r="J5629">
        <v>-301.97140000000002</v>
      </c>
      <c r="K5629">
        <v>1.0499830000000001</v>
      </c>
      <c r="L5629">
        <v>3.5272830000000002</v>
      </c>
      <c r="M5629">
        <v>0.37101899999999999</v>
      </c>
      <c r="N5629">
        <v>0</v>
      </c>
      <c r="O5629">
        <v>-0.92849009999999998</v>
      </c>
      <c r="P5629">
        <v>0.2404046</v>
      </c>
      <c r="Q5629">
        <v>-5.0351240000000002E-3</v>
      </c>
      <c r="R5629">
        <v>-0.97065990000000002</v>
      </c>
      <c r="S5629">
        <v>1.1505130000000001E-2</v>
      </c>
      <c r="T5629">
        <v>-0.20003000000000001</v>
      </c>
      <c r="U5629">
        <v>-3.0982669999999999</v>
      </c>
      <c r="V5629">
        <v>0.13715920000000001</v>
      </c>
      <c r="W5629">
        <v>7.2796340000000001E-3</v>
      </c>
      <c r="X5629">
        <v>0.99052229999999997</v>
      </c>
      <c r="Y5629">
        <v>0.3675928</v>
      </c>
      <c r="Z5629">
        <v>5.5278889999999997E-2</v>
      </c>
      <c r="AA5629">
        <v>0.92834249999999996</v>
      </c>
      <c r="AB5629">
        <v>26</v>
      </c>
      <c r="AC5629">
        <v>-3.0199999999979299E-2</v>
      </c>
      <c r="AD5629">
        <v>-1.04998693757099</v>
      </c>
      <c r="AE5629">
        <v>-16.001013</v>
      </c>
      <c r="AF5629">
        <v>5.9398920495139604</v>
      </c>
      <c r="AG5629">
        <v>-1.04998693757099</v>
      </c>
      <c r="AH5629">
        <v>14.783782556956</v>
      </c>
      <c r="AI5629">
        <v>93.770481111679004</v>
      </c>
      <c r="AJ5629">
        <v>68.110511920166999</v>
      </c>
      <c r="AK5629">
        <v>15.966997739722601</v>
      </c>
      <c r="AL5629">
        <v>89.582904025245597</v>
      </c>
      <c r="AM5629">
        <v>82.116295482532607</v>
      </c>
      <c r="AN5629">
        <v>1.0000000330065499</v>
      </c>
    </row>
    <row r="5630" spans="1:40" x14ac:dyDescent="0.25">
      <c r="A5630" t="str">
        <f>"20190312161129656"</f>
        <v>20190312161129656</v>
      </c>
      <c r="B5630" t="str">
        <f>"1552378289642931"</f>
        <v>1552378289642931</v>
      </c>
      <c r="C5630" t="s">
        <v>40</v>
      </c>
      <c r="D5630">
        <v>6.162712</v>
      </c>
      <c r="E5630">
        <v>0.57392569999999998</v>
      </c>
      <c r="F5630" t="s">
        <v>41</v>
      </c>
      <c r="G5630">
        <v>-302.09879999999998</v>
      </c>
      <c r="H5630" s="1">
        <v>-3.712576E-6</v>
      </c>
      <c r="I5630">
        <v>-13.05847</v>
      </c>
      <c r="J5630">
        <v>-301.83280000000002</v>
      </c>
      <c r="K5630">
        <v>1.050127</v>
      </c>
      <c r="L5630">
        <v>3.1007690000000001</v>
      </c>
      <c r="M5630">
        <v>0.34787580000000001</v>
      </c>
      <c r="N5630">
        <v>0</v>
      </c>
      <c r="O5630">
        <v>-0.9374074</v>
      </c>
      <c r="P5630">
        <v>0.21775269999999999</v>
      </c>
      <c r="Q5630">
        <v>-4.388655E-3</v>
      </c>
      <c r="R5630">
        <v>-0.97599440000000004</v>
      </c>
      <c r="S5630">
        <v>-2.377319E-2</v>
      </c>
      <c r="T5630">
        <v>-0.19596859999999999</v>
      </c>
      <c r="U5630">
        <v>-3.0955509999999999</v>
      </c>
      <c r="V5630">
        <v>0.13565369999999999</v>
      </c>
      <c r="W5630">
        <v>7.9772269999999999E-3</v>
      </c>
      <c r="X5630">
        <v>0.99072420000000005</v>
      </c>
      <c r="Y5630">
        <v>0.35507300000000003</v>
      </c>
      <c r="Z5630">
        <v>5.5201020000000003E-2</v>
      </c>
      <c r="AA5630">
        <v>0.93320740000000002</v>
      </c>
      <c r="AB5630">
        <v>26</v>
      </c>
      <c r="AC5630">
        <v>-0.26599999999996199</v>
      </c>
      <c r="AD5630">
        <v>-1.050130712576</v>
      </c>
      <c r="AE5630">
        <v>-16.159238999999999</v>
      </c>
      <c r="AF5630">
        <v>5.8468062126216296</v>
      </c>
      <c r="AG5630">
        <v>-1.050130712576</v>
      </c>
      <c r="AH5630">
        <v>14.9938306965485</v>
      </c>
      <c r="AI5630">
        <v>93.733367802215895</v>
      </c>
      <c r="AJ5630">
        <v>68.696829271217396</v>
      </c>
      <c r="AK5630">
        <v>16.127705241546501</v>
      </c>
      <c r="AL5630">
        <v>89.542933713610097</v>
      </c>
      <c r="AM5630">
        <v>82.2033285094425</v>
      </c>
      <c r="AN5630">
        <v>1.0000000014699599</v>
      </c>
    </row>
    <row r="5631" spans="1:40" x14ac:dyDescent="0.25">
      <c r="A5631" t="str">
        <f>"20190312161129682"</f>
        <v>20190312161129682</v>
      </c>
      <c r="B5631" t="str">
        <f>"1552378289673186"</f>
        <v>1552378289673186</v>
      </c>
      <c r="C5631" t="s">
        <v>40</v>
      </c>
      <c r="D5631">
        <v>6.0949200000000001</v>
      </c>
      <c r="E5631">
        <v>0.59857019999999905</v>
      </c>
      <c r="F5631" t="s">
        <v>43</v>
      </c>
      <c r="G5631">
        <v>-299.2475</v>
      </c>
      <c r="H5631">
        <v>-0.05</v>
      </c>
      <c r="I5631">
        <v>-98.67313</v>
      </c>
      <c r="J5631">
        <v>-301.73809999999997</v>
      </c>
      <c r="K5631">
        <v>1.0502370000000001</v>
      </c>
      <c r="L5631">
        <v>2.7880549999999999</v>
      </c>
      <c r="M5631">
        <v>0.33101120000000001</v>
      </c>
      <c r="N5631">
        <v>0</v>
      </c>
      <c r="O5631">
        <v>-0.94349479999999997</v>
      </c>
      <c r="P5631">
        <v>0.2010091</v>
      </c>
      <c r="Q5631">
        <v>-4.5300310000000003E-3</v>
      </c>
      <c r="R5631">
        <v>-0.97957899999999998</v>
      </c>
      <c r="S5631">
        <v>7.7636720000000006E-2</v>
      </c>
      <c r="T5631">
        <v>-3.3037190000000001E-2</v>
      </c>
      <c r="U5631">
        <v>-3.056305</v>
      </c>
      <c r="V5631">
        <v>0.13484640000000001</v>
      </c>
      <c r="W5631">
        <v>7.8637440000000006E-3</v>
      </c>
      <c r="X5631">
        <v>0.99083529999999997</v>
      </c>
      <c r="Y5631">
        <v>0.30698449999999999</v>
      </c>
      <c r="Z5631">
        <v>9.6334809999999993E-3</v>
      </c>
      <c r="AA5631">
        <v>0.95166580000000001</v>
      </c>
      <c r="AB5631">
        <v>25</v>
      </c>
      <c r="AC5631">
        <v>2.4905999999999699</v>
      </c>
      <c r="AD5631">
        <v>-1.1002369999999999</v>
      </c>
      <c r="AE5631">
        <v>-101.461185</v>
      </c>
      <c r="AF5631">
        <v>31.235141487876</v>
      </c>
      <c r="AG5631">
        <v>-1.1002369999999999</v>
      </c>
      <c r="AH5631">
        <v>96.553200205886895</v>
      </c>
      <c r="AI5631">
        <v>90.621172413165297</v>
      </c>
      <c r="AJ5631">
        <v>72.073508394901594</v>
      </c>
      <c r="AK5631">
        <v>101.485787454312</v>
      </c>
      <c r="AL5631">
        <v>89.5494360097466</v>
      </c>
      <c r="AM5631">
        <v>82.250020787990195</v>
      </c>
      <c r="AN5631">
        <v>0.99999999089437297</v>
      </c>
    </row>
    <row r="5632" spans="1:40" x14ac:dyDescent="0.25">
      <c r="A5632" t="str">
        <f>"20190312161129708"</f>
        <v>20190312161129708</v>
      </c>
      <c r="B5632" t="str">
        <f>"1552378289702467"</f>
        <v>1552378289702467</v>
      </c>
      <c r="C5632" t="s">
        <v>40</v>
      </c>
      <c r="D5632">
        <v>5.9778349999999998</v>
      </c>
      <c r="E5632">
        <v>0.59712080000000001</v>
      </c>
      <c r="F5632" t="s">
        <v>104</v>
      </c>
      <c r="G5632">
        <v>-306.8175</v>
      </c>
      <c r="H5632">
        <v>1.7286490000000001</v>
      </c>
      <c r="I5632">
        <v>-91.564989999999995</v>
      </c>
      <c r="J5632">
        <v>-301.65750000000003</v>
      </c>
      <c r="K5632">
        <v>1.0503359999999999</v>
      </c>
      <c r="L5632">
        <v>2.503387</v>
      </c>
      <c r="M5632">
        <v>0.31576290000000001</v>
      </c>
      <c r="N5632">
        <v>0</v>
      </c>
      <c r="O5632">
        <v>-0.94870730000000003</v>
      </c>
      <c r="P5632">
        <v>0.18592120000000001</v>
      </c>
      <c r="Q5632">
        <v>-5.4026539999999998E-3</v>
      </c>
      <c r="R5632">
        <v>-0.98255009999999998</v>
      </c>
      <c r="S5632">
        <v>-0.16671749999999999</v>
      </c>
      <c r="T5632">
        <v>2.226734E-2</v>
      </c>
      <c r="U5632">
        <v>-3.0968629999999999</v>
      </c>
      <c r="V5632">
        <v>0.1340904</v>
      </c>
      <c r="W5632">
        <v>7.0154739999999998E-3</v>
      </c>
      <c r="X5632">
        <v>0.9909443</v>
      </c>
      <c r="Y5632">
        <v>0.36634949999999999</v>
      </c>
      <c r="Z5632">
        <v>-6.3820099999999996E-3</v>
      </c>
      <c r="AA5632">
        <v>0.93045540000000004</v>
      </c>
      <c r="AB5632">
        <v>25</v>
      </c>
      <c r="AC5632">
        <v>-5.1599999999999602</v>
      </c>
      <c r="AD5632">
        <v>0.67831299999999894</v>
      </c>
      <c r="AE5632">
        <v>-94.068376999999998</v>
      </c>
      <c r="AF5632">
        <v>34.601134805374699</v>
      </c>
      <c r="AG5632">
        <v>0.67831299999999894</v>
      </c>
      <c r="AH5632">
        <v>87.620354234014201</v>
      </c>
      <c r="AI5632">
        <v>89.5874546178825</v>
      </c>
      <c r="AJ5632">
        <v>68.451017464179898</v>
      </c>
      <c r="AK5632">
        <v>94.207351700596107</v>
      </c>
      <c r="AL5632">
        <v>89.598039662911802</v>
      </c>
      <c r="AM5632">
        <v>82.293784004320102</v>
      </c>
      <c r="AN5632">
        <v>1.0000000289750399</v>
      </c>
    </row>
    <row r="5633" spans="1:40" x14ac:dyDescent="0.25">
      <c r="A5633" t="str">
        <f>"20190312161129744"</f>
        <v>20190312161129744</v>
      </c>
      <c r="B5633" t="str">
        <f>"1552378289732721"</f>
        <v>1552378289732721</v>
      </c>
      <c r="C5633" t="s">
        <v>40</v>
      </c>
      <c r="D5633">
        <v>5.8443389999999997</v>
      </c>
      <c r="E5633">
        <v>0.59562360000000003</v>
      </c>
      <c r="F5633" t="s">
        <v>104</v>
      </c>
      <c r="G5633">
        <v>-307.84629999999999</v>
      </c>
      <c r="H5633">
        <v>0.38143870000000002</v>
      </c>
      <c r="I5633">
        <v>-91.564989999999995</v>
      </c>
      <c r="J5633">
        <v>-301.55099999999999</v>
      </c>
      <c r="K5633">
        <v>1.050489</v>
      </c>
      <c r="L5633">
        <v>2.100006</v>
      </c>
      <c r="M5633">
        <v>0.29429640000000001</v>
      </c>
      <c r="N5633">
        <v>0</v>
      </c>
      <c r="O5633">
        <v>-0.95558489999999996</v>
      </c>
      <c r="P5633">
        <v>0.16639039999999999</v>
      </c>
      <c r="Q5633">
        <v>-6.5136019999999899E-3</v>
      </c>
      <c r="R5633">
        <v>-0.98603870000000005</v>
      </c>
      <c r="S5633">
        <v>-0.20339969999999999</v>
      </c>
      <c r="T5633">
        <v>-2.19835E-2</v>
      </c>
      <c r="U5633">
        <v>-3.0916440000000001</v>
      </c>
      <c r="V5633">
        <v>0.13138069999999999</v>
      </c>
      <c r="W5633">
        <v>5.979804E-3</v>
      </c>
      <c r="X5633">
        <v>0.99131389999999997</v>
      </c>
      <c r="Y5633">
        <v>0.35643629999999998</v>
      </c>
      <c r="Z5633">
        <v>6.395998E-3</v>
      </c>
      <c r="AA5633">
        <v>0.93429770000000001</v>
      </c>
      <c r="AB5633">
        <v>25</v>
      </c>
      <c r="AC5633">
        <v>-6.2952999999999903</v>
      </c>
      <c r="AD5633">
        <v>-0.66905029999999999</v>
      </c>
      <c r="AE5633">
        <v>-93.664996000000002</v>
      </c>
      <c r="AF5633">
        <v>33.583409106180703</v>
      </c>
      <c r="AG5633">
        <v>-0.66905029999999999</v>
      </c>
      <c r="AH5633">
        <v>87.658551905526195</v>
      </c>
      <c r="AI5633">
        <v>90.408357070448005</v>
      </c>
      <c r="AJ5633">
        <v>69.037355546010005</v>
      </c>
      <c r="AK5633">
        <v>93.873929914917596</v>
      </c>
      <c r="AL5633">
        <v>89.657380408526706</v>
      </c>
      <c r="AM5633">
        <v>82.450478865686307</v>
      </c>
      <c r="AN5633">
        <v>0.99999994736078701</v>
      </c>
    </row>
    <row r="5634" spans="1:40" x14ac:dyDescent="0.25">
      <c r="A5634" t="str">
        <f>"20190312161129773"</f>
        <v>20190312161129773</v>
      </c>
      <c r="B5634" t="str">
        <f>"1552378289762978"</f>
        <v>1552378289762978</v>
      </c>
      <c r="C5634" t="s">
        <v>40</v>
      </c>
      <c r="D5634">
        <v>6.0142059999999997</v>
      </c>
      <c r="E5634">
        <v>0.59210289999999999</v>
      </c>
      <c r="F5634" t="s">
        <v>104</v>
      </c>
      <c r="G5634">
        <v>-309.22359999999998</v>
      </c>
      <c r="H5634">
        <v>0.92842670000000005</v>
      </c>
      <c r="I5634">
        <v>-91.564989999999995</v>
      </c>
      <c r="J5634">
        <v>-301.47089999999997</v>
      </c>
      <c r="K5634">
        <v>1.0506040000000001</v>
      </c>
      <c r="L5634">
        <v>1.7669680000000001</v>
      </c>
      <c r="M5634">
        <v>0.2767174</v>
      </c>
      <c r="N5634">
        <v>0</v>
      </c>
      <c r="O5634">
        <v>-0.96082339999999999</v>
      </c>
      <c r="P5634">
        <v>0.15016370000000001</v>
      </c>
      <c r="Q5634">
        <v>-7.0450620000000004E-3</v>
      </c>
      <c r="R5634">
        <v>-0.98863610000000002</v>
      </c>
      <c r="S5634">
        <v>-0.2527161</v>
      </c>
      <c r="T5634">
        <v>-4.0199759999999998E-3</v>
      </c>
      <c r="U5634">
        <v>-3.085083</v>
      </c>
      <c r="V5634">
        <v>0.1294708</v>
      </c>
      <c r="W5634">
        <v>5.4982069999999997E-3</v>
      </c>
      <c r="X5634">
        <v>0.991568</v>
      </c>
      <c r="Y5634">
        <v>0.3542807</v>
      </c>
      <c r="Z5634">
        <v>1.18216E-3</v>
      </c>
      <c r="AA5634">
        <v>0.93513829999999998</v>
      </c>
      <c r="AB5634">
        <v>25</v>
      </c>
      <c r="AC5634">
        <v>-7.7526999999999999</v>
      </c>
      <c r="AD5634">
        <v>-0.1221773</v>
      </c>
      <c r="AE5634">
        <v>-93.331958</v>
      </c>
      <c r="AF5634">
        <v>33.2795872495727</v>
      </c>
      <c r="AG5634">
        <v>-0.1221773</v>
      </c>
      <c r="AH5634">
        <v>87.540835953243999</v>
      </c>
      <c r="AI5634">
        <v>90.074746371410598</v>
      </c>
      <c r="AJ5634">
        <v>69.185162760410407</v>
      </c>
      <c r="AK5634">
        <v>93.653317155279396</v>
      </c>
      <c r="AL5634">
        <v>89.6849743594491</v>
      </c>
      <c r="AM5634">
        <v>82.560874030397997</v>
      </c>
      <c r="AN5634">
        <v>1.00000000847842</v>
      </c>
    </row>
    <row r="5635" spans="1:40" x14ac:dyDescent="0.25">
      <c r="A5635" t="str">
        <f>"20190312161129812"</f>
        <v>20190312161129812</v>
      </c>
      <c r="B5635" t="str">
        <f>"1552378289802994"</f>
        <v>1552378289802994</v>
      </c>
      <c r="C5635" t="s">
        <v>40</v>
      </c>
      <c r="D5635">
        <v>6.0736780000000001</v>
      </c>
      <c r="E5635">
        <v>0.58844529999999995</v>
      </c>
      <c r="F5635" t="s">
        <v>104</v>
      </c>
      <c r="G5635">
        <v>-309.82310000000001</v>
      </c>
      <c r="H5635">
        <v>1.153427</v>
      </c>
      <c r="I5635">
        <v>-91.564989999999995</v>
      </c>
      <c r="J5635">
        <v>-301.37470000000002</v>
      </c>
      <c r="K5635">
        <v>1.050762</v>
      </c>
      <c r="L5635">
        <v>1.3296509999999999</v>
      </c>
      <c r="M5635">
        <v>0.25379849999999998</v>
      </c>
      <c r="N5635">
        <v>0</v>
      </c>
      <c r="O5635">
        <v>-0.96713079999999996</v>
      </c>
      <c r="P5635">
        <v>0.12978100000000001</v>
      </c>
      <c r="Q5635">
        <v>-6.9960650000000001E-3</v>
      </c>
      <c r="R5635">
        <v>-0.99151809999999996</v>
      </c>
      <c r="S5635">
        <v>-0.27529910000000002</v>
      </c>
      <c r="T5635">
        <v>3.3895969999999998E-3</v>
      </c>
      <c r="U5635">
        <v>-3.0763240000000001</v>
      </c>
      <c r="V5635">
        <v>0.126308</v>
      </c>
      <c r="W5635">
        <v>5.628381E-3</v>
      </c>
      <c r="X5635">
        <v>0.9919751</v>
      </c>
      <c r="Y5635">
        <v>0.33903339999999998</v>
      </c>
      <c r="Z5635">
        <v>-1.0128419999999999E-3</v>
      </c>
      <c r="AA5635">
        <v>0.94077379999999999</v>
      </c>
      <c r="AB5635">
        <v>25</v>
      </c>
      <c r="AC5635">
        <v>-8.4483999999999906</v>
      </c>
      <c r="AD5635">
        <v>0.10266500000000001</v>
      </c>
      <c r="AE5635">
        <v>-92.894640999999993</v>
      </c>
      <c r="AF5635">
        <v>31.751069155019</v>
      </c>
      <c r="AG5635">
        <v>0.10266500000000001</v>
      </c>
      <c r="AH5635">
        <v>87.7076867579229</v>
      </c>
      <c r="AI5635">
        <v>89.936938244480402</v>
      </c>
      <c r="AJ5635">
        <v>70.099231958021903</v>
      </c>
      <c r="AK5635">
        <v>93.277967650538699</v>
      </c>
      <c r="AL5635">
        <v>89.677515818702801</v>
      </c>
      <c r="AM5635">
        <v>82.743587002030793</v>
      </c>
      <c r="AN5635">
        <v>0.99999999427834496</v>
      </c>
    </row>
    <row r="5636" spans="1:40" x14ac:dyDescent="0.25">
      <c r="A5636" t="str">
        <f>"20190312161129840"</f>
        <v>20190312161129840</v>
      </c>
      <c r="B5636" t="str">
        <f>"1552378289833250"</f>
        <v>1552378289833250</v>
      </c>
      <c r="C5636" t="s">
        <v>40</v>
      </c>
      <c r="D5636">
        <v>6.117083</v>
      </c>
      <c r="E5636">
        <v>0.58618190000000003</v>
      </c>
      <c r="F5636" t="s">
        <v>104</v>
      </c>
      <c r="G5636">
        <v>-310.7647</v>
      </c>
      <c r="H5636">
        <v>0.72881700000000005</v>
      </c>
      <c r="I5636">
        <v>-91.564989999999995</v>
      </c>
      <c r="J5636">
        <v>-301.31119999999999</v>
      </c>
      <c r="K5636">
        <v>1.0511889999999999</v>
      </c>
      <c r="L5636">
        <v>1.0130619999999999</v>
      </c>
      <c r="M5636">
        <v>0.2368961</v>
      </c>
      <c r="N5636">
        <v>0</v>
      </c>
      <c r="O5636">
        <v>-0.97140470000000001</v>
      </c>
      <c r="P5636">
        <v>0.1140333</v>
      </c>
      <c r="Q5636">
        <v>-7.4601249999999997E-3</v>
      </c>
      <c r="R5636">
        <v>-0.99344909999999997</v>
      </c>
      <c r="S5636">
        <v>-0.3099365</v>
      </c>
      <c r="T5636">
        <v>-1.062596E-2</v>
      </c>
      <c r="U5636">
        <v>-3.0661619999999998</v>
      </c>
      <c r="V5636">
        <v>0.1247412</v>
      </c>
      <c r="W5636">
        <v>5.5792680000000001E-3</v>
      </c>
      <c r="X5636">
        <v>0.99217359999999999</v>
      </c>
      <c r="Y5636">
        <v>0.33343119999999998</v>
      </c>
      <c r="Z5636">
        <v>3.20959E-3</v>
      </c>
      <c r="AA5636">
        <v>0.94276890000000002</v>
      </c>
      <c r="AB5636">
        <v>25</v>
      </c>
      <c r="AC5636">
        <v>-9.4535000000000196</v>
      </c>
      <c r="AD5636">
        <v>-0.32237199999999899</v>
      </c>
      <c r="AE5636">
        <v>-92.578052</v>
      </c>
      <c r="AF5636">
        <v>31.118119387855302</v>
      </c>
      <c r="AG5636">
        <v>-0.32237199999999899</v>
      </c>
      <c r="AH5636">
        <v>87.701306583519099</v>
      </c>
      <c r="AI5636">
        <v>90.198482791925102</v>
      </c>
      <c r="AJ5636">
        <v>70.464330951904202</v>
      </c>
      <c r="AK5636">
        <v>93.058908517130206</v>
      </c>
      <c r="AL5636">
        <v>89.6803298239996</v>
      </c>
      <c r="AM5636">
        <v>82.8340770357444</v>
      </c>
      <c r="AN5636">
        <v>0.99999997387290696</v>
      </c>
    </row>
    <row r="5637" spans="1:40" x14ac:dyDescent="0.25">
      <c r="A5637" t="str">
        <f>"20190312161129879"</f>
        <v>20190312161129879</v>
      </c>
      <c r="B5637" t="str">
        <f>"1552378289873268"</f>
        <v>1552378289873268</v>
      </c>
      <c r="C5637" t="s">
        <v>40</v>
      </c>
      <c r="D5637">
        <v>6.1443510000000003</v>
      </c>
      <c r="E5637">
        <v>0.58377570000000001</v>
      </c>
      <c r="F5637" t="s">
        <v>104</v>
      </c>
      <c r="G5637">
        <v>-311.61660000000001</v>
      </c>
      <c r="H5637">
        <v>0.55156300000000003</v>
      </c>
      <c r="I5637">
        <v>-91.564989999999995</v>
      </c>
      <c r="J5637">
        <v>-301.23360000000002</v>
      </c>
      <c r="K5637">
        <v>1.051825</v>
      </c>
      <c r="L5637">
        <v>0.59042359999999905</v>
      </c>
      <c r="M5637">
        <v>0.21360709999999999</v>
      </c>
      <c r="N5637">
        <v>0</v>
      </c>
      <c r="O5637">
        <v>-0.97677700000000001</v>
      </c>
      <c r="P5637">
        <v>9.3115080000000003E-2</v>
      </c>
      <c r="Q5637">
        <v>-9.4872419999999999E-3</v>
      </c>
      <c r="R5637">
        <v>-0.99561049999999995</v>
      </c>
      <c r="S5637">
        <v>-0.34048460000000003</v>
      </c>
      <c r="T5637">
        <v>-1.6507029999999999E-2</v>
      </c>
      <c r="U5637">
        <v>-3.0587460000000002</v>
      </c>
      <c r="V5637">
        <v>0.1218606</v>
      </c>
      <c r="W5637">
        <v>4.4119850000000002E-3</v>
      </c>
      <c r="X5637">
        <v>0.99253740000000001</v>
      </c>
      <c r="Y5637">
        <v>0.32040150000000001</v>
      </c>
      <c r="Z5637">
        <v>5.0511030000000004E-3</v>
      </c>
      <c r="AA5637">
        <v>0.94726840000000001</v>
      </c>
      <c r="AB5637">
        <v>25</v>
      </c>
      <c r="AC5637">
        <v>-10.3829999999999</v>
      </c>
      <c r="AD5637">
        <v>-0.50026199999999998</v>
      </c>
      <c r="AE5637">
        <v>-92.155413599999903</v>
      </c>
      <c r="AF5637">
        <v>29.830215453786401</v>
      </c>
      <c r="AG5637">
        <v>-0.50026199999999998</v>
      </c>
      <c r="AH5637">
        <v>87.807087917072906</v>
      </c>
      <c r="AI5637">
        <v>90.309078336725406</v>
      </c>
      <c r="AJ5637">
        <v>71.236119388060203</v>
      </c>
      <c r="AK5637">
        <v>92.737137677224695</v>
      </c>
      <c r="AL5637">
        <v>89.747211055282307</v>
      </c>
      <c r="AM5637">
        <v>83.000436121182901</v>
      </c>
      <c r="AN5637">
        <v>0.99999998092137898</v>
      </c>
    </row>
    <row r="5638" spans="1:40" x14ac:dyDescent="0.25">
      <c r="A5638" t="str">
        <f>"20190312161129909"</f>
        <v>20190312161129909</v>
      </c>
      <c r="B5638" t="str">
        <f>"1552378289902546"</f>
        <v>1552378289902546</v>
      </c>
      <c r="C5638" t="s">
        <v>40</v>
      </c>
      <c r="D5638">
        <v>6.0946179999999996</v>
      </c>
      <c r="E5638">
        <v>0.5822387</v>
      </c>
      <c r="F5638" t="s">
        <v>43</v>
      </c>
      <c r="G5638">
        <v>-313.01389999999998</v>
      </c>
      <c r="H5638">
        <v>-0.05</v>
      </c>
      <c r="I5638">
        <v>-92.508480000000006</v>
      </c>
      <c r="J5638">
        <v>-301.17970000000003</v>
      </c>
      <c r="K5638">
        <v>1.0519130000000001</v>
      </c>
      <c r="L5638">
        <v>0.26165769999999999</v>
      </c>
      <c r="M5638">
        <v>0.1998347</v>
      </c>
      <c r="N5638">
        <v>0</v>
      </c>
      <c r="O5638">
        <v>-0.97969240000000002</v>
      </c>
      <c r="P5638">
        <v>8.0476389999999995E-2</v>
      </c>
      <c r="Q5638">
        <v>-8.4563499999999996E-3</v>
      </c>
      <c r="R5638">
        <v>-0.99672059999999996</v>
      </c>
      <c r="S5638">
        <v>-0.38580320000000001</v>
      </c>
      <c r="T5638">
        <v>-3.6084650000000003E-2</v>
      </c>
      <c r="U5638">
        <v>-3.0489809999999999</v>
      </c>
      <c r="V5638">
        <v>0.12050660000000001</v>
      </c>
      <c r="W5638">
        <v>4.9398380000000002E-3</v>
      </c>
      <c r="X5638">
        <v>0.99270020000000003</v>
      </c>
      <c r="Y5638">
        <v>0.3212737</v>
      </c>
      <c r="Z5638">
        <v>1.111649E-2</v>
      </c>
      <c r="AA5638">
        <v>0.94692109999999996</v>
      </c>
      <c r="AB5638">
        <v>25</v>
      </c>
      <c r="AC5638">
        <v>-11.8341999999999</v>
      </c>
      <c r="AD5638">
        <v>-1.1019129999999999</v>
      </c>
      <c r="AE5638">
        <v>-92.770137699999907</v>
      </c>
      <c r="AF5638">
        <v>30.1324373498848</v>
      </c>
      <c r="AG5638">
        <v>-1.1019129999999999</v>
      </c>
      <c r="AH5638">
        <v>88.520929948508893</v>
      </c>
      <c r="AI5638">
        <v>90.675144570417402</v>
      </c>
      <c r="AJ5638">
        <v>71.201476380250895</v>
      </c>
      <c r="AK5638">
        <v>93.515416011763193</v>
      </c>
      <c r="AL5638">
        <v>89.716966970073003</v>
      </c>
      <c r="AM5638">
        <v>83.078574097323795</v>
      </c>
      <c r="AN5638">
        <v>0.99999996486153198</v>
      </c>
    </row>
    <row r="5639" spans="1:40" x14ac:dyDescent="0.25">
      <c r="A5639" t="str">
        <f>"20190312161129946"</f>
        <v>20190312161129946</v>
      </c>
      <c r="B5639" t="str">
        <f>"1552378289942562"</f>
        <v>1552378289942562</v>
      </c>
      <c r="C5639" t="s">
        <v>40</v>
      </c>
      <c r="D5639">
        <v>6.1870539999999998</v>
      </c>
      <c r="E5639">
        <v>0.57988830000000002</v>
      </c>
      <c r="F5639" t="s">
        <v>43</v>
      </c>
      <c r="G5639">
        <v>-313.8152</v>
      </c>
      <c r="H5639">
        <v>-0.05</v>
      </c>
      <c r="I5639">
        <v>-92.958650000000006</v>
      </c>
      <c r="J5639">
        <v>-301.12119999999999</v>
      </c>
      <c r="K5639">
        <v>1.052983</v>
      </c>
      <c r="L5639">
        <v>-0.15554809999999999</v>
      </c>
      <c r="M5639">
        <v>0.1829876</v>
      </c>
      <c r="N5639">
        <v>0</v>
      </c>
      <c r="O5639">
        <v>-0.98302449999999997</v>
      </c>
      <c r="P5639">
        <v>6.5944829999999996E-2</v>
      </c>
      <c r="Q5639">
        <v>-5.4904940000000003E-3</v>
      </c>
      <c r="R5639">
        <v>-0.99780829999999998</v>
      </c>
      <c r="S5639">
        <v>-0.41244510000000001</v>
      </c>
      <c r="T5639">
        <v>-3.5968420000000001E-2</v>
      </c>
      <c r="U5639">
        <v>-3.0428769999999998</v>
      </c>
      <c r="V5639">
        <v>0.1179292</v>
      </c>
      <c r="W5639">
        <v>4.8468560000000001E-3</v>
      </c>
      <c r="X5639">
        <v>0.99301019999999895</v>
      </c>
      <c r="Y5639">
        <v>0.31338470000000002</v>
      </c>
      <c r="Z5639">
        <v>1.1170279999999999E-2</v>
      </c>
      <c r="AA5639">
        <v>0.94956050000000003</v>
      </c>
      <c r="AB5639">
        <v>24</v>
      </c>
      <c r="AC5639">
        <v>-12.694000000000001</v>
      </c>
      <c r="AD5639">
        <v>-1.102983</v>
      </c>
      <c r="AE5639">
        <v>-92.803101900000001</v>
      </c>
      <c r="AF5639">
        <v>29.4588728028045</v>
      </c>
      <c r="AG5639">
        <v>-1.102983</v>
      </c>
      <c r="AH5639">
        <v>88.900481069800605</v>
      </c>
      <c r="AI5639">
        <v>90.674751453948801</v>
      </c>
      <c r="AJ5639">
        <v>71.666398611609907</v>
      </c>
      <c r="AK5639">
        <v>93.660756417787297</v>
      </c>
      <c r="AL5639">
        <v>89.722294526296906</v>
      </c>
      <c r="AM5639">
        <v>83.227314379596393</v>
      </c>
      <c r="AN5639">
        <v>1.00000002276488</v>
      </c>
    </row>
    <row r="5640" spans="1:40" x14ac:dyDescent="0.25">
      <c r="A5640" t="str">
        <f>"20190312161129991"</f>
        <v>20190312161129991</v>
      </c>
      <c r="B5640" t="str">
        <f>"1552378289982578"</f>
        <v>1552378289982578</v>
      </c>
      <c r="C5640" t="s">
        <v>40</v>
      </c>
      <c r="D5640">
        <v>6.1311059999999999</v>
      </c>
      <c r="E5640">
        <v>0.57739319999999905</v>
      </c>
      <c r="F5640" t="s">
        <v>104</v>
      </c>
      <c r="G5640">
        <v>-312.90989999999999</v>
      </c>
      <c r="H5640">
        <v>0.1759377</v>
      </c>
      <c r="I5640">
        <v>-81.797300000000007</v>
      </c>
      <c r="J5640">
        <v>-301.06130000000002</v>
      </c>
      <c r="K5640">
        <v>1.0573950000000001</v>
      </c>
      <c r="L5640">
        <v>-0.66201779999999999</v>
      </c>
      <c r="M5640">
        <v>0.1578773</v>
      </c>
      <c r="N5640">
        <v>0</v>
      </c>
      <c r="O5640">
        <v>-0.98741159999999994</v>
      </c>
      <c r="P5640">
        <v>4.3494270000000002E-2</v>
      </c>
      <c r="Q5640">
        <v>-3.786799E-3</v>
      </c>
      <c r="R5640">
        <v>-0.99904680000000001</v>
      </c>
      <c r="S5640">
        <v>-0.4382935</v>
      </c>
      <c r="T5640">
        <v>-3.2607320000000002E-2</v>
      </c>
      <c r="U5640">
        <v>-3.0353699999999999</v>
      </c>
      <c r="V5640">
        <v>0.1148836</v>
      </c>
      <c r="W5640">
        <v>3.374873E-3</v>
      </c>
      <c r="X5640">
        <v>0.99337319999999996</v>
      </c>
      <c r="Y5640">
        <v>0.2973769</v>
      </c>
      <c r="Z5640">
        <v>1.0242879999999999E-2</v>
      </c>
      <c r="AA5640">
        <v>0.95470520000000003</v>
      </c>
      <c r="AB5640">
        <v>25</v>
      </c>
      <c r="AC5640">
        <v>-11.8485999999999</v>
      </c>
      <c r="AD5640">
        <v>-0.8814573</v>
      </c>
      <c r="AE5640">
        <v>-81.135282200000006</v>
      </c>
      <c r="AF5640">
        <v>24.507173100195299</v>
      </c>
      <c r="AG5640">
        <v>-0.8814573</v>
      </c>
      <c r="AH5640">
        <v>78.237894537439402</v>
      </c>
      <c r="AI5640">
        <v>90.615978232416197</v>
      </c>
      <c r="AJ5640">
        <v>72.607400108672195</v>
      </c>
      <c r="AK5640">
        <v>81.991137581973803</v>
      </c>
      <c r="AL5640">
        <v>89.806633648399099</v>
      </c>
      <c r="AM5640">
        <v>83.403050761596305</v>
      </c>
      <c r="AN5640">
        <v>0.99999997289748199</v>
      </c>
    </row>
    <row r="5641" spans="1:40" x14ac:dyDescent="0.25">
      <c r="A5641" t="str">
        <f>"20190312161130034"</f>
        <v>20190312161130034</v>
      </c>
      <c r="B5641" t="str">
        <f>"1552378290022593"</f>
        <v>1552378290022593</v>
      </c>
      <c r="C5641" t="s">
        <v>40</v>
      </c>
      <c r="D5641">
        <v>6.1651910000000001</v>
      </c>
      <c r="E5641">
        <v>0.57491110000000001</v>
      </c>
      <c r="F5641" t="s">
        <v>104</v>
      </c>
      <c r="G5641">
        <v>-313.8999</v>
      </c>
      <c r="H5641">
        <v>0.11557389999999999</v>
      </c>
      <c r="I5641">
        <v>-80.464519999999993</v>
      </c>
      <c r="J5641">
        <v>-301.01310000000001</v>
      </c>
      <c r="K5641">
        <v>1.061644</v>
      </c>
      <c r="L5641">
        <v>-1.146698</v>
      </c>
      <c r="M5641">
        <v>0.1333685</v>
      </c>
      <c r="N5641">
        <v>0</v>
      </c>
      <c r="O5641">
        <v>-0.9910447</v>
      </c>
      <c r="P5641">
        <v>2.230822E-2</v>
      </c>
      <c r="Q5641">
        <v>8.3276569999999998E-4</v>
      </c>
      <c r="R5641">
        <v>-0.9997511</v>
      </c>
      <c r="S5641">
        <v>-0.48648069999999999</v>
      </c>
      <c r="T5641">
        <v>-3.5687209999999997E-2</v>
      </c>
      <c r="U5641">
        <v>-3.023895</v>
      </c>
      <c r="V5641">
        <v>0.1113479</v>
      </c>
      <c r="W5641">
        <v>5.3012759999999997E-3</v>
      </c>
      <c r="X5641">
        <v>0.99376730000000002</v>
      </c>
      <c r="Y5641">
        <v>0.28908529999999999</v>
      </c>
      <c r="Z5641">
        <v>1.1317519999999999E-2</v>
      </c>
      <c r="AA5641">
        <v>0.95723650000000005</v>
      </c>
      <c r="AB5641">
        <v>25</v>
      </c>
      <c r="AC5641">
        <v>-12.8867999999999</v>
      </c>
      <c r="AD5641">
        <v>-0.94607009999999903</v>
      </c>
      <c r="AE5641">
        <v>-79.317821999999893</v>
      </c>
      <c r="AF5641">
        <v>23.347162577172501</v>
      </c>
      <c r="AG5641">
        <v>-0.94607009999999903</v>
      </c>
      <c r="AH5641">
        <v>76.879820339968205</v>
      </c>
      <c r="AI5641">
        <v>90.674617622108798</v>
      </c>
      <c r="AJ5641">
        <v>73.107309423050197</v>
      </c>
      <c r="AK5641">
        <v>80.352298190809904</v>
      </c>
      <c r="AL5641">
        <v>89.696257822008803</v>
      </c>
      <c r="AM5641">
        <v>83.606887560138603</v>
      </c>
      <c r="AN5641">
        <v>0.99999995245546303</v>
      </c>
    </row>
    <row r="5642" spans="1:40" x14ac:dyDescent="0.25">
      <c r="A5642" t="str">
        <f>"20190312161130063"</f>
        <v>20190312161130063</v>
      </c>
      <c r="B5642" t="str">
        <f>"1552378290052850"</f>
        <v>1552378290052850</v>
      </c>
      <c r="C5642" t="s">
        <v>40</v>
      </c>
      <c r="D5642">
        <v>6.1236050000000004</v>
      </c>
      <c r="E5642">
        <v>0.54971899999999996</v>
      </c>
      <c r="F5642" t="s">
        <v>104</v>
      </c>
      <c r="G5642">
        <v>-314.98899999999998</v>
      </c>
      <c r="H5642">
        <v>0.40152500000000002</v>
      </c>
      <c r="I5642">
        <v>-80.464519999999993</v>
      </c>
      <c r="J5642">
        <v>-300.98599999999999</v>
      </c>
      <c r="K5642">
        <v>1.0639799999999999</v>
      </c>
      <c r="L5642">
        <v>-1.4730219999999901</v>
      </c>
      <c r="M5642">
        <v>0.1182265</v>
      </c>
      <c r="N5642">
        <v>0</v>
      </c>
      <c r="O5642">
        <v>-0.99297610000000003</v>
      </c>
      <c r="P5642">
        <v>7.5072369999999999E-3</v>
      </c>
      <c r="Q5642">
        <v>3.0129929999999998E-3</v>
      </c>
      <c r="R5642">
        <v>-0.99996759999999996</v>
      </c>
      <c r="S5642">
        <v>-0.53082280000000004</v>
      </c>
      <c r="T5642">
        <v>-2.5071739999999999E-2</v>
      </c>
      <c r="U5642">
        <v>-3.0126040000000001</v>
      </c>
      <c r="V5642">
        <v>0.11088729999999999</v>
      </c>
      <c r="W5642">
        <v>5.5868979999999999E-3</v>
      </c>
      <c r="X5642">
        <v>0.99381730000000001</v>
      </c>
      <c r="Y5642">
        <v>0.28873890000000002</v>
      </c>
      <c r="Z5642">
        <v>7.9953369999999999E-3</v>
      </c>
      <c r="AA5642">
        <v>0.95737450000000002</v>
      </c>
      <c r="AB5642">
        <v>25</v>
      </c>
      <c r="AC5642">
        <v>-14.003</v>
      </c>
      <c r="AD5642">
        <v>-0.66245499999999902</v>
      </c>
      <c r="AE5642">
        <v>-78.991497999999893</v>
      </c>
      <c r="AF5642">
        <v>23.242191395718201</v>
      </c>
      <c r="AG5642">
        <v>-0.66245499999999902</v>
      </c>
      <c r="AH5642">
        <v>76.776713272450706</v>
      </c>
      <c r="AI5642">
        <v>90.473150697167696</v>
      </c>
      <c r="AJ5642">
        <v>73.157650713754705</v>
      </c>
      <c r="AK5642">
        <v>80.220334133075795</v>
      </c>
      <c r="AL5642">
        <v>89.679892663943903</v>
      </c>
      <c r="AM5642">
        <v>83.633433289834301</v>
      </c>
      <c r="AN5642">
        <v>1.0000000162549201</v>
      </c>
    </row>
    <row r="5643" spans="1:40" x14ac:dyDescent="0.25">
      <c r="A5643" t="str">
        <f>"20190312161130102"</f>
        <v>20190312161130102</v>
      </c>
      <c r="B5643" t="str">
        <f>"1552378290092869"</f>
        <v>1552378290092869</v>
      </c>
      <c r="C5643" t="s">
        <v>40</v>
      </c>
      <c r="D5643">
        <v>6.1187399999999998</v>
      </c>
      <c r="E5643">
        <v>0.54630579999999995</v>
      </c>
      <c r="F5643" t="s">
        <v>78</v>
      </c>
      <c r="G5643">
        <v>-305.88189999999997</v>
      </c>
      <c r="H5643" s="1">
        <v>-1.6887349999999999E-6</v>
      </c>
      <c r="I5643">
        <v>-40.682220000000001</v>
      </c>
      <c r="J5643">
        <v>-300.95620000000002</v>
      </c>
      <c r="K5643">
        <v>1.0674870000000001</v>
      </c>
      <c r="L5643">
        <v>-1.9005129999999999</v>
      </c>
      <c r="M5643">
        <v>9.7980429999999993E-2</v>
      </c>
      <c r="N5643">
        <v>0</v>
      </c>
      <c r="O5643">
        <v>-0.99518229999999996</v>
      </c>
      <c r="P5643">
        <v>-1.0211939999999999E-2</v>
      </c>
      <c r="Q5643">
        <v>5.1031059999999996E-3</v>
      </c>
      <c r="R5643">
        <v>-0.99993500000000002</v>
      </c>
      <c r="S5643">
        <v>-0.375</v>
      </c>
      <c r="T5643">
        <v>-8.1494209999999997E-2</v>
      </c>
      <c r="U5643">
        <v>-3.003174</v>
      </c>
      <c r="V5643">
        <v>0.1082637</v>
      </c>
      <c r="W5643">
        <v>6.8032850000000001E-3</v>
      </c>
      <c r="X5643">
        <v>0.99409899999999995</v>
      </c>
      <c r="Y5643">
        <v>0.2204913</v>
      </c>
      <c r="Z5643">
        <v>2.6493260000000001E-2</v>
      </c>
      <c r="AA5643">
        <v>0.97502909999999998</v>
      </c>
      <c r="AB5643">
        <v>25</v>
      </c>
      <c r="AC5643">
        <v>-4.9256999999999396</v>
      </c>
      <c r="AD5643">
        <v>-1.0674886887349999</v>
      </c>
      <c r="AE5643">
        <v>-38.781706999999997</v>
      </c>
      <c r="AF5643">
        <v>8.6953865728010999</v>
      </c>
      <c r="AG5643">
        <v>-1.0674886887349999</v>
      </c>
      <c r="AH5643">
        <v>38.084078733040201</v>
      </c>
      <c r="AI5643">
        <v>91.565307308069507</v>
      </c>
      <c r="AJ5643">
        <v>77.138647231279194</v>
      </c>
      <c r="AK5643">
        <v>39.0787196910983</v>
      </c>
      <c r="AL5643">
        <v>89.610197502010607</v>
      </c>
      <c r="AM5643">
        <v>83.784620872718804</v>
      </c>
      <c r="AN5643">
        <v>1.0000000676127301</v>
      </c>
    </row>
    <row r="5644" spans="1:40" x14ac:dyDescent="0.25">
      <c r="A5644" t="str">
        <f>"20190312161130148"</f>
        <v>20190312161130148</v>
      </c>
      <c r="B5644" t="str">
        <f>"1552378290142642"</f>
        <v>1552378290142642</v>
      </c>
      <c r="C5644" t="s">
        <v>40</v>
      </c>
      <c r="D5644">
        <v>6.1411480000000003</v>
      </c>
      <c r="E5644">
        <v>0.52652540000000003</v>
      </c>
      <c r="F5644" t="s">
        <v>41</v>
      </c>
      <c r="G5644">
        <v>-305.37150000000003</v>
      </c>
      <c r="H5644" s="1">
        <v>-3.710398E-6</v>
      </c>
      <c r="I5644">
        <v>-34.909930000000003</v>
      </c>
      <c r="J5644">
        <v>-300.92950000000002</v>
      </c>
      <c r="K5644">
        <v>1.07195</v>
      </c>
      <c r="L5644">
        <v>-2.4006959999999999</v>
      </c>
      <c r="M5644">
        <v>7.7622590000000005E-2</v>
      </c>
      <c r="N5644">
        <v>0</v>
      </c>
      <c r="O5644">
        <v>-0.99697429999999998</v>
      </c>
      <c r="P5644">
        <v>-2.7781E-2</v>
      </c>
      <c r="Q5644">
        <v>8.5407569999999995E-3</v>
      </c>
      <c r="R5644">
        <v>-0.99957739999999995</v>
      </c>
      <c r="S5644">
        <v>-0.4008179</v>
      </c>
      <c r="T5644">
        <v>-9.6906419999999993E-2</v>
      </c>
      <c r="U5644">
        <v>-2.9965820000000001</v>
      </c>
      <c r="V5644">
        <v>0.1054865</v>
      </c>
      <c r="W5644">
        <v>1.0848129999999999E-2</v>
      </c>
      <c r="X5644">
        <v>0.99436159999999996</v>
      </c>
      <c r="Y5644">
        <v>0.2090485</v>
      </c>
      <c r="Z5644">
        <v>3.1677549999999999E-2</v>
      </c>
      <c r="AA5644">
        <v>0.97739209999999999</v>
      </c>
      <c r="AB5644">
        <v>25</v>
      </c>
      <c r="AC5644">
        <v>-4.4420000000000002</v>
      </c>
      <c r="AD5644">
        <v>-1.0719537103979999</v>
      </c>
      <c r="AE5644">
        <v>-32.5092339999999</v>
      </c>
      <c r="AF5644">
        <v>6.9446574513031498</v>
      </c>
      <c r="AG5644">
        <v>-1.0719537103979999</v>
      </c>
      <c r="AH5644">
        <v>32.032154108316199</v>
      </c>
      <c r="AI5644">
        <v>91.873198056665899</v>
      </c>
      <c r="AJ5644">
        <v>77.767432961931306</v>
      </c>
      <c r="AK5644">
        <v>32.793844676891602</v>
      </c>
      <c r="AL5644">
        <v>89.378435767197601</v>
      </c>
      <c r="AM5644">
        <v>83.944445948882802</v>
      </c>
      <c r="AN5644">
        <v>1.0000000375806499</v>
      </c>
    </row>
    <row r="5645" spans="1:40" x14ac:dyDescent="0.25">
      <c r="A5645" t="str">
        <f>"20190312161130191"</f>
        <v>20190312161130191</v>
      </c>
      <c r="B5645" t="str">
        <f>"1552378290182661"</f>
        <v>1552378290182661</v>
      </c>
      <c r="C5645" t="s">
        <v>40</v>
      </c>
      <c r="D5645">
        <v>6.9831209999999997</v>
      </c>
      <c r="E5645">
        <v>0.52355370000000001</v>
      </c>
      <c r="F5645" t="s">
        <v>43</v>
      </c>
      <c r="G5645">
        <v>-309.9135</v>
      </c>
      <c r="H5645">
        <v>-0.05</v>
      </c>
      <c r="I5645">
        <v>-93.454099999999997</v>
      </c>
      <c r="J5645">
        <v>-300.91289999999998</v>
      </c>
      <c r="K5645">
        <v>1.0774109999999999</v>
      </c>
      <c r="L5645">
        <v>-2.8867189999999998</v>
      </c>
      <c r="M5645">
        <v>6.0175039999999999E-2</v>
      </c>
      <c r="N5645">
        <v>0</v>
      </c>
      <c r="O5645">
        <v>-0.99817900000000004</v>
      </c>
      <c r="P5645">
        <v>-4.2825099999999998E-2</v>
      </c>
      <c r="Q5645">
        <v>8.793103E-3</v>
      </c>
      <c r="R5645">
        <v>-0.99904409999999999</v>
      </c>
      <c r="S5645">
        <v>-0.29534909999999998</v>
      </c>
      <c r="T5645">
        <v>-3.6884069999999998E-2</v>
      </c>
      <c r="U5645">
        <v>-2.9933779999999999</v>
      </c>
      <c r="V5645">
        <v>0.1030604</v>
      </c>
      <c r="W5645">
        <v>1.1326370000000001E-2</v>
      </c>
      <c r="X5645">
        <v>0.99461060000000001</v>
      </c>
      <c r="Y5645">
        <v>0.15789020000000001</v>
      </c>
      <c r="Z5645">
        <v>1.218059E-2</v>
      </c>
      <c r="AA5645">
        <v>0.98738150000000002</v>
      </c>
      <c r="AB5645">
        <v>24</v>
      </c>
      <c r="AC5645">
        <v>-9.0006000000000199</v>
      </c>
      <c r="AD5645">
        <v>-1.1274109999999999</v>
      </c>
      <c r="AE5645">
        <v>-90.567380999999997</v>
      </c>
      <c r="AF5645">
        <v>14.432018532946399</v>
      </c>
      <c r="AG5645">
        <v>-1.1274109999999999</v>
      </c>
      <c r="AH5645">
        <v>89.847852598098299</v>
      </c>
      <c r="AI5645">
        <v>90.709812090956504</v>
      </c>
      <c r="AJ5645">
        <v>80.874681661851199</v>
      </c>
      <c r="AK5645">
        <v>91.0065427921962</v>
      </c>
      <c r="AL5645">
        <v>89.351032918626601</v>
      </c>
      <c r="AM5645">
        <v>84.084189732093805</v>
      </c>
      <c r="AN5645">
        <v>0.99999998916894794</v>
      </c>
    </row>
    <row r="5646" spans="1:40" x14ac:dyDescent="0.25">
      <c r="A5646" t="str">
        <f>"20190312161130219"</f>
        <v>20190312161130219</v>
      </c>
      <c r="B5646" t="str">
        <f>"1552378290212914"</f>
        <v>1552378290212914</v>
      </c>
      <c r="C5646" t="s">
        <v>40</v>
      </c>
      <c r="D5646">
        <v>6.1758790000000001</v>
      </c>
      <c r="E5646">
        <v>0.52322209999999902</v>
      </c>
      <c r="F5646" t="s">
        <v>78</v>
      </c>
      <c r="G5646">
        <v>-307.14780000000002</v>
      </c>
      <c r="H5646" s="1">
        <v>-8.5580009999999994E-6</v>
      </c>
      <c r="I5646">
        <v>-61.738419999999998</v>
      </c>
      <c r="J5646">
        <v>-300.90629999999999</v>
      </c>
      <c r="K5646">
        <v>1.081378</v>
      </c>
      <c r="L5646">
        <v>-3.2011409999999998</v>
      </c>
      <c r="M5646">
        <v>4.9211789999999998E-2</v>
      </c>
      <c r="N5646">
        <v>0</v>
      </c>
      <c r="O5646">
        <v>-0.99877709999999997</v>
      </c>
      <c r="P5646">
        <v>-5.2360919999999998E-2</v>
      </c>
      <c r="Q5646">
        <v>9.1369989999999998E-3</v>
      </c>
      <c r="R5646">
        <v>-0.99858650000000004</v>
      </c>
      <c r="S5646">
        <v>-0.31674190000000002</v>
      </c>
      <c r="T5646">
        <v>-5.4734949999999997E-2</v>
      </c>
      <c r="U5646">
        <v>-2.9897770000000001</v>
      </c>
      <c r="V5646">
        <v>0.1016348</v>
      </c>
      <c r="W5646">
        <v>1.2366759999999999E-2</v>
      </c>
      <c r="X5646">
        <v>0.99474490000000004</v>
      </c>
      <c r="Y5646">
        <v>0.15414559999999999</v>
      </c>
      <c r="Z5646">
        <v>1.8110959999999999E-2</v>
      </c>
      <c r="AA5646">
        <v>0.98788209999999999</v>
      </c>
      <c r="AB5646">
        <v>24</v>
      </c>
      <c r="AC5646">
        <v>-6.2415000000000296</v>
      </c>
      <c r="AD5646">
        <v>-1.081386558001</v>
      </c>
      <c r="AE5646">
        <v>-58.537278999999998</v>
      </c>
      <c r="AF5646">
        <v>9.11161955157616</v>
      </c>
      <c r="AG5646">
        <v>-1.081386558001</v>
      </c>
      <c r="AH5646">
        <v>58.139574590736999</v>
      </c>
      <c r="AI5646">
        <v>91.052722604084906</v>
      </c>
      <c r="AJ5646">
        <v>81.093069519855305</v>
      </c>
      <c r="AK5646">
        <v>58.8591636139383</v>
      </c>
      <c r="AL5646">
        <v>89.291418778441397</v>
      </c>
      <c r="AM5646">
        <v>84.166234982130305</v>
      </c>
      <c r="AN5646">
        <v>0.99999999269997297</v>
      </c>
    </row>
    <row r="5647" spans="1:40" x14ac:dyDescent="0.25">
      <c r="A5647" t="str">
        <f>"20190312161130259"</f>
        <v>20190312161130259</v>
      </c>
      <c r="B5647" t="str">
        <f>"1552378290252934"</f>
        <v>1552378290252934</v>
      </c>
      <c r="C5647" t="s">
        <v>40</v>
      </c>
      <c r="D5647">
        <v>6.1704970000000001</v>
      </c>
      <c r="E5647">
        <v>0.51852410000000004</v>
      </c>
      <c r="F5647" t="s">
        <v>78</v>
      </c>
      <c r="G5647">
        <v>-307.30610000000001</v>
      </c>
      <c r="H5647" s="1">
        <v>-9.8563950000000007E-6</v>
      </c>
      <c r="I5647">
        <v>-59.042189999999998</v>
      </c>
      <c r="J5647">
        <v>-300.90170000000001</v>
      </c>
      <c r="K5647">
        <v>1.086687</v>
      </c>
      <c r="L5647">
        <v>-3.6381230000000002</v>
      </c>
      <c r="M5647">
        <v>3.516623E-2</v>
      </c>
      <c r="N5647">
        <v>0</v>
      </c>
      <c r="O5647">
        <v>-0.99936349999999996</v>
      </c>
      <c r="P5647">
        <v>-6.1701539999999999E-2</v>
      </c>
      <c r="Q5647">
        <v>9.5187859999999996E-3</v>
      </c>
      <c r="R5647">
        <v>-0.99804930000000003</v>
      </c>
      <c r="S5647">
        <v>-0.3423157</v>
      </c>
      <c r="T5647">
        <v>-5.784106E-2</v>
      </c>
      <c r="U5647">
        <v>-2.9868160000000001</v>
      </c>
      <c r="V5647">
        <v>9.695645E-2</v>
      </c>
      <c r="W5647">
        <v>1.4203850000000001E-2</v>
      </c>
      <c r="X5647">
        <v>0.9951873</v>
      </c>
      <c r="Y5647">
        <v>0.14871029999999999</v>
      </c>
      <c r="Z5647">
        <v>1.9173470000000001E-2</v>
      </c>
      <c r="AA5647">
        <v>0.98869490000000004</v>
      </c>
      <c r="AB5647">
        <v>24</v>
      </c>
      <c r="AC5647">
        <v>-6.4044000000000096</v>
      </c>
      <c r="AD5647">
        <v>-1.0866968563949999</v>
      </c>
      <c r="AE5647">
        <v>-55.404066999999998</v>
      </c>
      <c r="AF5647">
        <v>8.3456574322643196</v>
      </c>
      <c r="AG5647">
        <v>-1.0866968563949999</v>
      </c>
      <c r="AH5647">
        <v>55.12364742722</v>
      </c>
      <c r="AI5647">
        <v>91.116649634731402</v>
      </c>
      <c r="AJ5647">
        <v>81.390865358404199</v>
      </c>
      <c r="AK5647">
        <v>55.762419367481399</v>
      </c>
      <c r="AL5647">
        <v>89.186152001348702</v>
      </c>
      <c r="AM5647">
        <v>84.435501004608199</v>
      </c>
      <c r="AN5647">
        <v>1.00000003231635</v>
      </c>
    </row>
    <row r="5648" spans="1:40" x14ac:dyDescent="0.25">
      <c r="A5648" t="str">
        <f>"20190312161130302"</f>
        <v>20190312161130302</v>
      </c>
      <c r="B5648" t="str">
        <f>"1552378290292946"</f>
        <v>1552378290292946</v>
      </c>
      <c r="C5648" t="s">
        <v>40</v>
      </c>
      <c r="D5648">
        <v>6.210445</v>
      </c>
      <c r="E5648">
        <v>0.51670519999999998</v>
      </c>
      <c r="F5648" t="s">
        <v>78</v>
      </c>
      <c r="G5648">
        <v>-306.149</v>
      </c>
      <c r="H5648" s="1">
        <v>-6.20051399999999E-6</v>
      </c>
      <c r="I5648">
        <v>-50.670760000000001</v>
      </c>
      <c r="J5648">
        <v>-300.90219999999999</v>
      </c>
      <c r="K5648">
        <v>1.0919559999999999</v>
      </c>
      <c r="L5648">
        <v>-4.1237789999999999</v>
      </c>
      <c r="M5648">
        <v>2.1758090000000001E-2</v>
      </c>
      <c r="N5648">
        <v>0</v>
      </c>
      <c r="O5648">
        <v>-0.99973610000000002</v>
      </c>
      <c r="P5648">
        <v>-7.2196159999999995E-2</v>
      </c>
      <c r="Q5648">
        <v>8.4170779999999997E-3</v>
      </c>
      <c r="R5648">
        <v>-0.9973552</v>
      </c>
      <c r="S5648">
        <v>-0.33312989999999998</v>
      </c>
      <c r="T5648">
        <v>-6.899023E-2</v>
      </c>
      <c r="U5648">
        <v>-2.9859309999999999</v>
      </c>
      <c r="V5648">
        <v>9.405065E-2</v>
      </c>
      <c r="W5648">
        <v>1.471973E-2</v>
      </c>
      <c r="X5648">
        <v>0.99545859999999997</v>
      </c>
      <c r="Y5648">
        <v>0.1324477</v>
      </c>
      <c r="Z5648">
        <v>2.291791E-2</v>
      </c>
      <c r="AA5648">
        <v>0.99092499999999994</v>
      </c>
      <c r="AB5648">
        <v>24</v>
      </c>
      <c r="AC5648">
        <v>-5.2468000000000004</v>
      </c>
      <c r="AD5648">
        <v>-1.0919622005139999</v>
      </c>
      <c r="AE5648">
        <v>-46.546981000000002</v>
      </c>
      <c r="AF5648">
        <v>6.2549595642284599</v>
      </c>
      <c r="AG5648">
        <v>-1.0919622005139999</v>
      </c>
      <c r="AH5648">
        <v>46.396584044009401</v>
      </c>
      <c r="AI5648">
        <v>91.336147045176403</v>
      </c>
      <c r="AJ5648">
        <v>82.321957526146903</v>
      </c>
      <c r="AK5648">
        <v>46.829049868113998</v>
      </c>
      <c r="AL5648">
        <v>89.156591144831495</v>
      </c>
      <c r="AM5648">
        <v>84.602732155206098</v>
      </c>
      <c r="AN5648">
        <v>1.0000000097653201</v>
      </c>
    </row>
    <row r="5649" spans="1:40" x14ac:dyDescent="0.25">
      <c r="A5649" t="str">
        <f>"20190312161130348"</f>
        <v>20190312161130348</v>
      </c>
      <c r="B5649" t="str">
        <f>"1552378290342722"</f>
        <v>1552378290342722</v>
      </c>
      <c r="C5649" t="s">
        <v>40</v>
      </c>
      <c r="D5649">
        <v>6.1747339999999999</v>
      </c>
      <c r="E5649">
        <v>0.51402579999999998</v>
      </c>
      <c r="F5649" t="s">
        <v>78</v>
      </c>
      <c r="G5649">
        <v>-305.57619999999997</v>
      </c>
      <c r="H5649" s="1">
        <v>-3.0983850000000001E-6</v>
      </c>
      <c r="I5649">
        <v>-44.02993</v>
      </c>
      <c r="J5649">
        <v>-300.90719999999999</v>
      </c>
      <c r="K5649">
        <v>1.0964959999999999</v>
      </c>
      <c r="L5649">
        <v>-4.6213989999999896</v>
      </c>
      <c r="M5649">
        <v>1.007035E-2</v>
      </c>
      <c r="N5649">
        <v>0</v>
      </c>
      <c r="O5649">
        <v>-0.99991149999999995</v>
      </c>
      <c r="P5649">
        <v>-7.9524369999999997E-2</v>
      </c>
      <c r="Q5649">
        <v>7.2957650000000001E-3</v>
      </c>
      <c r="R5649">
        <v>-0.99680670000000005</v>
      </c>
      <c r="S5649">
        <v>-0.34942630000000002</v>
      </c>
      <c r="T5649">
        <v>-8.1633570000000003E-2</v>
      </c>
      <c r="U5649">
        <v>-2.9833370000000001</v>
      </c>
      <c r="V5649">
        <v>8.9700260000000004E-2</v>
      </c>
      <c r="W5649">
        <v>1.514121E-2</v>
      </c>
      <c r="X5649">
        <v>0.99585369999999995</v>
      </c>
      <c r="Y5649">
        <v>0.12628429999999999</v>
      </c>
      <c r="Z5649">
        <v>2.714863E-2</v>
      </c>
      <c r="AA5649">
        <v>0.99162249999999996</v>
      </c>
      <c r="AB5649">
        <v>24</v>
      </c>
      <c r="AC5649">
        <v>-4.6689999999999801</v>
      </c>
      <c r="AD5649">
        <v>-1.09649909838499</v>
      </c>
      <c r="AE5649">
        <v>-39.408530999999897</v>
      </c>
      <c r="AF5649">
        <v>5.0617715030803501</v>
      </c>
      <c r="AG5649">
        <v>-1.09649909838499</v>
      </c>
      <c r="AH5649">
        <v>39.329486091291599</v>
      </c>
      <c r="AI5649">
        <v>91.583924937804298</v>
      </c>
      <c r="AJ5649">
        <v>82.666251146860404</v>
      </c>
      <c r="AK5649">
        <v>39.669034740301598</v>
      </c>
      <c r="AL5649">
        <v>89.132439412536499</v>
      </c>
      <c r="AM5649">
        <v>84.853044840255293</v>
      </c>
      <c r="AN5649">
        <v>0.99999999234401005</v>
      </c>
    </row>
    <row r="5650" spans="1:40" x14ac:dyDescent="0.25">
      <c r="A5650" t="str">
        <f>"20190312161130377"</f>
        <v>20190312161130377</v>
      </c>
      <c r="B5650" t="str">
        <f>"1552378290372978"</f>
        <v>1552378290372978</v>
      </c>
      <c r="C5650" t="s">
        <v>40</v>
      </c>
      <c r="D5650">
        <v>6.2647789999999999</v>
      </c>
      <c r="E5650">
        <v>0.51266160000000005</v>
      </c>
      <c r="F5650" t="s">
        <v>41</v>
      </c>
      <c r="G5650">
        <v>-304.80349999999999</v>
      </c>
      <c r="H5650" s="1">
        <v>-2.3974760000000001E-6</v>
      </c>
      <c r="I5650">
        <v>-37.801569999999998</v>
      </c>
      <c r="J5650">
        <v>-300.91239999999999</v>
      </c>
      <c r="K5650">
        <v>1.0989310000000001</v>
      </c>
      <c r="L5650">
        <v>-4.9466549999999998</v>
      </c>
      <c r="M5650">
        <v>3.3919900000000001E-3</v>
      </c>
      <c r="N5650">
        <v>0</v>
      </c>
      <c r="O5650">
        <v>-0.99994989999999995</v>
      </c>
      <c r="P5650">
        <v>-8.4155110000000005E-2</v>
      </c>
      <c r="Q5650">
        <v>5.8181810000000004E-3</v>
      </c>
      <c r="R5650">
        <v>-0.99643579999999998</v>
      </c>
      <c r="S5650">
        <v>-0.35021970000000002</v>
      </c>
      <c r="T5650">
        <v>-9.8558430000000002E-2</v>
      </c>
      <c r="U5650">
        <v>-2.9823909999999998</v>
      </c>
      <c r="V5650">
        <v>8.7651889999999996E-2</v>
      </c>
      <c r="W5650">
        <v>1.4523299999999999E-2</v>
      </c>
      <c r="X5650">
        <v>0.99604530000000002</v>
      </c>
      <c r="Y5650">
        <v>0.119933399999999</v>
      </c>
      <c r="Z5650">
        <v>3.2796699999999998E-2</v>
      </c>
      <c r="AA5650">
        <v>0.99224009999999996</v>
      </c>
      <c r="AB5650">
        <v>24</v>
      </c>
      <c r="AC5650">
        <v>-3.89109999999999</v>
      </c>
      <c r="AD5650">
        <v>-1.0989333974759901</v>
      </c>
      <c r="AE5650">
        <v>-32.854914999999998</v>
      </c>
      <c r="AF5650">
        <v>3.9981149866500099</v>
      </c>
      <c r="AG5650">
        <v>-1.0989333974759901</v>
      </c>
      <c r="AH5650">
        <v>32.805332760591497</v>
      </c>
      <c r="AI5650">
        <v>91.904530525029998</v>
      </c>
      <c r="AJ5650">
        <v>83.051405769059301</v>
      </c>
      <c r="AK5650">
        <v>33.066333869839603</v>
      </c>
      <c r="AL5650">
        <v>89.167846958033493</v>
      </c>
      <c r="AM5650">
        <v>84.970931920845103</v>
      </c>
      <c r="AN5650">
        <v>1.0000000098577699</v>
      </c>
    </row>
    <row r="5651" spans="1:40" x14ac:dyDescent="0.25">
      <c r="A5651" t="str">
        <f>"20190312161130413"</f>
        <v>20190312161130413</v>
      </c>
      <c r="B5651" t="str">
        <f>"1552378290403234"</f>
        <v>1552378290403234</v>
      </c>
      <c r="C5651" t="s">
        <v>40</v>
      </c>
      <c r="D5651">
        <v>6.2112590000000001</v>
      </c>
      <c r="E5651">
        <v>0.51134259999999998</v>
      </c>
      <c r="F5651" t="s">
        <v>41</v>
      </c>
      <c r="G5651">
        <v>-304.44130000000001</v>
      </c>
      <c r="H5651" s="1">
        <v>-3.5968800000000001E-6</v>
      </c>
      <c r="I5651">
        <v>-34.758620000000001</v>
      </c>
      <c r="J5651">
        <v>-300.9203</v>
      </c>
      <c r="K5651">
        <v>1.101351</v>
      </c>
      <c r="L5651">
        <v>-5.3438420000000004</v>
      </c>
      <c r="M5651">
        <v>-3.7524160000000002E-3</v>
      </c>
      <c r="N5651">
        <v>0</v>
      </c>
      <c r="O5651">
        <v>-0.99994090000000002</v>
      </c>
      <c r="P5651">
        <v>-8.6222480000000004E-2</v>
      </c>
      <c r="Q5651">
        <v>4.4042090000000001E-3</v>
      </c>
      <c r="R5651">
        <v>-0.99626619999999999</v>
      </c>
      <c r="S5651">
        <v>-0.35293580000000002</v>
      </c>
      <c r="T5651">
        <v>-0.109907199999999</v>
      </c>
      <c r="U5651">
        <v>-2.9815670000000001</v>
      </c>
      <c r="V5651">
        <v>8.2578440000000003E-2</v>
      </c>
      <c r="W5651">
        <v>1.402696E-2</v>
      </c>
      <c r="X5651">
        <v>0.99648579999999998</v>
      </c>
      <c r="Y5651">
        <v>0.11374570000000001</v>
      </c>
      <c r="Z5651">
        <v>3.6589709999999998E-2</v>
      </c>
      <c r="AA5651">
        <v>0.99283589999999999</v>
      </c>
      <c r="AB5651">
        <v>24</v>
      </c>
      <c r="AC5651">
        <v>-3.5210000000000101</v>
      </c>
      <c r="AD5651">
        <v>-1.10135459688</v>
      </c>
      <c r="AE5651">
        <v>-29.414777999999998</v>
      </c>
      <c r="AF5651">
        <v>3.4058856486398299</v>
      </c>
      <c r="AG5651">
        <v>-1.10135459688</v>
      </c>
      <c r="AH5651">
        <v>29.387167353032599</v>
      </c>
      <c r="AI5651">
        <v>92.132034495004604</v>
      </c>
      <c r="AJ5651">
        <v>83.389083137228099</v>
      </c>
      <c r="AK5651">
        <v>29.604368664689101</v>
      </c>
      <c r="AL5651">
        <v>89.196287996729595</v>
      </c>
      <c r="AM5651">
        <v>85.262742595579994</v>
      </c>
      <c r="AN5651">
        <v>0.99999995198065605</v>
      </c>
    </row>
    <row r="5652" spans="1:40" x14ac:dyDescent="0.25">
      <c r="A5652" t="str">
        <f>"20190312161130460"</f>
        <v>20190312161130460</v>
      </c>
      <c r="B5652" t="str">
        <f>"1552378290453010"</f>
        <v>1552378290453010</v>
      </c>
      <c r="C5652" t="s">
        <v>40</v>
      </c>
      <c r="D5652">
        <v>6.1575600000000001</v>
      </c>
      <c r="E5652">
        <v>0.50003770000000003</v>
      </c>
      <c r="F5652" t="s">
        <v>41</v>
      </c>
      <c r="G5652">
        <v>-304.11349999999999</v>
      </c>
      <c r="H5652" s="1">
        <v>-4.2584749999999999E-6</v>
      </c>
      <c r="I5652">
        <v>-32.643650000000001</v>
      </c>
      <c r="J5652">
        <v>-300.93239999999997</v>
      </c>
      <c r="K5652">
        <v>1.1038730000000001</v>
      </c>
      <c r="L5652">
        <v>-5.8497009999999996</v>
      </c>
      <c r="M5652">
        <v>-1.1131520000000001E-2</v>
      </c>
      <c r="N5652">
        <v>0</v>
      </c>
      <c r="O5652">
        <v>-0.99987760000000003</v>
      </c>
      <c r="P5652">
        <v>-8.8279339999999998E-2</v>
      </c>
      <c r="Q5652">
        <v>2.169444E-3</v>
      </c>
      <c r="R5652">
        <v>-0.99609349999999997</v>
      </c>
      <c r="S5652">
        <v>-0.34875489999999998</v>
      </c>
      <c r="T5652">
        <v>-0.1202865</v>
      </c>
      <c r="U5652">
        <v>-2.981598</v>
      </c>
      <c r="V5652">
        <v>7.7250910000000006E-2</v>
      </c>
      <c r="W5652">
        <v>1.2756299999999899E-2</v>
      </c>
      <c r="X5652">
        <v>0.99693010000000004</v>
      </c>
      <c r="Y5652">
        <v>0.1050198</v>
      </c>
      <c r="Z5652">
        <v>4.005864E-2</v>
      </c>
      <c r="AA5652">
        <v>0.99366299999999996</v>
      </c>
      <c r="AB5652">
        <v>24</v>
      </c>
      <c r="AC5652">
        <v>-3.18110000000001</v>
      </c>
      <c r="AD5652">
        <v>-1.1038772584749901</v>
      </c>
      <c r="AE5652">
        <v>-26.793948999999898</v>
      </c>
      <c r="AF5652">
        <v>2.8778107562728001</v>
      </c>
      <c r="AG5652">
        <v>-1.1038772584749901</v>
      </c>
      <c r="AH5652">
        <v>26.782873640561299</v>
      </c>
      <c r="AI5652">
        <v>92.346662405130004</v>
      </c>
      <c r="AJ5652">
        <v>83.867117804196795</v>
      </c>
      <c r="AK5652">
        <v>26.959648740237199</v>
      </c>
      <c r="AL5652">
        <v>89.269098042915502</v>
      </c>
      <c r="AM5652">
        <v>85.569073573065097</v>
      </c>
      <c r="AN5652">
        <v>1.0000000252857599</v>
      </c>
    </row>
    <row r="5653" spans="1:40" x14ac:dyDescent="0.25">
      <c r="A5653" t="str">
        <f>"20190312161130488"</f>
        <v>20190312161130488</v>
      </c>
      <c r="B5653" t="str">
        <f>"1552378290482906"</f>
        <v>1552378290482906</v>
      </c>
      <c r="C5653" t="s">
        <v>40</v>
      </c>
      <c r="D5653">
        <v>6.1556930000000003</v>
      </c>
      <c r="E5653">
        <v>0.4995194</v>
      </c>
      <c r="F5653" t="s">
        <v>42</v>
      </c>
      <c r="G5653">
        <v>-301.00189999999998</v>
      </c>
      <c r="H5653">
        <v>1.049866</v>
      </c>
      <c r="I5653">
        <v>-6.6317490000000001</v>
      </c>
      <c r="J5653">
        <v>-300.94029999999998</v>
      </c>
      <c r="K5653">
        <v>1.1050629999999999</v>
      </c>
      <c r="L5653">
        <v>-6.1474000000000002</v>
      </c>
      <c r="M5653">
        <v>-1.470143E-2</v>
      </c>
      <c r="N5653">
        <v>0</v>
      </c>
      <c r="O5653">
        <v>-0.99982709999999997</v>
      </c>
      <c r="P5653">
        <v>-8.9477180000000003E-2</v>
      </c>
      <c r="Q5653">
        <v>3.4515540000000001E-4</v>
      </c>
      <c r="R5653">
        <v>-0.99598920000000002</v>
      </c>
      <c r="S5653">
        <v>-0.26504519999999998</v>
      </c>
      <c r="T5653">
        <v>-0.20624229999999999</v>
      </c>
      <c r="U5653">
        <v>-2.9887079999999999</v>
      </c>
      <c r="V5653">
        <v>7.4872939999999999E-2</v>
      </c>
      <c r="W5653">
        <v>1.139885E-2</v>
      </c>
      <c r="X5653">
        <v>0.99712800000000001</v>
      </c>
      <c r="Y5653">
        <v>7.347294E-2</v>
      </c>
      <c r="Z5653">
        <v>6.8605330000000006E-2</v>
      </c>
      <c r="AA5653">
        <v>0.99493469999999995</v>
      </c>
      <c r="AB5653">
        <v>24</v>
      </c>
      <c r="AC5653">
        <v>-6.1599999999998503E-2</v>
      </c>
      <c r="AD5653">
        <v>-5.5196999999999899E-2</v>
      </c>
      <c r="AE5653">
        <v>-0.48434899999999897</v>
      </c>
      <c r="AF5653">
        <v>5.3784863464549602E-2</v>
      </c>
      <c r="AG5653">
        <v>-5.5196999999999899E-2</v>
      </c>
      <c r="AH5653">
        <v>0.47907947165544101</v>
      </c>
      <c r="AI5653">
        <v>96.531661803192705</v>
      </c>
      <c r="AJ5653">
        <v>83.594390960433202</v>
      </c>
      <c r="AK5653">
        <v>0.48523876649393599</v>
      </c>
      <c r="AL5653">
        <v>89.346879904943194</v>
      </c>
      <c r="AM5653">
        <v>85.705799010141007</v>
      </c>
      <c r="AN5653">
        <v>1.0000000696547799</v>
      </c>
    </row>
    <row r="5654" spans="1:40" x14ac:dyDescent="0.25">
      <c r="A5654" t="str">
        <f>"20190312161130526"</f>
        <v>20190312161130526</v>
      </c>
      <c r="B5654" t="str">
        <f>"1552378290522911"</f>
        <v>1552378290522911</v>
      </c>
      <c r="C5654" t="s">
        <v>40</v>
      </c>
      <c r="D5654">
        <v>6.1996120000000001</v>
      </c>
      <c r="E5654">
        <v>0.49871339999999997</v>
      </c>
      <c r="F5654" t="s">
        <v>42</v>
      </c>
      <c r="G5654">
        <v>-301.02050000000003</v>
      </c>
      <c r="H5654">
        <v>1.0420910000000001</v>
      </c>
      <c r="I5654">
        <v>-7.0522489999999998</v>
      </c>
      <c r="J5654">
        <v>-300.95179999999999</v>
      </c>
      <c r="K5654">
        <v>1.106436</v>
      </c>
      <c r="L5654">
        <v>-6.5647890000000002</v>
      </c>
      <c r="M5654">
        <v>-1.8698469999999998E-2</v>
      </c>
      <c r="N5654">
        <v>0</v>
      </c>
      <c r="O5654">
        <v>-0.99975499999999995</v>
      </c>
      <c r="P5654">
        <v>-8.8155579999999997E-2</v>
      </c>
      <c r="Q5654">
        <v>-2.9307199999999999E-3</v>
      </c>
      <c r="R5654">
        <v>-0.99610279999999995</v>
      </c>
      <c r="S5654">
        <v>-0.26464840000000001</v>
      </c>
      <c r="T5654">
        <v>-0.2079097</v>
      </c>
      <c r="U5654">
        <v>-2.9883730000000002</v>
      </c>
      <c r="V5654">
        <v>6.9540920000000006E-2</v>
      </c>
      <c r="W5654">
        <v>8.6838750000000006E-3</v>
      </c>
      <c r="X5654">
        <v>0.99754129999999996</v>
      </c>
      <c r="Y5654">
        <v>6.9360569999999996E-2</v>
      </c>
      <c r="Z5654">
        <v>6.9168729999999998E-2</v>
      </c>
      <c r="AA5654">
        <v>0.99519089999999999</v>
      </c>
      <c r="AB5654">
        <v>24</v>
      </c>
      <c r="AC5654">
        <v>-6.8700000000035205E-2</v>
      </c>
      <c r="AD5654">
        <v>-6.4345000000000097E-2</v>
      </c>
      <c r="AE5654">
        <v>-0.48746</v>
      </c>
      <c r="AF5654">
        <v>5.8571902252180903E-2</v>
      </c>
      <c r="AG5654">
        <v>-6.4345000000000097E-2</v>
      </c>
      <c r="AH5654">
        <v>0.480451028206833</v>
      </c>
      <c r="AI5654">
        <v>97.572611298703805</v>
      </c>
      <c r="AJ5654">
        <v>83.049355842821299</v>
      </c>
      <c r="AK5654">
        <v>0.48826646133381102</v>
      </c>
      <c r="AL5654">
        <v>89.502444357746199</v>
      </c>
      <c r="AM5654">
        <v>86.012229769159305</v>
      </c>
      <c r="AN5654">
        <v>0.99999999722257604</v>
      </c>
    </row>
    <row r="5655" spans="1:40" x14ac:dyDescent="0.25">
      <c r="A5655" t="str">
        <f>"20190312161130571"</f>
        <v>20190312161130571</v>
      </c>
      <c r="B5655" t="str">
        <f>"1552378290562931"</f>
        <v>1552378290562931</v>
      </c>
      <c r="C5655" t="s">
        <v>40</v>
      </c>
      <c r="D5655">
        <v>5.7393599999999996</v>
      </c>
      <c r="E5655">
        <v>0.50194369999999999</v>
      </c>
      <c r="F5655" t="s">
        <v>42</v>
      </c>
      <c r="G5655">
        <v>-301.0301</v>
      </c>
      <c r="H5655">
        <v>1.0406299999999999</v>
      </c>
      <c r="I5655">
        <v>-7.4825649999999904</v>
      </c>
      <c r="J5655">
        <v>-300.96550000000002</v>
      </c>
      <c r="K5655">
        <v>1.1076250000000001</v>
      </c>
      <c r="L5655">
        <v>-7.0452880000000002</v>
      </c>
      <c r="M5655">
        <v>-2.2005279999999999E-2</v>
      </c>
      <c r="N5655">
        <v>0</v>
      </c>
      <c r="O5655">
        <v>-0.99968250000000003</v>
      </c>
      <c r="P5655">
        <v>-8.707877E-2</v>
      </c>
      <c r="Q5655">
        <v>-4.6330670000000003E-3</v>
      </c>
      <c r="R5655">
        <v>-0.99619100000000005</v>
      </c>
      <c r="S5655">
        <v>-0.25421139999999998</v>
      </c>
      <c r="T5655">
        <v>-0.21418609999999999</v>
      </c>
      <c r="U5655">
        <v>-2.9886170000000001</v>
      </c>
      <c r="V5655">
        <v>6.5150719999999995E-2</v>
      </c>
      <c r="W5655">
        <v>7.4856230000000003E-3</v>
      </c>
      <c r="X5655">
        <v>0.99784740000000005</v>
      </c>
      <c r="Y5655">
        <v>6.2590110000000004E-2</v>
      </c>
      <c r="Z5655">
        <v>7.1260019999999993E-2</v>
      </c>
      <c r="AA5655">
        <v>0.99549209999999999</v>
      </c>
      <c r="AB5655">
        <v>24</v>
      </c>
      <c r="AC5655">
        <v>-6.4599999999984406E-2</v>
      </c>
      <c r="AD5655">
        <v>-6.6995000000000096E-2</v>
      </c>
      <c r="AE5655">
        <v>-0.43727699999999797</v>
      </c>
      <c r="AF5655">
        <v>5.3727020828475198E-2</v>
      </c>
      <c r="AG5655">
        <v>-6.6995000000000096E-2</v>
      </c>
      <c r="AH5655">
        <v>0.42874373195542997</v>
      </c>
      <c r="AI5655">
        <v>98.813319061972805</v>
      </c>
      <c r="AJ5655">
        <v>82.857345396814495</v>
      </c>
      <c r="AK5655">
        <v>0.43725977459992099</v>
      </c>
      <c r="AL5655">
        <v>89.571101407619807</v>
      </c>
      <c r="AM5655">
        <v>86.264388240748005</v>
      </c>
      <c r="AN5655">
        <v>1.00000004227748</v>
      </c>
    </row>
    <row r="5656" spans="1:40" x14ac:dyDescent="0.25">
      <c r="A5656" t="str">
        <f>"20190312161130615"</f>
        <v>20190312161130615</v>
      </c>
      <c r="B5656" t="str">
        <f>"1552378290602532"</f>
        <v>1552378290602532</v>
      </c>
      <c r="C5656" t="s">
        <v>40</v>
      </c>
      <c r="D5656">
        <v>6.4322839999999903</v>
      </c>
      <c r="E5656">
        <v>0.5097583</v>
      </c>
      <c r="F5656" t="s">
        <v>42</v>
      </c>
      <c r="G5656">
        <v>-301.04500000000002</v>
      </c>
      <c r="H5656">
        <v>1.022988</v>
      </c>
      <c r="I5656">
        <v>-7.903403</v>
      </c>
      <c r="J5656">
        <v>-300.97919999999999</v>
      </c>
      <c r="K5656">
        <v>1.108511</v>
      </c>
      <c r="L5656">
        <v>-7.5198359999999997</v>
      </c>
      <c r="M5656">
        <v>-2.4145719999999999E-2</v>
      </c>
      <c r="N5656">
        <v>0</v>
      </c>
      <c r="O5656">
        <v>-0.9996292</v>
      </c>
      <c r="P5656">
        <v>-8.7145970000000003E-2</v>
      </c>
      <c r="Q5656">
        <v>-7.9318380000000001E-3</v>
      </c>
      <c r="R5656">
        <v>-0.9961643</v>
      </c>
      <c r="S5656">
        <v>-0.27642820000000001</v>
      </c>
      <c r="T5656">
        <v>-0.29448099999999999</v>
      </c>
      <c r="U5656">
        <v>-2.9859309999999999</v>
      </c>
      <c r="V5656">
        <v>6.3071470000000004E-2</v>
      </c>
      <c r="W5656">
        <v>4.575539E-3</v>
      </c>
      <c r="X5656">
        <v>0.99799850000000001</v>
      </c>
      <c r="Y5656">
        <v>6.7669240000000005E-2</v>
      </c>
      <c r="Z5656">
        <v>9.7784560000000006E-2</v>
      </c>
      <c r="AA5656">
        <v>0.99290440000000002</v>
      </c>
      <c r="AB5656">
        <v>24</v>
      </c>
      <c r="AC5656">
        <v>-6.58000000000242E-2</v>
      </c>
      <c r="AD5656">
        <v>-8.5523000000000002E-2</v>
      </c>
      <c r="AE5656">
        <v>-0.38356699999999999</v>
      </c>
      <c r="AF5656">
        <v>5.3914850053812802E-2</v>
      </c>
      <c r="AG5656">
        <v>-8.5523000000000002E-2</v>
      </c>
      <c r="AH5656">
        <v>0.36730565395209402</v>
      </c>
      <c r="AI5656">
        <v>102.972911091431</v>
      </c>
      <c r="AJ5656">
        <v>81.649488154437705</v>
      </c>
      <c r="AK5656">
        <v>0.38096514015130201</v>
      </c>
      <c r="AL5656">
        <v>89.737840005246099</v>
      </c>
      <c r="AM5656">
        <v>86.383832762745399</v>
      </c>
      <c r="AN5656">
        <v>0.99999997594367496</v>
      </c>
    </row>
    <row r="5657" spans="1:40" x14ac:dyDescent="0.25">
      <c r="A5657" t="str">
        <f>"20190312161130645"</f>
        <v>20190312161130645</v>
      </c>
      <c r="B5657" t="str">
        <f>"1552378290642548"</f>
        <v>1552378290642548</v>
      </c>
      <c r="C5657" t="s">
        <v>40</v>
      </c>
      <c r="D5657">
        <v>6.122395</v>
      </c>
      <c r="E5657">
        <v>0.52826079999999997</v>
      </c>
      <c r="F5657" t="s">
        <v>42</v>
      </c>
      <c r="G5657">
        <v>-301.07089999999999</v>
      </c>
      <c r="H5657">
        <v>1.0120020000000001</v>
      </c>
      <c r="I5657">
        <v>-8.3258039999999998</v>
      </c>
      <c r="J5657">
        <v>-300.98820000000001</v>
      </c>
      <c r="K5657">
        <v>1.10903</v>
      </c>
      <c r="L5657">
        <v>-7.837097</v>
      </c>
      <c r="M5657">
        <v>-2.4978239999999999E-2</v>
      </c>
      <c r="N5657">
        <v>0</v>
      </c>
      <c r="O5657">
        <v>-0.99960629999999995</v>
      </c>
      <c r="P5657">
        <v>-8.7703080000000003E-2</v>
      </c>
      <c r="Q5657">
        <v>-9.291166E-3</v>
      </c>
      <c r="R5657">
        <v>-0.99610379999999998</v>
      </c>
      <c r="S5657">
        <v>-0.3380127</v>
      </c>
      <c r="T5657">
        <v>-0.35667929999999998</v>
      </c>
      <c r="U5657">
        <v>-2.9791560000000001</v>
      </c>
      <c r="V5657">
        <v>6.2795149999999994E-2</v>
      </c>
      <c r="W5657">
        <v>3.434954E-3</v>
      </c>
      <c r="X5657">
        <v>0.99802049999999998</v>
      </c>
      <c r="Y5657">
        <v>8.7089180000000002E-2</v>
      </c>
      <c r="Z5657">
        <v>0.1182213</v>
      </c>
      <c r="AA5657">
        <v>0.98916079999999995</v>
      </c>
      <c r="AB5657">
        <v>24</v>
      </c>
      <c r="AC5657">
        <v>-8.2699999999988394E-2</v>
      </c>
      <c r="AD5657">
        <v>-9.7027999999999795E-2</v>
      </c>
      <c r="AE5657">
        <v>-0.488706999999999</v>
      </c>
      <c r="AF5657">
        <v>6.7865491055431604E-2</v>
      </c>
      <c r="AG5657">
        <v>-9.7027999999999795E-2</v>
      </c>
      <c r="AH5657">
        <v>0.47251324991938498</v>
      </c>
      <c r="AI5657">
        <v>101.48935000010199</v>
      </c>
      <c r="AJ5657">
        <v>81.826695075409006</v>
      </c>
      <c r="AK5657">
        <v>0.487123114838101</v>
      </c>
      <c r="AL5657">
        <v>89.803191240857601</v>
      </c>
      <c r="AM5657">
        <v>86.399712807800995</v>
      </c>
      <c r="AN5657">
        <v>0.99999997409637598</v>
      </c>
    </row>
    <row r="5658" spans="1:40" x14ac:dyDescent="0.25">
      <c r="A5658" t="str">
        <f>"20190312161130667"</f>
        <v>20190312161130667</v>
      </c>
      <c r="B5658" t="str">
        <f>"1552378290663044"</f>
        <v>1552378290663044</v>
      </c>
      <c r="C5658" t="s">
        <v>40</v>
      </c>
      <c r="D5658">
        <v>5.6217860000000002</v>
      </c>
      <c r="E5658">
        <v>0.54607609999999995</v>
      </c>
      <c r="F5658" t="s">
        <v>42</v>
      </c>
      <c r="G5658">
        <v>-301.13470000000001</v>
      </c>
      <c r="H5658">
        <v>0.96898470000000003</v>
      </c>
      <c r="I5658">
        <v>-8.73092299999999</v>
      </c>
      <c r="J5658">
        <v>-300.99489999999997</v>
      </c>
      <c r="K5658">
        <v>1.1093980000000001</v>
      </c>
      <c r="L5658">
        <v>-8.0839839999999992</v>
      </c>
      <c r="M5658">
        <v>-2.525616E-2</v>
      </c>
      <c r="N5658">
        <v>0</v>
      </c>
      <c r="O5658">
        <v>-0.99959779999999998</v>
      </c>
      <c r="P5658">
        <v>-8.6986110000000005E-2</v>
      </c>
      <c r="Q5658">
        <v>-9.4284480000000007E-3</v>
      </c>
      <c r="R5658">
        <v>-0.99616510000000003</v>
      </c>
      <c r="S5658">
        <v>-0.48568729999999899</v>
      </c>
      <c r="T5658">
        <v>-0.46449469999999998</v>
      </c>
      <c r="U5658">
        <v>-2.9646300000000001</v>
      </c>
      <c r="V5658">
        <v>6.1797659999999997E-2</v>
      </c>
      <c r="W5658">
        <v>3.4497350000000002E-3</v>
      </c>
      <c r="X5658">
        <v>0.99808280000000005</v>
      </c>
      <c r="Y5658">
        <v>0.13479140000000001</v>
      </c>
      <c r="Z5658">
        <v>0.1530166</v>
      </c>
      <c r="AA5658">
        <v>0.97898790000000002</v>
      </c>
      <c r="AB5658">
        <v>24</v>
      </c>
      <c r="AC5658">
        <v>-0.13980000000003601</v>
      </c>
      <c r="AD5658">
        <v>-0.14041329999999899</v>
      </c>
      <c r="AE5658">
        <v>-0.64693899999999904</v>
      </c>
      <c r="AF5658">
        <v>0.118099668699335</v>
      </c>
      <c r="AG5658">
        <v>-0.14041329999999899</v>
      </c>
      <c r="AH5658">
        <v>0.62225843907221401</v>
      </c>
      <c r="AI5658">
        <v>102.499942411069</v>
      </c>
      <c r="AJ5658">
        <v>79.2535360813214</v>
      </c>
      <c r="AK5658">
        <v>0.64874416495285103</v>
      </c>
      <c r="AL5658">
        <v>89.802344364582893</v>
      </c>
      <c r="AM5658">
        <v>86.456976477515596</v>
      </c>
      <c r="AN5658">
        <v>1.0000000635544399</v>
      </c>
    </row>
    <row r="5659" spans="1:40" x14ac:dyDescent="0.25">
      <c r="A5659" t="str">
        <f>"20190312161130704"</f>
        <v>20190312161130704</v>
      </c>
      <c r="B5659" t="str">
        <f>"1552378290693267"</f>
        <v>1552378290693267</v>
      </c>
      <c r="C5659" t="s">
        <v>40</v>
      </c>
      <c r="D5659">
        <v>5.8399769999999904</v>
      </c>
      <c r="E5659">
        <v>0.54490490000000003</v>
      </c>
      <c r="F5659" t="s">
        <v>42</v>
      </c>
      <c r="G5659">
        <v>-301.17219999999998</v>
      </c>
      <c r="H5659">
        <v>0.91883740000000003</v>
      </c>
      <c r="I5659">
        <v>-8.9211109999999998</v>
      </c>
      <c r="J5659">
        <v>-301.00479999999999</v>
      </c>
      <c r="K5659">
        <v>1.109869</v>
      </c>
      <c r="L5659">
        <v>-8.4678959999999996</v>
      </c>
      <c r="M5659">
        <v>-2.519161E-2</v>
      </c>
      <c r="N5659">
        <v>0</v>
      </c>
      <c r="O5659">
        <v>-0.99959730000000002</v>
      </c>
      <c r="P5659">
        <v>-8.6170640000000007E-2</v>
      </c>
      <c r="Q5659">
        <v>-1.1666040000000001E-2</v>
      </c>
      <c r="R5659">
        <v>-0.99621230000000005</v>
      </c>
      <c r="S5659">
        <v>-0.62411499999999998</v>
      </c>
      <c r="T5659">
        <v>-0.67169199999999996</v>
      </c>
      <c r="U5659">
        <v>-2.9506839999999999</v>
      </c>
      <c r="V5659">
        <v>6.1044279999999999E-2</v>
      </c>
      <c r="W5659">
        <v>1.4155540000000001E-3</v>
      </c>
      <c r="X5659">
        <v>0.99813410000000002</v>
      </c>
      <c r="Y5659">
        <v>0.17725779999999999</v>
      </c>
      <c r="Z5659">
        <v>0.21781410000000001</v>
      </c>
      <c r="AA5659">
        <v>0.95975860000000002</v>
      </c>
      <c r="AB5659">
        <v>24</v>
      </c>
      <c r="AC5659">
        <v>-0.167399999999986</v>
      </c>
      <c r="AD5659">
        <v>-0.1910316</v>
      </c>
      <c r="AE5659">
        <v>-0.45321499999999798</v>
      </c>
      <c r="AF5659">
        <v>0.13484715716170401</v>
      </c>
      <c r="AG5659">
        <v>-0.1910316</v>
      </c>
      <c r="AH5659">
        <v>0.39546327651885799</v>
      </c>
      <c r="AI5659">
        <v>114.570279344515</v>
      </c>
      <c r="AJ5659">
        <v>71.171379127891299</v>
      </c>
      <c r="AK5659">
        <v>0.45942140902246198</v>
      </c>
      <c r="AL5659">
        <v>89.918894706670002</v>
      </c>
      <c r="AM5659">
        <v>86.500241155435504</v>
      </c>
      <c r="AN5659">
        <v>1.0000000447483199</v>
      </c>
    </row>
    <row r="5660" spans="1:40" x14ac:dyDescent="0.25">
      <c r="A5660" t="str">
        <f>"20190312161130761"</f>
        <v>20190312161130761</v>
      </c>
      <c r="B5660" t="str">
        <f>"1552378290752807"</f>
        <v>1552378290752807</v>
      </c>
      <c r="C5660" t="s">
        <v>40</v>
      </c>
      <c r="D5660">
        <v>6.0868890000000002</v>
      </c>
      <c r="E5660">
        <v>0.54098080000000004</v>
      </c>
      <c r="F5660" t="s">
        <v>42</v>
      </c>
      <c r="G5660">
        <v>-301.18709999999999</v>
      </c>
      <c r="H5660">
        <v>0.92000269999999995</v>
      </c>
      <c r="I5660">
        <v>-9.3466629999999995</v>
      </c>
      <c r="J5660">
        <v>-301.01859999999999</v>
      </c>
      <c r="K5660">
        <v>1.1104449999999999</v>
      </c>
      <c r="L5660">
        <v>-9.0723570000000002</v>
      </c>
      <c r="M5660">
        <v>-2.3757980000000001E-2</v>
      </c>
      <c r="N5660">
        <v>0</v>
      </c>
      <c r="O5660">
        <v>-0.99962960000000001</v>
      </c>
      <c r="P5660">
        <v>-8.2874169999999997E-2</v>
      </c>
      <c r="Q5660">
        <v>-1.2736340000000001E-2</v>
      </c>
      <c r="R5660">
        <v>-0.996479</v>
      </c>
      <c r="S5660">
        <v>-0.61068730000000004</v>
      </c>
      <c r="T5660">
        <v>-0.63767309999999999</v>
      </c>
      <c r="U5660">
        <v>-2.951111</v>
      </c>
      <c r="V5660">
        <v>5.917364E-2</v>
      </c>
      <c r="W5660">
        <v>5.9348750000000003E-4</v>
      </c>
      <c r="X5660">
        <v>0.99824749999999995</v>
      </c>
      <c r="Y5660">
        <v>0.17491409999999999</v>
      </c>
      <c r="Z5660">
        <v>0.20739379999999999</v>
      </c>
      <c r="AA5660">
        <v>0.96249309999999999</v>
      </c>
      <c r="AB5660">
        <v>24</v>
      </c>
      <c r="AC5660">
        <v>-0.16849999999999399</v>
      </c>
      <c r="AD5660">
        <v>-0.19044230000000001</v>
      </c>
      <c r="AE5660">
        <v>-0.27430600000000099</v>
      </c>
      <c r="AF5660">
        <v>0.119955500024785</v>
      </c>
      <c r="AG5660">
        <v>-0.19044230000000001</v>
      </c>
      <c r="AH5660">
        <v>0.20610427180214499</v>
      </c>
      <c r="AI5660">
        <v>128.610800536753</v>
      </c>
      <c r="AJ5660">
        <v>59.8000105175283</v>
      </c>
      <c r="AK5660">
        <v>0.30518283449528799</v>
      </c>
      <c r="AL5660">
        <v>89.965995668093498</v>
      </c>
      <c r="AM5660">
        <v>86.607617758797105</v>
      </c>
      <c r="AN5660">
        <v>0.99999997157725495</v>
      </c>
    </row>
    <row r="5661" spans="1:40" x14ac:dyDescent="0.25">
      <c r="A5661" t="str">
        <f>"20190312161130793"</f>
        <v>20190312161130793</v>
      </c>
      <c r="B5661" t="str">
        <f>"1552378290783060"</f>
        <v>1552378290783060</v>
      </c>
      <c r="C5661" t="s">
        <v>40</v>
      </c>
      <c r="D5661">
        <v>5.7251209999999997</v>
      </c>
      <c r="E5661">
        <v>0.53826549999999995</v>
      </c>
      <c r="F5661" t="s">
        <v>42</v>
      </c>
      <c r="G5661">
        <v>-301.1576</v>
      </c>
      <c r="H5661">
        <v>0.9644355</v>
      </c>
      <c r="I5661">
        <v>-9.7900829999999992</v>
      </c>
      <c r="J5661">
        <v>-301.02530000000002</v>
      </c>
      <c r="K5661">
        <v>1.1106929999999999</v>
      </c>
      <c r="L5661">
        <v>-9.4156490000000002</v>
      </c>
      <c r="M5661">
        <v>-2.239965E-2</v>
      </c>
      <c r="N5661">
        <v>0</v>
      </c>
      <c r="O5661">
        <v>-0.99965990000000005</v>
      </c>
      <c r="P5661">
        <v>-8.0527520000000005E-2</v>
      </c>
      <c r="Q5661">
        <v>-1.4246200000000001E-2</v>
      </c>
      <c r="R5661">
        <v>-0.99665079999999995</v>
      </c>
      <c r="S5661">
        <v>-0.57153319999999996</v>
      </c>
      <c r="T5661">
        <v>-0.60126020000000002</v>
      </c>
      <c r="U5661">
        <v>-2.9553829999999999</v>
      </c>
      <c r="V5661">
        <v>5.818218E-2</v>
      </c>
      <c r="W5661">
        <v>-8.0686910000000002E-4</v>
      </c>
      <c r="X5661">
        <v>0.99830569999999996</v>
      </c>
      <c r="Y5661">
        <v>0.1641396</v>
      </c>
      <c r="Z5661">
        <v>0.1961937</v>
      </c>
      <c r="AA5661">
        <v>0.96672959999999997</v>
      </c>
      <c r="AB5661">
        <v>24</v>
      </c>
      <c r="AC5661">
        <v>-0.13229999999998601</v>
      </c>
      <c r="AD5661">
        <v>-0.14625749999999901</v>
      </c>
      <c r="AE5661">
        <v>-0.37443399999999999</v>
      </c>
      <c r="AF5661">
        <v>0.109082696715932</v>
      </c>
      <c r="AG5661">
        <v>-0.14625749999999901</v>
      </c>
      <c r="AH5661">
        <v>0.332238388854811</v>
      </c>
      <c r="AI5661">
        <v>112.69721513161601</v>
      </c>
      <c r="AJ5661">
        <v>71.823616619209702</v>
      </c>
      <c r="AK5661">
        <v>0.37904173656460399</v>
      </c>
      <c r="AL5661">
        <v>90.046230197037204</v>
      </c>
      <c r="AM5661">
        <v>86.664522037298696</v>
      </c>
      <c r="AN5661">
        <v>1.0000000438798899</v>
      </c>
    </row>
    <row r="5662" spans="1:40" x14ac:dyDescent="0.25">
      <c r="A5662" t="str">
        <f>"20190312161130827"</f>
        <v>20190312161130827</v>
      </c>
      <c r="B5662" t="str">
        <f>"1552378290823076"</f>
        <v>1552378290823076</v>
      </c>
      <c r="C5662" t="s">
        <v>40</v>
      </c>
      <c r="D5662">
        <v>6.3283209999999999</v>
      </c>
      <c r="E5662">
        <v>0.53568629999999995</v>
      </c>
      <c r="F5662" t="s">
        <v>42</v>
      </c>
      <c r="G5662">
        <v>-301.17059999999998</v>
      </c>
      <c r="H5662">
        <v>0.94885370000000002</v>
      </c>
      <c r="I5662">
        <v>-10.2051</v>
      </c>
      <c r="J5662">
        <v>-301.03140000000002</v>
      </c>
      <c r="K5662">
        <v>1.110905</v>
      </c>
      <c r="L5662">
        <v>-9.773987</v>
      </c>
      <c r="M5662">
        <v>-2.0624590000000002E-2</v>
      </c>
      <c r="N5662">
        <v>0</v>
      </c>
      <c r="O5662">
        <v>-0.99969710000000001</v>
      </c>
      <c r="P5662">
        <v>-7.7048389999999994E-2</v>
      </c>
      <c r="Q5662">
        <v>-1.528463E-2</v>
      </c>
      <c r="R5662">
        <v>-0.99691050000000003</v>
      </c>
      <c r="S5662">
        <v>-0.5435181</v>
      </c>
      <c r="T5662">
        <v>-0.60635399999999995</v>
      </c>
      <c r="U5662">
        <v>-2.9574889999999998</v>
      </c>
      <c r="V5662">
        <v>5.647311E-2</v>
      </c>
      <c r="W5662">
        <v>-1.748947E-3</v>
      </c>
      <c r="X5662">
        <v>0.99840260000000003</v>
      </c>
      <c r="Y5662">
        <v>0.15684989999999999</v>
      </c>
      <c r="Z5662">
        <v>0.1979515</v>
      </c>
      <c r="AA5662">
        <v>0.96758120000000003</v>
      </c>
      <c r="AB5662">
        <v>24</v>
      </c>
      <c r="AC5662">
        <v>-0.139199999999959</v>
      </c>
      <c r="AD5662">
        <v>-0.16205129999999901</v>
      </c>
      <c r="AE5662">
        <v>-0.43111299999999902</v>
      </c>
      <c r="AF5662">
        <v>0.115499450928313</v>
      </c>
      <c r="AG5662">
        <v>-0.16205129999999901</v>
      </c>
      <c r="AH5662">
        <v>0.38467218197289199</v>
      </c>
      <c r="AI5662">
        <v>111.972910750549</v>
      </c>
      <c r="AJ5662">
        <v>73.287392963677604</v>
      </c>
      <c r="AK5662">
        <v>0.433097488540649</v>
      </c>
      <c r="AL5662">
        <v>90.100207331642906</v>
      </c>
      <c r="AM5662">
        <v>86.762601874716097</v>
      </c>
      <c r="AN5662">
        <v>1.0000000113277201</v>
      </c>
    </row>
    <row r="5663" spans="1:40" x14ac:dyDescent="0.25">
      <c r="A5663" t="str">
        <f>"20190312161130861"</f>
        <v>20190312161130861</v>
      </c>
      <c r="B5663" t="str">
        <f>"1552378290853331"</f>
        <v>1552378290853331</v>
      </c>
      <c r="C5663" t="s">
        <v>40</v>
      </c>
      <c r="D5663">
        <v>6.1569019999999997</v>
      </c>
      <c r="E5663">
        <v>0.5340298</v>
      </c>
      <c r="F5663" t="s">
        <v>42</v>
      </c>
      <c r="G5663">
        <v>-301.17829999999998</v>
      </c>
      <c r="H5663">
        <v>0.93542239999999999</v>
      </c>
      <c r="I5663">
        <v>-10.61998</v>
      </c>
      <c r="J5663">
        <v>-301.03629999999998</v>
      </c>
      <c r="K5663">
        <v>1.1110530000000001</v>
      </c>
      <c r="L5663">
        <v>-10.122159999999999</v>
      </c>
      <c r="M5663">
        <v>-1.862198E-2</v>
      </c>
      <c r="N5663">
        <v>0</v>
      </c>
      <c r="O5663">
        <v>-0.99973559999999995</v>
      </c>
      <c r="P5663">
        <v>-7.3610419999999996E-2</v>
      </c>
      <c r="Q5663">
        <v>-1.6004640000000001E-2</v>
      </c>
      <c r="R5663">
        <v>-0.99715849999999995</v>
      </c>
      <c r="S5663">
        <v>-0.51303100000000001</v>
      </c>
      <c r="T5663">
        <v>-0.61409530000000001</v>
      </c>
      <c r="U5663">
        <v>-2.9602360000000001</v>
      </c>
      <c r="V5663">
        <v>5.503272E-2</v>
      </c>
      <c r="W5663">
        <v>-2.39632E-3</v>
      </c>
      <c r="X5663">
        <v>0.99848170000000003</v>
      </c>
      <c r="Y5663">
        <v>0.14891599999999999</v>
      </c>
      <c r="Z5663">
        <v>0.20050879999999999</v>
      </c>
      <c r="AA5663">
        <v>0.9683079</v>
      </c>
      <c r="AB5663">
        <v>24</v>
      </c>
      <c r="AC5663">
        <v>-0.14199999999999499</v>
      </c>
      <c r="AD5663">
        <v>-0.1756306</v>
      </c>
      <c r="AE5663">
        <v>-0.49781999999999799</v>
      </c>
      <c r="AF5663">
        <v>0.11900624796822</v>
      </c>
      <c r="AG5663">
        <v>-0.1756306</v>
      </c>
      <c r="AH5663">
        <v>0.44872855670884099</v>
      </c>
      <c r="AI5663">
        <v>110.72251462679</v>
      </c>
      <c r="AJ5663">
        <v>75.146656488592498</v>
      </c>
      <c r="AK5663">
        <v>0.49635260885567301</v>
      </c>
      <c r="AL5663">
        <v>90.137299150480999</v>
      </c>
      <c r="AM5663">
        <v>86.845254642951801</v>
      </c>
      <c r="AN5663">
        <v>1.00000002392751</v>
      </c>
    </row>
    <row r="5664" spans="1:40" x14ac:dyDescent="0.25">
      <c r="A5664" t="str">
        <f>"20190312161130894"</f>
        <v>20190312161130894</v>
      </c>
      <c r="B5664" t="str">
        <f>"1552378290882612"</f>
        <v>1552378290882612</v>
      </c>
      <c r="C5664" t="s">
        <v>40</v>
      </c>
      <c r="D5664">
        <v>6.1958010000000003</v>
      </c>
      <c r="E5664">
        <v>0.54489359999999998</v>
      </c>
      <c r="F5664" t="s">
        <v>42</v>
      </c>
      <c r="G5664">
        <v>-301.15570000000002</v>
      </c>
      <c r="H5664">
        <v>0.96169649999999995</v>
      </c>
      <c r="I5664">
        <v>-10.84247</v>
      </c>
      <c r="J5664">
        <v>-301.04020000000003</v>
      </c>
      <c r="K5664">
        <v>1.1111089999999999</v>
      </c>
      <c r="L5664">
        <v>-10.47006</v>
      </c>
      <c r="M5664">
        <v>-1.6471530000000002E-2</v>
      </c>
      <c r="N5664">
        <v>0</v>
      </c>
      <c r="O5664">
        <v>-0.99977240000000001</v>
      </c>
      <c r="P5664">
        <v>-7.1029750000000003E-2</v>
      </c>
      <c r="Q5664">
        <v>-1.8379159999999999E-2</v>
      </c>
      <c r="R5664">
        <v>-0.99730469999999904</v>
      </c>
      <c r="S5664">
        <v>-0.49157709999999999</v>
      </c>
      <c r="T5664">
        <v>-0.61422919999999903</v>
      </c>
      <c r="U5664">
        <v>-2.962402</v>
      </c>
      <c r="V5664">
        <v>5.4603140000000001E-2</v>
      </c>
      <c r="W5664">
        <v>-4.7192509999999998E-3</v>
      </c>
      <c r="X5664">
        <v>0.99849699999999997</v>
      </c>
      <c r="Y5664">
        <v>0.1441007</v>
      </c>
      <c r="Z5664">
        <v>0.20061039999999999</v>
      </c>
      <c r="AA5664">
        <v>0.96901519999999997</v>
      </c>
      <c r="AB5664">
        <v>24</v>
      </c>
      <c r="AC5664">
        <v>-0.11549999999999699</v>
      </c>
      <c r="AD5664">
        <v>-0.1494125</v>
      </c>
      <c r="AE5664">
        <v>-0.37241000000000002</v>
      </c>
      <c r="AF5664">
        <v>9.5348562371804405E-2</v>
      </c>
      <c r="AG5664">
        <v>-0.1494125</v>
      </c>
      <c r="AH5664">
        <v>0.32634187174529899</v>
      </c>
      <c r="AI5664">
        <v>113.723896593725</v>
      </c>
      <c r="AJ5664">
        <v>73.713017533505905</v>
      </c>
      <c r="AK5664">
        <v>0.37136836262240402</v>
      </c>
      <c r="AL5664">
        <v>90.270394163948595</v>
      </c>
      <c r="AM5664">
        <v>86.869878981564696</v>
      </c>
      <c r="AN5664">
        <v>1.00000001661843</v>
      </c>
    </row>
    <row r="5665" spans="1:40" x14ac:dyDescent="0.25">
      <c r="A5665" t="str">
        <f>"20190312161130928"</f>
        <v>20190312161130928</v>
      </c>
      <c r="B5665" t="str">
        <f>"1552378290922640"</f>
        <v>1552378290922640</v>
      </c>
      <c r="C5665" t="s">
        <v>40</v>
      </c>
      <c r="D5665">
        <v>6.2832889999999999</v>
      </c>
      <c r="E5665">
        <v>0.54357829999999996</v>
      </c>
      <c r="F5665" t="s">
        <v>42</v>
      </c>
      <c r="G5665">
        <v>-301.18630000000002</v>
      </c>
      <c r="H5665">
        <v>0.881665699999999</v>
      </c>
      <c r="I5665">
        <v>-11.22621</v>
      </c>
      <c r="J5665">
        <v>-301.04329999999999</v>
      </c>
      <c r="K5665">
        <v>1.1111150000000001</v>
      </c>
      <c r="L5665">
        <v>-10.8269</v>
      </c>
      <c r="M5665">
        <v>-1.4218400000000001E-2</v>
      </c>
      <c r="N5665">
        <v>0</v>
      </c>
      <c r="O5665">
        <v>-0.99980659999999999</v>
      </c>
      <c r="P5665">
        <v>-6.6818900000000001E-2</v>
      </c>
      <c r="Q5665">
        <v>-1.940921E-2</v>
      </c>
      <c r="R5665">
        <v>-0.99757640000000003</v>
      </c>
      <c r="S5665">
        <v>-0.56997679999999995</v>
      </c>
      <c r="T5665">
        <v>-0.89549140000000005</v>
      </c>
      <c r="U5665">
        <v>-2.9510190000000001</v>
      </c>
      <c r="V5665">
        <v>5.2640720000000002E-2</v>
      </c>
      <c r="W5665">
        <v>-5.7148969999999896E-3</v>
      </c>
      <c r="X5665">
        <v>0.99859710000000002</v>
      </c>
      <c r="Y5665">
        <v>0.16775019999999999</v>
      </c>
      <c r="Z5665">
        <v>0.28586329999999999</v>
      </c>
      <c r="AA5665">
        <v>0.94347340000000002</v>
      </c>
      <c r="AB5665">
        <v>24</v>
      </c>
      <c r="AC5665">
        <v>-0.14300000000002899</v>
      </c>
      <c r="AD5665">
        <v>-0.22944929999999999</v>
      </c>
      <c r="AE5665">
        <v>-0.399309999999999</v>
      </c>
      <c r="AF5665">
        <v>0.10622169764551399</v>
      </c>
      <c r="AG5665">
        <v>-0.22944929999999999</v>
      </c>
      <c r="AH5665">
        <v>0.31044990727717497</v>
      </c>
      <c r="AI5665">
        <v>124.964573165216</v>
      </c>
      <c r="AJ5665">
        <v>71.111409507931</v>
      </c>
      <c r="AK5665">
        <v>0.40038628254423497</v>
      </c>
      <c r="AL5665">
        <v>90.327441281540999</v>
      </c>
      <c r="AM5665">
        <v>86.982464706048304</v>
      </c>
      <c r="AN5665">
        <v>0.99999993678912202</v>
      </c>
    </row>
    <row r="5666" spans="1:40" x14ac:dyDescent="0.25">
      <c r="A5666" t="str">
        <f>"20190312161130962"</f>
        <v>20190312161130962</v>
      </c>
      <c r="B5666" t="str">
        <f>"1552378290952884"</f>
        <v>1552378290952884</v>
      </c>
      <c r="C5666" t="s">
        <v>40</v>
      </c>
      <c r="D5666">
        <v>6.7560269999999996</v>
      </c>
      <c r="E5666">
        <v>0.54305209999999904</v>
      </c>
      <c r="F5666" t="s">
        <v>42</v>
      </c>
      <c r="G5666">
        <v>-301.1936</v>
      </c>
      <c r="H5666">
        <v>0.86339969999999999</v>
      </c>
      <c r="I5666">
        <v>-11.63696</v>
      </c>
      <c r="J5666">
        <v>-301.04570000000001</v>
      </c>
      <c r="K5666">
        <v>1.111097</v>
      </c>
      <c r="L5666">
        <v>-11.18732</v>
      </c>
      <c r="M5666">
        <v>-1.197398E-2</v>
      </c>
      <c r="N5666">
        <v>0</v>
      </c>
      <c r="O5666">
        <v>-0.99983569999999999</v>
      </c>
      <c r="P5666">
        <v>-6.4768999999999993E-2</v>
      </c>
      <c r="Q5666">
        <v>-1.9447969999999998E-2</v>
      </c>
      <c r="R5666">
        <v>-0.99771109999999996</v>
      </c>
      <c r="S5666">
        <v>-0.54721070000000005</v>
      </c>
      <c r="T5666">
        <v>-0.90309689999999998</v>
      </c>
      <c r="U5666">
        <v>-2.9530639999999999</v>
      </c>
      <c r="V5666">
        <v>5.2830000000000002E-2</v>
      </c>
      <c r="W5666">
        <v>-5.725618E-3</v>
      </c>
      <c r="X5666">
        <v>0.99858709999999995</v>
      </c>
      <c r="Y5666">
        <v>0.1626841</v>
      </c>
      <c r="Z5666">
        <v>0.28822989999999998</v>
      </c>
      <c r="AA5666">
        <v>0.94364049999999999</v>
      </c>
      <c r="AB5666">
        <v>23</v>
      </c>
      <c r="AC5666">
        <v>-0.14789999999999201</v>
      </c>
      <c r="AD5666">
        <v>-0.24769730000000001</v>
      </c>
      <c r="AE5666">
        <v>-0.44963999999999998</v>
      </c>
      <c r="AF5666">
        <v>0.11187036020008501</v>
      </c>
      <c r="AG5666">
        <v>-0.24769730000000001</v>
      </c>
      <c r="AH5666">
        <v>0.35434509008500997</v>
      </c>
      <c r="AI5666">
        <v>123.68728762625</v>
      </c>
      <c r="AJ5666">
        <v>72.478561756229197</v>
      </c>
      <c r="AK5666">
        <v>0.44657515916801799</v>
      </c>
      <c r="AL5666">
        <v>90.328055540931899</v>
      </c>
      <c r="AM5666">
        <v>86.971604458185297</v>
      </c>
      <c r="AN5666">
        <v>0.99999999394394501</v>
      </c>
    </row>
    <row r="5667" spans="1:40" x14ac:dyDescent="0.25">
      <c r="A5667" t="str">
        <f>"20190312161131000"</f>
        <v>20190312161131000</v>
      </c>
      <c r="B5667" t="str">
        <f>"1552378290992899"</f>
        <v>1552378290992899</v>
      </c>
      <c r="C5667" t="s">
        <v>40</v>
      </c>
      <c r="D5667">
        <v>6.2386010000000001</v>
      </c>
      <c r="E5667">
        <v>0.529752</v>
      </c>
      <c r="F5667" t="s">
        <v>42</v>
      </c>
      <c r="G5667">
        <v>-301.16829999999999</v>
      </c>
      <c r="H5667">
        <v>0.90447</v>
      </c>
      <c r="I5667">
        <v>-11.86289</v>
      </c>
      <c r="J5667">
        <v>-301.04750000000001</v>
      </c>
      <c r="K5667">
        <v>1.1110930000000001</v>
      </c>
      <c r="L5667">
        <v>-11.57404</v>
      </c>
      <c r="M5667">
        <v>-9.6393920000000001E-3</v>
      </c>
      <c r="N5667">
        <v>0</v>
      </c>
      <c r="O5667">
        <v>-0.99986050000000004</v>
      </c>
      <c r="P5667">
        <v>-6.3008190000000006E-2</v>
      </c>
      <c r="Q5667">
        <v>-1.844875E-2</v>
      </c>
      <c r="R5667">
        <v>-0.99784249999999997</v>
      </c>
      <c r="S5667">
        <v>-0.53506469999999995</v>
      </c>
      <c r="T5667">
        <v>-0.90377090000000004</v>
      </c>
      <c r="U5667">
        <v>-2.954529</v>
      </c>
      <c r="V5667">
        <v>5.3396329999999999E-2</v>
      </c>
      <c r="W5667">
        <v>-4.7032020000000001E-3</v>
      </c>
      <c r="X5667">
        <v>0.99856230000000001</v>
      </c>
      <c r="Y5667">
        <v>0.16113549999999999</v>
      </c>
      <c r="Z5667">
        <v>0.28844140000000001</v>
      </c>
      <c r="AA5667">
        <v>0.94384159999999995</v>
      </c>
      <c r="AB5667">
        <v>23</v>
      </c>
      <c r="AC5667">
        <v>-0.120799999999974</v>
      </c>
      <c r="AD5667">
        <v>-0.206623</v>
      </c>
      <c r="AE5667">
        <v>-0.28885</v>
      </c>
      <c r="AF5667">
        <v>8.2206786423391007E-2</v>
      </c>
      <c r="AG5667">
        <v>-0.206623</v>
      </c>
      <c r="AH5667">
        <v>0.20201765185731599</v>
      </c>
      <c r="AI5667">
        <v>133.451667678013</v>
      </c>
      <c r="AJ5667">
        <v>67.857180127637093</v>
      </c>
      <c r="AK5667">
        <v>0.30043660150688101</v>
      </c>
      <c r="AL5667">
        <v>90.269474624314995</v>
      </c>
      <c r="AM5667">
        <v>86.939126023346205</v>
      </c>
      <c r="AN5667">
        <v>0.99999997757390502</v>
      </c>
    </row>
    <row r="5668" spans="1:40" x14ac:dyDescent="0.25">
      <c r="A5668" t="str">
        <f>"20190312161131029"</f>
        <v>20190312161131029</v>
      </c>
      <c r="B5668" t="str">
        <f>"1552378291023156"</f>
        <v>1552378291023156</v>
      </c>
      <c r="C5668" t="s">
        <v>40</v>
      </c>
      <c r="D5668">
        <v>6.1689759999999998</v>
      </c>
      <c r="E5668">
        <v>0.52945869999999995</v>
      </c>
      <c r="F5668" t="s">
        <v>42</v>
      </c>
      <c r="G5668">
        <v>-301.15159999999997</v>
      </c>
      <c r="H5668">
        <v>0.95341379999999998</v>
      </c>
      <c r="I5668">
        <v>-12.30223</v>
      </c>
      <c r="J5668">
        <v>-301.04820000000001</v>
      </c>
      <c r="K5668">
        <v>1.1110910000000001</v>
      </c>
      <c r="L5668">
        <v>-11.87595</v>
      </c>
      <c r="M5668">
        <v>-7.8548119999999992E-3</v>
      </c>
      <c r="N5668">
        <v>0</v>
      </c>
      <c r="O5668">
        <v>-0.99987579999999998</v>
      </c>
      <c r="P5668">
        <v>-5.8386449999999999E-2</v>
      </c>
      <c r="Q5668">
        <v>-1.637129E-2</v>
      </c>
      <c r="R5668">
        <v>-0.99815980000000004</v>
      </c>
      <c r="S5668">
        <v>-0.42352289999999998</v>
      </c>
      <c r="T5668">
        <v>-0.64275859999999996</v>
      </c>
      <c r="U5668">
        <v>-2.9678650000000002</v>
      </c>
      <c r="V5668">
        <v>5.0549330000000003E-2</v>
      </c>
      <c r="W5668">
        <v>-2.6161420000000001E-3</v>
      </c>
      <c r="X5668">
        <v>0.99871810000000005</v>
      </c>
      <c r="Y5668">
        <v>0.13034899999999999</v>
      </c>
      <c r="Z5668">
        <v>0.20973929999999999</v>
      </c>
      <c r="AA5668">
        <v>0.96902969999999999</v>
      </c>
      <c r="AB5668">
        <v>23</v>
      </c>
      <c r="AC5668">
        <v>-0.10339999999996501</v>
      </c>
      <c r="AD5668">
        <v>-0.15767719999999899</v>
      </c>
      <c r="AE5668">
        <v>-0.42627999999999999</v>
      </c>
      <c r="AF5668">
        <v>8.85995976123196E-2</v>
      </c>
      <c r="AG5668">
        <v>-0.15767719999999899</v>
      </c>
      <c r="AH5668">
        <v>0.378208274653552</v>
      </c>
      <c r="AI5668">
        <v>112.09304366198199</v>
      </c>
      <c r="AJ5668">
        <v>76.815559652720097</v>
      </c>
      <c r="AK5668">
        <v>0.419229635299464</v>
      </c>
      <c r="AL5668">
        <v>90.149894072020004</v>
      </c>
      <c r="AM5668">
        <v>87.102491837779198</v>
      </c>
      <c r="AN5668">
        <v>0.99999996111500999</v>
      </c>
    </row>
    <row r="5669" spans="1:40" x14ac:dyDescent="0.25">
      <c r="A5669" t="str">
        <f>"20190312161131061"</f>
        <v>20190312161131061</v>
      </c>
      <c r="B5669" t="str">
        <f>"1552378291052436"</f>
        <v>1552378291052436</v>
      </c>
      <c r="C5669" t="s">
        <v>40</v>
      </c>
      <c r="D5669">
        <v>6.1031620000000002</v>
      </c>
      <c r="E5669">
        <v>0.4563159</v>
      </c>
      <c r="F5669" t="s">
        <v>42</v>
      </c>
      <c r="G5669">
        <v>-301.16289999999998</v>
      </c>
      <c r="H5669">
        <v>0.93255540000000003</v>
      </c>
      <c r="I5669">
        <v>-12.70838</v>
      </c>
      <c r="J5669">
        <v>-301.04840000000002</v>
      </c>
      <c r="K5669">
        <v>1.1110850000000001</v>
      </c>
      <c r="L5669">
        <v>-12.217739999999999</v>
      </c>
      <c r="M5669">
        <v>-5.850381E-3</v>
      </c>
      <c r="N5669">
        <v>0</v>
      </c>
      <c r="O5669">
        <v>-0.99988929999999998</v>
      </c>
      <c r="P5669">
        <v>-5.4892290000000003E-2</v>
      </c>
      <c r="Q5669">
        <v>-1.6424540000000001E-2</v>
      </c>
      <c r="R5669">
        <v>-0.9983573</v>
      </c>
      <c r="S5669">
        <v>-0.4088135</v>
      </c>
      <c r="T5669">
        <v>-0.63730620000000004</v>
      </c>
      <c r="U5669">
        <v>-2.9711609999999999</v>
      </c>
      <c r="V5669">
        <v>4.9055769999999999E-2</v>
      </c>
      <c r="W5669">
        <v>-2.6592640000000002E-3</v>
      </c>
      <c r="X5669">
        <v>0.99879249999999997</v>
      </c>
      <c r="Y5669">
        <v>0.12753219999999901</v>
      </c>
      <c r="Z5669">
        <v>0.20792959999999999</v>
      </c>
      <c r="AA5669">
        <v>0.96979420000000005</v>
      </c>
      <c r="AB5669">
        <v>23</v>
      </c>
      <c r="AC5669">
        <v>-0.11449999999996401</v>
      </c>
      <c r="AD5669">
        <v>-0.17852960000000001</v>
      </c>
      <c r="AE5669">
        <v>-0.49064000000000002</v>
      </c>
      <c r="AF5669">
        <v>9.9174610570459704E-2</v>
      </c>
      <c r="AG5669">
        <v>-0.17852960000000001</v>
      </c>
      <c r="AH5669">
        <v>0.43649376564936399</v>
      </c>
      <c r="AI5669">
        <v>111.74424514998201</v>
      </c>
      <c r="AJ5669">
        <v>77.199293501556596</v>
      </c>
      <c r="AK5669">
        <v>0.48190790500750702</v>
      </c>
      <c r="AL5669">
        <v>90.152364783519303</v>
      </c>
      <c r="AM5669">
        <v>87.188172937529998</v>
      </c>
      <c r="AN5669">
        <v>0.99999999915578197</v>
      </c>
    </row>
    <row r="5670" spans="1:40" x14ac:dyDescent="0.25">
      <c r="A5670" t="str">
        <f>"20190312161131095"</f>
        <v>20190312161131095</v>
      </c>
      <c r="B5670" t="str">
        <f>"1552378291092451"</f>
        <v>1552378291092451</v>
      </c>
      <c r="C5670" t="s">
        <v>40</v>
      </c>
      <c r="D5670">
        <v>6.0715919999999999</v>
      </c>
      <c r="E5670">
        <v>0.43783270000000002</v>
      </c>
      <c r="F5670" t="s">
        <v>41</v>
      </c>
      <c r="G5670">
        <v>-300.09160000000003</v>
      </c>
      <c r="H5670" s="1">
        <v>-1.1226690000000001E-6</v>
      </c>
      <c r="I5670">
        <v>-27.8507</v>
      </c>
      <c r="J5670">
        <v>-301.04790000000003</v>
      </c>
      <c r="K5670">
        <v>1.111078</v>
      </c>
      <c r="L5670">
        <v>-12.562099999999999</v>
      </c>
      <c r="M5670">
        <v>-3.8319790000000001E-3</v>
      </c>
      <c r="N5670">
        <v>0</v>
      </c>
      <c r="O5670">
        <v>-0.99989899999999998</v>
      </c>
      <c r="P5670">
        <v>-5.1196650000000003E-2</v>
      </c>
      <c r="Q5670">
        <v>-1.509812E-2</v>
      </c>
      <c r="R5670">
        <v>-0.99857459999999998</v>
      </c>
      <c r="S5670">
        <v>0.1843262</v>
      </c>
      <c r="T5670">
        <v>-0.2140398</v>
      </c>
      <c r="U5670">
        <v>-3.011536</v>
      </c>
      <c r="V5670">
        <v>4.7372259999999999E-2</v>
      </c>
      <c r="W5670">
        <v>-1.3254059999999999E-3</v>
      </c>
      <c r="X5670">
        <v>0.99887649999999994</v>
      </c>
      <c r="Y5670">
        <v>-6.4763989999999994E-2</v>
      </c>
      <c r="Z5670">
        <v>7.0753410000000003E-2</v>
      </c>
      <c r="AA5670">
        <v>0.99538919999999997</v>
      </c>
      <c r="AB5670">
        <v>23</v>
      </c>
      <c r="AC5670">
        <v>0.95629999999999804</v>
      </c>
      <c r="AD5670">
        <v>-1.111079122669</v>
      </c>
      <c r="AE5670">
        <v>-15.288600000000001</v>
      </c>
      <c r="AF5670">
        <v>-1.0095728141664499</v>
      </c>
      <c r="AG5670">
        <v>-1.111079122669</v>
      </c>
      <c r="AH5670">
        <v>15.204832015049201</v>
      </c>
      <c r="AI5670">
        <v>94.170257759328805</v>
      </c>
      <c r="AJ5670">
        <v>93.798758129667206</v>
      </c>
      <c r="AK5670">
        <v>15.2787646977692</v>
      </c>
      <c r="AL5670">
        <v>90.075940186480906</v>
      </c>
      <c r="AM5670">
        <v>87.284751044970704</v>
      </c>
      <c r="AN5670">
        <v>1.0000000749853999</v>
      </c>
    </row>
    <row r="5671" spans="1:40" x14ac:dyDescent="0.25">
      <c r="A5671" t="str">
        <f>"20190312161131130"</f>
        <v>20190312161131130</v>
      </c>
      <c r="B5671" t="str">
        <f>"1552378291122709"</f>
        <v>1552378291122709</v>
      </c>
      <c r="C5671" t="s">
        <v>40</v>
      </c>
      <c r="D5671">
        <v>6.0209089999999996</v>
      </c>
      <c r="E5671">
        <v>0.43527929999999998</v>
      </c>
      <c r="F5671" t="s">
        <v>41</v>
      </c>
      <c r="G5671">
        <v>-299.38189999999997</v>
      </c>
      <c r="H5671" s="1">
        <v>-1.458243E-6</v>
      </c>
      <c r="I5671">
        <v>-27.223590000000002</v>
      </c>
      <c r="J5671">
        <v>-301.04660000000001</v>
      </c>
      <c r="K5671">
        <v>1.111075</v>
      </c>
      <c r="L5671">
        <v>-12.918850000000001</v>
      </c>
      <c r="M5671">
        <v>-1.7347790000000001E-3</v>
      </c>
      <c r="N5671">
        <v>0</v>
      </c>
      <c r="O5671">
        <v>-0.99990489999999999</v>
      </c>
      <c r="P5671">
        <v>-4.846433E-2</v>
      </c>
      <c r="Q5671">
        <v>-1.53391E-2</v>
      </c>
      <c r="R5671">
        <v>-0.99870740000000002</v>
      </c>
      <c r="S5671">
        <v>0.34298709999999999</v>
      </c>
      <c r="T5671">
        <v>-0.228741</v>
      </c>
      <c r="U5671">
        <v>-3.018402</v>
      </c>
      <c r="V5671">
        <v>4.6734860000000003E-2</v>
      </c>
      <c r="W5671">
        <v>-1.5595520000000001E-3</v>
      </c>
      <c r="X5671">
        <v>0.99890610000000002</v>
      </c>
      <c r="Y5671">
        <v>-0.11431040000000001</v>
      </c>
      <c r="Z5671">
        <v>7.5077459999999999E-2</v>
      </c>
      <c r="AA5671">
        <v>0.99060409999999999</v>
      </c>
      <c r="AB5671">
        <v>23</v>
      </c>
      <c r="AC5671">
        <v>1.66470000000003</v>
      </c>
      <c r="AD5671">
        <v>-1.1110764582429999</v>
      </c>
      <c r="AE5671">
        <v>-14.304739999999899</v>
      </c>
      <c r="AF5671">
        <v>-1.6795183597904999</v>
      </c>
      <c r="AG5671">
        <v>-1.1110764582429999</v>
      </c>
      <c r="AH5671">
        <v>14.217205049382599</v>
      </c>
      <c r="AI5671">
        <v>94.437856209863895</v>
      </c>
      <c r="AJ5671">
        <v>96.737286707002994</v>
      </c>
      <c r="AK5671">
        <v>14.3591153011989</v>
      </c>
      <c r="AL5671">
        <v>90.089355784827205</v>
      </c>
      <c r="AM5671">
        <v>87.321310762218005</v>
      </c>
      <c r="AN5671">
        <v>0.99999998797943501</v>
      </c>
    </row>
    <row r="5672" spans="1:40" x14ac:dyDescent="0.25">
      <c r="A5672" t="str">
        <f>"20190312161131163"</f>
        <v>20190312161131163</v>
      </c>
      <c r="B5672" t="str">
        <f>"1552378291152964"</f>
        <v>1552378291152964</v>
      </c>
      <c r="C5672" t="s">
        <v>40</v>
      </c>
      <c r="D5672">
        <v>6.0435319999999999</v>
      </c>
      <c r="E5672">
        <v>0.43375590000000003</v>
      </c>
      <c r="F5672" t="s">
        <v>41</v>
      </c>
      <c r="G5672">
        <v>-299.2595</v>
      </c>
      <c r="H5672" s="1">
        <v>-1.398014E-6</v>
      </c>
      <c r="I5672">
        <v>-27.4146</v>
      </c>
      <c r="J5672">
        <v>-301.04469999999998</v>
      </c>
      <c r="K5672">
        <v>1.1110660000000001</v>
      </c>
      <c r="L5672">
        <v>-13.26459</v>
      </c>
      <c r="M5672">
        <v>3.0360020000000002E-4</v>
      </c>
      <c r="N5672">
        <v>0</v>
      </c>
      <c r="O5672">
        <v>-0.99990599999999996</v>
      </c>
      <c r="P5672">
        <v>-4.6382970000000003E-2</v>
      </c>
      <c r="Q5672">
        <v>-1.5792219999999999E-2</v>
      </c>
      <c r="R5672">
        <v>-0.99879879999999999</v>
      </c>
      <c r="S5672">
        <v>0.3721313</v>
      </c>
      <c r="T5672">
        <v>-0.2313558</v>
      </c>
      <c r="U5672">
        <v>-3.018402</v>
      </c>
      <c r="V5672">
        <v>4.6690429999999998E-2</v>
      </c>
      <c r="W5672">
        <v>-2.0071569999999999E-3</v>
      </c>
      <c r="X5672">
        <v>0.9989074</v>
      </c>
      <c r="Y5672">
        <v>-0.1217072</v>
      </c>
      <c r="Z5672">
        <v>7.5854710000000006E-2</v>
      </c>
      <c r="AA5672">
        <v>0.98966330000000002</v>
      </c>
      <c r="AB5672">
        <v>23</v>
      </c>
      <c r="AC5672">
        <v>1.7851999999999699</v>
      </c>
      <c r="AD5672">
        <v>-1.11106739801399</v>
      </c>
      <c r="AE5672">
        <v>-14.15001</v>
      </c>
      <c r="AF5672">
        <v>-1.77016066189379</v>
      </c>
      <c r="AG5672">
        <v>-1.11106739801399</v>
      </c>
      <c r="AH5672">
        <v>14.0651913189699</v>
      </c>
      <c r="AI5672">
        <v>94.481444300197495</v>
      </c>
      <c r="AJ5672">
        <v>97.173189386818606</v>
      </c>
      <c r="AK5672">
        <v>14.2196183623567</v>
      </c>
      <c r="AL5672">
        <v>90.115001701061999</v>
      </c>
      <c r="AM5672">
        <v>87.323857118270297</v>
      </c>
      <c r="AN5672">
        <v>1.00000000935378</v>
      </c>
    </row>
    <row r="5673" spans="1:40" x14ac:dyDescent="0.25">
      <c r="A5673" t="str">
        <f>"20190312161131195"</f>
        <v>20190312161131195</v>
      </c>
      <c r="B5673" t="str">
        <f>"1552378291192980"</f>
        <v>1552378291192980</v>
      </c>
      <c r="C5673" t="s">
        <v>40</v>
      </c>
      <c r="D5673">
        <v>6.0275780000000001</v>
      </c>
      <c r="E5673">
        <v>0.4333709</v>
      </c>
      <c r="F5673" t="s">
        <v>41</v>
      </c>
      <c r="G5673">
        <v>-299.15839999999997</v>
      </c>
      <c r="H5673" s="1">
        <v>-1.2287899999999999E-6</v>
      </c>
      <c r="I5673">
        <v>-27.85089</v>
      </c>
      <c r="J5673">
        <v>-301.04219999999998</v>
      </c>
      <c r="K5673">
        <v>1.1110679999999999</v>
      </c>
      <c r="L5673">
        <v>-13.600949999999999</v>
      </c>
      <c r="M5673">
        <v>2.2920800000000002E-3</v>
      </c>
      <c r="N5673">
        <v>0</v>
      </c>
      <c r="O5673">
        <v>-0.99990330000000005</v>
      </c>
      <c r="P5673">
        <v>-4.2979450000000002E-2</v>
      </c>
      <c r="Q5673">
        <v>-1.4846369999999999E-2</v>
      </c>
      <c r="R5673">
        <v>-0.9989654</v>
      </c>
      <c r="S5673">
        <v>0.39031979999999999</v>
      </c>
      <c r="T5673">
        <v>-0.2298943</v>
      </c>
      <c r="U5673">
        <v>-3.018097</v>
      </c>
      <c r="V5673">
        <v>4.5271499999999999E-2</v>
      </c>
      <c r="W5673">
        <v>-1.0593359999999999E-3</v>
      </c>
      <c r="X5673">
        <v>0.99897409999999998</v>
      </c>
      <c r="Y5673">
        <v>-0.12562019999999999</v>
      </c>
      <c r="Z5673">
        <v>7.5338899999999903E-2</v>
      </c>
      <c r="AA5673">
        <v>0.98921360000000003</v>
      </c>
      <c r="AB5673">
        <v>23</v>
      </c>
      <c r="AC5673">
        <v>1.8837999999999999</v>
      </c>
      <c r="AD5673">
        <v>-1.1110692287899999</v>
      </c>
      <c r="AE5673">
        <v>-14.24994</v>
      </c>
      <c r="AF5673">
        <v>-1.8401353171670101</v>
      </c>
      <c r="AG5673">
        <v>-1.1110692287899999</v>
      </c>
      <c r="AH5673">
        <v>14.169558831537101</v>
      </c>
      <c r="AI5673">
        <v>94.446340620926804</v>
      </c>
      <c r="AJ5673">
        <v>97.399327722384598</v>
      </c>
      <c r="AK5673">
        <v>14.3316771627413</v>
      </c>
      <c r="AL5673">
        <v>90.060695496777498</v>
      </c>
      <c r="AM5673">
        <v>87.405245666179198</v>
      </c>
      <c r="AN5673">
        <v>0.99999994168790796</v>
      </c>
    </row>
    <row r="5674" spans="1:40" x14ac:dyDescent="0.25">
      <c r="A5674" t="str">
        <f>"20190312161131230"</f>
        <v>20190312161131230</v>
      </c>
      <c r="B5674" t="str">
        <f>"1552378291223236"</f>
        <v>1552378291223236</v>
      </c>
      <c r="C5674" t="s">
        <v>40</v>
      </c>
      <c r="D5674">
        <v>6.0557019999999904</v>
      </c>
      <c r="E5674">
        <v>0.43328660000000002</v>
      </c>
      <c r="F5674" t="s">
        <v>41</v>
      </c>
      <c r="G5674">
        <v>-299.10430000000002</v>
      </c>
      <c r="H5674" s="1">
        <v>-1.13135E-6</v>
      </c>
      <c r="I5674">
        <v>-28.100359999999998</v>
      </c>
      <c r="J5674">
        <v>-301.03879999999998</v>
      </c>
      <c r="K5674">
        <v>1.111073</v>
      </c>
      <c r="L5674">
        <v>-13.950810000000001</v>
      </c>
      <c r="M5674">
        <v>4.3630530000000004E-3</v>
      </c>
      <c r="N5674">
        <v>0</v>
      </c>
      <c r="O5674">
        <v>-0.99989660000000002</v>
      </c>
      <c r="P5674">
        <v>-4.0437969999999997E-2</v>
      </c>
      <c r="Q5674">
        <v>-1.513841E-2</v>
      </c>
      <c r="R5674">
        <v>-0.9990677</v>
      </c>
      <c r="S5674">
        <v>0.4032288</v>
      </c>
      <c r="T5674">
        <v>-0.2311906</v>
      </c>
      <c r="U5674">
        <v>-3.017029</v>
      </c>
      <c r="V5674">
        <v>4.4799800000000001E-2</v>
      </c>
      <c r="W5674">
        <v>-1.34949299999999E-3</v>
      </c>
      <c r="X5674">
        <v>0.99899510000000002</v>
      </c>
      <c r="Y5674">
        <v>-0.1277662</v>
      </c>
      <c r="Z5674">
        <v>7.5755580000000003E-2</v>
      </c>
      <c r="AA5674">
        <v>0.98890690000000003</v>
      </c>
      <c r="AB5674">
        <v>23</v>
      </c>
      <c r="AC5674">
        <v>1.9344999999999499</v>
      </c>
      <c r="AD5674">
        <v>-1.1110741313500001</v>
      </c>
      <c r="AE5674">
        <v>-14.1495499999999</v>
      </c>
      <c r="AF5674">
        <v>-1.8614733815759601</v>
      </c>
      <c r="AG5674">
        <v>-1.1110741313500001</v>
      </c>
      <c r="AH5674">
        <v>14.0726769902521</v>
      </c>
      <c r="AI5674">
        <v>94.475462058577094</v>
      </c>
      <c r="AJ5674">
        <v>97.535096419736007</v>
      </c>
      <c r="AK5674">
        <v>14.2386729208744</v>
      </c>
      <c r="AL5674">
        <v>90.077320274800499</v>
      </c>
      <c r="AM5674">
        <v>87.432298871834107</v>
      </c>
      <c r="AN5674">
        <v>1.0000000265177</v>
      </c>
    </row>
    <row r="5675" spans="1:40" x14ac:dyDescent="0.25">
      <c r="A5675" t="str">
        <f>"20190312161131263"</f>
        <v>20190312161131263</v>
      </c>
      <c r="B5675" t="str">
        <f>"1552378291252516"</f>
        <v>1552378291252516</v>
      </c>
      <c r="C5675" t="s">
        <v>40</v>
      </c>
      <c r="D5675">
        <v>5.709498</v>
      </c>
      <c r="E5675">
        <v>0.43284440000000002</v>
      </c>
      <c r="F5675" t="s">
        <v>41</v>
      </c>
      <c r="G5675">
        <v>-299.10359999999997</v>
      </c>
      <c r="H5675" s="1">
        <v>-1.1190809999999999E-6</v>
      </c>
      <c r="I5675">
        <v>-28.129249999999999</v>
      </c>
      <c r="J5675">
        <v>-301.03480000000002</v>
      </c>
      <c r="K5675">
        <v>1.111081</v>
      </c>
      <c r="L5675">
        <v>-14.28992</v>
      </c>
      <c r="M5675">
        <v>6.3722579999999996E-3</v>
      </c>
      <c r="N5675">
        <v>0</v>
      </c>
      <c r="O5675">
        <v>-0.99988589999999999</v>
      </c>
      <c r="P5675">
        <v>-3.6923240000000003E-2</v>
      </c>
      <c r="Q5675">
        <v>-1.5017330000000001E-2</v>
      </c>
      <c r="R5675">
        <v>-0.99920540000000002</v>
      </c>
      <c r="S5675">
        <v>0.41162109999999902</v>
      </c>
      <c r="T5675">
        <v>-0.2363343</v>
      </c>
      <c r="U5675">
        <v>-3.0158689999999999</v>
      </c>
      <c r="V5675">
        <v>4.3292850000000001E-2</v>
      </c>
      <c r="W5675">
        <v>-1.2292290000000001E-3</v>
      </c>
      <c r="X5675">
        <v>0.99906159999999999</v>
      </c>
      <c r="Y5675">
        <v>-0.12850819999999999</v>
      </c>
      <c r="Z5675">
        <v>7.7441070000000001E-2</v>
      </c>
      <c r="AA5675">
        <v>0.98868020000000001</v>
      </c>
      <c r="AB5675">
        <v>23</v>
      </c>
      <c r="AC5675">
        <v>1.93120000000004</v>
      </c>
      <c r="AD5675">
        <v>-1.1110821190809901</v>
      </c>
      <c r="AE5675">
        <v>-13.83933</v>
      </c>
      <c r="AF5675">
        <v>-1.83138585182854</v>
      </c>
      <c r="AG5675">
        <v>-1.1110821190809901</v>
      </c>
      <c r="AH5675">
        <v>13.7643316831255</v>
      </c>
      <c r="AI5675">
        <v>94.574870363575599</v>
      </c>
      <c r="AJ5675">
        <v>97.578862364223099</v>
      </c>
      <c r="AK5675">
        <v>13.930014511719399</v>
      </c>
      <c r="AL5675">
        <v>90.070429656335094</v>
      </c>
      <c r="AM5675">
        <v>87.518724857063305</v>
      </c>
      <c r="AN5675">
        <v>0.99999993122980602</v>
      </c>
    </row>
    <row r="5676" spans="1:40" x14ac:dyDescent="0.25">
      <c r="A5676" t="str">
        <f>"20190312161131297"</f>
        <v>20190312161131297</v>
      </c>
      <c r="B5676" t="str">
        <f>"1552378291292532"</f>
        <v>1552378291292532</v>
      </c>
      <c r="C5676" t="s">
        <v>40</v>
      </c>
      <c r="D5676">
        <v>6.0138210000000001</v>
      </c>
      <c r="E5676">
        <v>0.43283969999999999</v>
      </c>
      <c r="F5676" t="s">
        <v>41</v>
      </c>
      <c r="G5676">
        <v>-298.9717</v>
      </c>
      <c r="H5676" s="1">
        <v>-8.0851669999999998E-7</v>
      </c>
      <c r="I5676">
        <v>-28.907710000000002</v>
      </c>
      <c r="J5676">
        <v>-301.0301</v>
      </c>
      <c r="K5676">
        <v>1.111086</v>
      </c>
      <c r="L5676">
        <v>-14.634309999999999</v>
      </c>
      <c r="M5676">
        <v>8.4126410000000002E-3</v>
      </c>
      <c r="N5676">
        <v>0</v>
      </c>
      <c r="O5676">
        <v>-0.9998705</v>
      </c>
      <c r="P5676">
        <v>-3.2341729999999999E-2</v>
      </c>
      <c r="Q5676">
        <v>-1.2879949999999999E-2</v>
      </c>
      <c r="R5676">
        <v>-0.9993938</v>
      </c>
      <c r="S5676">
        <v>0.42547610000000002</v>
      </c>
      <c r="T5676">
        <v>-0.22914219999999999</v>
      </c>
      <c r="U5676">
        <v>-3.0146790000000001</v>
      </c>
      <c r="V5676">
        <v>4.0747199999999997E-2</v>
      </c>
      <c r="W5676">
        <v>9.0486210000000002E-4</v>
      </c>
      <c r="X5676">
        <v>0.99916910000000003</v>
      </c>
      <c r="Y5676">
        <v>-0.13101949999999901</v>
      </c>
      <c r="Z5676">
        <v>7.5089630000000004E-2</v>
      </c>
      <c r="AA5676">
        <v>0.98853190000000002</v>
      </c>
      <c r="AB5676">
        <v>23</v>
      </c>
      <c r="AC5676">
        <v>2.0583999999999998</v>
      </c>
      <c r="AD5676">
        <v>-1.1110868085167001</v>
      </c>
      <c r="AE5676">
        <v>-14.273399999999899</v>
      </c>
      <c r="AF5676">
        <v>-1.9268011585721201</v>
      </c>
      <c r="AG5676">
        <v>-1.1110868085167001</v>
      </c>
      <c r="AH5676">
        <v>14.2058853830733</v>
      </c>
      <c r="AI5676">
        <v>94.431763066336998</v>
      </c>
      <c r="AJ5676">
        <v>97.724120505980807</v>
      </c>
      <c r="AK5676">
        <v>14.378951843502101</v>
      </c>
      <c r="AL5676">
        <v>89.948155214680796</v>
      </c>
      <c r="AM5676">
        <v>87.664709976214098</v>
      </c>
      <c r="AN5676">
        <v>1.0000000217390299</v>
      </c>
    </row>
    <row r="5677" spans="1:40" x14ac:dyDescent="0.25">
      <c r="A5677" t="str">
        <f>"20190312161131330"</f>
        <v>20190312161131330</v>
      </c>
      <c r="B5677" t="str">
        <f>"1552378291322791"</f>
        <v>1552378291322791</v>
      </c>
      <c r="C5677" t="s">
        <v>40</v>
      </c>
      <c r="D5677">
        <v>6.1566549999999998</v>
      </c>
      <c r="E5677">
        <v>0.4330833</v>
      </c>
      <c r="F5677" t="s">
        <v>41</v>
      </c>
      <c r="G5677">
        <v>-298.84989999999999</v>
      </c>
      <c r="H5677" s="1">
        <v>-5.6691390000000005E-7</v>
      </c>
      <c r="I5677">
        <v>-29.585270000000001</v>
      </c>
      <c r="J5677">
        <v>-301.02460000000002</v>
      </c>
      <c r="K5677">
        <v>1.1110869999999999</v>
      </c>
      <c r="L5677">
        <v>-14.98001</v>
      </c>
      <c r="M5677">
        <v>1.046076E-2</v>
      </c>
      <c r="N5677">
        <v>0</v>
      </c>
      <c r="O5677">
        <v>-0.99985139999999995</v>
      </c>
      <c r="P5677">
        <v>-2.8886180000000001E-2</v>
      </c>
      <c r="Q5677">
        <v>-1.2079680000000001E-2</v>
      </c>
      <c r="R5677">
        <v>-0.99950989999999995</v>
      </c>
      <c r="S5677">
        <v>0.43939210000000001</v>
      </c>
      <c r="T5677">
        <v>-0.2239236</v>
      </c>
      <c r="U5677">
        <v>-3.013153</v>
      </c>
      <c r="V5677">
        <v>3.9337869999999997E-2</v>
      </c>
      <c r="W5677">
        <v>1.702133E-3</v>
      </c>
      <c r="X5677">
        <v>0.99922449999999996</v>
      </c>
      <c r="Y5677">
        <v>-0.13354939999999901</v>
      </c>
      <c r="Z5677">
        <v>7.3387090000000002E-2</v>
      </c>
      <c r="AA5677">
        <v>0.98832120000000001</v>
      </c>
      <c r="AB5677">
        <v>23</v>
      </c>
      <c r="AC5677">
        <v>2.1747000000000298</v>
      </c>
      <c r="AD5677">
        <v>-1.1110875669139</v>
      </c>
      <c r="AE5677">
        <v>-14.605259999999999</v>
      </c>
      <c r="AF5677">
        <v>-2.0104020295264702</v>
      </c>
      <c r="AG5677">
        <v>-1.1110875669139</v>
      </c>
      <c r="AH5677">
        <v>14.544861767473799</v>
      </c>
      <c r="AI5677">
        <v>94.327379391616404</v>
      </c>
      <c r="AJ5677">
        <v>97.869603496080401</v>
      </c>
      <c r="AK5677">
        <v>14.725122605146501</v>
      </c>
      <c r="AL5677">
        <v>89.902474914212306</v>
      </c>
      <c r="AM5677">
        <v>87.745521058823002</v>
      </c>
      <c r="AN5677">
        <v>0.99999998333656803</v>
      </c>
    </row>
    <row r="5678" spans="1:40" x14ac:dyDescent="0.25">
      <c r="A5678" t="str">
        <f>"20190312161131363"</f>
        <v>20190312161131363</v>
      </c>
      <c r="B5678" t="str">
        <f>"1552378291353044"</f>
        <v>1552378291353044</v>
      </c>
      <c r="C5678" t="s">
        <v>40</v>
      </c>
      <c r="D5678">
        <v>7.0571390000000003</v>
      </c>
      <c r="E5678">
        <v>0.43342249999999999</v>
      </c>
      <c r="F5678" t="s">
        <v>41</v>
      </c>
      <c r="G5678">
        <v>-298.7783</v>
      </c>
      <c r="H5678" s="1">
        <v>-4.1607699999999997E-7</v>
      </c>
      <c r="I5678">
        <v>-30.08447</v>
      </c>
      <c r="J5678">
        <v>-301.01859999999999</v>
      </c>
      <c r="K5678">
        <v>1.111086</v>
      </c>
      <c r="L5678">
        <v>-15.31842</v>
      </c>
      <c r="M5678">
        <v>1.24656E-2</v>
      </c>
      <c r="N5678">
        <v>0</v>
      </c>
      <c r="O5678">
        <v>-0.9998283</v>
      </c>
      <c r="P5678">
        <v>-2.5306950000000002E-2</v>
      </c>
      <c r="Q5678">
        <v>-1.1842299999999899E-2</v>
      </c>
      <c r="R5678">
        <v>-0.99960939999999998</v>
      </c>
      <c r="S5678">
        <v>0.44790649999999999</v>
      </c>
      <c r="T5678">
        <v>-0.22154499999999999</v>
      </c>
      <c r="U5678">
        <v>-3.011749</v>
      </c>
      <c r="V5678">
        <v>3.7763089999999999E-2</v>
      </c>
      <c r="W5678">
        <v>1.936737E-3</v>
      </c>
      <c r="X5678">
        <v>0.99928490000000003</v>
      </c>
      <c r="Y5678">
        <v>-0.13437099999999999</v>
      </c>
      <c r="Z5678">
        <v>7.2623690000000005E-2</v>
      </c>
      <c r="AA5678">
        <v>0.98826630000000004</v>
      </c>
      <c r="AB5678">
        <v>23</v>
      </c>
      <c r="AC5678">
        <v>2.2402999999999902</v>
      </c>
      <c r="AD5678">
        <v>-1.111086416077</v>
      </c>
      <c r="AE5678">
        <v>-14.7660499999999</v>
      </c>
      <c r="AF5678">
        <v>-2.0447242671408001</v>
      </c>
      <c r="AG5678">
        <v>-1.111086416077</v>
      </c>
      <c r="AH5678">
        <v>14.711410556704701</v>
      </c>
      <c r="AI5678">
        <v>94.278122092527198</v>
      </c>
      <c r="AJ5678">
        <v>97.912790113829004</v>
      </c>
      <c r="AK5678">
        <v>14.894328145993899</v>
      </c>
      <c r="AL5678">
        <v>89.889033080786604</v>
      </c>
      <c r="AM5678">
        <v>87.835815803586598</v>
      </c>
      <c r="AN5678">
        <v>1.00000005664228</v>
      </c>
    </row>
    <row r="5679" spans="1:40" x14ac:dyDescent="0.25">
      <c r="A5679" t="str">
        <f>"20190312161131397"</f>
        <v>20190312161131397</v>
      </c>
      <c r="B5679" t="str">
        <f>"1552378291393061"</f>
        <v>1552378291393061</v>
      </c>
      <c r="C5679" t="s">
        <v>40</v>
      </c>
      <c r="D5679">
        <v>5.9172900000000004</v>
      </c>
      <c r="E5679">
        <v>0.4338419</v>
      </c>
      <c r="F5679" t="s">
        <v>41</v>
      </c>
      <c r="G5679">
        <v>-298.74380000000002</v>
      </c>
      <c r="H5679" s="1">
        <v>-3.3966969999999999E-7</v>
      </c>
      <c r="I5679">
        <v>-30.335999999999999</v>
      </c>
      <c r="J5679">
        <v>-301.01190000000003</v>
      </c>
      <c r="K5679">
        <v>1.1110789999999999</v>
      </c>
      <c r="L5679">
        <v>-15.656560000000001</v>
      </c>
      <c r="M5679">
        <v>1.44691E-2</v>
      </c>
      <c r="N5679">
        <v>0</v>
      </c>
      <c r="O5679">
        <v>-0.9998013</v>
      </c>
      <c r="P5679">
        <v>-2.1710810000000001E-2</v>
      </c>
      <c r="Q5679">
        <v>-1.169764E-2</v>
      </c>
      <c r="R5679">
        <v>-0.99969589999999997</v>
      </c>
      <c r="S5679">
        <v>0.45596310000000001</v>
      </c>
      <c r="T5679">
        <v>-0.22270209999999999</v>
      </c>
      <c r="U5679">
        <v>-3.0100709999999999</v>
      </c>
      <c r="V5679">
        <v>3.6170559999999997E-2</v>
      </c>
      <c r="W5679">
        <v>2.0769270000000001E-3</v>
      </c>
      <c r="X5679">
        <v>0.99934350000000005</v>
      </c>
      <c r="Y5679">
        <v>-0.135048</v>
      </c>
      <c r="Z5679">
        <v>7.3020349999999998E-2</v>
      </c>
      <c r="AA5679">
        <v>0.98814480000000005</v>
      </c>
      <c r="AB5679">
        <v>23</v>
      </c>
      <c r="AC5679">
        <v>2.2681</v>
      </c>
      <c r="AD5679">
        <v>-1.1110793396697001</v>
      </c>
      <c r="AE5679">
        <v>-14.6794399999999</v>
      </c>
      <c r="AF5679">
        <v>-2.0440073895980002</v>
      </c>
      <c r="AG5679">
        <v>-1.1110793396697001</v>
      </c>
      <c r="AH5679">
        <v>14.628870230649801</v>
      </c>
      <c r="AI5679">
        <v>94.301712084657197</v>
      </c>
      <c r="AJ5679">
        <v>97.954112167784103</v>
      </c>
      <c r="AK5679">
        <v>14.8127076435392</v>
      </c>
      <c r="AL5679">
        <v>89.881000766204707</v>
      </c>
      <c r="AM5679">
        <v>87.927122991852201</v>
      </c>
      <c r="AN5679">
        <v>1.0000000270143601</v>
      </c>
    </row>
    <row r="5680" spans="1:40" x14ac:dyDescent="0.25">
      <c r="A5680" t="str">
        <f>"20190312161131431"</f>
        <v>20190312161131431</v>
      </c>
      <c r="B5680" t="str">
        <f>"1552378291423315"</f>
        <v>1552378291423315</v>
      </c>
      <c r="C5680" t="s">
        <v>40</v>
      </c>
      <c r="D5680">
        <v>6.0209039999999998</v>
      </c>
      <c r="E5680">
        <v>0.40966000000000002</v>
      </c>
      <c r="F5680" t="s">
        <v>41</v>
      </c>
      <c r="G5680">
        <v>-298.74220000000003</v>
      </c>
      <c r="H5680" s="1">
        <v>-4.5009810000000003E-6</v>
      </c>
      <c r="I5680">
        <v>-30.39537</v>
      </c>
      <c r="J5680">
        <v>-301.00450000000001</v>
      </c>
      <c r="K5680">
        <v>1.11107</v>
      </c>
      <c r="L5680">
        <v>-15.99634</v>
      </c>
      <c r="M5680">
        <v>1.6482340000000002E-2</v>
      </c>
      <c r="N5680">
        <v>0</v>
      </c>
      <c r="O5680">
        <v>-0.99977050000000001</v>
      </c>
      <c r="P5680">
        <v>-1.8833849999999999E-2</v>
      </c>
      <c r="Q5680">
        <v>-1.222005E-2</v>
      </c>
      <c r="R5680">
        <v>-0.99974819999999998</v>
      </c>
      <c r="S5680">
        <v>0.46325680000000002</v>
      </c>
      <c r="T5680">
        <v>-0.2267827</v>
      </c>
      <c r="U5680">
        <v>-3.0083310000000001</v>
      </c>
      <c r="V5680">
        <v>3.5308029999999997E-2</v>
      </c>
      <c r="W5680">
        <v>1.5509759999999999E-3</v>
      </c>
      <c r="X5680">
        <v>0.99937529999999997</v>
      </c>
      <c r="Y5680">
        <v>-0.13546340000000001</v>
      </c>
      <c r="Z5680">
        <v>7.4374099999999999E-2</v>
      </c>
      <c r="AA5680">
        <v>0.9879869</v>
      </c>
      <c r="AB5680">
        <v>23</v>
      </c>
      <c r="AC5680">
        <v>2.2622999999999802</v>
      </c>
      <c r="AD5680">
        <v>-1.1110745009809999</v>
      </c>
      <c r="AE5680">
        <v>-14.3990299999999</v>
      </c>
      <c r="AF5680">
        <v>-2.0129440481446901</v>
      </c>
      <c r="AG5680">
        <v>-1.1110745009809999</v>
      </c>
      <c r="AH5680">
        <v>14.3509757026003</v>
      </c>
      <c r="AI5680">
        <v>94.384345836384298</v>
      </c>
      <c r="AJ5680">
        <v>97.984518749459298</v>
      </c>
      <c r="AK5680">
        <v>14.5339923594419</v>
      </c>
      <c r="AL5680">
        <v>89.911135587790397</v>
      </c>
      <c r="AM5680">
        <v>87.976575949376695</v>
      </c>
      <c r="AN5680">
        <v>1.0000000263795601</v>
      </c>
    </row>
    <row r="5681" spans="1:40" x14ac:dyDescent="0.25">
      <c r="A5681" t="str">
        <f>"20190312161131464"</f>
        <v>20190312161131464</v>
      </c>
      <c r="B5681" t="str">
        <f>"1552378291452596"</f>
        <v>1552378291452596</v>
      </c>
      <c r="C5681" t="s">
        <v>40</v>
      </c>
      <c r="D5681">
        <v>5.7782650000000002</v>
      </c>
      <c r="E5681">
        <v>0.38509209999999999</v>
      </c>
      <c r="F5681" t="s">
        <v>41</v>
      </c>
      <c r="G5681">
        <v>-296.81380000000001</v>
      </c>
      <c r="H5681" s="1">
        <v>-2.8768429999999998E-6</v>
      </c>
      <c r="I5681">
        <v>-34.978659999999998</v>
      </c>
      <c r="J5681">
        <v>-300.99650000000003</v>
      </c>
      <c r="K5681">
        <v>1.111057</v>
      </c>
      <c r="L5681">
        <v>-16.33249</v>
      </c>
      <c r="M5681">
        <v>1.84735E-2</v>
      </c>
      <c r="N5681">
        <v>0</v>
      </c>
      <c r="O5681">
        <v>-0.99973559999999995</v>
      </c>
      <c r="P5681">
        <v>-1.558243E-2</v>
      </c>
      <c r="Q5681">
        <v>-1.4197960000000001E-2</v>
      </c>
      <c r="R5681">
        <v>-0.99977819999999995</v>
      </c>
      <c r="S5681">
        <v>0.66476440000000003</v>
      </c>
      <c r="T5681">
        <v>-0.17624799999999999</v>
      </c>
      <c r="U5681">
        <v>-3.011139</v>
      </c>
      <c r="V5681">
        <v>3.4051819999999997E-2</v>
      </c>
      <c r="W5681">
        <v>-4.3133229999999998E-4</v>
      </c>
      <c r="X5681">
        <v>0.99941999999999998</v>
      </c>
      <c r="Y5681">
        <v>-0.19714760000000001</v>
      </c>
      <c r="Z5681">
        <v>5.7157899999999998E-2</v>
      </c>
      <c r="AA5681">
        <v>0.97870619999999997</v>
      </c>
      <c r="AB5681">
        <v>23</v>
      </c>
      <c r="AC5681">
        <v>4.1827000000000103</v>
      </c>
      <c r="AD5681">
        <v>-1.111059876843</v>
      </c>
      <c r="AE5681">
        <v>-18.646170000000001</v>
      </c>
      <c r="AF5681">
        <v>-3.8245650324070102</v>
      </c>
      <c r="AG5681">
        <v>-1.111059876843</v>
      </c>
      <c r="AH5681">
        <v>18.6571941086513</v>
      </c>
      <c r="AI5681">
        <v>93.338746686902994</v>
      </c>
      <c r="AJ5681">
        <v>101.58465539219</v>
      </c>
      <c r="AK5681">
        <v>19.077542916867799</v>
      </c>
      <c r="AL5681">
        <v>90.024713520519796</v>
      </c>
      <c r="AM5681">
        <v>88.048597054223507</v>
      </c>
      <c r="AN5681">
        <v>1.00000002444643</v>
      </c>
    </row>
    <row r="5682" spans="1:40" x14ac:dyDescent="0.25">
      <c r="A5682" t="str">
        <f>"20190312161131498"</f>
        <v>20190312161131498</v>
      </c>
      <c r="B5682" t="str">
        <f>"1552378291492615"</f>
        <v>1552378291492615</v>
      </c>
      <c r="C5682" t="s">
        <v>40</v>
      </c>
      <c r="D5682">
        <v>5.6163669999999897</v>
      </c>
      <c r="E5682">
        <v>0.37584099999999998</v>
      </c>
      <c r="F5682" t="s">
        <v>41</v>
      </c>
      <c r="G5682">
        <v>-295.92540000000002</v>
      </c>
      <c r="H5682" s="1">
        <v>-3.5085949999999998E-6</v>
      </c>
      <c r="I5682">
        <v>-33.873359999999998</v>
      </c>
      <c r="J5682">
        <v>-300.98759999999999</v>
      </c>
      <c r="K5682">
        <v>1.111046</v>
      </c>
      <c r="L5682">
        <v>-16.674710000000001</v>
      </c>
      <c r="M5682">
        <v>2.0496199999999999E-2</v>
      </c>
      <c r="N5682">
        <v>0</v>
      </c>
      <c r="O5682">
        <v>-0.99969600000000003</v>
      </c>
      <c r="P5682">
        <v>-1.2453219999999999E-2</v>
      </c>
      <c r="Q5682">
        <v>-1.42557E-2</v>
      </c>
      <c r="R5682">
        <v>-0.99982090000000001</v>
      </c>
      <c r="S5682">
        <v>0.87063599999999997</v>
      </c>
      <c r="T5682">
        <v>-0.19075439999999999</v>
      </c>
      <c r="U5682">
        <v>-3.011536</v>
      </c>
      <c r="V5682">
        <v>3.2946080000000003E-2</v>
      </c>
      <c r="W5682">
        <v>-4.9387910000000005E-4</v>
      </c>
      <c r="X5682">
        <v>0.99945700000000004</v>
      </c>
      <c r="Y5682">
        <v>-0.25746229999999998</v>
      </c>
      <c r="Z5682">
        <v>6.0887499999999997E-2</v>
      </c>
      <c r="AA5682">
        <v>0.96436809999999995</v>
      </c>
      <c r="AB5682">
        <v>23</v>
      </c>
      <c r="AC5682">
        <v>5.0621999999999598</v>
      </c>
      <c r="AD5682">
        <v>-1.1110495085950001</v>
      </c>
      <c r="AE5682">
        <v>-17.198649999999901</v>
      </c>
      <c r="AF5682">
        <v>-4.6905818436319002</v>
      </c>
      <c r="AG5682">
        <v>-1.1110495085950001</v>
      </c>
      <c r="AH5682">
        <v>17.232619094332499</v>
      </c>
      <c r="AI5682">
        <v>93.559798375712802</v>
      </c>
      <c r="AJ5682">
        <v>105.22657162386599</v>
      </c>
      <c r="AK5682">
        <v>17.8941093629359</v>
      </c>
      <c r="AL5682">
        <v>90.028297189411205</v>
      </c>
      <c r="AM5682">
        <v>88.111986757502095</v>
      </c>
      <c r="AN5682">
        <v>0.99999999147646501</v>
      </c>
    </row>
    <row r="5683" spans="1:40" x14ac:dyDescent="0.25">
      <c r="A5683" t="str">
        <f>"20190312161131531"</f>
        <v>20190312161131531</v>
      </c>
      <c r="B5683" t="str">
        <f>"1552378291522872"</f>
        <v>1552378291522872</v>
      </c>
      <c r="C5683" t="s">
        <v>40</v>
      </c>
      <c r="D5683">
        <v>5.4777060000000004</v>
      </c>
      <c r="E5683">
        <v>0.37374950000000001</v>
      </c>
      <c r="F5683" t="s">
        <v>41</v>
      </c>
      <c r="G5683">
        <v>-294.60910000000001</v>
      </c>
      <c r="H5683" s="1">
        <v>-2.6389459999999998E-6</v>
      </c>
      <c r="I5683">
        <v>-36.812280000000001</v>
      </c>
      <c r="J5683">
        <v>-300.97820000000002</v>
      </c>
      <c r="K5683">
        <v>1.11103</v>
      </c>
      <c r="L5683">
        <v>-17.01294</v>
      </c>
      <c r="M5683">
        <v>2.2477299999999999E-2</v>
      </c>
      <c r="N5683">
        <v>0</v>
      </c>
      <c r="O5683">
        <v>-0.99965369999999998</v>
      </c>
      <c r="P5683">
        <v>-9.9346120000000007E-3</v>
      </c>
      <c r="Q5683">
        <v>-1.443377E-2</v>
      </c>
      <c r="R5683">
        <v>-0.99984669999999998</v>
      </c>
      <c r="S5683">
        <v>0.95343020000000001</v>
      </c>
      <c r="T5683">
        <v>-0.16607269999999999</v>
      </c>
      <c r="U5683">
        <v>-3.01004</v>
      </c>
      <c r="V5683">
        <v>3.2409420000000001E-2</v>
      </c>
      <c r="W5683">
        <v>-6.7653699999999995E-4</v>
      </c>
      <c r="X5683">
        <v>0.99947450000000004</v>
      </c>
      <c r="Y5683">
        <v>-0.28003879999999998</v>
      </c>
      <c r="Z5683">
        <v>5.2680400000000002E-2</v>
      </c>
      <c r="AA5683">
        <v>0.95854220000000001</v>
      </c>
      <c r="AB5683">
        <v>23</v>
      </c>
      <c r="AC5683">
        <v>6.3691000000000004</v>
      </c>
      <c r="AD5683">
        <v>-1.1110326389459999</v>
      </c>
      <c r="AE5683">
        <v>-19.799340000000001</v>
      </c>
      <c r="AF5683">
        <v>-5.9055612825996899</v>
      </c>
      <c r="AG5683">
        <v>-1.1110326389459999</v>
      </c>
      <c r="AH5683">
        <v>19.880779294087201</v>
      </c>
      <c r="AI5683">
        <v>93.066473143085204</v>
      </c>
      <c r="AJ5683">
        <v>106.543987942981</v>
      </c>
      <c r="AK5683">
        <v>20.7690980287434</v>
      </c>
      <c r="AL5683">
        <v>90.038762715718804</v>
      </c>
      <c r="AM5683">
        <v>88.142751459356106</v>
      </c>
      <c r="AN5683">
        <v>1.0000000521786401</v>
      </c>
    </row>
    <row r="5684" spans="1:40" x14ac:dyDescent="0.25">
      <c r="A5684" t="str">
        <f>"20190312161131562"</f>
        <v>20190312161131562</v>
      </c>
      <c r="B5684" t="str">
        <f>"1552378291553125"</f>
        <v>1552378291553125</v>
      </c>
      <c r="C5684" t="s">
        <v>40</v>
      </c>
      <c r="D5684">
        <v>5.3053039999999996</v>
      </c>
      <c r="E5684">
        <v>0.37206129999999998</v>
      </c>
      <c r="F5684" t="s">
        <v>41</v>
      </c>
      <c r="G5684">
        <v>-294.09559999999999</v>
      </c>
      <c r="H5684" s="1">
        <v>-2.3057740000000001E-6</v>
      </c>
      <c r="I5684">
        <v>-38.192749999999997</v>
      </c>
      <c r="J5684">
        <v>-300.96910000000003</v>
      </c>
      <c r="K5684">
        <v>1.111024</v>
      </c>
      <c r="L5684">
        <v>-17.32321</v>
      </c>
      <c r="M5684">
        <v>2.4267650000000002E-2</v>
      </c>
      <c r="N5684">
        <v>0</v>
      </c>
      <c r="O5684">
        <v>-0.99961169999999999</v>
      </c>
      <c r="P5684">
        <v>-8.201336E-3</v>
      </c>
      <c r="Q5684">
        <v>-1.451888E-2</v>
      </c>
      <c r="R5684">
        <v>-0.99986109999999995</v>
      </c>
      <c r="S5684">
        <v>0.97744750000000002</v>
      </c>
      <c r="T5684">
        <v>-0.15778599999999901</v>
      </c>
      <c r="U5684">
        <v>-3.0079039999999999</v>
      </c>
      <c r="V5684">
        <v>3.2466969999999998E-2</v>
      </c>
      <c r="W5684">
        <v>-7.6585939999999995E-4</v>
      </c>
      <c r="X5684">
        <v>0.99947249999999999</v>
      </c>
      <c r="Y5684">
        <v>-0.28549269999999999</v>
      </c>
      <c r="Z5684">
        <v>4.9988900000000003E-2</v>
      </c>
      <c r="AA5684">
        <v>0.95707629999999999</v>
      </c>
      <c r="AB5684">
        <v>23</v>
      </c>
      <c r="AC5684">
        <v>6.8735000000000301</v>
      </c>
      <c r="AD5684">
        <v>-1.111026305774</v>
      </c>
      <c r="AE5684">
        <v>-20.869540000000001</v>
      </c>
      <c r="AF5684">
        <v>-6.3487406998603397</v>
      </c>
      <c r="AG5684">
        <v>-1.111026305774</v>
      </c>
      <c r="AH5684">
        <v>20.976579099020999</v>
      </c>
      <c r="AI5684">
        <v>92.902074084104797</v>
      </c>
      <c r="AJ5684">
        <v>106.838887500807</v>
      </c>
      <c r="AK5684">
        <v>21.944424317435899</v>
      </c>
      <c r="AL5684">
        <v>90.043880516291495</v>
      </c>
      <c r="AM5684">
        <v>88.139452104564597</v>
      </c>
      <c r="AN5684">
        <v>0.99999998446892502</v>
      </c>
    </row>
    <row r="5685" spans="1:40" x14ac:dyDescent="0.25">
      <c r="A5685" t="str">
        <f>"20190312161131600"</f>
        <v>20190312161131600</v>
      </c>
      <c r="B5685" t="str">
        <f>"1552378291593140"</f>
        <v>1552378291593140</v>
      </c>
      <c r="C5685" t="s">
        <v>40</v>
      </c>
      <c r="D5685">
        <v>5.3289390000000001</v>
      </c>
      <c r="E5685">
        <v>0.37117620000000001</v>
      </c>
      <c r="F5685" t="s">
        <v>41</v>
      </c>
      <c r="G5685">
        <v>-293.45209999999997</v>
      </c>
      <c r="H5685" s="1">
        <v>-1.858153E-6</v>
      </c>
      <c r="I5685">
        <v>-40.011310000000002</v>
      </c>
      <c r="J5685">
        <v>-300.95749999999998</v>
      </c>
      <c r="K5685">
        <v>1.1110009999999999</v>
      </c>
      <c r="L5685">
        <v>-17.693539999999999</v>
      </c>
      <c r="M5685">
        <v>2.6334449999999999E-2</v>
      </c>
      <c r="N5685">
        <v>0</v>
      </c>
      <c r="O5685">
        <v>-0.9995598</v>
      </c>
      <c r="P5685">
        <v>-4.0414839999999997E-3</v>
      </c>
      <c r="Q5685">
        <v>-1.297717E-2</v>
      </c>
      <c r="R5685">
        <v>-0.99990800000000002</v>
      </c>
      <c r="S5685">
        <v>0.99609380000000003</v>
      </c>
      <c r="T5685">
        <v>-0.14722389999999999</v>
      </c>
      <c r="U5685">
        <v>-3.0064389999999999</v>
      </c>
      <c r="V5685">
        <v>3.0373239999999999E-2</v>
      </c>
      <c r="W5685">
        <v>7.6657919999999896E-4</v>
      </c>
      <c r="X5685">
        <v>0.99953840000000005</v>
      </c>
      <c r="Y5685">
        <v>-0.2890566</v>
      </c>
      <c r="Z5685">
        <v>4.6599069999999999E-2</v>
      </c>
      <c r="AA5685">
        <v>0.95617719999999995</v>
      </c>
      <c r="AB5685">
        <v>23</v>
      </c>
      <c r="AC5685">
        <v>7.5053999999999998</v>
      </c>
      <c r="AD5685">
        <v>-1.111002858153</v>
      </c>
      <c r="AE5685">
        <v>-22.317769999999999</v>
      </c>
      <c r="AF5685">
        <v>-6.8996543369173597</v>
      </c>
      <c r="AG5685">
        <v>-1.111002858153</v>
      </c>
      <c r="AH5685">
        <v>22.457698502851098</v>
      </c>
      <c r="AI5685">
        <v>92.707466919497406</v>
      </c>
      <c r="AJ5685">
        <v>107.078471602672</v>
      </c>
      <c r="AK5685">
        <v>23.5199442891502</v>
      </c>
      <c r="AL5685">
        <v>89.956078245827896</v>
      </c>
      <c r="AM5685">
        <v>88.259473457664896</v>
      </c>
      <c r="AN5685">
        <v>1.0000000672131599</v>
      </c>
    </row>
    <row r="5686" spans="1:40" x14ac:dyDescent="0.25">
      <c r="A5686" t="str">
        <f>"20190312161131642"</f>
        <v>20190312161131642</v>
      </c>
      <c r="B5686" t="str">
        <f>"1552378291633156"</f>
        <v>1552378291633156</v>
      </c>
      <c r="C5686" t="s">
        <v>40</v>
      </c>
      <c r="D5686">
        <v>4.9085799999999997</v>
      </c>
      <c r="E5686">
        <v>0.43902859999999999</v>
      </c>
      <c r="F5686" t="s">
        <v>78</v>
      </c>
      <c r="G5686">
        <v>-292.62439999999998</v>
      </c>
      <c r="H5686" s="1">
        <v>-3.1326010000000001E-6</v>
      </c>
      <c r="I5686">
        <v>-42.330350000000003</v>
      </c>
      <c r="J5686">
        <v>-300.94290000000001</v>
      </c>
      <c r="K5686">
        <v>1.1109359999999999</v>
      </c>
      <c r="L5686">
        <v>-18.130130000000001</v>
      </c>
      <c r="M5686">
        <v>2.8629519999999999E-2</v>
      </c>
      <c r="N5686">
        <v>0</v>
      </c>
      <c r="O5686">
        <v>-0.9994963</v>
      </c>
      <c r="P5686">
        <v>4.10827E-4</v>
      </c>
      <c r="Q5686">
        <v>-1.246801E-2</v>
      </c>
      <c r="R5686">
        <v>-0.99992230000000004</v>
      </c>
      <c r="S5686">
        <v>1.0155940000000001</v>
      </c>
      <c r="T5686">
        <v>-0.13540429999999901</v>
      </c>
      <c r="U5686">
        <v>-3.0026250000000001</v>
      </c>
      <c r="V5686">
        <v>2.8217269999999999E-2</v>
      </c>
      <c r="W5686">
        <v>1.2634429999999999E-3</v>
      </c>
      <c r="X5686">
        <v>0.99960099999999996</v>
      </c>
      <c r="Y5686">
        <v>-0.29285630000000001</v>
      </c>
      <c r="Z5686">
        <v>4.284458E-2</v>
      </c>
      <c r="AA5686">
        <v>0.95519609999999999</v>
      </c>
      <c r="AB5686">
        <v>22</v>
      </c>
      <c r="AC5686">
        <v>8.3185000000000198</v>
      </c>
      <c r="AD5686">
        <v>-1.1109391326010001</v>
      </c>
      <c r="AE5686">
        <v>-24.200220000000002</v>
      </c>
      <c r="AF5686">
        <v>-7.6078454588433004</v>
      </c>
      <c r="AG5686">
        <v>-1.1109391326010001</v>
      </c>
      <c r="AH5686">
        <v>24.3825217510201</v>
      </c>
      <c r="AI5686">
        <v>92.490500956752797</v>
      </c>
      <c r="AJ5686">
        <v>107.32898963678601</v>
      </c>
      <c r="AK5686">
        <v>25.566009958946601</v>
      </c>
      <c r="AL5686">
        <v>89.9276100280929</v>
      </c>
      <c r="AM5686">
        <v>88.383053583407602</v>
      </c>
      <c r="AN5686">
        <v>0.99999998490773301</v>
      </c>
    </row>
    <row r="5687" spans="1:40" x14ac:dyDescent="0.25">
      <c r="A5687" t="str">
        <f>"20190312161131673"</f>
        <v>20190312161131673</v>
      </c>
      <c r="B5687" t="str">
        <f>"1552378291663412"</f>
        <v>1552378291663412</v>
      </c>
      <c r="C5687" t="s">
        <v>40</v>
      </c>
      <c r="D5687">
        <v>4.8905289999999999</v>
      </c>
      <c r="E5687">
        <v>0.44758690000000001</v>
      </c>
      <c r="F5687" t="s">
        <v>41</v>
      </c>
      <c r="G5687">
        <v>-298.1628</v>
      </c>
      <c r="H5687" s="1">
        <v>-2.5390140000000001E-6</v>
      </c>
      <c r="I5687">
        <v>-35.208370000000002</v>
      </c>
      <c r="J5687">
        <v>-300.93270000000001</v>
      </c>
      <c r="K5687">
        <v>1.110886</v>
      </c>
      <c r="L5687">
        <v>-18.42407</v>
      </c>
      <c r="M5687">
        <v>3.0059229999999999E-2</v>
      </c>
      <c r="N5687">
        <v>0</v>
      </c>
      <c r="O5687">
        <v>-0.99945470000000003</v>
      </c>
      <c r="P5687">
        <v>1.9783560000000001E-3</v>
      </c>
      <c r="Q5687">
        <v>-1.243904E-2</v>
      </c>
      <c r="R5687">
        <v>-0.99992110000000001</v>
      </c>
      <c r="S5687">
        <v>0.48797610000000002</v>
      </c>
      <c r="T5687">
        <v>-0.1949929</v>
      </c>
      <c r="U5687">
        <v>-2.9975890000000001</v>
      </c>
      <c r="V5687">
        <v>2.8080270000000001E-2</v>
      </c>
      <c r="W5687">
        <v>1.285378E-3</v>
      </c>
      <c r="X5687">
        <v>0.99960479999999996</v>
      </c>
      <c r="Y5687">
        <v>-0.1305993</v>
      </c>
      <c r="Z5687">
        <v>6.4170379999999999E-2</v>
      </c>
      <c r="AA5687">
        <v>0.98935629999999997</v>
      </c>
      <c r="AB5687">
        <v>22</v>
      </c>
      <c r="AC5687">
        <v>2.7698999999999998</v>
      </c>
      <c r="AD5687">
        <v>-1.110888539014</v>
      </c>
      <c r="AE5687">
        <v>-16.784300000000002</v>
      </c>
      <c r="AF5687">
        <v>-2.2544637640012</v>
      </c>
      <c r="AG5687">
        <v>-1.110888539014</v>
      </c>
      <c r="AH5687">
        <v>16.788389370312299</v>
      </c>
      <c r="AI5687">
        <v>93.7521629354883</v>
      </c>
      <c r="AJ5687">
        <v>97.648327719451103</v>
      </c>
      <c r="AK5687">
        <v>16.975473420748099</v>
      </c>
      <c r="AL5687">
        <v>89.9263532419249</v>
      </c>
      <c r="AM5687">
        <v>88.3909061300687</v>
      </c>
      <c r="AN5687">
        <v>0.999999954971456</v>
      </c>
    </row>
    <row r="5688" spans="1:40" x14ac:dyDescent="0.25">
      <c r="A5688" t="str">
        <f>"20190312161131696"</f>
        <v>20190312161131696</v>
      </c>
      <c r="B5688" t="str">
        <f>"1552378291682933"</f>
        <v>1552378291682933</v>
      </c>
      <c r="C5688" t="s">
        <v>40</v>
      </c>
      <c r="D5688">
        <v>4.8238339999999997</v>
      </c>
      <c r="E5688">
        <v>0.45034170000000001</v>
      </c>
      <c r="F5688" t="s">
        <v>41</v>
      </c>
      <c r="G5688">
        <v>-298.47800000000001</v>
      </c>
      <c r="H5688" s="1">
        <v>-2.2505119999999998E-6</v>
      </c>
      <c r="I5688">
        <v>-35.750529999999998</v>
      </c>
      <c r="J5688">
        <v>-300.92399999999998</v>
      </c>
      <c r="K5688">
        <v>1.1108450000000001</v>
      </c>
      <c r="L5688">
        <v>-18.668489999999998</v>
      </c>
      <c r="M5688">
        <v>3.11694E-2</v>
      </c>
      <c r="N5688">
        <v>0</v>
      </c>
      <c r="O5688">
        <v>-0.99942039999999999</v>
      </c>
      <c r="P5688">
        <v>3.6736E-3</v>
      </c>
      <c r="Q5688">
        <v>-1.2006620000000001E-2</v>
      </c>
      <c r="R5688">
        <v>-0.99992139999999996</v>
      </c>
      <c r="S5688">
        <v>0.4245911</v>
      </c>
      <c r="T5688">
        <v>-0.19215360000000001</v>
      </c>
      <c r="U5688">
        <v>-2.9970089999999998</v>
      </c>
      <c r="V5688">
        <v>2.749565E-2</v>
      </c>
      <c r="W5688">
        <v>1.7102389999999999E-3</v>
      </c>
      <c r="X5688">
        <v>0.99962039999999996</v>
      </c>
      <c r="Y5688">
        <v>-0.10905620000000001</v>
      </c>
      <c r="Z5688">
        <v>6.3431100000000004E-2</v>
      </c>
      <c r="AA5688">
        <v>0.99200969999999999</v>
      </c>
      <c r="AB5688">
        <v>22</v>
      </c>
      <c r="AC5688">
        <v>2.4460000000000202</v>
      </c>
      <c r="AD5688">
        <v>-1.110847250512</v>
      </c>
      <c r="AE5688">
        <v>-17.082039999999999</v>
      </c>
      <c r="AF5688">
        <v>-1.90443261409374</v>
      </c>
      <c r="AG5688">
        <v>-1.110847250512</v>
      </c>
      <c r="AH5688">
        <v>17.079210640589199</v>
      </c>
      <c r="AI5688">
        <v>93.698470225350405</v>
      </c>
      <c r="AJ5688">
        <v>96.362534200513295</v>
      </c>
      <c r="AK5688">
        <v>17.220925680729501</v>
      </c>
      <c r="AL5688">
        <v>89.902010469682693</v>
      </c>
      <c r="AM5688">
        <v>88.424414331627702</v>
      </c>
      <c r="AN5688">
        <v>0.99999993989125802</v>
      </c>
    </row>
    <row r="5689" spans="1:40" x14ac:dyDescent="0.25">
      <c r="A5689" t="str">
        <f>"20190312161131732"</f>
        <v>20190312161131732</v>
      </c>
      <c r="B5689" t="str">
        <f>"1552378291722952"</f>
        <v>1552378291722952</v>
      </c>
      <c r="C5689" t="s">
        <v>40</v>
      </c>
      <c r="D5689">
        <v>4.8168329999999999</v>
      </c>
      <c r="E5689">
        <v>0.4530747</v>
      </c>
      <c r="F5689" t="s">
        <v>41</v>
      </c>
      <c r="G5689">
        <v>-298.5421</v>
      </c>
      <c r="H5689" s="1">
        <v>-2.0541529999999999E-6</v>
      </c>
      <c r="I5689">
        <v>-36.18177</v>
      </c>
      <c r="J5689">
        <v>-300.91120000000001</v>
      </c>
      <c r="K5689">
        <v>1.110787</v>
      </c>
      <c r="L5689">
        <v>-19.018219999999999</v>
      </c>
      <c r="M5689">
        <v>3.2621299999999999E-2</v>
      </c>
      <c r="N5689">
        <v>0</v>
      </c>
      <c r="O5689">
        <v>-0.99937419999999999</v>
      </c>
      <c r="P5689">
        <v>5.9789880000000002E-3</v>
      </c>
      <c r="Q5689">
        <v>-1.024809E-2</v>
      </c>
      <c r="R5689">
        <v>-0.99992959999999997</v>
      </c>
      <c r="S5689">
        <v>0.4075317</v>
      </c>
      <c r="T5689">
        <v>-0.19006190000000001</v>
      </c>
      <c r="U5689">
        <v>-2.9964599999999999</v>
      </c>
      <c r="V5689">
        <v>2.6641950000000001E-2</v>
      </c>
      <c r="W5689">
        <v>3.4587950000000002E-3</v>
      </c>
      <c r="X5689">
        <v>0.99963900000000006</v>
      </c>
      <c r="Y5689">
        <v>-0.1020993</v>
      </c>
      <c r="Z5689">
        <v>6.279796E-2</v>
      </c>
      <c r="AA5689">
        <v>0.99279010000000001</v>
      </c>
      <c r="AB5689">
        <v>22</v>
      </c>
      <c r="AC5689">
        <v>2.3691</v>
      </c>
      <c r="AD5689">
        <v>-1.1107890541529899</v>
      </c>
      <c r="AE5689">
        <v>-17.163550000000001</v>
      </c>
      <c r="AF5689">
        <v>-1.80048901297937</v>
      </c>
      <c r="AG5689">
        <v>-1.1107890541529899</v>
      </c>
      <c r="AH5689">
        <v>17.161169799945199</v>
      </c>
      <c r="AI5689">
        <v>93.683251129129005</v>
      </c>
      <c r="AJ5689">
        <v>95.989358046574907</v>
      </c>
      <c r="AK5689">
        <v>17.291077523139901</v>
      </c>
      <c r="AL5689">
        <v>89.801825237972906</v>
      </c>
      <c r="AM5689">
        <v>88.473338849071496</v>
      </c>
      <c r="AN5689">
        <v>0.99999994354182498</v>
      </c>
    </row>
    <row r="5690" spans="1:40" x14ac:dyDescent="0.25">
      <c r="A5690" t="str">
        <f>"20190312161131780"</f>
        <v>20190312161131780</v>
      </c>
      <c r="B5690" t="str">
        <f>"1552378291772724"</f>
        <v>1552378291772724</v>
      </c>
      <c r="C5690" t="s">
        <v>40</v>
      </c>
      <c r="D5690">
        <v>4.7076669999999998</v>
      </c>
      <c r="E5690">
        <v>0.45467859999999999</v>
      </c>
      <c r="F5690" t="s">
        <v>41</v>
      </c>
      <c r="G5690">
        <v>-298.5224</v>
      </c>
      <c r="H5690" s="1">
        <v>-1.591334E-6</v>
      </c>
      <c r="I5690">
        <v>-37.26876</v>
      </c>
      <c r="J5690">
        <v>-300.89359999999999</v>
      </c>
      <c r="K5690">
        <v>1.1107</v>
      </c>
      <c r="L5690">
        <v>-19.486719999999998</v>
      </c>
      <c r="M5690">
        <v>3.4315030000000003E-2</v>
      </c>
      <c r="N5690">
        <v>0</v>
      </c>
      <c r="O5690">
        <v>-0.99931749999999997</v>
      </c>
      <c r="P5690">
        <v>7.4915590000000001E-3</v>
      </c>
      <c r="Q5690">
        <v>-1.139533E-2</v>
      </c>
      <c r="R5690">
        <v>-0.99990699999999999</v>
      </c>
      <c r="S5690">
        <v>0.39215090000000002</v>
      </c>
      <c r="T5690">
        <v>-0.1823466</v>
      </c>
      <c r="U5690">
        <v>-2.9960019999999998</v>
      </c>
      <c r="V5690">
        <v>2.6825559999999998E-2</v>
      </c>
      <c r="W5690">
        <v>2.2996090000000002E-3</v>
      </c>
      <c r="X5690">
        <v>0.99963749999999996</v>
      </c>
      <c r="Y5690">
        <v>-9.5443700000000006E-2</v>
      </c>
      <c r="Z5690">
        <v>6.0302500000000002E-2</v>
      </c>
      <c r="AA5690">
        <v>0.99360660000000001</v>
      </c>
      <c r="AB5690">
        <v>22</v>
      </c>
      <c r="AC5690">
        <v>2.37119999999998</v>
      </c>
      <c r="AD5690">
        <v>-1.1107015913339999</v>
      </c>
      <c r="AE5690">
        <v>-17.782039999999999</v>
      </c>
      <c r="AF5690">
        <v>-1.75283574748673</v>
      </c>
      <c r="AG5690">
        <v>-1.1107015913339999</v>
      </c>
      <c r="AH5690">
        <v>17.784766000944799</v>
      </c>
      <c r="AI5690">
        <v>93.556431747912299</v>
      </c>
      <c r="AJ5690">
        <v>95.628794274237706</v>
      </c>
      <c r="AK5690">
        <v>17.905417975881502</v>
      </c>
      <c r="AL5690">
        <v>89.868241995637007</v>
      </c>
      <c r="AM5690">
        <v>88.462820187811403</v>
      </c>
      <c r="AN5690">
        <v>1.00000001513855</v>
      </c>
    </row>
    <row r="5691" spans="1:40" x14ac:dyDescent="0.25">
      <c r="A5691" t="str">
        <f>"20190312161131821"</f>
        <v>20190312161131821</v>
      </c>
      <c r="B5691" t="str">
        <f>"1552378291812744"</f>
        <v>1552378291812744</v>
      </c>
      <c r="C5691" t="s">
        <v>40</v>
      </c>
      <c r="D5691">
        <v>4.7166889999999997</v>
      </c>
      <c r="E5691">
        <v>0.45554729999999999</v>
      </c>
      <c r="F5691" t="s">
        <v>41</v>
      </c>
      <c r="G5691">
        <v>-298.53809999999999</v>
      </c>
      <c r="H5691" s="1">
        <v>-1.341232E-6</v>
      </c>
      <c r="I5691">
        <v>-37.845219999999998</v>
      </c>
      <c r="J5691">
        <v>-300.8775</v>
      </c>
      <c r="K5691">
        <v>1.1106240000000001</v>
      </c>
      <c r="L5691">
        <v>-19.903749999999999</v>
      </c>
      <c r="M5691">
        <v>3.5596679999999999E-2</v>
      </c>
      <c r="N5691">
        <v>0</v>
      </c>
      <c r="O5691">
        <v>-0.99927290000000002</v>
      </c>
      <c r="P5691">
        <v>8.4312950000000001E-3</v>
      </c>
      <c r="Q5691">
        <v>-1.0596629999999999E-2</v>
      </c>
      <c r="R5691">
        <v>-0.99990840000000003</v>
      </c>
      <c r="S5691">
        <v>0.38430789999999998</v>
      </c>
      <c r="T5691">
        <v>-0.18121950000000001</v>
      </c>
      <c r="U5691">
        <v>-2.9953310000000002</v>
      </c>
      <c r="V5691">
        <v>2.716818E-2</v>
      </c>
      <c r="W5691">
        <v>3.088295E-3</v>
      </c>
      <c r="X5691">
        <v>0.99962609999999996</v>
      </c>
      <c r="Y5691">
        <v>-9.1638940000000002E-2</v>
      </c>
      <c r="Z5691">
        <v>5.9961100000000003E-2</v>
      </c>
      <c r="AA5691">
        <v>0.99398540000000002</v>
      </c>
      <c r="AB5691">
        <v>22</v>
      </c>
      <c r="AC5691">
        <v>2.3394000000000101</v>
      </c>
      <c r="AD5691">
        <v>-1.110625341232</v>
      </c>
      <c r="AE5691">
        <v>-17.941469999999999</v>
      </c>
      <c r="AF5691">
        <v>-1.6928223973962899</v>
      </c>
      <c r="AG5691">
        <v>-1.110625341232</v>
      </c>
      <c r="AH5691">
        <v>17.945762351015201</v>
      </c>
      <c r="AI5691">
        <v>93.525786139071101</v>
      </c>
      <c r="AJ5691">
        <v>95.388760966148297</v>
      </c>
      <c r="AK5691">
        <v>18.0596102581652</v>
      </c>
      <c r="AL5691">
        <v>89.823053448217394</v>
      </c>
      <c r="AM5691">
        <v>88.443178956444996</v>
      </c>
      <c r="AN5691">
        <v>0.99999999368586401</v>
      </c>
    </row>
    <row r="5692" spans="1:40" x14ac:dyDescent="0.25">
      <c r="A5692" t="str">
        <f>"20190312161131866"</f>
        <v>20190312161131866</v>
      </c>
      <c r="B5692" t="str">
        <f>"1552378291852760"</f>
        <v>1552378291852760</v>
      </c>
      <c r="C5692" t="s">
        <v>40</v>
      </c>
      <c r="D5692">
        <v>4.7272759999999998</v>
      </c>
      <c r="E5692">
        <v>0.45644170000000001</v>
      </c>
      <c r="F5692" t="s">
        <v>41</v>
      </c>
      <c r="G5692">
        <v>-298.50119999999998</v>
      </c>
      <c r="H5692" s="1">
        <v>-1.008249E-6</v>
      </c>
      <c r="I5692">
        <v>-38.636699999999998</v>
      </c>
      <c r="J5692">
        <v>-300.86040000000003</v>
      </c>
      <c r="K5692">
        <v>1.11056</v>
      </c>
      <c r="L5692">
        <v>-20.340730000000001</v>
      </c>
      <c r="M5692">
        <v>3.672475E-2</v>
      </c>
      <c r="N5692">
        <v>0</v>
      </c>
      <c r="O5692">
        <v>-0.99923229999999996</v>
      </c>
      <c r="P5692">
        <v>7.773566E-3</v>
      </c>
      <c r="Q5692">
        <v>-1.0496180000000001E-2</v>
      </c>
      <c r="R5692">
        <v>-0.99991479999999999</v>
      </c>
      <c r="S5692">
        <v>0.3799438</v>
      </c>
      <c r="T5692">
        <v>-0.17757590000000001</v>
      </c>
      <c r="U5692">
        <v>-2.9951780000000001</v>
      </c>
      <c r="V5692">
        <v>2.8954569999999999E-2</v>
      </c>
      <c r="W5692">
        <v>3.1788929999999999E-3</v>
      </c>
      <c r="X5692">
        <v>0.99957569999999996</v>
      </c>
      <c r="Y5692">
        <v>-8.9104749999999996E-2</v>
      </c>
      <c r="Z5692">
        <v>5.8771289999999997E-2</v>
      </c>
      <c r="AA5692">
        <v>0.99428680000000003</v>
      </c>
      <c r="AB5692">
        <v>22</v>
      </c>
      <c r="AC5692">
        <v>2.3592000000000399</v>
      </c>
      <c r="AD5692">
        <v>-1.1105610082490001</v>
      </c>
      <c r="AE5692">
        <v>-18.295970000000001</v>
      </c>
      <c r="AF5692">
        <v>-1.67954377218191</v>
      </c>
      <c r="AG5692">
        <v>-1.1105610082490001</v>
      </c>
      <c r="AH5692">
        <v>18.303937534396699</v>
      </c>
      <c r="AI5692">
        <v>93.457580085867903</v>
      </c>
      <c r="AJ5692">
        <v>95.242699801168001</v>
      </c>
      <c r="AK5692">
        <v>18.414351530771199</v>
      </c>
      <c r="AL5692">
        <v>89.817862545597094</v>
      </c>
      <c r="AM5692">
        <v>88.340785106650699</v>
      </c>
      <c r="AN5692">
        <v>1.0000000262575299</v>
      </c>
    </row>
    <row r="5693" spans="1:40" x14ac:dyDescent="0.25">
      <c r="A5693" t="str">
        <f>"20190312161131895"</f>
        <v>20190312161131895</v>
      </c>
      <c r="B5693" t="str">
        <f>"1552378291883012"</f>
        <v>1552378291883012</v>
      </c>
      <c r="C5693" t="s">
        <v>40</v>
      </c>
      <c r="D5693">
        <v>4.7503659999999996</v>
      </c>
      <c r="E5693">
        <v>0.45685799999999999</v>
      </c>
      <c r="F5693" t="s">
        <v>41</v>
      </c>
      <c r="G5693">
        <v>-298.53289999999998</v>
      </c>
      <c r="H5693" s="1">
        <v>-8.0196860000000003E-7</v>
      </c>
      <c r="I5693">
        <v>-39.142359999999996</v>
      </c>
      <c r="J5693">
        <v>-300.84890000000001</v>
      </c>
      <c r="K5693">
        <v>1.110522</v>
      </c>
      <c r="L5693">
        <v>-20.630369999999999</v>
      </c>
      <c r="M5693">
        <v>3.7378139999999997E-2</v>
      </c>
      <c r="N5693">
        <v>0</v>
      </c>
      <c r="O5693">
        <v>-0.99920819999999999</v>
      </c>
      <c r="P5693">
        <v>8.01351199999999E-3</v>
      </c>
      <c r="Q5693">
        <v>-1.157766E-2</v>
      </c>
      <c r="R5693">
        <v>-0.99990109999999999</v>
      </c>
      <c r="S5693">
        <v>0.37081910000000001</v>
      </c>
      <c r="T5693">
        <v>-0.1769367</v>
      </c>
      <c r="U5693">
        <v>-2.995514</v>
      </c>
      <c r="V5693">
        <v>2.9368769999999999E-2</v>
      </c>
      <c r="W5693">
        <v>2.0912320000000002E-3</v>
      </c>
      <c r="X5693">
        <v>0.99956639999999997</v>
      </c>
      <c r="Y5693">
        <v>-8.5458469999999995E-2</v>
      </c>
      <c r="Z5693">
        <v>5.8572230000000003E-2</v>
      </c>
      <c r="AA5693">
        <v>0.99461860000000002</v>
      </c>
      <c r="AB5693">
        <v>22</v>
      </c>
      <c r="AC5693">
        <v>2.31600000000003</v>
      </c>
      <c r="AD5693">
        <v>-1.1105228019686</v>
      </c>
      <c r="AE5693">
        <v>-18.511989999999901</v>
      </c>
      <c r="AF5693">
        <v>-1.6166449976236701</v>
      </c>
      <c r="AG5693">
        <v>-1.1105228019686</v>
      </c>
      <c r="AH5693">
        <v>18.520005793195601</v>
      </c>
      <c r="AI5693">
        <v>93.418572934815003</v>
      </c>
      <c r="AJ5693">
        <v>94.988807132530198</v>
      </c>
      <c r="AK5693">
        <v>18.623571529704801</v>
      </c>
      <c r="AL5693">
        <v>89.880181138249199</v>
      </c>
      <c r="AM5693">
        <v>88.317047662509793</v>
      </c>
      <c r="AN5693">
        <v>0.99999994295577299</v>
      </c>
    </row>
    <row r="5694" spans="1:40" x14ac:dyDescent="0.25">
      <c r="A5694" t="str">
        <f>"20190312161131933"</f>
        <v>20190312161131933</v>
      </c>
      <c r="B5694" t="str">
        <f>"1552378291923029"</f>
        <v>1552378291923029</v>
      </c>
      <c r="C5694" t="s">
        <v>40</v>
      </c>
      <c r="D5694">
        <v>4.7494730000000001</v>
      </c>
      <c r="E5694">
        <v>0.45751249999999999</v>
      </c>
      <c r="F5694" t="s">
        <v>41</v>
      </c>
      <c r="G5694">
        <v>-298.55720000000002</v>
      </c>
      <c r="H5694" s="1">
        <v>-7.6101369999999898E-7</v>
      </c>
      <c r="I5694">
        <v>-39.243720000000003</v>
      </c>
      <c r="J5694">
        <v>-300.834</v>
      </c>
      <c r="K5694">
        <v>1.1105</v>
      </c>
      <c r="L5694">
        <v>-21.00037</v>
      </c>
      <c r="M5694">
        <v>3.8150629999999998E-2</v>
      </c>
      <c r="N5694">
        <v>0</v>
      </c>
      <c r="O5694">
        <v>-0.99917880000000003</v>
      </c>
      <c r="P5694">
        <v>7.617876E-3</v>
      </c>
      <c r="Q5694">
        <v>-1.040134E-2</v>
      </c>
      <c r="R5694">
        <v>-0.99991680000000005</v>
      </c>
      <c r="S5694">
        <v>0.3687744</v>
      </c>
      <c r="T5694">
        <v>-0.1787059</v>
      </c>
      <c r="U5694">
        <v>-2.9952700000000001</v>
      </c>
      <c r="V5694">
        <v>3.0536939999999999E-2</v>
      </c>
      <c r="W5694">
        <v>3.2618629999999998E-3</v>
      </c>
      <c r="X5694">
        <v>0.99952830000000004</v>
      </c>
      <c r="Y5694">
        <v>-8.4024959999999996E-2</v>
      </c>
      <c r="Z5694">
        <v>5.9164090000000003E-2</v>
      </c>
      <c r="AA5694">
        <v>0.99470570000000003</v>
      </c>
      <c r="AB5694">
        <v>22</v>
      </c>
      <c r="AC5694">
        <v>2.2767999999999802</v>
      </c>
      <c r="AD5694">
        <v>-1.1105007610136901</v>
      </c>
      <c r="AE5694">
        <v>-18.24335</v>
      </c>
      <c r="AF5694">
        <v>-1.57334169532715</v>
      </c>
      <c r="AG5694">
        <v>-1.1105007610136901</v>
      </c>
      <c r="AH5694">
        <v>18.250349101013501</v>
      </c>
      <c r="AI5694">
        <v>93.469215358502396</v>
      </c>
      <c r="AJ5694">
        <v>94.927221318161202</v>
      </c>
      <c r="AK5694">
        <v>18.351671813198099</v>
      </c>
      <c r="AL5694">
        <v>89.813108682248398</v>
      </c>
      <c r="AM5694">
        <v>88.250080839148396</v>
      </c>
      <c r="AN5694">
        <v>0.99999998347784202</v>
      </c>
    </row>
    <row r="5695" spans="1:40" x14ac:dyDescent="0.25">
      <c r="A5695" t="str">
        <f>"20190312161131979"</f>
        <v>20190312161131979</v>
      </c>
      <c r="B5695" t="str">
        <f>"1552378291972805"</f>
        <v>1552378291972805</v>
      </c>
      <c r="C5695" t="s">
        <v>40</v>
      </c>
      <c r="D5695">
        <v>4.800662</v>
      </c>
      <c r="E5695">
        <v>0.45813939999999997</v>
      </c>
      <c r="F5695" t="s">
        <v>41</v>
      </c>
      <c r="G5695">
        <v>-298.5385</v>
      </c>
      <c r="H5695" s="1">
        <v>-5.1462009999999998E-7</v>
      </c>
      <c r="I5695">
        <v>-39.982399999999998</v>
      </c>
      <c r="J5695">
        <v>-300.81580000000002</v>
      </c>
      <c r="K5695">
        <v>1.1105</v>
      </c>
      <c r="L5695">
        <v>-21.447749999999999</v>
      </c>
      <c r="M5695">
        <v>3.9030870000000002E-2</v>
      </c>
      <c r="N5695">
        <v>0</v>
      </c>
      <c r="O5695">
        <v>-0.9991447</v>
      </c>
      <c r="P5695">
        <v>9.550602E-3</v>
      </c>
      <c r="Q5695">
        <v>-9.7815920000000004E-3</v>
      </c>
      <c r="R5695">
        <v>-0.99990650000000003</v>
      </c>
      <c r="S5695">
        <v>0.36227419999999999</v>
      </c>
      <c r="T5695">
        <v>-0.17525460000000001</v>
      </c>
      <c r="U5695">
        <v>-2.9956670000000001</v>
      </c>
      <c r="V5695">
        <v>2.9485520000000001E-2</v>
      </c>
      <c r="W5695">
        <v>3.876025E-3</v>
      </c>
      <c r="X5695">
        <v>0.99955769999999999</v>
      </c>
      <c r="Y5695">
        <v>-8.1011990000000006E-2</v>
      </c>
      <c r="Z5695">
        <v>5.8029629999999999E-2</v>
      </c>
      <c r="AA5695">
        <v>0.99502239999999997</v>
      </c>
      <c r="AB5695">
        <v>22</v>
      </c>
      <c r="AC5695">
        <v>2.2773000000000199</v>
      </c>
      <c r="AD5695">
        <v>-1.1105005146200999</v>
      </c>
      <c r="AE5695">
        <v>-18.534649999999999</v>
      </c>
      <c r="AF5695">
        <v>-1.54660400521645</v>
      </c>
      <c r="AG5695">
        <v>-1.1105005146200999</v>
      </c>
      <c r="AH5695">
        <v>18.543838899963902</v>
      </c>
      <c r="AI5695">
        <v>93.415243914311205</v>
      </c>
      <c r="AJ5695">
        <v>94.767581840946903</v>
      </c>
      <c r="AK5695">
        <v>18.6413292575862</v>
      </c>
      <c r="AL5695">
        <v>89.777919571812404</v>
      </c>
      <c r="AM5695">
        <v>88.310346575840299</v>
      </c>
      <c r="AN5695">
        <v>1.00000000754438</v>
      </c>
    </row>
    <row r="5696" spans="1:40" x14ac:dyDescent="0.25">
      <c r="A5696" t="str">
        <f>"20190312161132022"</f>
        <v>20190312161132022</v>
      </c>
      <c r="B5696" t="str">
        <f>"1552378292012820"</f>
        <v>1552378292012820</v>
      </c>
      <c r="C5696" t="s">
        <v>40</v>
      </c>
      <c r="D5696">
        <v>4.8632010000000001</v>
      </c>
      <c r="E5696">
        <v>0.45855669999999998</v>
      </c>
      <c r="F5696" t="s">
        <v>78</v>
      </c>
      <c r="G5696">
        <v>-298.49290000000002</v>
      </c>
      <c r="H5696" s="1">
        <v>-5.2729729999999996E-7</v>
      </c>
      <c r="I5696">
        <v>-40.602519999999998</v>
      </c>
      <c r="J5696">
        <v>-300.798</v>
      </c>
      <c r="K5696">
        <v>1.110506</v>
      </c>
      <c r="L5696">
        <v>-21.875579999999999</v>
      </c>
      <c r="M5696">
        <v>3.9877290000000003E-2</v>
      </c>
      <c r="N5696">
        <v>0</v>
      </c>
      <c r="O5696">
        <v>-0.99911159999999999</v>
      </c>
      <c r="P5696">
        <v>1.231376E-2</v>
      </c>
      <c r="Q5696">
        <v>-9.1193699999999999E-3</v>
      </c>
      <c r="R5696">
        <v>-0.99988270000000001</v>
      </c>
      <c r="S5696">
        <v>0.36322019999999999</v>
      </c>
      <c r="T5696">
        <v>-0.1736424</v>
      </c>
      <c r="U5696">
        <v>-2.995117</v>
      </c>
      <c r="V5696">
        <v>2.756991E-2</v>
      </c>
      <c r="W5696">
        <v>4.5335769999999996E-3</v>
      </c>
      <c r="X5696">
        <v>0.99960959999999999</v>
      </c>
      <c r="Y5696">
        <v>-8.0502779999999996E-2</v>
      </c>
      <c r="Z5696">
        <v>5.7505250000000001E-2</v>
      </c>
      <c r="AA5696">
        <v>0.99509420000000004</v>
      </c>
      <c r="AB5696">
        <v>22</v>
      </c>
      <c r="AC5696">
        <v>2.3050999999999799</v>
      </c>
      <c r="AD5696">
        <v>-1.1105065272973</v>
      </c>
      <c r="AE5696">
        <v>-18.726939999999999</v>
      </c>
      <c r="AF5696">
        <v>-1.55104432209516</v>
      </c>
      <c r="AG5696">
        <v>-1.1105065272973</v>
      </c>
      <c r="AH5696">
        <v>18.739059115267299</v>
      </c>
      <c r="AI5696">
        <v>93.379941501052599</v>
      </c>
      <c r="AJ5696">
        <v>94.731623827654005</v>
      </c>
      <c r="AK5696">
        <v>18.835904537923199</v>
      </c>
      <c r="AL5696">
        <v>89.740244282726493</v>
      </c>
      <c r="AM5696">
        <v>88.420144097624998</v>
      </c>
      <c r="AN5696">
        <v>1.00000000283499</v>
      </c>
    </row>
    <row r="5697" spans="1:40" x14ac:dyDescent="0.25">
      <c r="A5697" t="str">
        <f>"20190312161132052"</f>
        <v>20190312161132052</v>
      </c>
      <c r="B5697" t="str">
        <f>"1552378292043077"</f>
        <v>1552378292043077</v>
      </c>
      <c r="C5697" t="s">
        <v>40</v>
      </c>
      <c r="D5697">
        <v>4.8636619999999997</v>
      </c>
      <c r="E5697">
        <v>0.45888020000000002</v>
      </c>
      <c r="F5697" t="s">
        <v>78</v>
      </c>
      <c r="G5697">
        <v>-298.43950000000001</v>
      </c>
      <c r="H5697" s="1">
        <v>-8.3404409999999997E-7</v>
      </c>
      <c r="I5697">
        <v>-41.06277</v>
      </c>
      <c r="J5697">
        <v>-300.78570000000002</v>
      </c>
      <c r="K5697">
        <v>1.1105119999999999</v>
      </c>
      <c r="L5697">
        <v>-22.16611</v>
      </c>
      <c r="M5697">
        <v>4.0464420000000001E-2</v>
      </c>
      <c r="N5697">
        <v>0</v>
      </c>
      <c r="O5697">
        <v>-0.99908819999999998</v>
      </c>
      <c r="P5697">
        <v>1.284049E-2</v>
      </c>
      <c r="Q5697">
        <v>-9.2093330000000001E-3</v>
      </c>
      <c r="R5697">
        <v>-0.99987539999999997</v>
      </c>
      <c r="S5697">
        <v>0.36804199999999998</v>
      </c>
      <c r="T5697">
        <v>-0.1732986</v>
      </c>
      <c r="U5697">
        <v>-2.9942319999999998</v>
      </c>
      <c r="V5697">
        <v>2.7630680000000001E-2</v>
      </c>
      <c r="W5697">
        <v>4.4410719999999999E-3</v>
      </c>
      <c r="X5697">
        <v>0.99960830000000001</v>
      </c>
      <c r="Y5697">
        <v>-8.1531850000000003E-2</v>
      </c>
      <c r="Z5697">
        <v>5.739855E-2</v>
      </c>
      <c r="AA5697">
        <v>0.99501660000000003</v>
      </c>
      <c r="AB5697">
        <v>22</v>
      </c>
      <c r="AC5697">
        <v>2.3462000000000098</v>
      </c>
      <c r="AD5697">
        <v>-1.1105128340441</v>
      </c>
      <c r="AE5697">
        <v>-18.896660000000001</v>
      </c>
      <c r="AF5697">
        <v>-1.57421056174912</v>
      </c>
      <c r="AG5697">
        <v>-1.1105128340441</v>
      </c>
      <c r="AH5697">
        <v>18.9118038239573</v>
      </c>
      <c r="AI5697">
        <v>93.349028756931304</v>
      </c>
      <c r="AJ5697">
        <v>94.758306887838401</v>
      </c>
      <c r="AK5697">
        <v>19.00967389313</v>
      </c>
      <c r="AL5697">
        <v>89.745544472663397</v>
      </c>
      <c r="AM5697">
        <v>88.416661468646296</v>
      </c>
      <c r="AN5697">
        <v>0.99999996551333004</v>
      </c>
    </row>
    <row r="5698" spans="1:40" x14ac:dyDescent="0.25">
      <c r="A5698" t="str">
        <f>"20190312161132089"</f>
        <v>20190312161132089</v>
      </c>
      <c r="B5698" t="str">
        <f>"1552378292083093"</f>
        <v>1552378292083093</v>
      </c>
      <c r="C5698" t="s">
        <v>40</v>
      </c>
      <c r="D5698">
        <v>4.9455679999999997</v>
      </c>
      <c r="E5698">
        <v>0.46560000000000001</v>
      </c>
      <c r="F5698" t="s">
        <v>78</v>
      </c>
      <c r="G5698">
        <v>-298.46179999999998</v>
      </c>
      <c r="H5698" s="1">
        <v>-8.4829379999999995E-7</v>
      </c>
      <c r="I5698">
        <v>-41.09451</v>
      </c>
      <c r="J5698">
        <v>-300.77</v>
      </c>
      <c r="K5698">
        <v>1.1105210000000001</v>
      </c>
      <c r="L5698">
        <v>-22.5304</v>
      </c>
      <c r="M5698">
        <v>4.1211820000000003E-2</v>
      </c>
      <c r="N5698">
        <v>0</v>
      </c>
      <c r="O5698">
        <v>-0.99905750000000004</v>
      </c>
      <c r="P5698">
        <v>1.3251290000000001E-2</v>
      </c>
      <c r="Q5698">
        <v>-9.684659E-3</v>
      </c>
      <c r="R5698">
        <v>-0.99986520000000001</v>
      </c>
      <c r="S5698">
        <v>0.36758420000000003</v>
      </c>
      <c r="T5698">
        <v>-0.17565819999999999</v>
      </c>
      <c r="U5698">
        <v>-2.994049</v>
      </c>
      <c r="V5698">
        <v>2.7967780000000001E-2</v>
      </c>
      <c r="W5698">
        <v>3.9623319999999998E-3</v>
      </c>
      <c r="X5698">
        <v>0.99960090000000001</v>
      </c>
      <c r="Y5698">
        <v>-8.063816E-2</v>
      </c>
      <c r="Z5698">
        <v>5.8180950000000002E-2</v>
      </c>
      <c r="AA5698">
        <v>0.99504389999999998</v>
      </c>
      <c r="AB5698">
        <v>22</v>
      </c>
      <c r="AC5698">
        <v>2.3081999999999998</v>
      </c>
      <c r="AD5698">
        <v>-1.1105218482938</v>
      </c>
      <c r="AE5698">
        <v>-18.564109999999999</v>
      </c>
      <c r="AF5698">
        <v>-1.53569497704549</v>
      </c>
      <c r="AG5698">
        <v>-1.1105218482938</v>
      </c>
      <c r="AH5698">
        <v>18.577999568242301</v>
      </c>
      <c r="AI5698">
        <v>93.409251928111402</v>
      </c>
      <c r="AJ5698">
        <v>94.725441434187601</v>
      </c>
      <c r="AK5698">
        <v>18.674412595732999</v>
      </c>
      <c r="AL5698">
        <v>89.772974488977297</v>
      </c>
      <c r="AM5698">
        <v>88.397342567136604</v>
      </c>
      <c r="AN5698">
        <v>0.99999992803690496</v>
      </c>
    </row>
    <row r="5699" spans="1:40" x14ac:dyDescent="0.25">
      <c r="A5699" t="str">
        <f>"20190312161132133"</f>
        <v>20190312161132133</v>
      </c>
      <c r="B5699" t="str">
        <f>"1552378292123109"</f>
        <v>1552378292123109</v>
      </c>
      <c r="C5699" t="s">
        <v>40</v>
      </c>
      <c r="D5699">
        <v>5.0266359999999999</v>
      </c>
      <c r="E5699">
        <v>0.46534039999999999</v>
      </c>
      <c r="F5699" t="s">
        <v>41</v>
      </c>
      <c r="G5699">
        <v>-299.2407</v>
      </c>
      <c r="H5699" s="1">
        <v>-1.5568080000000001E-6</v>
      </c>
      <c r="I5699">
        <v>-37.052219999999998</v>
      </c>
      <c r="J5699">
        <v>-300.75110000000001</v>
      </c>
      <c r="K5699">
        <v>1.110538</v>
      </c>
      <c r="L5699">
        <v>-22.96048</v>
      </c>
      <c r="M5699">
        <v>4.2105829999999997E-2</v>
      </c>
      <c r="N5699">
        <v>0</v>
      </c>
      <c r="O5699">
        <v>-0.99902049999999998</v>
      </c>
      <c r="P5699">
        <v>1.505766E-2</v>
      </c>
      <c r="Q5699">
        <v>-8.4670309999999999E-3</v>
      </c>
      <c r="R5699">
        <v>-0.9998513</v>
      </c>
      <c r="S5699">
        <v>0.31530760000000002</v>
      </c>
      <c r="T5699">
        <v>-0.22896059999999999</v>
      </c>
      <c r="U5699">
        <v>-2.9940190000000002</v>
      </c>
      <c r="V5699">
        <v>2.7056090000000001E-2</v>
      </c>
      <c r="W5699">
        <v>5.1753930000000004E-3</v>
      </c>
      <c r="X5699">
        <v>0.99962050000000002</v>
      </c>
      <c r="Y5699">
        <v>-6.2460300000000003E-2</v>
      </c>
      <c r="Z5699">
        <v>7.5866020000000006E-2</v>
      </c>
      <c r="AA5699">
        <v>0.99515980000000004</v>
      </c>
      <c r="AB5699">
        <v>22</v>
      </c>
      <c r="AC5699">
        <v>1.5104</v>
      </c>
      <c r="AD5699">
        <v>-1.1105395568080001</v>
      </c>
      <c r="AE5699">
        <v>-14.0917399999999</v>
      </c>
      <c r="AF5699">
        <v>-0.91007294943862604</v>
      </c>
      <c r="AG5699">
        <v>-1.1105395568080001</v>
      </c>
      <c r="AH5699">
        <v>14.056534020964101</v>
      </c>
      <c r="AI5699">
        <v>94.507883469306705</v>
      </c>
      <c r="AJ5699">
        <v>93.704374371093294</v>
      </c>
      <c r="AK5699">
        <v>14.1296737245789</v>
      </c>
      <c r="AL5699">
        <v>89.703470494202406</v>
      </c>
      <c r="AM5699">
        <v>88.449590238611293</v>
      </c>
      <c r="AN5699">
        <v>0.99999998035952098</v>
      </c>
    </row>
    <row r="5700" spans="1:40" x14ac:dyDescent="0.25">
      <c r="A5700" t="str">
        <f>"20190312161132179"</f>
        <v>20190312161132179</v>
      </c>
      <c r="B5700" t="str">
        <f>"1552378292172884"</f>
        <v>1552378292172884</v>
      </c>
      <c r="C5700" t="s">
        <v>40</v>
      </c>
      <c r="D5700">
        <v>5.1284169999999998</v>
      </c>
      <c r="E5700">
        <v>0.46552690000000002</v>
      </c>
      <c r="F5700" t="s">
        <v>41</v>
      </c>
      <c r="G5700">
        <v>-299.18729999999999</v>
      </c>
      <c r="H5700" s="1">
        <v>-1.388571E-6</v>
      </c>
      <c r="I5700">
        <v>-37.466450000000002</v>
      </c>
      <c r="J5700">
        <v>-300.73140000000001</v>
      </c>
      <c r="K5700">
        <v>1.1105529999999999</v>
      </c>
      <c r="L5700">
        <v>-23.399750000000001</v>
      </c>
      <c r="M5700">
        <v>4.3021539999999997E-2</v>
      </c>
      <c r="N5700">
        <v>0</v>
      </c>
      <c r="O5700">
        <v>-0.99898140000000002</v>
      </c>
      <c r="P5700">
        <v>1.561917E-2</v>
      </c>
      <c r="Q5700">
        <v>-6.1507979999999999E-3</v>
      </c>
      <c r="R5700">
        <v>-0.99985930000000001</v>
      </c>
      <c r="S5700">
        <v>0.32272339999999999</v>
      </c>
      <c r="T5700">
        <v>-0.2291861</v>
      </c>
      <c r="U5700">
        <v>-2.993652</v>
      </c>
      <c r="V5700">
        <v>2.7410279999999999E-2</v>
      </c>
      <c r="W5700">
        <v>7.4870529999999996E-3</v>
      </c>
      <c r="X5700">
        <v>0.99959620000000005</v>
      </c>
      <c r="Y5700">
        <v>-6.3995049999999998E-2</v>
      </c>
      <c r="Z5700">
        <v>7.5931460000000006E-2</v>
      </c>
      <c r="AA5700">
        <v>0.99505730000000003</v>
      </c>
      <c r="AB5700">
        <v>22</v>
      </c>
      <c r="AC5700">
        <v>1.54410000000001</v>
      </c>
      <c r="AD5700">
        <v>-1.1105543885709901</v>
      </c>
      <c r="AE5700">
        <v>-14.066700000000001</v>
      </c>
      <c r="AF5700">
        <v>-0.93170479659352201</v>
      </c>
      <c r="AG5700">
        <v>-1.1105543885709901</v>
      </c>
      <c r="AH5700">
        <v>14.0336794697663</v>
      </c>
      <c r="AI5700">
        <v>94.514771067659595</v>
      </c>
      <c r="AJ5700">
        <v>93.798328691259698</v>
      </c>
      <c r="AK5700">
        <v>14.1083508723774</v>
      </c>
      <c r="AL5700">
        <v>89.571019441885397</v>
      </c>
      <c r="AM5700">
        <v>88.429265834773702</v>
      </c>
      <c r="AN5700">
        <v>0.99999997123337103</v>
      </c>
    </row>
    <row r="5701" spans="1:40" x14ac:dyDescent="0.25">
      <c r="A5701" t="str">
        <f>"20190312161132223"</f>
        <v>20190312161132223</v>
      </c>
      <c r="B5701" t="str">
        <f>"1552378292212900"</f>
        <v>1552378292212900</v>
      </c>
      <c r="C5701" t="s">
        <v>40</v>
      </c>
      <c r="D5701">
        <v>5.194598</v>
      </c>
      <c r="E5701">
        <v>0.46553860000000002</v>
      </c>
      <c r="F5701" t="s">
        <v>41</v>
      </c>
      <c r="G5701">
        <v>-299.13869999999997</v>
      </c>
      <c r="H5701" s="1">
        <v>-1.1029639999999999E-6</v>
      </c>
      <c r="I5701">
        <v>-38.15231</v>
      </c>
      <c r="J5701">
        <v>-300.71210000000002</v>
      </c>
      <c r="K5701">
        <v>1.110552</v>
      </c>
      <c r="L5701">
        <v>-23.823060000000002</v>
      </c>
      <c r="M5701">
        <v>4.3900069999999999E-2</v>
      </c>
      <c r="N5701">
        <v>0</v>
      </c>
      <c r="O5701">
        <v>-0.99894329999999998</v>
      </c>
      <c r="P5701">
        <v>1.2583499999999999E-2</v>
      </c>
      <c r="Q5701">
        <v>-6.449298E-3</v>
      </c>
      <c r="R5701">
        <v>-0.99990040000000002</v>
      </c>
      <c r="S5701">
        <v>0.32324219999999998</v>
      </c>
      <c r="T5701">
        <v>-0.22538349999999999</v>
      </c>
      <c r="U5701">
        <v>-2.9939879999999999</v>
      </c>
      <c r="V5701">
        <v>3.1324070000000002E-2</v>
      </c>
      <c r="W5701">
        <v>7.1847459999999997E-3</v>
      </c>
      <c r="X5701">
        <v>0.99948349999999997</v>
      </c>
      <c r="Y5701">
        <v>-6.3286220000000004E-2</v>
      </c>
      <c r="Z5701">
        <v>7.4667209999999998E-2</v>
      </c>
      <c r="AA5701">
        <v>0.99519829999999998</v>
      </c>
      <c r="AB5701">
        <v>22</v>
      </c>
      <c r="AC5701">
        <v>1.5734000000000401</v>
      </c>
      <c r="AD5701">
        <v>-1.1105531029639999</v>
      </c>
      <c r="AE5701">
        <v>-14.329249999999901</v>
      </c>
      <c r="AF5701">
        <v>-0.937207149046548</v>
      </c>
      <c r="AG5701">
        <v>-1.1105531029639999</v>
      </c>
      <c r="AH5701">
        <v>14.299642188362601</v>
      </c>
      <c r="AI5701">
        <v>94.431378560212096</v>
      </c>
      <c r="AJ5701">
        <v>93.749836755111204</v>
      </c>
      <c r="AK5701">
        <v>14.373289538234699</v>
      </c>
      <c r="AL5701">
        <v>89.588340853030004</v>
      </c>
      <c r="AM5701">
        <v>88.204923092467098</v>
      </c>
      <c r="AN5701">
        <v>1.00000004235434</v>
      </c>
    </row>
    <row r="5702" spans="1:40" x14ac:dyDescent="0.25">
      <c r="A5702" t="str">
        <f>"20190312161132253"</f>
        <v>20190312161132253</v>
      </c>
      <c r="B5702" t="str">
        <f>"1552378292243157"</f>
        <v>1552378292243157</v>
      </c>
      <c r="C5702" t="s">
        <v>40</v>
      </c>
      <c r="D5702">
        <v>5.2158369999999996</v>
      </c>
      <c r="E5702">
        <v>0.46563959999999999</v>
      </c>
      <c r="F5702" t="s">
        <v>41</v>
      </c>
      <c r="G5702">
        <v>-299.19670000000002</v>
      </c>
      <c r="H5702" s="1">
        <v>-1.0322770000000001E-6</v>
      </c>
      <c r="I5702">
        <v>-38.293089999999999</v>
      </c>
      <c r="J5702">
        <v>-300.69850000000002</v>
      </c>
      <c r="K5702">
        <v>1.1105480000000001</v>
      </c>
      <c r="L5702">
        <v>-24.113679999999999</v>
      </c>
      <c r="M5702">
        <v>4.4501819999999997E-2</v>
      </c>
      <c r="N5702">
        <v>0</v>
      </c>
      <c r="O5702">
        <v>-0.99891660000000004</v>
      </c>
      <c r="P5702">
        <v>1.015311E-2</v>
      </c>
      <c r="Q5702">
        <v>-8.7850559999999994E-3</v>
      </c>
      <c r="R5702">
        <v>-0.99991039999999998</v>
      </c>
      <c r="S5702">
        <v>0.3136292</v>
      </c>
      <c r="T5702">
        <v>-0.2298521</v>
      </c>
      <c r="U5702">
        <v>-2.9948730000000001</v>
      </c>
      <c r="V5702">
        <v>3.4356009999999999E-2</v>
      </c>
      <c r="W5702">
        <v>4.845902E-3</v>
      </c>
      <c r="X5702">
        <v>0.99939789999999995</v>
      </c>
      <c r="Y5702">
        <v>-5.9482889999999997E-2</v>
      </c>
      <c r="Z5702">
        <v>7.6135499999999995E-2</v>
      </c>
      <c r="AA5702">
        <v>0.99532160000000003</v>
      </c>
      <c r="AB5702">
        <v>22</v>
      </c>
      <c r="AC5702">
        <v>1.5018</v>
      </c>
      <c r="AD5702">
        <v>-1.110549032277</v>
      </c>
      <c r="AE5702">
        <v>-14.179410000000001</v>
      </c>
      <c r="AF5702">
        <v>-0.86400271448061405</v>
      </c>
      <c r="AG5702">
        <v>-1.110549032277</v>
      </c>
      <c r="AH5702">
        <v>14.146384576472499</v>
      </c>
      <c r="AI5702">
        <v>94.480432127827299</v>
      </c>
      <c r="AJ5702">
        <v>93.495047956096499</v>
      </c>
      <c r="AK5702">
        <v>14.2161885338222</v>
      </c>
      <c r="AL5702">
        <v>89.722349178113106</v>
      </c>
      <c r="AM5702">
        <v>88.031135035428505</v>
      </c>
      <c r="AN5702">
        <v>0.99999999035686105</v>
      </c>
    </row>
    <row r="5703" spans="1:40" x14ac:dyDescent="0.25">
      <c r="A5703" t="str">
        <f>"20190312161132290"</f>
        <v>20190312161132290</v>
      </c>
      <c r="B5703" t="str">
        <f>"1552378292283173"</f>
        <v>1552378292283173</v>
      </c>
      <c r="C5703" t="s">
        <v>40</v>
      </c>
      <c r="D5703">
        <v>5.31555</v>
      </c>
      <c r="E5703">
        <v>0.43254500000000001</v>
      </c>
      <c r="F5703" t="s">
        <v>41</v>
      </c>
      <c r="G5703">
        <v>-299.29390000000001</v>
      </c>
      <c r="H5703" s="1">
        <v>-1.198224E-6</v>
      </c>
      <c r="I5703">
        <v>-37.86609</v>
      </c>
      <c r="J5703">
        <v>-300.6816</v>
      </c>
      <c r="K5703">
        <v>1.1105510000000001</v>
      </c>
      <c r="L5703">
        <v>-24.473510000000001</v>
      </c>
      <c r="M5703">
        <v>4.5246460000000002E-2</v>
      </c>
      <c r="N5703">
        <v>0</v>
      </c>
      <c r="O5703">
        <v>-0.99888290000000002</v>
      </c>
      <c r="P5703">
        <v>8.754731E-3</v>
      </c>
      <c r="Q5703">
        <v>-9.3508389999999997E-3</v>
      </c>
      <c r="R5703">
        <v>-0.99991770000000002</v>
      </c>
      <c r="S5703">
        <v>0.30590820000000002</v>
      </c>
      <c r="T5703">
        <v>-0.2418575</v>
      </c>
      <c r="U5703">
        <v>-2.9950260000000002</v>
      </c>
      <c r="V5703">
        <v>3.6498660000000002E-2</v>
      </c>
      <c r="W5703">
        <v>4.2760879999999999E-3</v>
      </c>
      <c r="X5703">
        <v>0.99932460000000001</v>
      </c>
      <c r="Y5703">
        <v>-5.6162900000000002E-2</v>
      </c>
      <c r="Z5703">
        <v>8.0097390000000004E-2</v>
      </c>
      <c r="AA5703">
        <v>0.99520359999999997</v>
      </c>
      <c r="AB5703">
        <v>22</v>
      </c>
      <c r="AC5703">
        <v>1.3876999999999899</v>
      </c>
      <c r="AD5703">
        <v>-1.1105521982240001</v>
      </c>
      <c r="AE5703">
        <v>-13.392580000000001</v>
      </c>
      <c r="AF5703">
        <v>-0.77498307521282905</v>
      </c>
      <c r="AG5703">
        <v>-1.1105521982240001</v>
      </c>
      <c r="AH5703">
        <v>13.350827854490101</v>
      </c>
      <c r="AI5703">
        <v>94.747091741773204</v>
      </c>
      <c r="AJ5703">
        <v>93.322152597246202</v>
      </c>
      <c r="AK5703">
        <v>13.4193341620244</v>
      </c>
      <c r="AL5703">
        <v>89.7549974695537</v>
      </c>
      <c r="AM5703">
        <v>87.908297207553701</v>
      </c>
      <c r="AN5703">
        <v>1.0000000466377601</v>
      </c>
    </row>
    <row r="5704" spans="1:40" x14ac:dyDescent="0.25">
      <c r="A5704" t="str">
        <f>"20190312161132335"</f>
        <v>20190312161132335</v>
      </c>
      <c r="B5704" t="str">
        <f>"1552378292322829"</f>
        <v>1552378292322829</v>
      </c>
      <c r="C5704" t="s">
        <v>40</v>
      </c>
      <c r="D5704">
        <v>5.3698730000000001</v>
      </c>
      <c r="E5704">
        <v>0.392509</v>
      </c>
      <c r="F5704" t="s">
        <v>78</v>
      </c>
      <c r="G5704">
        <v>-296.92079999999999</v>
      </c>
      <c r="H5704" s="1">
        <v>-3.3076260000000002E-6</v>
      </c>
      <c r="I5704">
        <v>-44.392090000000003</v>
      </c>
      <c r="J5704">
        <v>-300.66149999999999</v>
      </c>
      <c r="K5704">
        <v>1.11054599999999</v>
      </c>
      <c r="L5704">
        <v>-24.89209</v>
      </c>
      <c r="M5704">
        <v>4.6112479999999997E-2</v>
      </c>
      <c r="N5704">
        <v>0</v>
      </c>
      <c r="O5704">
        <v>-0.99884360000000005</v>
      </c>
      <c r="P5704">
        <v>1.2322079999999999E-2</v>
      </c>
      <c r="Q5704">
        <v>-7.1666789999999996E-3</v>
      </c>
      <c r="R5704">
        <v>-0.99989879999999998</v>
      </c>
      <c r="S5704">
        <v>0.56524659999999904</v>
      </c>
      <c r="T5704">
        <v>-0.16691529999999999</v>
      </c>
      <c r="U5704">
        <v>-2.993744</v>
      </c>
      <c r="V5704">
        <v>3.3799320000000001E-2</v>
      </c>
      <c r="W5704">
        <v>6.4552029999999996E-3</v>
      </c>
      <c r="X5704">
        <v>0.99940779999999996</v>
      </c>
      <c r="Y5704">
        <v>-0.1397388</v>
      </c>
      <c r="Z5704">
        <v>5.4823829999999997E-2</v>
      </c>
      <c r="AA5704">
        <v>0.98866949999999998</v>
      </c>
      <c r="AB5704">
        <v>22</v>
      </c>
      <c r="AC5704">
        <v>3.7406999999999999</v>
      </c>
      <c r="AD5704">
        <v>-1.11054930762599</v>
      </c>
      <c r="AE5704">
        <v>-19.5</v>
      </c>
      <c r="AF5704">
        <v>-2.82859475082117</v>
      </c>
      <c r="AG5704">
        <v>-1.11054930762599</v>
      </c>
      <c r="AH5704">
        <v>19.590476647616502</v>
      </c>
      <c r="AI5704">
        <v>93.211293331506695</v>
      </c>
      <c r="AJ5704">
        <v>98.215941043058805</v>
      </c>
      <c r="AK5704">
        <v>19.8247583417768</v>
      </c>
      <c r="AL5704">
        <v>89.630141546183495</v>
      </c>
      <c r="AM5704">
        <v>88.0630323468705</v>
      </c>
      <c r="AN5704">
        <v>1.0000000071895301</v>
      </c>
    </row>
    <row r="5705" spans="1:40" x14ac:dyDescent="0.25">
      <c r="A5705" t="str">
        <f>"20190312161132365"</f>
        <v>20190312161132365</v>
      </c>
      <c r="B5705" t="str">
        <f>"1552378292362845"</f>
        <v>1552378292362845</v>
      </c>
      <c r="C5705" t="s">
        <v>40</v>
      </c>
      <c r="D5705">
        <v>5.4131929999999997</v>
      </c>
      <c r="E5705">
        <v>0.3911676</v>
      </c>
      <c r="F5705" t="s">
        <v>78</v>
      </c>
      <c r="G5705">
        <v>-293.68639999999999</v>
      </c>
      <c r="H5705" s="1">
        <v>-5.8701940000000004E-6</v>
      </c>
      <c r="I5705">
        <v>-48.18112</v>
      </c>
      <c r="J5705">
        <v>-300.64729999999997</v>
      </c>
      <c r="K5705">
        <v>1.1105510000000001</v>
      </c>
      <c r="L5705">
        <v>-25.18329</v>
      </c>
      <c r="M5705">
        <v>4.6714159999999998E-2</v>
      </c>
      <c r="N5705">
        <v>0</v>
      </c>
      <c r="O5705">
        <v>-0.99881600000000004</v>
      </c>
      <c r="P5705">
        <v>1.4711449999999999E-2</v>
      </c>
      <c r="Q5705">
        <v>-6.8145559999999899E-3</v>
      </c>
      <c r="R5705">
        <v>-0.99986909999999896</v>
      </c>
      <c r="S5705">
        <v>0.89498899999999904</v>
      </c>
      <c r="T5705">
        <v>-0.1424966</v>
      </c>
      <c r="U5705">
        <v>-2.988251</v>
      </c>
      <c r="V5705">
        <v>3.2012970000000002E-2</v>
      </c>
      <c r="W5705">
        <v>6.8037619999999997E-3</v>
      </c>
      <c r="X5705">
        <v>0.99946429999999997</v>
      </c>
      <c r="Y5705">
        <v>-0.2415419</v>
      </c>
      <c r="Z5705">
        <v>4.5844910000000003E-2</v>
      </c>
      <c r="AA5705">
        <v>0.96930680000000002</v>
      </c>
      <c r="AB5705">
        <v>21</v>
      </c>
      <c r="AC5705">
        <v>6.9608999999999801</v>
      </c>
      <c r="AD5705">
        <v>-1.1105568701940001</v>
      </c>
      <c r="AE5705">
        <v>-22.99783</v>
      </c>
      <c r="AF5705">
        <v>-5.8663443921398502</v>
      </c>
      <c r="AG5705">
        <v>-1.1105568701940001</v>
      </c>
      <c r="AH5705">
        <v>23.248258543957402</v>
      </c>
      <c r="AI5705">
        <v>92.651909466996401</v>
      </c>
      <c r="AJ5705">
        <v>104.162078608108</v>
      </c>
      <c r="AK5705">
        <v>24.002684400204402</v>
      </c>
      <c r="AL5705">
        <v>89.6101701465725</v>
      </c>
      <c r="AM5705">
        <v>88.165436023402194</v>
      </c>
      <c r="AN5705">
        <v>1.0000000042000301</v>
      </c>
    </row>
    <row r="5706" spans="1:40" x14ac:dyDescent="0.25">
      <c r="A5706" t="str">
        <f>"20190312161132390"</f>
        <v>20190312161132390</v>
      </c>
      <c r="B5706" t="str">
        <f>"1552378292383342"</f>
        <v>1552378292383342</v>
      </c>
      <c r="C5706" t="s">
        <v>40</v>
      </c>
      <c r="D5706">
        <v>5.418317</v>
      </c>
      <c r="E5706">
        <v>0.39140269999999999</v>
      </c>
      <c r="F5706" t="s">
        <v>78</v>
      </c>
      <c r="G5706">
        <v>-293.6105</v>
      </c>
      <c r="H5706" s="1">
        <v>-5.8868049999999996E-6</v>
      </c>
      <c r="I5706">
        <v>-48.193710000000003</v>
      </c>
      <c r="J5706">
        <v>-300.63569999999999</v>
      </c>
      <c r="K5706">
        <v>1.1105640000000001</v>
      </c>
      <c r="L5706">
        <v>-25.418700000000001</v>
      </c>
      <c r="M5706">
        <v>4.7200810000000003E-2</v>
      </c>
      <c r="N5706">
        <v>0</v>
      </c>
      <c r="O5706">
        <v>-0.99879320000000005</v>
      </c>
      <c r="P5706">
        <v>1.7132680000000001E-2</v>
      </c>
      <c r="Q5706">
        <v>-6.0289779999999999E-3</v>
      </c>
      <c r="R5706">
        <v>-0.99983560000000005</v>
      </c>
      <c r="S5706">
        <v>0.91314700000000004</v>
      </c>
      <c r="T5706">
        <v>-0.14411370000000001</v>
      </c>
      <c r="U5706">
        <v>-2.985992</v>
      </c>
      <c r="V5706">
        <v>3.0079379999999999E-2</v>
      </c>
      <c r="W5706">
        <v>7.5862319999999896E-3</v>
      </c>
      <c r="X5706">
        <v>0.99951880000000004</v>
      </c>
      <c r="Y5706">
        <v>-0.2466602</v>
      </c>
      <c r="Z5706">
        <v>4.6325699999999997E-2</v>
      </c>
      <c r="AA5706">
        <v>0.96799420000000003</v>
      </c>
      <c r="AB5706">
        <v>21</v>
      </c>
      <c r="AC5706">
        <v>7.0251999999999803</v>
      </c>
      <c r="AD5706">
        <v>-1.11056988680499</v>
      </c>
      <c r="AE5706">
        <v>-22.775009999999899</v>
      </c>
      <c r="AF5706">
        <v>-5.92939649474999</v>
      </c>
      <c r="AG5706">
        <v>-1.11056988680499</v>
      </c>
      <c r="AH5706">
        <v>23.031240789247299</v>
      </c>
      <c r="AI5706">
        <v>92.673622309773705</v>
      </c>
      <c r="AJ5706">
        <v>104.437286731922</v>
      </c>
      <c r="AK5706">
        <v>23.808174238225899</v>
      </c>
      <c r="AL5706">
        <v>89.565336787655298</v>
      </c>
      <c r="AM5706">
        <v>88.276269000516194</v>
      </c>
      <c r="AN5706">
        <v>1.0000000757852801</v>
      </c>
    </row>
    <row r="5707" spans="1:40" x14ac:dyDescent="0.25">
      <c r="A5707" t="str">
        <f>"20190312161132415"</f>
        <v>20190312161132415</v>
      </c>
      <c r="B5707" t="str">
        <f>"1552378292402861"</f>
        <v>1552378292402861</v>
      </c>
      <c r="C5707" t="s">
        <v>40</v>
      </c>
      <c r="D5707">
        <v>5.4125829999999997</v>
      </c>
      <c r="E5707">
        <v>0.39140580000000003</v>
      </c>
      <c r="F5707" t="s">
        <v>78</v>
      </c>
      <c r="G5707">
        <v>-293.5883</v>
      </c>
      <c r="H5707" s="1">
        <v>-5.9377279999999998E-6</v>
      </c>
      <c r="I5707">
        <v>-48.319070000000004</v>
      </c>
      <c r="J5707">
        <v>-300.62400000000002</v>
      </c>
      <c r="K5707">
        <v>1.1105659999999999</v>
      </c>
      <c r="L5707">
        <v>-25.65485</v>
      </c>
      <c r="M5707">
        <v>4.7689080000000002E-2</v>
      </c>
      <c r="N5707">
        <v>0</v>
      </c>
      <c r="O5707">
        <v>-0.99876980000000004</v>
      </c>
      <c r="P5707">
        <v>1.8365159999999998E-2</v>
      </c>
      <c r="Q5707">
        <v>-5.6465109999999999E-3</v>
      </c>
      <c r="R5707">
        <v>-0.99981569999999997</v>
      </c>
      <c r="S5707">
        <v>0.91827389999999998</v>
      </c>
      <c r="T5707">
        <v>-0.1447058</v>
      </c>
      <c r="U5707">
        <v>-2.9838870000000002</v>
      </c>
      <c r="V5707">
        <v>2.9335799999999999E-2</v>
      </c>
      <c r="W5707">
        <v>7.9657830000000006E-3</v>
      </c>
      <c r="X5707">
        <v>0.99953789999999998</v>
      </c>
      <c r="Y5707">
        <v>-0.24789459999999999</v>
      </c>
      <c r="Z5707">
        <v>4.6526390000000001E-2</v>
      </c>
      <c r="AA5707">
        <v>0.96766909999999895</v>
      </c>
      <c r="AB5707">
        <v>21</v>
      </c>
      <c r="AC5707">
        <v>7.0357000000000101</v>
      </c>
      <c r="AD5707">
        <v>-1.1105719377279999</v>
      </c>
      <c r="AE5707">
        <v>-22.66422</v>
      </c>
      <c r="AF5707">
        <v>-5.9337626262072698</v>
      </c>
      <c r="AG5707">
        <v>-1.1105719377279999</v>
      </c>
      <c r="AH5707">
        <v>22.923781180059901</v>
      </c>
      <c r="AI5707">
        <v>92.6852351562423</v>
      </c>
      <c r="AJ5707">
        <v>104.51234475079001</v>
      </c>
      <c r="AK5707">
        <v>23.705329622772801</v>
      </c>
      <c r="AL5707">
        <v>89.543589439543297</v>
      </c>
      <c r="AM5707">
        <v>88.318887990600601</v>
      </c>
      <c r="AN5707">
        <v>1.00000002819842</v>
      </c>
    </row>
    <row r="5708" spans="1:40" x14ac:dyDescent="0.25">
      <c r="A5708" t="str">
        <f>"20190312161132448"</f>
        <v>20190312161132448</v>
      </c>
      <c r="B5708" t="str">
        <f>"1552378292442877"</f>
        <v>1552378292442877</v>
      </c>
      <c r="C5708" t="s">
        <v>40</v>
      </c>
      <c r="D5708">
        <v>5.4842620000000002</v>
      </c>
      <c r="E5708">
        <v>0.39176630000000001</v>
      </c>
      <c r="F5708" t="s">
        <v>78</v>
      </c>
      <c r="G5708">
        <v>-293.67189999999999</v>
      </c>
      <c r="H5708" s="1">
        <v>-5.864679E-6</v>
      </c>
      <c r="I5708">
        <v>-48.160580000000003</v>
      </c>
      <c r="J5708">
        <v>-300.608</v>
      </c>
      <c r="K5708">
        <v>1.1105529999999999</v>
      </c>
      <c r="L5708">
        <v>-25.972200000000001</v>
      </c>
      <c r="M5708">
        <v>4.8345989999999998E-2</v>
      </c>
      <c r="N5708">
        <v>0</v>
      </c>
      <c r="O5708">
        <v>-0.99873829999999997</v>
      </c>
      <c r="P5708">
        <v>1.899758E-2</v>
      </c>
      <c r="Q5708">
        <v>-7.4939209999999997E-3</v>
      </c>
      <c r="R5708">
        <v>-0.99979189999999996</v>
      </c>
      <c r="S5708">
        <v>0.9213867</v>
      </c>
      <c r="T5708">
        <v>-0.14718909999999999</v>
      </c>
      <c r="U5708">
        <v>-2.9827880000000002</v>
      </c>
      <c r="V5708">
        <v>2.9361470000000001E-2</v>
      </c>
      <c r="W5708">
        <v>6.1152239999999998E-3</v>
      </c>
      <c r="X5708">
        <v>0.99955020000000006</v>
      </c>
      <c r="Y5708">
        <v>-0.24826870000000001</v>
      </c>
      <c r="Z5708">
        <v>4.7327979999999999E-2</v>
      </c>
      <c r="AA5708">
        <v>0.96753440000000002</v>
      </c>
      <c r="AB5708">
        <v>21</v>
      </c>
      <c r="AC5708">
        <v>6.9360999999999997</v>
      </c>
      <c r="AD5708">
        <v>-1.1105588646789999</v>
      </c>
      <c r="AE5708">
        <v>-22.188379999999899</v>
      </c>
      <c r="AF5708">
        <v>-5.8418377667400003</v>
      </c>
      <c r="AG5708">
        <v>-1.1105588646789999</v>
      </c>
      <c r="AH5708">
        <v>22.4465667325277</v>
      </c>
      <c r="AI5708">
        <v>92.741267665269405</v>
      </c>
      <c r="AJ5708">
        <v>104.587916284464</v>
      </c>
      <c r="AK5708">
        <v>23.220869224958999</v>
      </c>
      <c r="AL5708">
        <v>89.649621306712007</v>
      </c>
      <c r="AM5708">
        <v>88.317438488662802</v>
      </c>
      <c r="AN5708">
        <v>1.0000000471025801</v>
      </c>
    </row>
    <row r="5709" spans="1:40" x14ac:dyDescent="0.25">
      <c r="A5709" t="str">
        <f>"20190312161132480"</f>
        <v>20190312161132480</v>
      </c>
      <c r="B5709" t="str">
        <f>"1552378292473133"</f>
        <v>1552378292473133</v>
      </c>
      <c r="C5709" t="s">
        <v>40</v>
      </c>
      <c r="D5709">
        <v>5.4970270000000001</v>
      </c>
      <c r="E5709">
        <v>0.39175840000000001</v>
      </c>
      <c r="F5709" t="s">
        <v>78</v>
      </c>
      <c r="G5709">
        <v>-294.10160000000002</v>
      </c>
      <c r="H5709" s="1">
        <v>-5.3268189999999999E-6</v>
      </c>
      <c r="I5709">
        <v>-47.055320000000002</v>
      </c>
      <c r="J5709">
        <v>-300.59230000000002</v>
      </c>
      <c r="K5709">
        <v>1.110552</v>
      </c>
      <c r="L5709">
        <v>-26.27908</v>
      </c>
      <c r="M5709">
        <v>4.8982390000000001E-2</v>
      </c>
      <c r="N5709">
        <v>0</v>
      </c>
      <c r="O5709">
        <v>-0.99870729999999996</v>
      </c>
      <c r="P5709">
        <v>1.929784E-2</v>
      </c>
      <c r="Q5709">
        <v>-8.0696669999999904E-3</v>
      </c>
      <c r="R5709">
        <v>-0.99978149999999999</v>
      </c>
      <c r="S5709">
        <v>0.92025760000000001</v>
      </c>
      <c r="T5709">
        <v>-0.15707560000000001</v>
      </c>
      <c r="U5709">
        <v>-2.9819640000000001</v>
      </c>
      <c r="V5709">
        <v>2.9698329999999998E-2</v>
      </c>
      <c r="W5709">
        <v>5.5363529999999999E-3</v>
      </c>
      <c r="X5709">
        <v>0.99954350000000003</v>
      </c>
      <c r="Y5709">
        <v>-0.24734629999999999</v>
      </c>
      <c r="Z5709">
        <v>5.0518559999999997E-2</v>
      </c>
      <c r="AA5709">
        <v>0.96760930000000001</v>
      </c>
      <c r="AB5709">
        <v>21</v>
      </c>
      <c r="AC5709">
        <v>6.4907000000000004</v>
      </c>
      <c r="AD5709">
        <v>-1.1105573268190001</v>
      </c>
      <c r="AE5709">
        <v>-20.776239999999898</v>
      </c>
      <c r="AF5709">
        <v>-5.4509538318094304</v>
      </c>
      <c r="AG5709">
        <v>-1.1105573268190001</v>
      </c>
      <c r="AH5709">
        <v>21.0145511651154</v>
      </c>
      <c r="AI5709">
        <v>92.928365847837597</v>
      </c>
      <c r="AJ5709">
        <v>104.541446893037</v>
      </c>
      <c r="AK5709">
        <v>21.738389911028801</v>
      </c>
      <c r="AL5709">
        <v>89.682788694979294</v>
      </c>
      <c r="AM5709">
        <v>88.298134584791498</v>
      </c>
      <c r="AN5709">
        <v>0.99999992520078695</v>
      </c>
    </row>
    <row r="5710" spans="1:40" x14ac:dyDescent="0.25">
      <c r="A5710" t="str">
        <f>"20190312161132513"</f>
        <v>20190312161132513</v>
      </c>
      <c r="B5710" t="str">
        <f>"1552378292503041"</f>
        <v>1552378292503041</v>
      </c>
      <c r="C5710" t="s">
        <v>40</v>
      </c>
      <c r="D5710">
        <v>5.5353059999999896</v>
      </c>
      <c r="E5710">
        <v>0.39181890000000003</v>
      </c>
      <c r="F5710" t="s">
        <v>78</v>
      </c>
      <c r="G5710">
        <v>-294.20429999999999</v>
      </c>
      <c r="H5710" s="1">
        <v>-5.2512510000000001E-6</v>
      </c>
      <c r="I5710">
        <v>-46.951749999999997</v>
      </c>
      <c r="J5710">
        <v>-300.57619999999997</v>
      </c>
      <c r="K5710">
        <v>1.110552</v>
      </c>
      <c r="L5710">
        <v>-26.591249999999999</v>
      </c>
      <c r="M5710">
        <v>4.9630090000000002E-2</v>
      </c>
      <c r="N5710">
        <v>0</v>
      </c>
      <c r="O5710">
        <v>-0.99867510000000004</v>
      </c>
      <c r="P5710">
        <v>2.1126530000000001E-2</v>
      </c>
      <c r="Q5710">
        <v>-6.6515690000000004E-3</v>
      </c>
      <c r="R5710">
        <v>-0.9997547</v>
      </c>
      <c r="S5710">
        <v>0.92132570000000003</v>
      </c>
      <c r="T5710">
        <v>-0.1601746</v>
      </c>
      <c r="U5710">
        <v>-2.981598</v>
      </c>
      <c r="V5710">
        <v>2.851803E-2</v>
      </c>
      <c r="W5710">
        <v>6.9506239999999999E-3</v>
      </c>
      <c r="X5710">
        <v>0.99956909999999999</v>
      </c>
      <c r="Y5710">
        <v>-0.24705279999999999</v>
      </c>
      <c r="Z5710">
        <v>5.151538E-2</v>
      </c>
      <c r="AA5710">
        <v>0.96763169999999998</v>
      </c>
      <c r="AB5710">
        <v>21</v>
      </c>
      <c r="AC5710">
        <v>6.3718999999999797</v>
      </c>
      <c r="AD5710">
        <v>-1.110557251251</v>
      </c>
      <c r="AE5710">
        <v>-20.360499999999998</v>
      </c>
      <c r="AF5710">
        <v>-5.3389921315459397</v>
      </c>
      <c r="AG5710">
        <v>-1.110557251251</v>
      </c>
      <c r="AH5710">
        <v>20.5958624000688</v>
      </c>
      <c r="AI5710">
        <v>92.987907117751107</v>
      </c>
      <c r="AJ5710">
        <v>104.532693204819</v>
      </c>
      <c r="AK5710">
        <v>21.305579607032101</v>
      </c>
      <c r="AL5710">
        <v>89.601755368161605</v>
      </c>
      <c r="AM5710">
        <v>88.365776174858098</v>
      </c>
      <c r="AN5710">
        <v>0.99999998744193996</v>
      </c>
    </row>
    <row r="5711" spans="1:40" x14ac:dyDescent="0.25">
      <c r="A5711" t="str">
        <f>"20190312161132547"</f>
        <v>20190312161132547</v>
      </c>
      <c r="B5711" t="str">
        <f>"1552378292543056"</f>
        <v>1552378292543056</v>
      </c>
      <c r="C5711" t="s">
        <v>40</v>
      </c>
      <c r="D5711">
        <v>5.5480419999999997</v>
      </c>
      <c r="E5711">
        <v>0.39175890000000002</v>
      </c>
      <c r="F5711" t="s">
        <v>78</v>
      </c>
      <c r="G5711">
        <v>-294.08010000000002</v>
      </c>
      <c r="H5711" s="1">
        <v>-5.5483239999999997E-6</v>
      </c>
      <c r="I5711">
        <v>-47.493139999999997</v>
      </c>
      <c r="J5711">
        <v>-300.55950000000001</v>
      </c>
      <c r="K5711">
        <v>1.1105339999999999</v>
      </c>
      <c r="L5711">
        <v>-26.909579999999998</v>
      </c>
      <c r="M5711">
        <v>5.029057E-2</v>
      </c>
      <c r="N5711">
        <v>0</v>
      </c>
      <c r="O5711">
        <v>-0.99864219999999904</v>
      </c>
      <c r="P5711">
        <v>2.3658140000000001E-2</v>
      </c>
      <c r="Q5711">
        <v>-6.5542450000000002E-3</v>
      </c>
      <c r="R5711">
        <v>-0.99969889999999995</v>
      </c>
      <c r="S5711">
        <v>0.92617799999999995</v>
      </c>
      <c r="T5711">
        <v>-0.15833849999999999</v>
      </c>
      <c r="U5711">
        <v>-2.9801030000000002</v>
      </c>
      <c r="V5711">
        <v>2.6647850000000001E-2</v>
      </c>
      <c r="W5711">
        <v>7.0445580000000002E-3</v>
      </c>
      <c r="X5711">
        <v>0.99962010000000001</v>
      </c>
      <c r="Y5711">
        <v>-0.2479952</v>
      </c>
      <c r="Z5711">
        <v>5.0930059999999999E-2</v>
      </c>
      <c r="AA5711">
        <v>0.96742159999999999</v>
      </c>
      <c r="AB5711">
        <v>21</v>
      </c>
      <c r="AC5711">
        <v>6.4793999999999903</v>
      </c>
      <c r="AD5711">
        <v>-1.1105395483239999</v>
      </c>
      <c r="AE5711">
        <v>-20.583559999999999</v>
      </c>
      <c r="AF5711">
        <v>-5.4215862358728302</v>
      </c>
      <c r="AG5711">
        <v>-1.1105395483239999</v>
      </c>
      <c r="AH5711">
        <v>20.828229345972002</v>
      </c>
      <c r="AI5711">
        <v>92.953815039694305</v>
      </c>
      <c r="AJ5711">
        <v>104.59031057220599</v>
      </c>
      <c r="AK5711">
        <v>21.550917221543202</v>
      </c>
      <c r="AL5711">
        <v>89.596373235382401</v>
      </c>
      <c r="AM5711">
        <v>88.472972064397794</v>
      </c>
      <c r="AN5711">
        <v>1.0000000390155199</v>
      </c>
    </row>
    <row r="5712" spans="1:40" x14ac:dyDescent="0.25">
      <c r="A5712" t="str">
        <f>"20190312161132581"</f>
        <v>20190312161132581</v>
      </c>
      <c r="B5712" t="str">
        <f>"1552378292573312"</f>
        <v>1552378292573312</v>
      </c>
      <c r="C5712" t="s">
        <v>40</v>
      </c>
      <c r="D5712">
        <v>5.5259229999999997</v>
      </c>
      <c r="E5712">
        <v>0.39163619999999999</v>
      </c>
      <c r="F5712" t="s">
        <v>78</v>
      </c>
      <c r="G5712">
        <v>-294.01499999999999</v>
      </c>
      <c r="H5712" s="1">
        <v>-5.6625490000000003E-6</v>
      </c>
      <c r="I5712">
        <v>-47.768070000000002</v>
      </c>
      <c r="J5712">
        <v>-300.54250000000002</v>
      </c>
      <c r="K5712">
        <v>1.110538</v>
      </c>
      <c r="L5712">
        <v>-27.229520000000001</v>
      </c>
      <c r="M5712">
        <v>5.095425E-2</v>
      </c>
      <c r="N5712">
        <v>0</v>
      </c>
      <c r="O5712">
        <v>-0.99860879999999996</v>
      </c>
      <c r="P5712">
        <v>2.5446239999999998E-2</v>
      </c>
      <c r="Q5712">
        <v>-6.9554999999999999E-3</v>
      </c>
      <c r="R5712">
        <v>-0.9996526</v>
      </c>
      <c r="S5712">
        <v>0.93429569999999995</v>
      </c>
      <c r="T5712">
        <v>-0.1585404</v>
      </c>
      <c r="U5712">
        <v>-2.9777529999999999</v>
      </c>
      <c r="V5712">
        <v>2.552428E-2</v>
      </c>
      <c r="W5712">
        <v>6.6397339999999996E-3</v>
      </c>
      <c r="X5712">
        <v>0.99965210000000004</v>
      </c>
      <c r="Y5712">
        <v>-0.2499691</v>
      </c>
      <c r="Z5712">
        <v>5.0997140000000003E-2</v>
      </c>
      <c r="AA5712">
        <v>0.96690989999999999</v>
      </c>
      <c r="AB5712">
        <v>21</v>
      </c>
      <c r="AC5712">
        <v>6.5275000000000301</v>
      </c>
      <c r="AD5712">
        <v>-1.1105436625489999</v>
      </c>
      <c r="AE5712">
        <v>-20.538550000000001</v>
      </c>
      <c r="AF5712">
        <v>-5.4579030697748596</v>
      </c>
      <c r="AG5712">
        <v>-1.1105436625489999</v>
      </c>
      <c r="AH5712">
        <v>20.789294416589801</v>
      </c>
      <c r="AI5712">
        <v>92.957733473617495</v>
      </c>
      <c r="AJ5712">
        <v>104.71014298955799</v>
      </c>
      <c r="AK5712">
        <v>21.5224714074647</v>
      </c>
      <c r="AL5712">
        <v>89.619568449599001</v>
      </c>
      <c r="AM5712">
        <v>88.537375316983798</v>
      </c>
      <c r="AN5712">
        <v>0.99999994798575798</v>
      </c>
    </row>
    <row r="5713" spans="1:40" x14ac:dyDescent="0.25">
      <c r="A5713" t="str">
        <f>"20190312161132615"</f>
        <v>20190312161132615</v>
      </c>
      <c r="B5713" t="str">
        <f>"1552378292602591"</f>
        <v>1552378292602591</v>
      </c>
      <c r="C5713" t="s">
        <v>40</v>
      </c>
      <c r="D5713">
        <v>5.574166</v>
      </c>
      <c r="E5713">
        <v>0.39158769999999998</v>
      </c>
      <c r="F5713" t="s">
        <v>78</v>
      </c>
      <c r="G5713">
        <v>-293.88979999999998</v>
      </c>
      <c r="H5713" s="1">
        <v>-5.8707060000000001E-6</v>
      </c>
      <c r="I5713">
        <v>-48.266419999999997</v>
      </c>
      <c r="J5713">
        <v>-300.5256</v>
      </c>
      <c r="K5713">
        <v>1.1105339999999999</v>
      </c>
      <c r="L5713">
        <v>-27.54477</v>
      </c>
      <c r="M5713">
        <v>5.1609479999999999E-2</v>
      </c>
      <c r="N5713">
        <v>0</v>
      </c>
      <c r="O5713">
        <v>-0.9985752</v>
      </c>
      <c r="P5713">
        <v>2.8729109999999999E-2</v>
      </c>
      <c r="Q5713">
        <v>-6.6780880000000004E-3</v>
      </c>
      <c r="R5713">
        <v>-0.99956520000000004</v>
      </c>
      <c r="S5713">
        <v>0.94113159999999896</v>
      </c>
      <c r="T5713">
        <v>-0.15710289999999999</v>
      </c>
      <c r="U5713">
        <v>-2.9759829999999998</v>
      </c>
      <c r="V5713">
        <v>2.289706E-2</v>
      </c>
      <c r="W5713">
        <v>6.9129559999999996E-3</v>
      </c>
      <c r="X5713">
        <v>0.99971390000000004</v>
      </c>
      <c r="Y5713">
        <v>-0.25152529999999901</v>
      </c>
      <c r="Z5713">
        <v>5.053465E-2</v>
      </c>
      <c r="AA5713">
        <v>0.96653060000000002</v>
      </c>
      <c r="AB5713">
        <v>21</v>
      </c>
      <c r="AC5713">
        <v>6.6358000000000104</v>
      </c>
      <c r="AD5713">
        <v>-1.1105398707059999</v>
      </c>
      <c r="AE5713">
        <v>-20.72165</v>
      </c>
      <c r="AF5713">
        <v>-5.54298320774818</v>
      </c>
      <c r="AG5713">
        <v>-1.1105398707059999</v>
      </c>
      <c r="AH5713">
        <v>20.981872296578199</v>
      </c>
      <c r="AI5713">
        <v>92.929438881780399</v>
      </c>
      <c r="AJ5713">
        <v>104.798298517492</v>
      </c>
      <c r="AK5713">
        <v>21.730092653178499</v>
      </c>
      <c r="AL5713">
        <v>89.603913631777601</v>
      </c>
      <c r="AM5713">
        <v>88.687949046502098</v>
      </c>
      <c r="AN5713">
        <v>0.99999997308525501</v>
      </c>
    </row>
    <row r="5714" spans="1:40" x14ac:dyDescent="0.25">
      <c r="A5714" t="str">
        <f>"20190312161132651"</f>
        <v>20190312161132651</v>
      </c>
      <c r="B5714" t="str">
        <f>"1552378292642608"</f>
        <v>1552378292642608</v>
      </c>
      <c r="C5714" t="s">
        <v>40</v>
      </c>
      <c r="D5714">
        <v>5.5522910000000003</v>
      </c>
      <c r="E5714">
        <v>0.3913741</v>
      </c>
      <c r="F5714" t="s">
        <v>78</v>
      </c>
      <c r="G5714">
        <v>-293.86689999999999</v>
      </c>
      <c r="H5714" s="1">
        <v>-5.9108259999999997E-6</v>
      </c>
      <c r="I5714">
        <v>-48.36298</v>
      </c>
      <c r="J5714">
        <v>-300.50700000000001</v>
      </c>
      <c r="K5714">
        <v>1.11052</v>
      </c>
      <c r="L5714">
        <v>-27.886959999999998</v>
      </c>
      <c r="M5714">
        <v>5.2323210000000002E-2</v>
      </c>
      <c r="N5714">
        <v>0</v>
      </c>
      <c r="O5714">
        <v>-0.99853800000000004</v>
      </c>
      <c r="P5714">
        <v>3.0587219999999998E-2</v>
      </c>
      <c r="Q5714">
        <v>-8.6936830000000007E-3</v>
      </c>
      <c r="R5714">
        <v>-0.99949460000000001</v>
      </c>
      <c r="S5714">
        <v>0.9508972</v>
      </c>
      <c r="T5714">
        <v>-0.15859000000000001</v>
      </c>
      <c r="U5714">
        <v>-2.972931</v>
      </c>
      <c r="V5714">
        <v>2.1753499999999999E-2</v>
      </c>
      <c r="W5714">
        <v>4.8931089999999997E-3</v>
      </c>
      <c r="X5714">
        <v>0.99975139999999996</v>
      </c>
      <c r="Y5714">
        <v>-0.25399349999999998</v>
      </c>
      <c r="Z5714">
        <v>5.1017109999999997E-2</v>
      </c>
      <c r="AA5714">
        <v>0.96585949999999998</v>
      </c>
      <c r="AB5714">
        <v>21</v>
      </c>
      <c r="AC5714">
        <v>6.6401000000000101</v>
      </c>
      <c r="AD5714">
        <v>-1.1105259108259999</v>
      </c>
      <c r="AE5714">
        <v>-20.476019999999998</v>
      </c>
      <c r="AF5714">
        <v>-5.5447750879311899</v>
      </c>
      <c r="AG5714">
        <v>-1.1105259108259999</v>
      </c>
      <c r="AH5714">
        <v>20.740228282021501</v>
      </c>
      <c r="AI5714">
        <v>92.961149342889698</v>
      </c>
      <c r="AJ5714">
        <v>104.967641624444</v>
      </c>
      <c r="AK5714">
        <v>21.497322339415302</v>
      </c>
      <c r="AL5714">
        <v>89.719644389533002</v>
      </c>
      <c r="AM5714">
        <v>88.753503025538706</v>
      </c>
      <c r="AN5714">
        <v>1.0000000095399399</v>
      </c>
    </row>
    <row r="5715" spans="1:40" x14ac:dyDescent="0.25">
      <c r="A5715" t="str">
        <f>"20190312161132681"</f>
        <v>20190312161132681</v>
      </c>
      <c r="B5715" t="str">
        <f>"1552378292672864"</f>
        <v>1552378292672864</v>
      </c>
      <c r="C5715" t="s">
        <v>40</v>
      </c>
      <c r="D5715">
        <v>5.6316119999999996</v>
      </c>
      <c r="E5715">
        <v>0.391318</v>
      </c>
      <c r="F5715" t="s">
        <v>78</v>
      </c>
      <c r="G5715">
        <v>-293.97730000000001</v>
      </c>
      <c r="H5715" s="1">
        <v>-5.8038890000000004E-6</v>
      </c>
      <c r="I5715">
        <v>-48.125979999999998</v>
      </c>
      <c r="J5715">
        <v>-300.49149999999997</v>
      </c>
      <c r="K5715">
        <v>1.1105179999999999</v>
      </c>
      <c r="L5715">
        <v>-28.168209999999998</v>
      </c>
      <c r="M5715">
        <v>5.2911710000000001E-2</v>
      </c>
      <c r="N5715">
        <v>0</v>
      </c>
      <c r="O5715">
        <v>-0.99850700000000003</v>
      </c>
      <c r="P5715">
        <v>3.1246300000000001E-2</v>
      </c>
      <c r="Q5715">
        <v>-1.0887340000000001E-2</v>
      </c>
      <c r="R5715">
        <v>-0.99945249999999997</v>
      </c>
      <c r="S5715">
        <v>0.95846560000000003</v>
      </c>
      <c r="T5715">
        <v>-0.1630075</v>
      </c>
      <c r="U5715">
        <v>-2.970764</v>
      </c>
      <c r="V5715">
        <v>2.1683569999999999E-2</v>
      </c>
      <c r="W5715">
        <v>2.6968130000000002E-3</v>
      </c>
      <c r="X5715">
        <v>0.99976120000000002</v>
      </c>
      <c r="Y5715">
        <v>-0.25583529999999999</v>
      </c>
      <c r="Z5715">
        <v>5.2435210000000003E-2</v>
      </c>
      <c r="AA5715">
        <v>0.96529730000000002</v>
      </c>
      <c r="AB5715">
        <v>21</v>
      </c>
      <c r="AC5715">
        <v>6.5141999999999598</v>
      </c>
      <c r="AD5715">
        <v>-1.110523803889</v>
      </c>
      <c r="AE5715">
        <v>-19.95777</v>
      </c>
      <c r="AF5715">
        <v>-5.4337718878881498</v>
      </c>
      <c r="AG5715">
        <v>-1.110523803889</v>
      </c>
      <c r="AH5715">
        <v>20.217944895645498</v>
      </c>
      <c r="AI5715">
        <v>93.036423187095906</v>
      </c>
      <c r="AJ5715">
        <v>105.043327225211</v>
      </c>
      <c r="AK5715">
        <v>20.964838083132602</v>
      </c>
      <c r="AL5715">
        <v>89.845483802486896</v>
      </c>
      <c r="AM5715">
        <v>88.757521000759695</v>
      </c>
      <c r="AN5715">
        <v>0.99999995351686899</v>
      </c>
    </row>
    <row r="5716" spans="1:40" x14ac:dyDescent="0.25">
      <c r="A5716" t="str">
        <f>"20190312161132715"</f>
        <v>20190312161132715</v>
      </c>
      <c r="B5716" t="str">
        <f>"1552378292702651"</f>
        <v>1552378292702651</v>
      </c>
      <c r="C5716" t="s">
        <v>40</v>
      </c>
      <c r="D5716">
        <v>5.6994910000000001</v>
      </c>
      <c r="E5716">
        <v>0.40715129999999999</v>
      </c>
      <c r="F5716" t="s">
        <v>78</v>
      </c>
      <c r="G5716">
        <v>-294.14729999999997</v>
      </c>
      <c r="H5716" s="1">
        <v>-5.6415769999999999E-6</v>
      </c>
      <c r="I5716">
        <v>-47.76728</v>
      </c>
      <c r="J5716">
        <v>-300.4744</v>
      </c>
      <c r="K5716">
        <v>1.1105050000000001</v>
      </c>
      <c r="L5716">
        <v>-28.47681</v>
      </c>
      <c r="M5716">
        <v>5.3559500000000003E-2</v>
      </c>
      <c r="N5716">
        <v>0</v>
      </c>
      <c r="O5716">
        <v>-0.99847249999999999</v>
      </c>
      <c r="P5716">
        <v>3.1944E-2</v>
      </c>
      <c r="Q5716">
        <v>-1.3285770000000001E-2</v>
      </c>
      <c r="R5716">
        <v>-0.9994016</v>
      </c>
      <c r="S5716">
        <v>0.96130369999999998</v>
      </c>
      <c r="T5716">
        <v>-0.16827259999999999</v>
      </c>
      <c r="U5716">
        <v>-2.969757</v>
      </c>
      <c r="V5716">
        <v>2.163406E-2</v>
      </c>
      <c r="W5716">
        <v>2.9498730000000002E-4</v>
      </c>
      <c r="X5716">
        <v>0.99976589999999999</v>
      </c>
      <c r="Y5716">
        <v>-0.25611129999999999</v>
      </c>
      <c r="Z5716">
        <v>5.4128629999999997E-2</v>
      </c>
      <c r="AA5716">
        <v>0.96513059999999995</v>
      </c>
      <c r="AB5716">
        <v>21</v>
      </c>
      <c r="AC5716">
        <v>6.3271000000000299</v>
      </c>
      <c r="AD5716">
        <v>-1.1105106415770001</v>
      </c>
      <c r="AE5716">
        <v>-19.290469999999999</v>
      </c>
      <c r="AF5716">
        <v>-5.2689681481300097</v>
      </c>
      <c r="AG5716">
        <v>-1.1105106415770001</v>
      </c>
      <c r="AH5716">
        <v>19.543207521562699</v>
      </c>
      <c r="AI5716">
        <v>93.140347612146698</v>
      </c>
      <c r="AJ5716">
        <v>105.088538216465</v>
      </c>
      <c r="AK5716">
        <v>20.271463180094599</v>
      </c>
      <c r="AL5716">
        <v>89.983098472238296</v>
      </c>
      <c r="AM5716">
        <v>88.760362887195697</v>
      </c>
      <c r="AN5716">
        <v>0.99999998718619998</v>
      </c>
    </row>
    <row r="5717" spans="1:40" x14ac:dyDescent="0.25">
      <c r="A5717" t="str">
        <f>"20190312161132749"</f>
        <v>20190312161132749</v>
      </c>
      <c r="B5717" t="str">
        <f>"1552378292742670"</f>
        <v>1552378292742670</v>
      </c>
      <c r="C5717" t="s">
        <v>40</v>
      </c>
      <c r="D5717">
        <v>5.6379999999999999</v>
      </c>
      <c r="E5717">
        <v>0.47020820000000002</v>
      </c>
      <c r="F5717" t="s">
        <v>78</v>
      </c>
      <c r="G5717">
        <v>-296.74400000000003</v>
      </c>
      <c r="H5717" s="1">
        <v>-1.6985750000000001E-6</v>
      </c>
      <c r="I5717">
        <v>-41.71313</v>
      </c>
      <c r="J5717">
        <v>-300.45650000000001</v>
      </c>
      <c r="K5717">
        <v>1.110492</v>
      </c>
      <c r="L5717">
        <v>-28.794309999999999</v>
      </c>
      <c r="M5717">
        <v>5.4229899999999998E-2</v>
      </c>
      <c r="N5717">
        <v>0</v>
      </c>
      <c r="O5717">
        <v>-0.99843660000000001</v>
      </c>
      <c r="P5717">
        <v>3.046774E-2</v>
      </c>
      <c r="Q5717">
        <v>-1.5090839999999999E-2</v>
      </c>
      <c r="R5717">
        <v>-0.99942240000000004</v>
      </c>
      <c r="S5717">
        <v>0.83752439999999995</v>
      </c>
      <c r="T5717">
        <v>-0.24932180000000001</v>
      </c>
      <c r="U5717">
        <v>-2.9717099999999999</v>
      </c>
      <c r="V5717">
        <v>2.3781509999999999E-2</v>
      </c>
      <c r="W5717">
        <v>-1.5131610000000001E-3</v>
      </c>
      <c r="X5717">
        <v>0.99971600000000005</v>
      </c>
      <c r="Y5717">
        <v>-0.2177771</v>
      </c>
      <c r="Z5717">
        <v>8.0854490000000001E-2</v>
      </c>
      <c r="AA5717">
        <v>0.9726437</v>
      </c>
      <c r="AB5717">
        <v>21</v>
      </c>
      <c r="AC5717">
        <v>3.7124999999999702</v>
      </c>
      <c r="AD5717">
        <v>-1.110493698575</v>
      </c>
      <c r="AE5717">
        <v>-12.91882</v>
      </c>
      <c r="AF5717">
        <v>-2.9860048120865401</v>
      </c>
      <c r="AG5717">
        <v>-1.110493698575</v>
      </c>
      <c r="AH5717">
        <v>13.012339235074901</v>
      </c>
      <c r="AI5717">
        <v>94.754895133450404</v>
      </c>
      <c r="AJ5717">
        <v>102.92418500135</v>
      </c>
      <c r="AK5717">
        <v>13.396656051457301</v>
      </c>
      <c r="AL5717">
        <v>90.086697775119902</v>
      </c>
      <c r="AM5717">
        <v>88.637289769291797</v>
      </c>
      <c r="AN5717">
        <v>0.99999996526504498</v>
      </c>
    </row>
    <row r="5718" spans="1:40" x14ac:dyDescent="0.25">
      <c r="A5718" t="str">
        <f>"20190312161132782"</f>
        <v>20190312161132782</v>
      </c>
      <c r="B5718" t="str">
        <f>"1552378292772923"</f>
        <v>1552378292772923</v>
      </c>
      <c r="C5718" t="s">
        <v>40</v>
      </c>
      <c r="D5718">
        <v>5.530672</v>
      </c>
      <c r="E5718">
        <v>0.47089750000000002</v>
      </c>
      <c r="F5718" t="s">
        <v>41</v>
      </c>
      <c r="G5718">
        <v>-299.3331</v>
      </c>
      <c r="H5718" s="1">
        <v>-7.398108E-7</v>
      </c>
      <c r="I5718">
        <v>-38.91845</v>
      </c>
      <c r="J5718">
        <v>-300.43869999999998</v>
      </c>
      <c r="K5718">
        <v>1.110482</v>
      </c>
      <c r="L5718">
        <v>-29.107089999999999</v>
      </c>
      <c r="M5718">
        <v>5.4902529999999998E-2</v>
      </c>
      <c r="N5718">
        <v>0</v>
      </c>
      <c r="O5718">
        <v>-0.99839960000000005</v>
      </c>
      <c r="P5718">
        <v>2.828727E-2</v>
      </c>
      <c r="Q5718">
        <v>-1.8411529999999999E-2</v>
      </c>
      <c r="R5718">
        <v>-0.99943029999999999</v>
      </c>
      <c r="S5718">
        <v>0.33142090000000002</v>
      </c>
      <c r="T5718">
        <v>-0.327603599999999</v>
      </c>
      <c r="U5718">
        <v>-2.986694</v>
      </c>
      <c r="V5718">
        <v>2.663449E-2</v>
      </c>
      <c r="W5718">
        <v>-4.8366190000000003E-3</v>
      </c>
      <c r="X5718">
        <v>0.99963360000000001</v>
      </c>
      <c r="Y5718">
        <v>-5.4899499999999997E-2</v>
      </c>
      <c r="Z5718">
        <v>0.1083779</v>
      </c>
      <c r="AA5718">
        <v>0.99259269999999999</v>
      </c>
      <c r="AB5718">
        <v>21</v>
      </c>
      <c r="AC5718">
        <v>1.1055999999999799</v>
      </c>
      <c r="AD5718">
        <v>-1.1104827398107999</v>
      </c>
      <c r="AE5718">
        <v>-9.8113599999999899</v>
      </c>
      <c r="AF5718">
        <v>-0.55815354314330301</v>
      </c>
      <c r="AG5718">
        <v>-1.1104827398107999</v>
      </c>
      <c r="AH5718">
        <v>9.7341295695232706</v>
      </c>
      <c r="AI5718">
        <v>96.497662369599496</v>
      </c>
      <c r="AJ5718">
        <v>93.281738001668302</v>
      </c>
      <c r="AK5718">
        <v>9.8131537116978098</v>
      </c>
      <c r="AL5718">
        <v>90.277118919185796</v>
      </c>
      <c r="AM5718">
        <v>88.473757885746295</v>
      </c>
      <c r="AN5718">
        <v>1.00000006159493</v>
      </c>
    </row>
    <row r="5719" spans="1:40" x14ac:dyDescent="0.25">
      <c r="A5719" t="str">
        <f>"20190312161132816"</f>
        <v>20190312161132816</v>
      </c>
      <c r="B5719" t="str">
        <f>"1552378292812938"</f>
        <v>1552378292812938</v>
      </c>
      <c r="C5719" t="s">
        <v>40</v>
      </c>
      <c r="D5719">
        <v>5.545363</v>
      </c>
      <c r="E5719">
        <v>0.47019369999999999</v>
      </c>
      <c r="F5719" t="s">
        <v>41</v>
      </c>
      <c r="G5719">
        <v>-299.30810000000002</v>
      </c>
      <c r="H5719" s="1">
        <v>-4.1403969999999999E-7</v>
      </c>
      <c r="I5719">
        <v>-39.688160000000003</v>
      </c>
      <c r="J5719">
        <v>-300.42079999999999</v>
      </c>
      <c r="K5719">
        <v>1.1104849999999999</v>
      </c>
      <c r="L5719">
        <v>-29.418150000000001</v>
      </c>
      <c r="M5719">
        <v>5.5611239999999999E-2</v>
      </c>
      <c r="N5719">
        <v>0</v>
      </c>
      <c r="O5719">
        <v>-0.99836049999999998</v>
      </c>
      <c r="P5719">
        <v>2.5946940000000002E-2</v>
      </c>
      <c r="Q5719">
        <v>-1.9992200000000002E-2</v>
      </c>
      <c r="R5719">
        <v>-0.99946369999999896</v>
      </c>
      <c r="S5719">
        <v>0.31915280000000001</v>
      </c>
      <c r="T5719">
        <v>-0.31347560000000002</v>
      </c>
      <c r="U5719">
        <v>-2.9869080000000001</v>
      </c>
      <c r="V5719">
        <v>2.9683729999999998E-2</v>
      </c>
      <c r="W5719">
        <v>-6.4189490000000002E-3</v>
      </c>
      <c r="X5719">
        <v>0.9995387</v>
      </c>
      <c r="Y5719">
        <v>-5.0205420000000001E-2</v>
      </c>
      <c r="Z5719">
        <v>0.1037778</v>
      </c>
      <c r="AA5719">
        <v>0.99333260000000001</v>
      </c>
      <c r="AB5719">
        <v>21</v>
      </c>
      <c r="AC5719">
        <v>1.1126999999999601</v>
      </c>
      <c r="AD5719">
        <v>-1.11048541403969</v>
      </c>
      <c r="AE5719">
        <v>-10.2700099999999</v>
      </c>
      <c r="AF5719">
        <v>-0.53363057001072201</v>
      </c>
      <c r="AG5719">
        <v>-1.11048541403969</v>
      </c>
      <c r="AH5719">
        <v>10.1981465300632</v>
      </c>
      <c r="AI5719">
        <v>96.206080217999101</v>
      </c>
      <c r="AJ5719">
        <v>92.995340399453298</v>
      </c>
      <c r="AK5719">
        <v>10.2722992600822</v>
      </c>
      <c r="AL5719">
        <v>90.367781223368198</v>
      </c>
      <c r="AM5719">
        <v>88.298962583509294</v>
      </c>
      <c r="AN5719">
        <v>0.99999996976533301</v>
      </c>
    </row>
    <row r="5720" spans="1:40" x14ac:dyDescent="0.25">
      <c r="A5720" t="str">
        <f>"20190312161132850"</f>
        <v>20190312161132850</v>
      </c>
      <c r="B5720" t="str">
        <f>"1552378292843195"</f>
        <v>1552378292843195</v>
      </c>
      <c r="C5720" t="s">
        <v>40</v>
      </c>
      <c r="D5720">
        <v>5.7452730000000001</v>
      </c>
      <c r="E5720">
        <v>0.47127069999999999</v>
      </c>
      <c r="F5720" t="s">
        <v>41</v>
      </c>
      <c r="G5720">
        <v>-299.2851</v>
      </c>
      <c r="H5720" s="1">
        <v>-2.8533399999999998E-7</v>
      </c>
      <c r="I5720">
        <v>-40.072450000000003</v>
      </c>
      <c r="J5720">
        <v>-300.40269999999998</v>
      </c>
      <c r="K5720">
        <v>1.110519</v>
      </c>
      <c r="L5720">
        <v>-29.726230000000001</v>
      </c>
      <c r="M5720">
        <v>5.6385810000000001E-2</v>
      </c>
      <c r="N5720">
        <v>0</v>
      </c>
      <c r="O5720">
        <v>-0.99831689999999995</v>
      </c>
      <c r="P5720">
        <v>2.5334800000000001E-2</v>
      </c>
      <c r="Q5720">
        <v>-1.8948119999999999E-2</v>
      </c>
      <c r="R5720">
        <v>-0.99949940000000004</v>
      </c>
      <c r="S5720">
        <v>0.31842039999999999</v>
      </c>
      <c r="T5720">
        <v>-0.31134430000000002</v>
      </c>
      <c r="U5720">
        <v>-2.9871219999999998</v>
      </c>
      <c r="V5720">
        <v>3.107207E-2</v>
      </c>
      <c r="W5720">
        <v>-5.3745299999999998E-3</v>
      </c>
      <c r="X5720">
        <v>0.99950269999999997</v>
      </c>
      <c r="Y5720">
        <v>-4.9190009999999999E-2</v>
      </c>
      <c r="Z5720">
        <v>0.1030698</v>
      </c>
      <c r="AA5720">
        <v>0.99345709999999998</v>
      </c>
      <c r="AB5720">
        <v>21</v>
      </c>
      <c r="AC5720">
        <v>1.1175999999999799</v>
      </c>
      <c r="AD5720">
        <v>-1.110519285334</v>
      </c>
      <c r="AE5720">
        <v>-10.346220000000001</v>
      </c>
      <c r="AF5720">
        <v>-0.526393345086547</v>
      </c>
      <c r="AG5720">
        <v>-1.110519285334</v>
      </c>
      <c r="AH5720">
        <v>10.2757580899862</v>
      </c>
      <c r="AI5720">
        <v>96.160101601864497</v>
      </c>
      <c r="AJ5720">
        <v>92.932511296084797</v>
      </c>
      <c r="AK5720">
        <v>10.348987745705699</v>
      </c>
      <c r="AL5720">
        <v>90.307939367391796</v>
      </c>
      <c r="AM5720">
        <v>88.219389212152194</v>
      </c>
      <c r="AN5720">
        <v>1.00000000320704</v>
      </c>
    </row>
    <row r="5721" spans="1:40" x14ac:dyDescent="0.25">
      <c r="A5721" t="str">
        <f>"20190312161132882"</f>
        <v>20190312161132882</v>
      </c>
      <c r="B5721" t="str">
        <f>"1552378292873452"</f>
        <v>1552378292873452</v>
      </c>
      <c r="C5721" t="s">
        <v>40</v>
      </c>
      <c r="D5721">
        <v>5.690639</v>
      </c>
      <c r="E5721">
        <v>0.52924749999999998</v>
      </c>
      <c r="F5721" t="s">
        <v>78</v>
      </c>
      <c r="G5721">
        <v>-299.2885</v>
      </c>
      <c r="H5721" s="1">
        <v>-2.791251E-7</v>
      </c>
      <c r="I5721">
        <v>-40.545119999999997</v>
      </c>
      <c r="J5721">
        <v>-300.38459999999998</v>
      </c>
      <c r="K5721">
        <v>1.110568</v>
      </c>
      <c r="L5721">
        <v>-30.028379999999999</v>
      </c>
      <c r="M5721">
        <v>5.7237410000000002E-2</v>
      </c>
      <c r="N5721">
        <v>0</v>
      </c>
      <c r="O5721">
        <v>-0.99826859999999995</v>
      </c>
      <c r="P5721">
        <v>2.690847E-2</v>
      </c>
      <c r="Q5721">
        <v>-1.898584E-2</v>
      </c>
      <c r="R5721">
        <v>-0.99945759999999995</v>
      </c>
      <c r="S5721">
        <v>0.3077087</v>
      </c>
      <c r="T5721">
        <v>-0.306695099999999</v>
      </c>
      <c r="U5721">
        <v>-2.9878849999999999</v>
      </c>
      <c r="V5721">
        <v>3.0351679999999999E-2</v>
      </c>
      <c r="W5721">
        <v>-5.4115919999999998E-3</v>
      </c>
      <c r="X5721">
        <v>0.99952470000000004</v>
      </c>
      <c r="Y5721">
        <v>-4.4803959999999997E-2</v>
      </c>
      <c r="Z5721">
        <v>0.10154299999999999</v>
      </c>
      <c r="AA5721">
        <v>0.99382170000000003</v>
      </c>
      <c r="AB5721">
        <v>21</v>
      </c>
      <c r="AC5721">
        <v>1.0960999999999701</v>
      </c>
      <c r="AD5721">
        <v>-1.1105682791250999</v>
      </c>
      <c r="AE5721">
        <v>-10.51674</v>
      </c>
      <c r="AF5721">
        <v>-0.48692493695691702</v>
      </c>
      <c r="AG5721">
        <v>-1.1105682791250999</v>
      </c>
      <c r="AH5721">
        <v>10.4469929248159</v>
      </c>
      <c r="AI5721">
        <v>96.061510896755905</v>
      </c>
      <c r="AJ5721">
        <v>92.668573419491096</v>
      </c>
      <c r="AK5721">
        <v>10.517134541688799</v>
      </c>
      <c r="AL5721">
        <v>90.310062874400899</v>
      </c>
      <c r="AM5721">
        <v>88.260684360840401</v>
      </c>
      <c r="AN5721">
        <v>1.00000006785844</v>
      </c>
    </row>
    <row r="5722" spans="1:40" x14ac:dyDescent="0.25">
      <c r="A5722" t="str">
        <f>"20190312161132916"</f>
        <v>20190312161132916</v>
      </c>
      <c r="B5722" t="str">
        <f>"1552378292913467"</f>
        <v>1552378292913467</v>
      </c>
      <c r="C5722" t="s">
        <v>40</v>
      </c>
      <c r="D5722">
        <v>5.7811959999999996</v>
      </c>
      <c r="E5722">
        <v>0.54102539999999999</v>
      </c>
      <c r="F5722" t="s">
        <v>42</v>
      </c>
      <c r="G5722">
        <v>-300.41969999999998</v>
      </c>
      <c r="H5722">
        <v>0.96653829999999996</v>
      </c>
      <c r="I5722">
        <v>-30.741440000000001</v>
      </c>
      <c r="J5722">
        <v>-300.3655</v>
      </c>
      <c r="K5722">
        <v>1.1106229999999999</v>
      </c>
      <c r="L5722">
        <v>-30.34018</v>
      </c>
      <c r="M5722">
        <v>5.8242599999999901E-2</v>
      </c>
      <c r="N5722">
        <v>0</v>
      </c>
      <c r="O5722">
        <v>-0.99821070000000001</v>
      </c>
      <c r="P5722">
        <v>2.997147E-2</v>
      </c>
      <c r="Q5722">
        <v>-1.7942139999999999E-2</v>
      </c>
      <c r="R5722">
        <v>-0.99939020000000001</v>
      </c>
      <c r="S5722">
        <v>-0.146514899999999</v>
      </c>
      <c r="T5722">
        <v>-0.60482969999999903</v>
      </c>
      <c r="U5722">
        <v>-2.9940799999999999</v>
      </c>
      <c r="V5722">
        <v>2.8295919999999999E-2</v>
      </c>
      <c r="W5722">
        <v>-4.3674919999999997E-3</v>
      </c>
      <c r="X5722">
        <v>0.99958999999999998</v>
      </c>
      <c r="Y5722">
        <v>0.1060106</v>
      </c>
      <c r="Z5722">
        <v>0.19683390000000001</v>
      </c>
      <c r="AA5722">
        <v>0.97468880000000002</v>
      </c>
      <c r="AB5722">
        <v>21</v>
      </c>
      <c r="AC5722">
        <v>-5.4199999999980202E-2</v>
      </c>
      <c r="AD5722">
        <v>-0.14408469999999901</v>
      </c>
      <c r="AE5722">
        <v>-0.40126000000000001</v>
      </c>
      <c r="AF5722">
        <v>6.8772039046948105E-2</v>
      </c>
      <c r="AG5722">
        <v>-0.14408469999999901</v>
      </c>
      <c r="AH5722">
        <v>0.35275306963715503</v>
      </c>
      <c r="AI5722">
        <v>111.846328986484</v>
      </c>
      <c r="AJ5722">
        <v>78.968108331560501</v>
      </c>
      <c r="AK5722">
        <v>0.387201139289647</v>
      </c>
      <c r="AL5722">
        <v>90.250239666454306</v>
      </c>
      <c r="AM5722">
        <v>88.378531237296897</v>
      </c>
      <c r="AN5722">
        <v>0.99999995108750706</v>
      </c>
    </row>
    <row r="5723" spans="1:40" x14ac:dyDescent="0.25">
      <c r="A5723" t="str">
        <f>"20190312161132950"</f>
        <v>20190312161132950</v>
      </c>
      <c r="B5723" t="str">
        <f>"1552378292942747"</f>
        <v>1552378292942747</v>
      </c>
      <c r="C5723" t="s">
        <v>40</v>
      </c>
      <c r="D5723">
        <v>5.6185470000000004</v>
      </c>
      <c r="E5723">
        <v>0.54192850000000004</v>
      </c>
      <c r="F5723" t="s">
        <v>42</v>
      </c>
      <c r="G5723">
        <v>-300.42419999999998</v>
      </c>
      <c r="H5723">
        <v>0.94772480000000003</v>
      </c>
      <c r="I5723">
        <v>-31.102170000000001</v>
      </c>
      <c r="J5723">
        <v>-300.34589999999997</v>
      </c>
      <c r="K5723">
        <v>1.110681</v>
      </c>
      <c r="L5723">
        <v>-30.65231</v>
      </c>
      <c r="M5723">
        <v>5.938177E-2</v>
      </c>
      <c r="N5723">
        <v>0</v>
      </c>
      <c r="O5723">
        <v>-0.99814340000000001</v>
      </c>
      <c r="P5723">
        <v>3.3249309999999997E-2</v>
      </c>
      <c r="Q5723">
        <v>-1.6721610000000001E-2</v>
      </c>
      <c r="R5723">
        <v>-0.99930739999999996</v>
      </c>
      <c r="S5723">
        <v>-0.22906489999999999</v>
      </c>
      <c r="T5723">
        <v>-0.64087720000000004</v>
      </c>
      <c r="U5723">
        <v>-2.9971920000000001</v>
      </c>
      <c r="V5723">
        <v>2.6158819999999999E-2</v>
      </c>
      <c r="W5723">
        <v>-3.1467869999999998E-3</v>
      </c>
      <c r="X5723">
        <v>0.99965289999999996</v>
      </c>
      <c r="Y5723">
        <v>0.13361960000000001</v>
      </c>
      <c r="Z5723">
        <v>0.20731740000000001</v>
      </c>
      <c r="AA5723">
        <v>0.96910540000000001</v>
      </c>
      <c r="AB5723">
        <v>21</v>
      </c>
      <c r="AC5723">
        <v>-7.8300000000012901E-2</v>
      </c>
      <c r="AD5723">
        <v>-0.1629562</v>
      </c>
      <c r="AE5723">
        <v>-0.44986000000000398</v>
      </c>
      <c r="AF5723">
        <v>9.3029683080990799E-2</v>
      </c>
      <c r="AG5723">
        <v>-0.1629562</v>
      </c>
      <c r="AH5723">
        <v>0.39421024442437802</v>
      </c>
      <c r="AI5723">
        <v>111.91604135902099</v>
      </c>
      <c r="AJ5723">
        <v>76.721705396280299</v>
      </c>
      <c r="AK5723">
        <v>0.43659015318914102</v>
      </c>
      <c r="AL5723">
        <v>90.180297902076305</v>
      </c>
      <c r="AM5723">
        <v>88.501031687950601</v>
      </c>
      <c r="AN5723">
        <v>1.0000000533053099</v>
      </c>
    </row>
    <row r="5724" spans="1:40" x14ac:dyDescent="0.25">
      <c r="A5724" t="str">
        <f>"20190312161132985"</f>
        <v>20190312161132985</v>
      </c>
      <c r="B5724" t="str">
        <f>"1552378292973003"</f>
        <v>1552378292973003</v>
      </c>
      <c r="C5724" t="s">
        <v>40</v>
      </c>
      <c r="D5724">
        <v>5.8484259999999999</v>
      </c>
      <c r="E5724">
        <v>0.54106619999999905</v>
      </c>
      <c r="F5724" t="s">
        <v>42</v>
      </c>
      <c r="G5724">
        <v>-300.40769999999998</v>
      </c>
      <c r="H5724">
        <v>0.94118639999999998</v>
      </c>
      <c r="I5724">
        <v>-31.46651</v>
      </c>
      <c r="J5724">
        <v>-300.3254</v>
      </c>
      <c r="K5724">
        <v>1.1107229999999999</v>
      </c>
      <c r="L5724">
        <v>-30.97073</v>
      </c>
      <c r="M5724">
        <v>6.0663139999999997E-2</v>
      </c>
      <c r="N5724">
        <v>0</v>
      </c>
      <c r="O5724">
        <v>-0.99806669999999997</v>
      </c>
      <c r="P5724">
        <v>3.4839340000000003E-2</v>
      </c>
      <c r="Q5724">
        <v>-1.799651E-2</v>
      </c>
      <c r="R5724">
        <v>-0.99923150000000005</v>
      </c>
      <c r="S5724">
        <v>-0.22723389999999999</v>
      </c>
      <c r="T5724">
        <v>-0.624386199999999</v>
      </c>
      <c r="U5724">
        <v>-2.9992070000000002</v>
      </c>
      <c r="V5724">
        <v>2.5852119999999999E-2</v>
      </c>
      <c r="W5724">
        <v>-4.4213280000000004E-3</v>
      </c>
      <c r="X5724">
        <v>0.99965599999999999</v>
      </c>
      <c r="Y5724">
        <v>0.13433729999999999</v>
      </c>
      <c r="Z5724">
        <v>0.20204829999999999</v>
      </c>
      <c r="AA5724">
        <v>0.97011849999999999</v>
      </c>
      <c r="AB5724">
        <v>21</v>
      </c>
      <c r="AC5724">
        <v>-8.2299999999975101E-2</v>
      </c>
      <c r="AD5724">
        <v>-0.16953659999999901</v>
      </c>
      <c r="AE5724">
        <v>-0.495779999999996</v>
      </c>
      <c r="AF5724">
        <v>0.100760185397425</v>
      </c>
      <c r="AG5724">
        <v>-0.16953659999999901</v>
      </c>
      <c r="AH5724">
        <v>0.43982187274447698</v>
      </c>
      <c r="AI5724">
        <v>110.59283986876601</v>
      </c>
      <c r="AJ5724">
        <v>77.096592529327594</v>
      </c>
      <c r="AK5724">
        <v>0.482015096698581</v>
      </c>
      <c r="AL5724">
        <v>90.253324259763104</v>
      </c>
      <c r="AM5724">
        <v>88.518603108415505</v>
      </c>
      <c r="AN5724">
        <v>0.99999999929288896</v>
      </c>
    </row>
    <row r="5725" spans="1:40" x14ac:dyDescent="0.25">
      <c r="A5725" t="str">
        <f>"20190312161133051"</f>
        <v>20190312161133051</v>
      </c>
      <c r="B5725" t="str">
        <f>"1552378293043275"</f>
        <v>1552378293043275</v>
      </c>
      <c r="C5725" t="s">
        <v>40</v>
      </c>
      <c r="D5725">
        <v>5.9166449999999999</v>
      </c>
      <c r="E5725">
        <v>0.54092229999999997</v>
      </c>
      <c r="F5725" t="s">
        <v>42</v>
      </c>
      <c r="G5725">
        <v>-300.38740000000001</v>
      </c>
      <c r="H5725">
        <v>0.93284789999999995</v>
      </c>
      <c r="I5725">
        <v>-31.82874</v>
      </c>
      <c r="J5725">
        <v>-300.28519999999997</v>
      </c>
      <c r="K5725">
        <v>1.1107750000000001</v>
      </c>
      <c r="L5725">
        <v>-31.57095</v>
      </c>
      <c r="M5725">
        <v>6.3348210000000002E-2</v>
      </c>
      <c r="N5725">
        <v>0</v>
      </c>
      <c r="O5725">
        <v>-0.9978996</v>
      </c>
      <c r="P5725">
        <v>3.8755650000000003E-2</v>
      </c>
      <c r="Q5725">
        <v>-1.9681850000000001E-2</v>
      </c>
      <c r="R5725">
        <v>-0.99905489999999997</v>
      </c>
      <c r="S5725">
        <v>-0.21600340000000001</v>
      </c>
      <c r="T5725">
        <v>-0.62172830000000001</v>
      </c>
      <c r="U5725">
        <v>-2.9986269999999999</v>
      </c>
      <c r="V5725">
        <v>2.4624429999999999E-2</v>
      </c>
      <c r="W5725">
        <v>-6.1094010000000004E-3</v>
      </c>
      <c r="X5725">
        <v>0.99967810000000001</v>
      </c>
      <c r="Y5725">
        <v>0.1334148</v>
      </c>
      <c r="Z5725">
        <v>0.2012496</v>
      </c>
      <c r="AA5725">
        <v>0.97041180000000005</v>
      </c>
      <c r="AB5725">
        <v>21</v>
      </c>
      <c r="AC5725">
        <v>-0.102200000000038</v>
      </c>
      <c r="AD5725">
        <v>-0.1779271</v>
      </c>
      <c r="AE5725">
        <v>-0.25779000000000302</v>
      </c>
      <c r="AF5725">
        <v>8.3820066568375207E-2</v>
      </c>
      <c r="AG5725">
        <v>-0.1779271</v>
      </c>
      <c r="AH5725">
        <v>0.17765936249842501</v>
      </c>
      <c r="AI5725">
        <v>132.168969237136</v>
      </c>
      <c r="AJ5725">
        <v>64.741961523755293</v>
      </c>
      <c r="AK5725">
        <v>0.26504095071758899</v>
      </c>
      <c r="AL5725">
        <v>90.350045071818698</v>
      </c>
      <c r="AM5725">
        <v>88.588955120019506</v>
      </c>
      <c r="AN5725">
        <v>0.99999999547650598</v>
      </c>
    </row>
    <row r="5726" spans="1:40" x14ac:dyDescent="0.25">
      <c r="A5726" t="str">
        <f>"20190312161133083"</f>
        <v>20190312161133083</v>
      </c>
      <c r="B5726" t="str">
        <f>"1552378293072555"</f>
        <v>1552378293072555</v>
      </c>
      <c r="C5726" t="s">
        <v>40</v>
      </c>
      <c r="D5726">
        <v>5.9130690000000001</v>
      </c>
      <c r="E5726">
        <v>0.54101909999999998</v>
      </c>
      <c r="F5726" t="s">
        <v>42</v>
      </c>
      <c r="G5726">
        <v>-300.34039999999999</v>
      </c>
      <c r="H5726">
        <v>0.94307589999999997</v>
      </c>
      <c r="I5726">
        <v>-32.379480000000001</v>
      </c>
      <c r="J5726">
        <v>-300.26459999999997</v>
      </c>
      <c r="K5726">
        <v>1.110795</v>
      </c>
      <c r="L5726">
        <v>-31.867889999999999</v>
      </c>
      <c r="M5726">
        <v>6.4760709999999999E-2</v>
      </c>
      <c r="N5726">
        <v>0</v>
      </c>
      <c r="O5726">
        <v>-0.99780899999999995</v>
      </c>
      <c r="P5726">
        <v>4.1403120000000002E-2</v>
      </c>
      <c r="Q5726">
        <v>-1.922486E-2</v>
      </c>
      <c r="R5726">
        <v>-0.9989576</v>
      </c>
      <c r="S5726">
        <v>-0.2046509</v>
      </c>
      <c r="T5726">
        <v>-0.62193390000000004</v>
      </c>
      <c r="U5726">
        <v>-2.998535</v>
      </c>
      <c r="V5726">
        <v>2.3390620000000001E-2</v>
      </c>
      <c r="W5726">
        <v>-5.6552669999999899E-3</v>
      </c>
      <c r="X5726">
        <v>0.9997104</v>
      </c>
      <c r="Y5726">
        <v>0.13116169999999999</v>
      </c>
      <c r="Z5726">
        <v>0.2013481</v>
      </c>
      <c r="AA5726">
        <v>0.97069850000000002</v>
      </c>
      <c r="AB5726">
        <v>20</v>
      </c>
      <c r="AC5726">
        <v>-7.5800000000015105E-2</v>
      </c>
      <c r="AD5726">
        <v>-0.16771910000000001</v>
      </c>
      <c r="AE5726">
        <v>-0.51158999999999799</v>
      </c>
      <c r="AF5726">
        <v>9.8423649708847205E-2</v>
      </c>
      <c r="AG5726">
        <v>-0.16771910000000001</v>
      </c>
      <c r="AH5726">
        <v>0.45749231170640398</v>
      </c>
      <c r="AI5726">
        <v>109.717927580907</v>
      </c>
      <c r="AJ5726">
        <v>77.858602220177104</v>
      </c>
      <c r="AK5726">
        <v>0.497107761554061</v>
      </c>
      <c r="AL5726">
        <v>90.324024660400497</v>
      </c>
      <c r="AM5726">
        <v>88.659672510576101</v>
      </c>
      <c r="AN5726">
        <v>0.999999993508492</v>
      </c>
    </row>
    <row r="5727" spans="1:40" x14ac:dyDescent="0.25">
      <c r="A5727" t="str">
        <f>"20190312161133118"</f>
        <v>20190312161133118</v>
      </c>
      <c r="B5727" t="str">
        <f>"1552378293112572"</f>
        <v>1552378293112572</v>
      </c>
      <c r="C5727" t="s">
        <v>40</v>
      </c>
      <c r="D5727">
        <v>5.9191789999999997</v>
      </c>
      <c r="E5727">
        <v>0.5412226</v>
      </c>
      <c r="F5727" t="s">
        <v>42</v>
      </c>
      <c r="G5727">
        <v>-300.31119999999999</v>
      </c>
      <c r="H5727">
        <v>0.96596070000000001</v>
      </c>
      <c r="I5727">
        <v>-32.57094</v>
      </c>
      <c r="J5727">
        <v>-300.24270000000001</v>
      </c>
      <c r="K5727">
        <v>1.1108279999999999</v>
      </c>
      <c r="L5727">
        <v>-32.175840000000001</v>
      </c>
      <c r="M5727">
        <v>6.6313699999999906E-2</v>
      </c>
      <c r="N5727">
        <v>0</v>
      </c>
      <c r="O5727">
        <v>-0.99770709999999996</v>
      </c>
      <c r="P5727">
        <v>4.4364340000000002E-2</v>
      </c>
      <c r="Q5727">
        <v>-1.8725160000000001E-2</v>
      </c>
      <c r="R5727">
        <v>-0.99883999999999995</v>
      </c>
      <c r="S5727">
        <v>-0.1973877</v>
      </c>
      <c r="T5727">
        <v>-0.61799419999999905</v>
      </c>
      <c r="U5727">
        <v>-2.9994200000000002</v>
      </c>
      <c r="V5727">
        <v>2.1983539999999999E-2</v>
      </c>
      <c r="W5727">
        <v>-5.1579269999999997E-3</v>
      </c>
      <c r="X5727">
        <v>0.99974499999999999</v>
      </c>
      <c r="Y5727">
        <v>0.13036210000000001</v>
      </c>
      <c r="Z5727">
        <v>0.20006370000000001</v>
      </c>
      <c r="AA5727">
        <v>0.97107169999999998</v>
      </c>
      <c r="AB5727">
        <v>20</v>
      </c>
      <c r="AC5727">
        <v>-6.8499999999971806E-2</v>
      </c>
      <c r="AD5727">
        <v>-0.1448673</v>
      </c>
      <c r="AE5727">
        <v>-0.39509999999999901</v>
      </c>
      <c r="AF5727">
        <v>8.3636239428242498E-2</v>
      </c>
      <c r="AG5727">
        <v>-0.1448673</v>
      </c>
      <c r="AH5727">
        <v>0.34469847812592203</v>
      </c>
      <c r="AI5727">
        <v>112.216189351574</v>
      </c>
      <c r="AJ5727">
        <v>76.361549560850904</v>
      </c>
      <c r="AK5727">
        <v>0.38314304897429002</v>
      </c>
      <c r="AL5727">
        <v>90.295528766619</v>
      </c>
      <c r="AM5727">
        <v>88.740317670601698</v>
      </c>
      <c r="AN5727">
        <v>0.99999997263343399</v>
      </c>
    </row>
    <row r="5728" spans="1:40" x14ac:dyDescent="0.25">
      <c r="A5728" t="str">
        <f>"20190312161133150"</f>
        <v>20190312161133150</v>
      </c>
      <c r="B5728" t="str">
        <f>"1552378293142829"</f>
        <v>1552378293142829</v>
      </c>
      <c r="C5728" t="s">
        <v>40</v>
      </c>
      <c r="D5728">
        <v>5.557321</v>
      </c>
      <c r="E5728">
        <v>0.45378109999999999</v>
      </c>
      <c r="F5728" t="s">
        <v>42</v>
      </c>
      <c r="G5728">
        <v>-300.29079999999999</v>
      </c>
      <c r="H5728">
        <v>0.95527390000000001</v>
      </c>
      <c r="I5728">
        <v>-32.928829999999998</v>
      </c>
      <c r="J5728">
        <v>-300.22070000000002</v>
      </c>
      <c r="K5728">
        <v>1.110876</v>
      </c>
      <c r="L5728">
        <v>-32.477330000000002</v>
      </c>
      <c r="M5728">
        <v>6.7949700000000002E-2</v>
      </c>
      <c r="N5728">
        <v>0</v>
      </c>
      <c r="O5728">
        <v>-0.99759690000000001</v>
      </c>
      <c r="P5728">
        <v>4.775016E-2</v>
      </c>
      <c r="Q5728">
        <v>-1.79618E-2</v>
      </c>
      <c r="R5728">
        <v>-0.99869790000000003</v>
      </c>
      <c r="S5728">
        <v>-0.19073490000000001</v>
      </c>
      <c r="T5728">
        <v>-0.61992100000000006</v>
      </c>
      <c r="U5728">
        <v>-3.0003359999999999</v>
      </c>
      <c r="V5728">
        <v>2.0234470000000001E-2</v>
      </c>
      <c r="W5728">
        <v>-4.3959649999999999E-3</v>
      </c>
      <c r="X5728">
        <v>0.99978560000000005</v>
      </c>
      <c r="Y5728">
        <v>0.12981680000000001</v>
      </c>
      <c r="Z5728">
        <v>0.2005913</v>
      </c>
      <c r="AA5728">
        <v>0.97103589999999995</v>
      </c>
      <c r="AB5728">
        <v>20</v>
      </c>
      <c r="AC5728">
        <v>-7.0099999999967993E-2</v>
      </c>
      <c r="AD5728">
        <v>-0.15560209999999899</v>
      </c>
      <c r="AE5728">
        <v>-0.45149999999999502</v>
      </c>
      <c r="AF5728">
        <v>9.0163223181870505E-2</v>
      </c>
      <c r="AG5728">
        <v>-0.15560209999999899</v>
      </c>
      <c r="AH5728">
        <v>0.399374452754238</v>
      </c>
      <c r="AI5728">
        <v>110.809279963207</v>
      </c>
      <c r="AJ5728">
        <v>77.278115718617798</v>
      </c>
      <c r="AK5728">
        <v>0.43799700210355402</v>
      </c>
      <c r="AL5728">
        <v>90.2518710520702</v>
      </c>
      <c r="AM5728">
        <v>88.840559938990197</v>
      </c>
      <c r="AN5728">
        <v>1.0000000021259099</v>
      </c>
    </row>
    <row r="5729" spans="1:40" x14ac:dyDescent="0.25">
      <c r="A5729" t="str">
        <f>"20190312161133217"</f>
        <v>20190312161133217</v>
      </c>
      <c r="B5729" t="str">
        <f>"1552378293213100"</f>
        <v>1552378293213100</v>
      </c>
      <c r="C5729" t="s">
        <v>40</v>
      </c>
      <c r="D5729">
        <v>5.4082160000000004</v>
      </c>
      <c r="E5729">
        <v>0.43637530000000002</v>
      </c>
      <c r="F5729" t="s">
        <v>78</v>
      </c>
      <c r="G5729">
        <v>-298.68</v>
      </c>
      <c r="H5729" s="1">
        <v>-9.7634649999999999E-7</v>
      </c>
      <c r="I5729">
        <v>-41.387309999999999</v>
      </c>
      <c r="J5729">
        <v>-300.17439999999999</v>
      </c>
      <c r="K5729">
        <v>1.1109990000000001</v>
      </c>
      <c r="L5729">
        <v>-33.082520000000002</v>
      </c>
      <c r="M5729">
        <v>7.1637080000000006E-2</v>
      </c>
      <c r="N5729">
        <v>0</v>
      </c>
      <c r="O5729">
        <v>-0.99733910000000003</v>
      </c>
      <c r="P5729">
        <v>5.4682080000000001E-2</v>
      </c>
      <c r="Q5729">
        <v>-1.710857E-2</v>
      </c>
      <c r="R5729">
        <v>-0.99835750000000001</v>
      </c>
      <c r="S5729">
        <v>0.51403809999999905</v>
      </c>
      <c r="T5729">
        <v>-0.37062420000000001</v>
      </c>
      <c r="U5729">
        <v>-2.9726560000000002</v>
      </c>
      <c r="V5729">
        <v>1.6990809999999999E-2</v>
      </c>
      <c r="W5729">
        <v>-3.5458349999999998E-3</v>
      </c>
      <c r="X5729">
        <v>0.9998494</v>
      </c>
      <c r="Y5729">
        <v>-9.8083569999999995E-2</v>
      </c>
      <c r="Z5729">
        <v>0.1220579</v>
      </c>
      <c r="AA5729">
        <v>0.9876646</v>
      </c>
      <c r="AB5729">
        <v>20</v>
      </c>
      <c r="AC5729">
        <v>1.49439999999998</v>
      </c>
      <c r="AD5729">
        <v>-1.1109999763464999</v>
      </c>
      <c r="AE5729">
        <v>-8.3047899999999899</v>
      </c>
      <c r="AF5729">
        <v>-0.88031402362137301</v>
      </c>
      <c r="AG5729">
        <v>-1.1109999763464999</v>
      </c>
      <c r="AH5729">
        <v>8.2475398368233197</v>
      </c>
      <c r="AI5729">
        <v>97.629130185784504</v>
      </c>
      <c r="AJ5729">
        <v>96.092487618979206</v>
      </c>
      <c r="AK5729">
        <v>8.3684638427619404</v>
      </c>
      <c r="AL5729">
        <v>90.203161797618293</v>
      </c>
      <c r="AM5729">
        <v>89.026445370451896</v>
      </c>
      <c r="AN5729">
        <v>1.0000000416253301</v>
      </c>
    </row>
    <row r="5730" spans="1:40" x14ac:dyDescent="0.25">
      <c r="A5730" t="str">
        <f>"20190312161133255"</f>
        <v>20190312161133255</v>
      </c>
      <c r="B5730" t="str">
        <f>"1552378293243355"</f>
        <v>1552378293243355</v>
      </c>
      <c r="C5730" t="s">
        <v>40</v>
      </c>
      <c r="D5730">
        <v>5.4332159999999998</v>
      </c>
      <c r="E5730">
        <v>0.42596119999999998</v>
      </c>
      <c r="F5730" t="s">
        <v>78</v>
      </c>
      <c r="G5730">
        <v>-297.89620000000002</v>
      </c>
      <c r="H5730" s="1">
        <v>-2.288531E-6</v>
      </c>
      <c r="I5730">
        <v>-43.123600000000003</v>
      </c>
      <c r="J5730">
        <v>-300.14839999999998</v>
      </c>
      <c r="K5730">
        <v>1.111056</v>
      </c>
      <c r="L5730">
        <v>-33.405549999999998</v>
      </c>
      <c r="M5730">
        <v>7.3871720000000002E-2</v>
      </c>
      <c r="N5730">
        <v>0</v>
      </c>
      <c r="O5730">
        <v>-0.99717599999999995</v>
      </c>
      <c r="P5730">
        <v>5.8201059999999999E-2</v>
      </c>
      <c r="Q5730">
        <v>-1.7320470000000001E-2</v>
      </c>
      <c r="R5730">
        <v>-0.9981546</v>
      </c>
      <c r="S5730">
        <v>0.67214969999999996</v>
      </c>
      <c r="T5730">
        <v>-0.32778689999999999</v>
      </c>
      <c r="U5730">
        <v>-2.962494</v>
      </c>
      <c r="V5730">
        <v>1.5707479999999999E-2</v>
      </c>
      <c r="W5730">
        <v>-3.7591909999999998E-3</v>
      </c>
      <c r="X5730">
        <v>0.99986960000000003</v>
      </c>
      <c r="Y5730">
        <v>-0.1473256</v>
      </c>
      <c r="Z5730">
        <v>0.1075778</v>
      </c>
      <c r="AA5730">
        <v>0.98322030000000005</v>
      </c>
      <c r="AB5730">
        <v>20</v>
      </c>
      <c r="AC5730">
        <v>2.2521999999999598</v>
      </c>
      <c r="AD5730">
        <v>-1.1110582885310001</v>
      </c>
      <c r="AE5730">
        <v>-9.7180499999999999</v>
      </c>
      <c r="AF5730">
        <v>-1.5093669500956699</v>
      </c>
      <c r="AG5730">
        <v>-1.1110582885310001</v>
      </c>
      <c r="AH5730">
        <v>9.7370941556347699</v>
      </c>
      <c r="AI5730">
        <v>96.433443185401202</v>
      </c>
      <c r="AJ5730">
        <v>98.811407338694707</v>
      </c>
      <c r="AK5730">
        <v>9.9158278376669795</v>
      </c>
      <c r="AL5730">
        <v>90.215386278064699</v>
      </c>
      <c r="AM5730">
        <v>89.099984350720604</v>
      </c>
      <c r="AN5730">
        <v>1.0000000367245401</v>
      </c>
    </row>
    <row r="5731" spans="1:40" x14ac:dyDescent="0.25">
      <c r="A5731" t="str">
        <f>"20190312161133296"</f>
        <v>20190312161133296</v>
      </c>
      <c r="B5731" t="str">
        <f>"1552378293283371"</f>
        <v>1552378293283371</v>
      </c>
      <c r="C5731" t="s">
        <v>40</v>
      </c>
      <c r="D5731">
        <v>5.5370280000000003</v>
      </c>
      <c r="E5731">
        <v>0.42581289999999999</v>
      </c>
      <c r="F5731" t="s">
        <v>78</v>
      </c>
      <c r="G5731">
        <v>-296.33210000000003</v>
      </c>
      <c r="H5731" s="1">
        <v>-5.3918169999999996E-6</v>
      </c>
      <c r="I5731">
        <v>-48.153530000000003</v>
      </c>
      <c r="J5731">
        <v>-300.11700000000002</v>
      </c>
      <c r="K5731">
        <v>1.1111180000000001</v>
      </c>
      <c r="L5731">
        <v>-33.781460000000003</v>
      </c>
      <c r="M5731">
        <v>7.6684210000000003E-2</v>
      </c>
      <c r="N5731">
        <v>0</v>
      </c>
      <c r="O5731">
        <v>-0.99696379999999996</v>
      </c>
      <c r="P5731">
        <v>6.3110440000000004E-2</v>
      </c>
      <c r="Q5731">
        <v>-1.6211759999999999E-2</v>
      </c>
      <c r="R5731">
        <v>-0.99787499999999996</v>
      </c>
      <c r="S5731">
        <v>0.76519780000000004</v>
      </c>
      <c r="T5731">
        <v>-0.22277459999999999</v>
      </c>
      <c r="U5731">
        <v>-2.9570620000000001</v>
      </c>
      <c r="V5731">
        <v>1.36093E-2</v>
      </c>
      <c r="W5731">
        <v>-2.6532460000000002E-3</v>
      </c>
      <c r="X5731">
        <v>0.99990389999999996</v>
      </c>
      <c r="Y5731">
        <v>-0.174865299999999</v>
      </c>
      <c r="Z5731">
        <v>7.3019500000000001E-2</v>
      </c>
      <c r="AA5731">
        <v>0.981881</v>
      </c>
      <c r="AB5731">
        <v>20</v>
      </c>
      <c r="AC5731">
        <v>3.7848999999999902</v>
      </c>
      <c r="AD5731">
        <v>-1.111123391817</v>
      </c>
      <c r="AE5731">
        <v>-14.372070000000001</v>
      </c>
      <c r="AF5731">
        <v>-2.6566922342777999</v>
      </c>
      <c r="AG5731">
        <v>-1.111123391817</v>
      </c>
      <c r="AH5731">
        <v>14.5387485286772</v>
      </c>
      <c r="AI5731">
        <v>94.299414887392203</v>
      </c>
      <c r="AJ5731">
        <v>100.355511769839</v>
      </c>
      <c r="AK5731">
        <v>14.8211948775943</v>
      </c>
      <c r="AL5731">
        <v>90.152019971460803</v>
      </c>
      <c r="AM5731">
        <v>89.2202177549959</v>
      </c>
      <c r="AN5731">
        <v>1.0000000309980099</v>
      </c>
    </row>
    <row r="5732" spans="1:40" x14ac:dyDescent="0.25">
      <c r="A5732" t="str">
        <f>"20190312161133328"</f>
        <v>20190312161133328</v>
      </c>
      <c r="B5732" t="str">
        <f>"1552378293323388"</f>
        <v>1552378293323388</v>
      </c>
      <c r="C5732" t="s">
        <v>40</v>
      </c>
      <c r="D5732">
        <v>5.5465350000000004</v>
      </c>
      <c r="E5732">
        <v>0.4274271</v>
      </c>
      <c r="F5732" t="s">
        <v>78</v>
      </c>
      <c r="G5732">
        <v>-295.2869</v>
      </c>
      <c r="H5732" s="1">
        <v>-8.7381629999999992E-6</v>
      </c>
      <c r="I5732">
        <v>-52.057699999999997</v>
      </c>
      <c r="J5732">
        <v>-300.09249999999997</v>
      </c>
      <c r="K5732">
        <v>1.111164</v>
      </c>
      <c r="L5732">
        <v>-34.06467</v>
      </c>
      <c r="M5732">
        <v>7.8945370000000001E-2</v>
      </c>
      <c r="N5732">
        <v>0</v>
      </c>
      <c r="O5732">
        <v>-0.99678719999999998</v>
      </c>
      <c r="P5732">
        <v>6.6703319999999997E-2</v>
      </c>
      <c r="Q5732">
        <v>-1.6398800000000002E-2</v>
      </c>
      <c r="R5732">
        <v>-0.99763829999999998</v>
      </c>
      <c r="S5732">
        <v>0.78073119999999996</v>
      </c>
      <c r="T5732">
        <v>-0.17959829999999999</v>
      </c>
      <c r="U5732">
        <v>-2.9541019999999998</v>
      </c>
      <c r="V5732">
        <v>1.2277379999999999E-2</v>
      </c>
      <c r="W5732">
        <v>-2.8424869999999999E-3</v>
      </c>
      <c r="X5732">
        <v>0.99992060000000005</v>
      </c>
      <c r="Y5732">
        <v>-0.17794079999999901</v>
      </c>
      <c r="Z5732">
        <v>5.8909889999999999E-2</v>
      </c>
      <c r="AA5732">
        <v>0.98227629999999999</v>
      </c>
      <c r="AB5732">
        <v>20</v>
      </c>
      <c r="AC5732">
        <v>4.8055999999999699</v>
      </c>
      <c r="AD5732">
        <v>-1.1111727381630001</v>
      </c>
      <c r="AE5732">
        <v>-17.993029999999901</v>
      </c>
      <c r="AF5732">
        <v>-3.3580482590688501</v>
      </c>
      <c r="AG5732">
        <v>-1.1111727381630001</v>
      </c>
      <c r="AH5732">
        <v>18.2513053194387</v>
      </c>
      <c r="AI5732">
        <v>93.426595623710597</v>
      </c>
      <c r="AJ5732">
        <v>100.425225766821</v>
      </c>
      <c r="AK5732">
        <v>18.590893976020698</v>
      </c>
      <c r="AL5732">
        <v>90.162862726099306</v>
      </c>
      <c r="AM5732">
        <v>89.296537434235702</v>
      </c>
      <c r="AN5732">
        <v>1.0000000100481801</v>
      </c>
    </row>
    <row r="5733" spans="1:40" x14ac:dyDescent="0.25">
      <c r="A5733" t="str">
        <f>"20190312161133350"</f>
        <v>20190312161133350</v>
      </c>
      <c r="B5733" t="str">
        <f>"1552378293342908"</f>
        <v>1552378293342908</v>
      </c>
      <c r="C5733" t="s">
        <v>40</v>
      </c>
      <c r="D5733">
        <v>5.5835520000000001</v>
      </c>
      <c r="E5733">
        <v>0.42805939999999998</v>
      </c>
      <c r="F5733" t="s">
        <v>78</v>
      </c>
      <c r="G5733">
        <v>-294.81819999999999</v>
      </c>
      <c r="H5733" s="1">
        <v>-8.6761720000000001E-6</v>
      </c>
      <c r="I5733">
        <v>-54.071339999999999</v>
      </c>
      <c r="J5733">
        <v>-300.07409999999999</v>
      </c>
      <c r="K5733">
        <v>1.1111960000000001</v>
      </c>
      <c r="L5733">
        <v>-34.271090000000001</v>
      </c>
      <c r="M5733">
        <v>8.0682550000000006E-2</v>
      </c>
      <c r="N5733">
        <v>0</v>
      </c>
      <c r="O5733">
        <v>-0.99664819999999998</v>
      </c>
      <c r="P5733">
        <v>6.8738309999999997E-2</v>
      </c>
      <c r="Q5733">
        <v>-1.711441E-2</v>
      </c>
      <c r="R5733">
        <v>-0.99748789999999998</v>
      </c>
      <c r="S5733">
        <v>0.77832029999999996</v>
      </c>
      <c r="T5733">
        <v>-0.1639745</v>
      </c>
      <c r="U5733">
        <v>-2.9523619999999999</v>
      </c>
      <c r="V5733">
        <v>1.198131E-2</v>
      </c>
      <c r="W5733">
        <v>-3.5584010000000001E-3</v>
      </c>
      <c r="X5733">
        <v>0.99992190000000003</v>
      </c>
      <c r="Y5733">
        <v>-0.1756915</v>
      </c>
      <c r="Z5733">
        <v>5.3836729999999999E-2</v>
      </c>
      <c r="AA5733">
        <v>0.98297210000000002</v>
      </c>
      <c r="AB5733">
        <v>20</v>
      </c>
      <c r="AC5733">
        <v>5.2558999999999898</v>
      </c>
      <c r="AD5733">
        <v>-1.11120467617199</v>
      </c>
      <c r="AE5733">
        <v>-19.800249999999998</v>
      </c>
      <c r="AF5733">
        <v>-3.6303997788443798</v>
      </c>
      <c r="AG5733">
        <v>-1.11120467617199</v>
      </c>
      <c r="AH5733">
        <v>20.100643945242201</v>
      </c>
      <c r="AI5733">
        <v>93.1139274128886</v>
      </c>
      <c r="AJ5733">
        <v>100.23788573001301</v>
      </c>
      <c r="AK5733">
        <v>20.456061825287399</v>
      </c>
      <c r="AL5733">
        <v>90.203881787332904</v>
      </c>
      <c r="AM5733">
        <v>89.3135007390769</v>
      </c>
      <c r="AN5733">
        <v>1.0000000100533</v>
      </c>
    </row>
    <row r="5734" spans="1:40" x14ac:dyDescent="0.25">
      <c r="A5734" t="str">
        <f>"20190312161133384"</f>
        <v>20190312161133384</v>
      </c>
      <c r="B5734" t="str">
        <f>"1552378293373164"</f>
        <v>1552378293373164</v>
      </c>
      <c r="C5734" t="s">
        <v>40</v>
      </c>
      <c r="D5734">
        <v>5.5742320000000003</v>
      </c>
      <c r="E5734">
        <v>0.42869499999999999</v>
      </c>
      <c r="F5734" t="s">
        <v>78</v>
      </c>
      <c r="G5734">
        <v>-294.68920000000003</v>
      </c>
      <c r="H5734" s="1">
        <v>-8.6554520000000008E-6</v>
      </c>
      <c r="I5734">
        <v>-54.658019999999901</v>
      </c>
      <c r="J5734">
        <v>-300.04640000000001</v>
      </c>
      <c r="K5734">
        <v>1.111254</v>
      </c>
      <c r="L5734">
        <v>-34.572690000000001</v>
      </c>
      <c r="M5734">
        <v>8.3335480000000003E-2</v>
      </c>
      <c r="N5734">
        <v>0</v>
      </c>
      <c r="O5734">
        <v>-0.99642989999999998</v>
      </c>
      <c r="P5734">
        <v>7.3139759999999998E-2</v>
      </c>
      <c r="Q5734">
        <v>-1.6270550000000002E-2</v>
      </c>
      <c r="R5734">
        <v>-0.9971892</v>
      </c>
      <c r="S5734">
        <v>0.77947999999999995</v>
      </c>
      <c r="T5734">
        <v>-0.16085079999999999</v>
      </c>
      <c r="U5734">
        <v>-2.9510800000000001</v>
      </c>
      <c r="V5734">
        <v>1.023017E-2</v>
      </c>
      <c r="W5734">
        <v>-2.7177070000000002E-3</v>
      </c>
      <c r="X5734">
        <v>0.99994400000000006</v>
      </c>
      <c r="Y5734">
        <v>-0.1735506</v>
      </c>
      <c r="Z5734">
        <v>5.2826339999999999E-2</v>
      </c>
      <c r="AA5734">
        <v>0.98340709999999998</v>
      </c>
      <c r="AB5734">
        <v>20</v>
      </c>
      <c r="AC5734">
        <v>5.3571999999999704</v>
      </c>
      <c r="AD5734">
        <v>-1.111262655452</v>
      </c>
      <c r="AE5734">
        <v>-20.0853299999999</v>
      </c>
      <c r="AF5734">
        <v>-3.6541455824139799</v>
      </c>
      <c r="AG5734">
        <v>-1.111262655452</v>
      </c>
      <c r="AH5734">
        <v>20.403627883236702</v>
      </c>
      <c r="AI5734">
        <v>93.068745860552696</v>
      </c>
      <c r="AJ5734">
        <v>100.153625737425</v>
      </c>
      <c r="AK5734">
        <v>20.758027734456601</v>
      </c>
      <c r="AL5734">
        <v>90.155713329196601</v>
      </c>
      <c r="AM5734">
        <v>89.413842059417405</v>
      </c>
      <c r="AN5734">
        <v>1.0000000227227801</v>
      </c>
    </row>
    <row r="5735" spans="1:40" x14ac:dyDescent="0.25">
      <c r="A5735" t="str">
        <f>"20190312161133417"</f>
        <v>20190312161133417</v>
      </c>
      <c r="B5735" t="str">
        <f>"1552378293413179"</f>
        <v>1552378293413179</v>
      </c>
      <c r="C5735" t="s">
        <v>40</v>
      </c>
      <c r="D5735">
        <v>5.6068749999999996</v>
      </c>
      <c r="E5735">
        <v>0.42939460000000002</v>
      </c>
      <c r="F5735" t="s">
        <v>78</v>
      </c>
      <c r="G5735">
        <v>-294.44200000000001</v>
      </c>
      <c r="H5735" s="1">
        <v>-8.6487909999999996E-6</v>
      </c>
      <c r="I5735">
        <v>-55.566899999999997</v>
      </c>
      <c r="J5735">
        <v>-300.01929999999999</v>
      </c>
      <c r="K5735">
        <v>1.111299</v>
      </c>
      <c r="L5735">
        <v>-34.858730000000001</v>
      </c>
      <c r="M5735">
        <v>8.5991199999999907E-2</v>
      </c>
      <c r="N5735">
        <v>0</v>
      </c>
      <c r="O5735">
        <v>-0.99620399999999998</v>
      </c>
      <c r="P5735">
        <v>7.6697719999999997E-2</v>
      </c>
      <c r="Q5735">
        <v>-1.64523E-2</v>
      </c>
      <c r="R5735">
        <v>-0.99691859999999999</v>
      </c>
      <c r="S5735">
        <v>0.78701779999999999</v>
      </c>
      <c r="T5735">
        <v>-0.15605269999999999</v>
      </c>
      <c r="U5735">
        <v>-2.9481809999999999</v>
      </c>
      <c r="V5735">
        <v>9.3279220000000006E-3</v>
      </c>
      <c r="W5735">
        <v>-2.901093E-3</v>
      </c>
      <c r="X5735">
        <v>0.99995230000000002</v>
      </c>
      <c r="Y5735">
        <v>-0.17353389999999999</v>
      </c>
      <c r="Z5735">
        <v>5.1269559999999999E-2</v>
      </c>
      <c r="AA5735">
        <v>0.98349240000000004</v>
      </c>
      <c r="AB5735">
        <v>20</v>
      </c>
      <c r="AC5735">
        <v>5.5772999999999797</v>
      </c>
      <c r="AD5735">
        <v>-1.1113076487909901</v>
      </c>
      <c r="AE5735">
        <v>-20.708169999999999</v>
      </c>
      <c r="AF5735">
        <v>-3.7656424667456898</v>
      </c>
      <c r="AG5735">
        <v>-1.1113076487909901</v>
      </c>
      <c r="AH5735">
        <v>21.054558190136099</v>
      </c>
      <c r="AI5735">
        <v>92.974288865102395</v>
      </c>
      <c r="AJ5735">
        <v>100.14023023818</v>
      </c>
      <c r="AK5735">
        <v>21.417504253751101</v>
      </c>
      <c r="AL5735">
        <v>90.166220615648001</v>
      </c>
      <c r="AM5735">
        <v>89.465539445544593</v>
      </c>
      <c r="AN5735">
        <v>1.00000001437236</v>
      </c>
    </row>
    <row r="5736" spans="1:40" x14ac:dyDescent="0.25">
      <c r="A5736" t="str">
        <f>"20190312161133453"</f>
        <v>20190312161133453</v>
      </c>
      <c r="B5736" t="str">
        <f>"1552378293443435"</f>
        <v>1552378293443435</v>
      </c>
      <c r="C5736" t="s">
        <v>40</v>
      </c>
      <c r="D5736">
        <v>5.629149</v>
      </c>
      <c r="E5736">
        <v>0.42987789999999998</v>
      </c>
      <c r="F5736" t="s">
        <v>78</v>
      </c>
      <c r="G5736">
        <v>-294.3571</v>
      </c>
      <c r="H5736" s="1">
        <v>-8.6441620000000004E-6</v>
      </c>
      <c r="I5736">
        <v>-55.922559999999997</v>
      </c>
      <c r="J5736">
        <v>-299.98829999999998</v>
      </c>
      <c r="K5736">
        <v>1.1113309999999901</v>
      </c>
      <c r="L5736">
        <v>-35.17371</v>
      </c>
      <c r="M5736">
        <v>8.9039469999999996E-2</v>
      </c>
      <c r="N5736">
        <v>0</v>
      </c>
      <c r="O5736">
        <v>-0.9959365</v>
      </c>
      <c r="P5736">
        <v>7.9481010000000005E-2</v>
      </c>
      <c r="Q5736">
        <v>-1.8683060000000001E-2</v>
      </c>
      <c r="R5736">
        <v>-0.99666160000000004</v>
      </c>
      <c r="S5736">
        <v>0.79187010000000002</v>
      </c>
      <c r="T5736">
        <v>-0.15541769999999999</v>
      </c>
      <c r="U5736">
        <v>-2.9458009999999999</v>
      </c>
      <c r="V5736">
        <v>9.5986289999999991E-3</v>
      </c>
      <c r="W5736">
        <v>-5.1315459999999999E-3</v>
      </c>
      <c r="X5736">
        <v>0.99994079999999996</v>
      </c>
      <c r="Y5736">
        <v>-0.1722321</v>
      </c>
      <c r="Z5736">
        <v>5.1075849999999999E-2</v>
      </c>
      <c r="AA5736">
        <v>0.98373129999999998</v>
      </c>
      <c r="AB5736">
        <v>20</v>
      </c>
      <c r="AC5736">
        <v>5.6311999999999696</v>
      </c>
      <c r="AD5736">
        <v>-1.11133964416199</v>
      </c>
      <c r="AE5736">
        <v>-20.748850000000001</v>
      </c>
      <c r="AF5736">
        <v>-3.75117095176758</v>
      </c>
      <c r="AG5736">
        <v>-1.11133964416199</v>
      </c>
      <c r="AH5736">
        <v>21.111457077555801</v>
      </c>
      <c r="AI5736">
        <v>92.966969614619302</v>
      </c>
      <c r="AJ5736">
        <v>100.07539684464599</v>
      </c>
      <c r="AK5736">
        <v>21.470910070408099</v>
      </c>
      <c r="AL5736">
        <v>90.294017208284799</v>
      </c>
      <c r="AM5736">
        <v>89.450023401614104</v>
      </c>
      <c r="AN5736">
        <v>1.0000000349738301</v>
      </c>
    </row>
    <row r="5737" spans="1:40" x14ac:dyDescent="0.25">
      <c r="A5737" t="str">
        <f>"20190312161133497"</f>
        <v>20190312161133497</v>
      </c>
      <c r="B5737" t="str">
        <f>"1552378293493212"</f>
        <v>1552378293493212</v>
      </c>
      <c r="C5737" t="s">
        <v>40</v>
      </c>
      <c r="D5737">
        <v>5.6878719999999996</v>
      </c>
      <c r="E5737">
        <v>0.43068499999999998</v>
      </c>
      <c r="F5737" t="s">
        <v>78</v>
      </c>
      <c r="G5737">
        <v>-294.52339999999998</v>
      </c>
      <c r="H5737" s="1">
        <v>-8.6389399999999905E-6</v>
      </c>
      <c r="I5737">
        <v>-55.369410000000002</v>
      </c>
      <c r="J5737">
        <v>-299.94889999999998</v>
      </c>
      <c r="K5737">
        <v>1.111372</v>
      </c>
      <c r="L5737">
        <v>-35.558409999999903</v>
      </c>
      <c r="M5737">
        <v>9.2930670000000007E-2</v>
      </c>
      <c r="N5737">
        <v>0</v>
      </c>
      <c r="O5737">
        <v>-0.99558089999999999</v>
      </c>
      <c r="P5737">
        <v>8.2368179999999999E-2</v>
      </c>
      <c r="Q5737">
        <v>-1.7663890000000002E-2</v>
      </c>
      <c r="R5737">
        <v>-0.99644540000000004</v>
      </c>
      <c r="S5737">
        <v>0.79650880000000002</v>
      </c>
      <c r="T5737">
        <v>-0.16197709999999901</v>
      </c>
      <c r="U5737">
        <v>-2.9435120000000001</v>
      </c>
      <c r="V5737">
        <v>1.0608390000000001E-2</v>
      </c>
      <c r="W5737">
        <v>-4.1099500000000002E-3</v>
      </c>
      <c r="X5737">
        <v>0.99993529999999997</v>
      </c>
      <c r="Y5737">
        <v>-0.16998959999999999</v>
      </c>
      <c r="Z5737">
        <v>5.3236459999999999E-2</v>
      </c>
      <c r="AA5737">
        <v>0.98400679999999996</v>
      </c>
      <c r="AB5737">
        <v>20</v>
      </c>
      <c r="AC5737">
        <v>5.4255000000000004</v>
      </c>
      <c r="AD5737">
        <v>-1.1113806389399901</v>
      </c>
      <c r="AE5737">
        <v>-19.811</v>
      </c>
      <c r="AF5737">
        <v>-3.5504057351104299</v>
      </c>
      <c r="AG5737">
        <v>-1.1113806389399901</v>
      </c>
      <c r="AH5737">
        <v>20.1704452692091</v>
      </c>
      <c r="AI5737">
        <v>93.106121576956497</v>
      </c>
      <c r="AJ5737">
        <v>99.982951677546893</v>
      </c>
      <c r="AK5737">
        <v>20.510665766051499</v>
      </c>
      <c r="AL5737">
        <v>90.235483447983896</v>
      </c>
      <c r="AM5737">
        <v>89.392167501004906</v>
      </c>
      <c r="AN5737">
        <v>1.00000001690674</v>
      </c>
    </row>
    <row r="5738" spans="1:40" x14ac:dyDescent="0.25">
      <c r="A5738" t="str">
        <f>"20190312161133542"</f>
        <v>20190312161133542</v>
      </c>
      <c r="B5738" t="str">
        <f>"1552378293533227"</f>
        <v>1552378293533227</v>
      </c>
      <c r="C5738" t="s">
        <v>40</v>
      </c>
      <c r="D5738">
        <v>5.7044259999999998</v>
      </c>
      <c r="E5738">
        <v>0.43116640000000001</v>
      </c>
      <c r="F5738" t="s">
        <v>78</v>
      </c>
      <c r="G5738">
        <v>-294.4905</v>
      </c>
      <c r="H5738" s="1">
        <v>-8.6214160000000006E-6</v>
      </c>
      <c r="I5738">
        <v>-55.664540000000002</v>
      </c>
      <c r="J5738">
        <v>-299.90679999999998</v>
      </c>
      <c r="K5738">
        <v>1.1113900000000001</v>
      </c>
      <c r="L5738">
        <v>-35.952480000000001</v>
      </c>
      <c r="M5738">
        <v>9.7058220000000001E-2</v>
      </c>
      <c r="N5738">
        <v>0</v>
      </c>
      <c r="O5738">
        <v>-0.99518689999999999</v>
      </c>
      <c r="P5738">
        <v>8.5227059999999993E-2</v>
      </c>
      <c r="Q5738">
        <v>-1.8701860000000001E-2</v>
      </c>
      <c r="R5738">
        <v>-0.99618629999999997</v>
      </c>
      <c r="S5738">
        <v>0.79864499999999905</v>
      </c>
      <c r="T5738">
        <v>-0.16261030000000001</v>
      </c>
      <c r="U5738">
        <v>-2.9418030000000002</v>
      </c>
      <c r="V5738">
        <v>1.188668E-2</v>
      </c>
      <c r="W5738">
        <v>-5.1455440000000002E-3</v>
      </c>
      <c r="X5738">
        <v>0.99991609999999997</v>
      </c>
      <c r="Y5738">
        <v>-0.1667092</v>
      </c>
      <c r="Z5738">
        <v>5.3452279999999998E-2</v>
      </c>
      <c r="AA5738">
        <v>0.98455619999999999</v>
      </c>
      <c r="AB5738">
        <v>20</v>
      </c>
      <c r="AC5738">
        <v>5.4162999999999704</v>
      </c>
      <c r="AD5738">
        <v>-1.1113986214160001</v>
      </c>
      <c r="AE5738">
        <v>-19.712060000000001</v>
      </c>
      <c r="AF5738">
        <v>-3.4670832983239799</v>
      </c>
      <c r="AG5738">
        <v>-1.1113986214160001</v>
      </c>
      <c r="AH5738">
        <v>20.085353981834299</v>
      </c>
      <c r="AI5738">
        <v>93.121097685451005</v>
      </c>
      <c r="AJ5738">
        <v>99.793740441501996</v>
      </c>
      <c r="AK5738">
        <v>20.4126754265282</v>
      </c>
      <c r="AL5738">
        <v>90.294819258894705</v>
      </c>
      <c r="AM5738">
        <v>89.318918339702407</v>
      </c>
      <c r="AN5738">
        <v>0.99999998841184401</v>
      </c>
    </row>
    <row r="5739" spans="1:40" x14ac:dyDescent="0.25">
      <c r="A5739" t="str">
        <f>"20190312161133572"</f>
        <v>20190312161133572</v>
      </c>
      <c r="B5739" t="str">
        <f>"1552378293563484"</f>
        <v>1552378293563484</v>
      </c>
      <c r="C5739" t="s">
        <v>40</v>
      </c>
      <c r="D5739">
        <v>5.7927010000000001</v>
      </c>
      <c r="E5739">
        <v>0.4055629</v>
      </c>
      <c r="F5739" t="s">
        <v>78</v>
      </c>
      <c r="G5739">
        <v>-294.60230000000001</v>
      </c>
      <c r="H5739" s="1">
        <v>-8.6103120000000007E-6</v>
      </c>
      <c r="I5739">
        <v>-55.368630000000003</v>
      </c>
      <c r="J5739">
        <v>-299.87779999999998</v>
      </c>
      <c r="K5739">
        <v>1.111407</v>
      </c>
      <c r="L5739">
        <v>-36.214840000000002</v>
      </c>
      <c r="M5739">
        <v>9.9883940000000004E-2</v>
      </c>
      <c r="N5739">
        <v>0</v>
      </c>
      <c r="O5739">
        <v>-0.9949074</v>
      </c>
      <c r="P5739">
        <v>8.7647080000000002E-2</v>
      </c>
      <c r="Q5739">
        <v>-1.820103E-2</v>
      </c>
      <c r="R5739">
        <v>-0.99598560000000003</v>
      </c>
      <c r="S5739">
        <v>0.80310059999999905</v>
      </c>
      <c r="T5739">
        <v>-0.16826579999999999</v>
      </c>
      <c r="U5739">
        <v>-2.9396059999999999</v>
      </c>
      <c r="V5739">
        <v>1.229653E-2</v>
      </c>
      <c r="W5739">
        <v>-4.6442260000000004E-3</v>
      </c>
      <c r="X5739">
        <v>0.99991359999999996</v>
      </c>
      <c r="Y5739">
        <v>-0.16545760000000001</v>
      </c>
      <c r="Z5739">
        <v>5.5317190000000002E-2</v>
      </c>
      <c r="AA5739">
        <v>0.98466430000000005</v>
      </c>
      <c r="AB5739">
        <v>20</v>
      </c>
      <c r="AC5739">
        <v>5.2754999999999601</v>
      </c>
      <c r="AD5739">
        <v>-1.1114156103120001</v>
      </c>
      <c r="AE5739">
        <v>-19.153790000000001</v>
      </c>
      <c r="AF5739">
        <v>-3.3253752606768998</v>
      </c>
      <c r="AG5739">
        <v>-1.1114156103120001</v>
      </c>
      <c r="AH5739">
        <v>19.5238702847229</v>
      </c>
      <c r="AI5739">
        <v>93.211945109836094</v>
      </c>
      <c r="AJ5739">
        <v>99.666062738697903</v>
      </c>
      <c r="AK5739">
        <v>19.836201152888499</v>
      </c>
      <c r="AL5739">
        <v>90.266095508006998</v>
      </c>
      <c r="AM5739">
        <v>89.295435366745593</v>
      </c>
      <c r="AN5739">
        <v>0.99999999047506904</v>
      </c>
    </row>
    <row r="5740" spans="1:40" x14ac:dyDescent="0.25">
      <c r="A5740" t="str">
        <f>"20190312161133597"</f>
        <v>20190312161133597</v>
      </c>
      <c r="B5740" t="str">
        <f>"1552378293592763"</f>
        <v>1552378293592763</v>
      </c>
      <c r="C5740" t="s">
        <v>40</v>
      </c>
      <c r="D5740">
        <v>5.732818</v>
      </c>
      <c r="E5740">
        <v>0.38886300000000001</v>
      </c>
      <c r="F5740" t="s">
        <v>78</v>
      </c>
      <c r="G5740">
        <v>-294.28449999999998</v>
      </c>
      <c r="H5740" s="1">
        <v>-9.0604929999999999E-6</v>
      </c>
      <c r="I5740">
        <v>-52.320050000000002</v>
      </c>
      <c r="J5740">
        <v>-299.85239999999999</v>
      </c>
      <c r="K5740">
        <v>1.111424</v>
      </c>
      <c r="L5740">
        <v>-36.437710000000003</v>
      </c>
      <c r="M5740">
        <v>0.10233540000000001</v>
      </c>
      <c r="N5740">
        <v>0</v>
      </c>
      <c r="O5740">
        <v>-0.99465800000000004</v>
      </c>
      <c r="P5740">
        <v>9.0259539999999999E-2</v>
      </c>
      <c r="Q5740">
        <v>-1.8248549999999999E-2</v>
      </c>
      <c r="R5740">
        <v>-0.9957511</v>
      </c>
      <c r="S5740">
        <v>1.0138240000000001</v>
      </c>
      <c r="T5740">
        <v>-0.20145260000000001</v>
      </c>
      <c r="U5740">
        <v>-2.9191889999999998</v>
      </c>
      <c r="V5740">
        <v>1.213785E-2</v>
      </c>
      <c r="W5740">
        <v>-4.6924669999999996E-3</v>
      </c>
      <c r="X5740">
        <v>0.99991529999999995</v>
      </c>
      <c r="Y5740">
        <v>-0.22896639999999999</v>
      </c>
      <c r="Z5740">
        <v>6.5484609999999999E-2</v>
      </c>
      <c r="AA5740">
        <v>0.97122920000000001</v>
      </c>
      <c r="AB5740">
        <v>20</v>
      </c>
      <c r="AC5740">
        <v>5.5678999999999998</v>
      </c>
      <c r="AD5740">
        <v>-1.1114330604930001</v>
      </c>
      <c r="AE5740">
        <v>-15.882339999999999</v>
      </c>
      <c r="AF5740">
        <v>-3.8961968795402502</v>
      </c>
      <c r="AG5740">
        <v>-1.1114330604930001</v>
      </c>
      <c r="AH5740">
        <v>16.297711047682199</v>
      </c>
      <c r="AI5740">
        <v>93.794679030847803</v>
      </c>
      <c r="AJ5740">
        <v>103.44501740120801</v>
      </c>
      <c r="AK5740">
        <v>16.793779174618201</v>
      </c>
      <c r="AL5740">
        <v>90.268859547498806</v>
      </c>
      <c r="AM5740">
        <v>89.304527671725793</v>
      </c>
      <c r="AN5740">
        <v>0.99999997691162901</v>
      </c>
    </row>
    <row r="5741" spans="1:40" x14ac:dyDescent="0.25">
      <c r="A5741" t="str">
        <f>"20190312161133631"</f>
        <v>20190312161133631</v>
      </c>
      <c r="B5741" t="str">
        <f>"1552378293623019"</f>
        <v>1552378293623019</v>
      </c>
      <c r="C5741" t="s">
        <v>40</v>
      </c>
      <c r="D5741">
        <v>5.4256080000000004</v>
      </c>
      <c r="E5741">
        <v>0.38245950000000001</v>
      </c>
      <c r="F5741" t="s">
        <v>78</v>
      </c>
      <c r="G5741">
        <v>-293.27769999999998</v>
      </c>
      <c r="H5741" s="1">
        <v>-9.3391890000000002E-6</v>
      </c>
      <c r="I5741">
        <v>-52.984020000000001</v>
      </c>
      <c r="J5741">
        <v>-299.81729999999999</v>
      </c>
      <c r="K5741">
        <v>1.1114470000000001</v>
      </c>
      <c r="L5741">
        <v>-36.738399999999999</v>
      </c>
      <c r="M5741">
        <v>0.1057131</v>
      </c>
      <c r="N5741">
        <v>0</v>
      </c>
      <c r="O5741">
        <v>-0.99430499999999999</v>
      </c>
      <c r="P5741">
        <v>9.4289629999999999E-2</v>
      </c>
      <c r="Q5741">
        <v>-1.8053030000000001E-2</v>
      </c>
      <c r="R5741">
        <v>-0.99538150000000003</v>
      </c>
      <c r="S5741">
        <v>1.1541440000000001</v>
      </c>
      <c r="T5741">
        <v>-0.19510520000000001</v>
      </c>
      <c r="U5741">
        <v>-2.9046020000000001</v>
      </c>
      <c r="V5741">
        <v>1.1486420000000001E-2</v>
      </c>
      <c r="W5741">
        <v>-4.4991140000000002E-3</v>
      </c>
      <c r="X5741">
        <v>0.99992389999999998</v>
      </c>
      <c r="Y5741">
        <v>-0.26821630000000002</v>
      </c>
      <c r="Z5741">
        <v>6.2854690000000005E-2</v>
      </c>
      <c r="AA5741">
        <v>0.96130599999999999</v>
      </c>
      <c r="AB5741">
        <v>20</v>
      </c>
      <c r="AC5741">
        <v>6.5396000000000001</v>
      </c>
      <c r="AD5741">
        <v>-1.11145633918899</v>
      </c>
      <c r="AE5741">
        <v>-16.245619999999899</v>
      </c>
      <c r="AF5741">
        <v>-4.7662199925636104</v>
      </c>
      <c r="AG5741">
        <v>-1.11145633918899</v>
      </c>
      <c r="AH5741">
        <v>16.778374831336802</v>
      </c>
      <c r="AI5741">
        <v>93.646084434656103</v>
      </c>
      <c r="AJ5741">
        <v>105.85821681815</v>
      </c>
      <c r="AK5741">
        <v>17.477587081524501</v>
      </c>
      <c r="AL5741">
        <v>90.257781115269907</v>
      </c>
      <c r="AM5741">
        <v>89.341855473394503</v>
      </c>
      <c r="AN5741">
        <v>0.999999992831205</v>
      </c>
    </row>
    <row r="5742" spans="1:40" x14ac:dyDescent="0.25">
      <c r="A5742" t="str">
        <f>"20190312161133675"</f>
        <v>20190312161133675</v>
      </c>
      <c r="B5742" t="str">
        <f>"1552378293672796"</f>
        <v>1552378293672796</v>
      </c>
      <c r="C5742" t="s">
        <v>40</v>
      </c>
      <c r="D5742">
        <v>5.7266339999999998</v>
      </c>
      <c r="E5742">
        <v>0.37953949999999997</v>
      </c>
      <c r="F5742" t="s">
        <v>78</v>
      </c>
      <c r="G5742">
        <v>-291.92500000000001</v>
      </c>
      <c r="H5742" s="1">
        <v>-9.5685210000000007E-6</v>
      </c>
      <c r="I5742">
        <v>-55.521160000000002</v>
      </c>
      <c r="J5742">
        <v>-299.7715</v>
      </c>
      <c r="K5742">
        <v>1.111472</v>
      </c>
      <c r="L5742">
        <v>-37.116329999999998</v>
      </c>
      <c r="M5742">
        <v>0.11006050000000001</v>
      </c>
      <c r="N5742">
        <v>0</v>
      </c>
      <c r="O5742">
        <v>-0.99383290000000002</v>
      </c>
      <c r="P5742">
        <v>9.9963120000000003E-2</v>
      </c>
      <c r="Q5742">
        <v>-1.72351E-2</v>
      </c>
      <c r="R5742">
        <v>-0.994842</v>
      </c>
      <c r="S5742">
        <v>1.216675</v>
      </c>
      <c r="T5742">
        <v>-0.1713433</v>
      </c>
      <c r="U5742">
        <v>-2.8955690000000001</v>
      </c>
      <c r="V5742">
        <v>1.015808E-2</v>
      </c>
      <c r="W5742">
        <v>-3.686141E-3</v>
      </c>
      <c r="X5742">
        <v>0.99994159999999999</v>
      </c>
      <c r="Y5742">
        <v>-0.2829605</v>
      </c>
      <c r="Z5742">
        <v>5.5009280000000001E-2</v>
      </c>
      <c r="AA5742">
        <v>0.95755279999999998</v>
      </c>
      <c r="AB5742">
        <v>20</v>
      </c>
      <c r="AC5742">
        <v>7.84649999999999</v>
      </c>
      <c r="AD5742">
        <v>-1.111481568521</v>
      </c>
      <c r="AE5742">
        <v>-18.40483</v>
      </c>
      <c r="AF5742">
        <v>-5.7552315374911398</v>
      </c>
      <c r="AG5742">
        <v>-1.111481568521</v>
      </c>
      <c r="AH5742">
        <v>19.097728864906799</v>
      </c>
      <c r="AI5742">
        <v>93.189469941477299</v>
      </c>
      <c r="AJ5742">
        <v>106.77054064724901</v>
      </c>
      <c r="AK5742">
        <v>19.977020026139801</v>
      </c>
      <c r="AL5742">
        <v>90.211200802640207</v>
      </c>
      <c r="AM5742">
        <v>89.417970917362197</v>
      </c>
      <c r="AN5742">
        <v>0.99999998881765895</v>
      </c>
    </row>
    <row r="5743" spans="1:40" x14ac:dyDescent="0.25">
      <c r="A5743" t="str">
        <f>"20190312161133707"</f>
        <v>20190312161133707</v>
      </c>
      <c r="B5743" t="str">
        <f>"1552378293703053"</f>
        <v>1552378293703053</v>
      </c>
      <c r="C5743" t="s">
        <v>40</v>
      </c>
      <c r="D5743">
        <v>5.7461520000000004</v>
      </c>
      <c r="E5743">
        <v>0.37907679999999999</v>
      </c>
      <c r="F5743" t="s">
        <v>78</v>
      </c>
      <c r="G5743">
        <v>-290.58640000000003</v>
      </c>
      <c r="H5743" s="1">
        <v>-9.7855160000000002E-6</v>
      </c>
      <c r="I5743">
        <v>-58.22119</v>
      </c>
      <c r="J5743">
        <v>-299.73689999999999</v>
      </c>
      <c r="K5743">
        <v>1.11148</v>
      </c>
      <c r="L5743">
        <v>-37.392270000000003</v>
      </c>
      <c r="M5743">
        <v>0.11328530000000001</v>
      </c>
      <c r="N5743">
        <v>0</v>
      </c>
      <c r="O5743">
        <v>-0.99347079999999999</v>
      </c>
      <c r="P5743">
        <v>0.1035987</v>
      </c>
      <c r="Q5743">
        <v>-1.661083E-2</v>
      </c>
      <c r="R5743">
        <v>-0.99448099999999995</v>
      </c>
      <c r="S5743">
        <v>1.2563169999999999</v>
      </c>
      <c r="T5743">
        <v>-0.15202669999999999</v>
      </c>
      <c r="U5743">
        <v>-2.8866879999999999</v>
      </c>
      <c r="V5743">
        <v>9.7478370000000005E-3</v>
      </c>
      <c r="W5743">
        <v>-3.0646530000000001E-3</v>
      </c>
      <c r="X5743">
        <v>0.99994780000000005</v>
      </c>
      <c r="Y5743">
        <v>-0.29212840000000001</v>
      </c>
      <c r="Z5743">
        <v>4.8739810000000001E-2</v>
      </c>
      <c r="AA5743">
        <v>0.9551364</v>
      </c>
      <c r="AB5743">
        <v>20</v>
      </c>
      <c r="AC5743">
        <v>9.1504999999999601</v>
      </c>
      <c r="AD5743">
        <v>-1.111489785516</v>
      </c>
      <c r="AE5743">
        <v>-20.82892</v>
      </c>
      <c r="AF5743">
        <v>-6.7157275507721703</v>
      </c>
      <c r="AG5743">
        <v>-1.111489785516</v>
      </c>
      <c r="AH5743">
        <v>21.679773093383101</v>
      </c>
      <c r="AI5743">
        <v>92.803688660889506</v>
      </c>
      <c r="AJ5743">
        <v>107.21137475181899</v>
      </c>
      <c r="AK5743">
        <v>22.7233133028633</v>
      </c>
      <c r="AL5743">
        <v>90.175591956105606</v>
      </c>
      <c r="AM5743">
        <v>89.441478616472097</v>
      </c>
      <c r="AN5743">
        <v>1.0000000075745099</v>
      </c>
    </row>
    <row r="5744" spans="1:40" x14ac:dyDescent="0.25">
      <c r="A5744" t="str">
        <f>"20190312161133742"</f>
        <v>20190312161133742</v>
      </c>
      <c r="B5744" t="str">
        <f>"1552378293733308"</f>
        <v>1552378293733308</v>
      </c>
      <c r="C5744" t="s">
        <v>40</v>
      </c>
      <c r="D5744">
        <v>5.7326199999999998</v>
      </c>
      <c r="E5744">
        <v>0.37867129999999999</v>
      </c>
      <c r="F5744" t="s">
        <v>78</v>
      </c>
      <c r="G5744">
        <v>-290.03160000000003</v>
      </c>
      <c r="H5744" s="1">
        <v>-9.8695239999999999E-6</v>
      </c>
      <c r="I5744">
        <v>-59.399669999999901</v>
      </c>
      <c r="J5744">
        <v>-299.6979</v>
      </c>
      <c r="K5744">
        <v>1.111477</v>
      </c>
      <c r="L5744">
        <v>-37.694920000000003</v>
      </c>
      <c r="M5744">
        <v>0.1168462</v>
      </c>
      <c r="N5744">
        <v>0</v>
      </c>
      <c r="O5744">
        <v>-0.993058</v>
      </c>
      <c r="P5744">
        <v>0.1058192</v>
      </c>
      <c r="Q5744">
        <v>-1.614645E-2</v>
      </c>
      <c r="R5744">
        <v>-0.99425419999999998</v>
      </c>
      <c r="S5744">
        <v>1.270905</v>
      </c>
      <c r="T5744">
        <v>-0.14554800000000001</v>
      </c>
      <c r="U5744">
        <v>-2.8818359999999998</v>
      </c>
      <c r="V5744">
        <v>1.109899E-2</v>
      </c>
      <c r="W5744">
        <v>-2.598908E-3</v>
      </c>
      <c r="X5744">
        <v>0.99993500000000002</v>
      </c>
      <c r="Y5744">
        <v>-0.29338350000000002</v>
      </c>
      <c r="Z5744">
        <v>4.6655519999999999E-2</v>
      </c>
      <c r="AA5744">
        <v>0.95485569999999997</v>
      </c>
      <c r="AB5744">
        <v>20</v>
      </c>
      <c r="AC5744">
        <v>9.6662999999999695</v>
      </c>
      <c r="AD5744">
        <v>-1.1114868695239899</v>
      </c>
      <c r="AE5744">
        <v>-21.704749999999901</v>
      </c>
      <c r="AF5744">
        <v>-7.0483003243296798</v>
      </c>
      <c r="AG5744">
        <v>-1.1114868695239899</v>
      </c>
      <c r="AH5744">
        <v>22.636083397771699</v>
      </c>
      <c r="AI5744">
        <v>92.684191955228201</v>
      </c>
      <c r="AJ5744">
        <v>107.29525936020499</v>
      </c>
      <c r="AK5744">
        <v>23.734072809232401</v>
      </c>
      <c r="AL5744">
        <v>90.148906631381294</v>
      </c>
      <c r="AM5744">
        <v>89.364059494172494</v>
      </c>
      <c r="AN5744">
        <v>0.99999997306340604</v>
      </c>
    </row>
    <row r="5745" spans="1:40" x14ac:dyDescent="0.25">
      <c r="A5745" t="str">
        <f>"20190312161133787"</f>
        <v>20190312161133787</v>
      </c>
      <c r="B5745" t="str">
        <f>"1552378293783084"</f>
        <v>1552378293783084</v>
      </c>
      <c r="C5745" t="s">
        <v>40</v>
      </c>
      <c r="D5745">
        <v>5.7706929999999996</v>
      </c>
      <c r="E5745">
        <v>0.37841269999999999</v>
      </c>
      <c r="F5745" t="s">
        <v>78</v>
      </c>
      <c r="G5745">
        <v>-289.74680000000001</v>
      </c>
      <c r="H5745" s="1">
        <v>-1.068306E-6</v>
      </c>
      <c r="I5745">
        <v>-60.06785</v>
      </c>
      <c r="J5745">
        <v>-299.6465</v>
      </c>
      <c r="K5745">
        <v>1.11147</v>
      </c>
      <c r="L5745">
        <v>-38.081789999999998</v>
      </c>
      <c r="M5745">
        <v>0.1214003</v>
      </c>
      <c r="N5745">
        <v>0</v>
      </c>
      <c r="O5745">
        <v>-0.9925117</v>
      </c>
      <c r="P5745">
        <v>0.1080081</v>
      </c>
      <c r="Q5745">
        <v>-1.6529970000000001E-2</v>
      </c>
      <c r="R5745">
        <v>-0.99401260000000002</v>
      </c>
      <c r="S5745">
        <v>1.2804260000000001</v>
      </c>
      <c r="T5745">
        <v>-0.14301529999999901</v>
      </c>
      <c r="U5745">
        <v>-2.8787539999999998</v>
      </c>
      <c r="V5745">
        <v>1.3484100000000001E-2</v>
      </c>
      <c r="W5745">
        <v>-2.9797970000000002E-3</v>
      </c>
      <c r="X5745">
        <v>0.99990460000000003</v>
      </c>
      <c r="Y5745">
        <v>-0.29203119999999999</v>
      </c>
      <c r="Z5745">
        <v>4.583251E-2</v>
      </c>
      <c r="AA5745">
        <v>0.95530999999999999</v>
      </c>
      <c r="AB5745">
        <v>20</v>
      </c>
      <c r="AC5745">
        <v>9.8996999999999904</v>
      </c>
      <c r="AD5745">
        <v>-1.1114710683060001</v>
      </c>
      <c r="AE5745">
        <v>-21.986059999999899</v>
      </c>
      <c r="AF5745">
        <v>-7.1419313590871703</v>
      </c>
      <c r="AG5745">
        <v>-1.1114710683060001</v>
      </c>
      <c r="AH5745">
        <v>22.976527754737301</v>
      </c>
      <c r="AI5745">
        <v>92.644842935586695</v>
      </c>
      <c r="AJ5745">
        <v>107.267124166052</v>
      </c>
      <c r="AK5745">
        <v>24.0865808934727</v>
      </c>
      <c r="AL5745">
        <v>90.1707300523112</v>
      </c>
      <c r="AM5745">
        <v>89.227391100270793</v>
      </c>
      <c r="AN5745">
        <v>0.99999995462206404</v>
      </c>
    </row>
    <row r="5746" spans="1:40" x14ac:dyDescent="0.25">
      <c r="A5746" t="str">
        <f>"20190312161133818"</f>
        <v>20190312161133818</v>
      </c>
      <c r="B5746" t="str">
        <f>"1552378293813340"</f>
        <v>1552378293813340</v>
      </c>
      <c r="C5746" t="s">
        <v>40</v>
      </c>
      <c r="D5746">
        <v>5.7459559999999996</v>
      </c>
      <c r="E5746">
        <v>0.37885419999999997</v>
      </c>
      <c r="F5746" t="s">
        <v>78</v>
      </c>
      <c r="G5746">
        <v>-289.64819999999997</v>
      </c>
      <c r="H5746" s="1">
        <v>-3.6887369999999999E-6</v>
      </c>
      <c r="I5746">
        <v>-60.389130000000002</v>
      </c>
      <c r="J5746">
        <v>-299.61020000000002</v>
      </c>
      <c r="K5746">
        <v>1.111461</v>
      </c>
      <c r="L5746">
        <v>-38.347110000000001</v>
      </c>
      <c r="M5746">
        <v>0.1245183</v>
      </c>
      <c r="N5746">
        <v>0</v>
      </c>
      <c r="O5746">
        <v>-0.99212529999999999</v>
      </c>
      <c r="P5746">
        <v>0.110397</v>
      </c>
      <c r="Q5746">
        <v>-1.5962239999999999E-2</v>
      </c>
      <c r="R5746">
        <v>-0.99375950000000002</v>
      </c>
      <c r="S5746">
        <v>1.2888790000000001</v>
      </c>
      <c r="T5746">
        <v>-0.14328009999999999</v>
      </c>
      <c r="U5746">
        <v>-2.8756409999999999</v>
      </c>
      <c r="V5746">
        <v>1.4221920000000001E-2</v>
      </c>
      <c r="W5746">
        <v>-2.412932E-3</v>
      </c>
      <c r="X5746">
        <v>0.99989589999999995</v>
      </c>
      <c r="Y5746">
        <v>-0.2917497</v>
      </c>
      <c r="Z5746">
        <v>4.5911210000000001E-2</v>
      </c>
      <c r="AA5746">
        <v>0.95539220000000002</v>
      </c>
      <c r="AB5746">
        <v>19</v>
      </c>
      <c r="AC5746">
        <v>9.9620000000000406</v>
      </c>
      <c r="AD5746">
        <v>-1.1114646887369899</v>
      </c>
      <c r="AE5746">
        <v>-22.042020000000001</v>
      </c>
      <c r="AF5746">
        <v>-7.1245265805260898</v>
      </c>
      <c r="AG5746">
        <v>-1.1114646887369899</v>
      </c>
      <c r="AH5746">
        <v>23.062313546585699</v>
      </c>
      <c r="AI5746">
        <v>92.636425598942907</v>
      </c>
      <c r="AJ5746">
        <v>107.167229390573</v>
      </c>
      <c r="AK5746">
        <v>24.1632890739643</v>
      </c>
      <c r="AL5746">
        <v>90.138250961190394</v>
      </c>
      <c r="AM5746">
        <v>89.185114120986398</v>
      </c>
      <c r="AN5746">
        <v>0.99999994804306502</v>
      </c>
    </row>
    <row r="5747" spans="1:40" x14ac:dyDescent="0.25">
      <c r="A5747" t="str">
        <f>"20190312161133855"</f>
        <v>20190312161133855</v>
      </c>
      <c r="B5747" t="str">
        <f>"1552378293842620"</f>
        <v>1552378293842620</v>
      </c>
      <c r="C5747" t="s">
        <v>40</v>
      </c>
      <c r="D5747">
        <v>5.7366859999999997</v>
      </c>
      <c r="E5747">
        <v>0.3792143</v>
      </c>
      <c r="F5747" t="s">
        <v>78</v>
      </c>
      <c r="G5747">
        <v>-289.74270000000001</v>
      </c>
      <c r="H5747" s="1">
        <v>-1.0220050000000001E-6</v>
      </c>
      <c r="I5747">
        <v>-60.286900000000003</v>
      </c>
      <c r="J5747">
        <v>-299.56639999999999</v>
      </c>
      <c r="K5747">
        <v>1.1114550000000001</v>
      </c>
      <c r="L5747">
        <v>-38.658329999999999</v>
      </c>
      <c r="M5747">
        <v>0.12818550000000001</v>
      </c>
      <c r="N5747">
        <v>0</v>
      </c>
      <c r="O5747">
        <v>-0.99165820000000005</v>
      </c>
      <c r="P5747">
        <v>0.11302130000000001</v>
      </c>
      <c r="Q5747">
        <v>-1.7284379999999998E-2</v>
      </c>
      <c r="R5747">
        <v>-0.99344209999999999</v>
      </c>
      <c r="S5747">
        <v>1.292114</v>
      </c>
      <c r="T5747">
        <v>-0.145542899999999</v>
      </c>
      <c r="U5747">
        <v>-2.8729550000000001</v>
      </c>
      <c r="V5747">
        <v>1.5278689999999999E-2</v>
      </c>
      <c r="W5747">
        <v>-3.7355769999999999E-3</v>
      </c>
      <c r="X5747">
        <v>0.99987630000000005</v>
      </c>
      <c r="Y5747">
        <v>-0.2894272</v>
      </c>
      <c r="Z5747">
        <v>4.6647729999999998E-2</v>
      </c>
      <c r="AA5747">
        <v>0.95606270000000004</v>
      </c>
      <c r="AB5747">
        <v>19</v>
      </c>
      <c r="AC5747">
        <v>9.8236999999999703</v>
      </c>
      <c r="AD5747">
        <v>-1.1114560220049901</v>
      </c>
      <c r="AE5747">
        <v>-21.62857</v>
      </c>
      <c r="AF5747">
        <v>-6.9546947742018599</v>
      </c>
      <c r="AG5747">
        <v>-1.1114560220049901</v>
      </c>
      <c r="AH5747">
        <v>22.6598712025434</v>
      </c>
      <c r="AI5747">
        <v>92.684673899095699</v>
      </c>
      <c r="AJ5747">
        <v>107.06212880312199</v>
      </c>
      <c r="AK5747">
        <v>23.729156681328099</v>
      </c>
      <c r="AL5747">
        <v>90.214033293059202</v>
      </c>
      <c r="AM5747">
        <v>89.124555378985505</v>
      </c>
      <c r="AN5747">
        <v>1.00000000410266</v>
      </c>
    </row>
    <row r="5748" spans="1:40" x14ac:dyDescent="0.25">
      <c r="A5748" t="str">
        <f>"20190312161133899"</f>
        <v>20190312161133899</v>
      </c>
      <c r="B5748" t="str">
        <f>"1552378293893375"</f>
        <v>1552378293893375</v>
      </c>
      <c r="C5748" t="s">
        <v>40</v>
      </c>
      <c r="D5748">
        <v>5.7669560000000004</v>
      </c>
      <c r="E5748">
        <v>0.37987700000000002</v>
      </c>
      <c r="F5748" t="s">
        <v>78</v>
      </c>
      <c r="G5748">
        <v>-290.15019999999998</v>
      </c>
      <c r="H5748" s="1">
        <v>-9.8175569999999997E-6</v>
      </c>
      <c r="I5748">
        <v>-59.48798</v>
      </c>
      <c r="J5748">
        <v>-299.51170000000002</v>
      </c>
      <c r="K5748">
        <v>1.111462</v>
      </c>
      <c r="L5748">
        <v>-39.036349999999999</v>
      </c>
      <c r="M5748">
        <v>0.13270390000000001</v>
      </c>
      <c r="N5748">
        <v>0</v>
      </c>
      <c r="O5748">
        <v>-0.99106369999999999</v>
      </c>
      <c r="P5748">
        <v>0.1175103</v>
      </c>
      <c r="Q5748">
        <v>-1.7080359999999999E-2</v>
      </c>
      <c r="R5748">
        <v>-0.99292469999999999</v>
      </c>
      <c r="S5748">
        <v>1.2972109999999999</v>
      </c>
      <c r="T5748">
        <v>-0.15311930000000001</v>
      </c>
      <c r="U5748">
        <v>-2.8695680000000001</v>
      </c>
      <c r="V5748">
        <v>1.531661E-2</v>
      </c>
      <c r="W5748">
        <v>-3.5339059999999999E-3</v>
      </c>
      <c r="X5748">
        <v>0.9998764</v>
      </c>
      <c r="Y5748">
        <v>-0.28684880000000001</v>
      </c>
      <c r="Z5748">
        <v>4.9080789999999999E-2</v>
      </c>
      <c r="AA5748">
        <v>0.95671779999999995</v>
      </c>
      <c r="AB5748">
        <v>19</v>
      </c>
      <c r="AC5748">
        <v>9.3615000000000297</v>
      </c>
      <c r="AD5748">
        <v>-1.111471817557</v>
      </c>
      <c r="AE5748">
        <v>-20.451630000000002</v>
      </c>
      <c r="AF5748">
        <v>-6.5484399465721896</v>
      </c>
      <c r="AG5748">
        <v>-1.111471817557</v>
      </c>
      <c r="AH5748">
        <v>21.460733154073299</v>
      </c>
      <c r="AI5748">
        <v>92.835895103825194</v>
      </c>
      <c r="AJ5748">
        <v>106.968828983554</v>
      </c>
      <c r="AK5748">
        <v>22.4650952111365</v>
      </c>
      <c r="AL5748">
        <v>90.202478330328901</v>
      </c>
      <c r="AM5748">
        <v>89.122383050505206</v>
      </c>
      <c r="AN5748">
        <v>0.99999995115523299</v>
      </c>
    </row>
    <row r="5749" spans="1:40" x14ac:dyDescent="0.25">
      <c r="A5749" t="str">
        <f>"20190312161133931"</f>
        <v>20190312161133931</v>
      </c>
      <c r="B5749" t="str">
        <f>"1552378293922652"</f>
        <v>1552378293922652</v>
      </c>
      <c r="C5749" t="s">
        <v>40</v>
      </c>
      <c r="D5749">
        <v>5.7183250000000001</v>
      </c>
      <c r="E5749">
        <v>0.38015369999999998</v>
      </c>
      <c r="F5749" t="s">
        <v>78</v>
      </c>
      <c r="G5749">
        <v>-290.44</v>
      </c>
      <c r="H5749" s="1">
        <v>-9.7663100000000007E-6</v>
      </c>
      <c r="I5749">
        <v>-58.946190000000001</v>
      </c>
      <c r="J5749">
        <v>-299.4717</v>
      </c>
      <c r="K5749">
        <v>1.1114850000000001</v>
      </c>
      <c r="L5749">
        <v>-39.30444</v>
      </c>
      <c r="M5749">
        <v>0.1359812</v>
      </c>
      <c r="N5749">
        <v>0</v>
      </c>
      <c r="O5749">
        <v>-0.99061949999999999</v>
      </c>
      <c r="P5749">
        <v>0.1208608</v>
      </c>
      <c r="Q5749">
        <v>-1.6532410000000001E-2</v>
      </c>
      <c r="R5749">
        <v>-0.99253199999999997</v>
      </c>
      <c r="S5749">
        <v>1.305023</v>
      </c>
      <c r="T5749">
        <v>-0.1598927</v>
      </c>
      <c r="U5749">
        <v>-2.864166</v>
      </c>
      <c r="V5749">
        <v>1.524904E-2</v>
      </c>
      <c r="W5749">
        <v>-2.9867980000000001E-3</v>
      </c>
      <c r="X5749">
        <v>0.99987919999999997</v>
      </c>
      <c r="Y5749">
        <v>-0.28647489999999998</v>
      </c>
      <c r="Z5749">
        <v>5.1274500000000001E-2</v>
      </c>
      <c r="AA5749">
        <v>0.95671470000000003</v>
      </c>
      <c r="AB5749">
        <v>19</v>
      </c>
      <c r="AC5749">
        <v>9.0317000000000007</v>
      </c>
      <c r="AD5749">
        <v>-1.1114947663099899</v>
      </c>
      <c r="AE5749">
        <v>-19.641749999999998</v>
      </c>
      <c r="AF5749">
        <v>-6.2600933837392896</v>
      </c>
      <c r="AG5749">
        <v>-1.1114947663099899</v>
      </c>
      <c r="AH5749">
        <v>20.632985728357099</v>
      </c>
      <c r="AI5749">
        <v>92.9509502768083</v>
      </c>
      <c r="AJ5749">
        <v>106.877913082866</v>
      </c>
      <c r="AK5749">
        <v>21.590374935495198</v>
      </c>
      <c r="AL5749">
        <v>90.1711311853295</v>
      </c>
      <c r="AM5749">
        <v>89.126256546939402</v>
      </c>
      <c r="AN5749">
        <v>0.999999934387925</v>
      </c>
    </row>
    <row r="5750" spans="1:40" x14ac:dyDescent="0.25">
      <c r="A5750" t="str">
        <f>"20190312161133966"</f>
        <v>20190312161133966</v>
      </c>
      <c r="B5750" t="str">
        <f>"1552378293962669"</f>
        <v>1552378293962669</v>
      </c>
      <c r="C5750" t="s">
        <v>40</v>
      </c>
      <c r="D5750">
        <v>5.3660639999999997</v>
      </c>
      <c r="E5750">
        <v>0.3803531</v>
      </c>
      <c r="F5750" t="s">
        <v>78</v>
      </c>
      <c r="G5750">
        <v>-290.43430000000001</v>
      </c>
      <c r="H5750" s="1">
        <v>-9.7630479999999992E-6</v>
      </c>
      <c r="I5750">
        <v>-58.999659999999999</v>
      </c>
      <c r="J5750">
        <v>-299.4255</v>
      </c>
      <c r="K5750">
        <v>1.1115189999999999</v>
      </c>
      <c r="L5750">
        <v>-39.605739999999997</v>
      </c>
      <c r="M5750">
        <v>0.139763</v>
      </c>
      <c r="N5750">
        <v>0</v>
      </c>
      <c r="O5750">
        <v>-0.990093</v>
      </c>
      <c r="P5750">
        <v>0.1251795</v>
      </c>
      <c r="Q5750">
        <v>-1.6615899999999999E-2</v>
      </c>
      <c r="R5750">
        <v>-0.99199530000000002</v>
      </c>
      <c r="S5750">
        <v>1.312378</v>
      </c>
      <c r="T5750">
        <v>-0.16140769999999999</v>
      </c>
      <c r="U5750">
        <v>-2.860077</v>
      </c>
      <c r="V5750">
        <v>1.4715779999999999E-2</v>
      </c>
      <c r="W5750">
        <v>-3.0718149999999999E-3</v>
      </c>
      <c r="X5750">
        <v>0.99988699999999997</v>
      </c>
      <c r="Y5750">
        <v>-0.2853562</v>
      </c>
      <c r="Z5750">
        <v>5.1767090000000002E-2</v>
      </c>
      <c r="AA5750">
        <v>0.9570225</v>
      </c>
      <c r="AB5750">
        <v>19</v>
      </c>
      <c r="AC5750">
        <v>8.9911999999999903</v>
      </c>
      <c r="AD5750">
        <v>-1.111528763048</v>
      </c>
      <c r="AE5750">
        <v>-19.393919999999898</v>
      </c>
      <c r="AF5750">
        <v>-6.1754392267764304</v>
      </c>
      <c r="AG5750">
        <v>-1.111528763048</v>
      </c>
      <c r="AH5750">
        <v>20.4051158681178</v>
      </c>
      <c r="AI5750">
        <v>92.984565007052197</v>
      </c>
      <c r="AJ5750">
        <v>106.838004562777</v>
      </c>
      <c r="AK5750">
        <v>21.348074841212402</v>
      </c>
      <c r="AL5750">
        <v>90.176002311476296</v>
      </c>
      <c r="AM5750">
        <v>89.156813502232794</v>
      </c>
      <c r="AN5750">
        <v>1.0000000014987001</v>
      </c>
    </row>
    <row r="5751" spans="1:40" x14ac:dyDescent="0.25">
      <c r="A5751" t="str">
        <f>"20190312161134011"</f>
        <v>20190312161134011</v>
      </c>
      <c r="B5751" t="str">
        <f>"1552378294002684"</f>
        <v>1552378294002684</v>
      </c>
      <c r="C5751" t="s">
        <v>40</v>
      </c>
      <c r="D5751">
        <v>5.4696610000000003</v>
      </c>
      <c r="E5751">
        <v>0.38023319999999999</v>
      </c>
      <c r="F5751" t="s">
        <v>78</v>
      </c>
      <c r="G5751">
        <v>-290.52980000000002</v>
      </c>
      <c r="H5751" s="1">
        <v>-9.7489769999999997E-6</v>
      </c>
      <c r="I5751">
        <v>-58.792969999999997</v>
      </c>
      <c r="J5751">
        <v>-299.36599999999999</v>
      </c>
      <c r="K5751">
        <v>1.111572</v>
      </c>
      <c r="L5751">
        <v>-39.981929999999998</v>
      </c>
      <c r="M5751">
        <v>0.1446527</v>
      </c>
      <c r="N5751">
        <v>0</v>
      </c>
      <c r="O5751">
        <v>-0.9893904</v>
      </c>
      <c r="P5751">
        <v>0.1294942</v>
      </c>
      <c r="Q5751">
        <v>-1.6166360000000001E-2</v>
      </c>
      <c r="R5751">
        <v>-0.99144849999999995</v>
      </c>
      <c r="S5751">
        <v>1.3233950000000001</v>
      </c>
      <c r="T5751">
        <v>-0.16535910000000001</v>
      </c>
      <c r="U5751">
        <v>-2.8544309999999999</v>
      </c>
      <c r="V5751">
        <v>1.530523E-2</v>
      </c>
      <c r="W5751">
        <v>-2.620023E-3</v>
      </c>
      <c r="X5751">
        <v>0.99987939999999997</v>
      </c>
      <c r="Y5751">
        <v>-0.28435539999999998</v>
      </c>
      <c r="Z5751">
        <v>5.3036180000000002E-2</v>
      </c>
      <c r="AA5751">
        <v>0.95725079999999996</v>
      </c>
      <c r="AB5751">
        <v>19</v>
      </c>
      <c r="AC5751">
        <v>8.8361999999999608</v>
      </c>
      <c r="AD5751">
        <v>-1.1115817489769999</v>
      </c>
      <c r="AE5751">
        <v>-18.811039999999998</v>
      </c>
      <c r="AF5751">
        <v>-6.0047549049712297</v>
      </c>
      <c r="AG5751">
        <v>-1.1115817489769999</v>
      </c>
      <c r="AH5751">
        <v>19.834714784555899</v>
      </c>
      <c r="AI5751">
        <v>93.070295203208502</v>
      </c>
      <c r="AJ5751">
        <v>106.843145726488</v>
      </c>
      <c r="AK5751">
        <v>20.7535203288048</v>
      </c>
      <c r="AL5751">
        <v>90.150116437193105</v>
      </c>
      <c r="AM5751">
        <v>89.123037635006199</v>
      </c>
      <c r="AN5751">
        <v>0.99999996456511597</v>
      </c>
    </row>
    <row r="5752" spans="1:40" x14ac:dyDescent="0.25">
      <c r="A5752" t="str">
        <f>"20190312161134056"</f>
        <v>20190312161134056</v>
      </c>
      <c r="B5752" t="str">
        <f>"1552378294053436"</f>
        <v>1552378294053436</v>
      </c>
      <c r="C5752" t="s">
        <v>40</v>
      </c>
      <c r="D5752">
        <v>5.6978169999999997</v>
      </c>
      <c r="E5752">
        <v>0.38006400000000001</v>
      </c>
      <c r="F5752" t="s">
        <v>78</v>
      </c>
      <c r="G5752">
        <v>-290.2251</v>
      </c>
      <c r="H5752" s="1">
        <v>-9.7933919999999999E-6</v>
      </c>
      <c r="I5752">
        <v>-59.45749</v>
      </c>
      <c r="J5752">
        <v>-299.30459999999999</v>
      </c>
      <c r="K5752">
        <v>1.111612</v>
      </c>
      <c r="L5752">
        <v>-40.356749999999998</v>
      </c>
      <c r="M5752">
        <v>0.1496999</v>
      </c>
      <c r="N5752">
        <v>0</v>
      </c>
      <c r="O5752">
        <v>-0.9886395</v>
      </c>
      <c r="P5752">
        <v>0.13418450000000001</v>
      </c>
      <c r="Q5752">
        <v>-1.6162449999999998E-2</v>
      </c>
      <c r="R5752">
        <v>-0.99082490000000001</v>
      </c>
      <c r="S5752">
        <v>1.3370059999999999</v>
      </c>
      <c r="T5752">
        <v>-0.16258599999999901</v>
      </c>
      <c r="U5752">
        <v>-2.8486020000000001</v>
      </c>
      <c r="V5752">
        <v>1.567638E-2</v>
      </c>
      <c r="W5752">
        <v>-2.6144570000000002E-3</v>
      </c>
      <c r="X5752">
        <v>0.99987369999999998</v>
      </c>
      <c r="Y5752">
        <v>-0.28398579999999901</v>
      </c>
      <c r="Z5752">
        <v>5.213889E-2</v>
      </c>
      <c r="AA5752">
        <v>0.95740990000000004</v>
      </c>
      <c r="AB5752">
        <v>19</v>
      </c>
      <c r="AC5752">
        <v>9.0794999999999906</v>
      </c>
      <c r="AD5752">
        <v>-1.1116217933920001</v>
      </c>
      <c r="AE5752">
        <v>-19.100739999999998</v>
      </c>
      <c r="AF5752">
        <v>-6.1006752859704703</v>
      </c>
      <c r="AG5752">
        <v>-1.1116217933920001</v>
      </c>
      <c r="AH5752">
        <v>20.189010574688002</v>
      </c>
      <c r="AI5752">
        <v>93.0170922968166</v>
      </c>
      <c r="AJ5752">
        <v>106.81366308974501</v>
      </c>
      <c r="AK5752">
        <v>21.119897962378001</v>
      </c>
      <c r="AL5752">
        <v>90.1497975224557</v>
      </c>
      <c r="AM5752">
        <v>89.101769725641802</v>
      </c>
      <c r="AN5752">
        <v>1.0000000001134901</v>
      </c>
    </row>
    <row r="5753" spans="1:40" x14ac:dyDescent="0.25">
      <c r="A5753" t="str">
        <f>"20190312161134089"</f>
        <v>20190312161134089</v>
      </c>
      <c r="B5753" t="str">
        <f>"1552378294082716"</f>
        <v>1552378294082716</v>
      </c>
      <c r="C5753" t="s">
        <v>40</v>
      </c>
      <c r="D5753">
        <v>5.7061989999999998</v>
      </c>
      <c r="E5753">
        <v>0.37995790000000002</v>
      </c>
      <c r="F5753" t="s">
        <v>78</v>
      </c>
      <c r="G5753">
        <v>-290.19459999999998</v>
      </c>
      <c r="H5753" s="1">
        <v>-9.7988100000000008E-6</v>
      </c>
      <c r="I5753">
        <v>-59.514290000000003</v>
      </c>
      <c r="J5753">
        <v>-299.25760000000002</v>
      </c>
      <c r="K5753">
        <v>1.1116549999999901</v>
      </c>
      <c r="L5753">
        <v>-40.635649999999998</v>
      </c>
      <c r="M5753">
        <v>0.15357419999999999</v>
      </c>
      <c r="N5753">
        <v>0</v>
      </c>
      <c r="O5753">
        <v>-0.98804499999999995</v>
      </c>
      <c r="P5753">
        <v>0.13823729999999901</v>
      </c>
      <c r="Q5753">
        <v>-1.537384E-2</v>
      </c>
      <c r="R5753">
        <v>-0.99028000000000005</v>
      </c>
      <c r="S5753">
        <v>1.3515010000000001</v>
      </c>
      <c r="T5753">
        <v>-0.164911999999999</v>
      </c>
      <c r="U5753">
        <v>-2.8420719999999999</v>
      </c>
      <c r="V5753">
        <v>1.5504469999999999E-2</v>
      </c>
      <c r="W5753">
        <v>-1.825367E-3</v>
      </c>
      <c r="X5753">
        <v>0.99987809999999999</v>
      </c>
      <c r="Y5753">
        <v>-0.28504699999999999</v>
      </c>
      <c r="Z5753">
        <v>5.2880910000000003E-2</v>
      </c>
      <c r="AA5753">
        <v>0.95705370000000001</v>
      </c>
      <c r="AB5753">
        <v>19</v>
      </c>
      <c r="AC5753">
        <v>9.0630000000000397</v>
      </c>
      <c r="AD5753">
        <v>-1.1116647988099999</v>
      </c>
      <c r="AE5753">
        <v>-18.878640000000001</v>
      </c>
      <c r="AF5753">
        <v>-6.0389135240049496</v>
      </c>
      <c r="AG5753">
        <v>-1.1116647988099999</v>
      </c>
      <c r="AH5753">
        <v>19.990281431001399</v>
      </c>
      <c r="AI5753">
        <v>93.047219534658495</v>
      </c>
      <c r="AJ5753">
        <v>106.809171421399</v>
      </c>
      <c r="AK5753">
        <v>20.912092838019898</v>
      </c>
      <c r="AL5753">
        <v>90.104585886619304</v>
      </c>
      <c r="AM5753">
        <v>89.111622201568807</v>
      </c>
      <c r="AN5753">
        <v>0.99999996770713695</v>
      </c>
    </row>
    <row r="5754" spans="1:40" x14ac:dyDescent="0.25">
      <c r="A5754" t="str">
        <f>"20190312161134122"</f>
        <v>20190312161134122</v>
      </c>
      <c r="B5754" t="str">
        <f>"1552378294112673"</f>
        <v>1552378294112673</v>
      </c>
      <c r="C5754" t="s">
        <v>40</v>
      </c>
      <c r="D5754">
        <v>5.6941739999999896</v>
      </c>
      <c r="E5754">
        <v>0.37985150000000001</v>
      </c>
      <c r="F5754" t="s">
        <v>78</v>
      </c>
      <c r="G5754">
        <v>-289.84910000000002</v>
      </c>
      <c r="H5754" s="1">
        <v>-9.7825549999999995E-7</v>
      </c>
      <c r="I5754">
        <v>-60.200420000000001</v>
      </c>
      <c r="J5754">
        <v>-299.20940000000002</v>
      </c>
      <c r="K5754">
        <v>1.1117090000000001</v>
      </c>
      <c r="L5754">
        <v>-40.913730000000001</v>
      </c>
      <c r="M5754">
        <v>0.15755050000000001</v>
      </c>
      <c r="N5754">
        <v>0</v>
      </c>
      <c r="O5754">
        <v>-0.98741880000000004</v>
      </c>
      <c r="P5754">
        <v>0.14238219999999999</v>
      </c>
      <c r="Q5754">
        <v>-1.487784E-2</v>
      </c>
      <c r="R5754">
        <v>-0.98970000000000002</v>
      </c>
      <c r="S5754">
        <v>1.364044</v>
      </c>
      <c r="T5754">
        <v>-0.161168899999999</v>
      </c>
      <c r="U5754">
        <v>-2.8365170000000002</v>
      </c>
      <c r="V5754">
        <v>1.5342939999999999E-2</v>
      </c>
      <c r="W5754">
        <v>-1.3281809999999999E-3</v>
      </c>
      <c r="X5754">
        <v>0.99988140000000003</v>
      </c>
      <c r="Y5754">
        <v>-0.28538590000000003</v>
      </c>
      <c r="Z5754">
        <v>5.167629E-2</v>
      </c>
      <c r="AA5754">
        <v>0.95701860000000005</v>
      </c>
      <c r="AB5754">
        <v>19</v>
      </c>
      <c r="AC5754">
        <v>9.3602999999999899</v>
      </c>
      <c r="AD5754">
        <v>-1.1117099782555</v>
      </c>
      <c r="AE5754">
        <v>-19.28669</v>
      </c>
      <c r="AF5754">
        <v>-6.1878331754171096</v>
      </c>
      <c r="AG5754">
        <v>-1.1117099782555</v>
      </c>
      <c r="AH5754">
        <v>20.465592698911099</v>
      </c>
      <c r="AI5754">
        <v>92.976483347164603</v>
      </c>
      <c r="AJ5754">
        <v>106.82284884049299</v>
      </c>
      <c r="AK5754">
        <v>21.409476009474599</v>
      </c>
      <c r="AL5754">
        <v>90.076099188714494</v>
      </c>
      <c r="AM5754">
        <v>89.120879016174896</v>
      </c>
      <c r="AN5754">
        <v>0.99999999196928602</v>
      </c>
    </row>
    <row r="5755" spans="1:40" x14ac:dyDescent="0.25">
      <c r="A5755" t="str">
        <f>"20190312161134156"</f>
        <v>20190312161134156</v>
      </c>
      <c r="B5755" t="str">
        <f>"1552378294152690"</f>
        <v>1552378294152690</v>
      </c>
      <c r="C5755" t="s">
        <v>40</v>
      </c>
      <c r="D5755">
        <v>5.6856350000000004</v>
      </c>
      <c r="E5755">
        <v>0.37990580000000002</v>
      </c>
      <c r="F5755" t="s">
        <v>78</v>
      </c>
      <c r="G5755">
        <v>-289.59879999999998</v>
      </c>
      <c r="H5755" s="1">
        <v>-3.6628630000000002E-6</v>
      </c>
      <c r="I5755">
        <v>-60.6742699999999</v>
      </c>
      <c r="J5755">
        <v>-299.16019999999997</v>
      </c>
      <c r="K5755">
        <v>1.111747</v>
      </c>
      <c r="L5755">
        <v>-41.189450000000001</v>
      </c>
      <c r="M5755">
        <v>0.1616194</v>
      </c>
      <c r="N5755">
        <v>0</v>
      </c>
      <c r="O5755">
        <v>-0.986761</v>
      </c>
      <c r="P5755">
        <v>0.14708080000000001</v>
      </c>
      <c r="Q5755">
        <v>-1.5016150000000001E-2</v>
      </c>
      <c r="R5755">
        <v>-0.98901079999999997</v>
      </c>
      <c r="S5755">
        <v>1.3767400000000001</v>
      </c>
      <c r="T5755">
        <v>-0.1592557</v>
      </c>
      <c r="U5755">
        <v>-2.8307500000000001</v>
      </c>
      <c r="V5755">
        <v>1.471634E-2</v>
      </c>
      <c r="W5755">
        <v>-1.4666179999999901E-3</v>
      </c>
      <c r="X5755">
        <v>0.99989059999999996</v>
      </c>
      <c r="Y5755">
        <v>-0.2856881</v>
      </c>
      <c r="Z5755">
        <v>5.1057070000000003E-2</v>
      </c>
      <c r="AA5755">
        <v>0.95696159999999997</v>
      </c>
      <c r="AB5755">
        <v>19</v>
      </c>
      <c r="AC5755">
        <v>9.5613999999999901</v>
      </c>
      <c r="AD5755">
        <v>-1.1117506628630001</v>
      </c>
      <c r="AE5755">
        <v>-19.4848199999999</v>
      </c>
      <c r="AF5755">
        <v>-6.2698130809767703</v>
      </c>
      <c r="AG5755">
        <v>-1.1117506628630001</v>
      </c>
      <c r="AH5755">
        <v>20.7196944978941</v>
      </c>
      <c r="AI5755">
        <v>92.939950038118198</v>
      </c>
      <c r="AJ5755">
        <v>106.83590000905301</v>
      </c>
      <c r="AK5755">
        <v>21.6760763445054</v>
      </c>
      <c r="AL5755">
        <v>90.084031054472405</v>
      </c>
      <c r="AM5755">
        <v>89.156784455400199</v>
      </c>
      <c r="AN5755">
        <v>0.99999996679985603</v>
      </c>
    </row>
    <row r="5756" spans="1:40" x14ac:dyDescent="0.25">
      <c r="A5756" t="str">
        <f>"20190312161134190"</f>
        <v>20190312161134190</v>
      </c>
      <c r="B5756" t="str">
        <f>"1552378294182949"</f>
        <v>1552378294182949</v>
      </c>
      <c r="C5756" t="s">
        <v>40</v>
      </c>
      <c r="D5756">
        <v>5.7385109999999999</v>
      </c>
      <c r="E5756">
        <v>0.37998100000000001</v>
      </c>
      <c r="F5756" t="s">
        <v>78</v>
      </c>
      <c r="G5756">
        <v>-289.58210000000003</v>
      </c>
      <c r="H5756" s="1">
        <v>-3.6751280000000001E-6</v>
      </c>
      <c r="I5756">
        <v>-60.65258</v>
      </c>
      <c r="J5756">
        <v>-299.10739999999998</v>
      </c>
      <c r="K5756">
        <v>1.1118110000000001</v>
      </c>
      <c r="L5756">
        <v>-41.478180000000002</v>
      </c>
      <c r="M5756">
        <v>0.16602349999999999</v>
      </c>
      <c r="N5756">
        <v>0</v>
      </c>
      <c r="O5756">
        <v>-0.98602970000000001</v>
      </c>
      <c r="P5756">
        <v>0.1510271</v>
      </c>
      <c r="Q5756">
        <v>-1.331589E-2</v>
      </c>
      <c r="R5756">
        <v>-0.98844019999999999</v>
      </c>
      <c r="S5756">
        <v>1.389832</v>
      </c>
      <c r="T5756">
        <v>-0.16131999999999999</v>
      </c>
      <c r="U5756">
        <v>-2.8241879999999999</v>
      </c>
      <c r="V5756">
        <v>1.518772E-2</v>
      </c>
      <c r="W5756">
        <v>2.3824379999999999E-4</v>
      </c>
      <c r="X5756">
        <v>0.99988460000000001</v>
      </c>
      <c r="Y5756">
        <v>-0.28584660000000001</v>
      </c>
      <c r="Z5756">
        <v>5.1715730000000001E-2</v>
      </c>
      <c r="AA5756">
        <v>0.95687889999999998</v>
      </c>
      <c r="AB5756">
        <v>19</v>
      </c>
      <c r="AC5756">
        <v>9.5252999999999606</v>
      </c>
      <c r="AD5756">
        <v>-1.111814675128</v>
      </c>
      <c r="AE5756">
        <v>-19.174399999999999</v>
      </c>
      <c r="AF5756">
        <v>-6.1926918726330697</v>
      </c>
      <c r="AG5756">
        <v>-1.111814675128</v>
      </c>
      <c r="AH5756">
        <v>20.434706350361701</v>
      </c>
      <c r="AI5756">
        <v>92.980681065605296</v>
      </c>
      <c r="AJ5756">
        <v>106.85931456153099</v>
      </c>
      <c r="AK5756">
        <v>21.3813654411199</v>
      </c>
      <c r="AL5756">
        <v>89.986349635205102</v>
      </c>
      <c r="AM5756">
        <v>89.129774233868005</v>
      </c>
      <c r="AN5756">
        <v>0.99999996845803196</v>
      </c>
    </row>
    <row r="5757" spans="1:40" x14ac:dyDescent="0.25">
      <c r="A5757" t="str">
        <f>"20190312161134222"</f>
        <v>20190312161134222</v>
      </c>
      <c r="B5757" t="str">
        <f>"1552378294212787"</f>
        <v>1552378294212787</v>
      </c>
      <c r="C5757" t="s">
        <v>40</v>
      </c>
      <c r="D5757">
        <v>5.6984659999999998</v>
      </c>
      <c r="E5757">
        <v>0.38008520000000001</v>
      </c>
      <c r="F5757" t="s">
        <v>78</v>
      </c>
      <c r="G5757">
        <v>-289.18439999999998</v>
      </c>
      <c r="H5757" s="1">
        <v>-3.7336589999999999E-6</v>
      </c>
      <c r="I5757">
        <v>-61.448030000000003</v>
      </c>
      <c r="J5757">
        <v>-299.05759999999998</v>
      </c>
      <c r="K5757">
        <v>1.111861</v>
      </c>
      <c r="L5757">
        <v>-41.742579999999997</v>
      </c>
      <c r="M5757">
        <v>0.17018229999999901</v>
      </c>
      <c r="N5757">
        <v>0</v>
      </c>
      <c r="O5757">
        <v>-0.98532010000000003</v>
      </c>
      <c r="P5757">
        <v>0.15626590000000001</v>
      </c>
      <c r="Q5757">
        <v>-1.229542E-2</v>
      </c>
      <c r="R5757">
        <v>-0.98763849999999997</v>
      </c>
      <c r="S5757">
        <v>1.4007259999999999</v>
      </c>
      <c r="T5757">
        <v>-0.15694359999999999</v>
      </c>
      <c r="U5757">
        <v>-2.8189389999999999</v>
      </c>
      <c r="V5757">
        <v>1.410322E-2</v>
      </c>
      <c r="W5757">
        <v>1.257244E-3</v>
      </c>
      <c r="X5757">
        <v>0.99989969999999995</v>
      </c>
      <c r="Y5757">
        <v>-0.28551209999999999</v>
      </c>
      <c r="Z5757">
        <v>5.0307659999999997E-2</v>
      </c>
      <c r="AA5757">
        <v>0.95705379999999995</v>
      </c>
      <c r="AB5757">
        <v>19</v>
      </c>
      <c r="AC5757">
        <v>9.87319999999999</v>
      </c>
      <c r="AD5757">
        <v>-1.111864733659</v>
      </c>
      <c r="AE5757">
        <v>-19.705449999999999</v>
      </c>
      <c r="AF5757">
        <v>-6.3591417196987399</v>
      </c>
      <c r="AG5757">
        <v>-1.111864733659</v>
      </c>
      <c r="AH5757">
        <v>21.044787343857799</v>
      </c>
      <c r="AI5757">
        <v>92.895253159008604</v>
      </c>
      <c r="AJ5757">
        <v>106.813337527976</v>
      </c>
      <c r="AK5757">
        <v>22.012678186567101</v>
      </c>
      <c r="AL5757">
        <v>89.927965202098093</v>
      </c>
      <c r="AM5757">
        <v>89.191917544403296</v>
      </c>
      <c r="AN5757">
        <v>0.99999994576846496</v>
      </c>
    </row>
    <row r="5758" spans="1:40" x14ac:dyDescent="0.25">
      <c r="A5758" t="str">
        <f>"20190312161134257"</f>
        <v>20190312161134257</v>
      </c>
      <c r="B5758" t="str">
        <f>"1552378294252803"</f>
        <v>1552378294252803</v>
      </c>
      <c r="C5758" t="s">
        <v>40</v>
      </c>
      <c r="D5758">
        <v>5.7212889999999996</v>
      </c>
      <c r="E5758">
        <v>0.3801813</v>
      </c>
      <c r="F5758" t="s">
        <v>78</v>
      </c>
      <c r="G5758">
        <v>-289.03890000000001</v>
      </c>
      <c r="H5758" s="1">
        <v>-3.7696220000000001E-6</v>
      </c>
      <c r="I5758">
        <v>-61.65728</v>
      </c>
      <c r="J5758">
        <v>-299.00279999999998</v>
      </c>
      <c r="K5758">
        <v>1.1118950000000001</v>
      </c>
      <c r="L5758">
        <v>-42.025570000000002</v>
      </c>
      <c r="M5758">
        <v>0.17476900000000001</v>
      </c>
      <c r="N5758">
        <v>0</v>
      </c>
      <c r="O5758">
        <v>-0.98451690000000003</v>
      </c>
      <c r="P5758">
        <v>0.16336199999999901</v>
      </c>
      <c r="Q5758">
        <v>-1.294992E-2</v>
      </c>
      <c r="R5758">
        <v>-0.98648139999999995</v>
      </c>
      <c r="S5758">
        <v>1.4145509999999999</v>
      </c>
      <c r="T5758">
        <v>-0.15698480000000001</v>
      </c>
      <c r="U5758">
        <v>-2.8117679999999998</v>
      </c>
      <c r="V5758">
        <v>1.1572560000000001E-2</v>
      </c>
      <c r="W5758">
        <v>5.9491790000000002E-4</v>
      </c>
      <c r="X5758">
        <v>0.99993290000000001</v>
      </c>
      <c r="Y5758">
        <v>-0.28578399999999998</v>
      </c>
      <c r="Z5758">
        <v>5.031919E-2</v>
      </c>
      <c r="AA5758">
        <v>0.95697209999999999</v>
      </c>
      <c r="AB5758">
        <v>19</v>
      </c>
      <c r="AC5758">
        <v>9.9638999999999598</v>
      </c>
      <c r="AD5758">
        <v>-1.111898769622</v>
      </c>
      <c r="AE5758">
        <v>-19.631710000000002</v>
      </c>
      <c r="AF5758">
        <v>-6.3629645098383598</v>
      </c>
      <c r="AG5758">
        <v>-1.111898769622</v>
      </c>
      <c r="AH5758">
        <v>21.017440716659099</v>
      </c>
      <c r="AI5758">
        <v>92.898641302876698</v>
      </c>
      <c r="AJ5758">
        <v>106.843524187835</v>
      </c>
      <c r="AK5758">
        <v>21.987643132123701</v>
      </c>
      <c r="AL5758">
        <v>89.965913714569794</v>
      </c>
      <c r="AM5758">
        <v>89.336926263047104</v>
      </c>
      <c r="AN5758">
        <v>1.00000004128733</v>
      </c>
    </row>
    <row r="5759" spans="1:40" x14ac:dyDescent="0.25">
      <c r="A5759" t="str">
        <f>"20190312161134291"</f>
        <v>20190312161134291</v>
      </c>
      <c r="B5759" t="str">
        <f>"1552378294283059"</f>
        <v>1552378294283059</v>
      </c>
      <c r="C5759" t="s">
        <v>40</v>
      </c>
      <c r="D5759">
        <v>5.7733650000000001</v>
      </c>
      <c r="E5759">
        <v>0.38037399999999999</v>
      </c>
      <c r="F5759" t="s">
        <v>78</v>
      </c>
      <c r="G5759">
        <v>-288.94479999999999</v>
      </c>
      <c r="H5759" s="1">
        <v>-3.8144849999999999E-6</v>
      </c>
      <c r="I5759">
        <v>-61.67136</v>
      </c>
      <c r="J5759">
        <v>-298.94619999999998</v>
      </c>
      <c r="K5759">
        <v>1.1119300000000001</v>
      </c>
      <c r="L5759">
        <v>-42.310549999999999</v>
      </c>
      <c r="M5759">
        <v>0.17951329999999999</v>
      </c>
      <c r="N5759">
        <v>0</v>
      </c>
      <c r="O5759">
        <v>-0.98366310000000001</v>
      </c>
      <c r="P5759">
        <v>0.16936389999999901</v>
      </c>
      <c r="Q5759">
        <v>-1.183318E-2</v>
      </c>
      <c r="R5759">
        <v>-0.98548279999999999</v>
      </c>
      <c r="S5759">
        <v>1.434296</v>
      </c>
      <c r="T5759">
        <v>-0.15855820000000001</v>
      </c>
      <c r="U5759">
        <v>-2.8015140000000001</v>
      </c>
      <c r="V5759">
        <v>1.030443E-2</v>
      </c>
      <c r="W5759">
        <v>1.709286E-3</v>
      </c>
      <c r="X5759">
        <v>0.99994550000000004</v>
      </c>
      <c r="Y5759">
        <v>-0.28791650000000002</v>
      </c>
      <c r="Z5759">
        <v>5.0827869999999997E-2</v>
      </c>
      <c r="AA5759">
        <v>0.95630570000000004</v>
      </c>
      <c r="AB5759">
        <v>19</v>
      </c>
      <c r="AC5759">
        <v>10.001399999999901</v>
      </c>
      <c r="AD5759">
        <v>-1.1119338144849999</v>
      </c>
      <c r="AE5759">
        <v>-19.360810000000001</v>
      </c>
      <c r="AF5759">
        <v>-6.3465396959825799</v>
      </c>
      <c r="AG5759">
        <v>-1.1119338144849999</v>
      </c>
      <c r="AH5759">
        <v>20.787670146914301</v>
      </c>
      <c r="AI5759">
        <v>92.928636742144107</v>
      </c>
      <c r="AJ5759">
        <v>106.97759176706001</v>
      </c>
      <c r="AK5759">
        <v>21.763322197159901</v>
      </c>
      <c r="AL5759">
        <v>89.902065083716394</v>
      </c>
      <c r="AM5759">
        <v>89.409588370712399</v>
      </c>
      <c r="AN5759">
        <v>1.00000005295325</v>
      </c>
    </row>
    <row r="5760" spans="1:40" x14ac:dyDescent="0.25">
      <c r="A5760" t="str">
        <f>"20190312161134322"</f>
        <v>20190312161134322</v>
      </c>
      <c r="B5760" t="str">
        <f>"1552378294312892"</f>
        <v>1552378294312892</v>
      </c>
      <c r="C5760" t="s">
        <v>40</v>
      </c>
      <c r="D5760">
        <v>5.708501</v>
      </c>
      <c r="E5760">
        <v>0.38045400000000001</v>
      </c>
      <c r="F5760" t="s">
        <v>78</v>
      </c>
      <c r="G5760">
        <v>-288.67779999999999</v>
      </c>
      <c r="H5760" s="1">
        <v>-3.8735219999999996E-6</v>
      </c>
      <c r="I5760">
        <v>-62.094239999999999</v>
      </c>
      <c r="J5760">
        <v>-298.89350000000002</v>
      </c>
      <c r="K5760">
        <v>1.111958</v>
      </c>
      <c r="L5760">
        <v>-42.569429999999997</v>
      </c>
      <c r="M5760">
        <v>0.18391080000000001</v>
      </c>
      <c r="N5760">
        <v>0</v>
      </c>
      <c r="O5760">
        <v>-0.98285029999999995</v>
      </c>
      <c r="P5760">
        <v>0.1733547</v>
      </c>
      <c r="Q5760">
        <v>-1.0827379999999999E-2</v>
      </c>
      <c r="R5760">
        <v>-0.98480009999999996</v>
      </c>
      <c r="S5760">
        <v>1.449738</v>
      </c>
      <c r="T5760">
        <v>-0.15698790000000001</v>
      </c>
      <c r="U5760">
        <v>-2.7931520000000001</v>
      </c>
      <c r="V5760">
        <v>1.072387E-2</v>
      </c>
      <c r="W5760">
        <v>2.7182700000000001E-3</v>
      </c>
      <c r="X5760">
        <v>0.99993880000000002</v>
      </c>
      <c r="Y5760">
        <v>-0.28898040000000003</v>
      </c>
      <c r="Z5760">
        <v>5.0328400000000002E-2</v>
      </c>
      <c r="AA5760">
        <v>0.95601119999999995</v>
      </c>
      <c r="AB5760">
        <v>19</v>
      </c>
      <c r="AC5760">
        <v>10.2157</v>
      </c>
      <c r="AD5760">
        <v>-1.111961873522</v>
      </c>
      <c r="AE5760">
        <v>-19.524809999999999</v>
      </c>
      <c r="AF5760">
        <v>-6.4338847246325503</v>
      </c>
      <c r="AG5760">
        <v>-1.111961873522</v>
      </c>
      <c r="AH5760">
        <v>21.017144297242499</v>
      </c>
      <c r="AI5760">
        <v>92.896123468641505</v>
      </c>
      <c r="AJ5760">
        <v>107.02068773225299</v>
      </c>
      <c r="AK5760">
        <v>22.0079914183267</v>
      </c>
      <c r="AL5760">
        <v>89.844254409164506</v>
      </c>
      <c r="AM5760">
        <v>89.385553459612197</v>
      </c>
      <c r="AN5760">
        <v>0.99999999706250398</v>
      </c>
    </row>
    <row r="5761" spans="1:40" x14ac:dyDescent="0.25">
      <c r="A5761" t="str">
        <f>"20190312161134357"</f>
        <v>20190312161134357</v>
      </c>
      <c r="B5761" t="str">
        <f>"1552378294352907"</f>
        <v>1552378294352907</v>
      </c>
      <c r="C5761" t="s">
        <v>40</v>
      </c>
      <c r="D5761">
        <v>5.7104299999999997</v>
      </c>
      <c r="E5761">
        <v>0.38064140000000002</v>
      </c>
      <c r="F5761" t="s">
        <v>78</v>
      </c>
      <c r="G5761">
        <v>-288.51659999999998</v>
      </c>
      <c r="H5761" s="1">
        <v>-3.9051330000000004E-6</v>
      </c>
      <c r="I5761">
        <v>-62.372410000000002</v>
      </c>
      <c r="J5761">
        <v>-298.83609999999999</v>
      </c>
      <c r="K5761">
        <v>1.1119760000000001</v>
      </c>
      <c r="L5761">
        <v>-42.843350000000001</v>
      </c>
      <c r="M5761">
        <v>0.1886515</v>
      </c>
      <c r="N5761">
        <v>0</v>
      </c>
      <c r="O5761">
        <v>-0.98195140000000003</v>
      </c>
      <c r="P5761">
        <v>0.17757890000000001</v>
      </c>
      <c r="Q5761">
        <v>-1.0553409999999999E-2</v>
      </c>
      <c r="R5761">
        <v>-0.98404999999999998</v>
      </c>
      <c r="S5761">
        <v>1.4606319999999999</v>
      </c>
      <c r="T5761">
        <v>-0.1565185</v>
      </c>
      <c r="U5761">
        <v>-2.787445</v>
      </c>
      <c r="V5761">
        <v>1.1257619999999999E-2</v>
      </c>
      <c r="W5761">
        <v>2.9943579999999999E-3</v>
      </c>
      <c r="X5761">
        <v>0.99993220000000005</v>
      </c>
      <c r="Y5761">
        <v>-0.2881012</v>
      </c>
      <c r="Z5761">
        <v>5.016441E-2</v>
      </c>
      <c r="AA5761">
        <v>0.9562851</v>
      </c>
      <c r="AB5761">
        <v>19</v>
      </c>
      <c r="AC5761">
        <v>10.3195</v>
      </c>
      <c r="AD5761">
        <v>-1.1119799051329999</v>
      </c>
      <c r="AE5761">
        <v>-19.529059999999902</v>
      </c>
      <c r="AF5761">
        <v>-6.4333431427638299</v>
      </c>
      <c r="AG5761">
        <v>-1.1119799051329999</v>
      </c>
      <c r="AH5761">
        <v>21.071894361902402</v>
      </c>
      <c r="AI5761">
        <v>92.889320223772799</v>
      </c>
      <c r="AJ5761">
        <v>106.977663694881</v>
      </c>
      <c r="AK5761">
        <v>22.0601254597779</v>
      </c>
      <c r="AL5761">
        <v>89.828435676857296</v>
      </c>
      <c r="AM5761">
        <v>89.354969403594296</v>
      </c>
      <c r="AN5761">
        <v>1.00000005239236</v>
      </c>
    </row>
    <row r="5762" spans="1:40" x14ac:dyDescent="0.25">
      <c r="A5762" t="str">
        <f>"20190312161134390"</f>
        <v>20190312161134390</v>
      </c>
      <c r="B5762" t="str">
        <f>"1552378294383163"</f>
        <v>1552378294383163</v>
      </c>
      <c r="C5762" t="s">
        <v>40</v>
      </c>
      <c r="D5762">
        <v>5.7195210000000003</v>
      </c>
      <c r="E5762">
        <v>0.38079449999999998</v>
      </c>
      <c r="F5762" t="s">
        <v>78</v>
      </c>
      <c r="G5762">
        <v>-288.51170000000002</v>
      </c>
      <c r="H5762" s="1">
        <v>-3.9085349999999998E-6</v>
      </c>
      <c r="I5762">
        <v>-62.367089999999997</v>
      </c>
      <c r="J5762">
        <v>-298.77780000000001</v>
      </c>
      <c r="K5762">
        <v>1.112001</v>
      </c>
      <c r="L5762">
        <v>-43.115049999999997</v>
      </c>
      <c r="M5762">
        <v>0.19343589999999999</v>
      </c>
      <c r="N5762">
        <v>0</v>
      </c>
      <c r="O5762">
        <v>-0.98102</v>
      </c>
      <c r="P5762">
        <v>0.18295249999999999</v>
      </c>
      <c r="Q5762">
        <v>-1.0834709999999999E-2</v>
      </c>
      <c r="R5762">
        <v>-0.98306199999999999</v>
      </c>
      <c r="S5762">
        <v>1.4708859999999999</v>
      </c>
      <c r="T5762">
        <v>-0.158420799999999</v>
      </c>
      <c r="U5762">
        <v>-2.7814939999999999</v>
      </c>
      <c r="V5762">
        <v>1.066945E-2</v>
      </c>
      <c r="W5762">
        <v>2.7115949999999998E-3</v>
      </c>
      <c r="X5762">
        <v>0.99993940000000003</v>
      </c>
      <c r="Y5762">
        <v>-0.28701890000000002</v>
      </c>
      <c r="Z5762">
        <v>5.0763559999999999E-2</v>
      </c>
      <c r="AA5762">
        <v>0.95657890000000001</v>
      </c>
      <c r="AB5762">
        <v>19</v>
      </c>
      <c r="AC5762">
        <v>10.2660999999999</v>
      </c>
      <c r="AD5762">
        <v>-1.1120049085349999</v>
      </c>
      <c r="AE5762">
        <v>-19.252040000000001</v>
      </c>
      <c r="AF5762">
        <v>-6.3313459750623</v>
      </c>
      <c r="AG5762">
        <v>-1.1120049085349999</v>
      </c>
      <c r="AH5762">
        <v>20.820288295637901</v>
      </c>
      <c r="AI5762">
        <v>92.925226595906096</v>
      </c>
      <c r="AJ5762">
        <v>106.91425532581</v>
      </c>
      <c r="AK5762">
        <v>21.7900642836596</v>
      </c>
      <c r="AL5762">
        <v>89.844636859861296</v>
      </c>
      <c r="AM5762">
        <v>89.388671696773798</v>
      </c>
      <c r="AN5762">
        <v>0.99999999679155305</v>
      </c>
    </row>
    <row r="5763" spans="1:40" x14ac:dyDescent="0.25">
      <c r="A5763" t="str">
        <f>"20190312161134423"</f>
        <v>20190312161134423</v>
      </c>
      <c r="B5763" t="str">
        <f>"1552378294412730"</f>
        <v>1552378294412730</v>
      </c>
      <c r="C5763" t="s">
        <v>40</v>
      </c>
      <c r="D5763">
        <v>5.7143610000000002</v>
      </c>
      <c r="E5763">
        <v>0.3809613</v>
      </c>
      <c r="F5763" t="s">
        <v>78</v>
      </c>
      <c r="G5763">
        <v>-288.5942</v>
      </c>
      <c r="H5763" s="1">
        <v>-3.908012E-6</v>
      </c>
      <c r="I5763">
        <v>-62.136969999999998</v>
      </c>
      <c r="J5763">
        <v>-298.7192</v>
      </c>
      <c r="K5763">
        <v>1.112025</v>
      </c>
      <c r="L5763">
        <v>-43.381770000000003</v>
      </c>
      <c r="M5763">
        <v>0.1982062</v>
      </c>
      <c r="N5763">
        <v>0</v>
      </c>
      <c r="O5763">
        <v>-0.98006760000000004</v>
      </c>
      <c r="P5763">
        <v>0.1872568</v>
      </c>
      <c r="Q5763">
        <v>-1.011484E-2</v>
      </c>
      <c r="R5763">
        <v>-0.9822592</v>
      </c>
      <c r="S5763">
        <v>1.4848629999999901</v>
      </c>
      <c r="T5763">
        <v>-0.162139899999999</v>
      </c>
      <c r="U5763">
        <v>-2.7735599999999998</v>
      </c>
      <c r="V5763">
        <v>1.1152520000000001E-2</v>
      </c>
      <c r="W5763">
        <v>3.434E-3</v>
      </c>
      <c r="X5763">
        <v>0.99993189999999998</v>
      </c>
      <c r="Y5763">
        <v>-0.28721479999999999</v>
      </c>
      <c r="Z5763">
        <v>5.194762E-2</v>
      </c>
      <c r="AA5763">
        <v>0.95645650000000004</v>
      </c>
      <c r="AB5763">
        <v>19</v>
      </c>
      <c r="AC5763">
        <v>10.125</v>
      </c>
      <c r="AD5763">
        <v>-1.1120289080120001</v>
      </c>
      <c r="AE5763">
        <v>-18.755199999999899</v>
      </c>
      <c r="AF5763">
        <v>-6.1895028433180297</v>
      </c>
      <c r="AG5763">
        <v>-1.1120289080120001</v>
      </c>
      <c r="AH5763">
        <v>20.334700692377101</v>
      </c>
      <c r="AI5763">
        <v>92.994780782755797</v>
      </c>
      <c r="AJ5763">
        <v>106.929268915701</v>
      </c>
      <c r="AK5763">
        <v>21.284891495806601</v>
      </c>
      <c r="AL5763">
        <v>89.803245904060702</v>
      </c>
      <c r="AM5763">
        <v>89.360990650504704</v>
      </c>
      <c r="AN5763">
        <v>0.99999998784798005</v>
      </c>
    </row>
    <row r="5764" spans="1:40" x14ac:dyDescent="0.25">
      <c r="A5764" t="str">
        <f>"20190312161135005"</f>
        <v>20190312161135005</v>
      </c>
      <c r="B5764" t="str">
        <f>"1552378294993451"</f>
        <v>1552378294993451</v>
      </c>
      <c r="C5764" t="s">
        <v>40</v>
      </c>
      <c r="D5764">
        <v>5.5340389999999999</v>
      </c>
      <c r="E5764">
        <v>0.38863120000000001</v>
      </c>
      <c r="F5764" t="s">
        <v>78</v>
      </c>
      <c r="G5764">
        <v>-288.40789999999998</v>
      </c>
      <c r="H5764" s="1">
        <v>-3.9446189999999998E-6</v>
      </c>
      <c r="I5764">
        <v>-62.457920000000001</v>
      </c>
      <c r="J5764">
        <v>-297.45159999999998</v>
      </c>
      <c r="K5764">
        <v>1.112986</v>
      </c>
      <c r="L5764">
        <v>-47.902830000000002</v>
      </c>
      <c r="M5764">
        <v>0.30184429999999901</v>
      </c>
      <c r="N5764">
        <v>0</v>
      </c>
      <c r="O5764">
        <v>-0.95326049999999996</v>
      </c>
      <c r="P5764">
        <v>0.30026019999999998</v>
      </c>
      <c r="Q5764">
        <v>-6.9196559999999997E-3</v>
      </c>
      <c r="R5764">
        <v>-0.95383240000000002</v>
      </c>
      <c r="S5764">
        <v>1.4958499999999999</v>
      </c>
      <c r="T5764">
        <v>-0.1613214</v>
      </c>
      <c r="U5764">
        <v>-2.7673649999999999</v>
      </c>
      <c r="V5764">
        <v>1.6402179999999999E-3</v>
      </c>
      <c r="W5764">
        <v>6.671682E-3</v>
      </c>
      <c r="X5764">
        <v>0.99997639999999999</v>
      </c>
      <c r="Y5764">
        <v>-0.18714069999999999</v>
      </c>
      <c r="Z5764">
        <v>5.0288989999999999E-2</v>
      </c>
      <c r="AA5764">
        <v>0.98104499999999994</v>
      </c>
      <c r="AB5764">
        <v>18</v>
      </c>
      <c r="AC5764">
        <v>9.0436999999999994</v>
      </c>
      <c r="AD5764">
        <v>-1.1129899446189999</v>
      </c>
      <c r="AE5764">
        <v>-14.5550899999999</v>
      </c>
      <c r="AF5764">
        <v>-4.2102595447801097</v>
      </c>
      <c r="AG5764">
        <v>-1.1129899446189999</v>
      </c>
      <c r="AH5764">
        <v>16.536352848989701</v>
      </c>
      <c r="AI5764">
        <v>93.731817664575502</v>
      </c>
      <c r="AJ5764">
        <v>104.284369512784</v>
      </c>
      <c r="AK5764">
        <v>17.100175367449499</v>
      </c>
      <c r="AL5764">
        <v>89.617737943700902</v>
      </c>
      <c r="AM5764">
        <v>89.906020297477895</v>
      </c>
      <c r="AN5764">
        <v>1.0000000011063701</v>
      </c>
    </row>
    <row r="5765" spans="1:40" x14ac:dyDescent="0.25">
      <c r="A5765" t="str">
        <f>"20190312161135033"</f>
        <v>20190312161135033</v>
      </c>
      <c r="B5765" t="str">
        <f>"1552378295023706"</f>
        <v>1552378295023706</v>
      </c>
      <c r="C5765" t="s">
        <v>40</v>
      </c>
      <c r="D5765">
        <v>5.5924759999999996</v>
      </c>
      <c r="E5765">
        <v>0.39022370000000001</v>
      </c>
      <c r="F5765" t="s">
        <v>81</v>
      </c>
      <c r="G5765">
        <v>-274.8399</v>
      </c>
      <c r="H5765">
        <v>0.44062810000000002</v>
      </c>
      <c r="I5765">
        <v>-81.452370000000002</v>
      </c>
      <c r="J5765">
        <v>-297.37470000000002</v>
      </c>
      <c r="K5765">
        <v>1.113038</v>
      </c>
      <c r="L5765">
        <v>-48.117890000000003</v>
      </c>
      <c r="M5765">
        <v>0.30842540000000002</v>
      </c>
      <c r="N5765">
        <v>0</v>
      </c>
      <c r="O5765">
        <v>-0.95115150000000004</v>
      </c>
      <c r="P5765">
        <v>0.30796859999999998</v>
      </c>
      <c r="Q5765">
        <v>-7.0274880000000001E-3</v>
      </c>
      <c r="R5765">
        <v>-0.95137070000000001</v>
      </c>
      <c r="S5765">
        <v>1.7485660000000001</v>
      </c>
      <c r="T5765">
        <v>-5.1992539999999997E-2</v>
      </c>
      <c r="U5765">
        <v>-2.5943909999999999</v>
      </c>
      <c r="V5765">
        <v>4.5918210000000002E-4</v>
      </c>
      <c r="W5765">
        <v>6.5663029999999999E-3</v>
      </c>
      <c r="X5765">
        <v>0.99997840000000005</v>
      </c>
      <c r="Y5765">
        <v>-0.27577740000000001</v>
      </c>
      <c r="Z5765">
        <v>1.652665E-2</v>
      </c>
      <c r="AA5765">
        <v>0.96107949999999998</v>
      </c>
      <c r="AB5765">
        <v>18</v>
      </c>
      <c r="AC5765">
        <v>22.534800000000001</v>
      </c>
      <c r="AD5765">
        <v>-0.67240989999999901</v>
      </c>
      <c r="AE5765">
        <v>-33.334479999999999</v>
      </c>
      <c r="AF5765">
        <v>-11.1507239902032</v>
      </c>
      <c r="AG5765">
        <v>-0.67240989999999901</v>
      </c>
      <c r="AH5765">
        <v>38.649220314465303</v>
      </c>
      <c r="AI5765">
        <v>90.957664721352899</v>
      </c>
      <c r="AJ5765">
        <v>106.093430895719</v>
      </c>
      <c r="AK5765">
        <v>40.231244220075901</v>
      </c>
      <c r="AL5765">
        <v>89.623775871507902</v>
      </c>
      <c r="AM5765">
        <v>89.973690237200302</v>
      </c>
      <c r="AN5765">
        <v>1.00000006382492</v>
      </c>
    </row>
    <row r="5766" spans="1:40" x14ac:dyDescent="0.25">
      <c r="A5766" t="str">
        <f>"20190312161135059"</f>
        <v>20190312161135059</v>
      </c>
      <c r="B5766" t="str">
        <f>"1552378295052986"</f>
        <v>1552378295052986</v>
      </c>
      <c r="C5766" t="s">
        <v>40</v>
      </c>
      <c r="D5766">
        <v>5.7889019999999896</v>
      </c>
      <c r="E5766">
        <v>0.41487869999999999</v>
      </c>
      <c r="F5766" t="s">
        <v>81</v>
      </c>
      <c r="G5766">
        <v>-274.8399</v>
      </c>
      <c r="H5766">
        <v>0.51839020000000002</v>
      </c>
      <c r="I5766">
        <v>-81.257829999999998</v>
      </c>
      <c r="J5766">
        <v>-297.30399999999997</v>
      </c>
      <c r="K5766">
        <v>1.1130789999999999</v>
      </c>
      <c r="L5766">
        <v>-48.311129999999999</v>
      </c>
      <c r="M5766">
        <v>0.31445479999999998</v>
      </c>
      <c r="N5766">
        <v>0</v>
      </c>
      <c r="O5766">
        <v>-0.94917510000000005</v>
      </c>
      <c r="P5766">
        <v>0.31493719999999997</v>
      </c>
      <c r="Q5766">
        <v>-6.9168550000000004E-3</v>
      </c>
      <c r="R5766">
        <v>-0.94908740000000003</v>
      </c>
      <c r="S5766">
        <v>1.7572019999999999</v>
      </c>
      <c r="T5766">
        <v>-4.6368119999999999E-2</v>
      </c>
      <c r="U5766">
        <v>-2.5841669999999999</v>
      </c>
      <c r="V5766">
        <v>-5.3005629999999999E-4</v>
      </c>
      <c r="W5766">
        <v>6.6783569999999898E-3</v>
      </c>
      <c r="X5766">
        <v>0.99997760000000002</v>
      </c>
      <c r="Y5766">
        <v>-0.27365319999999999</v>
      </c>
      <c r="Z5766">
        <v>1.473432E-2</v>
      </c>
      <c r="AA5766">
        <v>0.9617156</v>
      </c>
      <c r="AB5766">
        <v>18</v>
      </c>
      <c r="AC5766">
        <v>22.464099999999998</v>
      </c>
      <c r="AD5766">
        <v>-0.59468880000000002</v>
      </c>
      <c r="AE5766">
        <v>-32.9467</v>
      </c>
      <c r="AF5766">
        <v>-10.9606917503574</v>
      </c>
      <c r="AG5766">
        <v>-0.59468880000000002</v>
      </c>
      <c r="AH5766">
        <v>38.331149114165598</v>
      </c>
      <c r="AI5766">
        <v>90.854597661400405</v>
      </c>
      <c r="AJ5766">
        <v>105.9577426334</v>
      </c>
      <c r="AK5766">
        <v>39.871887475107002</v>
      </c>
      <c r="AL5766">
        <v>89.6173555011014</v>
      </c>
      <c r="AM5766">
        <v>90.030370666352795</v>
      </c>
      <c r="AN5766">
        <v>1.0000000409568199</v>
      </c>
    </row>
    <row r="5767" spans="1:40" x14ac:dyDescent="0.25">
      <c r="A5767" t="str">
        <f>"20190312161135094"</f>
        <v>20190312161135094</v>
      </c>
      <c r="B5767" t="str">
        <f>"1552378295083242"</f>
        <v>1552378295083242</v>
      </c>
      <c r="C5767" t="s">
        <v>40</v>
      </c>
      <c r="D5767">
        <v>5.8401620000000003</v>
      </c>
      <c r="E5767">
        <v>0.40730499999999997</v>
      </c>
      <c r="F5767" t="s">
        <v>78</v>
      </c>
      <c r="G5767">
        <v>-282.49</v>
      </c>
      <c r="H5767">
        <v>7.9986929999999998E-2</v>
      </c>
      <c r="I5767">
        <v>-72.835139999999996</v>
      </c>
      <c r="J5767">
        <v>-297.2097</v>
      </c>
      <c r="K5767">
        <v>1.113162</v>
      </c>
      <c r="L5767">
        <v>-48.562350000000002</v>
      </c>
      <c r="M5767">
        <v>0.32254389999999999</v>
      </c>
      <c r="N5767">
        <v>0</v>
      </c>
      <c r="O5767">
        <v>-0.94645679999999999</v>
      </c>
      <c r="P5767">
        <v>0.3240711</v>
      </c>
      <c r="Q5767">
        <v>-6.6008330000000004E-3</v>
      </c>
      <c r="R5767">
        <v>-0.94601020000000002</v>
      </c>
      <c r="S5767">
        <v>1.590179</v>
      </c>
      <c r="T5767">
        <v>-0.11089499999999999</v>
      </c>
      <c r="U5767">
        <v>-2.6324770000000002</v>
      </c>
      <c r="V5767">
        <v>-1.6372429999999901E-3</v>
      </c>
      <c r="W5767">
        <v>6.99783E-3</v>
      </c>
      <c r="X5767">
        <v>0.99997420000000004</v>
      </c>
      <c r="Y5767">
        <v>-0.21296300000000001</v>
      </c>
      <c r="Z5767">
        <v>3.5361789999999997E-2</v>
      </c>
      <c r="AA5767">
        <v>0.97642019999999996</v>
      </c>
      <c r="AB5767">
        <v>18</v>
      </c>
      <c r="AC5767">
        <v>14.7196999999999</v>
      </c>
      <c r="AD5767">
        <v>-1.03317507</v>
      </c>
      <c r="AE5767">
        <v>-24.272790000000001</v>
      </c>
      <c r="AF5767">
        <v>-6.0950105055240797</v>
      </c>
      <c r="AG5767">
        <v>-1.03317507</v>
      </c>
      <c r="AH5767">
        <v>27.686785340074799</v>
      </c>
      <c r="AI5767">
        <v>92.087158599322507</v>
      </c>
      <c r="AJ5767">
        <v>102.415151469691</v>
      </c>
      <c r="AK5767">
        <v>28.368551007323202</v>
      </c>
      <c r="AL5767">
        <v>89.599050613009595</v>
      </c>
      <c r="AM5767">
        <v>90.093809450398297</v>
      </c>
      <c r="AN5767">
        <v>1.0000000254274899</v>
      </c>
    </row>
    <row r="5768" spans="1:40" x14ac:dyDescent="0.25">
      <c r="A5768" t="str">
        <f>"20190312161135139"</f>
        <v>20190312161135139</v>
      </c>
      <c r="B5768" t="str">
        <f>"1552378295133018"</f>
        <v>1552378295133018</v>
      </c>
      <c r="C5768" t="s">
        <v>40</v>
      </c>
      <c r="D5768">
        <v>5.8221379999999998</v>
      </c>
      <c r="E5768">
        <v>0.40559509999999899</v>
      </c>
      <c r="F5768" t="s">
        <v>78</v>
      </c>
      <c r="G5768">
        <v>-289.54239999999999</v>
      </c>
      <c r="H5768" s="1">
        <v>-3.7325249999999999E-6</v>
      </c>
      <c r="I5768">
        <v>-60.442189999999997</v>
      </c>
      <c r="J5768">
        <v>-297.08179999999999</v>
      </c>
      <c r="K5768">
        <v>1.1132709999999999</v>
      </c>
      <c r="L5768">
        <v>-48.891629999999999</v>
      </c>
      <c r="M5768">
        <v>0.33356229999999998</v>
      </c>
      <c r="N5768">
        <v>0</v>
      </c>
      <c r="O5768">
        <v>-0.94262970000000001</v>
      </c>
      <c r="P5768">
        <v>0.33721780000000001</v>
      </c>
      <c r="Q5768">
        <v>-7.0532750000000003E-3</v>
      </c>
      <c r="R5768">
        <v>-0.94140029999999997</v>
      </c>
      <c r="S5768">
        <v>1.6752320000000001</v>
      </c>
      <c r="T5768">
        <v>-0.24321699999999999</v>
      </c>
      <c r="U5768">
        <v>-2.5956419999999998</v>
      </c>
      <c r="V5768">
        <v>-3.9026439999999998E-3</v>
      </c>
      <c r="W5768">
        <v>6.5477060000000004E-3</v>
      </c>
      <c r="X5768">
        <v>0.99997100000000005</v>
      </c>
      <c r="Y5768">
        <v>-0.2292245</v>
      </c>
      <c r="Z5768">
        <v>7.7049759999999995E-2</v>
      </c>
      <c r="AA5768">
        <v>0.9703193</v>
      </c>
      <c r="AB5768">
        <v>18</v>
      </c>
      <c r="AC5768">
        <v>7.5393999999999997</v>
      </c>
      <c r="AD5768">
        <v>-1.1132747325250001</v>
      </c>
      <c r="AE5768">
        <v>-11.550560000000001</v>
      </c>
      <c r="AF5768">
        <v>-3.2332705514501701</v>
      </c>
      <c r="AG5768">
        <v>-1.1132747325250001</v>
      </c>
      <c r="AH5768">
        <v>13.3172520078988</v>
      </c>
      <c r="AI5768">
        <v>94.644305837296997</v>
      </c>
      <c r="AJ5768">
        <v>103.64668450409199</v>
      </c>
      <c r="AK5768">
        <v>13.7492770766625</v>
      </c>
      <c r="AL5768">
        <v>89.624841419507703</v>
      </c>
      <c r="AM5768">
        <v>90.223610379572406</v>
      </c>
      <c r="AN5768">
        <v>1.0000000519625201</v>
      </c>
    </row>
    <row r="5769" spans="1:40" x14ac:dyDescent="0.25">
      <c r="A5769" t="str">
        <f>"20190312161135170"</f>
        <v>20190312161135170</v>
      </c>
      <c r="B5769" t="str">
        <f>"1552378295163275"</f>
        <v>1552378295163275</v>
      </c>
      <c r="C5769" t="s">
        <v>40</v>
      </c>
      <c r="D5769">
        <v>5.8639640000000002</v>
      </c>
      <c r="E5769">
        <v>0.40647470000000002</v>
      </c>
      <c r="F5769" t="s">
        <v>78</v>
      </c>
      <c r="G5769">
        <v>-290.2758</v>
      </c>
      <c r="H5769" s="1">
        <v>-9.8180600000000007E-6</v>
      </c>
      <c r="I5769">
        <v>-59.025779999999997</v>
      </c>
      <c r="J5769">
        <v>-296.99180000000001</v>
      </c>
      <c r="K5769">
        <v>1.113337</v>
      </c>
      <c r="L5769">
        <v>-49.116149999999998</v>
      </c>
      <c r="M5769">
        <v>0.34133190000000002</v>
      </c>
      <c r="N5769">
        <v>0</v>
      </c>
      <c r="O5769">
        <v>-0.93984389999999995</v>
      </c>
      <c r="P5769">
        <v>0.34491809999999901</v>
      </c>
      <c r="Q5769">
        <v>-7.9380219999999994E-3</v>
      </c>
      <c r="R5769">
        <v>-0.93859939999999997</v>
      </c>
      <c r="S5769">
        <v>1.72403</v>
      </c>
      <c r="T5769">
        <v>-0.28200459999999999</v>
      </c>
      <c r="U5769">
        <v>-2.567078</v>
      </c>
      <c r="V5769">
        <v>-3.8368629999999998E-3</v>
      </c>
      <c r="W5769">
        <v>5.6746330000000001E-3</v>
      </c>
      <c r="X5769">
        <v>0.99997650000000005</v>
      </c>
      <c r="Y5769">
        <v>-0.23831179999999999</v>
      </c>
      <c r="Z5769">
        <v>8.9142269999999996E-2</v>
      </c>
      <c r="AA5769">
        <v>0.96708899999999998</v>
      </c>
      <c r="AB5769">
        <v>18</v>
      </c>
      <c r="AC5769">
        <v>6.7160000000000002</v>
      </c>
      <c r="AD5769">
        <v>-1.1133468180599999</v>
      </c>
      <c r="AE5769">
        <v>-9.9096299999999999</v>
      </c>
      <c r="AF5769">
        <v>-2.9046669070554598</v>
      </c>
      <c r="AG5769">
        <v>-1.1133468180599999</v>
      </c>
      <c r="AH5769">
        <v>11.507434484460401</v>
      </c>
      <c r="AI5769">
        <v>95.359114607609698</v>
      </c>
      <c r="AJ5769">
        <v>104.16648268761099</v>
      </c>
      <c r="AK5769">
        <v>11.9204731194855</v>
      </c>
      <c r="AL5769">
        <v>89.674865721400394</v>
      </c>
      <c r="AM5769">
        <v>90.219840143898594</v>
      </c>
      <c r="AN5769">
        <v>0.99999996176480699</v>
      </c>
    </row>
    <row r="5770" spans="1:40" x14ac:dyDescent="0.25">
      <c r="A5770" t="str">
        <f>"20190312161135192"</f>
        <v>20190312161135192</v>
      </c>
      <c r="B5770" t="str">
        <f>"1552378295182794"</f>
        <v>1552378295182794</v>
      </c>
      <c r="C5770" t="s">
        <v>40</v>
      </c>
      <c r="D5770">
        <v>5.8364449999999897</v>
      </c>
      <c r="E5770">
        <v>0.4068541</v>
      </c>
      <c r="F5770" t="s">
        <v>78</v>
      </c>
      <c r="G5770">
        <v>-290.32490000000001</v>
      </c>
      <c r="H5770" s="1">
        <v>-9.8114299999999993E-6</v>
      </c>
      <c r="I5770">
        <v>-58.913670000000003</v>
      </c>
      <c r="J5770">
        <v>-296.92410000000001</v>
      </c>
      <c r="K5770">
        <v>1.1133850000000001</v>
      </c>
      <c r="L5770">
        <v>-49.280610000000003</v>
      </c>
      <c r="M5770">
        <v>0.34716920000000001</v>
      </c>
      <c r="N5770">
        <v>0</v>
      </c>
      <c r="O5770">
        <v>-0.93770339999999996</v>
      </c>
      <c r="P5770">
        <v>0.3506975</v>
      </c>
      <c r="Q5770">
        <v>-7.776743E-3</v>
      </c>
      <c r="R5770">
        <v>-0.93645679999999998</v>
      </c>
      <c r="S5770">
        <v>1.7385250000000001</v>
      </c>
      <c r="T5770">
        <v>-0.29032770000000002</v>
      </c>
      <c r="U5770">
        <v>-2.5549010000000001</v>
      </c>
      <c r="V5770">
        <v>-3.784885E-3</v>
      </c>
      <c r="W5770">
        <v>5.8439090000000004E-3</v>
      </c>
      <c r="X5770">
        <v>0.99997570000000002</v>
      </c>
      <c r="Y5770">
        <v>-0.2380255</v>
      </c>
      <c r="Z5770">
        <v>9.1672199999999995E-2</v>
      </c>
      <c r="AA5770">
        <v>0.96692299999999998</v>
      </c>
      <c r="AB5770">
        <v>18</v>
      </c>
      <c r="AC5770">
        <v>6.59919999999999</v>
      </c>
      <c r="AD5770">
        <v>-1.1133948114299901</v>
      </c>
      <c r="AE5770">
        <v>-9.6330600000000004</v>
      </c>
      <c r="AF5770">
        <v>-2.81842978777436</v>
      </c>
      <c r="AG5770">
        <v>-1.1133948114299901</v>
      </c>
      <c r="AH5770">
        <v>11.2230054077303</v>
      </c>
      <c r="AI5770">
        <v>95.496011349392703</v>
      </c>
      <c r="AJ5770">
        <v>104.09714589658699</v>
      </c>
      <c r="AK5770">
        <v>11.6249320366476</v>
      </c>
      <c r="AL5770">
        <v>89.665166752036797</v>
      </c>
      <c r="AM5770">
        <v>90.216862170629398</v>
      </c>
      <c r="AN5770">
        <v>0.99999993860867398</v>
      </c>
    </row>
    <row r="5771" spans="1:40" x14ac:dyDescent="0.25">
      <c r="A5771" t="str">
        <f>"20190312161135228"</f>
        <v>20190312161135228</v>
      </c>
      <c r="B5771" t="str">
        <f>"1552378295222810"</f>
        <v>1552378295222810</v>
      </c>
      <c r="C5771" t="s">
        <v>40</v>
      </c>
      <c r="D5771">
        <v>5.8774259999999998</v>
      </c>
      <c r="E5771">
        <v>0.4081031</v>
      </c>
      <c r="F5771" t="s">
        <v>78</v>
      </c>
      <c r="G5771">
        <v>-290.2885</v>
      </c>
      <c r="H5771" s="1">
        <v>-9.8238219999999992E-6</v>
      </c>
      <c r="I5771">
        <v>-58.921959999999999</v>
      </c>
      <c r="J5771">
        <v>-296.8177</v>
      </c>
      <c r="K5771">
        <v>1.1134489999999999</v>
      </c>
      <c r="L5771">
        <v>-49.533230000000003</v>
      </c>
      <c r="M5771">
        <v>0.35635899999999998</v>
      </c>
      <c r="N5771">
        <v>0</v>
      </c>
      <c r="O5771">
        <v>-0.9342492</v>
      </c>
      <c r="P5771">
        <v>0.36211989999999999</v>
      </c>
      <c r="Q5771">
        <v>-7.2474239999999997E-3</v>
      </c>
      <c r="R5771">
        <v>-0.93210329999999997</v>
      </c>
      <c r="S5771">
        <v>1.7516779999999901</v>
      </c>
      <c r="T5771">
        <v>-0.29391529999999999</v>
      </c>
      <c r="U5771">
        <v>-2.5451350000000001</v>
      </c>
      <c r="V5771">
        <v>-6.1956829999999996E-3</v>
      </c>
      <c r="W5771">
        <v>6.3688959999999998E-3</v>
      </c>
      <c r="X5771">
        <v>0.99996050000000003</v>
      </c>
      <c r="Y5771">
        <v>-0.23355899999999999</v>
      </c>
      <c r="Z5771">
        <v>9.2515130000000001E-2</v>
      </c>
      <c r="AA5771">
        <v>0.9679314</v>
      </c>
      <c r="AB5771">
        <v>18</v>
      </c>
      <c r="AC5771">
        <v>6.5292000000000003</v>
      </c>
      <c r="AD5771">
        <v>-1.113458823822</v>
      </c>
      <c r="AE5771">
        <v>-9.3887300000000007</v>
      </c>
      <c r="AF5771">
        <v>-2.72853191271032</v>
      </c>
      <c r="AG5771">
        <v>-1.113458823822</v>
      </c>
      <c r="AH5771">
        <v>10.9949559147353</v>
      </c>
      <c r="AI5771">
        <v>95.613494776922195</v>
      </c>
      <c r="AJ5771">
        <v>103.937093889503</v>
      </c>
      <c r="AK5771">
        <v>11.383045836593899</v>
      </c>
      <c r="AL5771">
        <v>89.635086663065707</v>
      </c>
      <c r="AM5771">
        <v>90.354995966959194</v>
      </c>
      <c r="AN5771">
        <v>0.99999997544217201</v>
      </c>
    </row>
    <row r="5772" spans="1:40" x14ac:dyDescent="0.25">
      <c r="A5772" t="str">
        <f>"20190312161135273"</f>
        <v>20190312161135273</v>
      </c>
      <c r="B5772" t="str">
        <f>"1552378295262826"</f>
        <v>1552378295262826</v>
      </c>
      <c r="C5772" t="s">
        <v>40</v>
      </c>
      <c r="D5772">
        <v>5.9178819999999996</v>
      </c>
      <c r="E5772">
        <v>0.41592780000000001</v>
      </c>
      <c r="F5772" t="s">
        <v>78</v>
      </c>
      <c r="G5772">
        <v>-290.14280000000002</v>
      </c>
      <c r="H5772" s="1">
        <v>-9.8644339999999996E-6</v>
      </c>
      <c r="I5772">
        <v>-59.045940000000002</v>
      </c>
      <c r="J5772">
        <v>-296.68</v>
      </c>
      <c r="K5772">
        <v>1.1135280000000001</v>
      </c>
      <c r="L5772">
        <v>-49.848939999999999</v>
      </c>
      <c r="M5772">
        <v>0.36822670000000002</v>
      </c>
      <c r="N5772">
        <v>0</v>
      </c>
      <c r="O5772">
        <v>-0.92963560000000001</v>
      </c>
      <c r="P5772">
        <v>0.37481550000000002</v>
      </c>
      <c r="Q5772">
        <v>-8.5427000000000003E-3</v>
      </c>
      <c r="R5772">
        <v>-0.9270602</v>
      </c>
      <c r="S5772">
        <v>1.7733759999999901</v>
      </c>
      <c r="T5772">
        <v>-0.29581760000000001</v>
      </c>
      <c r="U5772">
        <v>-2.5272830000000002</v>
      </c>
      <c r="V5772">
        <v>-7.1136069999999897E-3</v>
      </c>
      <c r="W5772">
        <v>5.0838400000000001E-3</v>
      </c>
      <c r="X5772">
        <v>0.99996180000000001</v>
      </c>
      <c r="Y5772">
        <v>-0.2299312</v>
      </c>
      <c r="Z5772">
        <v>9.2806490000000005E-2</v>
      </c>
      <c r="AA5772">
        <v>0.96877170000000001</v>
      </c>
      <c r="AB5772">
        <v>18</v>
      </c>
      <c r="AC5772">
        <v>6.5371999999999799</v>
      </c>
      <c r="AD5772">
        <v>-1.1135378644339999</v>
      </c>
      <c r="AE5772">
        <v>-9.1969999999999992</v>
      </c>
      <c r="AF5772">
        <v>-2.66493041683762</v>
      </c>
      <c r="AG5772">
        <v>-1.1135378644339999</v>
      </c>
      <c r="AH5772">
        <v>10.8523623634354</v>
      </c>
      <c r="AI5772">
        <v>95.6905923644171</v>
      </c>
      <c r="AJ5772">
        <v>103.79668659135601</v>
      </c>
      <c r="AK5772">
        <v>11.230119748668001</v>
      </c>
      <c r="AL5772">
        <v>89.708716176869899</v>
      </c>
      <c r="AM5772">
        <v>90.407588352800502</v>
      </c>
      <c r="AN5772">
        <v>1.00000002514646</v>
      </c>
    </row>
    <row r="5773" spans="1:40" x14ac:dyDescent="0.25">
      <c r="A5773" t="str">
        <f>"20190312161135317"</f>
        <v>20190312161135317</v>
      </c>
      <c r="B5773" t="str">
        <f>"1552378295313579"</f>
        <v>1552378295313579</v>
      </c>
      <c r="C5773" t="s">
        <v>40</v>
      </c>
      <c r="D5773">
        <v>5.8042530000000001</v>
      </c>
      <c r="E5773">
        <v>0.41644049999999999</v>
      </c>
      <c r="F5773" t="s">
        <v>78</v>
      </c>
      <c r="G5773">
        <v>-290.93180000000001</v>
      </c>
      <c r="H5773" s="1">
        <v>-9.6679019999999999E-6</v>
      </c>
      <c r="I5773">
        <v>-58.14143</v>
      </c>
      <c r="J5773">
        <v>-296.53809999999999</v>
      </c>
      <c r="K5773">
        <v>1.1136280000000001</v>
      </c>
      <c r="L5773">
        <v>-50.162170000000003</v>
      </c>
      <c r="M5773">
        <v>0.38037569999999998</v>
      </c>
      <c r="N5773">
        <v>0</v>
      </c>
      <c r="O5773">
        <v>-0.92473070000000002</v>
      </c>
      <c r="P5773">
        <v>0.38848680000000002</v>
      </c>
      <c r="Q5773">
        <v>-5.4145819999999898E-3</v>
      </c>
      <c r="R5773">
        <v>-0.92143839999999999</v>
      </c>
      <c r="S5773">
        <v>1.750427</v>
      </c>
      <c r="T5773">
        <v>-0.33909149999999999</v>
      </c>
      <c r="U5773">
        <v>-2.5252080000000001</v>
      </c>
      <c r="V5773">
        <v>-8.8189930000000007E-3</v>
      </c>
      <c r="W5773">
        <v>8.2142059999999999E-3</v>
      </c>
      <c r="X5773">
        <v>0.99992740000000002</v>
      </c>
      <c r="Y5773">
        <v>-0.2107801</v>
      </c>
      <c r="Z5773">
        <v>0.1059561</v>
      </c>
      <c r="AA5773">
        <v>0.97177420000000003</v>
      </c>
      <c r="AB5773">
        <v>18</v>
      </c>
      <c r="AC5773">
        <v>5.6062999999999699</v>
      </c>
      <c r="AD5773">
        <v>-1.1136376679019999</v>
      </c>
      <c r="AE5773">
        <v>-7.97926</v>
      </c>
      <c r="AF5773">
        <v>-2.1217330596655599</v>
      </c>
      <c r="AG5773">
        <v>-1.1136376679019999</v>
      </c>
      <c r="AH5773">
        <v>9.3896086578572202</v>
      </c>
      <c r="AI5773">
        <v>96.599011200399104</v>
      </c>
      <c r="AJ5773">
        <v>102.733057692733</v>
      </c>
      <c r="AK5773">
        <v>9.6905464644443704</v>
      </c>
      <c r="AL5773">
        <v>89.529355383892593</v>
      </c>
      <c r="AM5773">
        <v>90.505314663398906</v>
      </c>
      <c r="AN5773">
        <v>1.0000000265442499</v>
      </c>
    </row>
    <row r="5774" spans="1:40" x14ac:dyDescent="0.25">
      <c r="A5774" t="str">
        <f>"20190312161135346"</f>
        <v>20190312161135346</v>
      </c>
      <c r="B5774" t="str">
        <f>"1552378295342859"</f>
        <v>1552378295342859</v>
      </c>
      <c r="C5774" t="s">
        <v>40</v>
      </c>
      <c r="D5774">
        <v>5.8851649999999998</v>
      </c>
      <c r="E5774">
        <v>0.41663719999999999</v>
      </c>
      <c r="F5774" t="s">
        <v>78</v>
      </c>
      <c r="G5774">
        <v>-290.49110000000002</v>
      </c>
      <c r="H5774" s="1">
        <v>-9.7781269999999993E-6</v>
      </c>
      <c r="I5774">
        <v>-58.642220000000002</v>
      </c>
      <c r="J5774">
        <v>-296.4461</v>
      </c>
      <c r="K5774">
        <v>1.1136790000000001</v>
      </c>
      <c r="L5774">
        <v>-50.358980000000003</v>
      </c>
      <c r="M5774">
        <v>0.38821280000000002</v>
      </c>
      <c r="N5774">
        <v>0</v>
      </c>
      <c r="O5774">
        <v>-0.9214677</v>
      </c>
      <c r="P5774">
        <v>0.39735510000000002</v>
      </c>
      <c r="Q5774">
        <v>-4.8853229999999996E-3</v>
      </c>
      <c r="R5774">
        <v>-0.91765209999999997</v>
      </c>
      <c r="S5774">
        <v>1.783936</v>
      </c>
      <c r="T5774">
        <v>-0.32853539999999998</v>
      </c>
      <c r="U5774">
        <v>-2.501709</v>
      </c>
      <c r="V5774">
        <v>-9.9766200000000003E-3</v>
      </c>
      <c r="W5774">
        <v>8.7449079999999992E-3</v>
      </c>
      <c r="X5774">
        <v>0.99991200000000002</v>
      </c>
      <c r="Y5774">
        <v>-0.21564259999999999</v>
      </c>
      <c r="Z5774">
        <v>0.1025384</v>
      </c>
      <c r="AA5774">
        <v>0.97107370000000004</v>
      </c>
      <c r="AB5774">
        <v>17</v>
      </c>
      <c r="AC5774">
        <v>5.9549999999999796</v>
      </c>
      <c r="AD5774">
        <v>-1.113688778127</v>
      </c>
      <c r="AE5774">
        <v>-8.2832399999999993</v>
      </c>
      <c r="AF5774">
        <v>-2.2451376197342401</v>
      </c>
      <c r="AG5774">
        <v>-1.113688778127</v>
      </c>
      <c r="AH5774">
        <v>9.8283513985512503</v>
      </c>
      <c r="AI5774">
        <v>96.303807503239597</v>
      </c>
      <c r="AJ5774">
        <v>102.867562518109</v>
      </c>
      <c r="AK5774">
        <v>10.142851514218</v>
      </c>
      <c r="AL5774">
        <v>89.4989472965635</v>
      </c>
      <c r="AM5774">
        <v>90.571649557812904</v>
      </c>
      <c r="AN5774">
        <v>1.00000000705327</v>
      </c>
    </row>
    <row r="5775" spans="1:40" x14ac:dyDescent="0.25">
      <c r="A5775" t="str">
        <f>"20190312161135372"</f>
        <v>20190312161135372</v>
      </c>
      <c r="B5775" t="str">
        <f>"1552378295363354"</f>
        <v>1552378295363354</v>
      </c>
      <c r="C5775" t="s">
        <v>40</v>
      </c>
      <c r="D5775">
        <v>5.8396929999999996</v>
      </c>
      <c r="E5775">
        <v>0.41607699999999997</v>
      </c>
      <c r="F5775" t="s">
        <v>78</v>
      </c>
      <c r="G5775">
        <v>-290.1155</v>
      </c>
      <c r="H5775" s="1">
        <v>-9.8726700000000008E-6</v>
      </c>
      <c r="I5775">
        <v>-59.062730000000002</v>
      </c>
      <c r="J5775">
        <v>-296.35950000000003</v>
      </c>
      <c r="K5775">
        <v>1.1137239999999999</v>
      </c>
      <c r="L5775">
        <v>-50.539549999999998</v>
      </c>
      <c r="M5775">
        <v>0.39557890000000001</v>
      </c>
      <c r="N5775">
        <v>0</v>
      </c>
      <c r="O5775">
        <v>-0.91832970000000003</v>
      </c>
      <c r="P5775">
        <v>0.40564899999999998</v>
      </c>
      <c r="Q5775">
        <v>-4.8864329999999999E-3</v>
      </c>
      <c r="R5775">
        <v>-0.91401619999999995</v>
      </c>
      <c r="S5775">
        <v>1.8073729999999999</v>
      </c>
      <c r="T5775">
        <v>-0.31795479999999998</v>
      </c>
      <c r="U5775">
        <v>-2.4848940000000002</v>
      </c>
      <c r="V5775">
        <v>-1.102652E-2</v>
      </c>
      <c r="W5775">
        <v>8.7458610000000006E-3</v>
      </c>
      <c r="X5775">
        <v>0.99990089999999998</v>
      </c>
      <c r="Y5775">
        <v>-0.2171593</v>
      </c>
      <c r="Z5775">
        <v>9.9059949999999994E-2</v>
      </c>
      <c r="AA5775">
        <v>0.97109679999999998</v>
      </c>
      <c r="AB5775">
        <v>17</v>
      </c>
      <c r="AC5775">
        <v>6.2440000000000202</v>
      </c>
      <c r="AD5775">
        <v>-1.1137338726699999</v>
      </c>
      <c r="AE5775">
        <v>-8.52318</v>
      </c>
      <c r="AF5775">
        <v>-2.33671795967178</v>
      </c>
      <c r="AG5775">
        <v>-1.1137338726699999</v>
      </c>
      <c r="AH5775">
        <v>10.1848819495077</v>
      </c>
      <c r="AI5775">
        <v>96.083759601167003</v>
      </c>
      <c r="AJ5775">
        <v>102.921745538769</v>
      </c>
      <c r="AK5775">
        <v>10.5086856593769</v>
      </c>
      <c r="AL5775">
        <v>89.498892659010593</v>
      </c>
      <c r="AM5775">
        <v>90.631810063358003</v>
      </c>
      <c r="AN5775">
        <v>0.99999994202437403</v>
      </c>
    </row>
    <row r="5776" spans="1:40" x14ac:dyDescent="0.25">
      <c r="A5776" t="str">
        <f>"20190312161135407"</f>
        <v>20190312161135407</v>
      </c>
      <c r="B5776" t="str">
        <f>"1552378295403371"</f>
        <v>1552378295403371</v>
      </c>
      <c r="C5776" t="s">
        <v>40</v>
      </c>
      <c r="D5776">
        <v>5.8635229999999998</v>
      </c>
      <c r="E5776">
        <v>0.35417789999999999</v>
      </c>
      <c r="F5776" t="s">
        <v>78</v>
      </c>
      <c r="G5776">
        <v>-289.71510000000001</v>
      </c>
      <c r="H5776" s="1">
        <v>-1.218407E-6</v>
      </c>
      <c r="I5776">
        <v>-59.477170000000001</v>
      </c>
      <c r="J5776">
        <v>-296.24189999999999</v>
      </c>
      <c r="K5776">
        <v>1.11381</v>
      </c>
      <c r="L5776">
        <v>-50.778869999999998</v>
      </c>
      <c r="M5776">
        <v>0.40555150000000001</v>
      </c>
      <c r="N5776">
        <v>0</v>
      </c>
      <c r="O5776">
        <v>-0.91396900000000003</v>
      </c>
      <c r="P5776">
        <v>0.41584510000000002</v>
      </c>
      <c r="Q5776">
        <v>-4.2424809999999898E-3</v>
      </c>
      <c r="R5776">
        <v>-0.90942590000000001</v>
      </c>
      <c r="S5776">
        <v>1.833801</v>
      </c>
      <c r="T5776">
        <v>-0.30737829999999999</v>
      </c>
      <c r="U5776">
        <v>-2.4667050000000001</v>
      </c>
      <c r="V5776">
        <v>-1.1330160000000001E-2</v>
      </c>
      <c r="W5776">
        <v>9.4019619999999998E-3</v>
      </c>
      <c r="X5776">
        <v>0.99989159999999999</v>
      </c>
      <c r="Y5776">
        <v>-0.2168891</v>
      </c>
      <c r="Z5776">
        <v>9.5435110000000004E-2</v>
      </c>
      <c r="AA5776">
        <v>0.9715201</v>
      </c>
      <c r="AB5776">
        <v>17</v>
      </c>
      <c r="AC5776">
        <v>6.5267999999999802</v>
      </c>
      <c r="AD5776">
        <v>-1.1138112184069999</v>
      </c>
      <c r="AE5776">
        <v>-8.6982999999999908</v>
      </c>
      <c r="AF5776">
        <v>-2.4126053214132401</v>
      </c>
      <c r="AG5776">
        <v>-1.1138112184069999</v>
      </c>
      <c r="AH5776">
        <v>10.487908693611701</v>
      </c>
      <c r="AI5776">
        <v>95.908874467865999</v>
      </c>
      <c r="AJ5776">
        <v>102.954768950431</v>
      </c>
      <c r="AK5776">
        <v>10.819309988751399</v>
      </c>
      <c r="AL5776">
        <v>89.461299316408201</v>
      </c>
      <c r="AM5776">
        <v>90.649212941461997</v>
      </c>
      <c r="AN5776">
        <v>0.99999999058281697</v>
      </c>
    </row>
    <row r="5777" spans="1:40" x14ac:dyDescent="0.25">
      <c r="A5777" t="str">
        <f>"20190312161135437"</f>
        <v>20190312161135437</v>
      </c>
      <c r="B5777" t="str">
        <f>"1552378295433653"</f>
        <v>1552378295433653</v>
      </c>
      <c r="C5777" t="s">
        <v>40</v>
      </c>
      <c r="D5777">
        <v>5.733428</v>
      </c>
      <c r="E5777">
        <v>0.34665970000000002</v>
      </c>
      <c r="F5777" t="s">
        <v>41</v>
      </c>
      <c r="G5777">
        <v>-279.36610000000002</v>
      </c>
      <c r="H5777" s="1">
        <v>-4.1330699999999999E-6</v>
      </c>
      <c r="I5777">
        <v>-67.178719999999998</v>
      </c>
      <c r="J5777">
        <v>-296.13679999999999</v>
      </c>
      <c r="K5777">
        <v>1.113872</v>
      </c>
      <c r="L5777">
        <v>-50.986359999999998</v>
      </c>
      <c r="M5777">
        <v>0.4144195</v>
      </c>
      <c r="N5777">
        <v>0</v>
      </c>
      <c r="O5777">
        <v>-0.90998210000000002</v>
      </c>
      <c r="P5777">
        <v>0.42436819999999997</v>
      </c>
      <c r="Q5777">
        <v>-2.839439E-3</v>
      </c>
      <c r="R5777">
        <v>-0.90548519999999999</v>
      </c>
      <c r="S5777">
        <v>2.3078609999999999</v>
      </c>
      <c r="T5777">
        <v>-0.15232010000000001</v>
      </c>
      <c r="U5777">
        <v>-2.2427670000000002</v>
      </c>
      <c r="V5777">
        <v>-1.100961E-2</v>
      </c>
      <c r="W5777">
        <v>1.082048E-2</v>
      </c>
      <c r="X5777">
        <v>0.99988089999999996</v>
      </c>
      <c r="Y5777">
        <v>-0.36296529999999999</v>
      </c>
      <c r="Z5777">
        <v>4.6716140000000003E-2</v>
      </c>
      <c r="AA5777">
        <v>0.93063090000000004</v>
      </c>
      <c r="AB5777">
        <v>17</v>
      </c>
      <c r="AC5777">
        <v>16.770699999999898</v>
      </c>
      <c r="AD5777">
        <v>-1.11387613307</v>
      </c>
      <c r="AE5777">
        <v>-16.192360000000001</v>
      </c>
      <c r="AF5777">
        <v>-8.5319366319264596</v>
      </c>
      <c r="AG5777">
        <v>-1.11387613307</v>
      </c>
      <c r="AH5777">
        <v>21.637513493127901</v>
      </c>
      <c r="AI5777">
        <v>92.741819571831499</v>
      </c>
      <c r="AJ5777">
        <v>111.519925134879</v>
      </c>
      <c r="AK5777">
        <v>23.285546008121099</v>
      </c>
      <c r="AL5777">
        <v>89.380020098760198</v>
      </c>
      <c r="AM5777">
        <v>90.630853830648604</v>
      </c>
      <c r="AN5777">
        <v>1.00000005424229</v>
      </c>
    </row>
    <row r="5778" spans="1:40" x14ac:dyDescent="0.25">
      <c r="A5778" t="str">
        <f>"20190312161135459"</f>
        <v>20190312161135459</v>
      </c>
      <c r="B5778" t="str">
        <f>"1552378295453146"</f>
        <v>1552378295453146</v>
      </c>
      <c r="C5778" t="s">
        <v>40</v>
      </c>
      <c r="D5778">
        <v>5.7849320000000004</v>
      </c>
      <c r="E5778">
        <v>0.3454972</v>
      </c>
      <c r="F5778" t="s">
        <v>78</v>
      </c>
      <c r="G5778">
        <v>-280.78379999999999</v>
      </c>
      <c r="H5778" s="1">
        <v>-6.9137730000000001E-6</v>
      </c>
      <c r="I5778">
        <v>-65.126559999999998</v>
      </c>
      <c r="J5778">
        <v>-296.06310000000002</v>
      </c>
      <c r="K5778">
        <v>1.113901</v>
      </c>
      <c r="L5778">
        <v>-51.128689999999999</v>
      </c>
      <c r="M5778">
        <v>0.42060649999999999</v>
      </c>
      <c r="N5778">
        <v>0</v>
      </c>
      <c r="O5778">
        <v>-0.90713889999999997</v>
      </c>
      <c r="P5778">
        <v>0.43016500000000002</v>
      </c>
      <c r="Q5778">
        <v>-2.980856E-3</v>
      </c>
      <c r="R5778">
        <v>-0.90274549999999998</v>
      </c>
      <c r="S5778">
        <v>2.3837280000000001</v>
      </c>
      <c r="T5778">
        <v>-0.17294289999999901</v>
      </c>
      <c r="U5778">
        <v>-2.1954349999999998</v>
      </c>
      <c r="V5778">
        <v>-1.0611509999999999E-2</v>
      </c>
      <c r="W5778">
        <v>1.069031E-2</v>
      </c>
      <c r="X5778">
        <v>0.99988659999999996</v>
      </c>
      <c r="Y5778">
        <v>-0.38124200000000003</v>
      </c>
      <c r="Z5778">
        <v>5.2797539999999997E-2</v>
      </c>
      <c r="AA5778">
        <v>0.92296639999999996</v>
      </c>
      <c r="AB5778">
        <v>17</v>
      </c>
      <c r="AC5778">
        <v>15.279299999999999</v>
      </c>
      <c r="AD5778">
        <v>-1.1139079137729999</v>
      </c>
      <c r="AE5778">
        <v>-13.997870000000001</v>
      </c>
      <c r="AF5778">
        <v>-7.9506323538336101</v>
      </c>
      <c r="AG5778">
        <v>-1.1139079137729999</v>
      </c>
      <c r="AH5778">
        <v>19.071286045567</v>
      </c>
      <c r="AI5778">
        <v>93.085852448311201</v>
      </c>
      <c r="AJ5778">
        <v>112.63077725150301</v>
      </c>
      <c r="AK5778">
        <v>20.692203775770999</v>
      </c>
      <c r="AL5778">
        <v>89.387478718713098</v>
      </c>
      <c r="AM5778">
        <v>90.608040864551498</v>
      </c>
      <c r="AN5778">
        <v>1.00000004986596</v>
      </c>
    </row>
    <row r="5779" spans="1:40" x14ac:dyDescent="0.25">
      <c r="A5779" t="str">
        <f>"20190312161135486"</f>
        <v>20190312161135486</v>
      </c>
      <c r="B5779" t="str">
        <f>"1552378295472667"</f>
        <v>1552378295472667</v>
      </c>
      <c r="C5779" t="s">
        <v>40</v>
      </c>
      <c r="D5779">
        <v>5.7660929999999997</v>
      </c>
      <c r="E5779">
        <v>0.34595049999999999</v>
      </c>
      <c r="F5779" t="s">
        <v>78</v>
      </c>
      <c r="G5779">
        <v>-281.21660000000003</v>
      </c>
      <c r="H5779" s="1">
        <v>-6.8333850000000003E-6</v>
      </c>
      <c r="I5779">
        <v>-64.553560000000004</v>
      </c>
      <c r="J5779">
        <v>-295.96800000000002</v>
      </c>
      <c r="K5779">
        <v>1.1139319999999999</v>
      </c>
      <c r="L5779">
        <v>-51.308750000000003</v>
      </c>
      <c r="M5779">
        <v>0.42855559999999998</v>
      </c>
      <c r="N5779">
        <v>0</v>
      </c>
      <c r="O5779">
        <v>-0.90341070000000001</v>
      </c>
      <c r="P5779">
        <v>0.43777310000000003</v>
      </c>
      <c r="Q5779">
        <v>-4.0165390000000004E-3</v>
      </c>
      <c r="R5779">
        <v>-0.89907680000000001</v>
      </c>
      <c r="S5779">
        <v>2.4063720000000002</v>
      </c>
      <c r="T5779">
        <v>-0.18054490000000001</v>
      </c>
      <c r="U5779">
        <v>-2.1759339999999998</v>
      </c>
      <c r="V5779">
        <v>-1.026928E-2</v>
      </c>
      <c r="W5779">
        <v>9.6680250000000002E-3</v>
      </c>
      <c r="X5779">
        <v>0.99990049999999997</v>
      </c>
      <c r="Y5779">
        <v>-0.38147690000000001</v>
      </c>
      <c r="Z5779">
        <v>5.4935480000000002E-2</v>
      </c>
      <c r="AA5779">
        <v>0.92274449999999997</v>
      </c>
      <c r="AB5779">
        <v>17</v>
      </c>
      <c r="AC5779">
        <v>14.751399999999901</v>
      </c>
      <c r="AD5779">
        <v>-1.113938833385</v>
      </c>
      <c r="AE5779">
        <v>-13.244809999999999</v>
      </c>
      <c r="AF5779">
        <v>-7.6270789515144699</v>
      </c>
      <c r="AG5779">
        <v>-1.113938833385</v>
      </c>
      <c r="AH5779">
        <v>18.2314685272333</v>
      </c>
      <c r="AI5779">
        <v>93.226127068087493</v>
      </c>
      <c r="AJ5779">
        <v>112.70184673472799</v>
      </c>
      <c r="AK5779">
        <v>19.793929314733202</v>
      </c>
      <c r="AL5779">
        <v>89.446054324455403</v>
      </c>
      <c r="AM5779">
        <v>90.588424264672</v>
      </c>
      <c r="AN5779">
        <v>0.99999996935968305</v>
      </c>
    </row>
    <row r="5780" spans="1:40" x14ac:dyDescent="0.25">
      <c r="A5780" t="str">
        <f>"20190312161135518"</f>
        <v>20190312161135518</v>
      </c>
      <c r="B5780" t="str">
        <f>"1552378295513675"</f>
        <v>1552378295513675</v>
      </c>
      <c r="C5780" t="s">
        <v>40</v>
      </c>
      <c r="D5780">
        <v>5.7670320000000004</v>
      </c>
      <c r="E5780">
        <v>0.34620659999999998</v>
      </c>
      <c r="F5780" t="s">
        <v>78</v>
      </c>
      <c r="G5780">
        <v>-282.18540000000002</v>
      </c>
      <c r="H5780" s="1">
        <v>-6.6180019999999996E-6</v>
      </c>
      <c r="I5780">
        <v>-63.585070000000002</v>
      </c>
      <c r="J5780">
        <v>-295.84750000000003</v>
      </c>
      <c r="K5780">
        <v>1.113961</v>
      </c>
      <c r="L5780">
        <v>-51.531039999999997</v>
      </c>
      <c r="M5780">
        <v>0.43856709999999899</v>
      </c>
      <c r="N5780">
        <v>0</v>
      </c>
      <c r="O5780">
        <v>-0.89859279999999997</v>
      </c>
      <c r="P5780">
        <v>0.44663639999999999</v>
      </c>
      <c r="Q5780">
        <v>-5.906494E-3</v>
      </c>
      <c r="R5780">
        <v>-0.89469609999999899</v>
      </c>
      <c r="S5780">
        <v>2.421478</v>
      </c>
      <c r="T5780">
        <v>-0.19570799999999999</v>
      </c>
      <c r="U5780">
        <v>-2.1568299999999998</v>
      </c>
      <c r="V5780">
        <v>-9.0288160000000003E-3</v>
      </c>
      <c r="W5780">
        <v>7.801756E-3</v>
      </c>
      <c r="X5780">
        <v>0.99992879999999995</v>
      </c>
      <c r="Y5780">
        <v>-0.37791279999999999</v>
      </c>
      <c r="Z5780">
        <v>5.9340219999999999E-2</v>
      </c>
      <c r="AA5780">
        <v>0.92393760000000003</v>
      </c>
      <c r="AB5780">
        <v>17</v>
      </c>
      <c r="AC5780">
        <v>13.662100000000001</v>
      </c>
      <c r="AD5780">
        <v>-1.1139676180019999</v>
      </c>
      <c r="AE5780">
        <v>-12.0540299999999</v>
      </c>
      <c r="AF5780">
        <v>-6.9647912754834902</v>
      </c>
      <c r="AG5780">
        <v>-1.1139676180019999</v>
      </c>
      <c r="AH5780">
        <v>16.762347629800001</v>
      </c>
      <c r="AI5780">
        <v>93.511828463638807</v>
      </c>
      <c r="AJ5780">
        <v>112.562989070344</v>
      </c>
      <c r="AK5780">
        <v>18.185860975693998</v>
      </c>
      <c r="AL5780">
        <v>89.552987771794193</v>
      </c>
      <c r="AM5780">
        <v>90.517335826759904</v>
      </c>
      <c r="AN5780">
        <v>0.99999999599224199</v>
      </c>
    </row>
    <row r="5781" spans="1:40" x14ac:dyDescent="0.25">
      <c r="A5781" t="str">
        <f>"20190312161135547"</f>
        <v>20190312161135547</v>
      </c>
      <c r="B5781" t="str">
        <f>"1552378295542939"</f>
        <v>1552378295542939</v>
      </c>
      <c r="C5781" t="s">
        <v>40</v>
      </c>
      <c r="D5781">
        <v>5.7662620000000002</v>
      </c>
      <c r="E5781">
        <v>0.34668929999999998</v>
      </c>
      <c r="F5781" t="s">
        <v>78</v>
      </c>
      <c r="G5781">
        <v>-282.48329999999999</v>
      </c>
      <c r="H5781" s="1">
        <v>-6.56082199999999E-6</v>
      </c>
      <c r="I5781">
        <v>-63.206809999999997</v>
      </c>
      <c r="J5781">
        <v>-295.74239999999998</v>
      </c>
      <c r="K5781">
        <v>1.1139790000000001</v>
      </c>
      <c r="L5781">
        <v>-51.719819999999999</v>
      </c>
      <c r="M5781">
        <v>0.44718400000000003</v>
      </c>
      <c r="N5781">
        <v>0</v>
      </c>
      <c r="O5781">
        <v>-0.89433569999999996</v>
      </c>
      <c r="P5781">
        <v>0.45509899999999998</v>
      </c>
      <c r="Q5781">
        <v>-6.6552779999999997E-3</v>
      </c>
      <c r="R5781">
        <v>-0.89041630000000005</v>
      </c>
      <c r="S5781">
        <v>2.4414060000000002</v>
      </c>
      <c r="T5781">
        <v>-0.20350299999999999</v>
      </c>
      <c r="U5781">
        <v>-2.132965</v>
      </c>
      <c r="V5781">
        <v>-8.8948819999999998E-3</v>
      </c>
      <c r="W5781">
        <v>7.0641089999999998E-3</v>
      </c>
      <c r="X5781">
        <v>0.99993549999999998</v>
      </c>
      <c r="Y5781">
        <v>-0.37775959999999997</v>
      </c>
      <c r="Z5781">
        <v>6.1549350000000003E-2</v>
      </c>
      <c r="AA5781">
        <v>0.92385569999999895</v>
      </c>
      <c r="AB5781">
        <v>17</v>
      </c>
      <c r="AC5781">
        <v>13.259099999999901</v>
      </c>
      <c r="AD5781">
        <v>-1.113985560822</v>
      </c>
      <c r="AE5781">
        <v>-11.48699</v>
      </c>
      <c r="AF5781">
        <v>-6.6949313071581402</v>
      </c>
      <c r="AG5781">
        <v>-1.113985560822</v>
      </c>
      <c r="AH5781">
        <v>16.138945776276799</v>
      </c>
      <c r="AI5781">
        <v>93.648044581959695</v>
      </c>
      <c r="AJ5781">
        <v>112.53017796663499</v>
      </c>
      <c r="AK5781">
        <v>17.5079593273142</v>
      </c>
      <c r="AL5781">
        <v>89.595253006978893</v>
      </c>
      <c r="AM5781">
        <v>90.509658629050605</v>
      </c>
      <c r="AN5781">
        <v>1.000000012361</v>
      </c>
    </row>
    <row r="5782" spans="1:40" x14ac:dyDescent="0.25">
      <c r="A5782" t="str">
        <f>"20190312161135591"</f>
        <v>20190312161135591</v>
      </c>
      <c r="B5782" t="str">
        <f>"1552378295582955"</f>
        <v>1552378295582955</v>
      </c>
      <c r="C5782" t="s">
        <v>40</v>
      </c>
      <c r="D5782">
        <v>5.7030609999999999</v>
      </c>
      <c r="E5782">
        <v>0.34602080000000002</v>
      </c>
      <c r="F5782" t="s">
        <v>78</v>
      </c>
      <c r="G5782">
        <v>-282.67360000000002</v>
      </c>
      <c r="H5782" s="1">
        <v>-6.5266640000000004E-6</v>
      </c>
      <c r="I5782">
        <v>-62.944020000000002</v>
      </c>
      <c r="J5782">
        <v>-295.5772</v>
      </c>
      <c r="K5782">
        <v>1.1139790000000001</v>
      </c>
      <c r="L5782">
        <v>-52.007719999999999</v>
      </c>
      <c r="M5782">
        <v>0.46052690000000002</v>
      </c>
      <c r="N5782">
        <v>0</v>
      </c>
      <c r="O5782">
        <v>-0.8875383</v>
      </c>
      <c r="P5782">
        <v>0.46883720000000001</v>
      </c>
      <c r="Q5782">
        <v>-9.4113840000000001E-3</v>
      </c>
      <c r="R5782">
        <v>-0.88323469999999904</v>
      </c>
      <c r="S5782">
        <v>2.4581909999999998</v>
      </c>
      <c r="T5782">
        <v>-0.2095371</v>
      </c>
      <c r="U5782">
        <v>-2.111237</v>
      </c>
      <c r="V5782">
        <v>-9.3971079999999995E-3</v>
      </c>
      <c r="W5782">
        <v>4.3147120000000001E-3</v>
      </c>
      <c r="X5782">
        <v>0.99994649999999996</v>
      </c>
      <c r="Y5782">
        <v>-0.3716199</v>
      </c>
      <c r="Z5782">
        <v>6.3026890000000002E-2</v>
      </c>
      <c r="AA5782">
        <v>0.92624309999999999</v>
      </c>
      <c r="AB5782">
        <v>17</v>
      </c>
      <c r="AC5782">
        <v>12.9035999999999</v>
      </c>
      <c r="AD5782">
        <v>-1.113985526664</v>
      </c>
      <c r="AE5782">
        <v>-10.9362999999999</v>
      </c>
      <c r="AF5782">
        <v>-6.3888795131832499</v>
      </c>
      <c r="AG5782">
        <v>-1.113985526664</v>
      </c>
      <c r="AH5782">
        <v>15.582743552357201</v>
      </c>
      <c r="AI5782">
        <v>93.784308383485794</v>
      </c>
      <c r="AJ5782">
        <v>112.293486430737</v>
      </c>
      <c r="AK5782">
        <v>16.878407561322799</v>
      </c>
      <c r="AL5782">
        <v>89.752784436282596</v>
      </c>
      <c r="AM5782">
        <v>90.538427584699093</v>
      </c>
      <c r="AN5782">
        <v>0.99999996262032698</v>
      </c>
    </row>
    <row r="5783" spans="1:40" x14ac:dyDescent="0.25">
      <c r="A5783" t="str">
        <f>"20190312161135612"</f>
        <v>20190312161135612</v>
      </c>
      <c r="B5783" t="str">
        <f>"1552378295603451"</f>
        <v>1552378295603451</v>
      </c>
      <c r="C5783" t="s">
        <v>40</v>
      </c>
      <c r="D5783">
        <v>5.6960949999999997</v>
      </c>
      <c r="E5783">
        <v>0.34586800000000001</v>
      </c>
      <c r="F5783" t="s">
        <v>78</v>
      </c>
      <c r="G5783">
        <v>-282.38679999999999</v>
      </c>
      <c r="H5783" s="1">
        <v>-6.6221459999999997E-6</v>
      </c>
      <c r="I5783">
        <v>-62.948650000000001</v>
      </c>
      <c r="J5783">
        <v>-295.49880000000002</v>
      </c>
      <c r="K5783">
        <v>1.1139760000000001</v>
      </c>
      <c r="L5783">
        <v>-52.140689999999999</v>
      </c>
      <c r="M5783">
        <v>0.4667559</v>
      </c>
      <c r="N5783">
        <v>0</v>
      </c>
      <c r="O5783">
        <v>-0.88427849999999997</v>
      </c>
      <c r="P5783">
        <v>0.47524179999999999</v>
      </c>
      <c r="Q5783">
        <v>-1.016237E-2</v>
      </c>
      <c r="R5783">
        <v>-0.87979689999999999</v>
      </c>
      <c r="S5783">
        <v>2.4953310000000002</v>
      </c>
      <c r="T5783">
        <v>-0.2107426</v>
      </c>
      <c r="U5783">
        <v>-2.0697939999999999</v>
      </c>
      <c r="V5783">
        <v>-9.6288640000000009E-3</v>
      </c>
      <c r="W5783">
        <v>3.5660829999999998E-3</v>
      </c>
      <c r="X5783">
        <v>0.99994729999999998</v>
      </c>
      <c r="Y5783">
        <v>-0.3809516</v>
      </c>
      <c r="Z5783">
        <v>6.3381530000000005E-2</v>
      </c>
      <c r="AA5783">
        <v>0.92242000000000002</v>
      </c>
      <c r="AB5783">
        <v>17</v>
      </c>
      <c r="AC5783">
        <v>13.112</v>
      </c>
      <c r="AD5783">
        <v>-1.1139826221460001</v>
      </c>
      <c r="AE5783">
        <v>-10.80796</v>
      </c>
      <c r="AF5783">
        <v>-6.5225711733183704</v>
      </c>
      <c r="AG5783">
        <v>-1.1139826221460001</v>
      </c>
      <c r="AH5783">
        <v>15.611745686194499</v>
      </c>
      <c r="AI5783">
        <v>93.766919630037805</v>
      </c>
      <c r="AJ5783">
        <v>112.675121553794</v>
      </c>
      <c r="AK5783">
        <v>16.956163934211599</v>
      </c>
      <c r="AL5783">
        <v>89.795678065196299</v>
      </c>
      <c r="AM5783">
        <v>90.551705292641202</v>
      </c>
      <c r="AN5783">
        <v>1.0000000173735899</v>
      </c>
    </row>
    <row r="5784" spans="1:40" x14ac:dyDescent="0.25">
      <c r="A5784" t="str">
        <f>"20190312161135637"</f>
        <v>20190312161135637</v>
      </c>
      <c r="B5784" t="str">
        <f>"1552378295632730"</f>
        <v>1552378295632730</v>
      </c>
      <c r="C5784" t="s">
        <v>40</v>
      </c>
      <c r="D5784">
        <v>5.6652449999999996</v>
      </c>
      <c r="E5784">
        <v>0.34631509999999999</v>
      </c>
      <c r="F5784" t="s">
        <v>78</v>
      </c>
      <c r="G5784">
        <v>-282.18290000000002</v>
      </c>
      <c r="H5784" s="1">
        <v>-6.6828060000000004E-6</v>
      </c>
      <c r="I5784">
        <v>-63.01623</v>
      </c>
      <c r="J5784">
        <v>-295.4008</v>
      </c>
      <c r="K5784">
        <v>1.113964</v>
      </c>
      <c r="L5784">
        <v>-52.30386</v>
      </c>
      <c r="M5784">
        <v>0.47444570000000003</v>
      </c>
      <c r="N5784">
        <v>0</v>
      </c>
      <c r="O5784">
        <v>-0.88017649999999903</v>
      </c>
      <c r="P5784">
        <v>0.48435470000000003</v>
      </c>
      <c r="Q5784">
        <v>-1.072644E-2</v>
      </c>
      <c r="R5784">
        <v>-0.87480619999999998</v>
      </c>
      <c r="S5784">
        <v>2.5111690000000002</v>
      </c>
      <c r="T5784">
        <v>-0.2100805</v>
      </c>
      <c r="U5784">
        <v>-2.050964</v>
      </c>
      <c r="V5784">
        <v>-1.129724E-2</v>
      </c>
      <c r="W5784">
        <v>2.990543E-3</v>
      </c>
      <c r="X5784">
        <v>0.99993169999999998</v>
      </c>
      <c r="Y5784">
        <v>-0.37991229999999998</v>
      </c>
      <c r="Z5784">
        <v>6.2993779999999999E-2</v>
      </c>
      <c r="AA5784">
        <v>0.922875</v>
      </c>
      <c r="AB5784">
        <v>17</v>
      </c>
      <c r="AC5784">
        <v>13.217899999999901</v>
      </c>
      <c r="AD5784">
        <v>-1.1139706828060001</v>
      </c>
      <c r="AE5784">
        <v>-10.71237</v>
      </c>
      <c r="AF5784">
        <v>-6.5243022710330703</v>
      </c>
      <c r="AG5784">
        <v>-1.1139706828060001</v>
      </c>
      <c r="AH5784">
        <v>15.6344247923016</v>
      </c>
      <c r="AI5784">
        <v>93.7620914996197</v>
      </c>
      <c r="AJ5784">
        <v>112.650954673534</v>
      </c>
      <c r="AK5784">
        <v>16.9777115475583</v>
      </c>
      <c r="AL5784">
        <v>89.828654250159502</v>
      </c>
      <c r="AM5784">
        <v>90.647300844025807</v>
      </c>
      <c r="AN5784">
        <v>0.99999998782197097</v>
      </c>
    </row>
    <row r="5785" spans="1:40" x14ac:dyDescent="0.25">
      <c r="A5785" t="str">
        <f>"20190312161135675"</f>
        <v>20190312161135675</v>
      </c>
      <c r="B5785" t="str">
        <f>"1552378295662986"</f>
        <v>1552378295662986</v>
      </c>
      <c r="C5785" t="s">
        <v>40</v>
      </c>
      <c r="D5785">
        <v>5.1486859999999997</v>
      </c>
      <c r="E5785">
        <v>0.3465029</v>
      </c>
      <c r="F5785" t="s">
        <v>78</v>
      </c>
      <c r="G5785">
        <v>-282.0718</v>
      </c>
      <c r="H5785" s="1">
        <v>-6.723857E-6</v>
      </c>
      <c r="I5785">
        <v>-62.982089999999999</v>
      </c>
      <c r="J5785">
        <v>-295.2552</v>
      </c>
      <c r="K5785">
        <v>1.113937</v>
      </c>
      <c r="L5785">
        <v>-52.54034</v>
      </c>
      <c r="M5785">
        <v>0.48564800000000002</v>
      </c>
      <c r="N5785">
        <v>0</v>
      </c>
      <c r="O5785">
        <v>-0.87404550000000003</v>
      </c>
      <c r="P5785">
        <v>0.49780799999999997</v>
      </c>
      <c r="Q5785">
        <v>-1.3099680000000001E-2</v>
      </c>
      <c r="R5785">
        <v>-0.86718890000000004</v>
      </c>
      <c r="S5785">
        <v>2.5293580000000002</v>
      </c>
      <c r="T5785">
        <v>-0.21139060000000001</v>
      </c>
      <c r="U5785">
        <v>-2.0263369999999998</v>
      </c>
      <c r="V5785">
        <v>-1.396498E-2</v>
      </c>
      <c r="W5785">
        <v>5.915801E-4</v>
      </c>
      <c r="X5785">
        <v>0.99990230000000002</v>
      </c>
      <c r="Y5785">
        <v>-0.37679590000000002</v>
      </c>
      <c r="Z5785">
        <v>6.3101749999999998E-2</v>
      </c>
      <c r="AA5785">
        <v>0.92414450000000004</v>
      </c>
      <c r="AB5785">
        <v>17</v>
      </c>
      <c r="AC5785">
        <v>13.183400000000001</v>
      </c>
      <c r="AD5785">
        <v>-1.113943723857</v>
      </c>
      <c r="AE5785">
        <v>-10.441750000000001</v>
      </c>
      <c r="AF5785">
        <v>-6.4243056392951496</v>
      </c>
      <c r="AG5785">
        <v>-1.113943723857</v>
      </c>
      <c r="AH5785">
        <v>15.462696131196999</v>
      </c>
      <c r="AI5785">
        <v>93.806126348986695</v>
      </c>
      <c r="AJ5785">
        <v>112.561479700589</v>
      </c>
      <c r="AK5785">
        <v>16.781166384156201</v>
      </c>
      <c r="AL5785">
        <v>89.966104954713103</v>
      </c>
      <c r="AM5785">
        <v>90.8001605723463</v>
      </c>
      <c r="AN5785">
        <v>0.99999999008935203</v>
      </c>
    </row>
    <row r="5786" spans="1:40" x14ac:dyDescent="0.25">
      <c r="A5786" t="str">
        <f>"20190312161135706"</f>
        <v>20190312161135706</v>
      </c>
      <c r="B5786" t="str">
        <f>"1552378295703003"</f>
        <v>1552378295703003</v>
      </c>
      <c r="C5786" t="s">
        <v>40</v>
      </c>
      <c r="D5786">
        <v>5.5277440000000002</v>
      </c>
      <c r="E5786">
        <v>0.31680180000000002</v>
      </c>
      <c r="F5786" t="s">
        <v>78</v>
      </c>
      <c r="G5786">
        <v>-281.9074</v>
      </c>
      <c r="H5786" s="1">
        <v>-6.7876220000000002E-6</v>
      </c>
      <c r="I5786">
        <v>-62.904420000000002</v>
      </c>
      <c r="J5786">
        <v>-295.13200000000001</v>
      </c>
      <c r="K5786">
        <v>1.113901</v>
      </c>
      <c r="L5786">
        <v>-52.735349999999997</v>
      </c>
      <c r="M5786">
        <v>0.49490970000000001</v>
      </c>
      <c r="N5786">
        <v>0</v>
      </c>
      <c r="O5786">
        <v>-0.86883489999999997</v>
      </c>
      <c r="P5786">
        <v>0.50755649999999997</v>
      </c>
      <c r="Q5786">
        <v>-1.4691249999999999E-2</v>
      </c>
      <c r="R5786">
        <v>-0.86149349999999902</v>
      </c>
      <c r="S5786">
        <v>2.5592039999999998</v>
      </c>
      <c r="T5786">
        <v>-0.2135783</v>
      </c>
      <c r="U5786">
        <v>-1.9871220000000001</v>
      </c>
      <c r="V5786">
        <v>-1.461436E-2</v>
      </c>
      <c r="W5786">
        <v>-1.010279E-3</v>
      </c>
      <c r="X5786">
        <v>0.99989269999999997</v>
      </c>
      <c r="Y5786">
        <v>-0.38096960000000002</v>
      </c>
      <c r="Z5786">
        <v>6.3622719999999994E-2</v>
      </c>
      <c r="AA5786">
        <v>0.92239590000000005</v>
      </c>
      <c r="AB5786">
        <v>17</v>
      </c>
      <c r="AC5786">
        <v>13.224600000000001</v>
      </c>
      <c r="AD5786">
        <v>-1.113907787622</v>
      </c>
      <c r="AE5786">
        <v>-10.1690699999999</v>
      </c>
      <c r="AF5786">
        <v>-6.4291729118449297</v>
      </c>
      <c r="AG5786">
        <v>-1.113907787622</v>
      </c>
      <c r="AH5786">
        <v>15.313415109773301</v>
      </c>
      <c r="AI5786">
        <v>93.837048580383097</v>
      </c>
      <c r="AJ5786">
        <v>112.77457668667699</v>
      </c>
      <c r="AK5786">
        <v>16.645592125663701</v>
      </c>
      <c r="AL5786">
        <v>90.057884732339005</v>
      </c>
      <c r="AM5786">
        <v>90.8373713801072</v>
      </c>
      <c r="AN5786">
        <v>1.00000000584757</v>
      </c>
    </row>
    <row r="5787" spans="1:40" x14ac:dyDescent="0.25">
      <c r="A5787" t="str">
        <f>"20190312161135742"</f>
        <v>20190312161135742</v>
      </c>
      <c r="B5787" t="str">
        <f>"1552378295733259"</f>
        <v>1552378295733259</v>
      </c>
      <c r="C5787" t="s">
        <v>40</v>
      </c>
      <c r="D5787">
        <v>5.5286770000000001</v>
      </c>
      <c r="E5787">
        <v>0.34046270000000001</v>
      </c>
      <c r="F5787" t="s">
        <v>81</v>
      </c>
      <c r="G5787">
        <v>-253.14410000000001</v>
      </c>
      <c r="H5787">
        <v>9.2511930000000007</v>
      </c>
      <c r="I5787">
        <v>-80.916469999999904</v>
      </c>
      <c r="J5787">
        <v>-294.9855</v>
      </c>
      <c r="K5787">
        <v>1.1138349999999999</v>
      </c>
      <c r="L5787">
        <v>-52.961329999999997</v>
      </c>
      <c r="M5787">
        <v>0.50565579999999999</v>
      </c>
      <c r="N5787">
        <v>0</v>
      </c>
      <c r="O5787">
        <v>-0.86262510000000003</v>
      </c>
      <c r="P5787">
        <v>0.51867359999999996</v>
      </c>
      <c r="Q5787">
        <v>-1.6721980000000001E-2</v>
      </c>
      <c r="R5787">
        <v>-0.85480889999999998</v>
      </c>
      <c r="S5787">
        <v>2.7702939999999998</v>
      </c>
      <c r="T5787">
        <v>0.53688630000000004</v>
      </c>
      <c r="U5787">
        <v>-1.8593440000000001</v>
      </c>
      <c r="V5787">
        <v>-1.515735E-2</v>
      </c>
      <c r="W5787">
        <v>-3.0637339999999998E-3</v>
      </c>
      <c r="X5787">
        <v>0.9998804</v>
      </c>
      <c r="Y5787">
        <v>-0.4231529</v>
      </c>
      <c r="Z5787">
        <v>-0.1553042</v>
      </c>
      <c r="AA5787">
        <v>0.89264900000000003</v>
      </c>
      <c r="AB5787">
        <v>17</v>
      </c>
      <c r="AC5787">
        <v>41.841399999999901</v>
      </c>
      <c r="AD5787">
        <v>8.1373579999999901</v>
      </c>
      <c r="AE5787">
        <v>-27.955139999999901</v>
      </c>
      <c r="AF5787">
        <v>-21.4002369414216</v>
      </c>
      <c r="AG5787">
        <v>8.1373579999999901</v>
      </c>
      <c r="AH5787">
        <v>44.122653677509099</v>
      </c>
      <c r="AI5787">
        <v>80.578303476162304</v>
      </c>
      <c r="AJ5787">
        <v>115.874173577834</v>
      </c>
      <c r="AK5787">
        <v>49.709106850903602</v>
      </c>
      <c r="AL5787">
        <v>90.175539307104103</v>
      </c>
      <c r="AM5787">
        <v>90.868489540620303</v>
      </c>
      <c r="AN5787">
        <v>0.99999997301460197</v>
      </c>
    </row>
    <row r="5788" spans="1:40" x14ac:dyDescent="0.25">
      <c r="A5788" t="str">
        <f>"20190312161135767"</f>
        <v>20190312161135767</v>
      </c>
      <c r="B5788" t="str">
        <f>"1552378295763515"</f>
        <v>1552378295763515</v>
      </c>
      <c r="C5788" t="s">
        <v>40</v>
      </c>
      <c r="D5788">
        <v>5.6648379999999996</v>
      </c>
      <c r="E5788">
        <v>0.33916689999999999</v>
      </c>
      <c r="F5788" t="s">
        <v>41</v>
      </c>
      <c r="G5788">
        <v>-271.63580000000002</v>
      </c>
      <c r="H5788" s="1">
        <v>-1.84501E-6</v>
      </c>
      <c r="I5788">
        <v>-69.741419999999906</v>
      </c>
      <c r="J5788">
        <v>-294.88060000000002</v>
      </c>
      <c r="K5788">
        <v>1.1137999999999999</v>
      </c>
      <c r="L5788">
        <v>-53.119450000000001</v>
      </c>
      <c r="M5788">
        <v>0.51317000000000002</v>
      </c>
      <c r="N5788">
        <v>0</v>
      </c>
      <c r="O5788">
        <v>-0.85817659999999996</v>
      </c>
      <c r="P5788">
        <v>0.5253333</v>
      </c>
      <c r="Q5788">
        <v>-1.7945050000000001E-2</v>
      </c>
      <c r="R5788">
        <v>-0.85070749999999995</v>
      </c>
      <c r="S5788">
        <v>2.6460270000000001</v>
      </c>
      <c r="T5788">
        <v>-0.126222</v>
      </c>
      <c r="U5788">
        <v>-1.9015500000000001</v>
      </c>
      <c r="V5788">
        <v>-1.423662E-2</v>
      </c>
      <c r="W5788">
        <v>-4.2962299999999998E-3</v>
      </c>
      <c r="X5788">
        <v>0.99988940000000004</v>
      </c>
      <c r="Y5788">
        <v>-0.39680789999999999</v>
      </c>
      <c r="Z5788">
        <v>3.7337290000000002E-2</v>
      </c>
      <c r="AA5788">
        <v>0.91714200000000001</v>
      </c>
      <c r="AB5788">
        <v>17</v>
      </c>
      <c r="AC5788">
        <v>23.244800000000001</v>
      </c>
      <c r="AD5788">
        <v>-1.11380184500999</v>
      </c>
      <c r="AE5788">
        <v>-16.621969999999902</v>
      </c>
      <c r="AF5788">
        <v>-11.4020076054433</v>
      </c>
      <c r="AG5788">
        <v>-1.11380184500999</v>
      </c>
      <c r="AH5788">
        <v>26.155866827998601</v>
      </c>
      <c r="AI5788">
        <v>92.235434095325402</v>
      </c>
      <c r="AJ5788">
        <v>113.553611708773</v>
      </c>
      <c r="AK5788">
        <v>28.554784214007501</v>
      </c>
      <c r="AL5788">
        <v>90.246156610073996</v>
      </c>
      <c r="AM5788">
        <v>90.815733346211303</v>
      </c>
      <c r="AN5788">
        <v>0.99999997558679798</v>
      </c>
    </row>
    <row r="5789" spans="1:40" x14ac:dyDescent="0.25">
      <c r="A5789" t="str">
        <f>"20190312161135789"</f>
        <v>20190312161135789</v>
      </c>
      <c r="B5789" t="str">
        <f>"1552378295783034"</f>
        <v>1552378295783034</v>
      </c>
      <c r="C5789" t="s">
        <v>40</v>
      </c>
      <c r="D5789">
        <v>5.6359260000000004</v>
      </c>
      <c r="E5789">
        <v>0.3364761</v>
      </c>
      <c r="F5789" t="s">
        <v>41</v>
      </c>
      <c r="G5789">
        <v>-270.30779999999999</v>
      </c>
      <c r="H5789">
        <v>2.5566450000000001E-2</v>
      </c>
      <c r="I5789">
        <v>-70.383669999999995</v>
      </c>
      <c r="J5789">
        <v>-294.78629999999998</v>
      </c>
      <c r="K5789">
        <v>1.1137699999999999</v>
      </c>
      <c r="L5789">
        <v>-53.259120000000003</v>
      </c>
      <c r="M5789">
        <v>0.51980400000000004</v>
      </c>
      <c r="N5789">
        <v>0</v>
      </c>
      <c r="O5789">
        <v>-0.85417480000000001</v>
      </c>
      <c r="P5789">
        <v>0.5311226</v>
      </c>
      <c r="Q5789">
        <v>-1.8317119999999999E-2</v>
      </c>
      <c r="R5789">
        <v>-0.84709729999999905</v>
      </c>
      <c r="S5789">
        <v>2.669495</v>
      </c>
      <c r="T5789">
        <v>-0.11822149999999999</v>
      </c>
      <c r="U5789">
        <v>-1.8755189999999999</v>
      </c>
      <c r="V5789">
        <v>-1.330924E-2</v>
      </c>
      <c r="W5789">
        <v>-4.6739370000000004E-3</v>
      </c>
      <c r="X5789">
        <v>0.99990049999999997</v>
      </c>
      <c r="Y5789">
        <v>-0.39956979999999997</v>
      </c>
      <c r="Z5789">
        <v>3.4864310000000003E-2</v>
      </c>
      <c r="AA5789">
        <v>0.91603950000000001</v>
      </c>
      <c r="AB5789">
        <v>17</v>
      </c>
      <c r="AC5789">
        <v>24.4785</v>
      </c>
      <c r="AD5789">
        <v>-1.08820355</v>
      </c>
      <c r="AE5789">
        <v>-17.124549999999999</v>
      </c>
      <c r="AF5789">
        <v>-11.992731261817299</v>
      </c>
      <c r="AG5789">
        <v>-1.08820355</v>
      </c>
      <c r="AH5789">
        <v>27.317721417866998</v>
      </c>
      <c r="AI5789">
        <v>92.088934903972799</v>
      </c>
      <c r="AJ5789">
        <v>113.70191666857799</v>
      </c>
      <c r="AK5789">
        <v>29.8541068121053</v>
      </c>
      <c r="AL5789">
        <v>90.267797839997996</v>
      </c>
      <c r="AM5789">
        <v>90.762594128697799</v>
      </c>
      <c r="AN5789">
        <v>0.99999999572835296</v>
      </c>
    </row>
    <row r="5790" spans="1:40" x14ac:dyDescent="0.25">
      <c r="A5790" t="str">
        <f>"20190312161135812"</f>
        <v>20190312161135812</v>
      </c>
      <c r="B5790" t="str">
        <f>"1552378295803531"</f>
        <v>1552378295803531</v>
      </c>
      <c r="C5790" t="s">
        <v>40</v>
      </c>
      <c r="D5790">
        <v>5.887041</v>
      </c>
      <c r="E5790">
        <v>0.33385179999999998</v>
      </c>
      <c r="F5790" t="s">
        <v>41</v>
      </c>
      <c r="G5790">
        <v>-270.65010000000001</v>
      </c>
      <c r="H5790" s="1">
        <v>-1.511331E-6</v>
      </c>
      <c r="I5790">
        <v>-69.754559999999998</v>
      </c>
      <c r="J5790">
        <v>-294.69130000000001</v>
      </c>
      <c r="K5790">
        <v>1.113745</v>
      </c>
      <c r="L5790">
        <v>-53.397550000000003</v>
      </c>
      <c r="M5790">
        <v>0.52637049999999996</v>
      </c>
      <c r="N5790">
        <v>0</v>
      </c>
      <c r="O5790">
        <v>-0.85014429999999996</v>
      </c>
      <c r="P5790">
        <v>0.5363793</v>
      </c>
      <c r="Q5790">
        <v>-1.8960060000000001E-2</v>
      </c>
      <c r="R5790">
        <v>-0.84376399999999996</v>
      </c>
      <c r="S5790">
        <v>2.7004999999999999</v>
      </c>
      <c r="T5790">
        <v>-0.1246157</v>
      </c>
      <c r="U5790">
        <v>-1.845612</v>
      </c>
      <c r="V5790">
        <v>-1.182399E-2</v>
      </c>
      <c r="W5790">
        <v>-5.3164880000000003E-3</v>
      </c>
      <c r="X5790">
        <v>0.99991600000000003</v>
      </c>
      <c r="Y5790">
        <v>-0.40428730000000002</v>
      </c>
      <c r="Z5790">
        <v>3.6605730000000003E-2</v>
      </c>
      <c r="AA5790">
        <v>0.91389920000000002</v>
      </c>
      <c r="AB5790">
        <v>17</v>
      </c>
      <c r="AC5790">
        <v>24.0412</v>
      </c>
      <c r="AD5790">
        <v>-1.1137465113310001</v>
      </c>
      <c r="AE5790">
        <v>-16.357009999999899</v>
      </c>
      <c r="AF5790">
        <v>-11.8124288402694</v>
      </c>
      <c r="AG5790">
        <v>-1.1137465113310001</v>
      </c>
      <c r="AH5790">
        <v>26.523992620519302</v>
      </c>
      <c r="AI5790">
        <v>92.196686093575394</v>
      </c>
      <c r="AJ5790">
        <v>114.005744277592</v>
      </c>
      <c r="AK5790">
        <v>29.0567735808932</v>
      </c>
      <c r="AL5790">
        <v>90.304613747222305</v>
      </c>
      <c r="AM5790">
        <v>90.677490059136105</v>
      </c>
      <c r="AN5790">
        <v>1.0000000394200801</v>
      </c>
    </row>
    <row r="5791" spans="1:40" x14ac:dyDescent="0.25">
      <c r="A5791" t="str">
        <f>"20190312161135834"</f>
        <v>20190312161135834</v>
      </c>
      <c r="B5791" t="str">
        <f>"1552378295823051"</f>
        <v>1552378295823051</v>
      </c>
      <c r="C5791" t="s">
        <v>40</v>
      </c>
      <c r="D5791">
        <v>5.6543289999999997</v>
      </c>
      <c r="E5791">
        <v>0.33200760000000001</v>
      </c>
      <c r="F5791" t="s">
        <v>41</v>
      </c>
      <c r="G5791">
        <v>-271.88589999999999</v>
      </c>
      <c r="H5791" s="1">
        <v>-1.774725E-6</v>
      </c>
      <c r="I5791">
        <v>-68.579030000000003</v>
      </c>
      <c r="J5791">
        <v>-294.6001</v>
      </c>
      <c r="K5791">
        <v>1.113729</v>
      </c>
      <c r="L5791">
        <v>-53.528230000000001</v>
      </c>
      <c r="M5791">
        <v>0.53257049999999995</v>
      </c>
      <c r="N5791">
        <v>0</v>
      </c>
      <c r="O5791">
        <v>-0.84627439999999998</v>
      </c>
      <c r="P5791">
        <v>0.54158039999999996</v>
      </c>
      <c r="Q5791">
        <v>-1.913285E-2</v>
      </c>
      <c r="R5791">
        <v>-0.84043140000000005</v>
      </c>
      <c r="S5791">
        <v>2.7297669999999998</v>
      </c>
      <c r="T5791">
        <v>-0.13331379999999901</v>
      </c>
      <c r="U5791">
        <v>-1.8171999999999999</v>
      </c>
      <c r="V5791">
        <v>-1.069206E-2</v>
      </c>
      <c r="W5791">
        <v>-5.4914569999999999E-3</v>
      </c>
      <c r="X5791">
        <v>0.99992780000000003</v>
      </c>
      <c r="Y5791">
        <v>-0.4086497</v>
      </c>
      <c r="Z5791">
        <v>3.9007800000000002E-2</v>
      </c>
      <c r="AA5791">
        <v>0.91185740000000004</v>
      </c>
      <c r="AB5791">
        <v>17</v>
      </c>
      <c r="AC5791">
        <v>22.714200000000002</v>
      </c>
      <c r="AD5791">
        <v>-1.113730774725</v>
      </c>
      <c r="AE5791">
        <v>-15.050799999999899</v>
      </c>
      <c r="AF5791">
        <v>-11.1891959058688</v>
      </c>
      <c r="AG5791">
        <v>-1.113730774725</v>
      </c>
      <c r="AH5791">
        <v>24.794934316963801</v>
      </c>
      <c r="AI5791">
        <v>92.344489868473403</v>
      </c>
      <c r="AJ5791">
        <v>114.28820144101</v>
      </c>
      <c r="AK5791">
        <v>27.225489326016401</v>
      </c>
      <c r="AL5791">
        <v>90.314638878056002</v>
      </c>
      <c r="AM5791">
        <v>90.612630797922705</v>
      </c>
      <c r="AN5791">
        <v>1.0000000407299301</v>
      </c>
    </row>
    <row r="5792" spans="1:40" x14ac:dyDescent="0.25">
      <c r="A5792" t="str">
        <f>"20190312161135857"</f>
        <v>20190312161135857</v>
      </c>
      <c r="B5792" t="str">
        <f>"1552378295853307"</f>
        <v>1552378295853307</v>
      </c>
      <c r="C5792" t="s">
        <v>40</v>
      </c>
      <c r="D5792">
        <v>5.6909099999999997</v>
      </c>
      <c r="E5792">
        <v>0.33045409999999997</v>
      </c>
      <c r="F5792" t="s">
        <v>41</v>
      </c>
      <c r="G5792">
        <v>-271.226</v>
      </c>
      <c r="H5792" s="1">
        <v>-1.539146E-6</v>
      </c>
      <c r="I5792">
        <v>-68.74342</v>
      </c>
      <c r="J5792">
        <v>-294.50209999999998</v>
      </c>
      <c r="K5792">
        <v>1.113721</v>
      </c>
      <c r="L5792">
        <v>-53.666469999999997</v>
      </c>
      <c r="M5792">
        <v>0.53912850000000001</v>
      </c>
      <c r="N5792">
        <v>0</v>
      </c>
      <c r="O5792">
        <v>-0.84211179999999997</v>
      </c>
      <c r="P5792">
        <v>0.54637959999999997</v>
      </c>
      <c r="Q5792">
        <v>-2.0537030000000001E-2</v>
      </c>
      <c r="R5792">
        <v>-0.83728599999999997</v>
      </c>
      <c r="S5792">
        <v>2.753387</v>
      </c>
      <c r="T5792">
        <v>-0.13119359999999999</v>
      </c>
      <c r="U5792">
        <v>-1.792297</v>
      </c>
      <c r="V5792">
        <v>-8.6517230000000001E-3</v>
      </c>
      <c r="W5792">
        <v>-6.8913300000000002E-3</v>
      </c>
      <c r="X5792">
        <v>0.99993880000000002</v>
      </c>
      <c r="Y5792">
        <v>-0.41097339999999999</v>
      </c>
      <c r="Z5792">
        <v>3.823638E-2</v>
      </c>
      <c r="AA5792">
        <v>0.91084509999999996</v>
      </c>
      <c r="AB5792">
        <v>17</v>
      </c>
      <c r="AC5792">
        <v>23.2760999999999</v>
      </c>
      <c r="AD5792">
        <v>-1.1137225391459999</v>
      </c>
      <c r="AE5792">
        <v>-15.07695</v>
      </c>
      <c r="AF5792">
        <v>-11.455269753697401</v>
      </c>
      <c r="AG5792">
        <v>-1.1137225391459999</v>
      </c>
      <c r="AH5792">
        <v>25.207008551172201</v>
      </c>
      <c r="AI5792">
        <v>92.303437857324795</v>
      </c>
      <c r="AJ5792">
        <v>114.43931782356</v>
      </c>
      <c r="AK5792">
        <v>27.710230297185301</v>
      </c>
      <c r="AL5792">
        <v>90.394847260083296</v>
      </c>
      <c r="AM5792">
        <v>90.495725182562197</v>
      </c>
      <c r="AN5792">
        <v>0.99999997324273804</v>
      </c>
    </row>
    <row r="5793" spans="1:40" x14ac:dyDescent="0.25">
      <c r="A5793" t="str">
        <f>"20190312161135880"</f>
        <v>20190312161135880</v>
      </c>
      <c r="B5793" t="str">
        <f>"1552378295872828"</f>
        <v>1552378295872828</v>
      </c>
      <c r="C5793" t="s">
        <v>40</v>
      </c>
      <c r="D5793">
        <v>5.6971220000000002</v>
      </c>
      <c r="E5793">
        <v>0.3300187</v>
      </c>
      <c r="F5793" t="s">
        <v>41</v>
      </c>
      <c r="G5793">
        <v>-271.58949999999999</v>
      </c>
      <c r="H5793" s="1">
        <v>-1.592339E-6</v>
      </c>
      <c r="I5793">
        <v>-68.28143</v>
      </c>
      <c r="J5793">
        <v>-294.40320000000003</v>
      </c>
      <c r="K5793">
        <v>1.113704</v>
      </c>
      <c r="L5793">
        <v>-53.803800000000003</v>
      </c>
      <c r="M5793">
        <v>0.54564460000000004</v>
      </c>
      <c r="N5793">
        <v>0</v>
      </c>
      <c r="O5793">
        <v>-0.83790469999999895</v>
      </c>
      <c r="P5793">
        <v>0.55142579999999997</v>
      </c>
      <c r="Q5793">
        <v>-2.05188E-2</v>
      </c>
      <c r="R5793">
        <v>-0.83397199999999905</v>
      </c>
      <c r="S5793">
        <v>2.7740480000000001</v>
      </c>
      <c r="T5793">
        <v>-0.13483889999999901</v>
      </c>
      <c r="U5793">
        <v>-1.7694399999999999</v>
      </c>
      <c r="V5793">
        <v>-6.9342500000000003E-3</v>
      </c>
      <c r="W5793">
        <v>-6.8703439999999996E-3</v>
      </c>
      <c r="X5793">
        <v>0.99995239999999996</v>
      </c>
      <c r="Y5793">
        <v>-0.41229009999999999</v>
      </c>
      <c r="Z5793">
        <v>3.9140080000000001E-2</v>
      </c>
      <c r="AA5793">
        <v>0.91021149999999995</v>
      </c>
      <c r="AB5793">
        <v>17</v>
      </c>
      <c r="AC5793">
        <v>22.813700000000001</v>
      </c>
      <c r="AD5793">
        <v>-1.113705592339</v>
      </c>
      <c r="AE5793">
        <v>-14.4776299999999</v>
      </c>
      <c r="AF5793">
        <v>-11.198093612142801</v>
      </c>
      <c r="AG5793">
        <v>-1.113705592339</v>
      </c>
      <c r="AH5793">
        <v>24.5396618715804</v>
      </c>
      <c r="AI5793">
        <v>92.364298914819997</v>
      </c>
      <c r="AJ5793">
        <v>114.528462200544</v>
      </c>
      <c r="AK5793">
        <v>26.996900664043299</v>
      </c>
      <c r="AL5793">
        <v>90.393644794558995</v>
      </c>
      <c r="AM5793">
        <v>90.397315802945002</v>
      </c>
      <c r="AN5793">
        <v>1.0000000438577401</v>
      </c>
    </row>
    <row r="5794" spans="1:40" x14ac:dyDescent="0.25">
      <c r="A5794" t="str">
        <f>"20190312161135905"</f>
        <v>20190312161135905</v>
      </c>
      <c r="B5794" t="str">
        <f>"1552378295893322"</f>
        <v>1552378295893322</v>
      </c>
      <c r="C5794" t="s">
        <v>40</v>
      </c>
      <c r="D5794">
        <v>4.7378689999999999</v>
      </c>
      <c r="E5794">
        <v>0.32924949999999997</v>
      </c>
      <c r="F5794" t="s">
        <v>41</v>
      </c>
      <c r="G5794">
        <v>-271.34840000000003</v>
      </c>
      <c r="H5794" s="1">
        <v>-1.4896019999999999E-6</v>
      </c>
      <c r="I5794">
        <v>-68.284450000000007</v>
      </c>
      <c r="J5794">
        <v>-294.29969999999997</v>
      </c>
      <c r="K5794">
        <v>1.113691</v>
      </c>
      <c r="L5794">
        <v>-53.945250000000001</v>
      </c>
      <c r="M5794">
        <v>0.55235889999999999</v>
      </c>
      <c r="N5794">
        <v>0</v>
      </c>
      <c r="O5794">
        <v>-0.83349409999999902</v>
      </c>
      <c r="P5794">
        <v>0.55687730000000002</v>
      </c>
      <c r="Q5794">
        <v>-2.0834800000000001E-2</v>
      </c>
      <c r="R5794">
        <v>-0.83033349999999995</v>
      </c>
      <c r="S5794">
        <v>2.787506</v>
      </c>
      <c r="T5794">
        <v>-0.13465569999999999</v>
      </c>
      <c r="U5794">
        <v>-1.7508239999999999</v>
      </c>
      <c r="V5794">
        <v>-5.4527669999999999E-3</v>
      </c>
      <c r="W5794">
        <v>-7.184653E-3</v>
      </c>
      <c r="X5794">
        <v>0.9999593</v>
      </c>
      <c r="Y5794">
        <v>-0.41131839999999997</v>
      </c>
      <c r="Z5794">
        <v>3.8936600000000002E-2</v>
      </c>
      <c r="AA5794">
        <v>0.91065969999999996</v>
      </c>
      <c r="AB5794">
        <v>17</v>
      </c>
      <c r="AC5794">
        <v>22.9512999999999</v>
      </c>
      <c r="AD5794">
        <v>-1.113692489602</v>
      </c>
      <c r="AE5794">
        <v>-14.3392</v>
      </c>
      <c r="AF5794">
        <v>-11.1914846158698</v>
      </c>
      <c r="AG5794">
        <v>-1.113692489602</v>
      </c>
      <c r="AH5794">
        <v>24.589655668069302</v>
      </c>
      <c r="AI5794">
        <v>92.360534099362496</v>
      </c>
      <c r="AJ5794">
        <v>114.471695363268</v>
      </c>
      <c r="AK5794">
        <v>27.039615469581999</v>
      </c>
      <c r="AL5794">
        <v>90.411653845318796</v>
      </c>
      <c r="AM5794">
        <v>90.312430155113304</v>
      </c>
      <c r="AN5794">
        <v>0.99999997678158803</v>
      </c>
    </row>
    <row r="5795" spans="1:40" x14ac:dyDescent="0.25">
      <c r="A5795" t="str">
        <f>"20190312161135943"</f>
        <v>20190312161135943</v>
      </c>
      <c r="B5795" t="str">
        <f>"1552378295932990"</f>
        <v>1552378295932990</v>
      </c>
      <c r="C5795" t="s">
        <v>40</v>
      </c>
      <c r="D5795">
        <v>5.7721099999999996</v>
      </c>
      <c r="E5795">
        <v>0.3275807</v>
      </c>
      <c r="F5795" t="s">
        <v>41</v>
      </c>
      <c r="G5795">
        <v>-270.75569999999999</v>
      </c>
      <c r="H5795" s="1">
        <v>-1.2753300000000001E-6</v>
      </c>
      <c r="I5795">
        <v>-68.464320000000001</v>
      </c>
      <c r="J5795">
        <v>-294.12799999999999</v>
      </c>
      <c r="K5795">
        <v>1.113672</v>
      </c>
      <c r="L5795">
        <v>-54.174529999999997</v>
      </c>
      <c r="M5795">
        <v>0.56326009999999904</v>
      </c>
      <c r="N5795">
        <v>0</v>
      </c>
      <c r="O5795">
        <v>-0.82616659999999997</v>
      </c>
      <c r="P5795">
        <v>0.56669440000000004</v>
      </c>
      <c r="Q5795">
        <v>-2.1987590000000001E-2</v>
      </c>
      <c r="R5795">
        <v>-0.82363469999999905</v>
      </c>
      <c r="S5795">
        <v>2.8039860000000001</v>
      </c>
      <c r="T5795">
        <v>-0.1326358</v>
      </c>
      <c r="U5795">
        <v>-1.7291559999999999</v>
      </c>
      <c r="V5795">
        <v>-4.1953579999999997E-3</v>
      </c>
      <c r="W5795">
        <v>-8.3424950000000001E-3</v>
      </c>
      <c r="X5795">
        <v>0.99995639999999997</v>
      </c>
      <c r="Y5795">
        <v>-0.40686679999999997</v>
      </c>
      <c r="Z5795">
        <v>3.8065599999999998E-2</v>
      </c>
      <c r="AA5795">
        <v>0.91269400000000001</v>
      </c>
      <c r="AB5795">
        <v>17</v>
      </c>
      <c r="AC5795">
        <v>23.372299999999999</v>
      </c>
      <c r="AD5795">
        <v>-1.1136732753299901</v>
      </c>
      <c r="AE5795">
        <v>-14.289789999999901</v>
      </c>
      <c r="AF5795">
        <v>-11.243015997947399</v>
      </c>
      <c r="AG5795">
        <v>-1.1136732753299901</v>
      </c>
      <c r="AH5795">
        <v>24.931560244430099</v>
      </c>
      <c r="AI5795">
        <v>92.331810302955105</v>
      </c>
      <c r="AJ5795">
        <v>114.273240257859</v>
      </c>
      <c r="AK5795">
        <v>27.372036334842502</v>
      </c>
      <c r="AL5795">
        <v>90.477995298706105</v>
      </c>
      <c r="AM5795">
        <v>90.240385377350705</v>
      </c>
      <c r="AN5795">
        <v>1.0000000000762601</v>
      </c>
    </row>
    <row r="5796" spans="1:40" x14ac:dyDescent="0.25">
      <c r="A5796" t="str">
        <f>"20190312161135969"</f>
        <v>20190312161135969</v>
      </c>
      <c r="B5796" t="str">
        <f>"1552378295963246"</f>
        <v>1552378295963246</v>
      </c>
      <c r="C5796" t="s">
        <v>40</v>
      </c>
      <c r="D5796">
        <v>5.7953650000000003</v>
      </c>
      <c r="E5796">
        <v>0.32687179999999999</v>
      </c>
      <c r="F5796" t="s">
        <v>41</v>
      </c>
      <c r="G5796">
        <v>-269.11290000000002</v>
      </c>
      <c r="H5796" s="1">
        <v>-4.5303420000000004E-6</v>
      </c>
      <c r="I5796">
        <v>-69.06962</v>
      </c>
      <c r="J5796">
        <v>-294.01350000000002</v>
      </c>
      <c r="K5796">
        <v>1.113656</v>
      </c>
      <c r="L5796">
        <v>-54.323880000000003</v>
      </c>
      <c r="M5796">
        <v>0.57037559999999998</v>
      </c>
      <c r="N5796">
        <v>0</v>
      </c>
      <c r="O5796">
        <v>-0.82127039999999996</v>
      </c>
      <c r="P5796">
        <v>0.57410649999999996</v>
      </c>
      <c r="Q5796">
        <v>-2.215611E-2</v>
      </c>
      <c r="R5796">
        <v>-0.81848129999999997</v>
      </c>
      <c r="S5796">
        <v>2.8352360000000001</v>
      </c>
      <c r="T5796">
        <v>-0.12622519999999901</v>
      </c>
      <c r="U5796">
        <v>-1.688232</v>
      </c>
      <c r="V5796">
        <v>-4.5858619999999996E-3</v>
      </c>
      <c r="W5796">
        <v>-8.5242830000000006E-3</v>
      </c>
      <c r="X5796">
        <v>0.99995319999999999</v>
      </c>
      <c r="Y5796">
        <v>-0.4132113</v>
      </c>
      <c r="Z5796">
        <v>3.6117580000000003E-2</v>
      </c>
      <c r="AA5796">
        <v>0.90991869999999997</v>
      </c>
      <c r="AB5796">
        <v>17</v>
      </c>
      <c r="AC5796">
        <v>24.900600000000001</v>
      </c>
      <c r="AD5796">
        <v>-1.113660530342</v>
      </c>
      <c r="AE5796">
        <v>-14.7457399999999</v>
      </c>
      <c r="AF5796">
        <v>-12.0228339874705</v>
      </c>
      <c r="AG5796">
        <v>-1.113660530342</v>
      </c>
      <c r="AH5796">
        <v>26.276476383030602</v>
      </c>
      <c r="AI5796">
        <v>92.207073950974703</v>
      </c>
      <c r="AJ5796">
        <v>114.586521693771</v>
      </c>
      <c r="AK5796">
        <v>28.9178489513844</v>
      </c>
      <c r="AL5796">
        <v>90.488411330958996</v>
      </c>
      <c r="AM5796">
        <v>90.262760993201994</v>
      </c>
      <c r="AN5796">
        <v>1.0000000478605899</v>
      </c>
    </row>
    <row r="5797" spans="1:40" x14ac:dyDescent="0.25">
      <c r="A5797" t="str">
        <f>"20190312161135993"</f>
        <v>20190312161135993</v>
      </c>
      <c r="B5797" t="str">
        <f>"1552378295982765"</f>
        <v>1552378295982765</v>
      </c>
      <c r="C5797" t="s">
        <v>40</v>
      </c>
      <c r="D5797">
        <v>5.7905100000000003</v>
      </c>
      <c r="E5797">
        <v>0.32654709999999998</v>
      </c>
      <c r="F5797" t="s">
        <v>41</v>
      </c>
      <c r="G5797">
        <v>-268.2122</v>
      </c>
      <c r="H5797" s="1">
        <v>-4.268596E-6</v>
      </c>
      <c r="I5797">
        <v>-69.321979999999996</v>
      </c>
      <c r="J5797">
        <v>-293.90210000000002</v>
      </c>
      <c r="K5797">
        <v>1.113634</v>
      </c>
      <c r="L5797">
        <v>-54.466669999999901</v>
      </c>
      <c r="M5797">
        <v>0.57718579999999997</v>
      </c>
      <c r="N5797">
        <v>0</v>
      </c>
      <c r="O5797">
        <v>-0.81649879999999997</v>
      </c>
      <c r="P5797">
        <v>0.58124019999999899</v>
      </c>
      <c r="Q5797">
        <v>-2.203097E-2</v>
      </c>
      <c r="R5797">
        <v>-0.81343409999999905</v>
      </c>
      <c r="S5797">
        <v>2.8548580000000001</v>
      </c>
      <c r="T5797">
        <v>-0.12322429999999999</v>
      </c>
      <c r="U5797">
        <v>-1.6595150000000001</v>
      </c>
      <c r="V5797">
        <v>-5.0111859999999999E-3</v>
      </c>
      <c r="W5797">
        <v>-8.4179340000000002E-3</v>
      </c>
      <c r="X5797">
        <v>0.99995199999999995</v>
      </c>
      <c r="Y5797">
        <v>-0.41523779999999999</v>
      </c>
      <c r="Z5797">
        <v>3.5136920000000002E-2</v>
      </c>
      <c r="AA5797">
        <v>0.90903409999999996</v>
      </c>
      <c r="AB5797">
        <v>17</v>
      </c>
      <c r="AC5797">
        <v>25.689900000000002</v>
      </c>
      <c r="AD5797">
        <v>-1.113638268596</v>
      </c>
      <c r="AE5797">
        <v>-14.855309999999999</v>
      </c>
      <c r="AF5797">
        <v>-12.385212000423801</v>
      </c>
      <c r="AG5797">
        <v>-1.113638268596</v>
      </c>
      <c r="AH5797">
        <v>26.921786163852602</v>
      </c>
      <c r="AI5797">
        <v>92.152145694385894</v>
      </c>
      <c r="AJ5797">
        <v>114.704521123495</v>
      </c>
      <c r="AK5797">
        <v>29.654952988344601</v>
      </c>
      <c r="AL5797">
        <v>90.482317792648303</v>
      </c>
      <c r="AM5797">
        <v>90.287131186874703</v>
      </c>
      <c r="AN5797">
        <v>0.999999987950977</v>
      </c>
    </row>
    <row r="5798" spans="1:40" x14ac:dyDescent="0.25">
      <c r="A5798" t="str">
        <f>"20190312161136017"</f>
        <v>20190312161136017</v>
      </c>
      <c r="B5798" t="str">
        <f>"1552378296013229"</f>
        <v>1552378296013229</v>
      </c>
      <c r="C5798" t="s">
        <v>40</v>
      </c>
      <c r="D5798">
        <v>5.8335559999999997</v>
      </c>
      <c r="E5798">
        <v>0.32728770000000001</v>
      </c>
      <c r="F5798" t="s">
        <v>41</v>
      </c>
      <c r="G5798">
        <v>-267.35000000000002</v>
      </c>
      <c r="H5798" s="1">
        <v>-4.0186790000000002E-6</v>
      </c>
      <c r="I5798">
        <v>-69.567189999999997</v>
      </c>
      <c r="J5798">
        <v>-293.7953</v>
      </c>
      <c r="K5798">
        <v>1.1136250000000001</v>
      </c>
      <c r="L5798">
        <v>-54.601349999999996</v>
      </c>
      <c r="M5798">
        <v>0.58361099999999999</v>
      </c>
      <c r="N5798">
        <v>0</v>
      </c>
      <c r="O5798">
        <v>-0.8119189</v>
      </c>
      <c r="P5798">
        <v>0.58733159999999995</v>
      </c>
      <c r="Q5798">
        <v>-2.268908E-2</v>
      </c>
      <c r="R5798">
        <v>-0.80902839999999998</v>
      </c>
      <c r="S5798">
        <v>2.871429</v>
      </c>
      <c r="T5798">
        <v>-0.120432399999999</v>
      </c>
      <c r="U5798">
        <v>-1.6330260000000001</v>
      </c>
      <c r="V5798">
        <v>-4.6344749999999999E-3</v>
      </c>
      <c r="W5798">
        <v>-9.0909649999999995E-3</v>
      </c>
      <c r="X5798">
        <v>0.99994799999999995</v>
      </c>
      <c r="Y5798">
        <v>-0.41668450000000001</v>
      </c>
      <c r="Z5798">
        <v>3.4231400000000002E-2</v>
      </c>
      <c r="AA5798">
        <v>0.90840639999999995</v>
      </c>
      <c r="AB5798">
        <v>17</v>
      </c>
      <c r="AC5798">
        <v>26.4452999999999</v>
      </c>
      <c r="AD5798">
        <v>-1.1136290186789899</v>
      </c>
      <c r="AE5798">
        <v>-14.96584</v>
      </c>
      <c r="AF5798">
        <v>-12.721307525614799</v>
      </c>
      <c r="AG5798">
        <v>-1.1136290186789899</v>
      </c>
      <c r="AH5798">
        <v>27.550376456830399</v>
      </c>
      <c r="AI5798">
        <v>92.101709650136897</v>
      </c>
      <c r="AJ5798">
        <v>114.78499650581</v>
      </c>
      <c r="AK5798">
        <v>30.3660184690977</v>
      </c>
      <c r="AL5798">
        <v>90.520881068127593</v>
      </c>
      <c r="AM5798">
        <v>90.265547764977995</v>
      </c>
      <c r="AN5798">
        <v>1.0000000633535699</v>
      </c>
    </row>
    <row r="5799" spans="1:40" x14ac:dyDescent="0.25">
      <c r="A5799" t="str">
        <f>"20190312161136037"</f>
        <v>20190312161136037</v>
      </c>
      <c r="B5799" t="str">
        <f>"1552378296032727"</f>
        <v>1552378296032727</v>
      </c>
      <c r="C5799" t="s">
        <v>40</v>
      </c>
      <c r="D5799">
        <v>5.8941919999999897</v>
      </c>
      <c r="E5799">
        <v>0.32786690000000002</v>
      </c>
      <c r="F5799" t="s">
        <v>105</v>
      </c>
      <c r="G5799">
        <v>-268.44040000000001</v>
      </c>
      <c r="H5799" s="1">
        <v>-4.2571719999999997E-6</v>
      </c>
      <c r="I5799">
        <v>-68.819819999999893</v>
      </c>
      <c r="J5799">
        <v>-293.7045</v>
      </c>
      <c r="K5799">
        <v>1.1136250000000001</v>
      </c>
      <c r="L5799">
        <v>-54.714199999999998</v>
      </c>
      <c r="M5799">
        <v>0.58900200000000003</v>
      </c>
      <c r="N5799">
        <v>0</v>
      </c>
      <c r="O5799">
        <v>-0.80801690000000004</v>
      </c>
      <c r="P5799">
        <v>0.59208570000000005</v>
      </c>
      <c r="Q5799">
        <v>-2.2425580000000001E-2</v>
      </c>
      <c r="R5799">
        <v>-0.80556319999999904</v>
      </c>
      <c r="S5799">
        <v>2.8790279999999999</v>
      </c>
      <c r="T5799">
        <v>-0.12645149999999999</v>
      </c>
      <c r="U5799">
        <v>-1.6145020000000001</v>
      </c>
      <c r="V5799">
        <v>-3.865861E-3</v>
      </c>
      <c r="W5799">
        <v>-8.8348609999999994E-3</v>
      </c>
      <c r="X5799">
        <v>0.99995350000000005</v>
      </c>
      <c r="Y5799">
        <v>-0.4160393</v>
      </c>
      <c r="Z5799">
        <v>3.585489E-2</v>
      </c>
      <c r="AA5799">
        <v>0.90863950000000004</v>
      </c>
      <c r="AB5799">
        <v>17</v>
      </c>
      <c r="AC5799">
        <v>25.2640999999999</v>
      </c>
      <c r="AD5799">
        <v>-1.1136292571719999</v>
      </c>
      <c r="AE5799">
        <v>-14.105619999999901</v>
      </c>
      <c r="AF5799">
        <v>-12.088796730509101</v>
      </c>
      <c r="AG5799">
        <v>-1.1136292571719999</v>
      </c>
      <c r="AH5799">
        <v>26.241749520858701</v>
      </c>
      <c r="AI5799">
        <v>92.207320145908696</v>
      </c>
      <c r="AJ5799">
        <v>114.734124006399</v>
      </c>
      <c r="AK5799">
        <v>28.913813211499502</v>
      </c>
      <c r="AL5799">
        <v>90.506206832881105</v>
      </c>
      <c r="AM5799">
        <v>90.221506716035705</v>
      </c>
      <c r="AN5799">
        <v>1.0000000009062</v>
      </c>
    </row>
    <row r="5800" spans="1:40" x14ac:dyDescent="0.25">
      <c r="A5800" t="str">
        <f>"20190312161136058"</f>
        <v>20190312161136058</v>
      </c>
      <c r="B5800" t="str">
        <f>"1552378296053224"</f>
        <v>1552378296053224</v>
      </c>
      <c r="C5800" t="s">
        <v>40</v>
      </c>
      <c r="D5800">
        <v>6.0426840000000004</v>
      </c>
      <c r="E5800">
        <v>0.328509</v>
      </c>
      <c r="F5800" t="s">
        <v>41</v>
      </c>
      <c r="G5800">
        <v>-268.87049999999999</v>
      </c>
      <c r="H5800" s="1">
        <v>-4.3451040000000002E-6</v>
      </c>
      <c r="I5800">
        <v>-68.490279999999998</v>
      </c>
      <c r="J5800">
        <v>-293.60759999999999</v>
      </c>
      <c r="K5800">
        <v>1.1136189999999999</v>
      </c>
      <c r="L5800">
        <v>-54.832889999999999</v>
      </c>
      <c r="M5800">
        <v>0.59467360000000002</v>
      </c>
      <c r="N5800">
        <v>0</v>
      </c>
      <c r="O5800">
        <v>-0.80385229999999996</v>
      </c>
      <c r="P5800">
        <v>0.59776680000000004</v>
      </c>
      <c r="Q5800">
        <v>-2.2332089999999999E-2</v>
      </c>
      <c r="R5800">
        <v>-0.80135940000000006</v>
      </c>
      <c r="S5800">
        <v>2.884735</v>
      </c>
      <c r="T5800">
        <v>-0.12936030000000001</v>
      </c>
      <c r="U5800">
        <v>-1.60025</v>
      </c>
      <c r="V5800">
        <v>-3.8982869999999998E-3</v>
      </c>
      <c r="W5800">
        <v>-8.7571809999999993E-3</v>
      </c>
      <c r="X5800">
        <v>0.99995400000000001</v>
      </c>
      <c r="Y5800">
        <v>-0.4138039</v>
      </c>
      <c r="Z5800">
        <v>3.6555810000000001E-2</v>
      </c>
      <c r="AA5800">
        <v>0.90963179999999999</v>
      </c>
      <c r="AB5800">
        <v>17</v>
      </c>
      <c r="AC5800">
        <v>24.737100000000002</v>
      </c>
      <c r="AD5800">
        <v>-1.1136233451040001</v>
      </c>
      <c r="AE5800">
        <v>-13.657389999999999</v>
      </c>
      <c r="AF5800">
        <v>-11.7461282798767</v>
      </c>
      <c r="AG5800">
        <v>-1.1136233451040001</v>
      </c>
      <c r="AH5800">
        <v>25.6515563127954</v>
      </c>
      <c r="AI5800">
        <v>92.260404464215299</v>
      </c>
      <c r="AJ5800">
        <v>114.603561644417</v>
      </c>
      <c r="AK5800">
        <v>28.234978799187999</v>
      </c>
      <c r="AL5800">
        <v>90.5017559533553</v>
      </c>
      <c r="AM5800">
        <v>90.223364535688304</v>
      </c>
      <c r="AN5800">
        <v>0.99999994348829901</v>
      </c>
    </row>
    <row r="5801" spans="1:40" x14ac:dyDescent="0.25">
      <c r="A5801" t="str">
        <f>"20190312161136082"</f>
        <v>20190312161136082</v>
      </c>
      <c r="B5801" t="str">
        <f>"1552378296072744"</f>
        <v>1552378296072744</v>
      </c>
      <c r="C5801" t="s">
        <v>40</v>
      </c>
      <c r="D5801">
        <v>5.8876920000000004</v>
      </c>
      <c r="E5801">
        <v>0.3291171</v>
      </c>
      <c r="F5801" t="s">
        <v>105</v>
      </c>
      <c r="G5801">
        <v>-269.87759999999997</v>
      </c>
      <c r="H5801" s="1">
        <v>-4.5688329999999996E-6</v>
      </c>
      <c r="I5801">
        <v>-67.819550000000007</v>
      </c>
      <c r="J5801">
        <v>-293.49630000000002</v>
      </c>
      <c r="K5801">
        <v>1.1136090000000001</v>
      </c>
      <c r="L5801">
        <v>-54.967379999999999</v>
      </c>
      <c r="M5801">
        <v>0.60110379999999997</v>
      </c>
      <c r="N5801">
        <v>0</v>
      </c>
      <c r="O5801">
        <v>-0.79905559999999998</v>
      </c>
      <c r="P5801">
        <v>0.60415920000000001</v>
      </c>
      <c r="Q5801">
        <v>-2.1390139999999998E-2</v>
      </c>
      <c r="R5801">
        <v>-0.79657690000000003</v>
      </c>
      <c r="S5801">
        <v>2.891937</v>
      </c>
      <c r="T5801">
        <v>-0.13571549999999999</v>
      </c>
      <c r="U5801">
        <v>-1.5826720000000001</v>
      </c>
      <c r="V5801">
        <v>-3.8682769999999998E-3</v>
      </c>
      <c r="W5801">
        <v>-7.837152E-3</v>
      </c>
      <c r="X5801">
        <v>0.99996180000000001</v>
      </c>
      <c r="Y5801">
        <v>-0.41163749999999999</v>
      </c>
      <c r="Z5801">
        <v>3.820407E-2</v>
      </c>
      <c r="AA5801">
        <v>0.91054659999999998</v>
      </c>
      <c r="AB5801">
        <v>17</v>
      </c>
      <c r="AC5801">
        <v>23.6187</v>
      </c>
      <c r="AD5801">
        <v>-1.113613568833</v>
      </c>
      <c r="AE5801">
        <v>-12.852169999999999</v>
      </c>
      <c r="AF5801">
        <v>-11.1291052351107</v>
      </c>
      <c r="AG5801">
        <v>-1.113613568833</v>
      </c>
      <c r="AH5801">
        <v>24.427246599388901</v>
      </c>
      <c r="AI5801">
        <v>92.375619663931701</v>
      </c>
      <c r="AJ5801">
        <v>114.494110215322</v>
      </c>
      <c r="AK5801">
        <v>26.8661030844113</v>
      </c>
      <c r="AL5801">
        <v>90.4490403329782</v>
      </c>
      <c r="AM5801">
        <v>90.221643307299203</v>
      </c>
      <c r="AN5801">
        <v>0.99999999298882902</v>
      </c>
    </row>
    <row r="5802" spans="1:40" x14ac:dyDescent="0.25">
      <c r="A5802" t="str">
        <f>"20190312161136105"</f>
        <v>20190312161136105</v>
      </c>
      <c r="B5802" t="str">
        <f>"1552378296093240"</f>
        <v>1552378296093240</v>
      </c>
      <c r="C5802" t="s">
        <v>40</v>
      </c>
      <c r="D5802">
        <v>5.8838229999999996</v>
      </c>
      <c r="E5802">
        <v>0.32982349999999999</v>
      </c>
      <c r="F5802" t="s">
        <v>105</v>
      </c>
      <c r="G5802">
        <v>-269.77539999999999</v>
      </c>
      <c r="H5802" s="1">
        <v>-4.5207580000000001E-6</v>
      </c>
      <c r="I5802">
        <v>-67.744649999999993</v>
      </c>
      <c r="J5802">
        <v>-293.38909999999998</v>
      </c>
      <c r="K5802">
        <v>1.1136079999999999</v>
      </c>
      <c r="L5802">
        <v>-55.094670000000001</v>
      </c>
      <c r="M5802">
        <v>0.60719669999999903</v>
      </c>
      <c r="N5802">
        <v>0</v>
      </c>
      <c r="O5802">
        <v>-0.79443609999999998</v>
      </c>
      <c r="P5802">
        <v>0.61041979999999996</v>
      </c>
      <c r="Q5802">
        <v>-2.095965E-2</v>
      </c>
      <c r="R5802">
        <v>-0.79180099999999998</v>
      </c>
      <c r="S5802">
        <v>2.9006959999999999</v>
      </c>
      <c r="T5802">
        <v>-0.13617750000000001</v>
      </c>
      <c r="U5802">
        <v>-1.5624690000000001</v>
      </c>
      <c r="V5802">
        <v>-4.1009769999999996E-3</v>
      </c>
      <c r="W5802">
        <v>-7.4320999999999996E-3</v>
      </c>
      <c r="X5802">
        <v>0.99996399999999996</v>
      </c>
      <c r="Y5802">
        <v>-0.4107267</v>
      </c>
      <c r="Z5802">
        <v>3.8206950000000003E-2</v>
      </c>
      <c r="AA5802">
        <v>0.91095760000000003</v>
      </c>
      <c r="AB5802">
        <v>17</v>
      </c>
      <c r="AC5802">
        <v>23.613699999999898</v>
      </c>
      <c r="AD5802">
        <v>-1.1136125207580001</v>
      </c>
      <c r="AE5802">
        <v>-12.649979999999999</v>
      </c>
      <c r="AF5802">
        <v>-11.060452401854199</v>
      </c>
      <c r="AG5802">
        <v>-1.1136125207580001</v>
      </c>
      <c r="AH5802">
        <v>24.347923178270399</v>
      </c>
      <c r="AI5802">
        <v>92.384546589864897</v>
      </c>
      <c r="AJ5802">
        <v>114.430720062776</v>
      </c>
      <c r="AK5802">
        <v>26.765558153623999</v>
      </c>
      <c r="AL5802">
        <v>90.425831871396895</v>
      </c>
      <c r="AM5802">
        <v>90.234975815792694</v>
      </c>
      <c r="AN5802">
        <v>1.0000000277093799</v>
      </c>
    </row>
    <row r="5803" spans="1:40" x14ac:dyDescent="0.25">
      <c r="A5803" t="str">
        <f>"20190312161136143"</f>
        <v>20190312161136143</v>
      </c>
      <c r="B5803" t="str">
        <f>"1552378296132786"</f>
        <v>1552378296132786</v>
      </c>
      <c r="C5803" t="s">
        <v>40</v>
      </c>
      <c r="D5803">
        <v>5.8502000000000001</v>
      </c>
      <c r="E5803">
        <v>0.3436649</v>
      </c>
      <c r="F5803" t="s">
        <v>105</v>
      </c>
      <c r="G5803">
        <v>-269.64429999999999</v>
      </c>
      <c r="H5803" s="1">
        <v>-4.4664519999999999E-6</v>
      </c>
      <c r="I5803">
        <v>-67.689980000000006</v>
      </c>
      <c r="J5803">
        <v>-293.2063</v>
      </c>
      <c r="K5803">
        <v>1.1135870000000001</v>
      </c>
      <c r="L5803">
        <v>-55.307250000000003</v>
      </c>
      <c r="M5803">
        <v>0.61737959999999903</v>
      </c>
      <c r="N5803">
        <v>0</v>
      </c>
      <c r="O5803">
        <v>-0.78654919999999995</v>
      </c>
      <c r="P5803">
        <v>0.62175579999999997</v>
      </c>
      <c r="Q5803">
        <v>-1.9687139999999999E-2</v>
      </c>
      <c r="R5803">
        <v>-0.78296390000000005</v>
      </c>
      <c r="S5803">
        <v>2.90863</v>
      </c>
      <c r="T5803">
        <v>-0.13641239999999999</v>
      </c>
      <c r="U5803">
        <v>-1.5428770000000001</v>
      </c>
      <c r="V5803">
        <v>-5.6063399999999996E-3</v>
      </c>
      <c r="W5803">
        <v>-6.204551E-3</v>
      </c>
      <c r="X5803">
        <v>0.99996499999999999</v>
      </c>
      <c r="Y5803">
        <v>-0.40479340000000003</v>
      </c>
      <c r="Z5803">
        <v>3.7976070000000001E-2</v>
      </c>
      <c r="AA5803">
        <v>0.91361930000000002</v>
      </c>
      <c r="AB5803">
        <v>17</v>
      </c>
      <c r="AC5803">
        <v>23.562000000000001</v>
      </c>
      <c r="AD5803">
        <v>-1.1135914664519999</v>
      </c>
      <c r="AE5803">
        <v>-12.38273</v>
      </c>
      <c r="AF5803">
        <v>-10.869797175276901</v>
      </c>
      <c r="AG5803">
        <v>-1.1135914664519999</v>
      </c>
      <c r="AH5803">
        <v>24.246106493832102</v>
      </c>
      <c r="AI5803">
        <v>92.399849742107193</v>
      </c>
      <c r="AJ5803">
        <v>114.147220146015</v>
      </c>
      <c r="AK5803">
        <v>26.594477936144202</v>
      </c>
      <c r="AL5803">
        <v>90.355496879662198</v>
      </c>
      <c r="AM5803">
        <v>90.321227497882504</v>
      </c>
      <c r="AN5803">
        <v>0.99999996436315297</v>
      </c>
    </row>
    <row r="5804" spans="1:40" x14ac:dyDescent="0.25">
      <c r="A5804" t="str">
        <f>"20190312161136165"</f>
        <v>20190312161136165</v>
      </c>
      <c r="B5804" t="str">
        <f>"1552378296163042"</f>
        <v>1552378296163042</v>
      </c>
      <c r="C5804" t="s">
        <v>40</v>
      </c>
      <c r="D5804">
        <v>5.8783640000000004</v>
      </c>
      <c r="E5804">
        <v>0.35062939999999998</v>
      </c>
      <c r="F5804" t="s">
        <v>41</v>
      </c>
      <c r="G5804">
        <v>-277.79640000000001</v>
      </c>
      <c r="H5804" s="1">
        <v>-3.1460789999999999E-6</v>
      </c>
      <c r="I5804">
        <v>-63.791150000000002</v>
      </c>
      <c r="J5804">
        <v>-293.09960000000001</v>
      </c>
      <c r="K5804">
        <v>1.113577</v>
      </c>
      <c r="L5804">
        <v>-55.428710000000002</v>
      </c>
      <c r="M5804">
        <v>0.62320140000000002</v>
      </c>
      <c r="N5804">
        <v>0</v>
      </c>
      <c r="O5804">
        <v>-0.78194490000000005</v>
      </c>
      <c r="P5804">
        <v>0.6278918</v>
      </c>
      <c r="Q5804">
        <v>-1.990132E-2</v>
      </c>
      <c r="R5804">
        <v>-0.77804649999999997</v>
      </c>
      <c r="S5804">
        <v>2.8456730000000001</v>
      </c>
      <c r="T5804">
        <v>-0.2056413</v>
      </c>
      <c r="U5804">
        <v>-1.566681</v>
      </c>
      <c r="V5804">
        <v>-6.0464359999999997E-3</v>
      </c>
      <c r="W5804">
        <v>-6.4387209999999997E-3</v>
      </c>
      <c r="X5804">
        <v>0.99996099999999999</v>
      </c>
      <c r="Y5804">
        <v>-0.38268590000000002</v>
      </c>
      <c r="Z5804">
        <v>5.7270170000000002E-2</v>
      </c>
      <c r="AA5804">
        <v>0.92210170000000002</v>
      </c>
      <c r="AB5804">
        <v>17</v>
      </c>
      <c r="AC5804">
        <v>15.3032</v>
      </c>
      <c r="AD5804">
        <v>-1.113580146079</v>
      </c>
      <c r="AE5804">
        <v>-8.3624399999999994</v>
      </c>
      <c r="AF5804">
        <v>-6.7279566364929604</v>
      </c>
      <c r="AG5804">
        <v>-1.113580146079</v>
      </c>
      <c r="AH5804">
        <v>16.012117231040101</v>
      </c>
      <c r="AI5804">
        <v>93.668563314451205</v>
      </c>
      <c r="AJ5804">
        <v>112.79112699151101</v>
      </c>
      <c r="AK5804">
        <v>17.403831746625301</v>
      </c>
      <c r="AL5804">
        <v>90.3689140844847</v>
      </c>
      <c r="AM5804">
        <v>90.346444553176397</v>
      </c>
      <c r="AN5804">
        <v>1.0000000090187</v>
      </c>
    </row>
    <row r="5805" spans="1:40" x14ac:dyDescent="0.25">
      <c r="A5805" t="str">
        <f>"20190312161136189"</f>
        <v>20190312161136189</v>
      </c>
      <c r="B5805" t="str">
        <f>"1552378296183538"</f>
        <v>1552378296183538</v>
      </c>
      <c r="C5805" t="s">
        <v>40</v>
      </c>
      <c r="D5805">
        <v>5.6362079999999999</v>
      </c>
      <c r="E5805">
        <v>0.35067759999999998</v>
      </c>
      <c r="F5805" t="s">
        <v>78</v>
      </c>
      <c r="G5805">
        <v>-280.74430000000001</v>
      </c>
      <c r="H5805" s="1">
        <v>-7.2392559999999999E-6</v>
      </c>
      <c r="I5805">
        <v>-62.350540000000002</v>
      </c>
      <c r="J5805">
        <v>-292.98930000000001</v>
      </c>
      <c r="K5805">
        <v>1.1135619999999999</v>
      </c>
      <c r="L5805">
        <v>-55.552489999999999</v>
      </c>
      <c r="M5805">
        <v>0.62914130000000001</v>
      </c>
      <c r="N5805">
        <v>0</v>
      </c>
      <c r="O5805">
        <v>-0.77717389999999997</v>
      </c>
      <c r="P5805">
        <v>0.63439119999999904</v>
      </c>
      <c r="Q5805">
        <v>-1.9786519999999998E-2</v>
      </c>
      <c r="R5805">
        <v>-0.77275919999999998</v>
      </c>
      <c r="S5805">
        <v>2.8153990000000002</v>
      </c>
      <c r="T5805">
        <v>-0.25375130000000001</v>
      </c>
      <c r="U5805">
        <v>-1.5772710000000001</v>
      </c>
      <c r="V5805">
        <v>-6.8079169999999897E-3</v>
      </c>
      <c r="W5805">
        <v>-6.3463759999999999E-3</v>
      </c>
      <c r="X5805">
        <v>0.99995670000000003</v>
      </c>
      <c r="Y5805">
        <v>-0.36785909999999999</v>
      </c>
      <c r="Z5805">
        <v>7.038809E-2</v>
      </c>
      <c r="AA5805">
        <v>0.92721370000000003</v>
      </c>
      <c r="AB5805">
        <v>16</v>
      </c>
      <c r="AC5805">
        <v>12.244999999999999</v>
      </c>
      <c r="AD5805">
        <v>-1.1135692392559999</v>
      </c>
      <c r="AE5805">
        <v>-6.7980499999999999</v>
      </c>
      <c r="AF5805">
        <v>-5.20711895100332</v>
      </c>
      <c r="AG5805">
        <v>-1.1135692392559999</v>
      </c>
      <c r="AH5805">
        <v>12.906690866117501</v>
      </c>
      <c r="AI5805">
        <v>94.574614135807195</v>
      </c>
      <c r="AJ5805">
        <v>111.97128571164799</v>
      </c>
      <c r="AK5805">
        <v>13.9619766986639</v>
      </c>
      <c r="AL5805">
        <v>90.363622996195701</v>
      </c>
      <c r="AM5805">
        <v>90.390075775093806</v>
      </c>
      <c r="AN5805">
        <v>1.00000001304855</v>
      </c>
    </row>
    <row r="5806" spans="1:40" x14ac:dyDescent="0.25">
      <c r="A5806" t="str">
        <f>"20190312161136569"</f>
        <v>20190312161136569</v>
      </c>
      <c r="B5806" t="str">
        <f>"1552378296563202"</f>
        <v>1552378296563202</v>
      </c>
      <c r="C5806" t="s">
        <v>40</v>
      </c>
      <c r="D5806">
        <v>5.7329670000000004</v>
      </c>
      <c r="E5806">
        <v>0.32748359999999999</v>
      </c>
      <c r="F5806" t="s">
        <v>78</v>
      </c>
      <c r="G5806">
        <v>-280.24290000000002</v>
      </c>
      <c r="H5806" s="1">
        <v>-7.3839329999999898E-6</v>
      </c>
      <c r="I5806">
        <v>-62.556510000000003</v>
      </c>
      <c r="J5806">
        <v>-291.04660000000001</v>
      </c>
      <c r="K5806">
        <v>1.1134109999999999</v>
      </c>
      <c r="L5806">
        <v>-57.46078</v>
      </c>
      <c r="M5806">
        <v>0.72134140000000002</v>
      </c>
      <c r="N5806">
        <v>0</v>
      </c>
      <c r="O5806">
        <v>-0.69245869999999998</v>
      </c>
      <c r="P5806">
        <v>0.72731709999999905</v>
      </c>
      <c r="Q5806">
        <v>-1.9543390000000001E-2</v>
      </c>
      <c r="R5806">
        <v>-0.68602350000000001</v>
      </c>
      <c r="S5806">
        <v>2.828217</v>
      </c>
      <c r="T5806">
        <v>-0.24708289999999999</v>
      </c>
      <c r="U5806">
        <v>-1.5540769999999999</v>
      </c>
      <c r="V5806">
        <v>-8.7289780000000001E-3</v>
      </c>
      <c r="W5806">
        <v>-6.6632519999999997E-3</v>
      </c>
      <c r="X5806">
        <v>0.99993969999999999</v>
      </c>
      <c r="Y5806">
        <v>-0.25727460000000002</v>
      </c>
      <c r="Z5806">
        <v>6.0128290000000001E-2</v>
      </c>
      <c r="AA5806">
        <v>0.96446589999999999</v>
      </c>
      <c r="AB5806">
        <v>16</v>
      </c>
      <c r="AC5806">
        <v>10.8036999999999</v>
      </c>
      <c r="AD5806">
        <v>-1.1134183839330001</v>
      </c>
      <c r="AE5806">
        <v>-5.0957299999999801</v>
      </c>
      <c r="AF5806">
        <v>-3.7728938592540899</v>
      </c>
      <c r="AG5806">
        <v>-1.1134183839330001</v>
      </c>
      <c r="AH5806">
        <v>11.2251597396265</v>
      </c>
      <c r="AI5806">
        <v>95.371206850794096</v>
      </c>
      <c r="AJ5806">
        <v>108.57803636017201</v>
      </c>
      <c r="AK5806">
        <v>11.8944793812512</v>
      </c>
      <c r="AL5806">
        <v>90.381779043018497</v>
      </c>
      <c r="AM5806">
        <v>90.500151054450498</v>
      </c>
      <c r="AN5806">
        <v>0.99999999881011403</v>
      </c>
    </row>
    <row r="5807" spans="1:40" x14ac:dyDescent="0.25">
      <c r="A5807" t="str">
        <f>"20190312161136590"</f>
        <v>20190312161136590</v>
      </c>
      <c r="B5807" t="str">
        <f>"1552378296582726"</f>
        <v>1552378296582726</v>
      </c>
      <c r="C5807" t="s">
        <v>40</v>
      </c>
      <c r="D5807">
        <v>5.7158689999999996</v>
      </c>
      <c r="E5807">
        <v>0.33030660000000001</v>
      </c>
      <c r="F5807" t="s">
        <v>58</v>
      </c>
      <c r="G5807">
        <v>-219.16399999999999</v>
      </c>
      <c r="H5807">
        <v>1.255628</v>
      </c>
      <c r="I5807">
        <v>-81.815579999999997</v>
      </c>
      <c r="J5807">
        <v>-290.93029999999999</v>
      </c>
      <c r="K5807">
        <v>1.1133949999999999</v>
      </c>
      <c r="L5807">
        <v>-57.560789999999997</v>
      </c>
      <c r="M5807">
        <v>0.72620980000000002</v>
      </c>
      <c r="N5807">
        <v>0</v>
      </c>
      <c r="O5807">
        <v>-0.68735239999999997</v>
      </c>
      <c r="P5807">
        <v>0.73153290000000004</v>
      </c>
      <c r="Q5807">
        <v>-1.9413099999999999E-2</v>
      </c>
      <c r="R5807">
        <v>-0.68152979999999996</v>
      </c>
      <c r="S5807">
        <v>3.1259459999999999</v>
      </c>
      <c r="T5807">
        <v>6.1846969999999899E-3</v>
      </c>
      <c r="U5807">
        <v>-1.059113</v>
      </c>
      <c r="V5807">
        <v>-7.8368719999999999E-3</v>
      </c>
      <c r="W5807">
        <v>-6.579845E-3</v>
      </c>
      <c r="X5807">
        <v>0.99994769999999999</v>
      </c>
      <c r="Y5807">
        <v>-0.41799740000000002</v>
      </c>
      <c r="Z5807">
        <v>-1.5861929999999901E-3</v>
      </c>
      <c r="AA5807">
        <v>0.9084468</v>
      </c>
      <c r="AB5807">
        <v>16</v>
      </c>
      <c r="AC5807">
        <v>71.766299999999902</v>
      </c>
      <c r="AD5807">
        <v>0.142232999999999</v>
      </c>
      <c r="AE5807">
        <v>-24.25479</v>
      </c>
      <c r="AF5807">
        <v>-31.717193257280201</v>
      </c>
      <c r="AG5807">
        <v>0.142232999999999</v>
      </c>
      <c r="AH5807">
        <v>68.794446325817603</v>
      </c>
      <c r="AI5807">
        <v>89.892423505282196</v>
      </c>
      <c r="AJ5807">
        <v>114.75173028591</v>
      </c>
      <c r="AK5807">
        <v>75.754052192749</v>
      </c>
      <c r="AL5807">
        <v>90.377000047288206</v>
      </c>
      <c r="AM5807">
        <v>90.449033981623302</v>
      </c>
      <c r="AN5807">
        <v>1.0000000568291201</v>
      </c>
    </row>
    <row r="5808" spans="1:40" x14ac:dyDescent="0.25">
      <c r="A5808" t="str">
        <f>"20190312161136825"</f>
        <v>20190312161136825</v>
      </c>
      <c r="B5808" t="str">
        <f>"1552378296822818"</f>
        <v>1552378296822818</v>
      </c>
      <c r="C5808" t="s">
        <v>40</v>
      </c>
      <c r="D5808">
        <v>5.8613589999999904</v>
      </c>
      <c r="E5808">
        <v>0.3273334</v>
      </c>
      <c r="F5808" t="s">
        <v>58</v>
      </c>
      <c r="G5808">
        <v>-219.3613</v>
      </c>
      <c r="H5808">
        <v>1.275047</v>
      </c>
      <c r="I5808">
        <v>-81.81559</v>
      </c>
      <c r="J5808">
        <v>-289.62049999999999</v>
      </c>
      <c r="K5808">
        <v>1.113321</v>
      </c>
      <c r="L5808">
        <v>-58.596369999999901</v>
      </c>
      <c r="M5808">
        <v>0.77657940000000003</v>
      </c>
      <c r="N5808">
        <v>0</v>
      </c>
      <c r="O5808">
        <v>-0.62989910000000005</v>
      </c>
      <c r="P5808">
        <v>0.77994809999999903</v>
      </c>
      <c r="Q5808">
        <v>-2.049552E-2</v>
      </c>
      <c r="R5808">
        <v>-0.62550869999999903</v>
      </c>
      <c r="S5808">
        <v>3.117035</v>
      </c>
      <c r="T5808">
        <v>7.04062E-3</v>
      </c>
      <c r="U5808">
        <v>-1.0563659999999999</v>
      </c>
      <c r="V5808">
        <v>-5.4684579999999998E-3</v>
      </c>
      <c r="W5808">
        <v>-8.2132839999999995E-3</v>
      </c>
      <c r="X5808">
        <v>0.99995129999999999</v>
      </c>
      <c r="Y5808">
        <v>-0.34733700000000001</v>
      </c>
      <c r="Z5808">
        <v>-1.6454149999999999E-3</v>
      </c>
      <c r="AA5808">
        <v>0.93773899999999999</v>
      </c>
      <c r="AB5808">
        <v>16</v>
      </c>
      <c r="AC5808">
        <v>70.259199999999893</v>
      </c>
      <c r="AD5808">
        <v>0.16172600000000001</v>
      </c>
      <c r="AE5808">
        <v>-23.21922</v>
      </c>
      <c r="AF5808">
        <v>-26.2265011520198</v>
      </c>
      <c r="AG5808">
        <v>0.16172600000000001</v>
      </c>
      <c r="AH5808">
        <v>69.1925262521044</v>
      </c>
      <c r="AI5808">
        <v>89.874774587728297</v>
      </c>
      <c r="AJ5808">
        <v>110.758542704544</v>
      </c>
      <c r="AK5808">
        <v>73.996359418042502</v>
      </c>
      <c r="AL5808">
        <v>90.470591808477295</v>
      </c>
      <c r="AM5808">
        <v>90.313331699677306</v>
      </c>
      <c r="AN5808">
        <v>0.99999998221932596</v>
      </c>
    </row>
    <row r="5809" spans="1:40" x14ac:dyDescent="0.25">
      <c r="A5809" t="str">
        <f>"20190312161136848"</f>
        <v>20190312161136848</v>
      </c>
      <c r="B5809" t="str">
        <f>"1552378296843315"</f>
        <v>1552378296843315</v>
      </c>
      <c r="C5809" t="s">
        <v>40</v>
      </c>
      <c r="D5809">
        <v>5.9529809999999896</v>
      </c>
      <c r="E5809">
        <v>0.33216669999999998</v>
      </c>
      <c r="F5809" t="s">
        <v>58</v>
      </c>
      <c r="G5809">
        <v>-197.37809999999999</v>
      </c>
      <c r="H5809">
        <v>2.2662909999999998</v>
      </c>
      <c r="I5809">
        <v>-81.815919999999906</v>
      </c>
      <c r="J5809">
        <v>-289.4889</v>
      </c>
      <c r="K5809">
        <v>1.1133219999999999</v>
      </c>
      <c r="L5809">
        <v>-58.691650000000003</v>
      </c>
      <c r="M5809">
        <v>0.78123589999999998</v>
      </c>
      <c r="N5809">
        <v>0</v>
      </c>
      <c r="O5809">
        <v>-0.62411519999999898</v>
      </c>
      <c r="P5809">
        <v>0.78470949999999995</v>
      </c>
      <c r="Q5809">
        <v>-2.01227E-2</v>
      </c>
      <c r="R5809">
        <v>-0.61953740000000002</v>
      </c>
      <c r="S5809">
        <v>3.2012019999999999</v>
      </c>
      <c r="T5809">
        <v>4.0013069999999998E-2</v>
      </c>
      <c r="U5809">
        <v>-0.80581669999999905</v>
      </c>
      <c r="V5809">
        <v>-5.6839940000000004E-3</v>
      </c>
      <c r="W5809">
        <v>-7.8826499999999997E-3</v>
      </c>
      <c r="X5809">
        <v>0.99995279999999998</v>
      </c>
      <c r="Y5809">
        <v>-0.41449190000000002</v>
      </c>
      <c r="Z5809">
        <v>-9.6203169999999998E-3</v>
      </c>
      <c r="AA5809">
        <v>0.91000219999999998</v>
      </c>
      <c r="AB5809">
        <v>16</v>
      </c>
      <c r="AC5809">
        <v>92.110799999999998</v>
      </c>
      <c r="AD5809">
        <v>1.1529689999999999</v>
      </c>
      <c r="AE5809">
        <v>-23.1242699999999</v>
      </c>
      <c r="AF5809">
        <v>-39.419400938779098</v>
      </c>
      <c r="AG5809">
        <v>1.1529689999999999</v>
      </c>
      <c r="AH5809">
        <v>86.386249380048</v>
      </c>
      <c r="AI5809">
        <v>89.304334330767901</v>
      </c>
      <c r="AJ5809">
        <v>114.527958051357</v>
      </c>
      <c r="AK5809">
        <v>94.962111338359705</v>
      </c>
      <c r="AL5809">
        <v>90.451647243302702</v>
      </c>
      <c r="AM5809">
        <v>90.325680731631493</v>
      </c>
      <c r="AN5809">
        <v>1.0000000230933199</v>
      </c>
    </row>
    <row r="5810" spans="1:40" x14ac:dyDescent="0.25">
      <c r="A5810" t="str">
        <f>"20190312161136870"</f>
        <v>20190312161136870</v>
      </c>
      <c r="B5810" t="str">
        <f>"1552378296862838"</f>
        <v>1552378296862838</v>
      </c>
      <c r="C5810" t="s">
        <v>40</v>
      </c>
      <c r="D5810">
        <v>5.9548639999999997</v>
      </c>
      <c r="E5810">
        <v>0.33660119999999999</v>
      </c>
      <c r="F5810" t="s">
        <v>58</v>
      </c>
      <c r="G5810">
        <v>-198.65170000000001</v>
      </c>
      <c r="H5810">
        <v>1.4480109999999999</v>
      </c>
      <c r="I5810">
        <v>-81.815640000000002</v>
      </c>
      <c r="J5810">
        <v>-289.35829999999999</v>
      </c>
      <c r="K5810">
        <v>1.1133249999999999</v>
      </c>
      <c r="L5810">
        <v>-58.784790000000001</v>
      </c>
      <c r="M5810">
        <v>0.78579169999999998</v>
      </c>
      <c r="N5810">
        <v>0</v>
      </c>
      <c r="O5810">
        <v>-0.61836990000000003</v>
      </c>
      <c r="P5810">
        <v>0.78927780000000003</v>
      </c>
      <c r="Q5810">
        <v>-1.9502309999999998E-2</v>
      </c>
      <c r="R5810">
        <v>-0.61372689999999996</v>
      </c>
      <c r="S5810">
        <v>3.1835629999999999</v>
      </c>
      <c r="T5810">
        <v>1.1729959999999999E-2</v>
      </c>
      <c r="U5810">
        <v>-0.81042479999999995</v>
      </c>
      <c r="V5810">
        <v>-5.7483899999999999E-3</v>
      </c>
      <c r="W5810">
        <v>-7.2971659999999999E-3</v>
      </c>
      <c r="X5810">
        <v>0.99995679999999998</v>
      </c>
      <c r="Y5810">
        <v>-0.4054296</v>
      </c>
      <c r="Z5810">
        <v>-2.80248E-3</v>
      </c>
      <c r="AA5810">
        <v>0.91412199999999999</v>
      </c>
      <c r="AB5810">
        <v>16</v>
      </c>
      <c r="AC5810">
        <v>90.706599999999895</v>
      </c>
      <c r="AD5810">
        <v>0.33468599999999998</v>
      </c>
      <c r="AE5810">
        <v>-23.030850000000001</v>
      </c>
      <c r="AF5810">
        <v>-37.995145573776803</v>
      </c>
      <c r="AG5810">
        <v>0.33468599999999998</v>
      </c>
      <c r="AH5810">
        <v>85.523401610148099</v>
      </c>
      <c r="AI5810">
        <v>89.795092077687997</v>
      </c>
      <c r="AJ5810">
        <v>113.95395412346799</v>
      </c>
      <c r="AK5810">
        <v>93.584161720142404</v>
      </c>
      <c r="AL5810">
        <v>90.418100546867294</v>
      </c>
      <c r="AM5810">
        <v>90.329369086725606</v>
      </c>
      <c r="AN5810">
        <v>0.99999994724273</v>
      </c>
    </row>
    <row r="5811" spans="1:40" x14ac:dyDescent="0.25">
      <c r="A5811" t="str">
        <f>"20190312161136892"</f>
        <v>20190312161136892</v>
      </c>
      <c r="B5811" t="str">
        <f>"1552378296883331"</f>
        <v>1552378296883331</v>
      </c>
      <c r="C5811" t="s">
        <v>40</v>
      </c>
      <c r="D5811">
        <v>6.0040019999999998</v>
      </c>
      <c r="E5811">
        <v>0.33893649999999997</v>
      </c>
      <c r="F5811" t="s">
        <v>58</v>
      </c>
      <c r="G5811">
        <v>-199.70310000000001</v>
      </c>
      <c r="H5811">
        <v>0.86937710000000001</v>
      </c>
      <c r="I5811">
        <v>-81.815449999999998</v>
      </c>
      <c r="J5811">
        <v>-289.22879999999998</v>
      </c>
      <c r="K5811">
        <v>1.1133200000000001</v>
      </c>
      <c r="L5811">
        <v>-58.87576</v>
      </c>
      <c r="M5811">
        <v>0.79024609999999995</v>
      </c>
      <c r="N5811">
        <v>0</v>
      </c>
      <c r="O5811">
        <v>-0.61266799999999999</v>
      </c>
      <c r="P5811">
        <v>0.79379440000000001</v>
      </c>
      <c r="Q5811">
        <v>-1.8873020000000001E-2</v>
      </c>
      <c r="R5811">
        <v>-0.60789369999999998</v>
      </c>
      <c r="S5811">
        <v>3.1679379999999999</v>
      </c>
      <c r="T5811">
        <v>-8.6196659999999998E-3</v>
      </c>
      <c r="U5811">
        <v>-0.81378169999999905</v>
      </c>
      <c r="V5811">
        <v>-5.8957509999999899E-3</v>
      </c>
      <c r="W5811">
        <v>-6.7011060000000001E-3</v>
      </c>
      <c r="X5811">
        <v>0.99996019999999997</v>
      </c>
      <c r="Y5811">
        <v>-0.39681319999999998</v>
      </c>
      <c r="Z5811">
        <v>2.0456239999999998E-3</v>
      </c>
      <c r="AA5811">
        <v>0.91789710000000002</v>
      </c>
      <c r="AB5811">
        <v>16</v>
      </c>
      <c r="AC5811">
        <v>89.525699999999901</v>
      </c>
      <c r="AD5811">
        <v>-0.24394289999999999</v>
      </c>
      <c r="AE5811">
        <v>-22.939689999999999</v>
      </c>
      <c r="AF5811">
        <v>-36.724011629327997</v>
      </c>
      <c r="AG5811">
        <v>-0.24394289999999999</v>
      </c>
      <c r="AH5811">
        <v>84.807477810638602</v>
      </c>
      <c r="AI5811">
        <v>90.151236434002499</v>
      </c>
      <c r="AJ5811">
        <v>113.413962065711</v>
      </c>
      <c r="AK5811">
        <v>92.417643504319301</v>
      </c>
      <c r="AL5811">
        <v>90.383947952700197</v>
      </c>
      <c r="AM5811">
        <v>90.337811180033398</v>
      </c>
      <c r="AN5811">
        <v>1.0000000331427501</v>
      </c>
    </row>
    <row r="5812" spans="1:40" x14ac:dyDescent="0.25">
      <c r="A5812" t="str">
        <f>"20190312161136915"</f>
        <v>20190312161136915</v>
      </c>
      <c r="B5812" t="str">
        <f>"1552378296902851"</f>
        <v>1552378296902851</v>
      </c>
      <c r="C5812" t="s">
        <v>40</v>
      </c>
      <c r="D5812">
        <v>5.9900859999999998</v>
      </c>
      <c r="E5812">
        <v>0.34142990000000001</v>
      </c>
      <c r="F5812" t="s">
        <v>58</v>
      </c>
      <c r="G5812">
        <v>-199.0882</v>
      </c>
      <c r="H5812">
        <v>0.64945790000000003</v>
      </c>
      <c r="I5812">
        <v>-81.815380000000005</v>
      </c>
      <c r="J5812">
        <v>-289.09730000000002</v>
      </c>
      <c r="K5812">
        <v>1.113327</v>
      </c>
      <c r="L5812">
        <v>-58.966740000000001</v>
      </c>
      <c r="M5812">
        <v>0.79470689999999999</v>
      </c>
      <c r="N5812">
        <v>0</v>
      </c>
      <c r="O5812">
        <v>-0.60687119999999894</v>
      </c>
      <c r="P5812">
        <v>0.79796149999999999</v>
      </c>
      <c r="Q5812">
        <v>-1.8717669999999999E-2</v>
      </c>
      <c r="R5812">
        <v>-0.60241789999999995</v>
      </c>
      <c r="S5812">
        <v>3.162598</v>
      </c>
      <c r="T5812">
        <v>-1.6274569999999999E-2</v>
      </c>
      <c r="U5812">
        <v>-0.80484009999999995</v>
      </c>
      <c r="V5812">
        <v>-5.4637569999999996E-3</v>
      </c>
      <c r="W5812">
        <v>-6.5773309999999996E-3</v>
      </c>
      <c r="X5812">
        <v>0.99996350000000001</v>
      </c>
      <c r="Y5812">
        <v>-0.392148</v>
      </c>
      <c r="Z5812">
        <v>3.8362219999999998E-3</v>
      </c>
      <c r="AA5812">
        <v>0.9198942</v>
      </c>
      <c r="AB5812">
        <v>16</v>
      </c>
      <c r="AC5812">
        <v>90.009100000000004</v>
      </c>
      <c r="AD5812">
        <v>-0.46386909999999898</v>
      </c>
      <c r="AE5812">
        <v>-22.84864</v>
      </c>
      <c r="AF5812">
        <v>-36.467752801603702</v>
      </c>
      <c r="AG5812">
        <v>-0.46386909999999898</v>
      </c>
      <c r="AH5812">
        <v>85.401235970465393</v>
      </c>
      <c r="AI5812">
        <v>90.286205858551099</v>
      </c>
      <c r="AJ5812">
        <v>113.123290790198</v>
      </c>
      <c r="AK5812">
        <v>92.862711968927201</v>
      </c>
      <c r="AL5812">
        <v>90.376856002288605</v>
      </c>
      <c r="AM5812">
        <v>90.313058527724493</v>
      </c>
      <c r="AN5812">
        <v>1.00000005762794</v>
      </c>
    </row>
    <row r="5813" spans="1:40" x14ac:dyDescent="0.25">
      <c r="A5813" t="str">
        <f>"20190312161136937"</f>
        <v>20190312161136937</v>
      </c>
      <c r="B5813" t="str">
        <f>"1552378296933107"</f>
        <v>1552378296933107</v>
      </c>
      <c r="C5813" t="s">
        <v>40</v>
      </c>
      <c r="D5813">
        <v>5.9775179999999999</v>
      </c>
      <c r="E5813">
        <v>0.34441630000000001</v>
      </c>
      <c r="F5813" t="s">
        <v>58</v>
      </c>
      <c r="G5813">
        <v>-198.7807</v>
      </c>
      <c r="H5813">
        <v>0.37128349999999999</v>
      </c>
      <c r="I5813">
        <v>-81.815280000000001</v>
      </c>
      <c r="J5813">
        <v>-288.96370000000002</v>
      </c>
      <c r="K5813">
        <v>1.1133280000000001</v>
      </c>
      <c r="L5813">
        <v>-59.057769999999998</v>
      </c>
      <c r="M5813">
        <v>0.79917510000000003</v>
      </c>
      <c r="N5813">
        <v>0</v>
      </c>
      <c r="O5813">
        <v>-0.60097559999999906</v>
      </c>
      <c r="P5813">
        <v>0.80208089999999999</v>
      </c>
      <c r="Q5813">
        <v>-1.7774729999999999E-2</v>
      </c>
      <c r="R5813">
        <v>-0.59695109999999996</v>
      </c>
      <c r="S5813">
        <v>3.1561889999999999</v>
      </c>
      <c r="T5813">
        <v>-2.5931240000000001E-2</v>
      </c>
      <c r="U5813">
        <v>-0.79846189999999995</v>
      </c>
      <c r="V5813">
        <v>-4.9192560000000003E-3</v>
      </c>
      <c r="W5813">
        <v>-5.665163E-3</v>
      </c>
      <c r="X5813">
        <v>0.99997190000000002</v>
      </c>
      <c r="Y5813">
        <v>-0.38661830000000003</v>
      </c>
      <c r="Z5813">
        <v>6.0674290000000001E-3</v>
      </c>
      <c r="AA5813">
        <v>0.92221980000000003</v>
      </c>
      <c r="AB5813">
        <v>16</v>
      </c>
      <c r="AC5813">
        <v>90.183000000000007</v>
      </c>
      <c r="AD5813">
        <v>-0.7420445</v>
      </c>
      <c r="AE5813">
        <v>-22.75751</v>
      </c>
      <c r="AF5813">
        <v>-36.010910954337902</v>
      </c>
      <c r="AG5813">
        <v>-0.7420445</v>
      </c>
      <c r="AH5813">
        <v>85.749582434511495</v>
      </c>
      <c r="AI5813">
        <v>90.457131261695693</v>
      </c>
      <c r="AJ5813">
        <v>112.78018279592099</v>
      </c>
      <c r="AK5813">
        <v>93.007135347210394</v>
      </c>
      <c r="AL5813">
        <v>90.324591651167694</v>
      </c>
      <c r="AM5813">
        <v>90.281858253742001</v>
      </c>
      <c r="AN5813">
        <v>1.0000000469704999</v>
      </c>
    </row>
    <row r="5814" spans="1:40" x14ac:dyDescent="0.25">
      <c r="A5814" t="str">
        <f>"20190312161136960"</f>
        <v>20190312161136960</v>
      </c>
      <c r="B5814" t="str">
        <f>"1552378296953604"</f>
        <v>1552378296953604</v>
      </c>
      <c r="C5814" t="s">
        <v>40</v>
      </c>
      <c r="D5814">
        <v>5.9970499999999998</v>
      </c>
      <c r="E5814">
        <v>0.34614220000000001</v>
      </c>
      <c r="F5814" t="s">
        <v>58</v>
      </c>
      <c r="G5814">
        <v>-198.8973</v>
      </c>
      <c r="H5814">
        <v>-2.7301789999999999E-2</v>
      </c>
      <c r="I5814">
        <v>-81.815159999999906</v>
      </c>
      <c r="J5814">
        <v>-288.83080000000001</v>
      </c>
      <c r="K5814">
        <v>1.113334</v>
      </c>
      <c r="L5814">
        <v>-59.146850000000001</v>
      </c>
      <c r="M5814">
        <v>0.80355019999999999</v>
      </c>
      <c r="N5814">
        <v>0</v>
      </c>
      <c r="O5814">
        <v>-0.59511380000000003</v>
      </c>
      <c r="P5814">
        <v>0.80615859999999995</v>
      </c>
      <c r="Q5814">
        <v>-1.7979470000000001E-2</v>
      </c>
      <c r="R5814">
        <v>-0.59142659999999903</v>
      </c>
      <c r="S5814">
        <v>3.147491</v>
      </c>
      <c r="T5814">
        <v>-3.9860729999999997E-2</v>
      </c>
      <c r="U5814">
        <v>-0.79528809999999905</v>
      </c>
      <c r="V5814">
        <v>-4.4696040000000003E-3</v>
      </c>
      <c r="W5814">
        <v>-5.8968010000000001E-3</v>
      </c>
      <c r="X5814">
        <v>0.99997259999999999</v>
      </c>
      <c r="Y5814">
        <v>-0.38009280000000001</v>
      </c>
      <c r="Z5814">
        <v>9.2554769999999998E-3</v>
      </c>
      <c r="AA5814">
        <v>0.924902</v>
      </c>
      <c r="AB5814">
        <v>16</v>
      </c>
      <c r="AC5814">
        <v>89.933499999999995</v>
      </c>
      <c r="AD5814">
        <v>-1.1406357899999999</v>
      </c>
      <c r="AE5814">
        <v>-22.668309999999899</v>
      </c>
      <c r="AF5814">
        <v>-35.3027911978823</v>
      </c>
      <c r="AG5814">
        <v>-1.1406357899999999</v>
      </c>
      <c r="AH5814">
        <v>85.749624631090995</v>
      </c>
      <c r="AI5814">
        <v>90.704719923041495</v>
      </c>
      <c r="AJ5814">
        <v>112.376776945519</v>
      </c>
      <c r="AK5814">
        <v>92.739345699329405</v>
      </c>
      <c r="AL5814">
        <v>90.337863776379393</v>
      </c>
      <c r="AM5814">
        <v>90.256094756887705</v>
      </c>
      <c r="AN5814">
        <v>0.99999997518635397</v>
      </c>
    </row>
    <row r="5815" spans="1:40" x14ac:dyDescent="0.25">
      <c r="A5815" t="str">
        <f>"20190312161136993"</f>
        <v>20190312161136993</v>
      </c>
      <c r="B5815" t="str">
        <f>"1552378296982883"</f>
        <v>1552378296982883</v>
      </c>
      <c r="C5815" t="s">
        <v>40</v>
      </c>
      <c r="D5815">
        <v>6.0149480000000004</v>
      </c>
      <c r="E5815">
        <v>0.3483657</v>
      </c>
      <c r="F5815" t="s">
        <v>106</v>
      </c>
      <c r="G5815">
        <v>-224.80539999999999</v>
      </c>
      <c r="H5815">
        <v>7.9987139999999998E-2</v>
      </c>
      <c r="I5815">
        <v>-75.114530000000002</v>
      </c>
      <c r="J5815">
        <v>-288.63170000000002</v>
      </c>
      <c r="K5815">
        <v>1.113332</v>
      </c>
      <c r="L5815">
        <v>-59.277650000000001</v>
      </c>
      <c r="M5815">
        <v>0.80998749999999997</v>
      </c>
      <c r="N5815">
        <v>0</v>
      </c>
      <c r="O5815">
        <v>-0.58632280000000003</v>
      </c>
      <c r="P5815">
        <v>0.81205850000000002</v>
      </c>
      <c r="Q5815">
        <v>-1.7922830000000001E-2</v>
      </c>
      <c r="R5815">
        <v>-0.58330090000000001</v>
      </c>
      <c r="S5815">
        <v>3.144806</v>
      </c>
      <c r="T5815">
        <v>-5.0755979999999999E-2</v>
      </c>
      <c r="U5815">
        <v>-0.78430180000000005</v>
      </c>
      <c r="V5815">
        <v>-3.616565E-3</v>
      </c>
      <c r="W5815">
        <v>-5.8701819999999998E-3</v>
      </c>
      <c r="X5815">
        <v>0.99997619999999998</v>
      </c>
      <c r="Y5815">
        <v>-0.3728146</v>
      </c>
      <c r="Z5815">
        <v>1.163469E-2</v>
      </c>
      <c r="AA5815">
        <v>0.92783289999999996</v>
      </c>
      <c r="AB5815">
        <v>16</v>
      </c>
      <c r="AC5815">
        <v>63.826300000000003</v>
      </c>
      <c r="AD5815">
        <v>-1.0333448599999999</v>
      </c>
      <c r="AE5815">
        <v>-15.836879999999899</v>
      </c>
      <c r="AF5815">
        <v>-24.590861760100299</v>
      </c>
      <c r="AG5815">
        <v>-1.0333448599999999</v>
      </c>
      <c r="AH5815">
        <v>60.973420809589101</v>
      </c>
      <c r="AI5815">
        <v>90.900463757921202</v>
      </c>
      <c r="AJ5815">
        <v>111.96444762457899</v>
      </c>
      <c r="AK5815">
        <v>65.753603163075994</v>
      </c>
      <c r="AL5815">
        <v>90.336338595477102</v>
      </c>
      <c r="AM5815">
        <v>90.207217939164707</v>
      </c>
      <c r="AN5815">
        <v>0.99999996957277504</v>
      </c>
    </row>
    <row r="5816" spans="1:40" x14ac:dyDescent="0.25">
      <c r="A5816" t="str">
        <f>"20190312161137015"</f>
        <v>20190312161137015</v>
      </c>
      <c r="B5816" t="str">
        <f>"1552378297003379"</f>
        <v>1552378297003379</v>
      </c>
      <c r="C5816" t="s">
        <v>40</v>
      </c>
      <c r="D5816">
        <v>6.046875</v>
      </c>
      <c r="E5816">
        <v>0.34977039999999998</v>
      </c>
      <c r="F5816" t="s">
        <v>107</v>
      </c>
      <c r="G5816">
        <v>-237.60290000000001</v>
      </c>
      <c r="H5816">
        <v>7.9987150000000007E-2</v>
      </c>
      <c r="I5816">
        <v>-71.72739</v>
      </c>
      <c r="J5816">
        <v>-288.5009</v>
      </c>
      <c r="K5816">
        <v>1.113335</v>
      </c>
      <c r="L5816">
        <v>-59.361939999999997</v>
      </c>
      <c r="M5816">
        <v>0.81413819999999903</v>
      </c>
      <c r="N5816">
        <v>0</v>
      </c>
      <c r="O5816">
        <v>-0.58054600000000001</v>
      </c>
      <c r="P5816">
        <v>0.81593769999999999</v>
      </c>
      <c r="Q5816">
        <v>-1.800471E-2</v>
      </c>
      <c r="R5816">
        <v>-0.57785949999999997</v>
      </c>
      <c r="S5816">
        <v>3.142242</v>
      </c>
      <c r="T5816">
        <v>-6.3631179999999996E-2</v>
      </c>
      <c r="U5816">
        <v>-0.76663210000000004</v>
      </c>
      <c r="V5816">
        <v>-3.1855120000000002E-3</v>
      </c>
      <c r="W5816">
        <v>-5.9700129999999997E-3</v>
      </c>
      <c r="X5816">
        <v>0.99997709999999995</v>
      </c>
      <c r="Y5816">
        <v>-0.37089299999999997</v>
      </c>
      <c r="Z5816">
        <v>1.45007E-2</v>
      </c>
      <c r="AA5816">
        <v>0.92856240000000001</v>
      </c>
      <c r="AB5816">
        <v>16</v>
      </c>
      <c r="AC5816">
        <v>50.898000000000003</v>
      </c>
      <c r="AD5816">
        <v>-1.03334785</v>
      </c>
      <c r="AE5816">
        <v>-12.3654499999999</v>
      </c>
      <c r="AF5816">
        <v>-19.475280891001599</v>
      </c>
      <c r="AG5816">
        <v>-1.03334785</v>
      </c>
      <c r="AH5816">
        <v>48.601335604338303</v>
      </c>
      <c r="AI5816">
        <v>91.130650710836406</v>
      </c>
      <c r="AJ5816">
        <v>111.836713352012</v>
      </c>
      <c r="AK5816">
        <v>52.368351091933697</v>
      </c>
      <c r="AL5816">
        <v>90.342058582316795</v>
      </c>
      <c r="AM5816">
        <v>90.182519955509804</v>
      </c>
      <c r="AN5816">
        <v>0.99999999453316601</v>
      </c>
    </row>
    <row r="5817" spans="1:40" x14ac:dyDescent="0.25">
      <c r="A5817" t="str">
        <f>"20190312161137037"</f>
        <v>20190312161137037</v>
      </c>
      <c r="B5817" t="str">
        <f>"1552378297033688"</f>
        <v>1552378297033688</v>
      </c>
      <c r="C5817" t="s">
        <v>40</v>
      </c>
      <c r="D5817">
        <v>6.0108779999999999</v>
      </c>
      <c r="E5817">
        <v>0.35191260000000002</v>
      </c>
      <c r="F5817" t="s">
        <v>108</v>
      </c>
      <c r="G5817">
        <v>-241.96690000000001</v>
      </c>
      <c r="H5817">
        <v>7.9987279999999994E-2</v>
      </c>
      <c r="I5817">
        <v>-70.538489999999996</v>
      </c>
      <c r="J5817">
        <v>-288.36489999999998</v>
      </c>
      <c r="K5817">
        <v>1.113334</v>
      </c>
      <c r="L5817">
        <v>-59.448210000000003</v>
      </c>
      <c r="M5817">
        <v>0.81839329999999999</v>
      </c>
      <c r="N5817">
        <v>0</v>
      </c>
      <c r="O5817">
        <v>-0.57453269999999901</v>
      </c>
      <c r="P5817">
        <v>0.820096099999999</v>
      </c>
      <c r="Q5817">
        <v>-1.8195380000000001E-2</v>
      </c>
      <c r="R5817">
        <v>-0.57193700000000003</v>
      </c>
      <c r="S5817">
        <v>3.14093</v>
      </c>
      <c r="T5817">
        <v>-6.9748519999999994E-2</v>
      </c>
      <c r="U5817">
        <v>-0.75439449999999997</v>
      </c>
      <c r="V5817">
        <v>-3.0548580000000001E-3</v>
      </c>
      <c r="W5817">
        <v>-6.1827419999999998E-3</v>
      </c>
      <c r="X5817">
        <v>0.99997619999999998</v>
      </c>
      <c r="Y5817">
        <v>-0.36734489999999997</v>
      </c>
      <c r="Z5817">
        <v>1.5767719999999999E-2</v>
      </c>
      <c r="AA5817">
        <v>0.92995110000000003</v>
      </c>
      <c r="AB5817">
        <v>16</v>
      </c>
      <c r="AC5817">
        <v>46.397999999999897</v>
      </c>
      <c r="AD5817">
        <v>-1.0333467199999999</v>
      </c>
      <c r="AE5817">
        <v>-11.09028</v>
      </c>
      <c r="AF5817">
        <v>-17.573982633718799</v>
      </c>
      <c r="AG5817">
        <v>-1.0333467199999999</v>
      </c>
      <c r="AH5817">
        <v>44.3259488347922</v>
      </c>
      <c r="AI5817">
        <v>91.241481887377404</v>
      </c>
      <c r="AJ5817">
        <v>111.62692287246399</v>
      </c>
      <c r="AK5817">
        <v>47.693840390123803</v>
      </c>
      <c r="AL5817">
        <v>90.354247286627896</v>
      </c>
      <c r="AM5817">
        <v>90.1750340917296</v>
      </c>
      <c r="AN5817">
        <v>0.99999997951123898</v>
      </c>
    </row>
    <row r="5818" spans="1:40" x14ac:dyDescent="0.25">
      <c r="A5818" t="str">
        <f>"20190312161137060"</f>
        <v>20190312161137060</v>
      </c>
      <c r="B5818" t="str">
        <f>"1552378297053207"</f>
        <v>1552378297053207</v>
      </c>
      <c r="C5818" t="s">
        <v>40</v>
      </c>
      <c r="D5818">
        <v>5.8341320000000003</v>
      </c>
      <c r="E5818">
        <v>0.3529716</v>
      </c>
      <c r="F5818" t="s">
        <v>108</v>
      </c>
      <c r="G5818">
        <v>-244.0668</v>
      </c>
      <c r="H5818" s="1">
        <v>-2.959184E-6</v>
      </c>
      <c r="I5818">
        <v>-69.973889999999997</v>
      </c>
      <c r="J5818">
        <v>-288.2253</v>
      </c>
      <c r="K5818">
        <v>1.113326</v>
      </c>
      <c r="L5818">
        <v>-59.535249999999998</v>
      </c>
      <c r="M5818">
        <v>0.82269049999999999</v>
      </c>
      <c r="N5818">
        <v>0</v>
      </c>
      <c r="O5818">
        <v>-0.56836239999999905</v>
      </c>
      <c r="P5818">
        <v>0.82429809999999903</v>
      </c>
      <c r="Q5818">
        <v>-1.8430539999999999E-2</v>
      </c>
      <c r="R5818">
        <v>-0.56585600000000003</v>
      </c>
      <c r="S5818">
        <v>3.1366269999999998</v>
      </c>
      <c r="T5818">
        <v>-7.8832509999999995E-2</v>
      </c>
      <c r="U5818">
        <v>-0.74530030000000003</v>
      </c>
      <c r="V5818">
        <v>-2.925633E-3</v>
      </c>
      <c r="W5818">
        <v>-6.4434890000000002E-3</v>
      </c>
      <c r="X5818">
        <v>0.99997499999999995</v>
      </c>
      <c r="Y5818">
        <v>-0.36255389999999998</v>
      </c>
      <c r="Z5818">
        <v>1.7670970000000001E-2</v>
      </c>
      <c r="AA5818">
        <v>0.93179529999999999</v>
      </c>
      <c r="AB5818">
        <v>16</v>
      </c>
      <c r="AC5818">
        <v>44.158499999999997</v>
      </c>
      <c r="AD5818">
        <v>-1.1133289591840001</v>
      </c>
      <c r="AE5818">
        <v>-10.438639999999999</v>
      </c>
      <c r="AF5818">
        <v>-16.501520189535299</v>
      </c>
      <c r="AG5818">
        <v>-1.1133289591840001</v>
      </c>
      <c r="AH5818">
        <v>42.239334662991901</v>
      </c>
      <c r="AI5818">
        <v>91.406366808252301</v>
      </c>
      <c r="AJ5818">
        <v>111.338954207203</v>
      </c>
      <c r="AK5818">
        <v>45.361889981670998</v>
      </c>
      <c r="AL5818">
        <v>90.369187265264202</v>
      </c>
      <c r="AM5818">
        <v>90.167630135779604</v>
      </c>
      <c r="AN5818">
        <v>1.0000000392519699</v>
      </c>
    </row>
    <row r="5819" spans="1:40" x14ac:dyDescent="0.25">
      <c r="A5819" t="str">
        <f>"20190312161137081"</f>
        <v>20190312161137081</v>
      </c>
      <c r="B5819" t="str">
        <f>"1552378297073703"</f>
        <v>1552378297073703</v>
      </c>
      <c r="C5819" t="s">
        <v>40</v>
      </c>
      <c r="D5819">
        <v>6.0760529999999999</v>
      </c>
      <c r="E5819">
        <v>0.35394360000000002</v>
      </c>
      <c r="F5819" t="s">
        <v>108</v>
      </c>
      <c r="G5819">
        <v>-246.64789999999999</v>
      </c>
      <c r="H5819" s="1">
        <v>-3.6990999999999999E-6</v>
      </c>
      <c r="I5819">
        <v>-69.193469999999905</v>
      </c>
      <c r="J5819">
        <v>-288.0933</v>
      </c>
      <c r="K5819">
        <v>1.113329</v>
      </c>
      <c r="L5819">
        <v>-59.616269999999901</v>
      </c>
      <c r="M5819">
        <v>0.82669669999999895</v>
      </c>
      <c r="N5819">
        <v>0</v>
      </c>
      <c r="O5819">
        <v>-0.56252029999999997</v>
      </c>
      <c r="P5819">
        <v>0.82812030000000003</v>
      </c>
      <c r="Q5819">
        <v>-1.8672979999999999E-2</v>
      </c>
      <c r="R5819">
        <v>-0.5602395</v>
      </c>
      <c r="S5819">
        <v>3.1373289999999998</v>
      </c>
      <c r="T5819">
        <v>-8.4009169999999994E-2</v>
      </c>
      <c r="U5819">
        <v>-0.7287903</v>
      </c>
      <c r="V5819">
        <v>-2.6342890000000002E-3</v>
      </c>
      <c r="W5819">
        <v>-6.7081010000000002E-3</v>
      </c>
      <c r="X5819">
        <v>0.99997400000000003</v>
      </c>
      <c r="Y5819">
        <v>-0.3606124</v>
      </c>
      <c r="Z5819">
        <v>1.8693020000000001E-2</v>
      </c>
      <c r="AA5819">
        <v>0.93252840000000004</v>
      </c>
      <c r="AB5819">
        <v>16</v>
      </c>
      <c r="AC5819">
        <v>41.445399999999999</v>
      </c>
      <c r="AD5819">
        <v>-1.1133326990999901</v>
      </c>
      <c r="AE5819">
        <v>-9.5771999999999906</v>
      </c>
      <c r="AF5819">
        <v>-15.387003410108701</v>
      </c>
      <c r="AG5819">
        <v>-1.1133326990999901</v>
      </c>
      <c r="AH5819">
        <v>39.625845008161001</v>
      </c>
      <c r="AI5819">
        <v>91.500282891587005</v>
      </c>
      <c r="AJ5819">
        <v>111.221552877812</v>
      </c>
      <c r="AK5819">
        <v>42.523017017285802</v>
      </c>
      <c r="AL5819">
        <v>90.384348770177795</v>
      </c>
      <c r="AM5819">
        <v>90.150937216935006</v>
      </c>
      <c r="AN5819">
        <v>0.99999996938678004</v>
      </c>
    </row>
    <row r="5820" spans="1:40" x14ac:dyDescent="0.25">
      <c r="A5820" t="str">
        <f>"20190312161137104"</f>
        <v>20190312161137104</v>
      </c>
      <c r="B5820" t="str">
        <f>"1552378297093223"</f>
        <v>1552378297093223</v>
      </c>
      <c r="C5820" t="s">
        <v>40</v>
      </c>
      <c r="D5820">
        <v>6.0102399999999996</v>
      </c>
      <c r="E5820">
        <v>0.3547554</v>
      </c>
      <c r="F5820" t="s">
        <v>108</v>
      </c>
      <c r="G5820">
        <v>-248.3031</v>
      </c>
      <c r="H5820" s="1">
        <v>-4.1691410000000001E-6</v>
      </c>
      <c r="I5820">
        <v>-68.66798</v>
      </c>
      <c r="J5820">
        <v>-287.95710000000003</v>
      </c>
      <c r="K5820">
        <v>1.1133299999999999</v>
      </c>
      <c r="L5820">
        <v>-59.698610000000002</v>
      </c>
      <c r="M5820">
        <v>0.83076909999999904</v>
      </c>
      <c r="N5820">
        <v>0</v>
      </c>
      <c r="O5820">
        <v>-0.55648889999999995</v>
      </c>
      <c r="P5820">
        <v>0.83199210000000001</v>
      </c>
      <c r="Q5820">
        <v>-1.8826889999999999E-2</v>
      </c>
      <c r="R5820">
        <v>-0.55446830000000003</v>
      </c>
      <c r="S5820">
        <v>3.1377869999999999</v>
      </c>
      <c r="T5820">
        <v>-8.7795499999999999E-2</v>
      </c>
      <c r="U5820">
        <v>-0.71380619999999995</v>
      </c>
      <c r="V5820">
        <v>-2.3057529999999998E-3</v>
      </c>
      <c r="W5820">
        <v>-6.8809319999999898E-3</v>
      </c>
      <c r="X5820">
        <v>0.99997369999999997</v>
      </c>
      <c r="Y5820">
        <v>-0.35805879999999901</v>
      </c>
      <c r="Z5820">
        <v>1.937697E-2</v>
      </c>
      <c r="AA5820">
        <v>0.93349800000000005</v>
      </c>
      <c r="AB5820">
        <v>16</v>
      </c>
      <c r="AC5820">
        <v>39.654000000000003</v>
      </c>
      <c r="AD5820">
        <v>-1.1133341691409999</v>
      </c>
      <c r="AE5820">
        <v>-8.9693699999999996</v>
      </c>
      <c r="AF5820">
        <v>-14.6056262490736</v>
      </c>
      <c r="AG5820">
        <v>-1.1133341691409999</v>
      </c>
      <c r="AH5820">
        <v>37.908953505695997</v>
      </c>
      <c r="AI5820">
        <v>91.569795772684898</v>
      </c>
      <c r="AJ5820">
        <v>111.07076119336</v>
      </c>
      <c r="AK5820">
        <v>40.640528872011799</v>
      </c>
      <c r="AL5820">
        <v>90.394251461179294</v>
      </c>
      <c r="AM5820">
        <v>90.132113155943401</v>
      </c>
      <c r="AN5820">
        <v>1.0000000322068801</v>
      </c>
    </row>
    <row r="5821" spans="1:40" x14ac:dyDescent="0.25">
      <c r="A5821" t="str">
        <f>"20190312161137127"</f>
        <v>20190312161137127</v>
      </c>
      <c r="B5821" t="str">
        <f>"1552378297123479"</f>
        <v>1552378297123479</v>
      </c>
      <c r="C5821" t="s">
        <v>40</v>
      </c>
      <c r="D5821">
        <v>5.9494600000000002</v>
      </c>
      <c r="E5821">
        <v>0.35396759999999999</v>
      </c>
      <c r="F5821" t="s">
        <v>108</v>
      </c>
      <c r="G5821">
        <v>-249.0172</v>
      </c>
      <c r="H5821" s="1">
        <v>-4.3555619999999997E-6</v>
      </c>
      <c r="I5821">
        <v>-68.348819999999904</v>
      </c>
      <c r="J5821">
        <v>-287.81420000000003</v>
      </c>
      <c r="K5821">
        <v>1.113332</v>
      </c>
      <c r="L5821">
        <v>-59.783360000000002</v>
      </c>
      <c r="M5821">
        <v>0.83497189999999999</v>
      </c>
      <c r="N5821">
        <v>0</v>
      </c>
      <c r="O5821">
        <v>-0.55016309999999902</v>
      </c>
      <c r="P5821">
        <v>0.83614460000000002</v>
      </c>
      <c r="Q5821">
        <v>-1.8902229999999999E-2</v>
      </c>
      <c r="R5821">
        <v>-0.54818339999999999</v>
      </c>
      <c r="S5821">
        <v>3.1390690000000001</v>
      </c>
      <c r="T5821">
        <v>-8.9749570000000001E-2</v>
      </c>
      <c r="U5821">
        <v>-0.69732669999999997</v>
      </c>
      <c r="V5821">
        <v>-2.243765E-3</v>
      </c>
      <c r="W5821">
        <v>-6.9800869999999899E-3</v>
      </c>
      <c r="X5821">
        <v>0.99997309999999995</v>
      </c>
      <c r="Y5821">
        <v>-0.35570239999999997</v>
      </c>
      <c r="Z5821">
        <v>1.9637419999999999E-2</v>
      </c>
      <c r="AA5821">
        <v>0.93439289999999997</v>
      </c>
      <c r="AB5821">
        <v>16</v>
      </c>
      <c r="AC5821">
        <v>38.796999999999997</v>
      </c>
      <c r="AD5821">
        <v>-1.1133363555619999</v>
      </c>
      <c r="AE5821">
        <v>-8.5654599999999892</v>
      </c>
      <c r="AF5821">
        <v>-14.182634252876699</v>
      </c>
      <c r="AG5821">
        <v>-1.1133363555619999</v>
      </c>
      <c r="AH5821">
        <v>37.0803328030361</v>
      </c>
      <c r="AI5821">
        <v>91.606362571584498</v>
      </c>
      <c r="AJ5821">
        <v>110.931053134179</v>
      </c>
      <c r="AK5821">
        <v>39.715711160388501</v>
      </c>
      <c r="AL5821">
        <v>90.399932781975394</v>
      </c>
      <c r="AM5821">
        <v>90.1285615072713</v>
      </c>
      <c r="AN5821">
        <v>0.99999997840975596</v>
      </c>
    </row>
    <row r="5822" spans="1:40" x14ac:dyDescent="0.25">
      <c r="A5822" t="str">
        <f>"20190312161137149"</f>
        <v>20190312161137149</v>
      </c>
      <c r="B5822" t="str">
        <f>"1552378297142999"</f>
        <v>1552378297142999</v>
      </c>
      <c r="C5822" t="s">
        <v>40</v>
      </c>
      <c r="D5822">
        <v>5.963762</v>
      </c>
      <c r="E5822">
        <v>0.35359459999999998</v>
      </c>
      <c r="F5822" t="s">
        <v>108</v>
      </c>
      <c r="G5822">
        <v>-249.45339999999999</v>
      </c>
      <c r="H5822" s="1">
        <v>-4.4293119999999996E-6</v>
      </c>
      <c r="I5822">
        <v>-67.927869999999999</v>
      </c>
      <c r="J5822">
        <v>-287.6739</v>
      </c>
      <c r="K5822">
        <v>1.113332</v>
      </c>
      <c r="L5822">
        <v>-59.865229999999997</v>
      </c>
      <c r="M5822">
        <v>0.83903919999999999</v>
      </c>
      <c r="N5822">
        <v>0</v>
      </c>
      <c r="O5822">
        <v>-0.54394049999999905</v>
      </c>
      <c r="P5822">
        <v>0.84047939999999999</v>
      </c>
      <c r="Q5822">
        <v>-1.854629E-2</v>
      </c>
      <c r="R5822">
        <v>-0.54152639999999996</v>
      </c>
      <c r="S5822">
        <v>3.1477050000000002</v>
      </c>
      <c r="T5822">
        <v>-9.1354969999999994E-2</v>
      </c>
      <c r="U5822">
        <v>-0.66830440000000002</v>
      </c>
      <c r="V5822">
        <v>-2.7573099999999998E-3</v>
      </c>
      <c r="W5822">
        <v>-6.6549909999999999E-3</v>
      </c>
      <c r="X5822">
        <v>0.99997409999999998</v>
      </c>
      <c r="Y5822">
        <v>-0.35751519999999998</v>
      </c>
      <c r="Z5822">
        <v>1.9842889999999998E-2</v>
      </c>
      <c r="AA5822">
        <v>0.93369650000000004</v>
      </c>
      <c r="AB5822">
        <v>16</v>
      </c>
      <c r="AC5822">
        <v>38.220500000000001</v>
      </c>
      <c r="AD5822">
        <v>-1.1133364293120001</v>
      </c>
      <c r="AE5822">
        <v>-8.0626399999999894</v>
      </c>
      <c r="AF5822">
        <v>-14.014417572265801</v>
      </c>
      <c r="AG5822">
        <v>-1.1133364293120001</v>
      </c>
      <c r="AH5822">
        <v>36.427089722859002</v>
      </c>
      <c r="AI5822">
        <v>91.633929593194594</v>
      </c>
      <c r="AJ5822">
        <v>111.04298948700399</v>
      </c>
      <c r="AK5822">
        <v>39.045822869698597</v>
      </c>
      <c r="AL5822">
        <v>90.3813056940308</v>
      </c>
      <c r="AM5822">
        <v>90.1579859172586</v>
      </c>
      <c r="AN5822">
        <v>1.00000004616722</v>
      </c>
    </row>
    <row r="5823" spans="1:40" x14ac:dyDescent="0.25">
      <c r="A5823" t="str">
        <f>"20190312161137171"</f>
        <v>20190312161137171</v>
      </c>
      <c r="B5823" t="str">
        <f>"1552378297163499"</f>
        <v>1552378297163499</v>
      </c>
      <c r="C5823" t="s">
        <v>40</v>
      </c>
      <c r="D5823">
        <v>5.9174150000000001</v>
      </c>
      <c r="E5823">
        <v>0.35345670000000001</v>
      </c>
      <c r="F5823" t="s">
        <v>108</v>
      </c>
      <c r="G5823">
        <v>-249.53800000000001</v>
      </c>
      <c r="H5823" s="1">
        <v>-4.4019829999999997E-6</v>
      </c>
      <c r="I5823">
        <v>-67.611429999999999</v>
      </c>
      <c r="J5823">
        <v>-287.53899999999999</v>
      </c>
      <c r="K5823">
        <v>1.113334</v>
      </c>
      <c r="L5823">
        <v>-59.942659999999997</v>
      </c>
      <c r="M5823">
        <v>0.84288759999999996</v>
      </c>
      <c r="N5823">
        <v>0</v>
      </c>
      <c r="O5823">
        <v>-0.53795859999999995</v>
      </c>
      <c r="P5823">
        <v>0.84436669999999903</v>
      </c>
      <c r="Q5823">
        <v>-1.8071810000000001E-2</v>
      </c>
      <c r="R5823">
        <v>-0.53546119999999997</v>
      </c>
      <c r="S5823">
        <v>3.15448</v>
      </c>
      <c r="T5823">
        <v>-9.2091800000000001E-2</v>
      </c>
      <c r="U5823">
        <v>-0.64074709999999901</v>
      </c>
      <c r="V5823">
        <v>-2.8522069999999998E-3</v>
      </c>
      <c r="W5823">
        <v>-6.205899E-3</v>
      </c>
      <c r="X5823">
        <v>0.99997670000000005</v>
      </c>
      <c r="Y5823">
        <v>-0.35909580000000002</v>
      </c>
      <c r="Z5823">
        <v>1.986684E-2</v>
      </c>
      <c r="AA5823">
        <v>0.93308919999999995</v>
      </c>
      <c r="AB5823">
        <v>16</v>
      </c>
      <c r="AC5823">
        <v>38.000999999999998</v>
      </c>
      <c r="AD5823">
        <v>-1.1133384019829999</v>
      </c>
      <c r="AE5823">
        <v>-7.6687700000000003</v>
      </c>
      <c r="AF5823">
        <v>-13.9685188194711</v>
      </c>
      <c r="AG5823">
        <v>-1.1133384019829999</v>
      </c>
      <c r="AH5823">
        <v>36.128804783300602</v>
      </c>
      <c r="AI5823">
        <v>91.646361828813397</v>
      </c>
      <c r="AJ5823">
        <v>111.13805102926401</v>
      </c>
      <c r="AK5823">
        <v>38.751123538254902</v>
      </c>
      <c r="AL5823">
        <v>90.355574094513102</v>
      </c>
      <c r="AM5823">
        <v>90.163422787986505</v>
      </c>
      <c r="AN5823">
        <v>1.00000002440502</v>
      </c>
    </row>
    <row r="5824" spans="1:40" x14ac:dyDescent="0.25">
      <c r="A5824" t="str">
        <f>"20190312161137193"</f>
        <v>20190312161137193</v>
      </c>
      <c r="B5824" t="str">
        <f>"1552378297183015"</f>
        <v>1552378297183015</v>
      </c>
      <c r="C5824" t="s">
        <v>40</v>
      </c>
      <c r="D5824">
        <v>5.9213630000000004</v>
      </c>
      <c r="E5824">
        <v>0.35347099999999998</v>
      </c>
      <c r="F5824" t="s">
        <v>108</v>
      </c>
      <c r="G5824">
        <v>-249.90899999999999</v>
      </c>
      <c r="H5824" s="1">
        <v>-4.4712770000000003E-6</v>
      </c>
      <c r="I5824">
        <v>-67.290279999999996</v>
      </c>
      <c r="J5824">
        <v>-287.40179999999998</v>
      </c>
      <c r="K5824">
        <v>1.113337</v>
      </c>
      <c r="L5824">
        <v>-60.020110000000003</v>
      </c>
      <c r="M5824">
        <v>0.84674159999999898</v>
      </c>
      <c r="N5824">
        <v>0</v>
      </c>
      <c r="O5824">
        <v>-0.53187249999999997</v>
      </c>
      <c r="P5824">
        <v>0.84859309999999999</v>
      </c>
      <c r="Q5824">
        <v>-1.8129329999999999E-2</v>
      </c>
      <c r="R5824">
        <v>-0.52873549999999903</v>
      </c>
      <c r="S5824">
        <v>3.159729</v>
      </c>
      <c r="T5824">
        <v>-9.3485360000000003E-2</v>
      </c>
      <c r="U5824">
        <v>-0.61697389999999996</v>
      </c>
      <c r="V5824">
        <v>-3.5922380000000002E-3</v>
      </c>
      <c r="W5824">
        <v>-6.2905039999999997E-3</v>
      </c>
      <c r="X5824">
        <v>0.99997380000000002</v>
      </c>
      <c r="Y5824">
        <v>-0.35941980000000001</v>
      </c>
      <c r="Z5824">
        <v>2.0012700000000001E-2</v>
      </c>
      <c r="AA5824">
        <v>0.93296129999999999</v>
      </c>
      <c r="AB5824">
        <v>16</v>
      </c>
      <c r="AC5824">
        <v>37.492799999999903</v>
      </c>
      <c r="AD5824">
        <v>-1.113341471277</v>
      </c>
      <c r="AE5824">
        <v>-7.27017000000001</v>
      </c>
      <c r="AF5824">
        <v>-13.774694968496901</v>
      </c>
      <c r="AG5824">
        <v>-1.113341471277</v>
      </c>
      <c r="AH5824">
        <v>35.585773847312801</v>
      </c>
      <c r="AI5824">
        <v>91.671220644223993</v>
      </c>
      <c r="AJ5824">
        <v>111.160639087934</v>
      </c>
      <c r="AK5824">
        <v>38.174979384655799</v>
      </c>
      <c r="AL5824">
        <v>90.360421693674198</v>
      </c>
      <c r="AM5824">
        <v>90.205824583658298</v>
      </c>
      <c r="AN5824">
        <v>1.0000000376504301</v>
      </c>
    </row>
    <row r="5825" spans="1:40" x14ac:dyDescent="0.25">
      <c r="A5825" t="str">
        <f>"20190312161137216"</f>
        <v>20190312161137216</v>
      </c>
      <c r="B5825" t="str">
        <f>"1552378297213272"</f>
        <v>1552378297213272</v>
      </c>
      <c r="C5825" t="s">
        <v>40</v>
      </c>
      <c r="D5825">
        <v>5.9222960000000002</v>
      </c>
      <c r="E5825">
        <v>0.35365340000000001</v>
      </c>
      <c r="F5825" t="s">
        <v>109</v>
      </c>
      <c r="G5825">
        <v>-250.94569999999999</v>
      </c>
      <c r="H5825" s="1">
        <v>-9.7693600000000006E-7</v>
      </c>
      <c r="I5825">
        <v>-66.837429999999998</v>
      </c>
      <c r="J5825">
        <v>-287.25889999999998</v>
      </c>
      <c r="K5825">
        <v>1.113334</v>
      </c>
      <c r="L5825">
        <v>-60.099400000000003</v>
      </c>
      <c r="M5825">
        <v>0.8506939</v>
      </c>
      <c r="N5825">
        <v>0</v>
      </c>
      <c r="O5825">
        <v>-0.525528</v>
      </c>
      <c r="P5825">
        <v>0.85256699999999996</v>
      </c>
      <c r="Q5825">
        <v>-1.8525630000000001E-2</v>
      </c>
      <c r="R5825">
        <v>-0.52228969999999997</v>
      </c>
      <c r="S5825">
        <v>3.16452</v>
      </c>
      <c r="T5825">
        <v>-9.6641660000000004E-2</v>
      </c>
      <c r="U5825">
        <v>-0.59176640000000003</v>
      </c>
      <c r="V5825">
        <v>-3.6866389999999998E-3</v>
      </c>
      <c r="W5825">
        <v>-6.7066199999999999E-3</v>
      </c>
      <c r="X5825">
        <v>0.99997069999999999</v>
      </c>
      <c r="Y5825">
        <v>-0.35985879999999998</v>
      </c>
      <c r="Z5825">
        <v>2.0526099999999999E-2</v>
      </c>
      <c r="AA5825">
        <v>0.93278090000000002</v>
      </c>
      <c r="AB5825">
        <v>16</v>
      </c>
      <c r="AC5825">
        <v>36.313200000000002</v>
      </c>
      <c r="AD5825">
        <v>-1.1133349769359999</v>
      </c>
      <c r="AE5825">
        <v>-6.7380299999999904</v>
      </c>
      <c r="AF5825">
        <v>-13.340415996346101</v>
      </c>
      <c r="AG5825">
        <v>-1.1133349769359999</v>
      </c>
      <c r="AH5825">
        <v>34.403592675524898</v>
      </c>
      <c r="AI5825">
        <v>91.728208525793605</v>
      </c>
      <c r="AJ5825">
        <v>111.19441466027099</v>
      </c>
      <c r="AK5825">
        <v>36.916302668467097</v>
      </c>
      <c r="AL5825">
        <v>90.384263907040904</v>
      </c>
      <c r="AM5825">
        <v>90.211234087440005</v>
      </c>
      <c r="AN5825">
        <v>0.99999998545871505</v>
      </c>
    </row>
    <row r="5826" spans="1:40" x14ac:dyDescent="0.25">
      <c r="A5826" t="str">
        <f>"20190312161137238"</f>
        <v>20190312161137238</v>
      </c>
      <c r="B5826" t="str">
        <f>"1552378297233769"</f>
        <v>1552378297233769</v>
      </c>
      <c r="C5826" t="s">
        <v>40</v>
      </c>
      <c r="D5826">
        <v>5.9069240000000001</v>
      </c>
      <c r="E5826">
        <v>0.35393239999999998</v>
      </c>
      <c r="F5826" t="s">
        <v>109</v>
      </c>
      <c r="G5826">
        <v>-252.86089999999999</v>
      </c>
      <c r="H5826" s="1">
        <v>-1.6735829999999999E-6</v>
      </c>
      <c r="I5826">
        <v>-66.275469999999999</v>
      </c>
      <c r="J5826">
        <v>-287.11689999999999</v>
      </c>
      <c r="K5826">
        <v>1.113329</v>
      </c>
      <c r="L5826">
        <v>-60.1768199999999</v>
      </c>
      <c r="M5826">
        <v>0.85455680000000001</v>
      </c>
      <c r="N5826">
        <v>0</v>
      </c>
      <c r="O5826">
        <v>-0.5192232</v>
      </c>
      <c r="P5826">
        <v>0.85632389999999903</v>
      </c>
      <c r="Q5826">
        <v>-1.886521E-2</v>
      </c>
      <c r="R5826">
        <v>-0.51609470000000002</v>
      </c>
      <c r="S5826">
        <v>3.1680600000000001</v>
      </c>
      <c r="T5826">
        <v>-0.1025383</v>
      </c>
      <c r="U5826">
        <v>-0.56881709999999996</v>
      </c>
      <c r="V5826">
        <v>-3.535477E-3</v>
      </c>
      <c r="W5826">
        <v>-7.0623819999999999E-3</v>
      </c>
      <c r="X5826">
        <v>0.99996879999999999</v>
      </c>
      <c r="Y5826">
        <v>-0.35964239999999997</v>
      </c>
      <c r="Z5826">
        <v>2.160113E-2</v>
      </c>
      <c r="AA5826">
        <v>0.93284020000000001</v>
      </c>
      <c r="AB5826">
        <v>16</v>
      </c>
      <c r="AC5826">
        <v>34.256</v>
      </c>
      <c r="AD5826">
        <v>-1.113330673583</v>
      </c>
      <c r="AE5826">
        <v>-6.0986500000000001</v>
      </c>
      <c r="AF5826">
        <v>-12.562884959616801</v>
      </c>
      <c r="AG5826">
        <v>-1.113330673583</v>
      </c>
      <c r="AH5826">
        <v>32.409347121421</v>
      </c>
      <c r="AI5826">
        <v>91.834553593964998</v>
      </c>
      <c r="AJ5826">
        <v>111.18790169059599</v>
      </c>
      <c r="AK5826">
        <v>34.776879741202599</v>
      </c>
      <c r="AL5826">
        <v>90.404648050234101</v>
      </c>
      <c r="AM5826">
        <v>90.202573386903097</v>
      </c>
      <c r="AN5826">
        <v>0.99999998890528496</v>
      </c>
    </row>
    <row r="5827" spans="1:40" x14ac:dyDescent="0.25">
      <c r="A5827" t="str">
        <f>"20190312161137260"</f>
        <v>20190312161137260</v>
      </c>
      <c r="B5827" t="str">
        <f>"1552378297253287"</f>
        <v>1552378297253287</v>
      </c>
      <c r="C5827" t="s">
        <v>40</v>
      </c>
      <c r="D5827">
        <v>5.8987109999999996</v>
      </c>
      <c r="E5827">
        <v>0.35425649999999997</v>
      </c>
      <c r="F5827" t="s">
        <v>109</v>
      </c>
      <c r="G5827">
        <v>-254.1944</v>
      </c>
      <c r="H5827" s="1">
        <v>-2.1539140000000002E-6</v>
      </c>
      <c r="I5827">
        <v>-65.862769999999998</v>
      </c>
      <c r="J5827">
        <v>-286.9769</v>
      </c>
      <c r="K5827">
        <v>1.1133309999999901</v>
      </c>
      <c r="L5827">
        <v>-60.251860000000001</v>
      </c>
      <c r="M5827">
        <v>0.85830720000000005</v>
      </c>
      <c r="N5827">
        <v>0</v>
      </c>
      <c r="O5827">
        <v>-0.51300040000000002</v>
      </c>
      <c r="P5827">
        <v>0.85980780000000001</v>
      </c>
      <c r="Q5827">
        <v>-1.9811680000000002E-2</v>
      </c>
      <c r="R5827">
        <v>-0.51023379999999996</v>
      </c>
      <c r="S5827">
        <v>3.1708980000000002</v>
      </c>
      <c r="T5827">
        <v>-0.10722959999999999</v>
      </c>
      <c r="U5827">
        <v>-0.54763790000000001</v>
      </c>
      <c r="V5827">
        <v>-3.0815199999999999E-3</v>
      </c>
      <c r="W5827">
        <v>-8.0212149999999999E-3</v>
      </c>
      <c r="X5827">
        <v>0.99996309999999999</v>
      </c>
      <c r="Y5827">
        <v>-0.3590159</v>
      </c>
      <c r="Z5827">
        <v>2.2401009999999999E-2</v>
      </c>
      <c r="AA5827">
        <v>0.93306259999999996</v>
      </c>
      <c r="AB5827">
        <v>16</v>
      </c>
      <c r="AC5827">
        <v>32.782499999999999</v>
      </c>
      <c r="AD5827">
        <v>-1.1133331539139999</v>
      </c>
      <c r="AE5827">
        <v>-5.6109099999999899</v>
      </c>
      <c r="AF5827">
        <v>-11.9889533191045</v>
      </c>
      <c r="AG5827">
        <v>-1.1133331539139999</v>
      </c>
      <c r="AH5827">
        <v>30.983297995971999</v>
      </c>
      <c r="AI5827">
        <v>91.919374859511294</v>
      </c>
      <c r="AJ5827">
        <v>111.153891388134</v>
      </c>
      <c r="AK5827">
        <v>33.240626755620603</v>
      </c>
      <c r="AL5827">
        <v>90.459586685943194</v>
      </c>
      <c r="AM5827">
        <v>90.176564046809006</v>
      </c>
      <c r="AN5827">
        <v>1.00000001850859</v>
      </c>
    </row>
    <row r="5828" spans="1:40" x14ac:dyDescent="0.25">
      <c r="A5828" t="str">
        <f>"20190312161137282"</f>
        <v>20190312161137282</v>
      </c>
      <c r="B5828" t="str">
        <f>"1552378297272808"</f>
        <v>1552378297272808</v>
      </c>
      <c r="C5828" t="s">
        <v>40</v>
      </c>
      <c r="D5828">
        <v>5.587847</v>
      </c>
      <c r="E5828">
        <v>0.35444130000000001</v>
      </c>
      <c r="F5828" t="s">
        <v>109</v>
      </c>
      <c r="G5828">
        <v>-255.78980000000001</v>
      </c>
      <c r="H5828" s="1">
        <v>-2.6695029999999999E-6</v>
      </c>
      <c r="I5828">
        <v>-65.441649999999996</v>
      </c>
      <c r="J5828">
        <v>-286.83539999999999</v>
      </c>
      <c r="K5828">
        <v>1.1133230000000001</v>
      </c>
      <c r="L5828">
        <v>-60.326349999999998</v>
      </c>
      <c r="M5828">
        <v>0.86203390000000002</v>
      </c>
      <c r="N5828">
        <v>0</v>
      </c>
      <c r="O5828">
        <v>-0.50671339999999998</v>
      </c>
      <c r="P5828">
        <v>0.86362589999999995</v>
      </c>
      <c r="Q5828">
        <v>-2.0106099999999998E-2</v>
      </c>
      <c r="R5828">
        <v>-0.50373210000000002</v>
      </c>
      <c r="S5828">
        <v>3.173187</v>
      </c>
      <c r="T5828">
        <v>-0.1132784</v>
      </c>
      <c r="U5828">
        <v>-0.52804569999999995</v>
      </c>
      <c r="V5828">
        <v>-3.311338E-3</v>
      </c>
      <c r="W5828">
        <v>-8.3314089999999997E-3</v>
      </c>
      <c r="X5828">
        <v>0.99995979999999995</v>
      </c>
      <c r="Y5828">
        <v>-0.35785899999999998</v>
      </c>
      <c r="Z5828">
        <v>2.3454909999999999E-2</v>
      </c>
      <c r="AA5828">
        <v>0.93348100000000001</v>
      </c>
      <c r="AB5828">
        <v>16</v>
      </c>
      <c r="AC5828">
        <v>31.045599999999901</v>
      </c>
      <c r="AD5828">
        <v>-1.1133256695029901</v>
      </c>
      <c r="AE5828">
        <v>-5.1152999999999897</v>
      </c>
      <c r="AF5828">
        <v>-11.3082887426557</v>
      </c>
      <c r="AG5828">
        <v>-1.1133256695029901</v>
      </c>
      <c r="AH5828">
        <v>29.319683472429201</v>
      </c>
      <c r="AI5828">
        <v>92.029037296032996</v>
      </c>
      <c r="AJ5828">
        <v>111.09109425193699</v>
      </c>
      <c r="AK5828">
        <v>31.4445659416231</v>
      </c>
      <c r="AL5828">
        <v>90.477360100679604</v>
      </c>
      <c r="AM5828">
        <v>90.189732625696806</v>
      </c>
      <c r="AN5828">
        <v>0.99999998947565705</v>
      </c>
    </row>
    <row r="5829" spans="1:40" x14ac:dyDescent="0.25">
      <c r="A5829" t="str">
        <f>"20190312161137305"</f>
        <v>20190312161137305</v>
      </c>
      <c r="B5829" t="str">
        <f>"1552378297303064"</f>
        <v>1552378297303064</v>
      </c>
      <c r="C5829" t="s">
        <v>40</v>
      </c>
      <c r="D5829">
        <v>5.9161279999999996</v>
      </c>
      <c r="E5829">
        <v>0.35448289999999999</v>
      </c>
      <c r="F5829" t="s">
        <v>109</v>
      </c>
      <c r="G5829">
        <v>-256.12189999999998</v>
      </c>
      <c r="H5829" s="1">
        <v>-2.7518789999999999E-6</v>
      </c>
      <c r="I5829">
        <v>-65.212490000000003</v>
      </c>
      <c r="J5829">
        <v>-286.6891</v>
      </c>
      <c r="K5829">
        <v>1.1133230000000001</v>
      </c>
      <c r="L5829">
        <v>-60.401949999999999</v>
      </c>
      <c r="M5829">
        <v>0.86582510000000001</v>
      </c>
      <c r="N5829">
        <v>0</v>
      </c>
      <c r="O5829">
        <v>-0.50020779999999998</v>
      </c>
      <c r="P5829">
        <v>0.86748840000000005</v>
      </c>
      <c r="Q5829">
        <v>-2.0208230000000001E-2</v>
      </c>
      <c r="R5829">
        <v>-0.49704660000000001</v>
      </c>
      <c r="S5829">
        <v>3.1762999999999999</v>
      </c>
      <c r="T5829">
        <v>-0.1151369</v>
      </c>
      <c r="U5829">
        <v>-0.50531009999999998</v>
      </c>
      <c r="V5829">
        <v>-3.5025389999999998E-3</v>
      </c>
      <c r="W5829">
        <v>-8.4469530000000001E-3</v>
      </c>
      <c r="X5829">
        <v>0.99995820000000002</v>
      </c>
      <c r="Y5829">
        <v>-0.35747319999999999</v>
      </c>
      <c r="Z5829">
        <v>2.362945E-2</v>
      </c>
      <c r="AA5829">
        <v>0.93362440000000002</v>
      </c>
      <c r="AB5829">
        <v>16</v>
      </c>
      <c r="AC5829">
        <v>30.5672</v>
      </c>
      <c r="AD5829">
        <v>-1.1133257518790001</v>
      </c>
      <c r="AE5829">
        <v>-4.8105399999999996</v>
      </c>
      <c r="AF5829">
        <v>-11.111255424704</v>
      </c>
      <c r="AG5829">
        <v>-1.1133257518790001</v>
      </c>
      <c r="AH5829">
        <v>28.8367964709254</v>
      </c>
      <c r="AI5829">
        <v>92.063244447253993</v>
      </c>
      <c r="AJ5829">
        <v>111.07243123582001</v>
      </c>
      <c r="AK5829">
        <v>30.923459089312502</v>
      </c>
      <c r="AL5829">
        <v>90.483980507207505</v>
      </c>
      <c r="AM5829">
        <v>90.200688270351506</v>
      </c>
      <c r="AN5829">
        <v>1.00000001027083</v>
      </c>
    </row>
    <row r="5830" spans="1:40" x14ac:dyDescent="0.25">
      <c r="A5830" t="str">
        <f>"20190312161137329"</f>
        <v>20190312161137329</v>
      </c>
      <c r="B5830" t="str">
        <f>"1552378297323560"</f>
        <v>1552378297323560</v>
      </c>
      <c r="C5830" t="s">
        <v>40</v>
      </c>
      <c r="D5830">
        <v>5.9236040000000001</v>
      </c>
      <c r="E5830">
        <v>0.35460069999999999</v>
      </c>
      <c r="F5830" t="s">
        <v>109</v>
      </c>
      <c r="G5830">
        <v>-255.8126</v>
      </c>
      <c r="H5830" s="1">
        <v>-2.6279089999999999E-6</v>
      </c>
      <c r="I5830">
        <v>-65.072490000000002</v>
      </c>
      <c r="J5830">
        <v>-286.5428</v>
      </c>
      <c r="K5830">
        <v>1.1133230000000001</v>
      </c>
      <c r="L5830">
        <v>-60.476170000000003</v>
      </c>
      <c r="M5830">
        <v>0.869552399999999</v>
      </c>
      <c r="N5830">
        <v>0</v>
      </c>
      <c r="O5830">
        <v>-0.49370029999999998</v>
      </c>
      <c r="P5830">
        <v>0.8712569</v>
      </c>
      <c r="Q5830">
        <v>-2.0191480000000001E-2</v>
      </c>
      <c r="R5830">
        <v>-0.49041190000000001</v>
      </c>
      <c r="S5830">
        <v>3.1799620000000002</v>
      </c>
      <c r="T5830">
        <v>-0.1146611</v>
      </c>
      <c r="U5830">
        <v>-0.4810181</v>
      </c>
      <c r="V5830">
        <v>-3.6346170000000001E-3</v>
      </c>
      <c r="W5830">
        <v>-8.4414580000000006E-3</v>
      </c>
      <c r="X5830">
        <v>0.99995769999999995</v>
      </c>
      <c r="Y5830">
        <v>-0.35760900000000001</v>
      </c>
      <c r="Z5830">
        <v>2.3327649999999998E-2</v>
      </c>
      <c r="AA5830">
        <v>0.93357999999999997</v>
      </c>
      <c r="AB5830">
        <v>16</v>
      </c>
      <c r="AC5830">
        <v>30.7302</v>
      </c>
      <c r="AD5830">
        <v>-1.113325627909</v>
      </c>
      <c r="AE5830">
        <v>-4.5963200000000004</v>
      </c>
      <c r="AF5830">
        <v>-11.1612135546331</v>
      </c>
      <c r="AG5830">
        <v>-1.113325627909</v>
      </c>
      <c r="AH5830">
        <v>28.9555597316857</v>
      </c>
      <c r="AI5830">
        <v>92.054689099299694</v>
      </c>
      <c r="AJ5830">
        <v>111.079661820602</v>
      </c>
      <c r="AK5830">
        <v>31.052159688838099</v>
      </c>
      <c r="AL5830">
        <v>90.483665691976498</v>
      </c>
      <c r="AM5830">
        <v>90.208256106392597</v>
      </c>
      <c r="AN5830">
        <v>0.99999993522159403</v>
      </c>
    </row>
    <row r="5831" spans="1:40" x14ac:dyDescent="0.25">
      <c r="A5831" t="str">
        <f>"20190312161137350"</f>
        <v>20190312161137350</v>
      </c>
      <c r="B5831" t="str">
        <f>"1552378297343080"</f>
        <v>1552378297343080</v>
      </c>
      <c r="C5831" t="s">
        <v>40</v>
      </c>
      <c r="D5831">
        <v>5.8018380000000001</v>
      </c>
      <c r="E5831">
        <v>0.3551107</v>
      </c>
      <c r="F5831" t="s">
        <v>109</v>
      </c>
      <c r="G5831">
        <v>-255.40289999999999</v>
      </c>
      <c r="H5831" s="1">
        <v>-2.4700359999999998E-6</v>
      </c>
      <c r="I5831">
        <v>-64.952919999999907</v>
      </c>
      <c r="J5831">
        <v>-286.39960000000002</v>
      </c>
      <c r="K5831">
        <v>1.1133249999999999</v>
      </c>
      <c r="L5831">
        <v>-60.547449999999998</v>
      </c>
      <c r="M5831">
        <v>0.87314020000000003</v>
      </c>
      <c r="N5831">
        <v>0</v>
      </c>
      <c r="O5831">
        <v>-0.48732720000000002</v>
      </c>
      <c r="P5831">
        <v>0.87466659999999996</v>
      </c>
      <c r="Q5831">
        <v>-2.0750080000000001E-2</v>
      </c>
      <c r="R5831">
        <v>-0.48428139999999997</v>
      </c>
      <c r="S5831">
        <v>3.1831049999999999</v>
      </c>
      <c r="T5831">
        <v>-0.1138036</v>
      </c>
      <c r="U5831">
        <v>-0.45761109999999999</v>
      </c>
      <c r="V5831">
        <v>-3.332776E-3</v>
      </c>
      <c r="W5831">
        <v>-9.0078080000000008E-3</v>
      </c>
      <c r="X5831">
        <v>0.99995389999999995</v>
      </c>
      <c r="Y5831">
        <v>-0.35764600000000002</v>
      </c>
      <c r="Z5831">
        <v>2.2954189999999999E-2</v>
      </c>
      <c r="AA5831">
        <v>0.93357509999999999</v>
      </c>
      <c r="AB5831">
        <v>16</v>
      </c>
      <c r="AC5831">
        <v>30.996700000000001</v>
      </c>
      <c r="AD5831">
        <v>-1.1133274700360001</v>
      </c>
      <c r="AE5831">
        <v>-4.4054699999999896</v>
      </c>
      <c r="AF5831">
        <v>-11.245500926584199</v>
      </c>
      <c r="AG5831">
        <v>-1.1133274700360001</v>
      </c>
      <c r="AH5831">
        <v>29.176497114057199</v>
      </c>
      <c r="AI5831">
        <v>92.039167147361397</v>
      </c>
      <c r="AJ5831">
        <v>111.078165484113</v>
      </c>
      <c r="AK5831">
        <v>31.2884766805917</v>
      </c>
      <c r="AL5831">
        <v>90.516116347954494</v>
      </c>
      <c r="AM5831">
        <v>90.190962095154006</v>
      </c>
      <c r="AN5831">
        <v>1.0000000250630201</v>
      </c>
    </row>
    <row r="5832" spans="1:40" x14ac:dyDescent="0.25">
      <c r="A5832" t="str">
        <f>"20190312161137372"</f>
        <v>20190312161137372</v>
      </c>
      <c r="B5832" t="str">
        <f>"1552378297363579"</f>
        <v>1552378297363579</v>
      </c>
      <c r="C5832" t="s">
        <v>40</v>
      </c>
      <c r="D5832">
        <v>6.599164</v>
      </c>
      <c r="E5832">
        <v>0.3555837</v>
      </c>
      <c r="F5832" t="s">
        <v>109</v>
      </c>
      <c r="G5832">
        <v>-256.31970000000001</v>
      </c>
      <c r="H5832" s="1">
        <v>-2.7495659999999998E-6</v>
      </c>
      <c r="I5832">
        <v>-64.691630000000004</v>
      </c>
      <c r="J5832">
        <v>-286.25810000000001</v>
      </c>
      <c r="K5832">
        <v>1.1133249999999999</v>
      </c>
      <c r="L5832">
        <v>-60.6166699999999</v>
      </c>
      <c r="M5832">
        <v>0.87662989999999996</v>
      </c>
      <c r="N5832">
        <v>0</v>
      </c>
      <c r="O5832">
        <v>-0.4810218</v>
      </c>
      <c r="P5832">
        <v>0.877834</v>
      </c>
      <c r="Q5832">
        <v>-2.093267E-2</v>
      </c>
      <c r="R5832">
        <v>-0.47850779999999898</v>
      </c>
      <c r="S5832">
        <v>3.1841740000000001</v>
      </c>
      <c r="T5832">
        <v>-0.11785379999999999</v>
      </c>
      <c r="U5832">
        <v>-0.43869019999999997</v>
      </c>
      <c r="V5832">
        <v>-2.7105269999999999E-3</v>
      </c>
      <c r="W5832">
        <v>-9.1993979999999993E-3</v>
      </c>
      <c r="X5832">
        <v>0.99995400000000001</v>
      </c>
      <c r="Y5832">
        <v>-0.35636770000000001</v>
      </c>
      <c r="Z5832">
        <v>2.3552030000000002E-2</v>
      </c>
      <c r="AA5832">
        <v>0.93404889999999996</v>
      </c>
      <c r="AB5832">
        <v>16</v>
      </c>
      <c r="AC5832">
        <v>29.938400000000001</v>
      </c>
      <c r="AD5832">
        <v>-1.1133277495659999</v>
      </c>
      <c r="AE5832">
        <v>-4.0749600000000097</v>
      </c>
      <c r="AF5832">
        <v>-10.8148550328546</v>
      </c>
      <c r="AG5832">
        <v>-1.1133277495659999</v>
      </c>
      <c r="AH5832">
        <v>28.1687423654427</v>
      </c>
      <c r="AI5832">
        <v>92.113115504070706</v>
      </c>
      <c r="AJ5832">
        <v>111.003346832772</v>
      </c>
      <c r="AK5832">
        <v>30.194016534908101</v>
      </c>
      <c r="AL5832">
        <v>90.527094120006396</v>
      </c>
      <c r="AM5832">
        <v>90.155308521183102</v>
      </c>
      <c r="AN5832">
        <v>0.99999998899808995</v>
      </c>
    </row>
    <row r="5833" spans="1:40" x14ac:dyDescent="0.25">
      <c r="A5833" t="str">
        <f>"20190312161137394"</f>
        <v>20190312161137394</v>
      </c>
      <c r="B5833" t="str">
        <f>"1552378297383096"</f>
        <v>1552378297383096</v>
      </c>
      <c r="C5833" t="s">
        <v>40</v>
      </c>
      <c r="D5833">
        <v>5.8065030000000002</v>
      </c>
      <c r="E5833">
        <v>0.355854</v>
      </c>
      <c r="F5833" t="s">
        <v>109</v>
      </c>
      <c r="G5833">
        <v>-256.63659999999999</v>
      </c>
      <c r="H5833" s="1">
        <v>-2.8358949999999999E-6</v>
      </c>
      <c r="I5833">
        <v>-64.530819999999906</v>
      </c>
      <c r="J5833">
        <v>-286.11320000000001</v>
      </c>
      <c r="K5833">
        <v>1.1133309999999901</v>
      </c>
      <c r="L5833">
        <v>-60.686250000000001</v>
      </c>
      <c r="M5833">
        <v>0.88014249999999905</v>
      </c>
      <c r="N5833">
        <v>0</v>
      </c>
      <c r="O5833">
        <v>-0.4745644</v>
      </c>
      <c r="P5833">
        <v>0.88096580000000002</v>
      </c>
      <c r="Q5833">
        <v>-2.1376160000000002E-2</v>
      </c>
      <c r="R5833">
        <v>-0.47269709999999998</v>
      </c>
      <c r="S5833">
        <v>3.1852719999999999</v>
      </c>
      <c r="T5833">
        <v>-0.1197188</v>
      </c>
      <c r="U5833">
        <v>-0.42089840000000001</v>
      </c>
      <c r="V5833">
        <v>-1.9581030000000001E-3</v>
      </c>
      <c r="W5833">
        <v>-9.6536409999999993E-3</v>
      </c>
      <c r="X5833">
        <v>0.99995149999999999</v>
      </c>
      <c r="Y5833">
        <v>-0.35465469999999999</v>
      </c>
      <c r="Z5833">
        <v>2.3686619999999999E-2</v>
      </c>
      <c r="AA5833">
        <v>0.93469729999999995</v>
      </c>
      <c r="AB5833">
        <v>16</v>
      </c>
      <c r="AC5833">
        <v>29.476600000000001</v>
      </c>
      <c r="AD5833">
        <v>-1.11333383589499</v>
      </c>
      <c r="AE5833">
        <v>-3.8445699999999898</v>
      </c>
      <c r="AF5833">
        <v>-10.5906506483984</v>
      </c>
      <c r="AG5833">
        <v>-1.11333383589499</v>
      </c>
      <c r="AH5833">
        <v>27.731119103745399</v>
      </c>
      <c r="AI5833">
        <v>92.147894724633105</v>
      </c>
      <c r="AJ5833">
        <v>110.90210246186599</v>
      </c>
      <c r="AK5833">
        <v>29.7054937702217</v>
      </c>
      <c r="AL5833">
        <v>90.553121469511794</v>
      </c>
      <c r="AM5833">
        <v>90.112196335874202</v>
      </c>
      <c r="AN5833">
        <v>1.00000001465208</v>
      </c>
    </row>
    <row r="5834" spans="1:40" x14ac:dyDescent="0.25">
      <c r="A5834" t="str">
        <f>"20190312161137417"</f>
        <v>20190312161137417</v>
      </c>
      <c r="B5834" t="str">
        <f>"1552378297413351"</f>
        <v>1552378297413351</v>
      </c>
      <c r="C5834" t="s">
        <v>40</v>
      </c>
      <c r="D5834">
        <v>5.7607809999999997</v>
      </c>
      <c r="E5834">
        <v>0.35544819999999999</v>
      </c>
      <c r="F5834" t="s">
        <v>109</v>
      </c>
      <c r="G5834">
        <v>-256.65530000000001</v>
      </c>
      <c r="H5834" s="1">
        <v>-2.8247849999999998E-6</v>
      </c>
      <c r="I5834">
        <v>-64.399979999999999</v>
      </c>
      <c r="J5834">
        <v>-285.9676</v>
      </c>
      <c r="K5834">
        <v>1.113334</v>
      </c>
      <c r="L5834">
        <v>-60.754849999999998</v>
      </c>
      <c r="M5834">
        <v>0.88361129999999999</v>
      </c>
      <c r="N5834">
        <v>0</v>
      </c>
      <c r="O5834">
        <v>-0.46807470000000001</v>
      </c>
      <c r="P5834">
        <v>0.88432739999999999</v>
      </c>
      <c r="Q5834">
        <v>-2.1046059999999998E-2</v>
      </c>
      <c r="R5834">
        <v>-0.466393</v>
      </c>
      <c r="S5834">
        <v>3.1868590000000001</v>
      </c>
      <c r="T5834">
        <v>-0.12044439999999999</v>
      </c>
      <c r="U5834">
        <v>-0.40176390000000001</v>
      </c>
      <c r="V5834">
        <v>-1.746879E-3</v>
      </c>
      <c r="W5834">
        <v>-9.3368779999999998E-3</v>
      </c>
      <c r="X5834">
        <v>0.99995489999999998</v>
      </c>
      <c r="Y5834">
        <v>-0.35335329999999998</v>
      </c>
      <c r="Z5834">
        <v>2.3593349999999999E-2</v>
      </c>
      <c r="AA5834">
        <v>0.93519240000000003</v>
      </c>
      <c r="AB5834">
        <v>16</v>
      </c>
      <c r="AC5834">
        <v>29.3123</v>
      </c>
      <c r="AD5834">
        <v>-1.113336824785</v>
      </c>
      <c r="AE5834">
        <v>-3.64513</v>
      </c>
      <c r="AF5834">
        <v>-10.485292036445401</v>
      </c>
      <c r="AG5834">
        <v>-1.113336824785</v>
      </c>
      <c r="AH5834">
        <v>27.569599016765899</v>
      </c>
      <c r="AI5834">
        <v>92.161610477698204</v>
      </c>
      <c r="AJ5834">
        <v>110.82285069439401</v>
      </c>
      <c r="AK5834">
        <v>29.517175642669901</v>
      </c>
      <c r="AL5834">
        <v>90.534971468045995</v>
      </c>
      <c r="AM5834">
        <v>90.100093206404793</v>
      </c>
      <c r="AN5834">
        <v>1.00000001545551</v>
      </c>
    </row>
    <row r="5835" spans="1:40" x14ac:dyDescent="0.25">
      <c r="A5835" t="str">
        <f>"20190312161137439"</f>
        <v>20190312161137439</v>
      </c>
      <c r="B5835" t="str">
        <f>"1552378297432875"</f>
        <v>1552378297432875</v>
      </c>
      <c r="C5835" t="s">
        <v>40</v>
      </c>
      <c r="D5835">
        <v>5.7049949999999896</v>
      </c>
      <c r="E5835">
        <v>0.32625999999999999</v>
      </c>
      <c r="F5835" t="s">
        <v>109</v>
      </c>
      <c r="G5835">
        <v>-256.62740000000002</v>
      </c>
      <c r="H5835" s="1">
        <v>-2.7902960000000001E-6</v>
      </c>
      <c r="I5835">
        <v>-64.213030000000003</v>
      </c>
      <c r="J5835">
        <v>-285.81760000000003</v>
      </c>
      <c r="K5835">
        <v>1.1133360000000001</v>
      </c>
      <c r="L5835">
        <v>-60.824190000000002</v>
      </c>
      <c r="M5835">
        <v>0.88712389999999997</v>
      </c>
      <c r="N5835">
        <v>0</v>
      </c>
      <c r="O5835">
        <v>-0.46138240000000003</v>
      </c>
      <c r="P5835">
        <v>0.88789719999999905</v>
      </c>
      <c r="Q5835">
        <v>-2.0931849999999998E-2</v>
      </c>
      <c r="R5835">
        <v>-0.45956520000000001</v>
      </c>
      <c r="S5835">
        <v>3.1911930000000002</v>
      </c>
      <c r="T5835">
        <v>-0.1210923</v>
      </c>
      <c r="U5835">
        <v>-0.3761292</v>
      </c>
      <c r="V5835">
        <v>-1.895648E-3</v>
      </c>
      <c r="W5835">
        <v>-9.2363050000000002E-3</v>
      </c>
      <c r="X5835">
        <v>0.9999555</v>
      </c>
      <c r="Y5835">
        <v>-0.35384179999999998</v>
      </c>
      <c r="Z5835">
        <v>2.3492450000000002E-2</v>
      </c>
      <c r="AA5835">
        <v>0.93501029999999996</v>
      </c>
      <c r="AB5835">
        <v>16</v>
      </c>
      <c r="AC5835">
        <v>29.190200000000001</v>
      </c>
      <c r="AD5835">
        <v>-1.1133387902959999</v>
      </c>
      <c r="AE5835">
        <v>-3.3888400000000001</v>
      </c>
      <c r="AF5835">
        <v>-10.447246961742399</v>
      </c>
      <c r="AG5835">
        <v>-1.1133387902959999</v>
      </c>
      <c r="AH5835">
        <v>27.421402669029799</v>
      </c>
      <c r="AI5835">
        <v>92.172803204945595</v>
      </c>
      <c r="AJ5835">
        <v>110.85627961545001</v>
      </c>
      <c r="AK5835">
        <v>29.365248452527801</v>
      </c>
      <c r="AL5835">
        <v>90.529208844579003</v>
      </c>
      <c r="AM5835">
        <v>90.108617333203298</v>
      </c>
      <c r="AN5835">
        <v>0.99999995239581996</v>
      </c>
    </row>
    <row r="5836" spans="1:40" x14ac:dyDescent="0.25">
      <c r="A5836" t="str">
        <f>"20190312161137462"</f>
        <v>20190312161137462</v>
      </c>
      <c r="B5836" t="str">
        <f>"1552378297453367"</f>
        <v>1552378297453367</v>
      </c>
      <c r="C5836" t="s">
        <v>40</v>
      </c>
      <c r="D5836">
        <v>5.702394</v>
      </c>
      <c r="E5836">
        <v>0.32794640000000003</v>
      </c>
      <c r="F5836" t="s">
        <v>107</v>
      </c>
      <c r="G5836">
        <v>-238.2046</v>
      </c>
      <c r="H5836" s="1">
        <v>-3.1191919999999999E-6</v>
      </c>
      <c r="I5836">
        <v>-62.93779</v>
      </c>
      <c r="J5836">
        <v>-285.67320000000001</v>
      </c>
      <c r="K5836">
        <v>1.1133420000000001</v>
      </c>
      <c r="L5836">
        <v>-60.889679999999998</v>
      </c>
      <c r="M5836">
        <v>0.89044639999999997</v>
      </c>
      <c r="N5836">
        <v>0</v>
      </c>
      <c r="O5836">
        <v>-0.45493790000000001</v>
      </c>
      <c r="P5836">
        <v>0.89125209999999999</v>
      </c>
      <c r="Q5836">
        <v>-2.2014240000000001E-2</v>
      </c>
      <c r="R5836">
        <v>-0.45297409999999999</v>
      </c>
      <c r="S5836">
        <v>3.3011170000000001</v>
      </c>
      <c r="T5836">
        <v>-7.7190400000000006E-2</v>
      </c>
      <c r="U5836">
        <v>-0.14654539999999999</v>
      </c>
      <c r="V5836">
        <v>-2.032949E-3</v>
      </c>
      <c r="W5836">
        <v>-1.033073E-2</v>
      </c>
      <c r="X5836">
        <v>0.99994459999999996</v>
      </c>
      <c r="Y5836">
        <v>-0.41479939999999998</v>
      </c>
      <c r="Z5836">
        <v>1.514399E-2</v>
      </c>
      <c r="AA5836">
        <v>0.90978680000000001</v>
      </c>
      <c r="AB5836">
        <v>16</v>
      </c>
      <c r="AC5836">
        <v>47.468600000000002</v>
      </c>
      <c r="AD5836">
        <v>-1.1133451191920001</v>
      </c>
      <c r="AE5836">
        <v>-2.0481099999999901</v>
      </c>
      <c r="AF5836">
        <v>-19.762033680929399</v>
      </c>
      <c r="AG5836">
        <v>-1.1133451191920001</v>
      </c>
      <c r="AH5836">
        <v>43.179251162505601</v>
      </c>
      <c r="AI5836">
        <v>91.343077237815706</v>
      </c>
      <c r="AJ5836">
        <v>114.592352462318</v>
      </c>
      <c r="AK5836">
        <v>47.499739404709899</v>
      </c>
      <c r="AL5836">
        <v>90.591917739505902</v>
      </c>
      <c r="AM5836">
        <v>90.116485690489995</v>
      </c>
      <c r="AN5836">
        <v>1.0000000299665599</v>
      </c>
    </row>
    <row r="5837" spans="1:40" x14ac:dyDescent="0.25">
      <c r="A5837" t="str">
        <f>"20190312161137483"</f>
        <v>20190312161137483</v>
      </c>
      <c r="B5837" t="str">
        <f>"1552378297472887"</f>
        <v>1552378297472887</v>
      </c>
      <c r="C5837" t="s">
        <v>40</v>
      </c>
      <c r="D5837">
        <v>5.6820579999999996</v>
      </c>
      <c r="E5837">
        <v>0.32960990000000001</v>
      </c>
      <c r="F5837" t="s">
        <v>107</v>
      </c>
      <c r="G5837">
        <v>-239.2141</v>
      </c>
      <c r="H5837" s="1">
        <v>-3.4346320000000002E-6</v>
      </c>
      <c r="I5837">
        <v>-62.779359999999997</v>
      </c>
      <c r="J5837">
        <v>-285.5258</v>
      </c>
      <c r="K5837">
        <v>1.113348</v>
      </c>
      <c r="L5837">
        <v>-60.955170000000003</v>
      </c>
      <c r="M5837">
        <v>0.89377719999999905</v>
      </c>
      <c r="N5837">
        <v>0</v>
      </c>
      <c r="O5837">
        <v>-0.44835920000000001</v>
      </c>
      <c r="P5837">
        <v>0.89468210000000004</v>
      </c>
      <c r="Q5837">
        <v>-2.149473E-2</v>
      </c>
      <c r="R5837">
        <v>-0.44618649999999999</v>
      </c>
      <c r="S5837">
        <v>3.2959290000000001</v>
      </c>
      <c r="T5837">
        <v>-7.8983659999999997E-2</v>
      </c>
      <c r="U5837">
        <v>-0.13406370000000001</v>
      </c>
      <c r="V5837">
        <v>-2.2694590000000001E-3</v>
      </c>
      <c r="W5837">
        <v>-9.8237819999999997E-3</v>
      </c>
      <c r="X5837">
        <v>0.99994919999999998</v>
      </c>
      <c r="Y5837">
        <v>-0.41145389999999998</v>
      </c>
      <c r="Z5837">
        <v>1.5341209999999999E-2</v>
      </c>
      <c r="AA5837">
        <v>0.91130149999999999</v>
      </c>
      <c r="AB5837">
        <v>16</v>
      </c>
      <c r="AC5837">
        <v>46.311700000000002</v>
      </c>
      <c r="AD5837">
        <v>-1.1133514346319999</v>
      </c>
      <c r="AE5837">
        <v>-1.82419</v>
      </c>
      <c r="AF5837">
        <v>-19.1241263794399</v>
      </c>
      <c r="AG5837">
        <v>-1.1133514346319999</v>
      </c>
      <c r="AH5837">
        <v>42.188766960139397</v>
      </c>
      <c r="AI5837">
        <v>91.376874820557504</v>
      </c>
      <c r="AJ5837">
        <v>114.384739848145</v>
      </c>
      <c r="AK5837">
        <v>46.334261824385898</v>
      </c>
      <c r="AL5837">
        <v>90.562870284355498</v>
      </c>
      <c r="AM5837">
        <v>90.130036805087499</v>
      </c>
      <c r="AN5837">
        <v>1.0000000298587799</v>
      </c>
    </row>
    <row r="5838" spans="1:40" x14ac:dyDescent="0.25">
      <c r="A5838" t="str">
        <f>"20190312161137507"</f>
        <v>20190312161137507</v>
      </c>
      <c r="B5838" t="str">
        <f>"1552378297503145"</f>
        <v>1552378297503145</v>
      </c>
      <c r="C5838" t="s">
        <v>40</v>
      </c>
      <c r="D5838">
        <v>5.6278459999999999</v>
      </c>
      <c r="E5838">
        <v>0.33199640000000002</v>
      </c>
      <c r="F5838" t="s">
        <v>108</v>
      </c>
      <c r="G5838">
        <v>-240.15219999999999</v>
      </c>
      <c r="H5838" s="1">
        <v>3.5273229999999999E-7</v>
      </c>
      <c r="I5838">
        <v>-62.61918</v>
      </c>
      <c r="J5838">
        <v>-285.37450000000001</v>
      </c>
      <c r="K5838">
        <v>1.113353</v>
      </c>
      <c r="L5838">
        <v>-61.021059999999999</v>
      </c>
      <c r="M5838">
        <v>0.89713719999999997</v>
      </c>
      <c r="N5838">
        <v>0</v>
      </c>
      <c r="O5838">
        <v>-0.44159789999999999</v>
      </c>
      <c r="P5838">
        <v>0.8982002</v>
      </c>
      <c r="Q5838">
        <v>-2.0810249999999999E-2</v>
      </c>
      <c r="R5838">
        <v>-0.43909419999999999</v>
      </c>
      <c r="S5838">
        <v>3.290985</v>
      </c>
      <c r="T5838">
        <v>-8.0752019999999994E-2</v>
      </c>
      <c r="U5838">
        <v>-0.120697</v>
      </c>
      <c r="V5838">
        <v>-2.6428200000000002E-3</v>
      </c>
      <c r="W5838">
        <v>-9.1522189999999996E-3</v>
      </c>
      <c r="X5838">
        <v>0.99995460000000003</v>
      </c>
      <c r="Y5838">
        <v>-0.40820149999999999</v>
      </c>
      <c r="Z5838">
        <v>1.5521510000000001E-2</v>
      </c>
      <c r="AA5838">
        <v>0.91275989999999996</v>
      </c>
      <c r="AB5838">
        <v>16</v>
      </c>
      <c r="AC5838">
        <v>45.222299999999997</v>
      </c>
      <c r="AD5838">
        <v>-1.1133526472677</v>
      </c>
      <c r="AE5838">
        <v>-1.59812</v>
      </c>
      <c r="AF5838">
        <v>-18.526386452133199</v>
      </c>
      <c r="AG5838">
        <v>-1.1133526472677</v>
      </c>
      <c r="AH5838">
        <v>41.254170103797598</v>
      </c>
      <c r="AI5838">
        <v>91.410284794618406</v>
      </c>
      <c r="AJ5838">
        <v>114.183852883336</v>
      </c>
      <c r="AK5838">
        <v>45.236855549916797</v>
      </c>
      <c r="AL5838">
        <v>90.524390856017703</v>
      </c>
      <c r="AM5838">
        <v>90.151428954320195</v>
      </c>
      <c r="AN5838">
        <v>0.99999997483566705</v>
      </c>
    </row>
    <row r="5839" spans="1:40" x14ac:dyDescent="0.25">
      <c r="A5839" t="str">
        <f>"20190312161137530"</f>
        <v>20190312161137530</v>
      </c>
      <c r="B5839" t="str">
        <f>"1552378297523639"</f>
        <v>1552378297523639</v>
      </c>
      <c r="C5839" t="s">
        <v>40</v>
      </c>
      <c r="D5839">
        <v>5.5202210000000003</v>
      </c>
      <c r="E5839">
        <v>0.3320631</v>
      </c>
      <c r="F5839" t="s">
        <v>108</v>
      </c>
      <c r="G5839">
        <v>-241.77420000000001</v>
      </c>
      <c r="H5839" s="1">
        <v>-3.120397E-7</v>
      </c>
      <c r="I5839">
        <v>-62.502499999999998</v>
      </c>
      <c r="J5839">
        <v>-285.22000000000003</v>
      </c>
      <c r="K5839">
        <v>1.1133569999999999</v>
      </c>
      <c r="L5839">
        <v>-61.086820000000003</v>
      </c>
      <c r="M5839">
        <v>0.90049939999999995</v>
      </c>
      <c r="N5839">
        <v>0</v>
      </c>
      <c r="O5839">
        <v>-0.4347007</v>
      </c>
      <c r="P5839">
        <v>0.9015476</v>
      </c>
      <c r="Q5839">
        <v>-2.089483E-2</v>
      </c>
      <c r="R5839">
        <v>-0.43217539999999999</v>
      </c>
      <c r="S5839">
        <v>3.2835390000000002</v>
      </c>
      <c r="T5839">
        <v>-8.3846690000000001E-2</v>
      </c>
      <c r="U5839">
        <v>-0.1115723</v>
      </c>
      <c r="V5839">
        <v>-2.655691E-3</v>
      </c>
      <c r="W5839">
        <v>-9.2455609999999994E-3</v>
      </c>
      <c r="X5839">
        <v>0.99995369999999995</v>
      </c>
      <c r="Y5839">
        <v>-0.4036323</v>
      </c>
      <c r="Z5839">
        <v>1.5936510000000001E-2</v>
      </c>
      <c r="AA5839">
        <v>0.91478250000000005</v>
      </c>
      <c r="AB5839">
        <v>17</v>
      </c>
      <c r="AC5839">
        <v>43.445799999999998</v>
      </c>
      <c r="AD5839">
        <v>-1.1133573120397</v>
      </c>
      <c r="AE5839">
        <v>-1.41568</v>
      </c>
      <c r="AF5839">
        <v>-17.600753192787199</v>
      </c>
      <c r="AG5839">
        <v>-1.1133573120397</v>
      </c>
      <c r="AH5839">
        <v>39.714965478026599</v>
      </c>
      <c r="AI5839">
        <v>91.468144165407395</v>
      </c>
      <c r="AJ5839">
        <v>113.90181235823199</v>
      </c>
      <c r="AK5839">
        <v>43.454626455402</v>
      </c>
      <c r="AL5839">
        <v>90.529739188920402</v>
      </c>
      <c r="AM5839">
        <v>90.152166573559199</v>
      </c>
      <c r="AN5839">
        <v>0.99999996761829002</v>
      </c>
    </row>
    <row r="5840" spans="1:40" x14ac:dyDescent="0.25">
      <c r="A5840" t="str">
        <f>"20190312161137550"</f>
        <v>20190312161137550</v>
      </c>
      <c r="B5840" t="str">
        <f>"1552378297543159"</f>
        <v>1552378297543159</v>
      </c>
      <c r="C5840" t="s">
        <v>40</v>
      </c>
      <c r="D5840">
        <v>5.5526679999999997</v>
      </c>
      <c r="E5840">
        <v>0.3317098</v>
      </c>
      <c r="F5840" t="s">
        <v>107</v>
      </c>
      <c r="G5840">
        <v>-238.84350000000001</v>
      </c>
      <c r="H5840" s="1">
        <v>-3.2263809999999998E-6</v>
      </c>
      <c r="I5840">
        <v>-62.316299999999998</v>
      </c>
      <c r="J5840">
        <v>-285.07589999999999</v>
      </c>
      <c r="K5840">
        <v>1.1133550000000001</v>
      </c>
      <c r="L5840">
        <v>-61.147060000000003</v>
      </c>
      <c r="M5840">
        <v>0.90358229999999995</v>
      </c>
      <c r="N5840">
        <v>0</v>
      </c>
      <c r="O5840">
        <v>-0.42825590000000002</v>
      </c>
      <c r="P5840">
        <v>0.9047191</v>
      </c>
      <c r="Q5840">
        <v>-2.0926589999999998E-2</v>
      </c>
      <c r="R5840">
        <v>-0.42549480000000001</v>
      </c>
      <c r="S5840">
        <v>3.284027</v>
      </c>
      <c r="T5840">
        <v>-7.8839660000000006E-2</v>
      </c>
      <c r="U5840">
        <v>-8.7066649999999995E-2</v>
      </c>
      <c r="V5840">
        <v>-2.9074489999999999E-3</v>
      </c>
      <c r="W5840">
        <v>-9.2862970000000006E-3</v>
      </c>
      <c r="X5840">
        <v>0.99995270000000003</v>
      </c>
      <c r="Y5840">
        <v>-0.4039528</v>
      </c>
      <c r="Z5840">
        <v>1.485118E-2</v>
      </c>
      <c r="AA5840">
        <v>0.91465929999999995</v>
      </c>
      <c r="AB5840">
        <v>17</v>
      </c>
      <c r="AC5840">
        <v>46.232399999999899</v>
      </c>
      <c r="AD5840">
        <v>-1.11335822638099</v>
      </c>
      <c r="AE5840">
        <v>-1.1692400000000001</v>
      </c>
      <c r="AF5840">
        <v>-18.733210269548199</v>
      </c>
      <c r="AG5840">
        <v>-1.11335822638099</v>
      </c>
      <c r="AH5840">
        <v>42.253896688987602</v>
      </c>
      <c r="AI5840">
        <v>91.379875558093701</v>
      </c>
      <c r="AJ5840">
        <v>113.91004196140599</v>
      </c>
      <c r="AK5840">
        <v>46.233802774020198</v>
      </c>
      <c r="AL5840">
        <v>90.532073248683403</v>
      </c>
      <c r="AM5840">
        <v>90.166591967213293</v>
      </c>
      <c r="AN5840">
        <v>1.00000004540447</v>
      </c>
    </row>
    <row r="5841" spans="1:40" x14ac:dyDescent="0.25">
      <c r="A5841" t="str">
        <f>"20190312161137573"</f>
        <v>20190312161137573</v>
      </c>
      <c r="B5841" t="str">
        <f>"1552378297563656"</f>
        <v>1552378297563656</v>
      </c>
      <c r="C5841" t="s">
        <v>40</v>
      </c>
      <c r="D5841">
        <v>5.5485119999999997</v>
      </c>
      <c r="E5841">
        <v>0.33177780000000001</v>
      </c>
      <c r="F5841" t="s">
        <v>107</v>
      </c>
      <c r="G5841">
        <v>-232.63550000000001</v>
      </c>
      <c r="H5841" s="1">
        <v>-5.7848409999999997E-7</v>
      </c>
      <c r="I5841">
        <v>-62.115259999999999</v>
      </c>
      <c r="J5841">
        <v>-284.92829999999998</v>
      </c>
      <c r="K5841">
        <v>1.1133569999999999</v>
      </c>
      <c r="L5841">
        <v>-61.207430000000002</v>
      </c>
      <c r="M5841">
        <v>0.90668009999999999</v>
      </c>
      <c r="N5841">
        <v>0</v>
      </c>
      <c r="O5841">
        <v>-0.42165829999999999</v>
      </c>
      <c r="P5841">
        <v>0.90773269999999995</v>
      </c>
      <c r="Q5841">
        <v>-2.0542370000000001E-2</v>
      </c>
      <c r="R5841">
        <v>-0.41904629999999998</v>
      </c>
      <c r="S5841">
        <v>3.2857970000000001</v>
      </c>
      <c r="T5841">
        <v>-6.9760320000000001E-2</v>
      </c>
      <c r="U5841">
        <v>-6.0668949999999999E-2</v>
      </c>
      <c r="V5841">
        <v>-2.7410500000000001E-3</v>
      </c>
      <c r="W5841">
        <v>-8.9086169999999902E-3</v>
      </c>
      <c r="X5841">
        <v>0.99995650000000003</v>
      </c>
      <c r="Y5841">
        <v>-0.40469460000000002</v>
      </c>
      <c r="Z5841">
        <v>1.301857E-2</v>
      </c>
      <c r="AA5841">
        <v>0.91435920000000004</v>
      </c>
      <c r="AB5841">
        <v>17</v>
      </c>
      <c r="AC5841">
        <v>52.2927999999999</v>
      </c>
      <c r="AD5841">
        <v>-1.1133575784841001</v>
      </c>
      <c r="AE5841">
        <v>-0.90782999999999703</v>
      </c>
      <c r="AF5841">
        <v>-21.218404328481501</v>
      </c>
      <c r="AG5841">
        <v>-1.1133575784841001</v>
      </c>
      <c r="AH5841">
        <v>47.777222176108197</v>
      </c>
      <c r="AI5841">
        <v>91.220059702242295</v>
      </c>
      <c r="AJ5841">
        <v>113.94654780919799</v>
      </c>
      <c r="AK5841">
        <v>52.288843993816698</v>
      </c>
      <c r="AL5841">
        <v>90.510432938127806</v>
      </c>
      <c r="AM5841">
        <v>90.157057035057207</v>
      </c>
      <c r="AN5841">
        <v>0.99999993935209996</v>
      </c>
    </row>
    <row r="5842" spans="1:40" x14ac:dyDescent="0.25">
      <c r="A5842" t="str">
        <f>"20190312161137595"</f>
        <v>20190312161137595</v>
      </c>
      <c r="B5842" t="str">
        <f>"1552378297592936"</f>
        <v>1552378297592936</v>
      </c>
      <c r="C5842" t="s">
        <v>40</v>
      </c>
      <c r="D5842">
        <v>5.5622540000000003</v>
      </c>
      <c r="E5842">
        <v>0.33237610000000001</v>
      </c>
      <c r="F5842" t="s">
        <v>106</v>
      </c>
      <c r="G5842">
        <v>-227.38</v>
      </c>
      <c r="H5842" s="1">
        <v>-2.6151920000000002E-6</v>
      </c>
      <c r="I5842">
        <v>-61.87283</v>
      </c>
      <c r="J5842">
        <v>-284.7765</v>
      </c>
      <c r="K5842">
        <v>1.1133630000000001</v>
      </c>
      <c r="L5842">
        <v>-61.268250000000002</v>
      </c>
      <c r="M5842">
        <v>0.90980919999999998</v>
      </c>
      <c r="N5842">
        <v>0</v>
      </c>
      <c r="O5842">
        <v>-0.4148638</v>
      </c>
      <c r="P5842">
        <v>0.91089770000000003</v>
      </c>
      <c r="Q5842">
        <v>-2.0359220000000001E-2</v>
      </c>
      <c r="R5842">
        <v>-0.41213040000000001</v>
      </c>
      <c r="S5842">
        <v>3.2859500000000001</v>
      </c>
      <c r="T5842">
        <v>-6.357169E-2</v>
      </c>
      <c r="U5842">
        <v>-3.7994380000000001E-2</v>
      </c>
      <c r="V5842">
        <v>-2.868841E-3</v>
      </c>
      <c r="W5842">
        <v>-8.7393829999999999E-3</v>
      </c>
      <c r="X5842">
        <v>0.99995769999999995</v>
      </c>
      <c r="Y5842">
        <v>-0.40419500000000003</v>
      </c>
      <c r="Z5842">
        <v>1.17409E-2</v>
      </c>
      <c r="AA5842">
        <v>0.91459749999999995</v>
      </c>
      <c r="AB5842">
        <v>17</v>
      </c>
      <c r="AC5842">
        <v>57.396500000000003</v>
      </c>
      <c r="AD5842">
        <v>-1.1133656151919999</v>
      </c>
      <c r="AE5842">
        <v>-0.604580000000005</v>
      </c>
      <c r="AF5842">
        <v>-23.2545017414153</v>
      </c>
      <c r="AG5842">
        <v>-1.1133656151919999</v>
      </c>
      <c r="AH5842">
        <v>52.4544956167951</v>
      </c>
      <c r="AI5842">
        <v>91.111628832966204</v>
      </c>
      <c r="AJ5842">
        <v>113.909009661993</v>
      </c>
      <c r="AK5842">
        <v>57.388897398773501</v>
      </c>
      <c r="AL5842">
        <v>90.500736133474902</v>
      </c>
      <c r="AM5842">
        <v>90.164378983646998</v>
      </c>
      <c r="AN5842">
        <v>1.00000000442659</v>
      </c>
    </row>
    <row r="5843" spans="1:40" x14ac:dyDescent="0.25">
      <c r="A5843" t="str">
        <f>"20190312161137618"</f>
        <v>20190312161137618</v>
      </c>
      <c r="B5843" t="str">
        <f>"1552378297613435"</f>
        <v>1552378297613435</v>
      </c>
      <c r="C5843" t="s">
        <v>40</v>
      </c>
      <c r="D5843">
        <v>5.5776029999999999</v>
      </c>
      <c r="E5843">
        <v>0.3331904</v>
      </c>
      <c r="F5843" t="s">
        <v>106</v>
      </c>
      <c r="G5843">
        <v>-222.8158</v>
      </c>
      <c r="H5843" s="1">
        <v>-5.9631459999999898E-7</v>
      </c>
      <c r="I5843">
        <v>-61.599299999999999</v>
      </c>
      <c r="J5843">
        <v>-284.62290000000002</v>
      </c>
      <c r="K5843">
        <v>1.113364</v>
      </c>
      <c r="L5843">
        <v>-61.32846</v>
      </c>
      <c r="M5843">
        <v>0.91291389999999994</v>
      </c>
      <c r="N5843">
        <v>0</v>
      </c>
      <c r="O5843">
        <v>-0.40798649999999997</v>
      </c>
      <c r="P5843">
        <v>0.9141049</v>
      </c>
      <c r="Q5843">
        <v>-1.9846470000000001E-2</v>
      </c>
      <c r="R5843">
        <v>-0.40499239999999997</v>
      </c>
      <c r="S5843">
        <v>3.2842099999999999</v>
      </c>
      <c r="T5843">
        <v>-5.9013490000000002E-2</v>
      </c>
      <c r="U5843">
        <v>-1.7547610000000002E-2</v>
      </c>
      <c r="V5843">
        <v>-3.153037E-3</v>
      </c>
      <c r="W5843">
        <v>-8.2441459999999904E-3</v>
      </c>
      <c r="X5843">
        <v>0.99996099999999999</v>
      </c>
      <c r="Y5843">
        <v>-0.40300249999999999</v>
      </c>
      <c r="Z5843">
        <v>1.078258E-2</v>
      </c>
      <c r="AA5843">
        <v>0.91513540000000004</v>
      </c>
      <c r="AB5843">
        <v>17</v>
      </c>
      <c r="AC5843">
        <v>61.807099999999998</v>
      </c>
      <c r="AD5843">
        <v>-1.1133645963145999</v>
      </c>
      <c r="AE5843">
        <v>-0.27083999999999903</v>
      </c>
      <c r="AF5843">
        <v>-24.962797268196798</v>
      </c>
      <c r="AG5843">
        <v>-1.1133645963145999</v>
      </c>
      <c r="AH5843">
        <v>56.520542831385598</v>
      </c>
      <c r="AI5843">
        <v>91.032313016075904</v>
      </c>
      <c r="AJ5843">
        <v>113.829074141848</v>
      </c>
      <c r="AK5843">
        <v>61.797674633694001</v>
      </c>
      <c r="AL5843">
        <v>90.472360143793907</v>
      </c>
      <c r="AM5843">
        <v>90.180662159858201</v>
      </c>
      <c r="AN5843">
        <v>0.99999995455329505</v>
      </c>
    </row>
    <row r="5844" spans="1:40" x14ac:dyDescent="0.25">
      <c r="A5844" t="str">
        <f>"20190312161137640"</f>
        <v>20190312161137640</v>
      </c>
      <c r="B5844" t="str">
        <f>"1552378297633484"</f>
        <v>1552378297633484</v>
      </c>
      <c r="C5844" t="s">
        <v>40</v>
      </c>
      <c r="D5844">
        <v>5.5520459999999998</v>
      </c>
      <c r="E5844">
        <v>0.33401639999999999</v>
      </c>
      <c r="F5844" t="s">
        <v>106</v>
      </c>
      <c r="G5844">
        <v>-221.0367</v>
      </c>
      <c r="H5844" s="1">
        <v>2.367402E-7</v>
      </c>
      <c r="I5844">
        <v>-61.285290000000003</v>
      </c>
      <c r="J5844">
        <v>-284.47059999999999</v>
      </c>
      <c r="K5844">
        <v>1.11337</v>
      </c>
      <c r="L5844">
        <v>-61.386870000000002</v>
      </c>
      <c r="M5844">
        <v>0.91593119999999995</v>
      </c>
      <c r="N5844">
        <v>0</v>
      </c>
      <c r="O5844">
        <v>-0.4011671</v>
      </c>
      <c r="P5844">
        <v>0.91708140000000005</v>
      </c>
      <c r="Q5844">
        <v>-1.9435049999999999E-2</v>
      </c>
      <c r="R5844">
        <v>-0.39822629999999998</v>
      </c>
      <c r="S5844">
        <v>3.281647</v>
      </c>
      <c r="T5844">
        <v>-5.7460070000000002E-2</v>
      </c>
      <c r="U5844">
        <v>2.2277830000000001E-3</v>
      </c>
      <c r="V5844">
        <v>-3.0920140000000001E-3</v>
      </c>
      <c r="W5844">
        <v>-7.8452480000000008E-3</v>
      </c>
      <c r="X5844">
        <v>0.99996439999999998</v>
      </c>
      <c r="Y5844">
        <v>-0.40169559999999999</v>
      </c>
      <c r="Z5844">
        <v>1.0386899999999999E-2</v>
      </c>
      <c r="AA5844">
        <v>0.91571440000000004</v>
      </c>
      <c r="AB5844">
        <v>17</v>
      </c>
      <c r="AC5844">
        <v>63.433900000000001</v>
      </c>
      <c r="AD5844">
        <v>-1.1133697632598001</v>
      </c>
      <c r="AE5844">
        <v>0.101579999999991</v>
      </c>
      <c r="AF5844">
        <v>-25.534491947985298</v>
      </c>
      <c r="AG5844">
        <v>-1.1133697632598001</v>
      </c>
      <c r="AH5844">
        <v>58.046375161073499</v>
      </c>
      <c r="AI5844">
        <v>91.005840770614796</v>
      </c>
      <c r="AJ5844">
        <v>113.744604345685</v>
      </c>
      <c r="AK5844">
        <v>63.424218880578699</v>
      </c>
      <c r="AL5844">
        <v>90.449504231009598</v>
      </c>
      <c r="AM5844">
        <v>90.177165094855397</v>
      </c>
      <c r="AN5844">
        <v>0.99999995486705695</v>
      </c>
    </row>
    <row r="5845" spans="1:40" x14ac:dyDescent="0.25">
      <c r="A5845" t="str">
        <f>"20190312161137662"</f>
        <v>20190312161137662</v>
      </c>
      <c r="B5845" t="str">
        <f>"1552378297653001"</f>
        <v>1552378297653001</v>
      </c>
      <c r="C5845" t="s">
        <v>40</v>
      </c>
      <c r="D5845">
        <v>5.5602900000000002</v>
      </c>
      <c r="E5845">
        <v>0.34555940000000002</v>
      </c>
      <c r="F5845" t="s">
        <v>110</v>
      </c>
      <c r="G5845">
        <v>-219.44839999999999</v>
      </c>
      <c r="H5845" s="1">
        <v>-3.1813599999999902E-6</v>
      </c>
      <c r="I5845">
        <v>-60.983159999999998</v>
      </c>
      <c r="J5845">
        <v>-284.32139999999998</v>
      </c>
      <c r="K5845">
        <v>1.1133759999999999</v>
      </c>
      <c r="L5845">
        <v>-61.4428699999999</v>
      </c>
      <c r="M5845">
        <v>0.91883150000000002</v>
      </c>
      <c r="N5845">
        <v>0</v>
      </c>
      <c r="O5845">
        <v>-0.39447949999999998</v>
      </c>
      <c r="P5845">
        <v>0.91996909999999998</v>
      </c>
      <c r="Q5845">
        <v>-1.8943419999999999E-2</v>
      </c>
      <c r="R5845">
        <v>-0.39153310000000002</v>
      </c>
      <c r="S5845">
        <v>3.2789000000000001</v>
      </c>
      <c r="T5845">
        <v>-5.6144479999999997E-2</v>
      </c>
      <c r="U5845">
        <v>2.035522E-2</v>
      </c>
      <c r="V5845">
        <v>-3.0967939999999999E-3</v>
      </c>
      <c r="W5845">
        <v>-7.3638130000000003E-3</v>
      </c>
      <c r="X5845">
        <v>0.99996810000000003</v>
      </c>
      <c r="Y5845">
        <v>-0.40008860000000002</v>
      </c>
      <c r="Z5845">
        <v>1.003892E-2</v>
      </c>
      <c r="AA5845">
        <v>0.9164215</v>
      </c>
      <c r="AB5845">
        <v>17</v>
      </c>
      <c r="AC5845">
        <v>64.872999999999905</v>
      </c>
      <c r="AD5845">
        <v>-1.11337918136</v>
      </c>
      <c r="AE5845">
        <v>0.45970999999999401</v>
      </c>
      <c r="AF5845">
        <v>-26.0075553715204</v>
      </c>
      <c r="AG5845">
        <v>-1.11337918136</v>
      </c>
      <c r="AH5845">
        <v>59.412510419739199</v>
      </c>
      <c r="AI5845">
        <v>90.9835038873603</v>
      </c>
      <c r="AJ5845">
        <v>113.64117997699999</v>
      </c>
      <c r="AK5845">
        <v>64.865082625244597</v>
      </c>
      <c r="AL5845">
        <v>90.421919215665497</v>
      </c>
      <c r="AM5845">
        <v>90.177438319268106</v>
      </c>
      <c r="AN5845">
        <v>1.0000000084462899</v>
      </c>
    </row>
    <row r="5846" spans="1:40" x14ac:dyDescent="0.25">
      <c r="A5846" t="str">
        <f>"20190312161137686"</f>
        <v>20190312161137686</v>
      </c>
      <c r="B5846" t="str">
        <f>"1552378297673497"</f>
        <v>1552378297673497</v>
      </c>
      <c r="C5846" t="s">
        <v>40</v>
      </c>
      <c r="D5846">
        <v>5.5729899999999999</v>
      </c>
      <c r="E5846">
        <v>0.34604179999999901</v>
      </c>
      <c r="F5846" t="s">
        <v>106</v>
      </c>
      <c r="G5846">
        <v>-229.47669999999999</v>
      </c>
      <c r="H5846" s="1">
        <v>-3.4657199999999901E-6</v>
      </c>
      <c r="I5846">
        <v>-62.119579999999999</v>
      </c>
      <c r="J5846">
        <v>-284.1662</v>
      </c>
      <c r="K5846">
        <v>1.1133869999999999</v>
      </c>
      <c r="L5846">
        <v>-61.499690000000001</v>
      </c>
      <c r="M5846">
        <v>0.9217862</v>
      </c>
      <c r="N5846">
        <v>0</v>
      </c>
      <c r="O5846">
        <v>-0.38752530000000002</v>
      </c>
      <c r="P5846">
        <v>0.92300159999999998</v>
      </c>
      <c r="Q5846">
        <v>-1.7857100000000001E-2</v>
      </c>
      <c r="R5846">
        <v>-0.38438169999999999</v>
      </c>
      <c r="S5846">
        <v>3.2425540000000002</v>
      </c>
      <c r="T5846">
        <v>-6.5825819999999993E-2</v>
      </c>
      <c r="U5846">
        <v>-4.0008540000000002E-2</v>
      </c>
      <c r="V5846">
        <v>-3.3180639999999999E-3</v>
      </c>
      <c r="W5846">
        <v>-6.293786E-3</v>
      </c>
      <c r="X5846">
        <v>0.99997469999999999</v>
      </c>
      <c r="Y5846">
        <v>-0.37599450000000001</v>
      </c>
      <c r="Z5846">
        <v>1.1517690000000001E-2</v>
      </c>
      <c r="AA5846">
        <v>0.92655030000000005</v>
      </c>
      <c r="AB5846">
        <v>17</v>
      </c>
      <c r="AC5846">
        <v>54.689500000000002</v>
      </c>
      <c r="AD5846">
        <v>-1.11339046572</v>
      </c>
      <c r="AE5846">
        <v>-0.61989000000000505</v>
      </c>
      <c r="AF5846">
        <v>-20.6150011276833</v>
      </c>
      <c r="AG5846">
        <v>-1.11339046572</v>
      </c>
      <c r="AH5846">
        <v>50.634668617634297</v>
      </c>
      <c r="AI5846">
        <v>91.1666972904045</v>
      </c>
      <c r="AJ5846">
        <v>112.15281813403701</v>
      </c>
      <c r="AK5846">
        <v>54.681693242265098</v>
      </c>
      <c r="AL5846">
        <v>90.360609751761004</v>
      </c>
      <c r="AM5846">
        <v>90.190115175558503</v>
      </c>
      <c r="AN5846">
        <v>1.0000000109655001</v>
      </c>
    </row>
    <row r="5847" spans="1:40" x14ac:dyDescent="0.25">
      <c r="A5847" t="str">
        <f>"20190312161137708"</f>
        <v>20190312161137708</v>
      </c>
      <c r="B5847" t="str">
        <f>"1552378297703754"</f>
        <v>1552378297703754</v>
      </c>
      <c r="C5847" t="s">
        <v>40</v>
      </c>
      <c r="D5847">
        <v>5.5746129999999896</v>
      </c>
      <c r="E5847">
        <v>0.34824889999999997</v>
      </c>
      <c r="F5847" t="s">
        <v>106</v>
      </c>
      <c r="G5847">
        <v>-225.7946</v>
      </c>
      <c r="H5847" s="1">
        <v>-1.9258829999999998E-6</v>
      </c>
      <c r="I5847">
        <v>-61.831620000000001</v>
      </c>
      <c r="J5847">
        <v>-284.0077</v>
      </c>
      <c r="K5847">
        <v>1.1133930000000001</v>
      </c>
      <c r="L5847">
        <v>-61.556399999999996</v>
      </c>
      <c r="M5847">
        <v>0.92474409999999896</v>
      </c>
      <c r="N5847">
        <v>0</v>
      </c>
      <c r="O5847">
        <v>-0.38041370000000002</v>
      </c>
      <c r="P5847">
        <v>0.92592779999999997</v>
      </c>
      <c r="Q5847">
        <v>-1.7325770000000001E-2</v>
      </c>
      <c r="R5847">
        <v>-0.37730340000000001</v>
      </c>
      <c r="S5847">
        <v>3.2413940000000001</v>
      </c>
      <c r="T5847">
        <v>-6.1826829999999999E-2</v>
      </c>
      <c r="U5847">
        <v>-1.843262E-2</v>
      </c>
      <c r="V5847">
        <v>-3.2799280000000001E-3</v>
      </c>
      <c r="W5847">
        <v>-5.782316E-3</v>
      </c>
      <c r="X5847">
        <v>0.99997789999999998</v>
      </c>
      <c r="Y5847">
        <v>-0.37503950000000003</v>
      </c>
      <c r="Z5847">
        <v>1.068856E-2</v>
      </c>
      <c r="AA5847">
        <v>0.92694719999999997</v>
      </c>
      <c r="AB5847">
        <v>17</v>
      </c>
      <c r="AC5847">
        <v>58.213099999999997</v>
      </c>
      <c r="AD5847">
        <v>-1.113394925883</v>
      </c>
      <c r="AE5847">
        <v>-0.27521999999999702</v>
      </c>
      <c r="AF5847">
        <v>-21.884011706955899</v>
      </c>
      <c r="AG5847">
        <v>-1.113394925883</v>
      </c>
      <c r="AH5847">
        <v>53.920801667671299</v>
      </c>
      <c r="AI5847">
        <v>91.0961049543005</v>
      </c>
      <c r="AJ5847">
        <v>112.09000593745</v>
      </c>
      <c r="AK5847">
        <v>58.203113912706698</v>
      </c>
      <c r="AL5847">
        <v>90.331304149891693</v>
      </c>
      <c r="AM5847">
        <v>90.187929510825299</v>
      </c>
      <c r="AN5847">
        <v>0.99999999679720897</v>
      </c>
    </row>
    <row r="5848" spans="1:40" x14ac:dyDescent="0.25">
      <c r="A5848" t="str">
        <f>"20190312161137730"</f>
        <v>20190312161137730</v>
      </c>
      <c r="B5848" t="str">
        <f>"1552378297722883"</f>
        <v>1552378297722883</v>
      </c>
      <c r="C5848" t="s">
        <v>40</v>
      </c>
      <c r="D5848">
        <v>5.5926119999999999</v>
      </c>
      <c r="E5848">
        <v>0.34854170000000001</v>
      </c>
      <c r="F5848" t="s">
        <v>107</v>
      </c>
      <c r="G5848">
        <v>-232.0222</v>
      </c>
      <c r="H5848" s="1">
        <v>-2.0725670000000001E-7</v>
      </c>
      <c r="I5848">
        <v>-61.708849999999998</v>
      </c>
      <c r="J5848">
        <v>-283.8535</v>
      </c>
      <c r="K5848">
        <v>1.1134029999999999</v>
      </c>
      <c r="L5848">
        <v>-61.610230000000001</v>
      </c>
      <c r="M5848">
        <v>0.92756000000000005</v>
      </c>
      <c r="N5848">
        <v>0</v>
      </c>
      <c r="O5848">
        <v>-0.37349569999999999</v>
      </c>
      <c r="P5848">
        <v>0.92854910000000002</v>
      </c>
      <c r="Q5848">
        <v>-1.7300159999999998E-2</v>
      </c>
      <c r="R5848">
        <v>-0.37080669999999999</v>
      </c>
      <c r="S5848">
        <v>3.2348629999999998</v>
      </c>
      <c r="T5848">
        <v>-6.9282289999999996E-2</v>
      </c>
      <c r="U5848">
        <v>-9.4909669999999995E-3</v>
      </c>
      <c r="V5848">
        <v>-2.8169290000000001E-3</v>
      </c>
      <c r="W5848">
        <v>-5.7717749999999998E-3</v>
      </c>
      <c r="X5848">
        <v>0.99997939999999996</v>
      </c>
      <c r="Y5848">
        <v>-0.37063000000000001</v>
      </c>
      <c r="Z5848">
        <v>1.1816119999999999E-2</v>
      </c>
      <c r="AA5848">
        <v>0.92870549999999996</v>
      </c>
      <c r="AB5848">
        <v>17</v>
      </c>
      <c r="AC5848">
        <v>51.831299999999999</v>
      </c>
      <c r="AD5848">
        <v>-1.1134032072566999</v>
      </c>
      <c r="AE5848">
        <v>-9.8619999999996794E-2</v>
      </c>
      <c r="AF5848">
        <v>-19.2596897753813</v>
      </c>
      <c r="AG5848">
        <v>-1.1134032072566999</v>
      </c>
      <c r="AH5848">
        <v>48.0944915453139</v>
      </c>
      <c r="AI5848">
        <v>91.231163466714406</v>
      </c>
      <c r="AJ5848">
        <v>111.823890169995</v>
      </c>
      <c r="AK5848">
        <v>51.819450343940602</v>
      </c>
      <c r="AL5848">
        <v>90.330700175854503</v>
      </c>
      <c r="AM5848">
        <v>90.161401040830995</v>
      </c>
      <c r="AN5848">
        <v>1.00000002445</v>
      </c>
    </row>
    <row r="5849" spans="1:40" x14ac:dyDescent="0.25">
      <c r="A5849" t="str">
        <f>"20190312161137752"</f>
        <v>20190312161137752</v>
      </c>
      <c r="B5849" t="str">
        <f>"1552378297743367"</f>
        <v>1552378297743367</v>
      </c>
      <c r="C5849" t="s">
        <v>40</v>
      </c>
      <c r="D5849">
        <v>5.5462689999999997</v>
      </c>
      <c r="E5849">
        <v>0.3376729</v>
      </c>
      <c r="F5849" t="s">
        <v>107</v>
      </c>
      <c r="G5849">
        <v>-230.9109</v>
      </c>
      <c r="H5849" s="1">
        <v>3.4372699999999999E-7</v>
      </c>
      <c r="I5849">
        <v>-61.4298199999999</v>
      </c>
      <c r="J5849">
        <v>-283.70100000000002</v>
      </c>
      <c r="K5849">
        <v>1.113408</v>
      </c>
      <c r="L5849">
        <v>-61.662260000000003</v>
      </c>
      <c r="M5849">
        <v>0.93028690000000003</v>
      </c>
      <c r="N5849">
        <v>0</v>
      </c>
      <c r="O5849">
        <v>-0.36665130000000001</v>
      </c>
      <c r="P5849">
        <v>0.93123869999999997</v>
      </c>
      <c r="Q5849">
        <v>-1.7188930000000002E-2</v>
      </c>
      <c r="R5849">
        <v>-0.36400450000000001</v>
      </c>
      <c r="S5849">
        <v>3.2340089999999999</v>
      </c>
      <c r="T5849">
        <v>-6.8012359999999994E-2</v>
      </c>
      <c r="U5849">
        <v>1.101685E-2</v>
      </c>
      <c r="V5849">
        <v>-2.7654329999999999E-3</v>
      </c>
      <c r="W5849">
        <v>-5.6751680000000004E-3</v>
      </c>
      <c r="X5849">
        <v>0.99998010000000004</v>
      </c>
      <c r="Y5849">
        <v>-0.36968299999999998</v>
      </c>
      <c r="Z5849">
        <v>1.145937E-2</v>
      </c>
      <c r="AA5849">
        <v>0.92908729999999995</v>
      </c>
      <c r="AB5849">
        <v>17</v>
      </c>
      <c r="AC5849">
        <v>52.790099999999903</v>
      </c>
      <c r="AD5849">
        <v>-1.113407656273</v>
      </c>
      <c r="AE5849">
        <v>0.232440000000004</v>
      </c>
      <c r="AF5849">
        <v>-19.564394540796702</v>
      </c>
      <c r="AG5849">
        <v>-1.113407656273</v>
      </c>
      <c r="AH5849">
        <v>49.006177699924102</v>
      </c>
      <c r="AI5849">
        <v>91.208784396143002</v>
      </c>
      <c r="AJ5849">
        <v>111.763022184444</v>
      </c>
      <c r="AK5849">
        <v>52.778884633094897</v>
      </c>
      <c r="AL5849">
        <v>90.325164910872402</v>
      </c>
      <c r="AM5849">
        <v>90.158450388658906</v>
      </c>
      <c r="AN5849">
        <v>1.00000002777375</v>
      </c>
    </row>
    <row r="5850" spans="1:40" x14ac:dyDescent="0.25">
      <c r="A5850" t="str">
        <f>"20190312161137774"</f>
        <v>20190312161137774</v>
      </c>
      <c r="B5850" t="str">
        <f>"1552378297762888"</f>
        <v>1552378297762888</v>
      </c>
      <c r="C5850" t="s">
        <v>40</v>
      </c>
      <c r="D5850">
        <v>5.5782299999999996</v>
      </c>
      <c r="E5850">
        <v>0.33706839999999999</v>
      </c>
      <c r="F5850" t="s">
        <v>108</v>
      </c>
      <c r="G5850">
        <v>-241.62289999999999</v>
      </c>
      <c r="H5850" s="1">
        <v>2.7764539999999999E-7</v>
      </c>
      <c r="I5850">
        <v>-60.163919999999997</v>
      </c>
      <c r="J5850">
        <v>-283.5505</v>
      </c>
      <c r="K5850">
        <v>1.1134090000000001</v>
      </c>
      <c r="L5850">
        <v>-61.712339999999998</v>
      </c>
      <c r="M5850">
        <v>0.93292140000000001</v>
      </c>
      <c r="N5850">
        <v>0</v>
      </c>
      <c r="O5850">
        <v>-0.35989589999999999</v>
      </c>
      <c r="P5850">
        <v>0.93361170000000004</v>
      </c>
      <c r="Q5850">
        <v>-1.7233930000000001E-2</v>
      </c>
      <c r="R5850">
        <v>-0.35787229999999998</v>
      </c>
      <c r="S5850">
        <v>3.2654109999999998</v>
      </c>
      <c r="T5850">
        <v>-8.6404439999999999E-2</v>
      </c>
      <c r="U5850">
        <v>0.116272</v>
      </c>
      <c r="V5850">
        <v>-2.0897670000000002E-3</v>
      </c>
      <c r="W5850">
        <v>-5.7275199999999998E-3</v>
      </c>
      <c r="X5850">
        <v>0.99998140000000002</v>
      </c>
      <c r="Y5850">
        <v>-0.39263209999999998</v>
      </c>
      <c r="Z5850">
        <v>1.4561279999999999E-2</v>
      </c>
      <c r="AA5850">
        <v>0.91958030000000002</v>
      </c>
      <c r="AB5850">
        <v>17</v>
      </c>
      <c r="AC5850">
        <v>41.927599999999998</v>
      </c>
      <c r="AD5850">
        <v>-1.1134087223546001</v>
      </c>
      <c r="AE5850">
        <v>1.5484199999999999</v>
      </c>
      <c r="AF5850">
        <v>-16.523585354799799</v>
      </c>
      <c r="AG5850">
        <v>-1.1134087223546001</v>
      </c>
      <c r="AH5850">
        <v>38.533305489279101</v>
      </c>
      <c r="AI5850">
        <v>91.521195258030204</v>
      </c>
      <c r="AJ5850">
        <v>113.21028657223</v>
      </c>
      <c r="AK5850">
        <v>41.941437551548901</v>
      </c>
      <c r="AL5850">
        <v>90.328164521906103</v>
      </c>
      <c r="AM5850">
        <v>90.119736882066604</v>
      </c>
      <c r="AN5850">
        <v>0.99999998597871198</v>
      </c>
    </row>
    <row r="5851" spans="1:40" x14ac:dyDescent="0.25">
      <c r="A5851" t="str">
        <f>"20190312161137797"</f>
        <v>20190312161137797</v>
      </c>
      <c r="B5851" t="str">
        <f>"1552378297793141"</f>
        <v>1552378297793141</v>
      </c>
      <c r="C5851" t="s">
        <v>40</v>
      </c>
      <c r="D5851">
        <v>5.642601</v>
      </c>
      <c r="E5851">
        <v>0.33854030000000002</v>
      </c>
      <c r="F5851" t="s">
        <v>108</v>
      </c>
      <c r="G5851">
        <v>-244.24549999999999</v>
      </c>
      <c r="H5851" s="1">
        <v>-8.7688389999999996E-7</v>
      </c>
      <c r="I5851">
        <v>-59.997979999999998</v>
      </c>
      <c r="J5851">
        <v>-283.39210000000003</v>
      </c>
      <c r="K5851">
        <v>1.1134139999999999</v>
      </c>
      <c r="L5851">
        <v>-61.76379</v>
      </c>
      <c r="M5851">
        <v>0.93563649999999998</v>
      </c>
      <c r="N5851">
        <v>0</v>
      </c>
      <c r="O5851">
        <v>-0.35277740000000002</v>
      </c>
      <c r="P5851">
        <v>0.93608740000000001</v>
      </c>
      <c r="Q5851">
        <v>-1.8535449999999998E-2</v>
      </c>
      <c r="R5851">
        <v>-0.35127950000000002</v>
      </c>
      <c r="S5851">
        <v>3.2662049999999998</v>
      </c>
      <c r="T5851">
        <v>-9.2523220000000003E-2</v>
      </c>
      <c r="U5851">
        <v>0.1424561</v>
      </c>
      <c r="V5851">
        <v>-1.503255E-3</v>
      </c>
      <c r="W5851">
        <v>-7.037443E-3</v>
      </c>
      <c r="X5851">
        <v>0.99997409999999998</v>
      </c>
      <c r="Y5851">
        <v>-0.39294249999999997</v>
      </c>
      <c r="Z5851">
        <v>1.5402300000000001E-2</v>
      </c>
      <c r="AA5851">
        <v>0.91943399999999997</v>
      </c>
      <c r="AB5851">
        <v>17</v>
      </c>
      <c r="AC5851">
        <v>39.146599999999999</v>
      </c>
      <c r="AD5851">
        <v>-1.1134148768838901</v>
      </c>
      <c r="AE5851">
        <v>1.7658099999999901</v>
      </c>
      <c r="AF5851">
        <v>-15.450742487929601</v>
      </c>
      <c r="AG5851">
        <v>-1.1134148768838901</v>
      </c>
      <c r="AH5851">
        <v>35.977389384884702</v>
      </c>
      <c r="AI5851">
        <v>91.628837189003406</v>
      </c>
      <c r="AJ5851">
        <v>113.24144394121301</v>
      </c>
      <c r="AK5851">
        <v>39.170622704623902</v>
      </c>
      <c r="AL5851">
        <v>90.403219113601295</v>
      </c>
      <c r="AM5851">
        <v>90.086132332977797</v>
      </c>
      <c r="AN5851">
        <v>0.99999999302519105</v>
      </c>
    </row>
    <row r="5852" spans="1:40" x14ac:dyDescent="0.25">
      <c r="A5852" t="str">
        <f>"20190312161137819"</f>
        <v>20190312161137819</v>
      </c>
      <c r="B5852" t="str">
        <f>"1552378297813654"</f>
        <v>1552378297813654</v>
      </c>
      <c r="C5852" t="s">
        <v>40</v>
      </c>
      <c r="D5852">
        <v>5.5141780000000002</v>
      </c>
      <c r="E5852">
        <v>0.33629140000000002</v>
      </c>
      <c r="F5852" t="s">
        <v>108</v>
      </c>
      <c r="G5852">
        <v>-247.36160000000001</v>
      </c>
      <c r="H5852" s="1">
        <v>-2.2036809999999999E-6</v>
      </c>
      <c r="I5852">
        <v>-60.054139999999997</v>
      </c>
      <c r="J5852">
        <v>-283.2346</v>
      </c>
      <c r="K5852">
        <v>1.113413</v>
      </c>
      <c r="L5852">
        <v>-61.813630000000003</v>
      </c>
      <c r="M5852">
        <v>0.9382741</v>
      </c>
      <c r="N5852">
        <v>0</v>
      </c>
      <c r="O5852">
        <v>-0.34570149999999999</v>
      </c>
      <c r="P5852">
        <v>0.93859360000000003</v>
      </c>
      <c r="Q5852">
        <v>-1.8185349999999999E-2</v>
      </c>
      <c r="R5852">
        <v>-0.34454489999999999</v>
      </c>
      <c r="S5852">
        <v>3.2608950000000001</v>
      </c>
      <c r="T5852">
        <v>-0.10076830000000001</v>
      </c>
      <c r="U5852">
        <v>0.1547241</v>
      </c>
      <c r="V5852">
        <v>-1.1408709999999999E-3</v>
      </c>
      <c r="W5852">
        <v>-6.6963789999999997E-3</v>
      </c>
      <c r="X5852">
        <v>0.99997689999999995</v>
      </c>
      <c r="Y5852">
        <v>-0.38946190000000003</v>
      </c>
      <c r="Z5852">
        <v>1.6539910000000001E-2</v>
      </c>
      <c r="AA5852">
        <v>0.92089399999999999</v>
      </c>
      <c r="AB5852">
        <v>17</v>
      </c>
      <c r="AC5852">
        <v>35.872999999999898</v>
      </c>
      <c r="AD5852">
        <v>-1.1134152036810001</v>
      </c>
      <c r="AE5852">
        <v>1.75948999999999</v>
      </c>
      <c r="AF5852">
        <v>-14.039670157672999</v>
      </c>
      <c r="AG5852">
        <v>-1.1134152036810001</v>
      </c>
      <c r="AH5852">
        <v>33.020899119387799</v>
      </c>
      <c r="AI5852">
        <v>91.7773303546698</v>
      </c>
      <c r="AJ5852">
        <v>113.033998006514</v>
      </c>
      <c r="AK5852">
        <v>35.8989109891209</v>
      </c>
      <c r="AL5852">
        <v>90.383677133016405</v>
      </c>
      <c r="AM5852">
        <v>90.065368574921294</v>
      </c>
      <c r="AN5852">
        <v>0.99999997180597899</v>
      </c>
    </row>
    <row r="5853" spans="1:40" x14ac:dyDescent="0.25">
      <c r="A5853" t="str">
        <f>"20190312161137841"</f>
        <v>20190312161137841</v>
      </c>
      <c r="B5853" t="str">
        <f>"1552378297833800"</f>
        <v>1552378297833800</v>
      </c>
      <c r="C5853" t="s">
        <v>40</v>
      </c>
      <c r="D5853">
        <v>5.6120489999999998</v>
      </c>
      <c r="E5853">
        <v>0.33538040000000002</v>
      </c>
      <c r="F5853" t="s">
        <v>107</v>
      </c>
      <c r="G5853">
        <v>-239.3734</v>
      </c>
      <c r="H5853" s="1">
        <v>-3.217443E-6</v>
      </c>
      <c r="I5853">
        <v>-59.20449</v>
      </c>
      <c r="J5853">
        <v>-283.0772</v>
      </c>
      <c r="K5853">
        <v>1.1134170000000001</v>
      </c>
      <c r="L5853">
        <v>-61.862180000000002</v>
      </c>
      <c r="M5853">
        <v>0.94085289999999999</v>
      </c>
      <c r="N5853">
        <v>0</v>
      </c>
      <c r="O5853">
        <v>-0.33862100000000001</v>
      </c>
      <c r="P5853">
        <v>0.94095410000000002</v>
      </c>
      <c r="Q5853">
        <v>-1.790491E-2</v>
      </c>
      <c r="R5853">
        <v>-0.33806049999999999</v>
      </c>
      <c r="S5853">
        <v>3.2659609999999999</v>
      </c>
      <c r="T5853">
        <v>-8.2906250000000001E-2</v>
      </c>
      <c r="U5853">
        <v>0.1942749</v>
      </c>
      <c r="V5853">
        <v>-5.0859989999999997E-4</v>
      </c>
      <c r="W5853">
        <v>-6.425236E-3</v>
      </c>
      <c r="X5853">
        <v>0.99997930000000002</v>
      </c>
      <c r="Y5853">
        <v>-0.39368409999999998</v>
      </c>
      <c r="Z5853">
        <v>1.3470050000000001E-2</v>
      </c>
      <c r="AA5853">
        <v>0.91914709999999999</v>
      </c>
      <c r="AB5853">
        <v>17</v>
      </c>
      <c r="AC5853">
        <v>43.703800000000001</v>
      </c>
      <c r="AD5853">
        <v>-1.1134202174429999</v>
      </c>
      <c r="AE5853">
        <v>2.6576900000000001</v>
      </c>
      <c r="AF5853">
        <v>-17.289478128193799</v>
      </c>
      <c r="AG5853">
        <v>-1.1134202174429999</v>
      </c>
      <c r="AH5853">
        <v>40.1955518733578</v>
      </c>
      <c r="AI5853">
        <v>91.457632495913998</v>
      </c>
      <c r="AJ5853">
        <v>113.274189613888</v>
      </c>
      <c r="AK5853">
        <v>43.770402658985198</v>
      </c>
      <c r="AL5853">
        <v>90.368141411964302</v>
      </c>
      <c r="AM5853">
        <v>90.029141228441404</v>
      </c>
      <c r="AN5853">
        <v>1.0000000713799899</v>
      </c>
    </row>
    <row r="5854" spans="1:40" x14ac:dyDescent="0.25">
      <c r="A5854" t="str">
        <f>"20190312161137852"</f>
        <v>20190312161137852</v>
      </c>
      <c r="B5854" t="str">
        <f>"1552378297843560"</f>
        <v>1552378297843560</v>
      </c>
      <c r="C5854" t="s">
        <v>40</v>
      </c>
      <c r="D5854">
        <v>5.5532830000000004</v>
      </c>
      <c r="E5854">
        <v>0.33507239999999999</v>
      </c>
      <c r="F5854" t="s">
        <v>107</v>
      </c>
      <c r="G5854">
        <v>-233.9426</v>
      </c>
      <c r="H5854" s="1">
        <v>-1.0119710000000001E-6</v>
      </c>
      <c r="I5854">
        <v>-58.503909999999998</v>
      </c>
      <c r="J5854">
        <v>-283.00099999999998</v>
      </c>
      <c r="K5854">
        <v>1.113415</v>
      </c>
      <c r="L5854">
        <v>-61.885129999999997</v>
      </c>
      <c r="M5854">
        <v>0.94207909999999995</v>
      </c>
      <c r="N5854">
        <v>0</v>
      </c>
      <c r="O5854">
        <v>-0.33519450000000001</v>
      </c>
      <c r="P5854">
        <v>0.9421368</v>
      </c>
      <c r="Q5854">
        <v>-1.8381669999999999E-2</v>
      </c>
      <c r="R5854">
        <v>-0.33472489999999999</v>
      </c>
      <c r="S5854">
        <v>3.26709</v>
      </c>
      <c r="T5854">
        <v>-7.4034210000000003E-2</v>
      </c>
      <c r="U5854">
        <v>0.2232971</v>
      </c>
      <c r="V5854">
        <v>-4.0560390000000002E-4</v>
      </c>
      <c r="W5854">
        <v>-6.90977E-3</v>
      </c>
      <c r="X5854">
        <v>0.99997599999999998</v>
      </c>
      <c r="Y5854">
        <v>-0.3984934</v>
      </c>
      <c r="Z5854">
        <v>1.200439E-2</v>
      </c>
      <c r="AA5854">
        <v>0.91709269999999998</v>
      </c>
      <c r="AB5854">
        <v>17</v>
      </c>
      <c r="AC5854">
        <v>49.058399999999899</v>
      </c>
      <c r="AD5854">
        <v>-1.1134160119709999</v>
      </c>
      <c r="AE5854">
        <v>3.3812199999999999</v>
      </c>
      <c r="AF5854">
        <v>-19.620715693034398</v>
      </c>
      <c r="AG5854">
        <v>-1.1134160119709999</v>
      </c>
      <c r="AH5854">
        <v>45.063391903369698</v>
      </c>
      <c r="AI5854">
        <v>91.297734823952396</v>
      </c>
      <c r="AJ5854">
        <v>113.528431804175</v>
      </c>
      <c r="AK5854">
        <v>49.162195530298398</v>
      </c>
      <c r="AL5854">
        <v>90.395903826661694</v>
      </c>
      <c r="AM5854">
        <v>90.023239948108298</v>
      </c>
      <c r="AN5854">
        <v>0.99999995500598704</v>
      </c>
    </row>
    <row r="5855" spans="1:40" x14ac:dyDescent="0.25">
      <c r="A5855" t="str">
        <f>"20190312161137863"</f>
        <v>20190312161137863</v>
      </c>
      <c r="B5855" t="str">
        <f>"1552378297853321"</f>
        <v>1552378297853321</v>
      </c>
      <c r="C5855" t="s">
        <v>40</v>
      </c>
      <c r="D5855">
        <v>5.5456029999999998</v>
      </c>
      <c r="E5855">
        <v>0.33500150000000001</v>
      </c>
      <c r="F5855" t="s">
        <v>107</v>
      </c>
      <c r="G5855">
        <v>-232.3201</v>
      </c>
      <c r="H5855" s="1">
        <v>-3.6837509999999897E-7</v>
      </c>
      <c r="I5855">
        <v>-58.20814</v>
      </c>
      <c r="J5855">
        <v>-282.92290000000003</v>
      </c>
      <c r="K5855">
        <v>1.113415</v>
      </c>
      <c r="L5855">
        <v>-61.908540000000002</v>
      </c>
      <c r="M5855">
        <v>0.94332309999999997</v>
      </c>
      <c r="N5855">
        <v>0</v>
      </c>
      <c r="O5855">
        <v>-0.33167819999999998</v>
      </c>
      <c r="P5855">
        <v>0.94332649999999996</v>
      </c>
      <c r="Q5855">
        <v>-1.8677030000000001E-2</v>
      </c>
      <c r="R5855">
        <v>-0.331341</v>
      </c>
      <c r="S5855">
        <v>3.26709</v>
      </c>
      <c r="T5855">
        <v>-7.1775199999999997E-2</v>
      </c>
      <c r="U5855">
        <v>0.23702999999999999</v>
      </c>
      <c r="V5855">
        <v>-2.6017150000000002E-4</v>
      </c>
      <c r="W5855">
        <v>-7.2130689999999999E-3</v>
      </c>
      <c r="X5855">
        <v>0.99997400000000003</v>
      </c>
      <c r="Y5855">
        <v>-0.3989202</v>
      </c>
      <c r="Z5855">
        <v>1.156839E-2</v>
      </c>
      <c r="AA5855">
        <v>0.91691270000000002</v>
      </c>
      <c r="AB5855">
        <v>17</v>
      </c>
      <c r="AC5855">
        <v>50.602800000000002</v>
      </c>
      <c r="AD5855">
        <v>-1.1134153683751</v>
      </c>
      <c r="AE5855">
        <v>3.7004000000000001</v>
      </c>
      <c r="AF5855">
        <v>-20.2660882412133</v>
      </c>
      <c r="AG5855">
        <v>-1.1134153683751</v>
      </c>
      <c r="AH5855">
        <v>46.488110282529497</v>
      </c>
      <c r="AI5855">
        <v>91.257727404601596</v>
      </c>
      <c r="AJ5855">
        <v>113.55437662967699</v>
      </c>
      <c r="AK5855">
        <v>50.725717580176301</v>
      </c>
      <c r="AL5855">
        <v>90.413281974831804</v>
      </c>
      <c r="AM5855">
        <v>90.014907116148194</v>
      </c>
      <c r="AN5855">
        <v>1.0000000483647999</v>
      </c>
    </row>
    <row r="5856" spans="1:40" x14ac:dyDescent="0.25">
      <c r="A5856" t="str">
        <f>"20190312161137874"</f>
        <v>20190312161137874</v>
      </c>
      <c r="B5856" t="str">
        <f>"1552378297863080"</f>
        <v>1552378297863080</v>
      </c>
      <c r="C5856" t="s">
        <v>40</v>
      </c>
      <c r="D5856">
        <v>5.5710150000000001</v>
      </c>
      <c r="E5856">
        <v>0.33491559999999998</v>
      </c>
      <c r="F5856" t="s">
        <v>107</v>
      </c>
      <c r="G5856">
        <v>-231.12860000000001</v>
      </c>
      <c r="H5856" s="1">
        <v>-1.6935249999999999E-8</v>
      </c>
      <c r="I5856">
        <v>-57.95684</v>
      </c>
      <c r="J5856">
        <v>-282.84449999999998</v>
      </c>
      <c r="K5856">
        <v>1.113415</v>
      </c>
      <c r="L5856">
        <v>-61.931429999999999</v>
      </c>
      <c r="M5856">
        <v>0.94455520000000004</v>
      </c>
      <c r="N5856">
        <v>0</v>
      </c>
      <c r="O5856">
        <v>-0.32815309999999998</v>
      </c>
      <c r="P5856">
        <v>0.94443370000000004</v>
      </c>
      <c r="Q5856">
        <v>-1.9116339999999999E-2</v>
      </c>
      <c r="R5856">
        <v>-0.3281462</v>
      </c>
      <c r="S5856">
        <v>3.2663570000000002</v>
      </c>
      <c r="T5856">
        <v>-7.0216539999999994E-2</v>
      </c>
      <c r="U5856">
        <v>0.2492065</v>
      </c>
      <c r="V5856" s="1">
        <v>9.6383109999999996E-5</v>
      </c>
      <c r="W5856">
        <v>-7.6586409999999999E-3</v>
      </c>
      <c r="X5856">
        <v>0.99997069999999999</v>
      </c>
      <c r="Y5856">
        <v>-0.39891840000000001</v>
      </c>
      <c r="Z5856">
        <v>1.1246549999999999E-2</v>
      </c>
      <c r="AA5856">
        <v>0.91691739999999999</v>
      </c>
      <c r="AB5856">
        <v>17</v>
      </c>
      <c r="AC5856">
        <v>51.715899999999898</v>
      </c>
      <c r="AD5856">
        <v>-1.1134150169352499</v>
      </c>
      <c r="AE5856">
        <v>3.9745900000000001</v>
      </c>
      <c r="AF5856">
        <v>-20.7167641580394</v>
      </c>
      <c r="AG5856">
        <v>-1.1134150169352499</v>
      </c>
      <c r="AH5856">
        <v>47.525463574607301</v>
      </c>
      <c r="AI5856">
        <v>91.230297421763694</v>
      </c>
      <c r="AJ5856">
        <v>113.55280713735699</v>
      </c>
      <c r="AK5856">
        <v>51.856472095208098</v>
      </c>
      <c r="AL5856">
        <v>90.438812081668701</v>
      </c>
      <c r="AM5856">
        <v>89.994477492788306</v>
      </c>
      <c r="AN5856">
        <v>1.00000003246508</v>
      </c>
    </row>
    <row r="5857" spans="1:40" x14ac:dyDescent="0.25">
      <c r="A5857" t="str">
        <f>"20190312161137886"</f>
        <v>20190312161137886</v>
      </c>
      <c r="B5857" t="str">
        <f>"1552378297883576"</f>
        <v>1552378297883576</v>
      </c>
      <c r="C5857" t="s">
        <v>40</v>
      </c>
      <c r="D5857">
        <v>5.5752050000000004</v>
      </c>
      <c r="E5857">
        <v>0.33509470000000002</v>
      </c>
      <c r="F5857" t="s">
        <v>107</v>
      </c>
      <c r="G5857">
        <v>-230.24340000000001</v>
      </c>
      <c r="H5857" s="1">
        <v>2.2397259999999999E-7</v>
      </c>
      <c r="I5857">
        <v>-57.730139999999999</v>
      </c>
      <c r="J5857">
        <v>-282.76330000000002</v>
      </c>
      <c r="K5857">
        <v>1.113413</v>
      </c>
      <c r="L5857">
        <v>-61.95505</v>
      </c>
      <c r="M5857">
        <v>0.94581660000000001</v>
      </c>
      <c r="N5857">
        <v>0</v>
      </c>
      <c r="O5857">
        <v>-0.3244995</v>
      </c>
      <c r="P5857">
        <v>0.94557270000000004</v>
      </c>
      <c r="Q5857">
        <v>-1.9915329999999998E-2</v>
      </c>
      <c r="R5857">
        <v>-0.32480120000000001</v>
      </c>
      <c r="S5857">
        <v>3.2657470000000002</v>
      </c>
      <c r="T5857">
        <v>-6.9126610000000005E-2</v>
      </c>
      <c r="U5857">
        <v>0.2608337</v>
      </c>
      <c r="V5857">
        <v>4.3438519999999998E-4</v>
      </c>
      <c r="W5857">
        <v>-8.4641330000000004E-3</v>
      </c>
      <c r="X5857">
        <v>0.99996410000000002</v>
      </c>
      <c r="Y5857">
        <v>-0.39863769999999998</v>
      </c>
      <c r="Z5857">
        <v>1.0996280000000001E-2</v>
      </c>
      <c r="AA5857">
        <v>0.91704260000000004</v>
      </c>
      <c r="AB5857">
        <v>17</v>
      </c>
      <c r="AC5857">
        <v>52.5199</v>
      </c>
      <c r="AD5857">
        <v>-1.1134127760274</v>
      </c>
      <c r="AE5857">
        <v>4.2249099999999897</v>
      </c>
      <c r="AF5857">
        <v>-21.0306587314005</v>
      </c>
      <c r="AG5857">
        <v>-1.1134127760274</v>
      </c>
      <c r="AH5857">
        <v>48.284815807409601</v>
      </c>
      <c r="AI5857">
        <v>91.211109630818797</v>
      </c>
      <c r="AJ5857">
        <v>113.535740061677</v>
      </c>
      <c r="AK5857">
        <v>52.6778106249864</v>
      </c>
      <c r="AL5857">
        <v>90.484964881215902</v>
      </c>
      <c r="AM5857">
        <v>89.975110669395605</v>
      </c>
      <c r="AN5857">
        <v>1.0000000157633699</v>
      </c>
    </row>
    <row r="5858" spans="1:40" x14ac:dyDescent="0.25">
      <c r="A5858" t="str">
        <f>"20190312161137898"</f>
        <v>20190312161137898</v>
      </c>
      <c r="B5858" t="str">
        <f>"1552378297893337"</f>
        <v>1552378297893337</v>
      </c>
      <c r="C5858" t="s">
        <v>40</v>
      </c>
      <c r="D5858">
        <v>5.731134</v>
      </c>
      <c r="E5858">
        <v>0.33516590000000002</v>
      </c>
      <c r="F5858" t="s">
        <v>106</v>
      </c>
      <c r="G5858">
        <v>-228.87629999999999</v>
      </c>
      <c r="H5858" s="1">
        <v>-3.5671659999999998E-6</v>
      </c>
      <c r="I5858">
        <v>-57.483530000000002</v>
      </c>
      <c r="J5858">
        <v>-282.67829999999998</v>
      </c>
      <c r="K5858">
        <v>1.113413</v>
      </c>
      <c r="L5858">
        <v>-61.979280000000003</v>
      </c>
      <c r="M5858">
        <v>0.94712110000000005</v>
      </c>
      <c r="N5858">
        <v>0</v>
      </c>
      <c r="O5858">
        <v>-0.32067259999999997</v>
      </c>
      <c r="P5858">
        <v>0.94662170000000001</v>
      </c>
      <c r="Q5858">
        <v>-2.0184179999999999E-2</v>
      </c>
      <c r="R5858">
        <v>-0.32171460000000002</v>
      </c>
      <c r="S5858">
        <v>3.2643430000000002</v>
      </c>
      <c r="T5858">
        <v>-6.7448140000000004E-2</v>
      </c>
      <c r="U5858">
        <v>0.270874</v>
      </c>
      <c r="V5858">
        <v>1.2193760000000001E-3</v>
      </c>
      <c r="W5858">
        <v>-8.734772E-3</v>
      </c>
      <c r="X5858">
        <v>0.99996110000000005</v>
      </c>
      <c r="Y5858">
        <v>-0.3977715</v>
      </c>
      <c r="Z5858">
        <v>1.064842E-2</v>
      </c>
      <c r="AA5858">
        <v>0.91742270000000004</v>
      </c>
      <c r="AB5858">
        <v>17</v>
      </c>
      <c r="AC5858">
        <v>53.8019999999999</v>
      </c>
      <c r="AD5858">
        <v>-1.1134165671659999</v>
      </c>
      <c r="AE5858">
        <v>4.4957500000000001</v>
      </c>
      <c r="AF5858">
        <v>-21.503107544151899</v>
      </c>
      <c r="AG5858">
        <v>-1.1134165671659999</v>
      </c>
      <c r="AH5858">
        <v>49.497530503448203</v>
      </c>
      <c r="AI5858">
        <v>91.181936103686795</v>
      </c>
      <c r="AJ5858">
        <v>113.48147052949901</v>
      </c>
      <c r="AK5858">
        <v>53.978040502107802</v>
      </c>
      <c r="AL5858">
        <v>90.500471938613401</v>
      </c>
      <c r="AM5858">
        <v>89.930132218333299</v>
      </c>
      <c r="AN5858">
        <v>0.99999999231646497</v>
      </c>
    </row>
    <row r="5859" spans="1:40" x14ac:dyDescent="0.25">
      <c r="A5859" t="str">
        <f>"20190312161137909"</f>
        <v>20190312161137909</v>
      </c>
      <c r="B5859" t="str">
        <f>"1552378297903096"</f>
        <v>1552378297903096</v>
      </c>
      <c r="C5859" t="s">
        <v>40</v>
      </c>
      <c r="D5859">
        <v>5.6288739999999997</v>
      </c>
      <c r="E5859">
        <v>0.3354644</v>
      </c>
      <c r="F5859" t="s">
        <v>107</v>
      </c>
      <c r="G5859">
        <v>-230.4366</v>
      </c>
      <c r="H5859" s="1">
        <v>9.1669849999999998E-8</v>
      </c>
      <c r="I5859">
        <v>-57.480029999999999</v>
      </c>
      <c r="J5859">
        <v>-282.59859999999998</v>
      </c>
      <c r="K5859">
        <v>1.1134139999999999</v>
      </c>
      <c r="L5859">
        <v>-62.001649999999998</v>
      </c>
      <c r="M5859">
        <v>0.948326</v>
      </c>
      <c r="N5859">
        <v>0</v>
      </c>
      <c r="O5859">
        <v>-0.31709150000000003</v>
      </c>
      <c r="P5859">
        <v>0.94771439999999996</v>
      </c>
      <c r="Q5859">
        <v>-2.008948E-2</v>
      </c>
      <c r="R5859">
        <v>-0.31848700000000002</v>
      </c>
      <c r="S5859">
        <v>3.2632140000000001</v>
      </c>
      <c r="T5859">
        <v>-6.954813E-2</v>
      </c>
      <c r="U5859">
        <v>0.28103640000000002</v>
      </c>
      <c r="V5859">
        <v>1.589027E-3</v>
      </c>
      <c r="W5859">
        <v>-8.6440919999999904E-3</v>
      </c>
      <c r="X5859">
        <v>0.9999614</v>
      </c>
      <c r="Y5859">
        <v>-0.39715889999999998</v>
      </c>
      <c r="Z5859">
        <v>1.0903049999999999E-2</v>
      </c>
      <c r="AA5859">
        <v>0.91768510000000003</v>
      </c>
      <c r="AB5859">
        <v>17</v>
      </c>
      <c r="AC5859">
        <v>52.1619999999999</v>
      </c>
      <c r="AD5859">
        <v>-1.11341390833015</v>
      </c>
      <c r="AE5859">
        <v>4.5216199999999898</v>
      </c>
      <c r="AF5859">
        <v>-20.8200433723127</v>
      </c>
      <c r="AG5859">
        <v>-1.11341390833015</v>
      </c>
      <c r="AH5859">
        <v>48.014241482887101</v>
      </c>
      <c r="AI5859">
        <v>91.218793992186804</v>
      </c>
      <c r="AJ5859">
        <v>113.442627990453</v>
      </c>
      <c r="AK5859">
        <v>52.345785711299101</v>
      </c>
      <c r="AL5859">
        <v>90.495276145723807</v>
      </c>
      <c r="AM5859">
        <v>89.908952021550803</v>
      </c>
      <c r="AN5859">
        <v>1.00000002341163</v>
      </c>
    </row>
    <row r="5860" spans="1:40" x14ac:dyDescent="0.25">
      <c r="A5860" t="str">
        <f>"20190312161137920"</f>
        <v>20190312161137920</v>
      </c>
      <c r="B5860" t="str">
        <f>"1552378297912858"</f>
        <v>1552378297912858</v>
      </c>
      <c r="C5860" t="s">
        <v>40</v>
      </c>
      <c r="D5860">
        <v>5.6122379999999996</v>
      </c>
      <c r="E5860">
        <v>0.33578709999999901</v>
      </c>
      <c r="F5860" t="s">
        <v>107</v>
      </c>
      <c r="G5860">
        <v>-230.83619999999999</v>
      </c>
      <c r="H5860" s="1">
        <v>-6.5617769999999998E-8</v>
      </c>
      <c r="I5860">
        <v>-57.399909999999998</v>
      </c>
      <c r="J5860">
        <v>-282.52080000000001</v>
      </c>
      <c r="K5860">
        <v>1.1134170000000001</v>
      </c>
      <c r="L5860">
        <v>-62.02328</v>
      </c>
      <c r="M5860">
        <v>0.94949139999999999</v>
      </c>
      <c r="N5860">
        <v>0</v>
      </c>
      <c r="O5860">
        <v>-0.31358530000000001</v>
      </c>
      <c r="P5860">
        <v>0.94875750000000003</v>
      </c>
      <c r="Q5860">
        <v>-2.0300249999999999E-2</v>
      </c>
      <c r="R5860">
        <v>-0.31535289999999999</v>
      </c>
      <c r="S5860">
        <v>3.2615050000000001</v>
      </c>
      <c r="T5860">
        <v>-7.0155259999999997E-2</v>
      </c>
      <c r="U5860">
        <v>0.28994750000000002</v>
      </c>
      <c r="V5860">
        <v>1.9821830000000002E-3</v>
      </c>
      <c r="W5860">
        <v>-8.8579519999999901E-3</v>
      </c>
      <c r="X5860">
        <v>0.99995880000000004</v>
      </c>
      <c r="Y5860">
        <v>-0.39629520000000001</v>
      </c>
      <c r="Z5860">
        <v>1.092139E-2</v>
      </c>
      <c r="AA5860">
        <v>0.91805820000000005</v>
      </c>
      <c r="AB5860">
        <v>17</v>
      </c>
      <c r="AC5860">
        <v>51.684600000000003</v>
      </c>
      <c r="AD5860">
        <v>-1.11341706561777</v>
      </c>
      <c r="AE5860">
        <v>4.6233700000000004</v>
      </c>
      <c r="AF5860">
        <v>-20.5892441057293</v>
      </c>
      <c r="AG5860">
        <v>-1.11341706561777</v>
      </c>
      <c r="AH5860">
        <v>47.605448958648999</v>
      </c>
      <c r="AI5860">
        <v>91.229764262450004</v>
      </c>
      <c r="AJ5860">
        <v>113.388368295422</v>
      </c>
      <c r="AK5860">
        <v>51.879046261104797</v>
      </c>
      <c r="AL5860">
        <v>90.507529903463904</v>
      </c>
      <c r="AM5860">
        <v>89.886424749330601</v>
      </c>
      <c r="AN5860">
        <v>0.99999999703025899</v>
      </c>
    </row>
    <row r="5861" spans="1:40" x14ac:dyDescent="0.25">
      <c r="A5861" t="str">
        <f>"20190312161137933"</f>
        <v>20190312161137933</v>
      </c>
      <c r="B5861" t="str">
        <f>"1552378297922617"</f>
        <v>1552378297922617</v>
      </c>
      <c r="C5861" t="s">
        <v>40</v>
      </c>
      <c r="D5861">
        <v>5.6572800000000001</v>
      </c>
      <c r="E5861">
        <v>0.33612570000000003</v>
      </c>
      <c r="F5861" t="s">
        <v>107</v>
      </c>
      <c r="G5861">
        <v>-231.4836</v>
      </c>
      <c r="H5861" s="1">
        <v>-2.9827970000000002E-7</v>
      </c>
      <c r="I5861">
        <v>-57.353450000000002</v>
      </c>
      <c r="J5861">
        <v>-282.42970000000003</v>
      </c>
      <c r="K5861">
        <v>1.113421</v>
      </c>
      <c r="L5861">
        <v>-62.048070000000003</v>
      </c>
      <c r="M5861">
        <v>0.95083640000000003</v>
      </c>
      <c r="N5861">
        <v>0</v>
      </c>
      <c r="O5861">
        <v>-0.30948310000000001</v>
      </c>
      <c r="P5861">
        <v>0.94998760000000004</v>
      </c>
      <c r="Q5861">
        <v>-2.024026E-2</v>
      </c>
      <c r="R5861">
        <v>-0.31163159999999901</v>
      </c>
      <c r="S5861">
        <v>3.2596440000000002</v>
      </c>
      <c r="T5861">
        <v>-7.1111679999999997E-2</v>
      </c>
      <c r="U5861">
        <v>0.29824830000000002</v>
      </c>
      <c r="V5861">
        <v>2.3785999999999998E-3</v>
      </c>
      <c r="W5861">
        <v>-8.8016399999999995E-3</v>
      </c>
      <c r="X5861">
        <v>0.99995849999999997</v>
      </c>
      <c r="Y5861">
        <v>-0.39469290000000001</v>
      </c>
      <c r="Z5861">
        <v>1.097213E-2</v>
      </c>
      <c r="AA5861">
        <v>0.9187476</v>
      </c>
      <c r="AB5861">
        <v>17</v>
      </c>
      <c r="AC5861">
        <v>50.946100000000001</v>
      </c>
      <c r="AD5861">
        <v>-1.1134212982797</v>
      </c>
      <c r="AE5861">
        <v>4.6946199999999898</v>
      </c>
      <c r="AF5861">
        <v>-20.222513548147202</v>
      </c>
      <c r="AG5861">
        <v>-1.1134212982797</v>
      </c>
      <c r="AH5861">
        <v>46.9693182225624</v>
      </c>
      <c r="AI5861">
        <v>91.247303499441699</v>
      </c>
      <c r="AJ5861">
        <v>113.294164633083</v>
      </c>
      <c r="AK5861">
        <v>51.149844725910803</v>
      </c>
      <c r="AL5861">
        <v>90.504303303879098</v>
      </c>
      <c r="AM5861">
        <v>89.863710859890503</v>
      </c>
      <c r="AN5861">
        <v>1.0000000641634399</v>
      </c>
    </row>
    <row r="5862" spans="1:40" x14ac:dyDescent="0.25">
      <c r="A5862" t="str">
        <f>"20190312161137947"</f>
        <v>20190312161137947</v>
      </c>
      <c r="B5862" t="str">
        <f>"1552378297943694"</f>
        <v>1552378297943694</v>
      </c>
      <c r="C5862" t="s">
        <v>40</v>
      </c>
      <c r="D5862">
        <v>5.7443720000000003</v>
      </c>
      <c r="E5862">
        <v>0.38068999999999997</v>
      </c>
      <c r="F5862" t="s">
        <v>107</v>
      </c>
      <c r="G5862">
        <v>-231.47229999999999</v>
      </c>
      <c r="H5862" s="1">
        <v>-3.2910429999999998E-7</v>
      </c>
      <c r="I5862">
        <v>-57.223170000000003</v>
      </c>
      <c r="J5862">
        <v>-282.32990000000001</v>
      </c>
      <c r="K5862">
        <v>1.1134230000000001</v>
      </c>
      <c r="L5862">
        <v>-62.074919999999999</v>
      </c>
      <c r="M5862">
        <v>0.95228860000000004</v>
      </c>
      <c r="N5862">
        <v>0</v>
      </c>
      <c r="O5862">
        <v>-0.30498540000000002</v>
      </c>
      <c r="P5862">
        <v>0.95131650000000001</v>
      </c>
      <c r="Q5862">
        <v>-2.0213720000000001E-2</v>
      </c>
      <c r="R5862">
        <v>-0.30755199999999999</v>
      </c>
      <c r="S5862">
        <v>3.2575989999999999</v>
      </c>
      <c r="T5862">
        <v>-7.1178560000000002E-2</v>
      </c>
      <c r="U5862">
        <v>0.30844120000000003</v>
      </c>
      <c r="V5862">
        <v>2.8137819999999999E-3</v>
      </c>
      <c r="W5862">
        <v>-8.7789369999999901E-3</v>
      </c>
      <c r="X5862">
        <v>0.99995750000000005</v>
      </c>
      <c r="Y5862">
        <v>-0.39325310000000002</v>
      </c>
      <c r="Z5862">
        <v>1.087787E-2</v>
      </c>
      <c r="AA5862">
        <v>0.91936589999999996</v>
      </c>
      <c r="AB5862">
        <v>17</v>
      </c>
      <c r="AC5862">
        <v>50.857599999999998</v>
      </c>
      <c r="AD5862">
        <v>-1.1134233291043001</v>
      </c>
      <c r="AE5862">
        <v>4.85175</v>
      </c>
      <c r="AF5862">
        <v>-20.122845718812702</v>
      </c>
      <c r="AG5862">
        <v>-1.1134233291043001</v>
      </c>
      <c r="AH5862">
        <v>46.932167842238897</v>
      </c>
      <c r="AI5862">
        <v>91.249099997534898</v>
      </c>
      <c r="AJ5862">
        <v>113.207933678481</v>
      </c>
      <c r="AK5862">
        <v>51.076384070380499</v>
      </c>
      <c r="AL5862">
        <v>90.5030025026863</v>
      </c>
      <c r="AM5862">
        <v>89.838775740406902</v>
      </c>
      <c r="AN5862">
        <v>0.999999994455121</v>
      </c>
    </row>
    <row r="5863" spans="1:40" x14ac:dyDescent="0.25">
      <c r="A5863" t="str">
        <f>"20190312161137961"</f>
        <v>20190312161137961</v>
      </c>
      <c r="B5863" t="str">
        <f>"1552378297953433"</f>
        <v>1552378297953433</v>
      </c>
      <c r="C5863" t="s">
        <v>40</v>
      </c>
      <c r="D5863">
        <v>5.7278529999999996</v>
      </c>
      <c r="E5863">
        <v>0.38435009999999997</v>
      </c>
      <c r="F5863" t="s">
        <v>41</v>
      </c>
      <c r="G5863">
        <v>-263.0745</v>
      </c>
      <c r="H5863" s="1">
        <v>-7.9195839999999997E-7</v>
      </c>
      <c r="I5863">
        <v>-62.141530000000003</v>
      </c>
      <c r="J5863">
        <v>-282.23099999999999</v>
      </c>
      <c r="K5863">
        <v>1.113429</v>
      </c>
      <c r="L5863">
        <v>-62.100920000000002</v>
      </c>
      <c r="M5863">
        <v>0.95370529999999998</v>
      </c>
      <c r="N5863">
        <v>0</v>
      </c>
      <c r="O5863">
        <v>-0.30052699999999999</v>
      </c>
      <c r="P5863">
        <v>0.95264170000000004</v>
      </c>
      <c r="Q5863">
        <v>-2.017563E-2</v>
      </c>
      <c r="R5863">
        <v>-0.30342520000000001</v>
      </c>
      <c r="S5863">
        <v>3.146118</v>
      </c>
      <c r="T5863">
        <v>-0.181921</v>
      </c>
      <c r="U5863">
        <v>-1.089478E-2</v>
      </c>
      <c r="V5863">
        <v>3.1566649999999999E-3</v>
      </c>
      <c r="W5863">
        <v>-8.7452329999999998E-3</v>
      </c>
      <c r="X5863">
        <v>0.99995679999999998</v>
      </c>
      <c r="Y5863">
        <v>-0.2962572</v>
      </c>
      <c r="Z5863">
        <v>2.5714569999999999E-2</v>
      </c>
      <c r="AA5863">
        <v>0.954762</v>
      </c>
      <c r="AB5863">
        <v>17</v>
      </c>
      <c r="AC5863">
        <v>19.156499999999902</v>
      </c>
      <c r="AD5863">
        <v>-1.1134297919584</v>
      </c>
      <c r="AE5863">
        <v>-4.0610000000008001E-2</v>
      </c>
      <c r="AF5863">
        <v>-5.6994323479056197</v>
      </c>
      <c r="AG5863">
        <v>-1.1134297919584</v>
      </c>
      <c r="AH5863">
        <v>18.2214891947824</v>
      </c>
      <c r="AI5863">
        <v>93.3376544701038</v>
      </c>
      <c r="AJ5863">
        <v>107.36896825292899</v>
      </c>
      <c r="AK5863">
        <v>19.124484920267701</v>
      </c>
      <c r="AL5863">
        <v>90.501071317411203</v>
      </c>
      <c r="AM5863">
        <v>89.819129205333695</v>
      </c>
      <c r="AN5863">
        <v>1.00000002275019</v>
      </c>
    </row>
    <row r="5864" spans="1:40" x14ac:dyDescent="0.25">
      <c r="A5864" t="str">
        <f>"20190312161137976"</f>
        <v>20190312161137976</v>
      </c>
      <c r="B5864" t="str">
        <f>"1552378297972953"</f>
        <v>1552378297972953</v>
      </c>
      <c r="C5864" t="s">
        <v>40</v>
      </c>
      <c r="D5864">
        <v>5.6265460000000003</v>
      </c>
      <c r="E5864">
        <v>0.38872570000000001</v>
      </c>
      <c r="F5864" t="s">
        <v>41</v>
      </c>
      <c r="G5864">
        <v>-261.75850000000003</v>
      </c>
      <c r="H5864" s="1">
        <v>-2.6114659999999998E-7</v>
      </c>
      <c r="I5864">
        <v>-62.268329999999999</v>
      </c>
      <c r="J5864">
        <v>-282.11840000000001</v>
      </c>
      <c r="K5864">
        <v>1.1134329999999999</v>
      </c>
      <c r="L5864">
        <v>-62.12988</v>
      </c>
      <c r="M5864">
        <v>0.95528869999999999</v>
      </c>
      <c r="N5864">
        <v>0</v>
      </c>
      <c r="O5864">
        <v>-0.29545549999999998</v>
      </c>
      <c r="P5864">
        <v>0.95415159999999999</v>
      </c>
      <c r="Q5864">
        <v>-1.9996150000000001E-2</v>
      </c>
      <c r="R5864">
        <v>-0.29865639999999999</v>
      </c>
      <c r="S5864">
        <v>3.1373600000000001</v>
      </c>
      <c r="T5864">
        <v>-0.17063049999999999</v>
      </c>
      <c r="U5864">
        <v>-2.5665279999999999E-2</v>
      </c>
      <c r="V5864">
        <v>3.4652419999999999E-3</v>
      </c>
      <c r="W5864">
        <v>-8.5708529999999998E-3</v>
      </c>
      <c r="X5864">
        <v>0.99995730000000005</v>
      </c>
      <c r="Y5864">
        <v>-0.28679969999999999</v>
      </c>
      <c r="Z5864">
        <v>2.3662570000000001E-2</v>
      </c>
      <c r="AA5864">
        <v>0.9576983</v>
      </c>
      <c r="AB5864">
        <v>17</v>
      </c>
      <c r="AC5864">
        <v>20.3598999999999</v>
      </c>
      <c r="AD5864">
        <v>-1.11343326114659</v>
      </c>
      <c r="AE5864">
        <v>-0.13844999999999799</v>
      </c>
      <c r="AF5864">
        <v>-5.8660229506514998</v>
      </c>
      <c r="AG5864">
        <v>-1.11343326114659</v>
      </c>
      <c r="AH5864">
        <v>19.4336327618837</v>
      </c>
      <c r="AI5864">
        <v>93.139518463058096</v>
      </c>
      <c r="AJ5864">
        <v>106.796388175787</v>
      </c>
      <c r="AK5864">
        <v>20.330175631517701</v>
      </c>
      <c r="AL5864">
        <v>90.4910796992624</v>
      </c>
      <c r="AM5864">
        <v>89.801448575022704</v>
      </c>
      <c r="AN5864">
        <v>1.00000003462327</v>
      </c>
    </row>
    <row r="5865" spans="1:40" x14ac:dyDescent="0.25">
      <c r="A5865" t="str">
        <f>"20190312161137991"</f>
        <v>20190312161137991</v>
      </c>
      <c r="B5865" t="str">
        <f>"1552378297983689"</f>
        <v>1552378297983689</v>
      </c>
      <c r="C5865" t="s">
        <v>40</v>
      </c>
      <c r="D5865">
        <v>5.7341989999999896</v>
      </c>
      <c r="E5865">
        <v>0.39004739999999999</v>
      </c>
      <c r="F5865" t="s">
        <v>41</v>
      </c>
      <c r="G5865">
        <v>-261.34899999999999</v>
      </c>
      <c r="H5865" s="1">
        <v>-1.252769E-7</v>
      </c>
      <c r="I5865">
        <v>-62.418050000000001</v>
      </c>
      <c r="J5865">
        <v>-282.01729999999998</v>
      </c>
      <c r="K5865">
        <v>1.113443</v>
      </c>
      <c r="L5865">
        <v>-62.1554</v>
      </c>
      <c r="M5865">
        <v>0.95668660000000005</v>
      </c>
      <c r="N5865">
        <v>0</v>
      </c>
      <c r="O5865">
        <v>-0.29089749999999998</v>
      </c>
      <c r="P5865">
        <v>0.95548390000000005</v>
      </c>
      <c r="Q5865">
        <v>-2.0094589999999999E-2</v>
      </c>
      <c r="R5865">
        <v>-0.29435889999999998</v>
      </c>
      <c r="S5865">
        <v>3.1270449999999999</v>
      </c>
      <c r="T5865">
        <v>-0.16763810000000001</v>
      </c>
      <c r="U5865">
        <v>-4.3395999999999997E-2</v>
      </c>
      <c r="V5865">
        <v>3.733877E-3</v>
      </c>
      <c r="W5865">
        <v>-8.6734429999999994E-3</v>
      </c>
      <c r="X5865">
        <v>0.99995540000000005</v>
      </c>
      <c r="Y5865">
        <v>-0.27680719999999998</v>
      </c>
      <c r="Z5865">
        <v>2.2817649999999998E-2</v>
      </c>
      <c r="AA5865">
        <v>0.96065449999999997</v>
      </c>
      <c r="AB5865">
        <v>17</v>
      </c>
      <c r="AC5865">
        <v>20.668299999999899</v>
      </c>
      <c r="AD5865">
        <v>-1.1134431252768999</v>
      </c>
      <c r="AE5865">
        <v>-0.26264999999999999</v>
      </c>
      <c r="AF5865">
        <v>-5.7447860281026903</v>
      </c>
      <c r="AG5865">
        <v>-1.1134431252768999</v>
      </c>
      <c r="AH5865">
        <v>19.793339357147101</v>
      </c>
      <c r="AI5865">
        <v>93.092340102674001</v>
      </c>
      <c r="AJ5865">
        <v>106.18475490910799</v>
      </c>
      <c r="AK5865">
        <v>20.640218143447498</v>
      </c>
      <c r="AL5865">
        <v>90.496957915637395</v>
      </c>
      <c r="AM5865">
        <v>89.786056059077097</v>
      </c>
      <c r="AN5865">
        <v>0.99999998622004205</v>
      </c>
    </row>
    <row r="5866" spans="1:40" x14ac:dyDescent="0.25">
      <c r="A5866" t="str">
        <f>"20190312161138003"</f>
        <v>20190312161138003</v>
      </c>
      <c r="B5866" t="str">
        <f>"1552378297993449"</f>
        <v>1552378297993449</v>
      </c>
      <c r="C5866" t="s">
        <v>40</v>
      </c>
      <c r="D5866">
        <v>5.7164849999999996</v>
      </c>
      <c r="E5866">
        <v>0.39098250000000001</v>
      </c>
      <c r="F5866" t="s">
        <v>41</v>
      </c>
      <c r="G5866">
        <v>-261.2285</v>
      </c>
      <c r="H5866" s="1">
        <v>-7.3396899999999894E-8</v>
      </c>
      <c r="I5866">
        <v>-62.417290000000001</v>
      </c>
      <c r="J5866">
        <v>-281.92329999999998</v>
      </c>
      <c r="K5866">
        <v>1.113445</v>
      </c>
      <c r="L5866">
        <v>-62.178769999999901</v>
      </c>
      <c r="M5866">
        <v>0.95796479999999995</v>
      </c>
      <c r="N5866">
        <v>0</v>
      </c>
      <c r="O5866">
        <v>-0.28665980000000002</v>
      </c>
      <c r="P5866">
        <v>0.95678929999999995</v>
      </c>
      <c r="Q5866">
        <v>-2.014459E-2</v>
      </c>
      <c r="R5866">
        <v>-0.29008390000000001</v>
      </c>
      <c r="S5866">
        <v>3.1241460000000001</v>
      </c>
      <c r="T5866">
        <v>-0.16732849999999999</v>
      </c>
      <c r="U5866">
        <v>-3.9367680000000002E-2</v>
      </c>
      <c r="V5866">
        <v>3.6904199999999998E-3</v>
      </c>
      <c r="W5866">
        <v>-8.7292900000000007E-3</v>
      </c>
      <c r="X5866">
        <v>0.99995509999999999</v>
      </c>
      <c r="Y5866">
        <v>-0.2737907</v>
      </c>
      <c r="Z5866">
        <v>2.2497880000000001E-2</v>
      </c>
      <c r="AA5866">
        <v>0.96152610000000005</v>
      </c>
      <c r="AB5866">
        <v>17</v>
      </c>
      <c r="AC5866">
        <v>20.694799999999901</v>
      </c>
      <c r="AD5866">
        <v>-1.1134450733968999</v>
      </c>
      <c r="AE5866">
        <v>-0.238520000000008</v>
      </c>
      <c r="AF5866">
        <v>-5.6877804450918301</v>
      </c>
      <c r="AG5866">
        <v>-1.1134450733968999</v>
      </c>
      <c r="AH5866">
        <v>19.837136795345199</v>
      </c>
      <c r="AI5866">
        <v>93.088414988550696</v>
      </c>
      <c r="AJ5866">
        <v>105.998860393626</v>
      </c>
      <c r="AK5866">
        <v>20.666460813605202</v>
      </c>
      <c r="AL5866">
        <v>90.500157821897503</v>
      </c>
      <c r="AM5866">
        <v>89.788545975068104</v>
      </c>
      <c r="AN5866">
        <v>1.0000000108598399</v>
      </c>
    </row>
    <row r="5867" spans="1:40" x14ac:dyDescent="0.25">
      <c r="A5867" t="str">
        <f>"20190312161138015"</f>
        <v>20190312161138015</v>
      </c>
      <c r="B5867" t="str">
        <f>"1552378298003213"</f>
        <v>1552378298003213</v>
      </c>
      <c r="C5867" t="s">
        <v>40</v>
      </c>
      <c r="D5867">
        <v>5.5700079999999996</v>
      </c>
      <c r="E5867">
        <v>0.39127590000000001</v>
      </c>
      <c r="F5867" t="s">
        <v>41</v>
      </c>
      <c r="G5867">
        <v>-260.88299999999998</v>
      </c>
      <c r="H5867" s="1">
        <v>7.9857610000000001E-8</v>
      </c>
      <c r="I5867">
        <v>-62.398350000000001</v>
      </c>
      <c r="J5867">
        <v>-281.83890000000002</v>
      </c>
      <c r="K5867">
        <v>1.1134470000000001</v>
      </c>
      <c r="L5867">
        <v>-62.199190000000002</v>
      </c>
      <c r="M5867">
        <v>0.95909549999999999</v>
      </c>
      <c r="N5867">
        <v>0</v>
      </c>
      <c r="O5867">
        <v>-0.28285379999999999</v>
      </c>
      <c r="P5867">
        <v>0.95788969999999996</v>
      </c>
      <c r="Q5867">
        <v>-2.0435249999999999E-2</v>
      </c>
      <c r="R5867">
        <v>-0.28640860000000001</v>
      </c>
      <c r="S5867">
        <v>3.1221619999999999</v>
      </c>
      <c r="T5867">
        <v>-0.1652235</v>
      </c>
      <c r="U5867">
        <v>-3.259277E-2</v>
      </c>
      <c r="V5867">
        <v>3.826033E-3</v>
      </c>
      <c r="W5867">
        <v>-9.0231089999999996E-3</v>
      </c>
      <c r="X5867">
        <v>0.99995199999999995</v>
      </c>
      <c r="Y5867">
        <v>-0.27207690000000001</v>
      </c>
      <c r="Z5867">
        <v>2.1990929999999999E-2</v>
      </c>
      <c r="AA5867">
        <v>0.9620242</v>
      </c>
      <c r="AB5867">
        <v>17</v>
      </c>
      <c r="AC5867">
        <v>20.9559</v>
      </c>
      <c r="AD5867">
        <v>-1.11344692014238</v>
      </c>
      <c r="AE5867">
        <v>-0.199159999999999</v>
      </c>
      <c r="AF5867">
        <v>-5.7206655434290496</v>
      </c>
      <c r="AG5867">
        <v>-1.11344692014238</v>
      </c>
      <c r="AH5867">
        <v>20.0996101151121</v>
      </c>
      <c r="AI5867">
        <v>93.049860575496396</v>
      </c>
      <c r="AJ5867">
        <v>105.887187699709</v>
      </c>
      <c r="AK5867">
        <v>20.927496388322901</v>
      </c>
      <c r="AL5867">
        <v>90.516993064422806</v>
      </c>
      <c r="AM5867">
        <v>89.780775003779993</v>
      </c>
      <c r="AN5867">
        <v>1.0000000286642701</v>
      </c>
    </row>
    <row r="5868" spans="1:40" x14ac:dyDescent="0.25">
      <c r="A5868" t="str">
        <f>"20190312161138029"</f>
        <v>20190312161138029</v>
      </c>
      <c r="B5868" t="str">
        <f>"1552378298023706"</f>
        <v>1552378298023706</v>
      </c>
      <c r="C5868" t="s">
        <v>40</v>
      </c>
      <c r="D5868">
        <v>5.7844199999999999</v>
      </c>
      <c r="E5868">
        <v>0.39235880000000001</v>
      </c>
      <c r="F5868" t="s">
        <v>109</v>
      </c>
      <c r="G5868">
        <v>-259.75740000000002</v>
      </c>
      <c r="H5868" s="1">
        <v>-3.6081670000000002E-6</v>
      </c>
      <c r="I5868">
        <v>-62.363030000000002</v>
      </c>
      <c r="J5868">
        <v>-281.74340000000001</v>
      </c>
      <c r="K5868">
        <v>1.1134459999999999</v>
      </c>
      <c r="L5868">
        <v>-62.222019999999901</v>
      </c>
      <c r="M5868">
        <v>0.96035429999999999</v>
      </c>
      <c r="N5868">
        <v>0</v>
      </c>
      <c r="O5868">
        <v>-0.27855029999999997</v>
      </c>
      <c r="P5868">
        <v>0.95917280000000005</v>
      </c>
      <c r="Q5868">
        <v>-2.0701589999999999E-2</v>
      </c>
      <c r="R5868">
        <v>-0.28206249999999999</v>
      </c>
      <c r="S5868">
        <v>3.1216430000000002</v>
      </c>
      <c r="T5868">
        <v>-0.15740799999999999</v>
      </c>
      <c r="U5868">
        <v>-2.3162840000000001E-2</v>
      </c>
      <c r="V5868">
        <v>3.7800189999999999E-3</v>
      </c>
      <c r="W5868">
        <v>-9.2945530000000005E-3</v>
      </c>
      <c r="X5868">
        <v>0.99994959999999999</v>
      </c>
      <c r="Y5868">
        <v>-0.27074409999999999</v>
      </c>
      <c r="Z5868">
        <v>2.0713860000000001E-2</v>
      </c>
      <c r="AA5868">
        <v>0.96242850000000002</v>
      </c>
      <c r="AB5868">
        <v>17</v>
      </c>
      <c r="AC5868">
        <v>21.985999999999901</v>
      </c>
      <c r="AD5868">
        <v>-1.113449608167</v>
      </c>
      <c r="AE5868">
        <v>-0.14101000000000799</v>
      </c>
      <c r="AF5868">
        <v>-5.9738537549992596</v>
      </c>
      <c r="AG5868">
        <v>-1.113449608167</v>
      </c>
      <c r="AH5868">
        <v>21.1008795396842</v>
      </c>
      <c r="AI5868">
        <v>92.906549167142401</v>
      </c>
      <c r="AJ5868">
        <v>105.807307245449</v>
      </c>
      <c r="AK5868">
        <v>21.9584565956788</v>
      </c>
      <c r="AL5868">
        <v>90.532546359221001</v>
      </c>
      <c r="AM5868">
        <v>89.783410980362703</v>
      </c>
      <c r="AN5868">
        <v>0.99999993989963298</v>
      </c>
    </row>
    <row r="5869" spans="1:40" x14ac:dyDescent="0.25">
      <c r="A5869" t="str">
        <f>"20190312161138042"</f>
        <v>20190312161138042</v>
      </c>
      <c r="B5869" t="str">
        <f>"1552378298033465"</f>
        <v>1552378298033465</v>
      </c>
      <c r="C5869" t="s">
        <v>40</v>
      </c>
      <c r="D5869">
        <v>5.697635</v>
      </c>
      <c r="E5869">
        <v>0.39276879999999997</v>
      </c>
      <c r="F5869" t="s">
        <v>109</v>
      </c>
      <c r="G5869">
        <v>-258.85219999999998</v>
      </c>
      <c r="H5869" s="1">
        <v>-3.2984749999999998E-6</v>
      </c>
      <c r="I5869">
        <v>-62.350790000000003</v>
      </c>
      <c r="J5869">
        <v>-281.64299999999997</v>
      </c>
      <c r="K5869">
        <v>1.113443</v>
      </c>
      <c r="L5869">
        <v>-62.245539999999998</v>
      </c>
      <c r="M5869">
        <v>0.96165449999999997</v>
      </c>
      <c r="N5869">
        <v>0</v>
      </c>
      <c r="O5869">
        <v>-0.27402749999999998</v>
      </c>
      <c r="P5869">
        <v>0.96045539999999996</v>
      </c>
      <c r="Q5869">
        <v>-2.095315E-2</v>
      </c>
      <c r="R5869">
        <v>-0.27764480000000002</v>
      </c>
      <c r="S5869">
        <v>3.1192630000000001</v>
      </c>
      <c r="T5869">
        <v>-0.15172369999999999</v>
      </c>
      <c r="U5869">
        <v>-1.7547610000000002E-2</v>
      </c>
      <c r="V5869">
        <v>3.8873150000000001E-3</v>
      </c>
      <c r="W5869">
        <v>-9.5499260000000002E-3</v>
      </c>
      <c r="X5869">
        <v>0.99994680000000002</v>
      </c>
      <c r="Y5869">
        <v>-0.26799650000000003</v>
      </c>
      <c r="Z5869">
        <v>1.9703089999999999E-2</v>
      </c>
      <c r="AA5869">
        <v>0.96321840000000003</v>
      </c>
      <c r="AB5869">
        <v>17</v>
      </c>
      <c r="AC5869">
        <v>22.790799999999901</v>
      </c>
      <c r="AD5869">
        <v>-1.113446298475</v>
      </c>
      <c r="AE5869">
        <v>-0.105249999999998</v>
      </c>
      <c r="AF5869">
        <v>-6.1298592887711898</v>
      </c>
      <c r="AG5869">
        <v>-1.113446298475</v>
      </c>
      <c r="AH5869">
        <v>21.894880472237698</v>
      </c>
      <c r="AI5869">
        <v>92.803601096491406</v>
      </c>
      <c r="AJ5869">
        <v>105.64053023801701</v>
      </c>
      <c r="AK5869">
        <v>22.764022677314699</v>
      </c>
      <c r="AL5869">
        <v>90.547178795112501</v>
      </c>
      <c r="AM5869">
        <v>89.777262529228594</v>
      </c>
      <c r="AN5869">
        <v>0.99999995756737603</v>
      </c>
    </row>
    <row r="5870" spans="1:40" x14ac:dyDescent="0.25">
      <c r="A5870" t="str">
        <f>"20190312161138053"</f>
        <v>20190312161138053</v>
      </c>
      <c r="B5870" t="str">
        <f>"1552378298043225"</f>
        <v>1552378298043225</v>
      </c>
      <c r="C5870" t="s">
        <v>40</v>
      </c>
      <c r="D5870">
        <v>5.8225660000000001</v>
      </c>
      <c r="E5870">
        <v>0.39325749999999998</v>
      </c>
      <c r="F5870" t="s">
        <v>109</v>
      </c>
      <c r="G5870">
        <v>-258.363</v>
      </c>
      <c r="H5870" s="1">
        <v>-3.124382E-6</v>
      </c>
      <c r="I5870">
        <v>-62.293840000000003</v>
      </c>
      <c r="J5870">
        <v>-281.56009999999998</v>
      </c>
      <c r="K5870">
        <v>1.1134459999999999</v>
      </c>
      <c r="L5870">
        <v>-62.264429999999997</v>
      </c>
      <c r="M5870">
        <v>0.96270880000000003</v>
      </c>
      <c r="N5870">
        <v>0</v>
      </c>
      <c r="O5870">
        <v>-0.27030090000000001</v>
      </c>
      <c r="P5870">
        <v>0.96149850000000003</v>
      </c>
      <c r="Q5870">
        <v>-2.11761E-2</v>
      </c>
      <c r="R5870">
        <v>-0.2739933</v>
      </c>
      <c r="S5870">
        <v>3.1184080000000001</v>
      </c>
      <c r="T5870">
        <v>-0.14914849999999999</v>
      </c>
      <c r="U5870">
        <v>-6.4697269999999998E-3</v>
      </c>
      <c r="V5870">
        <v>3.963973E-3</v>
      </c>
      <c r="W5870">
        <v>-9.7759030000000007E-3</v>
      </c>
      <c r="X5870">
        <v>0.99994430000000001</v>
      </c>
      <c r="Y5870">
        <v>-0.26771129999999999</v>
      </c>
      <c r="Z5870">
        <v>1.9196419999999999E-2</v>
      </c>
      <c r="AA5870">
        <v>0.96330789999999999</v>
      </c>
      <c r="AB5870">
        <v>17</v>
      </c>
      <c r="AC5870">
        <v>23.197099999999899</v>
      </c>
      <c r="AD5870">
        <v>-1.1134491243819999</v>
      </c>
      <c r="AE5870">
        <v>-2.94099999999986E-2</v>
      </c>
      <c r="AF5870">
        <v>-6.2279381292417497</v>
      </c>
      <c r="AG5870">
        <v>-1.1134491243819999</v>
      </c>
      <c r="AH5870">
        <v>22.290089837251099</v>
      </c>
      <c r="AI5870">
        <v>92.754378844805501</v>
      </c>
      <c r="AJ5870">
        <v>105.61057078277901</v>
      </c>
      <c r="AK5870">
        <v>23.1705651041786</v>
      </c>
      <c r="AL5870">
        <v>90.560126937156696</v>
      </c>
      <c r="AM5870">
        <v>89.772869615534503</v>
      </c>
      <c r="AN5870">
        <v>0.99999994223194799</v>
      </c>
    </row>
    <row r="5871" spans="1:40" x14ac:dyDescent="0.25">
      <c r="A5871" t="str">
        <f>"20190312161138065"</f>
        <v>20190312161138065</v>
      </c>
      <c r="B5871" t="str">
        <f>"1552378298063720"</f>
        <v>1552378298063720</v>
      </c>
      <c r="C5871" t="s">
        <v>40</v>
      </c>
      <c r="D5871">
        <v>5.7383280000000001</v>
      </c>
      <c r="E5871">
        <v>0.39422370000000001</v>
      </c>
      <c r="F5871" t="s">
        <v>109</v>
      </c>
      <c r="G5871">
        <v>-258.08479999999997</v>
      </c>
      <c r="H5871" s="1">
        <v>-3.0201070000000001E-6</v>
      </c>
      <c r="I5871">
        <v>-62.252719999999997</v>
      </c>
      <c r="J5871">
        <v>-281.4769</v>
      </c>
      <c r="K5871">
        <v>1.113443</v>
      </c>
      <c r="L5871">
        <v>-62.283290000000001</v>
      </c>
      <c r="M5871">
        <v>0.96375259999999996</v>
      </c>
      <c r="N5871">
        <v>0</v>
      </c>
      <c r="O5871">
        <v>-0.26655570000000001</v>
      </c>
      <c r="P5871">
        <v>0.96264209999999995</v>
      </c>
      <c r="Q5871">
        <v>-2.0799100000000001E-2</v>
      </c>
      <c r="R5871">
        <v>-0.26997700000000002</v>
      </c>
      <c r="S5871">
        <v>3.1173099999999998</v>
      </c>
      <c r="T5871">
        <v>-0.14785580000000001</v>
      </c>
      <c r="U5871">
        <v>1.556396E-3</v>
      </c>
      <c r="V5871">
        <v>3.6723680000000001E-3</v>
      </c>
      <c r="W5871">
        <v>-9.4052259999999992E-3</v>
      </c>
      <c r="X5871">
        <v>0.99994899999999998</v>
      </c>
      <c r="Y5871">
        <v>-0.26646029999999998</v>
      </c>
      <c r="Z5871">
        <v>1.8835950000000001E-2</v>
      </c>
      <c r="AA5871">
        <v>0.96366180000000001</v>
      </c>
      <c r="AB5871">
        <v>17</v>
      </c>
      <c r="AC5871">
        <v>23.392099999999999</v>
      </c>
      <c r="AD5871">
        <v>-1.113446020107</v>
      </c>
      <c r="AE5871">
        <v>3.0570000000004399E-2</v>
      </c>
      <c r="AF5871">
        <v>-6.2510007884175902</v>
      </c>
      <c r="AG5871">
        <v>-1.113446020107</v>
      </c>
      <c r="AH5871">
        <v>22.4865547236124</v>
      </c>
      <c r="AI5871">
        <v>92.731340993936001</v>
      </c>
      <c r="AJ5871">
        <v>105.535312325988</v>
      </c>
      <c r="AK5871">
        <v>23.3657851619522</v>
      </c>
      <c r="AL5871">
        <v>90.538887714448705</v>
      </c>
      <c r="AM5871">
        <v>89.789579027288795</v>
      </c>
      <c r="AN5871">
        <v>0.99999997358191794</v>
      </c>
    </row>
    <row r="5872" spans="1:40" x14ac:dyDescent="0.25">
      <c r="A5872" t="str">
        <f>"20190312161138076"</f>
        <v>20190312161138076</v>
      </c>
      <c r="B5872" t="str">
        <f>"1552378298073482"</f>
        <v>1552378298073482</v>
      </c>
      <c r="C5872" t="s">
        <v>40</v>
      </c>
      <c r="D5872">
        <v>5.8261849999999997</v>
      </c>
      <c r="E5872">
        <v>0.3947234</v>
      </c>
      <c r="F5872" t="s">
        <v>109</v>
      </c>
      <c r="G5872">
        <v>-257.45159999999998</v>
      </c>
      <c r="H5872" s="1">
        <v>-2.7432639999999999E-6</v>
      </c>
      <c r="I5872">
        <v>-62.229170000000003</v>
      </c>
      <c r="J5872">
        <v>-281.39409999999998</v>
      </c>
      <c r="K5872">
        <v>1.1134389999999901</v>
      </c>
      <c r="L5872">
        <v>-62.30151</v>
      </c>
      <c r="M5872">
        <v>0.96477239999999997</v>
      </c>
      <c r="N5872">
        <v>0</v>
      </c>
      <c r="O5872">
        <v>-0.26284109999999899</v>
      </c>
      <c r="P5872">
        <v>0.96369300000000002</v>
      </c>
      <c r="Q5872">
        <v>-2.086178E-2</v>
      </c>
      <c r="R5872">
        <v>-0.26619700000000002</v>
      </c>
      <c r="S5872">
        <v>3.115265</v>
      </c>
      <c r="T5872">
        <v>-0.14437649999999999</v>
      </c>
      <c r="U5872">
        <v>7.019043E-3</v>
      </c>
      <c r="V5872">
        <v>3.6007389999999999E-3</v>
      </c>
      <c r="W5872">
        <v>-9.4746080000000007E-3</v>
      </c>
      <c r="X5872">
        <v>0.99994859999999997</v>
      </c>
      <c r="Y5872">
        <v>-0.26447019999999999</v>
      </c>
      <c r="Z5872">
        <v>1.819258E-2</v>
      </c>
      <c r="AA5872">
        <v>0.96422229999999998</v>
      </c>
      <c r="AB5872">
        <v>17</v>
      </c>
      <c r="AC5872">
        <v>23.9424999999999</v>
      </c>
      <c r="AD5872">
        <v>-1.11344174326399</v>
      </c>
      <c r="AE5872">
        <v>7.2340000000003998E-2</v>
      </c>
      <c r="AF5872">
        <v>-6.3495423709949801</v>
      </c>
      <c r="AG5872">
        <v>-1.11344174326399</v>
      </c>
      <c r="AH5872">
        <v>23.0317252154804</v>
      </c>
      <c r="AI5872">
        <v>92.668349658122693</v>
      </c>
      <c r="AJ5872">
        <v>105.412828309212</v>
      </c>
      <c r="AK5872">
        <v>23.916872856586</v>
      </c>
      <c r="AL5872">
        <v>90.542863190450802</v>
      </c>
      <c r="AM5872">
        <v>89.793683139182704</v>
      </c>
      <c r="AN5872">
        <v>0.999999968080029</v>
      </c>
    </row>
    <row r="5873" spans="1:40" x14ac:dyDescent="0.25">
      <c r="A5873" t="str">
        <f>"20190312161138089"</f>
        <v>20190312161138089</v>
      </c>
      <c r="B5873" t="str">
        <f>"1552378298083241"</f>
        <v>1552378298083241</v>
      </c>
      <c r="C5873" t="s">
        <v>40</v>
      </c>
      <c r="D5873">
        <v>5.9303509999999999</v>
      </c>
      <c r="E5873">
        <v>0.39520820000000001</v>
      </c>
      <c r="F5873" t="s">
        <v>109</v>
      </c>
      <c r="G5873">
        <v>-257.28820000000002</v>
      </c>
      <c r="H5873" s="1">
        <v>-2.6627719999999998E-6</v>
      </c>
      <c r="I5873">
        <v>-62.182459999999999</v>
      </c>
      <c r="J5873">
        <v>-281.30680000000001</v>
      </c>
      <c r="K5873">
        <v>1.1134329999999999</v>
      </c>
      <c r="L5873">
        <v>-62.320500000000003</v>
      </c>
      <c r="M5873">
        <v>0.965831</v>
      </c>
      <c r="N5873">
        <v>0</v>
      </c>
      <c r="O5873">
        <v>-0.25892480000000001</v>
      </c>
      <c r="P5873">
        <v>0.96474720000000003</v>
      </c>
      <c r="Q5873">
        <v>-2.1119120000000002E-2</v>
      </c>
      <c r="R5873">
        <v>-0.26233020000000001</v>
      </c>
      <c r="S5873">
        <v>3.1141969999999999</v>
      </c>
      <c r="T5873">
        <v>-0.14384340000000001</v>
      </c>
      <c r="U5873">
        <v>1.538086E-2</v>
      </c>
      <c r="V5873">
        <v>3.6512649999999999E-3</v>
      </c>
      <c r="W5873">
        <v>-9.7391969999999998E-3</v>
      </c>
      <c r="X5873">
        <v>0.99994590000000005</v>
      </c>
      <c r="Y5873">
        <v>-0.26315670000000002</v>
      </c>
      <c r="Z5873">
        <v>1.7926379999999999E-2</v>
      </c>
      <c r="AA5873">
        <v>0.96458659999999996</v>
      </c>
      <c r="AB5873">
        <v>17</v>
      </c>
      <c r="AC5873">
        <v>24.0185999999999</v>
      </c>
      <c r="AD5873">
        <v>-1.1134356627719999</v>
      </c>
      <c r="AE5873">
        <v>0.13804000000000299</v>
      </c>
      <c r="AF5873">
        <v>-6.3391201876321102</v>
      </c>
      <c r="AG5873">
        <v>-1.1134356627719999</v>
      </c>
      <c r="AH5873">
        <v>23.113983814230401</v>
      </c>
      <c r="AI5873">
        <v>92.659824771654897</v>
      </c>
      <c r="AJ5873">
        <v>105.336546910374</v>
      </c>
      <c r="AK5873">
        <v>23.993341399081601</v>
      </c>
      <c r="AL5873">
        <v>90.558023709523397</v>
      </c>
      <c r="AM5873">
        <v>89.790787536990706</v>
      </c>
      <c r="AN5873">
        <v>0.999999993310557</v>
      </c>
    </row>
    <row r="5874" spans="1:40" x14ac:dyDescent="0.25">
      <c r="A5874" t="str">
        <f>"20190312161138099"</f>
        <v>20190312161138099</v>
      </c>
      <c r="B5874" t="str">
        <f>"1552378298093000"</f>
        <v>1552378298093000</v>
      </c>
      <c r="C5874" t="s">
        <v>40</v>
      </c>
      <c r="D5874">
        <v>5.8366860000000003</v>
      </c>
      <c r="E5874">
        <v>0.3956886</v>
      </c>
      <c r="F5874" t="s">
        <v>109</v>
      </c>
      <c r="G5874">
        <v>-257.20499999999998</v>
      </c>
      <c r="H5874" s="1">
        <v>-2.6163339999999999E-6</v>
      </c>
      <c r="I5874">
        <v>-62.134079999999997</v>
      </c>
      <c r="J5874">
        <v>-281.22710000000001</v>
      </c>
      <c r="K5874">
        <v>1.1134219999999999</v>
      </c>
      <c r="L5874">
        <v>-62.337519999999998</v>
      </c>
      <c r="M5874">
        <v>0.96678109999999995</v>
      </c>
      <c r="N5874">
        <v>0</v>
      </c>
      <c r="O5874">
        <v>-0.25535409999999997</v>
      </c>
      <c r="P5874">
        <v>0.96568719999999997</v>
      </c>
      <c r="Q5874">
        <v>-2.1510410000000001E-2</v>
      </c>
      <c r="R5874">
        <v>-0.25881559999999998</v>
      </c>
      <c r="S5874">
        <v>3.1130369999999998</v>
      </c>
      <c r="T5874">
        <v>-0.14381369999999999</v>
      </c>
      <c r="U5874">
        <v>2.4078370000000002E-2</v>
      </c>
      <c r="V5874">
        <v>3.7107379999999999E-3</v>
      </c>
      <c r="W5874">
        <v>-1.013847E-2</v>
      </c>
      <c r="X5874">
        <v>0.99994170000000004</v>
      </c>
      <c r="Y5874">
        <v>-0.2622932</v>
      </c>
      <c r="Z5874">
        <v>1.7749709999999998E-2</v>
      </c>
      <c r="AA5874">
        <v>0.96482500000000004</v>
      </c>
      <c r="AB5874">
        <v>17</v>
      </c>
      <c r="AC5874">
        <v>24.022099999999998</v>
      </c>
      <c r="AD5874">
        <v>-1.11342461633399</v>
      </c>
      <c r="AE5874">
        <v>0.20343999999999299</v>
      </c>
      <c r="AF5874">
        <v>-6.3176593435578701</v>
      </c>
      <c r="AG5874">
        <v>-1.11342461633399</v>
      </c>
      <c r="AH5874">
        <v>23.123978776104099</v>
      </c>
      <c r="AI5874">
        <v>92.659358083955993</v>
      </c>
      <c r="AJ5874">
        <v>105.280760073623</v>
      </c>
      <c r="AK5874">
        <v>23.997310857577698</v>
      </c>
      <c r="AL5874">
        <v>90.5809015048509</v>
      </c>
      <c r="AM5874">
        <v>89.7873789538681</v>
      </c>
      <c r="AN5874">
        <v>0.99999998077466701</v>
      </c>
    </row>
    <row r="5875" spans="1:40" x14ac:dyDescent="0.25">
      <c r="A5875" t="str">
        <f>"20190312161138111"</f>
        <v>20190312161138111</v>
      </c>
      <c r="B5875" t="str">
        <f>"1552378298103737"</f>
        <v>1552378298103737</v>
      </c>
      <c r="C5875" t="s">
        <v>40</v>
      </c>
      <c r="D5875">
        <v>5.8226269999999998</v>
      </c>
      <c r="E5875">
        <v>0.3962194</v>
      </c>
      <c r="F5875" t="s">
        <v>109</v>
      </c>
      <c r="G5875">
        <v>-257.2346</v>
      </c>
      <c r="H5875" s="1">
        <v>-2.6199059999999998E-6</v>
      </c>
      <c r="I5875">
        <v>-62.093060000000001</v>
      </c>
      <c r="J5875">
        <v>-281.14190000000002</v>
      </c>
      <c r="K5875">
        <v>1.11341</v>
      </c>
      <c r="L5875">
        <v>-62.355350000000001</v>
      </c>
      <c r="M5875">
        <v>0.96777679999999999</v>
      </c>
      <c r="N5875">
        <v>0</v>
      </c>
      <c r="O5875">
        <v>-0.25155429999999901</v>
      </c>
      <c r="P5875">
        <v>0.96667519999999996</v>
      </c>
      <c r="Q5875">
        <v>-2.18689E-2</v>
      </c>
      <c r="R5875">
        <v>-0.25506970000000001</v>
      </c>
      <c r="S5875">
        <v>3.1118769999999998</v>
      </c>
      <c r="T5875">
        <v>-0.14441409999999999</v>
      </c>
      <c r="U5875">
        <v>3.1707760000000001E-2</v>
      </c>
      <c r="V5875">
        <v>3.76699E-3</v>
      </c>
      <c r="W5875">
        <v>-1.050602E-2</v>
      </c>
      <c r="X5875">
        <v>0.99993770000000004</v>
      </c>
      <c r="Y5875">
        <v>-0.26087110000000002</v>
      </c>
      <c r="Z5875">
        <v>1.7626240000000001E-2</v>
      </c>
      <c r="AA5875">
        <v>0.96521270000000003</v>
      </c>
      <c r="AB5875">
        <v>17</v>
      </c>
      <c r="AC5875">
        <v>23.907299999999999</v>
      </c>
      <c r="AD5875">
        <v>-1.1134126199059999</v>
      </c>
      <c r="AE5875">
        <v>0.26229000000000702</v>
      </c>
      <c r="AF5875">
        <v>-6.25466057249443</v>
      </c>
      <c r="AG5875">
        <v>-1.1134126199059999</v>
      </c>
      <c r="AH5875">
        <v>23.022503716917001</v>
      </c>
      <c r="AI5875">
        <v>92.672070555825101</v>
      </c>
      <c r="AJ5875">
        <v>105.199037617248</v>
      </c>
      <c r="AK5875">
        <v>23.882967653428999</v>
      </c>
      <c r="AL5875">
        <v>90.601961688423003</v>
      </c>
      <c r="AM5875">
        <v>89.784154945407295</v>
      </c>
      <c r="AN5875">
        <v>0.99999998527559497</v>
      </c>
    </row>
    <row r="5876" spans="1:40" x14ac:dyDescent="0.25">
      <c r="A5876" t="str">
        <f>"20190312161138122"</f>
        <v>20190312161138122</v>
      </c>
      <c r="B5876" t="str">
        <f>"1552378298113497"</f>
        <v>1552378298113497</v>
      </c>
      <c r="C5876" t="s">
        <v>40</v>
      </c>
      <c r="D5876">
        <v>5.8338469999999996</v>
      </c>
      <c r="E5876">
        <v>0.3962194</v>
      </c>
      <c r="F5876" t="s">
        <v>109</v>
      </c>
      <c r="G5876">
        <v>-257.13819999999998</v>
      </c>
      <c r="H5876" s="1">
        <v>-2.5687390000000001E-6</v>
      </c>
      <c r="I5876">
        <v>-62.048969999999997</v>
      </c>
      <c r="J5876">
        <v>-281.06650000000002</v>
      </c>
      <c r="K5876">
        <v>1.1133999999999999</v>
      </c>
      <c r="L5876">
        <v>-62.370910000000002</v>
      </c>
      <c r="M5876">
        <v>0.96864399999999995</v>
      </c>
      <c r="N5876">
        <v>0</v>
      </c>
      <c r="O5876">
        <v>-0.24819430000000001</v>
      </c>
      <c r="P5876">
        <v>0.96744070000000004</v>
      </c>
      <c r="Q5876">
        <v>-2.2458100000000002E-2</v>
      </c>
      <c r="R5876">
        <v>-0.25209959999999998</v>
      </c>
      <c r="S5876">
        <v>3.1105960000000001</v>
      </c>
      <c r="T5876">
        <v>-0.14428529999999901</v>
      </c>
      <c r="U5876">
        <v>3.9703370000000002E-2</v>
      </c>
      <c r="V5876">
        <v>4.1739730000000001E-3</v>
      </c>
      <c r="W5876">
        <v>-1.1100519999999999E-2</v>
      </c>
      <c r="X5876">
        <v>0.99992970000000003</v>
      </c>
      <c r="Y5876">
        <v>-0.26001099999999999</v>
      </c>
      <c r="Z5876">
        <v>1.7446489999999999E-2</v>
      </c>
      <c r="AA5876">
        <v>0.96544799999999997</v>
      </c>
      <c r="AB5876">
        <v>17</v>
      </c>
      <c r="AC5876">
        <v>23.9283</v>
      </c>
      <c r="AD5876">
        <v>-1.1134025687389999</v>
      </c>
      <c r="AE5876">
        <v>0.32193999999999701</v>
      </c>
      <c r="AF5876">
        <v>-6.2376115282761804</v>
      </c>
      <c r="AG5876">
        <v>-1.1134025687389999</v>
      </c>
      <c r="AH5876">
        <v>23.049687319665601</v>
      </c>
      <c r="AI5876">
        <v>92.669613408652907</v>
      </c>
      <c r="AJ5876">
        <v>105.142459945908</v>
      </c>
      <c r="AK5876">
        <v>23.904718119904899</v>
      </c>
      <c r="AL5876">
        <v>90.636025993438395</v>
      </c>
      <c r="AM5876">
        <v>89.760833538910802</v>
      </c>
      <c r="AN5876">
        <v>1.0000000242684799</v>
      </c>
    </row>
    <row r="5877" spans="1:40" x14ac:dyDescent="0.25">
      <c r="A5877" t="str">
        <f>"20190312161138133"</f>
        <v>20190312161138133</v>
      </c>
      <c r="B5877" t="str">
        <f>"1552378298123257"</f>
        <v>1552378298123257</v>
      </c>
      <c r="C5877" t="s">
        <v>40</v>
      </c>
      <c r="D5877">
        <v>5.8634430000000002</v>
      </c>
      <c r="E5877">
        <v>0.40758499999999998</v>
      </c>
      <c r="F5877" t="s">
        <v>109</v>
      </c>
      <c r="G5877">
        <v>-257.2561</v>
      </c>
      <c r="H5877" s="1">
        <v>-2.6069340000000001E-6</v>
      </c>
      <c r="I5877">
        <v>-61.993400000000001</v>
      </c>
      <c r="J5877">
        <v>-280.9871</v>
      </c>
      <c r="K5877">
        <v>1.113386</v>
      </c>
      <c r="L5877">
        <v>-62.386870000000002</v>
      </c>
      <c r="M5877">
        <v>0.96953829999999996</v>
      </c>
      <c r="N5877">
        <v>0</v>
      </c>
      <c r="O5877">
        <v>-0.2446786</v>
      </c>
      <c r="P5877">
        <v>0.96822810000000004</v>
      </c>
      <c r="Q5877">
        <v>-2.323969E-2</v>
      </c>
      <c r="R5877">
        <v>-0.24898680000000001</v>
      </c>
      <c r="S5877">
        <v>3.1104430000000001</v>
      </c>
      <c r="T5877">
        <v>-0.14544770000000001</v>
      </c>
      <c r="U5877">
        <v>4.9316409999999998E-2</v>
      </c>
      <c r="V5877">
        <v>4.5961300000000004E-3</v>
      </c>
      <c r="W5877">
        <v>-1.188736E-2</v>
      </c>
      <c r="X5877">
        <v>0.9999188</v>
      </c>
      <c r="Y5877">
        <v>-0.25948749999999998</v>
      </c>
      <c r="Z5877">
        <v>1.7415719999999999E-2</v>
      </c>
      <c r="AA5877">
        <v>0.96558949999999999</v>
      </c>
      <c r="AB5877">
        <v>17</v>
      </c>
      <c r="AC5877">
        <v>23.730999999999899</v>
      </c>
      <c r="AD5877">
        <v>-1.113388606934</v>
      </c>
      <c r="AE5877">
        <v>0.39346999999999299</v>
      </c>
      <c r="AF5877">
        <v>-6.1747595419330201</v>
      </c>
      <c r="AG5877">
        <v>-1.113388606934</v>
      </c>
      <c r="AH5877">
        <v>22.862992274612299</v>
      </c>
      <c r="AI5877">
        <v>92.691712497909805</v>
      </c>
      <c r="AJ5877">
        <v>105.113666445362</v>
      </c>
      <c r="AK5877">
        <v>23.708304564850799</v>
      </c>
      <c r="AL5877">
        <v>90.681111585695902</v>
      </c>
      <c r="AM5877">
        <v>89.736641618776304</v>
      </c>
      <c r="AN5877">
        <v>1.0000000201660899</v>
      </c>
    </row>
    <row r="5878" spans="1:40" x14ac:dyDescent="0.25">
      <c r="A5878" t="str">
        <f>"20190312161138147"</f>
        <v>20190312161138147</v>
      </c>
      <c r="B5878" t="str">
        <f>"1552378298143754"</f>
        <v>1552378298143754</v>
      </c>
      <c r="C5878" t="s">
        <v>40</v>
      </c>
      <c r="D5878">
        <v>5.8549819999999997</v>
      </c>
      <c r="E5878">
        <v>0.40915940000000001</v>
      </c>
      <c r="F5878" t="s">
        <v>109</v>
      </c>
      <c r="G5878">
        <v>-257.39150000000001</v>
      </c>
      <c r="H5878" s="1">
        <v>-2.801179E-6</v>
      </c>
      <c r="I5878">
        <v>-62.605629999999998</v>
      </c>
      <c r="J5878">
        <v>-280.88560000000001</v>
      </c>
      <c r="K5878">
        <v>1.113364</v>
      </c>
      <c r="L5878">
        <v>-62.407069999999997</v>
      </c>
      <c r="M5878">
        <v>0.97065959999999996</v>
      </c>
      <c r="N5878">
        <v>0</v>
      </c>
      <c r="O5878">
        <v>-0.24019190000000001</v>
      </c>
      <c r="P5878">
        <v>0.96931230000000002</v>
      </c>
      <c r="Q5878">
        <v>-2.3164669999999998E-2</v>
      </c>
      <c r="R5878">
        <v>-0.2447387</v>
      </c>
      <c r="S5878">
        <v>3.0875849999999998</v>
      </c>
      <c r="T5878">
        <v>-0.1456916</v>
      </c>
      <c r="U5878">
        <v>-2.862549E-2</v>
      </c>
      <c r="V5878">
        <v>4.8346120000000003E-3</v>
      </c>
      <c r="W5878">
        <v>-1.182101E-2</v>
      </c>
      <c r="X5878">
        <v>0.99991850000000004</v>
      </c>
      <c r="Y5878">
        <v>-0.23067799999999999</v>
      </c>
      <c r="Z5878">
        <v>1.6679869999999999E-2</v>
      </c>
      <c r="AA5878">
        <v>0.97288719999999995</v>
      </c>
      <c r="AB5878">
        <v>17</v>
      </c>
      <c r="AC5878">
        <v>23.4941</v>
      </c>
      <c r="AD5878">
        <v>-1.1133668011789899</v>
      </c>
      <c r="AE5878">
        <v>-0.19856000000000701</v>
      </c>
      <c r="AF5878">
        <v>-5.4384940819024497</v>
      </c>
      <c r="AG5878">
        <v>-1.1133668011789899</v>
      </c>
      <c r="AH5878">
        <v>22.802721275267199</v>
      </c>
      <c r="AI5878">
        <v>92.719158364275501</v>
      </c>
      <c r="AJ5878">
        <v>103.414549861761</v>
      </c>
      <c r="AK5878">
        <v>23.468721760470501</v>
      </c>
      <c r="AL5878">
        <v>90.677309717911697</v>
      </c>
      <c r="AM5878">
        <v>89.722976717913696</v>
      </c>
      <c r="AN5878">
        <v>1.0000000581964199</v>
      </c>
    </row>
    <row r="5879" spans="1:40" x14ac:dyDescent="0.25">
      <c r="A5879" t="str">
        <f>"20190312161138160"</f>
        <v>20190312161138160</v>
      </c>
      <c r="B5879" t="str">
        <f>"1552378298153513"</f>
        <v>1552378298153513</v>
      </c>
      <c r="C5879" t="s">
        <v>40</v>
      </c>
      <c r="D5879">
        <v>5.8752120000000003</v>
      </c>
      <c r="E5879">
        <v>0.40966259999999999</v>
      </c>
      <c r="F5879" t="s">
        <v>109</v>
      </c>
      <c r="G5879">
        <v>-257.43209999999999</v>
      </c>
      <c r="H5879" s="1">
        <v>-2.8203809999999998E-6</v>
      </c>
      <c r="I5879">
        <v>-62.613590000000002</v>
      </c>
      <c r="J5879">
        <v>-280.78910000000002</v>
      </c>
      <c r="K5879">
        <v>1.11334</v>
      </c>
      <c r="L5879">
        <v>-62.425719999999998</v>
      </c>
      <c r="M5879">
        <v>0.97169729999999999</v>
      </c>
      <c r="N5879">
        <v>0</v>
      </c>
      <c r="O5879">
        <v>-0.235959</v>
      </c>
      <c r="P5879">
        <v>0.9702501</v>
      </c>
      <c r="Q5879">
        <v>-2.3218849999999999E-2</v>
      </c>
      <c r="R5879">
        <v>-0.2409878</v>
      </c>
      <c r="S5879">
        <v>3.084625</v>
      </c>
      <c r="T5879">
        <v>-0.14643120000000001</v>
      </c>
      <c r="U5879">
        <v>-2.716064E-2</v>
      </c>
      <c r="V5879">
        <v>5.3256099999999997E-3</v>
      </c>
      <c r="W5879">
        <v>-1.1881060000000001E-2</v>
      </c>
      <c r="X5879">
        <v>0.9999152</v>
      </c>
      <c r="Y5879">
        <v>-0.2268916</v>
      </c>
      <c r="Z5879">
        <v>1.6494640000000001E-2</v>
      </c>
      <c r="AA5879">
        <v>0.97378030000000004</v>
      </c>
      <c r="AB5879">
        <v>17</v>
      </c>
      <c r="AC5879">
        <v>23.356999999999999</v>
      </c>
      <c r="AD5879">
        <v>-1.1133428203810001</v>
      </c>
      <c r="AE5879">
        <v>-0.18787000000000301</v>
      </c>
      <c r="AF5879">
        <v>-5.31700200918036</v>
      </c>
      <c r="AG5879">
        <v>-1.1133428203810001</v>
      </c>
      <c r="AH5879">
        <v>22.690165098217498</v>
      </c>
      <c r="AI5879">
        <v>92.735117192222006</v>
      </c>
      <c r="AJ5879">
        <v>103.18820402726099</v>
      </c>
      <c r="AK5879">
        <v>23.331387330925899</v>
      </c>
      <c r="AL5879">
        <v>90.680750634730003</v>
      </c>
      <c r="AM5879">
        <v>89.694842031470202</v>
      </c>
      <c r="AN5879">
        <v>0.99999996444981698</v>
      </c>
    </row>
    <row r="5880" spans="1:40" x14ac:dyDescent="0.25">
      <c r="A5880" t="str">
        <f>"20190312161138173"</f>
        <v>20190312161138173</v>
      </c>
      <c r="B5880" t="str">
        <f>"1552378298163273"</f>
        <v>1552378298163273</v>
      </c>
      <c r="C5880" t="s">
        <v>40</v>
      </c>
      <c r="D5880">
        <v>5.8195519999999998</v>
      </c>
      <c r="E5880">
        <v>0.41028409999999899</v>
      </c>
      <c r="F5880" t="s">
        <v>109</v>
      </c>
      <c r="G5880">
        <v>-257.64170000000001</v>
      </c>
      <c r="H5880" s="1">
        <v>-2.9004289999999898E-6</v>
      </c>
      <c r="I5880">
        <v>-62.569360000000003</v>
      </c>
      <c r="J5880">
        <v>-280.69740000000002</v>
      </c>
      <c r="K5880">
        <v>1.113318</v>
      </c>
      <c r="L5880">
        <v>-62.443080000000002</v>
      </c>
      <c r="M5880">
        <v>0.9726593</v>
      </c>
      <c r="N5880">
        <v>0</v>
      </c>
      <c r="O5880">
        <v>-0.23196220000000001</v>
      </c>
      <c r="P5880">
        <v>0.97114549999999999</v>
      </c>
      <c r="Q5880">
        <v>-2.3298139999999998E-2</v>
      </c>
      <c r="R5880">
        <v>-0.2373478</v>
      </c>
      <c r="S5880">
        <v>3.0836489999999999</v>
      </c>
      <c r="T5880">
        <v>-0.148316899999999</v>
      </c>
      <c r="U5880">
        <v>-1.9134519999999999E-2</v>
      </c>
      <c r="V5880">
        <v>5.6870360000000003E-3</v>
      </c>
      <c r="W5880">
        <v>-1.19671E-2</v>
      </c>
      <c r="X5880">
        <v>0.99991220000000003</v>
      </c>
      <c r="Y5880">
        <v>-0.2254119</v>
      </c>
      <c r="Z5880">
        <v>1.648962E-2</v>
      </c>
      <c r="AA5880">
        <v>0.97412399999999999</v>
      </c>
      <c r="AB5880">
        <v>17</v>
      </c>
      <c r="AC5880">
        <v>23.055700000000002</v>
      </c>
      <c r="AD5880">
        <v>-1.1133209004289999</v>
      </c>
      <c r="AE5880">
        <v>-0.12627999999999401</v>
      </c>
      <c r="AF5880">
        <v>-5.2134003782877496</v>
      </c>
      <c r="AG5880">
        <v>-1.1133209004289999</v>
      </c>
      <c r="AH5880">
        <v>22.4038251682849</v>
      </c>
      <c r="AI5880">
        <v>92.770963791103497</v>
      </c>
      <c r="AJ5880">
        <v>103.099677210181</v>
      </c>
      <c r="AK5880">
        <v>23.029338008347899</v>
      </c>
      <c r="AL5880">
        <v>90.685680703075903</v>
      </c>
      <c r="AM5880">
        <v>89.674131741424205</v>
      </c>
      <c r="AN5880">
        <v>0.99999998078485697</v>
      </c>
    </row>
    <row r="5881" spans="1:40" x14ac:dyDescent="0.25">
      <c r="A5881" t="str">
        <f>"20190312161138189"</f>
        <v>20190312161138189</v>
      </c>
      <c r="B5881" t="str">
        <f>"1552378298182793"</f>
        <v>1552378298182793</v>
      </c>
      <c r="C5881" t="s">
        <v>40</v>
      </c>
      <c r="D5881">
        <v>5.8609650000000002</v>
      </c>
      <c r="E5881">
        <v>0.41127399999999997</v>
      </c>
      <c r="F5881" t="s">
        <v>109</v>
      </c>
      <c r="G5881">
        <v>-257.82490000000001</v>
      </c>
      <c r="H5881" s="1">
        <v>-2.9711889999999999E-6</v>
      </c>
      <c r="I5881">
        <v>-62.534109999999998</v>
      </c>
      <c r="J5881">
        <v>-280.57530000000003</v>
      </c>
      <c r="K5881">
        <v>1.113278</v>
      </c>
      <c r="L5881">
        <v>-62.465699999999998</v>
      </c>
      <c r="M5881">
        <v>0.97390650000000001</v>
      </c>
      <c r="N5881">
        <v>0</v>
      </c>
      <c r="O5881">
        <v>-0.22667000000000001</v>
      </c>
      <c r="P5881">
        <v>0.97219529999999998</v>
      </c>
      <c r="Q5881">
        <v>-2.310245E-2</v>
      </c>
      <c r="R5881">
        <v>-0.2330305</v>
      </c>
      <c r="S5881">
        <v>3.0825499999999999</v>
      </c>
      <c r="T5881">
        <v>-0.15004289999999901</v>
      </c>
      <c r="U5881">
        <v>-1.2268070000000001E-2</v>
      </c>
      <c r="V5881">
        <v>6.6774030000000002E-3</v>
      </c>
      <c r="W5881">
        <v>-1.1777899999999999E-2</v>
      </c>
      <c r="X5881">
        <v>0.99990829999999997</v>
      </c>
      <c r="Y5881">
        <v>-0.22227859999999999</v>
      </c>
      <c r="Z5881">
        <v>1.6359760000000001E-2</v>
      </c>
      <c r="AA5881">
        <v>0.97484590000000004</v>
      </c>
      <c r="AB5881">
        <v>17</v>
      </c>
      <c r="AC5881">
        <v>22.750399999999999</v>
      </c>
      <c r="AD5881">
        <v>-1.1132809711889999</v>
      </c>
      <c r="AE5881">
        <v>-6.8409999999999999E-2</v>
      </c>
      <c r="AF5881">
        <v>-5.0783705622134896</v>
      </c>
      <c r="AG5881">
        <v>-1.1132809711889999</v>
      </c>
      <c r="AH5881">
        <v>22.120705653054699</v>
      </c>
      <c r="AI5881">
        <v>92.8081944356869</v>
      </c>
      <c r="AJ5881">
        <v>102.92965862054599</v>
      </c>
      <c r="AK5881">
        <v>22.723442975857701</v>
      </c>
      <c r="AL5881">
        <v>90.674839592976298</v>
      </c>
      <c r="AM5881">
        <v>89.617383591184407</v>
      </c>
      <c r="AN5881">
        <v>0.99999995752406101</v>
      </c>
    </row>
    <row r="5882" spans="1:40" x14ac:dyDescent="0.25">
      <c r="A5882" t="str">
        <f>"20190312161138199"</f>
        <v>20190312161138199</v>
      </c>
      <c r="B5882" t="str">
        <f>"1552378298193529"</f>
        <v>1552378298193529</v>
      </c>
      <c r="C5882" t="s">
        <v>40</v>
      </c>
      <c r="D5882">
        <v>4.7347289999999997</v>
      </c>
      <c r="E5882">
        <v>0.41127399999999997</v>
      </c>
      <c r="F5882" t="s">
        <v>109</v>
      </c>
      <c r="G5882">
        <v>-257.82830000000001</v>
      </c>
      <c r="H5882" s="1">
        <v>-2.9676260000000001E-6</v>
      </c>
      <c r="I5882">
        <v>-62.51144</v>
      </c>
      <c r="J5882">
        <v>-280.49549999999999</v>
      </c>
      <c r="K5882">
        <v>1.113253</v>
      </c>
      <c r="L5882">
        <v>-62.480159999999998</v>
      </c>
      <c r="M5882">
        <v>0.97469879999999998</v>
      </c>
      <c r="N5882">
        <v>0</v>
      </c>
      <c r="O5882">
        <v>-0.2232383</v>
      </c>
      <c r="P5882">
        <v>0.97288350000000001</v>
      </c>
      <c r="Q5882">
        <v>-2.3059820000000002E-2</v>
      </c>
      <c r="R5882">
        <v>-0.23014309999999999</v>
      </c>
      <c r="S5882">
        <v>3.0807500000000001</v>
      </c>
      <c r="T5882">
        <v>-0.15077769999999999</v>
      </c>
      <c r="U5882">
        <v>-6.1950679999999998E-3</v>
      </c>
      <c r="V5882">
        <v>7.2297029999999997E-3</v>
      </c>
      <c r="W5882">
        <v>-1.174248E-2</v>
      </c>
      <c r="X5882">
        <v>0.99990489999999999</v>
      </c>
      <c r="Y5882">
        <v>-0.22076390000000001</v>
      </c>
      <c r="Z5882">
        <v>1.6248479999999999E-2</v>
      </c>
      <c r="AA5882">
        <v>0.97519199999999995</v>
      </c>
      <c r="AB5882">
        <v>17</v>
      </c>
      <c r="AC5882">
        <v>22.667199999999902</v>
      </c>
      <c r="AD5882">
        <v>-1.1132559676260001</v>
      </c>
      <c r="AE5882">
        <v>-3.1280000000002403E-2</v>
      </c>
      <c r="AF5882">
        <v>-5.0179141470944</v>
      </c>
      <c r="AG5882">
        <v>-1.1132559676260001</v>
      </c>
      <c r="AH5882">
        <v>22.0488941587973</v>
      </c>
      <c r="AI5882">
        <v>92.818481352198205</v>
      </c>
      <c r="AJ5882">
        <v>102.821071925076</v>
      </c>
      <c r="AK5882">
        <v>22.6400648157842</v>
      </c>
      <c r="AL5882">
        <v>90.672810019733305</v>
      </c>
      <c r="AM5882">
        <v>89.585736352740895</v>
      </c>
      <c r="AN5882">
        <v>0.99999998174301397</v>
      </c>
    </row>
    <row r="5883" spans="1:40" x14ac:dyDescent="0.25">
      <c r="A5883" t="str">
        <f>"20190312161138211"</f>
        <v>20190312161138211</v>
      </c>
      <c r="B5883" t="str">
        <f>"1552378298203290"</f>
        <v>1552378298203290</v>
      </c>
      <c r="C5883" t="s">
        <v>40</v>
      </c>
      <c r="D5883">
        <v>5.8143250000000002</v>
      </c>
      <c r="E5883">
        <v>0.41732619999999998</v>
      </c>
      <c r="F5883" t="s">
        <v>109</v>
      </c>
      <c r="G5883">
        <v>-257.72859999999997</v>
      </c>
      <c r="H5883" s="1">
        <v>-2.9130490000000002E-6</v>
      </c>
      <c r="I5883">
        <v>-62.458289999999998</v>
      </c>
      <c r="J5883">
        <v>-280.41329999999999</v>
      </c>
      <c r="K5883">
        <v>1.113226</v>
      </c>
      <c r="L5883">
        <v>-62.494689999999999</v>
      </c>
      <c r="M5883">
        <v>0.97549589999999997</v>
      </c>
      <c r="N5883">
        <v>0</v>
      </c>
      <c r="O5883">
        <v>-0.21972990000000001</v>
      </c>
      <c r="P5883">
        <v>0.97356569999999998</v>
      </c>
      <c r="Q5883">
        <v>-2.3413219999999998E-2</v>
      </c>
      <c r="R5883">
        <v>-0.2272043</v>
      </c>
      <c r="S5883">
        <v>3.0807799999999999</v>
      </c>
      <c r="T5883">
        <v>-0.15064420000000001</v>
      </c>
      <c r="U5883">
        <v>2.960205E-3</v>
      </c>
      <c r="V5883">
        <v>7.811948E-3</v>
      </c>
      <c r="W5883">
        <v>-1.2105100000000001E-2</v>
      </c>
      <c r="X5883">
        <v>0.99989620000000001</v>
      </c>
      <c r="Y5883">
        <v>-0.22015879999999999</v>
      </c>
      <c r="Z5883">
        <v>1.6051900000000001E-2</v>
      </c>
      <c r="AA5883">
        <v>0.97533199999999998</v>
      </c>
      <c r="AB5883">
        <v>17</v>
      </c>
      <c r="AC5883">
        <v>22.684699999999999</v>
      </c>
      <c r="AD5883">
        <v>-1.1132289130490001</v>
      </c>
      <c r="AE5883">
        <v>3.6400000000000397E-2</v>
      </c>
      <c r="AF5883">
        <v>-5.0082713352508099</v>
      </c>
      <c r="AG5883">
        <v>-1.1132289130490001</v>
      </c>
      <c r="AH5883">
        <v>22.069085275005801</v>
      </c>
      <c r="AI5883">
        <v>92.816230507930399</v>
      </c>
      <c r="AJ5883">
        <v>102.785922729985</v>
      </c>
      <c r="AK5883">
        <v>22.657594427825298</v>
      </c>
      <c r="AL5883">
        <v>90.693588090405896</v>
      </c>
      <c r="AM5883">
        <v>89.552370992478998</v>
      </c>
      <c r="AN5883">
        <v>0.99999998537600199</v>
      </c>
    </row>
    <row r="5884" spans="1:40" x14ac:dyDescent="0.25">
      <c r="A5884" t="str">
        <f>"20190312161138222"</f>
        <v>20190312161138222</v>
      </c>
      <c r="B5884" t="str">
        <f>"1552378298213049"</f>
        <v>1552378298213049</v>
      </c>
      <c r="C5884" t="s">
        <v>40</v>
      </c>
      <c r="D5884">
        <v>5.7461419999999999</v>
      </c>
      <c r="E5884">
        <v>0.41783419999999999</v>
      </c>
      <c r="F5884" t="s">
        <v>109</v>
      </c>
      <c r="G5884">
        <v>-258.1857</v>
      </c>
      <c r="H5884" s="1">
        <v>-3.1244160000000001E-6</v>
      </c>
      <c r="I5884">
        <v>-62.7455</v>
      </c>
      <c r="J5884">
        <v>-280.32369999999997</v>
      </c>
      <c r="K5884">
        <v>1.1131949999999999</v>
      </c>
      <c r="L5884">
        <v>-62.510350000000003</v>
      </c>
      <c r="M5884">
        <v>0.97634580000000004</v>
      </c>
      <c r="N5884">
        <v>0</v>
      </c>
      <c r="O5884">
        <v>-0.21592349999999999</v>
      </c>
      <c r="P5884">
        <v>0.97436959999999995</v>
      </c>
      <c r="Q5884">
        <v>-2.372546E-2</v>
      </c>
      <c r="R5884">
        <v>-0.22369929999999999</v>
      </c>
      <c r="S5884">
        <v>3.0696720000000002</v>
      </c>
      <c r="T5884">
        <v>-0.1537385</v>
      </c>
      <c r="U5884">
        <v>-3.463745E-2</v>
      </c>
      <c r="V5884">
        <v>8.1169139999999994E-3</v>
      </c>
      <c r="W5884">
        <v>-1.2431040000000001E-2</v>
      </c>
      <c r="X5884">
        <v>0.99988980000000005</v>
      </c>
      <c r="Y5884">
        <v>-0.20438329999999999</v>
      </c>
      <c r="Z5884">
        <v>1.585454E-2</v>
      </c>
      <c r="AA5884">
        <v>0.97876249999999998</v>
      </c>
      <c r="AB5884">
        <v>17</v>
      </c>
      <c r="AC5884">
        <v>22.137999999999899</v>
      </c>
      <c r="AD5884">
        <v>-1.1131981244159901</v>
      </c>
      <c r="AE5884">
        <v>-0.235149999999997</v>
      </c>
      <c r="AF5884">
        <v>-4.5393367029412497</v>
      </c>
      <c r="AG5884">
        <v>-1.1131981244159901</v>
      </c>
      <c r="AH5884">
        <v>21.611841874009802</v>
      </c>
      <c r="AI5884">
        <v>92.885767806837293</v>
      </c>
      <c r="AJ5884">
        <v>101.86193715330501</v>
      </c>
      <c r="AK5884">
        <v>22.111456237753199</v>
      </c>
      <c r="AL5884">
        <v>90.712264462538101</v>
      </c>
      <c r="AM5884">
        <v>89.534894045791702</v>
      </c>
      <c r="AN5884">
        <v>1.0000000135961999</v>
      </c>
    </row>
    <row r="5885" spans="1:40" x14ac:dyDescent="0.25">
      <c r="A5885" t="str">
        <f>"20190312161138233"</f>
        <v>20190312161138233</v>
      </c>
      <c r="B5885" t="str">
        <f>"1552378298222809"</f>
        <v>1552378298222809</v>
      </c>
      <c r="C5885" t="s">
        <v>40</v>
      </c>
      <c r="D5885">
        <v>5.8313439999999996</v>
      </c>
      <c r="E5885">
        <v>0.41853259999999998</v>
      </c>
      <c r="F5885" t="s">
        <v>109</v>
      </c>
      <c r="G5885">
        <v>-258.71539999999999</v>
      </c>
      <c r="H5885" s="1">
        <v>-3.2990110000000002E-6</v>
      </c>
      <c r="I5885">
        <v>-62.703090000000003</v>
      </c>
      <c r="J5885">
        <v>-280.24520000000001</v>
      </c>
      <c r="K5885">
        <v>1.113167</v>
      </c>
      <c r="L5885">
        <v>-62.523679999999999</v>
      </c>
      <c r="M5885">
        <v>0.97706760000000004</v>
      </c>
      <c r="N5885">
        <v>0</v>
      </c>
      <c r="O5885">
        <v>-0.2126335</v>
      </c>
      <c r="P5885">
        <v>0.97504959999999996</v>
      </c>
      <c r="Q5885">
        <v>-2.3966089999999999E-2</v>
      </c>
      <c r="R5885">
        <v>-0.22068979999999999</v>
      </c>
      <c r="S5885">
        <v>3.0687869999999999</v>
      </c>
      <c r="T5885">
        <v>-0.15809489999999901</v>
      </c>
      <c r="U5885">
        <v>-2.7374269999999999E-2</v>
      </c>
      <c r="V5885">
        <v>8.400065E-3</v>
      </c>
      <c r="W5885">
        <v>-1.2684020000000001E-2</v>
      </c>
      <c r="X5885">
        <v>0.9998842</v>
      </c>
      <c r="Y5885">
        <v>-0.20337440000000001</v>
      </c>
      <c r="Z5885">
        <v>1.611657E-2</v>
      </c>
      <c r="AA5885">
        <v>0.97896839999999996</v>
      </c>
      <c r="AB5885">
        <v>17</v>
      </c>
      <c r="AC5885">
        <v>21.529800000000002</v>
      </c>
      <c r="AD5885">
        <v>-1.113170299011</v>
      </c>
      <c r="AE5885">
        <v>-0.17940999999999699</v>
      </c>
      <c r="AF5885">
        <v>-4.3912001437733101</v>
      </c>
      <c r="AG5885">
        <v>-1.113170299011</v>
      </c>
      <c r="AH5885">
        <v>21.019358763031999</v>
      </c>
      <c r="AI5885">
        <v>92.967562938842903</v>
      </c>
      <c r="AJ5885">
        <v>101.800071346346</v>
      </c>
      <c r="AK5885">
        <v>21.501981992977399</v>
      </c>
      <c r="AL5885">
        <v>90.726760352830993</v>
      </c>
      <c r="AM5885">
        <v>89.518667311757198</v>
      </c>
      <c r="AN5885">
        <v>0.99999992943249905</v>
      </c>
    </row>
    <row r="5886" spans="1:40" x14ac:dyDescent="0.25">
      <c r="A5886" t="str">
        <f>"20190312161138245"</f>
        <v>20190312161138245</v>
      </c>
      <c r="B5886" t="str">
        <f>"1552378298233547"</f>
        <v>1552378298233547</v>
      </c>
      <c r="C5886" t="s">
        <v>40</v>
      </c>
      <c r="D5886">
        <v>5.8322390000000004</v>
      </c>
      <c r="E5886">
        <v>0.41853259999999998</v>
      </c>
      <c r="F5886" t="s">
        <v>109</v>
      </c>
      <c r="G5886">
        <v>-258.70280000000002</v>
      </c>
      <c r="H5886" s="1">
        <v>-3.2927479999999999E-6</v>
      </c>
      <c r="I5886">
        <v>-62.688279999999999</v>
      </c>
      <c r="J5886">
        <v>-280.16460000000001</v>
      </c>
      <c r="K5886">
        <v>1.113135</v>
      </c>
      <c r="L5886">
        <v>-62.537260000000003</v>
      </c>
      <c r="M5886">
        <v>0.97779579999999999</v>
      </c>
      <c r="N5886">
        <v>0</v>
      </c>
      <c r="O5886">
        <v>-0.20926069999999999</v>
      </c>
      <c r="P5886">
        <v>0.97579009999999999</v>
      </c>
      <c r="Q5886">
        <v>-2.3567560000000001E-2</v>
      </c>
      <c r="R5886">
        <v>-0.21743680000000001</v>
      </c>
      <c r="S5886">
        <v>3.0675349999999999</v>
      </c>
      <c r="T5886">
        <v>-0.15851009999999999</v>
      </c>
      <c r="U5886">
        <v>-2.34375E-2</v>
      </c>
      <c r="V5886">
        <v>8.5099089999999995E-3</v>
      </c>
      <c r="W5886">
        <v>-1.2299239999999999E-2</v>
      </c>
      <c r="X5886">
        <v>0.99988809999999995</v>
      </c>
      <c r="Y5886">
        <v>-0.20125219999999999</v>
      </c>
      <c r="Z5886">
        <v>1.5939999999999999E-2</v>
      </c>
      <c r="AA5886">
        <v>0.9794098</v>
      </c>
      <c r="AB5886">
        <v>17</v>
      </c>
      <c r="AC5886">
        <v>21.461799999999901</v>
      </c>
      <c r="AD5886">
        <v>-1.113138292748</v>
      </c>
      <c r="AE5886">
        <v>-0.15102000000000901</v>
      </c>
      <c r="AF5886">
        <v>-4.3320637419446903</v>
      </c>
      <c r="AG5886">
        <v>-1.113138292748</v>
      </c>
      <c r="AH5886">
        <v>20.961791424537601</v>
      </c>
      <c r="AI5886">
        <v>92.976942681992199</v>
      </c>
      <c r="AJ5886">
        <v>101.67663344979201</v>
      </c>
      <c r="AK5886">
        <v>21.433678005626401</v>
      </c>
      <c r="AL5886">
        <v>90.704712345504802</v>
      </c>
      <c r="AM5886">
        <v>89.512375337173594</v>
      </c>
      <c r="AN5886">
        <v>0.99999995118868601</v>
      </c>
    </row>
    <row r="5887" spans="1:40" x14ac:dyDescent="0.25">
      <c r="A5887" t="str">
        <f>"20190312161138255"</f>
        <v>20190312161138255</v>
      </c>
      <c r="B5887" t="str">
        <f>"1552378298243306"</f>
        <v>1552378298243306</v>
      </c>
      <c r="C5887" t="s">
        <v>40</v>
      </c>
      <c r="D5887">
        <v>5.8210629999999997</v>
      </c>
      <c r="E5887">
        <v>0.42505209999999999</v>
      </c>
      <c r="F5887" t="s">
        <v>109</v>
      </c>
      <c r="G5887">
        <v>-258.54109999999997</v>
      </c>
      <c r="H5887" s="1">
        <v>-3.2300079999999998E-6</v>
      </c>
      <c r="I5887">
        <v>-62.630619999999901</v>
      </c>
      <c r="J5887">
        <v>-280.0872</v>
      </c>
      <c r="K5887">
        <v>1.1131059999999999</v>
      </c>
      <c r="L5887">
        <v>-62.549900000000001</v>
      </c>
      <c r="M5887">
        <v>0.97847220000000001</v>
      </c>
      <c r="N5887">
        <v>0</v>
      </c>
      <c r="O5887">
        <v>-0.20607549999999999</v>
      </c>
      <c r="P5887">
        <v>0.97650409999999999</v>
      </c>
      <c r="Q5887">
        <v>-2.3607280000000001E-2</v>
      </c>
      <c r="R5887">
        <v>-0.21420249999999999</v>
      </c>
      <c r="S5887">
        <v>3.067688</v>
      </c>
      <c r="T5887">
        <v>-0.157919</v>
      </c>
      <c r="U5887">
        <v>-1.324463E-2</v>
      </c>
      <c r="V5887">
        <v>8.4528620000000002E-3</v>
      </c>
      <c r="W5887">
        <v>-1.235295E-2</v>
      </c>
      <c r="X5887">
        <v>0.99988790000000005</v>
      </c>
      <c r="Y5887">
        <v>-0.20132530000000001</v>
      </c>
      <c r="Z5887">
        <v>1.5721740000000001E-2</v>
      </c>
      <c r="AA5887">
        <v>0.97939830000000005</v>
      </c>
      <c r="AB5887">
        <v>17</v>
      </c>
      <c r="AC5887">
        <v>21.546099999999999</v>
      </c>
      <c r="AD5887">
        <v>-1.1131092300080001</v>
      </c>
      <c r="AE5887">
        <v>-8.0719999999992298E-2</v>
      </c>
      <c r="AF5887">
        <v>-4.3498045545252397</v>
      </c>
      <c r="AG5887">
        <v>-1.1131092300080001</v>
      </c>
      <c r="AH5887">
        <v>21.044049091371502</v>
      </c>
      <c r="AI5887">
        <v>92.965229176232299</v>
      </c>
      <c r="AJ5887">
        <v>101.67856842200599</v>
      </c>
      <c r="AK5887">
        <v>21.517709310717802</v>
      </c>
      <c r="AL5887">
        <v>90.707789951191998</v>
      </c>
      <c r="AM5887">
        <v>89.515643923239395</v>
      </c>
      <c r="AN5887">
        <v>0.99999992940804905</v>
      </c>
    </row>
    <row r="5888" spans="1:40" x14ac:dyDescent="0.25">
      <c r="A5888" t="str">
        <f>"20190312161138278"</f>
        <v>20190312161138278</v>
      </c>
      <c r="B5888" t="str">
        <f>"1552378298273561"</f>
        <v>1552378298273561</v>
      </c>
      <c r="C5888" t="s">
        <v>40</v>
      </c>
      <c r="D5888">
        <v>5.7586519999999997</v>
      </c>
      <c r="E5888">
        <v>0.42265609999999998</v>
      </c>
      <c r="F5888" t="s">
        <v>105</v>
      </c>
      <c r="G5888">
        <v>-263.2364</v>
      </c>
      <c r="H5888" s="1">
        <v>-1.0462579999999999E-6</v>
      </c>
      <c r="I5888">
        <v>-62.836239999999997</v>
      </c>
      <c r="J5888">
        <v>-279.91910000000001</v>
      </c>
      <c r="K5888">
        <v>1.113035</v>
      </c>
      <c r="L5888">
        <v>-62.576749999999997</v>
      </c>
      <c r="M5888">
        <v>0.97988980000000003</v>
      </c>
      <c r="N5888">
        <v>0</v>
      </c>
      <c r="O5888">
        <v>-0.19922680000000001</v>
      </c>
      <c r="P5888">
        <v>0.97800339999999997</v>
      </c>
      <c r="Q5888">
        <v>-2.3955029999999999E-2</v>
      </c>
      <c r="R5888">
        <v>-0.2072089</v>
      </c>
      <c r="S5888">
        <v>3.0558779999999999</v>
      </c>
      <c r="T5888">
        <v>-0.2018616</v>
      </c>
      <c r="U5888">
        <v>-5.1940920000000002E-2</v>
      </c>
      <c r="V5888">
        <v>8.2933680000000006E-3</v>
      </c>
      <c r="W5888">
        <v>-1.273024E-2</v>
      </c>
      <c r="X5888">
        <v>0.99988449999999995</v>
      </c>
      <c r="Y5888">
        <v>-0.1817317</v>
      </c>
      <c r="Z5888">
        <v>1.9068999999999999E-2</v>
      </c>
      <c r="AA5888">
        <v>0.98316320000000001</v>
      </c>
      <c r="AB5888">
        <v>17</v>
      </c>
      <c r="AC5888">
        <v>16.682700000000001</v>
      </c>
      <c r="AD5888">
        <v>-1.113036046258</v>
      </c>
      <c r="AE5888">
        <v>-0.25949000000000599</v>
      </c>
      <c r="AF5888">
        <v>-3.0559609921080502</v>
      </c>
      <c r="AG5888">
        <v>-1.113036046258</v>
      </c>
      <c r="AH5888">
        <v>16.327267380508601</v>
      </c>
      <c r="AI5888">
        <v>93.833475451208997</v>
      </c>
      <c r="AJ5888">
        <v>100.60134246545</v>
      </c>
      <c r="AK5888">
        <v>16.648045138699501</v>
      </c>
      <c r="AL5888">
        <v>90.729408780171099</v>
      </c>
      <c r="AM5888">
        <v>89.524781024097607</v>
      </c>
      <c r="AN5888">
        <v>0.99999992615174205</v>
      </c>
    </row>
    <row r="5889" spans="1:40" x14ac:dyDescent="0.25">
      <c r="A5889" t="str">
        <f>"20190312161138289"</f>
        <v>20190312161138289</v>
      </c>
      <c r="B5889" t="str">
        <f>"1552378298283322"</f>
        <v>1552378298283322</v>
      </c>
      <c r="C5889" t="s">
        <v>40</v>
      </c>
      <c r="D5889">
        <v>5.755935</v>
      </c>
      <c r="E5889">
        <v>0.42327979999999998</v>
      </c>
      <c r="F5889" t="s">
        <v>109</v>
      </c>
      <c r="G5889">
        <v>-256.22719999999998</v>
      </c>
      <c r="H5889" s="1">
        <v>-2.3196330000000001E-6</v>
      </c>
      <c r="I5889">
        <v>-62.686349999999997</v>
      </c>
      <c r="J5889">
        <v>-279.83370000000002</v>
      </c>
      <c r="K5889">
        <v>1.1129960000000001</v>
      </c>
      <c r="L5889">
        <v>-62.589970000000001</v>
      </c>
      <c r="M5889">
        <v>0.98058089999999998</v>
      </c>
      <c r="N5889">
        <v>0</v>
      </c>
      <c r="O5889">
        <v>-0.19579759999999999</v>
      </c>
      <c r="P5889">
        <v>0.97878699999999996</v>
      </c>
      <c r="Q5889">
        <v>-2.4392009999999999E-2</v>
      </c>
      <c r="R5889">
        <v>-0.20342350000000001</v>
      </c>
      <c r="S5889">
        <v>3.0609739999999999</v>
      </c>
      <c r="T5889">
        <v>-0.1438036</v>
      </c>
      <c r="U5889">
        <v>-1.416016E-2</v>
      </c>
      <c r="V5889">
        <v>7.9271140000000007E-3</v>
      </c>
      <c r="W5889">
        <v>-1.318392E-2</v>
      </c>
      <c r="X5889">
        <v>0.99988169999999998</v>
      </c>
      <c r="Y5889">
        <v>-0.19084709999999999</v>
      </c>
      <c r="Z5889">
        <v>1.362844E-2</v>
      </c>
      <c r="AA5889">
        <v>0.98152519999999999</v>
      </c>
      <c r="AB5889">
        <v>17</v>
      </c>
      <c r="AC5889">
        <v>23.6065</v>
      </c>
      <c r="AD5889">
        <v>-1.11299831963299</v>
      </c>
      <c r="AE5889">
        <v>-9.6380000000003394E-2</v>
      </c>
      <c r="AF5889">
        <v>-4.5178266502155697</v>
      </c>
      <c r="AG5889">
        <v>-1.11299831963299</v>
      </c>
      <c r="AH5889">
        <v>23.117008450615302</v>
      </c>
      <c r="AI5889">
        <v>92.705349146124206</v>
      </c>
      <c r="AJ5889">
        <v>101.05810812905101</v>
      </c>
      <c r="AK5889">
        <v>23.580619215930799</v>
      </c>
      <c r="AL5889">
        <v>90.755404832042302</v>
      </c>
      <c r="AM5889">
        <v>89.545765603683805</v>
      </c>
      <c r="AN5889">
        <v>1.0000000344389099</v>
      </c>
    </row>
    <row r="5890" spans="1:40" x14ac:dyDescent="0.25">
      <c r="A5890" t="str">
        <f>"20190312161138300"</f>
        <v>20190312161138300</v>
      </c>
      <c r="B5890" t="str">
        <f>"1552378298293082"</f>
        <v>1552378298293082</v>
      </c>
      <c r="C5890" t="s">
        <v>40</v>
      </c>
      <c r="D5890">
        <v>5.7534879999999999</v>
      </c>
      <c r="E5890">
        <v>0.42373480000000002</v>
      </c>
      <c r="F5890" t="s">
        <v>109</v>
      </c>
      <c r="G5890">
        <v>-257.94670000000002</v>
      </c>
      <c r="H5890" s="1">
        <v>-3.0285880000000002E-6</v>
      </c>
      <c r="I5890">
        <v>-62.636899999999997</v>
      </c>
      <c r="J5890">
        <v>-279.73989999999998</v>
      </c>
      <c r="K5890">
        <v>1.1129549999999999</v>
      </c>
      <c r="L5890">
        <v>-62.604280000000003</v>
      </c>
      <c r="M5890">
        <v>0.98131919999999995</v>
      </c>
      <c r="N5890">
        <v>0</v>
      </c>
      <c r="O5890">
        <v>-0.1920636</v>
      </c>
      <c r="P5890">
        <v>0.97951600000000005</v>
      </c>
      <c r="Q5890">
        <v>-2.4794730000000001E-2</v>
      </c>
      <c r="R5890">
        <v>-0.19983400000000001</v>
      </c>
      <c r="S5890">
        <v>3.0597840000000001</v>
      </c>
      <c r="T5890">
        <v>-0.1555965</v>
      </c>
      <c r="U5890">
        <v>-6.5612789999999997E-3</v>
      </c>
      <c r="V5890">
        <v>8.0716669999999994E-3</v>
      </c>
      <c r="W5890">
        <v>-1.360081E-2</v>
      </c>
      <c r="X5890">
        <v>0.99987490000000001</v>
      </c>
      <c r="Y5890">
        <v>-0.18948010000000001</v>
      </c>
      <c r="Z5890">
        <v>1.452935E-2</v>
      </c>
      <c r="AA5890">
        <v>0.98177709999999996</v>
      </c>
      <c r="AB5890">
        <v>17</v>
      </c>
      <c r="AC5890">
        <v>21.793199999999899</v>
      </c>
      <c r="AD5890">
        <v>-1.1129580285880001</v>
      </c>
      <c r="AE5890">
        <v>-3.2619999999994299E-2</v>
      </c>
      <c r="AF5890">
        <v>-4.1431223474180303</v>
      </c>
      <c r="AG5890">
        <v>-1.1129580285880001</v>
      </c>
      <c r="AH5890">
        <v>21.3380288296303</v>
      </c>
      <c r="AI5890">
        <v>92.931109329391205</v>
      </c>
      <c r="AJ5890">
        <v>100.988174406767</v>
      </c>
      <c r="AK5890">
        <v>21.7650089063434</v>
      </c>
      <c r="AL5890">
        <v>90.779293057768996</v>
      </c>
      <c r="AM5890">
        <v>89.537479731738799</v>
      </c>
      <c r="AN5890">
        <v>0.99999997474541202</v>
      </c>
    </row>
    <row r="5891" spans="1:40" x14ac:dyDescent="0.25">
      <c r="A5891" t="str">
        <f>"20190312161138311"</f>
        <v>20190312161138311</v>
      </c>
      <c r="B5891" t="str">
        <f>"1552378298302841"</f>
        <v>1552378298302841</v>
      </c>
      <c r="C5891" t="s">
        <v>40</v>
      </c>
      <c r="D5891">
        <v>5.7810800000000002</v>
      </c>
      <c r="E5891">
        <v>0.42369990000000002</v>
      </c>
      <c r="F5891" t="s">
        <v>109</v>
      </c>
      <c r="G5891">
        <v>-258.52690000000001</v>
      </c>
      <c r="H5891" s="1">
        <v>-3.2204870000000002E-6</v>
      </c>
      <c r="I5891">
        <v>-62.595390000000002</v>
      </c>
      <c r="J5891">
        <v>-279.66149999999999</v>
      </c>
      <c r="K5891">
        <v>1.1129209999999901</v>
      </c>
      <c r="L5891">
        <v>-62.615879999999997</v>
      </c>
      <c r="M5891">
        <v>0.98191680000000003</v>
      </c>
      <c r="N5891">
        <v>0</v>
      </c>
      <c r="O5891">
        <v>-0.1889856</v>
      </c>
      <c r="P5891">
        <v>0.98017929999999998</v>
      </c>
      <c r="Q5891">
        <v>-2.4787679999999999E-2</v>
      </c>
      <c r="R5891">
        <v>-0.19655590000000001</v>
      </c>
      <c r="S5891">
        <v>3.0589599999999999</v>
      </c>
      <c r="T5891">
        <v>-0.1604911</v>
      </c>
      <c r="U5891">
        <v>1.2817379999999999E-3</v>
      </c>
      <c r="V5891">
        <v>7.8608749999999998E-3</v>
      </c>
      <c r="W5891">
        <v>-1.360806E-2</v>
      </c>
      <c r="X5891">
        <v>0.99987649999999995</v>
      </c>
      <c r="Y5891">
        <v>-0.18889139999999999</v>
      </c>
      <c r="Z5891">
        <v>1.481589E-2</v>
      </c>
      <c r="AA5891">
        <v>0.98188620000000004</v>
      </c>
      <c r="AB5891">
        <v>17</v>
      </c>
      <c r="AC5891">
        <v>21.134599999999899</v>
      </c>
      <c r="AD5891">
        <v>-1.11292422048699</v>
      </c>
      <c r="AE5891">
        <v>2.0490000000002302E-2</v>
      </c>
      <c r="AF5891">
        <v>-4.0034018739676398</v>
      </c>
      <c r="AG5891">
        <v>-1.11292422048699</v>
      </c>
      <c r="AH5891">
        <v>20.692452140253401</v>
      </c>
      <c r="AI5891">
        <v>93.022688774146701</v>
      </c>
      <c r="AJ5891">
        <v>100.949822002133</v>
      </c>
      <c r="AK5891">
        <v>21.105530139319299</v>
      </c>
      <c r="AL5891">
        <v>90.779708475650096</v>
      </c>
      <c r="AM5891">
        <v>89.549558688804595</v>
      </c>
      <c r="AN5891">
        <v>0.99999999395248895</v>
      </c>
    </row>
    <row r="5892" spans="1:40" x14ac:dyDescent="0.25">
      <c r="A5892" t="str">
        <f>"20190312161138322"</f>
        <v>20190312161138322</v>
      </c>
      <c r="B5892" t="str">
        <f>"1552378298313578"</f>
        <v>1552378298313578</v>
      </c>
      <c r="C5892" t="s">
        <v>40</v>
      </c>
      <c r="D5892">
        <v>5.758902</v>
      </c>
      <c r="E5892">
        <v>0.42397469999999998</v>
      </c>
      <c r="F5892" t="s">
        <v>109</v>
      </c>
      <c r="G5892">
        <v>-258.14679999999998</v>
      </c>
      <c r="H5892" s="1">
        <v>-3.0828200000000001E-6</v>
      </c>
      <c r="I5892">
        <v>-62.533239999999999</v>
      </c>
      <c r="J5892">
        <v>-279.5788</v>
      </c>
      <c r="K5892">
        <v>1.1128899999999999</v>
      </c>
      <c r="L5892">
        <v>-62.6280199999999</v>
      </c>
      <c r="M5892">
        <v>0.98253380000000001</v>
      </c>
      <c r="N5892">
        <v>0</v>
      </c>
      <c r="O5892">
        <v>-0.185753</v>
      </c>
      <c r="P5892">
        <v>0.98084179999999999</v>
      </c>
      <c r="Q5892">
        <v>-2.494528E-2</v>
      </c>
      <c r="R5892">
        <v>-0.19320409999999999</v>
      </c>
      <c r="S5892">
        <v>3.059021</v>
      </c>
      <c r="T5892">
        <v>-0.15823889999999999</v>
      </c>
      <c r="U5892">
        <v>1.1749269999999999E-2</v>
      </c>
      <c r="V5892">
        <v>7.7342690000000002E-3</v>
      </c>
      <c r="W5892">
        <v>-1.3779919999999999E-2</v>
      </c>
      <c r="X5892">
        <v>0.99987510000000002</v>
      </c>
      <c r="Y5892">
        <v>-0.18903809999999999</v>
      </c>
      <c r="Z5892">
        <v>1.444761E-2</v>
      </c>
      <c r="AA5892">
        <v>0.98186340000000005</v>
      </c>
      <c r="AB5892">
        <v>17</v>
      </c>
      <c r="AC5892">
        <v>21.431999999999999</v>
      </c>
      <c r="AD5892">
        <v>-1.1128930828200001</v>
      </c>
      <c r="AE5892">
        <v>9.4779999999992898E-2</v>
      </c>
      <c r="AF5892">
        <v>-4.0634772760629803</v>
      </c>
      <c r="AG5892">
        <v>-1.1128930828200001</v>
      </c>
      <c r="AH5892">
        <v>20.984772579541499</v>
      </c>
      <c r="AI5892">
        <v>92.980482471940704</v>
      </c>
      <c r="AJ5892">
        <v>100.959084985473</v>
      </c>
      <c r="AK5892">
        <v>21.403529120262998</v>
      </c>
      <c r="AL5892">
        <v>90.789556278314095</v>
      </c>
      <c r="AM5892">
        <v>89.556812512525298</v>
      </c>
      <c r="AN5892">
        <v>0.99999996035608896</v>
      </c>
    </row>
    <row r="5893" spans="1:40" x14ac:dyDescent="0.25">
      <c r="A5893" t="str">
        <f>"20190312161138334"</f>
        <v>20190312161138334</v>
      </c>
      <c r="B5893" t="str">
        <f>"1552378298323338"</f>
        <v>1552378298323338</v>
      </c>
      <c r="C5893" t="s">
        <v>40</v>
      </c>
      <c r="D5893">
        <v>5.7600809999999996</v>
      </c>
      <c r="E5893">
        <v>0.4243266</v>
      </c>
      <c r="F5893" t="s">
        <v>109</v>
      </c>
      <c r="G5893">
        <v>-257.55169999999998</v>
      </c>
      <c r="H5893" s="1">
        <v>-2.843263E-6</v>
      </c>
      <c r="I5893">
        <v>-62.485819999999997</v>
      </c>
      <c r="J5893">
        <v>-279.49889999999999</v>
      </c>
      <c r="K5893">
        <v>1.1128530000000001</v>
      </c>
      <c r="L5893">
        <v>-62.6393699999999</v>
      </c>
      <c r="M5893">
        <v>0.9831088</v>
      </c>
      <c r="N5893">
        <v>0</v>
      </c>
      <c r="O5893">
        <v>-0.18268619999999999</v>
      </c>
      <c r="P5893">
        <v>0.98147459999999997</v>
      </c>
      <c r="Q5893">
        <v>-2.4953039999999999E-2</v>
      </c>
      <c r="R5893">
        <v>-0.18996109999999999</v>
      </c>
      <c r="S5893">
        <v>3.0585629999999999</v>
      </c>
      <c r="T5893">
        <v>-0.15453020000000001</v>
      </c>
      <c r="U5893">
        <v>1.9744870000000001E-2</v>
      </c>
      <c r="V5893">
        <v>7.5488730000000002E-3</v>
      </c>
      <c r="W5893">
        <v>-1.3801920000000001E-2</v>
      </c>
      <c r="X5893">
        <v>0.99987630000000005</v>
      </c>
      <c r="Y5893">
        <v>-0.18856870000000001</v>
      </c>
      <c r="Z5893">
        <v>1.3947289999999999E-2</v>
      </c>
      <c r="AA5893">
        <v>0.98196099999999997</v>
      </c>
      <c r="AB5893">
        <v>17</v>
      </c>
      <c r="AC5893">
        <v>21.947199999999999</v>
      </c>
      <c r="AD5893">
        <v>-1.112855843263</v>
      </c>
      <c r="AE5893">
        <v>0.153549999999995</v>
      </c>
      <c r="AF5893">
        <v>-4.1499929404009199</v>
      </c>
      <c r="AG5893">
        <v>-1.112855843263</v>
      </c>
      <c r="AH5893">
        <v>21.494495742162801</v>
      </c>
      <c r="AI5893">
        <v>92.910135670452107</v>
      </c>
      <c r="AJ5893">
        <v>100.927770593189</v>
      </c>
      <c r="AK5893">
        <v>21.919722551691098</v>
      </c>
      <c r="AL5893">
        <v>90.790816836960801</v>
      </c>
      <c r="AM5893">
        <v>89.567436146382704</v>
      </c>
      <c r="AN5893">
        <v>1.00000004689047</v>
      </c>
    </row>
    <row r="5894" spans="1:40" x14ac:dyDescent="0.25">
      <c r="A5894" t="str">
        <f>"20190312161138356"</f>
        <v>20190312161138356</v>
      </c>
      <c r="B5894" t="str">
        <f>"1552378298353593"</f>
        <v>1552378298353593</v>
      </c>
      <c r="C5894" t="s">
        <v>40</v>
      </c>
      <c r="D5894">
        <v>5.7238629999999997</v>
      </c>
      <c r="E5894">
        <v>0.42561569999999999</v>
      </c>
      <c r="F5894" t="s">
        <v>109</v>
      </c>
      <c r="G5894">
        <v>-257.05059999999997</v>
      </c>
      <c r="H5894" s="1">
        <v>-2.6186549999999998E-6</v>
      </c>
      <c r="I5894">
        <v>-62.442459999999997</v>
      </c>
      <c r="J5894">
        <v>-279.3297</v>
      </c>
      <c r="K5894">
        <v>1.112773</v>
      </c>
      <c r="L5894">
        <v>-62.662840000000003</v>
      </c>
      <c r="M5894">
        <v>0.98427719999999996</v>
      </c>
      <c r="N5894">
        <v>0</v>
      </c>
      <c r="O5894">
        <v>-0.176283</v>
      </c>
      <c r="P5894">
        <v>0.98268630000000001</v>
      </c>
      <c r="Q5894">
        <v>-2.5694560000000002E-2</v>
      </c>
      <c r="R5894">
        <v>-0.1834867</v>
      </c>
      <c r="S5894">
        <v>3.0579830000000001</v>
      </c>
      <c r="T5894">
        <v>-0.15159729999999999</v>
      </c>
      <c r="U5894">
        <v>2.682495E-2</v>
      </c>
      <c r="V5894">
        <v>7.4721350000000004E-3</v>
      </c>
      <c r="W5894">
        <v>-1.4570899999999999E-2</v>
      </c>
      <c r="X5894">
        <v>0.99986589999999997</v>
      </c>
      <c r="Y5894">
        <v>-0.18448000000000001</v>
      </c>
      <c r="Z5894">
        <v>1.3271140000000001E-2</v>
      </c>
      <c r="AA5894">
        <v>0.98274669999999997</v>
      </c>
      <c r="AB5894">
        <v>17</v>
      </c>
      <c r="AC5894">
        <v>22.2791</v>
      </c>
      <c r="AD5894">
        <v>-1.112775618655</v>
      </c>
      <c r="AE5894">
        <v>0.22038000000000499</v>
      </c>
      <c r="AF5894">
        <v>-4.13428304355749</v>
      </c>
      <c r="AG5894">
        <v>-1.112775618655</v>
      </c>
      <c r="AH5894">
        <v>21.836832747717398</v>
      </c>
      <c r="AI5894">
        <v>92.866360480167501</v>
      </c>
      <c r="AJ5894">
        <v>100.720697855357</v>
      </c>
      <c r="AK5894">
        <v>22.252591541514999</v>
      </c>
      <c r="AL5894">
        <v>90.834880633792906</v>
      </c>
      <c r="AM5894">
        <v>89.571828752400506</v>
      </c>
      <c r="AN5894">
        <v>0.99999998095553799</v>
      </c>
    </row>
    <row r="5895" spans="1:40" x14ac:dyDescent="0.25">
      <c r="A5895" t="str">
        <f>"20190312161138368"</f>
        <v>20190312161138368</v>
      </c>
      <c r="B5895" t="str">
        <f>"1552378298363354"</f>
        <v>1552378298363354</v>
      </c>
      <c r="C5895" t="s">
        <v>40</v>
      </c>
      <c r="D5895">
        <v>5.6952420000000004</v>
      </c>
      <c r="E5895">
        <v>0.42561569999999999</v>
      </c>
      <c r="F5895" t="s">
        <v>109</v>
      </c>
      <c r="G5895">
        <v>-258.2362</v>
      </c>
      <c r="H5895" s="1">
        <v>-3.0962800000000002E-6</v>
      </c>
      <c r="I5895">
        <v>-62.406460000000003</v>
      </c>
      <c r="J5895">
        <v>-279.23970000000003</v>
      </c>
      <c r="K5895">
        <v>1.1127309999999999</v>
      </c>
      <c r="L5895">
        <v>-62.674990000000001</v>
      </c>
      <c r="M5895">
        <v>0.98487060000000004</v>
      </c>
      <c r="N5895">
        <v>0</v>
      </c>
      <c r="O5895">
        <v>-0.17293889999999901</v>
      </c>
      <c r="P5895">
        <v>0.9832687</v>
      </c>
      <c r="Q5895">
        <v>-2.617541E-2</v>
      </c>
      <c r="R5895">
        <v>-0.18027170000000001</v>
      </c>
      <c r="S5895">
        <v>3.0555729999999999</v>
      </c>
      <c r="T5895">
        <v>-0.16119530000000001</v>
      </c>
      <c r="U5895">
        <v>3.7139890000000002E-2</v>
      </c>
      <c r="V5895">
        <v>7.6018789999999998E-3</v>
      </c>
      <c r="W5895">
        <v>-1.506481E-2</v>
      </c>
      <c r="X5895">
        <v>0.99985760000000001</v>
      </c>
      <c r="Y5895">
        <v>-0.1844121</v>
      </c>
      <c r="Z5895">
        <v>1.394568E-2</v>
      </c>
      <c r="AA5895">
        <v>0.98275009999999996</v>
      </c>
      <c r="AB5895">
        <v>17</v>
      </c>
      <c r="AC5895">
        <v>21.003499999999999</v>
      </c>
      <c r="AD5895">
        <v>-1.1127340962800001</v>
      </c>
      <c r="AE5895">
        <v>0.26853000000000499</v>
      </c>
      <c r="AF5895">
        <v>-3.8861218063009799</v>
      </c>
      <c r="AG5895">
        <v>-1.1127340962800001</v>
      </c>
      <c r="AH5895">
        <v>20.582789137220999</v>
      </c>
      <c r="AI5895">
        <v>93.040856115205699</v>
      </c>
      <c r="AJ5895">
        <v>100.691838328884</v>
      </c>
      <c r="AK5895">
        <v>20.975970264322299</v>
      </c>
      <c r="AL5895">
        <v>90.863182702347402</v>
      </c>
      <c r="AM5895">
        <v>89.564390778320501</v>
      </c>
      <c r="AN5895">
        <v>0.99999997867121304</v>
      </c>
    </row>
    <row r="5896" spans="1:40" x14ac:dyDescent="0.25">
      <c r="A5896" t="str">
        <f>"20190312161138379"</f>
        <v>20190312161138379</v>
      </c>
      <c r="B5896" t="str">
        <f>"1552378298373113"</f>
        <v>1552378298373113</v>
      </c>
      <c r="C5896" t="s">
        <v>40</v>
      </c>
      <c r="D5896">
        <v>5.7182040000000001</v>
      </c>
      <c r="E5896">
        <v>0.4334076</v>
      </c>
      <c r="F5896" t="s">
        <v>109</v>
      </c>
      <c r="G5896">
        <v>-258.36700000000002</v>
      </c>
      <c r="H5896" s="1">
        <v>-3.133703E-6</v>
      </c>
      <c r="I5896">
        <v>-62.353299999999997</v>
      </c>
      <c r="J5896">
        <v>-279.15010000000001</v>
      </c>
      <c r="K5896">
        <v>1.112687</v>
      </c>
      <c r="L5896">
        <v>-62.686799999999998</v>
      </c>
      <c r="M5896">
        <v>0.98544169999999998</v>
      </c>
      <c r="N5896">
        <v>0</v>
      </c>
      <c r="O5896">
        <v>-0.169654</v>
      </c>
      <c r="P5896">
        <v>0.9838597</v>
      </c>
      <c r="Q5896">
        <v>-2.646714E-2</v>
      </c>
      <c r="R5896">
        <v>-0.17697370000000001</v>
      </c>
      <c r="S5896">
        <v>3.0553590000000002</v>
      </c>
      <c r="T5896">
        <v>-0.162883</v>
      </c>
      <c r="U5896">
        <v>4.7088619999999998E-2</v>
      </c>
      <c r="V5896">
        <v>7.5852569999999998E-3</v>
      </c>
      <c r="W5896">
        <v>-1.537022E-2</v>
      </c>
      <c r="X5896">
        <v>0.99985310000000005</v>
      </c>
      <c r="Y5896">
        <v>-0.18432970000000001</v>
      </c>
      <c r="Z5896">
        <v>1.3917479999999999E-2</v>
      </c>
      <c r="AA5896">
        <v>0.98276589999999997</v>
      </c>
      <c r="AB5896">
        <v>17</v>
      </c>
      <c r="AC5896">
        <v>20.783099999999902</v>
      </c>
      <c r="AD5896">
        <v>-1.112690133703</v>
      </c>
      <c r="AE5896">
        <v>0.33350000000000002</v>
      </c>
      <c r="AF5896">
        <v>-3.8438015361699298</v>
      </c>
      <c r="AG5896">
        <v>-1.112690133703</v>
      </c>
      <c r="AH5896">
        <v>20.3668382905323</v>
      </c>
      <c r="AI5896">
        <v>93.072958331300399</v>
      </c>
      <c r="AJ5896">
        <v>100.68763390804</v>
      </c>
      <c r="AK5896">
        <v>20.756227777122501</v>
      </c>
      <c r="AL5896">
        <v>90.880683413886501</v>
      </c>
      <c r="AM5896">
        <v>89.565341273300504</v>
      </c>
      <c r="AN5896">
        <v>1.0000000006831</v>
      </c>
    </row>
    <row r="5897" spans="1:40" x14ac:dyDescent="0.25">
      <c r="A5897" t="str">
        <f>"20190312161138390"</f>
        <v>20190312161138390</v>
      </c>
      <c r="B5897" t="str">
        <f>"1552378298382874"</f>
        <v>1552378298382874</v>
      </c>
      <c r="C5897" t="s">
        <v>40</v>
      </c>
      <c r="D5897">
        <v>5.7395820000000004</v>
      </c>
      <c r="E5897">
        <v>0.43358550000000001</v>
      </c>
      <c r="F5897" t="s">
        <v>105</v>
      </c>
      <c r="G5897">
        <v>-263.55790000000002</v>
      </c>
      <c r="H5897" s="1">
        <v>-1.14621E-6</v>
      </c>
      <c r="I5897">
        <v>-62.69361</v>
      </c>
      <c r="J5897">
        <v>-279.07060000000001</v>
      </c>
      <c r="K5897">
        <v>1.1126450000000001</v>
      </c>
      <c r="L5897">
        <v>-62.697049999999997</v>
      </c>
      <c r="M5897">
        <v>0.98593339999999996</v>
      </c>
      <c r="N5897">
        <v>0</v>
      </c>
      <c r="O5897">
        <v>-0.16677400000000001</v>
      </c>
      <c r="P5897">
        <v>0.98441369999999895</v>
      </c>
      <c r="Q5897">
        <v>-2.6819309999999999E-2</v>
      </c>
      <c r="R5897">
        <v>-0.1738114</v>
      </c>
      <c r="S5897">
        <v>3.0431210000000002</v>
      </c>
      <c r="T5897">
        <v>-0.21716179999999999</v>
      </c>
      <c r="U5897">
        <v>-1.34277299999999E-3</v>
      </c>
      <c r="V5897">
        <v>7.2967459999999998E-3</v>
      </c>
      <c r="W5897">
        <v>-1.573596E-2</v>
      </c>
      <c r="X5897">
        <v>0.99984960000000001</v>
      </c>
      <c r="Y5897">
        <v>-0.16550709999999999</v>
      </c>
      <c r="Z5897">
        <v>1.77427E-2</v>
      </c>
      <c r="AA5897">
        <v>0.98604899999999995</v>
      </c>
      <c r="AB5897">
        <v>17</v>
      </c>
      <c r="AC5897">
        <v>15.512699999999899</v>
      </c>
      <c r="AD5897">
        <v>-1.1126461462099999</v>
      </c>
      <c r="AE5897">
        <v>3.4399999999976602E-3</v>
      </c>
      <c r="AF5897">
        <v>-2.5774050271317401</v>
      </c>
      <c r="AG5897">
        <v>-1.1126461462099999</v>
      </c>
      <c r="AH5897">
        <v>15.2165656294948</v>
      </c>
      <c r="AI5897">
        <v>94.123538444334599</v>
      </c>
      <c r="AJ5897">
        <v>99.613600892735803</v>
      </c>
      <c r="AK5897">
        <v>15.473359934974701</v>
      </c>
      <c r="AL5897">
        <v>90.901641269424999</v>
      </c>
      <c r="AM5897">
        <v>89.581871785279105</v>
      </c>
      <c r="AN5897">
        <v>1.00000004277973</v>
      </c>
    </row>
    <row r="5898" spans="1:40" x14ac:dyDescent="0.25">
      <c r="A5898" t="str">
        <f>"20190312161138401"</f>
        <v>20190312161138401</v>
      </c>
      <c r="B5898" t="str">
        <f>"1552378298393609"</f>
        <v>1552378298393609</v>
      </c>
      <c r="C5898" t="s">
        <v>40</v>
      </c>
      <c r="D5898">
        <v>5.9362199999999996</v>
      </c>
      <c r="E5898">
        <v>0.43358550000000001</v>
      </c>
      <c r="F5898" t="s">
        <v>41</v>
      </c>
      <c r="G5898">
        <v>-262.97669999999999</v>
      </c>
      <c r="H5898" s="1">
        <v>-8.8844489999999997E-7</v>
      </c>
      <c r="I5898">
        <v>-62.661960000000001</v>
      </c>
      <c r="J5898">
        <v>-278.99130000000002</v>
      </c>
      <c r="K5898">
        <v>1.1126100000000001</v>
      </c>
      <c r="L5898">
        <v>-62.707120000000003</v>
      </c>
      <c r="M5898">
        <v>0.98641100000000004</v>
      </c>
      <c r="N5898">
        <v>0</v>
      </c>
      <c r="O5898">
        <v>-0.16392670000000001</v>
      </c>
      <c r="P5898">
        <v>0.98491530000000005</v>
      </c>
      <c r="Q5898">
        <v>-2.7304539999999999E-2</v>
      </c>
      <c r="R5898">
        <v>-0.1708703</v>
      </c>
      <c r="S5898">
        <v>3.0429080000000002</v>
      </c>
      <c r="T5898">
        <v>-0.2103698</v>
      </c>
      <c r="U5898">
        <v>6.6223139999999998E-3</v>
      </c>
      <c r="V5898">
        <v>7.2012810000000003E-3</v>
      </c>
      <c r="W5898">
        <v>-1.623316E-2</v>
      </c>
      <c r="X5898">
        <v>0.99984229999999996</v>
      </c>
      <c r="Y5898">
        <v>-0.1652999</v>
      </c>
      <c r="Z5898">
        <v>1.6989210000000001E-2</v>
      </c>
      <c r="AA5898">
        <v>0.986097</v>
      </c>
      <c r="AB5898">
        <v>17</v>
      </c>
      <c r="AC5898">
        <v>16.014600000000002</v>
      </c>
      <c r="AD5898">
        <v>-1.1126108884449</v>
      </c>
      <c r="AE5898">
        <v>4.5159999999995599E-2</v>
      </c>
      <c r="AF5898">
        <v>-2.6571038257461899</v>
      </c>
      <c r="AG5898">
        <v>-1.1126108884449</v>
      </c>
      <c r="AH5898">
        <v>15.7146828217032</v>
      </c>
      <c r="AI5898">
        <v>93.9933306543942</v>
      </c>
      <c r="AJ5898">
        <v>99.597037319464206</v>
      </c>
      <c r="AK5898">
        <v>15.9765252766869</v>
      </c>
      <c r="AL5898">
        <v>90.930132410484006</v>
      </c>
      <c r="AM5898">
        <v>89.587339049325493</v>
      </c>
      <c r="AN5898">
        <v>0.99999999940045803</v>
      </c>
    </row>
    <row r="5899" spans="1:40" x14ac:dyDescent="0.25">
      <c r="A5899" t="str">
        <f>"20190312161138413"</f>
        <v>20190312161138413</v>
      </c>
      <c r="B5899" t="str">
        <f>"1552378298403369"</f>
        <v>1552378298403369</v>
      </c>
      <c r="C5899" t="s">
        <v>40</v>
      </c>
      <c r="D5899">
        <v>5.7184379999999999</v>
      </c>
      <c r="E5899">
        <v>0.43450240000000001</v>
      </c>
      <c r="F5899" t="s">
        <v>105</v>
      </c>
      <c r="G5899">
        <v>-263.01069999999999</v>
      </c>
      <c r="H5899" s="1">
        <v>-8.9309259999999896E-7</v>
      </c>
      <c r="I5899">
        <v>-62.624510000000001</v>
      </c>
      <c r="J5899">
        <v>-278.90730000000002</v>
      </c>
      <c r="K5899">
        <v>1.112571</v>
      </c>
      <c r="L5899">
        <v>-62.717500000000001</v>
      </c>
      <c r="M5899">
        <v>0.98689859999999896</v>
      </c>
      <c r="N5899">
        <v>0</v>
      </c>
      <c r="O5899">
        <v>-0.16096549999999901</v>
      </c>
      <c r="P5899">
        <v>0.98546049999999996</v>
      </c>
      <c r="Q5899">
        <v>-2.7348500000000001E-2</v>
      </c>
      <c r="R5899">
        <v>-0.1676898</v>
      </c>
      <c r="S5899">
        <v>3.0428470000000001</v>
      </c>
      <c r="T5899">
        <v>-0.21185090000000001</v>
      </c>
      <c r="U5899">
        <v>1.5716549999999999E-2</v>
      </c>
      <c r="V5899">
        <v>6.9733190000000004E-3</v>
      </c>
      <c r="W5899">
        <v>-1.629042E-2</v>
      </c>
      <c r="X5899">
        <v>0.99984300000000004</v>
      </c>
      <c r="Y5899">
        <v>-0.1652834</v>
      </c>
      <c r="Z5899">
        <v>1.6905010000000002E-2</v>
      </c>
      <c r="AA5899">
        <v>0.98610120000000001</v>
      </c>
      <c r="AB5899">
        <v>17</v>
      </c>
      <c r="AC5899">
        <v>15.896599999999999</v>
      </c>
      <c r="AD5899">
        <v>-1.1125718930926001</v>
      </c>
      <c r="AE5899">
        <v>9.2990000000000295E-2</v>
      </c>
      <c r="AF5899">
        <v>-2.63781614763877</v>
      </c>
      <c r="AG5899">
        <v>-1.1125718930926001</v>
      </c>
      <c r="AH5899">
        <v>15.597913425473299</v>
      </c>
      <c r="AI5899">
        <v>94.022967978703505</v>
      </c>
      <c r="AJ5899">
        <v>99.598666407960707</v>
      </c>
      <c r="AK5899">
        <v>15.8584612580983</v>
      </c>
      <c r="AL5899">
        <v>90.933413586318096</v>
      </c>
      <c r="AM5899">
        <v>89.600401993255304</v>
      </c>
      <c r="AN5899">
        <v>1.0000000148053201</v>
      </c>
    </row>
    <row r="5900" spans="1:40" x14ac:dyDescent="0.25">
      <c r="A5900" t="str">
        <f>"20190312161138423"</f>
        <v>20190312161138423</v>
      </c>
      <c r="B5900" t="str">
        <f>"1552378298413130"</f>
        <v>1552378298413130</v>
      </c>
      <c r="C5900" t="s">
        <v>40</v>
      </c>
      <c r="D5900">
        <v>5.7160320000000002</v>
      </c>
      <c r="E5900">
        <v>0.43544719999999998</v>
      </c>
      <c r="F5900" t="s">
        <v>105</v>
      </c>
      <c r="G5900">
        <v>-263.1927</v>
      </c>
      <c r="H5900" s="1">
        <v>-9.7053429999999998E-7</v>
      </c>
      <c r="I5900">
        <v>-62.622190000000003</v>
      </c>
      <c r="J5900">
        <v>-278.82119999999998</v>
      </c>
      <c r="K5900">
        <v>1.1125350000000001</v>
      </c>
      <c r="L5900">
        <v>-62.728059999999999</v>
      </c>
      <c r="M5900">
        <v>0.98738649999999994</v>
      </c>
      <c r="N5900">
        <v>0</v>
      </c>
      <c r="O5900">
        <v>-0.15794649999999999</v>
      </c>
      <c r="P5900">
        <v>0.98600489999999996</v>
      </c>
      <c r="Q5900">
        <v>-2.7330980000000001E-2</v>
      </c>
      <c r="R5900">
        <v>-0.16446150000000001</v>
      </c>
      <c r="S5900">
        <v>3.0414430000000001</v>
      </c>
      <c r="T5900">
        <v>-0.21532870000000001</v>
      </c>
      <c r="U5900">
        <v>1.843262E-2</v>
      </c>
      <c r="V5900">
        <v>6.7550739999999998E-3</v>
      </c>
      <c r="W5900">
        <v>-1.6286149999999999E-2</v>
      </c>
      <c r="X5900">
        <v>0.99984459999999997</v>
      </c>
      <c r="Y5900">
        <v>-0.16313610000000001</v>
      </c>
      <c r="Z5900">
        <v>1.6902540000000001E-2</v>
      </c>
      <c r="AA5900">
        <v>0.98645879999999997</v>
      </c>
      <c r="AB5900">
        <v>17</v>
      </c>
      <c r="AC5900">
        <v>15.628499999999899</v>
      </c>
      <c r="AD5900">
        <v>-1.1125359705343001</v>
      </c>
      <c r="AE5900">
        <v>0.105869999999995</v>
      </c>
      <c r="AF5900">
        <v>-2.5601837817624502</v>
      </c>
      <c r="AG5900">
        <v>-1.1125359705343001</v>
      </c>
      <c r="AH5900">
        <v>15.3378582802704</v>
      </c>
      <c r="AI5900">
        <v>94.092278520865804</v>
      </c>
      <c r="AJ5900">
        <v>99.476402386968502</v>
      </c>
      <c r="AK5900">
        <v>15.589809938154801</v>
      </c>
      <c r="AL5900">
        <v>90.933168870904098</v>
      </c>
      <c r="AM5900">
        <v>89.612908504120298</v>
      </c>
      <c r="AN5900">
        <v>1.00000004692786</v>
      </c>
    </row>
    <row r="5901" spans="1:40" x14ac:dyDescent="0.25">
      <c r="A5901" t="str">
        <f>"20190312161138434"</f>
        <v>20190312161138434</v>
      </c>
      <c r="B5901" t="str">
        <f>"1552378298422890"</f>
        <v>1552378298422890</v>
      </c>
      <c r="C5901" t="s">
        <v>40</v>
      </c>
      <c r="D5901">
        <v>5.7209669999999999</v>
      </c>
      <c r="E5901">
        <v>0.43586439999999999</v>
      </c>
      <c r="F5901" t="s">
        <v>105</v>
      </c>
      <c r="G5901">
        <v>-263.24059999999997</v>
      </c>
      <c r="H5901" s="1">
        <v>-9.9054449999999994E-7</v>
      </c>
      <c r="I5901">
        <v>-62.620069999999998</v>
      </c>
      <c r="J5901">
        <v>-278.74110000000002</v>
      </c>
      <c r="K5901">
        <v>1.112495</v>
      </c>
      <c r="L5901">
        <v>-62.737520000000004</v>
      </c>
      <c r="M5901">
        <v>0.98781940000000001</v>
      </c>
      <c r="N5901">
        <v>0</v>
      </c>
      <c r="O5901">
        <v>-0.15521550000000001</v>
      </c>
      <c r="P5901">
        <v>0.98647309999999999</v>
      </c>
      <c r="Q5901">
        <v>-2.72985E-2</v>
      </c>
      <c r="R5901">
        <v>-0.1616331</v>
      </c>
      <c r="S5901">
        <v>3.0400999999999998</v>
      </c>
      <c r="T5901">
        <v>-0.21707879999999999</v>
      </c>
      <c r="U5901">
        <v>2.105713E-2</v>
      </c>
      <c r="V5901">
        <v>6.6508790000000002E-3</v>
      </c>
      <c r="W5901">
        <v>-1.626536E-2</v>
      </c>
      <c r="X5901">
        <v>0.9998456</v>
      </c>
      <c r="Y5901">
        <v>-0.16125989999999901</v>
      </c>
      <c r="Z5901">
        <v>1.678733E-2</v>
      </c>
      <c r="AA5901">
        <v>0.98676920000000001</v>
      </c>
      <c r="AB5901">
        <v>17</v>
      </c>
      <c r="AC5901">
        <v>15.500500000000001</v>
      </c>
      <c r="AD5901">
        <v>-1.1124959905445</v>
      </c>
      <c r="AE5901">
        <v>0.117449999999998</v>
      </c>
      <c r="AF5901">
        <v>-2.5091654299716102</v>
      </c>
      <c r="AG5901">
        <v>-1.1124959905445</v>
      </c>
      <c r="AH5901">
        <v>15.2160140415925</v>
      </c>
      <c r="AI5901">
        <v>94.1261260637134</v>
      </c>
      <c r="AJ5901">
        <v>99.363971197393298</v>
      </c>
      <c r="AK5901">
        <v>15.4615860052545</v>
      </c>
      <c r="AL5901">
        <v>90.931977568335299</v>
      </c>
      <c r="AM5901">
        <v>89.618879478560103</v>
      </c>
      <c r="AN5901">
        <v>1.0000000099833799</v>
      </c>
    </row>
    <row r="5902" spans="1:40" x14ac:dyDescent="0.25">
      <c r="A5902" t="str">
        <f>"20190312161138446"</f>
        <v>20190312161138446</v>
      </c>
      <c r="B5902" t="str">
        <f>"1552378298443385"</f>
        <v>1552378298443385</v>
      </c>
      <c r="C5902" t="s">
        <v>40</v>
      </c>
      <c r="D5902">
        <v>5.7384829999999996</v>
      </c>
      <c r="E5902">
        <v>0.43675389999999997</v>
      </c>
      <c r="F5902" t="s">
        <v>105</v>
      </c>
      <c r="G5902">
        <v>-262.93259999999998</v>
      </c>
      <c r="H5902" s="1">
        <v>-8.5322049999999997E-7</v>
      </c>
      <c r="I5902">
        <v>-62.600630000000002</v>
      </c>
      <c r="J5902">
        <v>-278.6558</v>
      </c>
      <c r="K5902">
        <v>1.1124510000000001</v>
      </c>
      <c r="L5902">
        <v>-62.74756</v>
      </c>
      <c r="M5902">
        <v>0.98827089999999995</v>
      </c>
      <c r="N5902">
        <v>0</v>
      </c>
      <c r="O5902">
        <v>-0.15231649999999999</v>
      </c>
      <c r="P5902">
        <v>0.98694899999999997</v>
      </c>
      <c r="Q5902">
        <v>-2.7167650000000002E-2</v>
      </c>
      <c r="R5902">
        <v>-0.15872720000000001</v>
      </c>
      <c r="S5902">
        <v>3.03952</v>
      </c>
      <c r="T5902">
        <v>-0.21390000000000001</v>
      </c>
      <c r="U5902">
        <v>2.630615E-2</v>
      </c>
      <c r="V5902">
        <v>6.6365959999999998E-3</v>
      </c>
      <c r="W5902">
        <v>-1.6146130000000002E-2</v>
      </c>
      <c r="X5902">
        <v>0.99984759999999995</v>
      </c>
      <c r="Y5902">
        <v>-0.16010279999999999</v>
      </c>
      <c r="Z5902">
        <v>1.6302859999999999E-2</v>
      </c>
      <c r="AA5902">
        <v>0.98696569999999995</v>
      </c>
      <c r="AB5902">
        <v>17</v>
      </c>
      <c r="AC5902">
        <v>15.7232</v>
      </c>
      <c r="AD5902">
        <v>-1.1124518532205001</v>
      </c>
      <c r="AE5902">
        <v>0.14692999999999701</v>
      </c>
      <c r="AF5902">
        <v>-2.5276104391237402</v>
      </c>
      <c r="AG5902">
        <v>-1.1124518532205001</v>
      </c>
      <c r="AH5902">
        <v>15.4400503262948</v>
      </c>
      <c r="AI5902">
        <v>94.067074093882397</v>
      </c>
      <c r="AJ5902">
        <v>99.297127735246704</v>
      </c>
      <c r="AK5902">
        <v>15.685073086734899</v>
      </c>
      <c r="AL5902">
        <v>90.925145320742999</v>
      </c>
      <c r="AM5902">
        <v>89.619698685113505</v>
      </c>
      <c r="AN5902">
        <v>0.99999998257310097</v>
      </c>
    </row>
    <row r="5903" spans="1:40" x14ac:dyDescent="0.25">
      <c r="A5903" t="str">
        <f>"20190312161138456"</f>
        <v>20190312161138456</v>
      </c>
      <c r="B5903" t="str">
        <f>"1552378298443385"</f>
        <v>1552378298443385</v>
      </c>
      <c r="C5903" t="s">
        <v>40</v>
      </c>
      <c r="D5903">
        <v>5.7384829999999996</v>
      </c>
      <c r="E5903">
        <v>0.43675389999999997</v>
      </c>
      <c r="F5903" t="s">
        <v>41</v>
      </c>
      <c r="G5903">
        <v>-262.42919999999998</v>
      </c>
      <c r="H5903" s="1">
        <v>-6.3662780000000002E-7</v>
      </c>
      <c r="I5903">
        <v>-62.598210000000002</v>
      </c>
      <c r="J5903">
        <v>-278.57510000000002</v>
      </c>
      <c r="K5903">
        <v>1.1124080000000001</v>
      </c>
      <c r="L5903">
        <v>-62.756740000000001</v>
      </c>
      <c r="M5903">
        <v>0.98867830000000001</v>
      </c>
      <c r="N5903">
        <v>0</v>
      </c>
      <c r="O5903">
        <v>-0.14964930000000001</v>
      </c>
      <c r="P5903">
        <v>0.98738800000000004</v>
      </c>
      <c r="Q5903">
        <v>-2.7271460000000001E-2</v>
      </c>
      <c r="R5903">
        <v>-0.15595319999999999</v>
      </c>
      <c r="S5903">
        <v>3.0384519999999999</v>
      </c>
      <c r="T5903">
        <v>-0.20830850000000001</v>
      </c>
      <c r="U5903">
        <v>2.7954099999999999E-2</v>
      </c>
      <c r="V5903">
        <v>6.5244450000000002E-3</v>
      </c>
      <c r="W5903">
        <v>-1.6261910000000001E-2</v>
      </c>
      <c r="X5903">
        <v>0.99984649999999997</v>
      </c>
      <c r="Y5903">
        <v>-0.15802769999999999</v>
      </c>
      <c r="Z5903">
        <v>1.5631180000000001E-2</v>
      </c>
      <c r="AA5903">
        <v>0.98731089999999999</v>
      </c>
      <c r="AB5903">
        <v>17</v>
      </c>
      <c r="AC5903">
        <v>16.145900000000001</v>
      </c>
      <c r="AD5903">
        <v>-1.1124086366278001</v>
      </c>
      <c r="AE5903">
        <v>0.158530000000006</v>
      </c>
      <c r="AF5903">
        <v>-2.5609573175756002</v>
      </c>
      <c r="AG5903">
        <v>-1.1124086366278001</v>
      </c>
      <c r="AH5903">
        <v>15.8650344987149</v>
      </c>
      <c r="AI5903">
        <v>93.959752409593406</v>
      </c>
      <c r="AJ5903">
        <v>99.169671013852394</v>
      </c>
      <c r="AK5903">
        <v>16.1088570358888</v>
      </c>
      <c r="AL5903">
        <v>90.9317798616419</v>
      </c>
      <c r="AM5903">
        <v>89.626124753826801</v>
      </c>
      <c r="AN5903">
        <v>1.00000002083082</v>
      </c>
    </row>
    <row r="5904" spans="1:40" x14ac:dyDescent="0.25">
      <c r="A5904" t="str">
        <f>"20190312161138467"</f>
        <v>20190312161138467</v>
      </c>
      <c r="B5904" t="str">
        <f>"1552378298462905"</f>
        <v>1552378298462905</v>
      </c>
      <c r="C5904" t="s">
        <v>40</v>
      </c>
      <c r="D5904">
        <v>5.7045599999999999</v>
      </c>
      <c r="E5904">
        <v>0.43779010000000002</v>
      </c>
      <c r="F5904" t="s">
        <v>41</v>
      </c>
      <c r="G5904">
        <v>-262.38350000000003</v>
      </c>
      <c r="H5904" s="1">
        <v>-6.0741209999999995E-7</v>
      </c>
      <c r="I5904">
        <v>-62.562170000000002</v>
      </c>
      <c r="J5904">
        <v>-278.488</v>
      </c>
      <c r="K5904">
        <v>1.1123559999999999</v>
      </c>
      <c r="L5904">
        <v>-62.766570000000002</v>
      </c>
      <c r="M5904">
        <v>0.98910589999999998</v>
      </c>
      <c r="N5904">
        <v>0</v>
      </c>
      <c r="O5904">
        <v>-0.1467975</v>
      </c>
      <c r="P5904">
        <v>0.98783920000000003</v>
      </c>
      <c r="Q5904">
        <v>-2.711597E-2</v>
      </c>
      <c r="R5904">
        <v>-0.15309619999999999</v>
      </c>
      <c r="S5904">
        <v>3.0383300000000002</v>
      </c>
      <c r="T5904">
        <v>-0.20874119999999999</v>
      </c>
      <c r="U5904">
        <v>3.649902E-2</v>
      </c>
      <c r="V5904">
        <v>6.5121939999999998E-3</v>
      </c>
      <c r="W5904">
        <v>-1.611843E-2</v>
      </c>
      <c r="X5904">
        <v>0.99984890000000004</v>
      </c>
      <c r="Y5904">
        <v>-0.15796079999999901</v>
      </c>
      <c r="Z5904">
        <v>1.546807E-2</v>
      </c>
      <c r="AA5904">
        <v>0.98732419999999999</v>
      </c>
      <c r="AB5904">
        <v>17</v>
      </c>
      <c r="AC5904">
        <v>16.104499999999899</v>
      </c>
      <c r="AD5904">
        <v>-1.1123566074121001</v>
      </c>
      <c r="AE5904">
        <v>0.204399999999999</v>
      </c>
      <c r="AF5904">
        <v>-2.5542437013150199</v>
      </c>
      <c r="AG5904">
        <v>-1.1123566074121001</v>
      </c>
      <c r="AH5904">
        <v>15.8245208092652</v>
      </c>
      <c r="AI5904">
        <v>93.969679487513702</v>
      </c>
      <c r="AJ5904">
        <v>99.169057587165298</v>
      </c>
      <c r="AK5904">
        <v>16.067885889270801</v>
      </c>
      <c r="AL5904">
        <v>90.923557988669003</v>
      </c>
      <c r="AM5904">
        <v>89.626827658073793</v>
      </c>
      <c r="AN5904">
        <v>1.00000001764378</v>
      </c>
    </row>
    <row r="5905" spans="1:40" x14ac:dyDescent="0.25">
      <c r="A5905" t="str">
        <f>"20190312161138479"</f>
        <v>20190312161138479</v>
      </c>
      <c r="B5905" t="str">
        <f>"1552378298473641"</f>
        <v>1552378298473641</v>
      </c>
      <c r="C5905" t="s">
        <v>40</v>
      </c>
      <c r="D5905">
        <v>5.7318540000000002</v>
      </c>
      <c r="E5905">
        <v>0.43818889999999999</v>
      </c>
      <c r="F5905" t="s">
        <v>41</v>
      </c>
      <c r="G5905">
        <v>-262.29480000000001</v>
      </c>
      <c r="H5905" s="1">
        <v>-5.7117289999999998E-7</v>
      </c>
      <c r="I5905">
        <v>-62.568959999999997</v>
      </c>
      <c r="J5905">
        <v>-278.39710000000002</v>
      </c>
      <c r="K5905">
        <v>1.112304</v>
      </c>
      <c r="L5905">
        <v>-62.776580000000003</v>
      </c>
      <c r="M5905">
        <v>0.98953469999999999</v>
      </c>
      <c r="N5905">
        <v>0</v>
      </c>
      <c r="O5905">
        <v>-0.1438786</v>
      </c>
      <c r="P5905">
        <v>0.98821230000000004</v>
      </c>
      <c r="Q5905">
        <v>-2.7487330000000001E-2</v>
      </c>
      <c r="R5905">
        <v>-0.1506025</v>
      </c>
      <c r="S5905">
        <v>3.0369869999999999</v>
      </c>
      <c r="T5905">
        <v>-0.20861830000000001</v>
      </c>
      <c r="U5905">
        <v>3.7048339999999999E-2</v>
      </c>
      <c r="V5905">
        <v>6.9401489999999996E-3</v>
      </c>
      <c r="W5905">
        <v>-1.6499960000000001E-2</v>
      </c>
      <c r="X5905">
        <v>0.99983979999999995</v>
      </c>
      <c r="Y5905">
        <v>-0.1552444</v>
      </c>
      <c r="Z5905">
        <v>1.5173890000000001E-2</v>
      </c>
      <c r="AA5905">
        <v>0.98775950000000001</v>
      </c>
      <c r="AB5905">
        <v>17</v>
      </c>
      <c r="AC5905">
        <v>16.1023</v>
      </c>
      <c r="AD5905">
        <v>-1.1123045711729</v>
      </c>
      <c r="AE5905">
        <v>0.20762000000000499</v>
      </c>
      <c r="AF5905">
        <v>-2.5103981211902999</v>
      </c>
      <c r="AG5905">
        <v>-1.1123045711729</v>
      </c>
      <c r="AH5905">
        <v>15.8293469756969</v>
      </c>
      <c r="AI5905">
        <v>93.970028051646395</v>
      </c>
      <c r="AJ5905">
        <v>99.011566737886895</v>
      </c>
      <c r="AK5905">
        <v>16.065725811893198</v>
      </c>
      <c r="AL5905">
        <v>90.945420952796894</v>
      </c>
      <c r="AM5905">
        <v>89.602301427876895</v>
      </c>
      <c r="AN5905">
        <v>1.0000000200060899</v>
      </c>
    </row>
    <row r="5906" spans="1:40" x14ac:dyDescent="0.25">
      <c r="A5906" t="str">
        <f>"20190312161138491"</f>
        <v>20190312161138491</v>
      </c>
      <c r="B5906" t="str">
        <f>"1552378298483401"</f>
        <v>1552378298483401</v>
      </c>
      <c r="C5906" t="s">
        <v>40</v>
      </c>
      <c r="D5906">
        <v>5.7236859999999998</v>
      </c>
      <c r="E5906">
        <v>0.43858599999999998</v>
      </c>
      <c r="F5906" t="s">
        <v>41</v>
      </c>
      <c r="G5906">
        <v>-262.21679999999998</v>
      </c>
      <c r="H5906" s="1">
        <v>-5.3418999999999899E-7</v>
      </c>
      <c r="I5906">
        <v>-62.555660000000003</v>
      </c>
      <c r="J5906">
        <v>-278.31470000000002</v>
      </c>
      <c r="K5906">
        <v>1.112249</v>
      </c>
      <c r="L5906">
        <v>-62.78546</v>
      </c>
      <c r="M5906">
        <v>0.98990919999999905</v>
      </c>
      <c r="N5906">
        <v>0</v>
      </c>
      <c r="O5906">
        <v>-0.1412813</v>
      </c>
      <c r="P5906">
        <v>0.98859540000000001</v>
      </c>
      <c r="Q5906">
        <v>-2.7608609999999999E-2</v>
      </c>
      <c r="R5906">
        <v>-0.14804529999999999</v>
      </c>
      <c r="S5906">
        <v>3.0362849999999999</v>
      </c>
      <c r="T5906">
        <v>-0.2087272</v>
      </c>
      <c r="U5906">
        <v>4.144287E-2</v>
      </c>
      <c r="V5906">
        <v>6.9763830000000001E-3</v>
      </c>
      <c r="W5906">
        <v>-1.6632279999999999E-2</v>
      </c>
      <c r="X5906">
        <v>0.99983730000000004</v>
      </c>
      <c r="Y5906">
        <v>-0.15409200000000001</v>
      </c>
      <c r="Z5906">
        <v>1.4968800000000001E-2</v>
      </c>
      <c r="AA5906">
        <v>0.98794309999999996</v>
      </c>
      <c r="AB5906">
        <v>17</v>
      </c>
      <c r="AC5906">
        <v>16.097899999999999</v>
      </c>
      <c r="AD5906">
        <v>-1.1122495341900001</v>
      </c>
      <c r="AE5906">
        <v>0.229800000000004</v>
      </c>
      <c r="AF5906">
        <v>-2.4900779462231299</v>
      </c>
      <c r="AG5906">
        <v>-1.1122495341900001</v>
      </c>
      <c r="AH5906">
        <v>15.828395610944201</v>
      </c>
      <c r="AI5906">
        <v>93.970847284307396</v>
      </c>
      <c r="AJ5906">
        <v>98.940334932765296</v>
      </c>
      <c r="AK5906">
        <v>16.0616217992185</v>
      </c>
      <c r="AL5906">
        <v>90.953003423553596</v>
      </c>
      <c r="AM5906">
        <v>89.600224140958403</v>
      </c>
      <c r="AN5906">
        <v>0.999999964564525</v>
      </c>
    </row>
    <row r="5907" spans="1:40" x14ac:dyDescent="0.25">
      <c r="A5907" t="str">
        <f>"20190312161138500"</f>
        <v>20190312161138500</v>
      </c>
      <c r="B5907" t="str">
        <f>"1552378298493162"</f>
        <v>1552378298493162</v>
      </c>
      <c r="C5907" t="s">
        <v>40</v>
      </c>
      <c r="D5907">
        <v>5.8481699999999996</v>
      </c>
      <c r="E5907">
        <v>0.43858599999999998</v>
      </c>
      <c r="F5907" t="s">
        <v>41</v>
      </c>
      <c r="G5907">
        <v>-262.0752</v>
      </c>
      <c r="H5907" s="1">
        <v>-4.6911359999999897E-7</v>
      </c>
      <c r="I5907">
        <v>-62.539369999999998</v>
      </c>
      <c r="J5907">
        <v>-278.22789999999998</v>
      </c>
      <c r="K5907">
        <v>1.112198</v>
      </c>
      <c r="L5907">
        <v>-62.794710000000002</v>
      </c>
      <c r="M5907">
        <v>0.99029060000000002</v>
      </c>
      <c r="N5907">
        <v>0</v>
      </c>
      <c r="O5907">
        <v>-0.1385825</v>
      </c>
      <c r="P5907">
        <v>0.98896430000000002</v>
      </c>
      <c r="Q5907">
        <v>-2.7921109999999999E-2</v>
      </c>
      <c r="R5907">
        <v>-0.14549960000000001</v>
      </c>
      <c r="S5907">
        <v>3.0357059999999998</v>
      </c>
      <c r="T5907">
        <v>-0.20791689999999999</v>
      </c>
      <c r="U5907">
        <v>4.5989990000000001E-2</v>
      </c>
      <c r="V5907">
        <v>7.1288920000000004E-3</v>
      </c>
      <c r="W5907">
        <v>-1.695559E-2</v>
      </c>
      <c r="X5907">
        <v>0.99983080000000002</v>
      </c>
      <c r="Y5907">
        <v>-0.15289510000000001</v>
      </c>
      <c r="Z5907">
        <v>1.468948E-2</v>
      </c>
      <c r="AA5907">
        <v>0.98813329999999999</v>
      </c>
      <c r="AB5907">
        <v>17</v>
      </c>
      <c r="AC5907">
        <v>16.1526999999999</v>
      </c>
      <c r="AD5907">
        <v>-1.1121984691136</v>
      </c>
      <c r="AE5907">
        <v>0.25533999999999601</v>
      </c>
      <c r="AF5907">
        <v>-2.4797375018796699</v>
      </c>
      <c r="AG5907">
        <v>-1.1121984691136</v>
      </c>
      <c r="AH5907">
        <v>15.8861362759048</v>
      </c>
      <c r="AI5907">
        <v>93.9570170552051</v>
      </c>
      <c r="AJ5907">
        <v>98.871958273172694</v>
      </c>
      <c r="AK5907">
        <v>16.116929276060802</v>
      </c>
      <c r="AL5907">
        <v>90.9715303294428</v>
      </c>
      <c r="AM5907">
        <v>89.591482376129207</v>
      </c>
      <c r="AN5907">
        <v>0.999999970881017</v>
      </c>
    </row>
    <row r="5908" spans="1:40" x14ac:dyDescent="0.25">
      <c r="A5908" t="str">
        <f>"20190312161138512"</f>
        <v>20190312161138512</v>
      </c>
      <c r="B5908" t="str">
        <f>"1552378298502922"</f>
        <v>1552378298502922</v>
      </c>
      <c r="C5908" t="s">
        <v>40</v>
      </c>
      <c r="D5908">
        <v>5.7479129999999996</v>
      </c>
      <c r="E5908">
        <v>0.4464439</v>
      </c>
      <c r="F5908" t="s">
        <v>41</v>
      </c>
      <c r="G5908">
        <v>-262.08449999999999</v>
      </c>
      <c r="H5908" s="1">
        <v>-4.649783E-7</v>
      </c>
      <c r="I5908">
        <v>-62.508830000000003</v>
      </c>
      <c r="J5908">
        <v>-278.14519999999999</v>
      </c>
      <c r="K5908">
        <v>1.1121490000000001</v>
      </c>
      <c r="L5908">
        <v>-62.803280000000001</v>
      </c>
      <c r="M5908">
        <v>0.99063730000000005</v>
      </c>
      <c r="N5908">
        <v>0</v>
      </c>
      <c r="O5908">
        <v>-0.13608339999999999</v>
      </c>
      <c r="P5908">
        <v>0.98929089999999997</v>
      </c>
      <c r="Q5908">
        <v>-2.8399489999999999E-2</v>
      </c>
      <c r="R5908">
        <v>-0.1431684</v>
      </c>
      <c r="S5908">
        <v>3.0355219999999998</v>
      </c>
      <c r="T5908">
        <v>-0.20913180000000001</v>
      </c>
      <c r="U5908">
        <v>5.3741459999999998E-2</v>
      </c>
      <c r="V5908">
        <v>7.2975050000000001E-3</v>
      </c>
      <c r="W5908">
        <v>-1.74440999999999E-2</v>
      </c>
      <c r="X5908">
        <v>0.99982119999999997</v>
      </c>
      <c r="Y5908">
        <v>-0.15292320000000001</v>
      </c>
      <c r="Z5908">
        <v>1.4606249999999999E-2</v>
      </c>
      <c r="AA5908">
        <v>0.98813019999999996</v>
      </c>
      <c r="AB5908">
        <v>17</v>
      </c>
      <c r="AC5908">
        <v>16.060699999999901</v>
      </c>
      <c r="AD5908">
        <v>-1.1121494649782999</v>
      </c>
      <c r="AE5908">
        <v>0.29445000000000399</v>
      </c>
      <c r="AF5908">
        <v>-2.4656163901444099</v>
      </c>
      <c r="AG5908">
        <v>-1.1121494649782999</v>
      </c>
      <c r="AH5908">
        <v>15.7954880294395</v>
      </c>
      <c r="AI5908">
        <v>93.979477223821405</v>
      </c>
      <c r="AJ5908">
        <v>98.872059460256196</v>
      </c>
      <c r="AK5908">
        <v>16.025404291435699</v>
      </c>
      <c r="AL5908">
        <v>90.999524012648706</v>
      </c>
      <c r="AM5908">
        <v>89.581816415779102</v>
      </c>
      <c r="AN5908">
        <v>0.99999999108673698</v>
      </c>
    </row>
    <row r="5909" spans="1:40" x14ac:dyDescent="0.25">
      <c r="A5909" t="str">
        <f>"20190312161138526"</f>
        <v>20190312161138526</v>
      </c>
      <c r="B5909" t="str">
        <f>"1552378298523418"</f>
        <v>1552378298523418</v>
      </c>
      <c r="C5909" t="s">
        <v>40</v>
      </c>
      <c r="D5909">
        <v>5.7656010000000002</v>
      </c>
      <c r="E5909">
        <v>0.44682690000000003</v>
      </c>
      <c r="F5909" t="s">
        <v>41</v>
      </c>
      <c r="G5909">
        <v>-261.63670000000002</v>
      </c>
      <c r="H5909" s="1">
        <v>-3.5330480000000002E-7</v>
      </c>
      <c r="I5909">
        <v>-62.811039999999998</v>
      </c>
      <c r="J5909">
        <v>-278.0478</v>
      </c>
      <c r="K5909">
        <v>1.112088</v>
      </c>
      <c r="L5909">
        <v>-62.813229999999997</v>
      </c>
      <c r="M5909">
        <v>0.99103260000000004</v>
      </c>
      <c r="N5909">
        <v>0</v>
      </c>
      <c r="O5909">
        <v>-0.1331753</v>
      </c>
      <c r="P5909">
        <v>0.98971030000000004</v>
      </c>
      <c r="Q5909">
        <v>-2.8000850000000001E-2</v>
      </c>
      <c r="R5909">
        <v>-0.140321</v>
      </c>
      <c r="S5909">
        <v>3.0264280000000001</v>
      </c>
      <c r="T5909">
        <v>-0.2038857</v>
      </c>
      <c r="U5909">
        <v>-1.4343260000000001E-3</v>
      </c>
      <c r="V5909">
        <v>7.3486869999999996E-3</v>
      </c>
      <c r="W5909">
        <v>-1.705771E-2</v>
      </c>
      <c r="X5909">
        <v>0.99982749999999998</v>
      </c>
      <c r="Y5909">
        <v>-0.13211349999999999</v>
      </c>
      <c r="Z5909">
        <v>1.338714E-2</v>
      </c>
      <c r="AA5909">
        <v>0.99114420000000003</v>
      </c>
      <c r="AB5909">
        <v>17</v>
      </c>
      <c r="AC5909">
        <v>16.411099999999902</v>
      </c>
      <c r="AD5909">
        <v>-1.1120883533048</v>
      </c>
      <c r="AE5909">
        <v>2.1899999999988001E-3</v>
      </c>
      <c r="AF5909">
        <v>-2.17785267799397</v>
      </c>
      <c r="AG5909">
        <v>-1.1120883533048</v>
      </c>
      <c r="AH5909">
        <v>16.190263073144202</v>
      </c>
      <c r="AI5909">
        <v>93.894434578956094</v>
      </c>
      <c r="AJ5909">
        <v>97.661222519747</v>
      </c>
      <c r="AK5909">
        <v>16.373893891503599</v>
      </c>
      <c r="AL5909">
        <v>90.977382193246299</v>
      </c>
      <c r="AM5909">
        <v>89.578886189501503</v>
      </c>
      <c r="AN5909">
        <v>0.99999999921365901</v>
      </c>
    </row>
    <row r="5910" spans="1:40" x14ac:dyDescent="0.25">
      <c r="A5910" t="str">
        <f>"20190312161138538"</f>
        <v>20190312161138538</v>
      </c>
      <c r="B5910" t="str">
        <f>"1552378298533177"</f>
        <v>1552378298533177</v>
      </c>
      <c r="C5910" t="s">
        <v>40</v>
      </c>
      <c r="D5910">
        <v>5.765536</v>
      </c>
      <c r="E5910">
        <v>0.44634400000000002</v>
      </c>
      <c r="F5910" t="s">
        <v>105</v>
      </c>
      <c r="G5910">
        <v>-260.85550000000001</v>
      </c>
      <c r="H5910" s="1">
        <v>-1.2707010000000001E-8</v>
      </c>
      <c r="I5910">
        <v>-62.79063</v>
      </c>
      <c r="J5910">
        <v>-277.95350000000002</v>
      </c>
      <c r="K5910">
        <v>1.1120289999999999</v>
      </c>
      <c r="L5910">
        <v>-62.822629999999997</v>
      </c>
      <c r="M5910">
        <v>0.99139339999999998</v>
      </c>
      <c r="N5910">
        <v>0</v>
      </c>
      <c r="O5910">
        <v>-0.130463</v>
      </c>
      <c r="P5910">
        <v>0.99002780000000001</v>
      </c>
      <c r="Q5910">
        <v>-2.8466930000000001E-2</v>
      </c>
      <c r="R5910">
        <v>-0.13796800000000001</v>
      </c>
      <c r="S5910">
        <v>3.0262150000000001</v>
      </c>
      <c r="T5910">
        <v>-0.19575129999999999</v>
      </c>
      <c r="U5910">
        <v>3.9672850000000001E-3</v>
      </c>
      <c r="V5910">
        <v>7.7095219999999999E-3</v>
      </c>
      <c r="W5910">
        <v>-1.7534689999999999E-2</v>
      </c>
      <c r="X5910">
        <v>0.9998165</v>
      </c>
      <c r="Y5910">
        <v>-0.1312246</v>
      </c>
      <c r="Z5910">
        <v>1.2652490000000001E-2</v>
      </c>
      <c r="AA5910">
        <v>0.99127189999999998</v>
      </c>
      <c r="AB5910">
        <v>17</v>
      </c>
      <c r="AC5910">
        <v>17.097999999999999</v>
      </c>
      <c r="AD5910">
        <v>-1.11202901270701</v>
      </c>
      <c r="AE5910">
        <v>3.1999999999996399E-2</v>
      </c>
      <c r="AF5910">
        <v>-2.25298493688295</v>
      </c>
      <c r="AG5910">
        <v>-1.11202901270701</v>
      </c>
      <c r="AH5910">
        <v>16.876287338623602</v>
      </c>
      <c r="AI5910">
        <v>93.736882646544004</v>
      </c>
      <c r="AJ5910">
        <v>97.604027585528897</v>
      </c>
      <c r="AK5910">
        <v>17.062286599008701</v>
      </c>
      <c r="AL5910">
        <v>91.004715254686801</v>
      </c>
      <c r="AM5910">
        <v>89.558204612308401</v>
      </c>
      <c r="AN5910">
        <v>0.99999996787755596</v>
      </c>
    </row>
    <row r="5911" spans="1:40" x14ac:dyDescent="0.25">
      <c r="A5911" t="str">
        <f>"20190312161138551"</f>
        <v>20190312161138551</v>
      </c>
      <c r="B5911" t="str">
        <f>"1552378298542937"</f>
        <v>1552378298542937</v>
      </c>
      <c r="C5911" t="s">
        <v>40</v>
      </c>
      <c r="D5911">
        <v>5.7240500000000001</v>
      </c>
      <c r="E5911">
        <v>0.44618370000000002</v>
      </c>
      <c r="F5911" t="s">
        <v>41</v>
      </c>
      <c r="G5911">
        <v>-261.33359999999999</v>
      </c>
      <c r="H5911" s="1">
        <v>-2.0402919999999999E-7</v>
      </c>
      <c r="I5911">
        <v>-62.738770000000002</v>
      </c>
      <c r="J5911">
        <v>-277.84739999999999</v>
      </c>
      <c r="K5911">
        <v>1.111958</v>
      </c>
      <c r="L5911">
        <v>-62.833039999999997</v>
      </c>
      <c r="M5911">
        <v>0.99178129999999998</v>
      </c>
      <c r="N5911">
        <v>0</v>
      </c>
      <c r="O5911">
        <v>-0.12748129999999999</v>
      </c>
      <c r="P5911">
        <v>0.99038349999999997</v>
      </c>
      <c r="Q5911">
        <v>-2.851074E-2</v>
      </c>
      <c r="R5911">
        <v>-0.13538039999999901</v>
      </c>
      <c r="S5911">
        <v>3.0265200000000001</v>
      </c>
      <c r="T5911">
        <v>-0.20250360000000001</v>
      </c>
      <c r="U5911">
        <v>1.525879E-2</v>
      </c>
      <c r="V5911">
        <v>8.1007919999999903E-3</v>
      </c>
      <c r="W5911">
        <v>-1.759061E-2</v>
      </c>
      <c r="X5911">
        <v>0.99981249999999999</v>
      </c>
      <c r="Y5911">
        <v>-0.13190879999999999</v>
      </c>
      <c r="Z5911">
        <v>1.291191E-2</v>
      </c>
      <c r="AA5911">
        <v>0.99117770000000005</v>
      </c>
      <c r="AB5911">
        <v>17</v>
      </c>
      <c r="AC5911">
        <v>16.5138</v>
      </c>
      <c r="AD5911">
        <v>-1.1119582040292</v>
      </c>
      <c r="AE5911">
        <v>9.4270000000008694E-2</v>
      </c>
      <c r="AF5911">
        <v>-2.1889018687204</v>
      </c>
      <c r="AG5911">
        <v>-1.1119582040292</v>
      </c>
      <c r="AH5911">
        <v>16.293158085727899</v>
      </c>
      <c r="AI5911">
        <v>93.8695510630493</v>
      </c>
      <c r="AJ5911">
        <v>97.651579079812507</v>
      </c>
      <c r="AK5911">
        <v>16.477097524895399</v>
      </c>
      <c r="AL5911">
        <v>91.007919652518297</v>
      </c>
      <c r="AM5911">
        <v>89.535781922958506</v>
      </c>
      <c r="AN5911">
        <v>1.00000004377372</v>
      </c>
    </row>
    <row r="5912" spans="1:40" x14ac:dyDescent="0.25">
      <c r="A5912" t="str">
        <f>"20190312161138565"</f>
        <v>20190312161138565</v>
      </c>
      <c r="B5912" t="str">
        <f>"1552378298553674"</f>
        <v>1552378298553674</v>
      </c>
      <c r="C5912" t="s">
        <v>40</v>
      </c>
      <c r="D5912">
        <v>5.8405529999999999</v>
      </c>
      <c r="E5912">
        <v>0.44618370000000002</v>
      </c>
      <c r="F5912" t="s">
        <v>41</v>
      </c>
      <c r="G5912">
        <v>-261.40010000000001</v>
      </c>
      <c r="H5912" s="1">
        <v>-2.2203569999999999E-7</v>
      </c>
      <c r="I5912">
        <v>-62.699309999999997</v>
      </c>
      <c r="J5912">
        <v>-277.75170000000003</v>
      </c>
      <c r="K5912">
        <v>1.1119019999999999</v>
      </c>
      <c r="L5912">
        <v>-62.842219999999998</v>
      </c>
      <c r="M5912">
        <v>0.99211740000000004</v>
      </c>
      <c r="N5912">
        <v>0</v>
      </c>
      <c r="O5912">
        <v>-0.1248392</v>
      </c>
      <c r="P5912">
        <v>0.99069810000000003</v>
      </c>
      <c r="Q5912">
        <v>-2.8392870000000001E-2</v>
      </c>
      <c r="R5912">
        <v>-0.1330838</v>
      </c>
      <c r="S5912">
        <v>3.0266419999999998</v>
      </c>
      <c r="T5912">
        <v>-0.20462230000000001</v>
      </c>
      <c r="U5912">
        <v>2.4597170000000002E-2</v>
      </c>
      <c r="V5912">
        <v>8.442003E-3</v>
      </c>
      <c r="W5912">
        <v>-1.7483559999999999E-2</v>
      </c>
      <c r="X5912">
        <v>0.99981149999999996</v>
      </c>
      <c r="Y5912">
        <v>-0.13231950000000001</v>
      </c>
      <c r="Z5912">
        <v>1.2882930000000001E-2</v>
      </c>
      <c r="AA5912">
        <v>0.99112339999999999</v>
      </c>
      <c r="AB5912">
        <v>17</v>
      </c>
      <c r="AC5912">
        <v>16.351600000000001</v>
      </c>
      <c r="AD5912">
        <v>-1.1119022220357</v>
      </c>
      <c r="AE5912">
        <v>0.14291000000000001</v>
      </c>
      <c r="AF5912">
        <v>-2.1731853130779899</v>
      </c>
      <c r="AG5912">
        <v>-1.1119022220357</v>
      </c>
      <c r="AH5912">
        <v>16.131239940510302</v>
      </c>
      <c r="AI5912">
        <v>93.907883312295596</v>
      </c>
      <c r="AJ5912">
        <v>97.6726380289806</v>
      </c>
      <c r="AK5912">
        <v>16.314900029563798</v>
      </c>
      <c r="AL5912">
        <v>91.001785251159205</v>
      </c>
      <c r="AM5912">
        <v>89.516229160973893</v>
      </c>
      <c r="AN5912">
        <v>0.99999998890858699</v>
      </c>
    </row>
    <row r="5913" spans="1:40" x14ac:dyDescent="0.25">
      <c r="A5913" t="str">
        <f>"20190312161138581"</f>
        <v>20190312161138581</v>
      </c>
      <c r="B5913" t="str">
        <f>"1552378298573194"</f>
        <v>1552378298573194</v>
      </c>
      <c r="C5913" t="s">
        <v>40</v>
      </c>
      <c r="D5913">
        <v>5.9186139999999998</v>
      </c>
      <c r="E5913">
        <v>0.4112886</v>
      </c>
      <c r="F5913" t="s">
        <v>41</v>
      </c>
      <c r="G5913">
        <v>-261.27800000000002</v>
      </c>
      <c r="H5913" s="1">
        <v>-1.61935E-7</v>
      </c>
      <c r="I5913">
        <v>-62.670229999999997</v>
      </c>
      <c r="J5913">
        <v>-277.625</v>
      </c>
      <c r="K5913">
        <v>1.111818</v>
      </c>
      <c r="L5913">
        <v>-62.854100000000003</v>
      </c>
      <c r="M5913">
        <v>0.99253259999999999</v>
      </c>
      <c r="N5913">
        <v>0</v>
      </c>
      <c r="O5913">
        <v>-0.1214956</v>
      </c>
      <c r="P5913">
        <v>0.99109519999999995</v>
      </c>
      <c r="Q5913">
        <v>-2.8412429999999999E-2</v>
      </c>
      <c r="R5913">
        <v>-0.13008749999999999</v>
      </c>
      <c r="S5913">
        <v>3.0265200000000001</v>
      </c>
      <c r="T5913">
        <v>-0.20427670000000001</v>
      </c>
      <c r="U5913">
        <v>3.158569E-2</v>
      </c>
      <c r="V5913">
        <v>8.7843820000000003E-3</v>
      </c>
      <c r="W5913">
        <v>-1.7518140000000001E-2</v>
      </c>
      <c r="X5913">
        <v>0.99980800000000003</v>
      </c>
      <c r="Y5913">
        <v>-0.13128029999999999</v>
      </c>
      <c r="Z5913">
        <v>1.260267E-2</v>
      </c>
      <c r="AA5913">
        <v>0.99126519999999996</v>
      </c>
      <c r="AB5913">
        <v>17</v>
      </c>
      <c r="AC5913">
        <v>16.346999999999898</v>
      </c>
      <c r="AD5913">
        <v>-1.111818161935</v>
      </c>
      <c r="AE5913">
        <v>0.18386999999999801</v>
      </c>
      <c r="AF5913">
        <v>-2.1587286568352502</v>
      </c>
      <c r="AG5913">
        <v>-1.111818161935</v>
      </c>
      <c r="AH5913">
        <v>16.128945277213401</v>
      </c>
      <c r="AI5913">
        <v>93.908593789384696</v>
      </c>
      <c r="AJ5913">
        <v>97.623271125181603</v>
      </c>
      <c r="AK5913">
        <v>16.310705833727599</v>
      </c>
      <c r="AL5913">
        <v>91.003766787687098</v>
      </c>
      <c r="AM5913">
        <v>89.496608284915396</v>
      </c>
      <c r="AN5913">
        <v>1.00000004373008</v>
      </c>
    </row>
    <row r="5914" spans="1:40" x14ac:dyDescent="0.25">
      <c r="A5914" t="str">
        <f>"20190312161138593"</f>
        <v>20190312161138593</v>
      </c>
      <c r="B5914" t="str">
        <f>"1552378298582953"</f>
        <v>1552378298582953</v>
      </c>
      <c r="C5914" t="s">
        <v>40</v>
      </c>
      <c r="D5914">
        <v>5.8906150000000004</v>
      </c>
      <c r="E5914">
        <v>0.40963660000000002</v>
      </c>
      <c r="F5914" t="s">
        <v>109</v>
      </c>
      <c r="G5914">
        <v>-254.05250000000001</v>
      </c>
      <c r="H5914" s="1">
        <v>-8.8643410000000003E-7</v>
      </c>
      <c r="I5914">
        <v>-60.436529999999998</v>
      </c>
      <c r="J5914">
        <v>-277.52999999999997</v>
      </c>
      <c r="K5914">
        <v>1.111753</v>
      </c>
      <c r="L5914">
        <v>-62.862789999999997</v>
      </c>
      <c r="M5914">
        <v>0.99282630000000005</v>
      </c>
      <c r="N5914">
        <v>0</v>
      </c>
      <c r="O5914">
        <v>-0.1190734</v>
      </c>
      <c r="P5914">
        <v>0.99140600000000001</v>
      </c>
      <c r="Q5914">
        <v>-2.847206E-2</v>
      </c>
      <c r="R5914">
        <v>-0.1276861</v>
      </c>
      <c r="S5914">
        <v>3.0639949999999998</v>
      </c>
      <c r="T5914">
        <v>-0.14451620000000001</v>
      </c>
      <c r="U5914">
        <v>0.3142395</v>
      </c>
      <c r="V5914">
        <v>8.7997549999999994E-3</v>
      </c>
      <c r="W5914">
        <v>-1.7589730000000001E-2</v>
      </c>
      <c r="X5914">
        <v>0.99980659999999999</v>
      </c>
      <c r="Y5914">
        <v>-0.21938360000000001</v>
      </c>
      <c r="Z5914">
        <v>1.0754639999999999E-2</v>
      </c>
      <c r="AA5914">
        <v>0.97557939999999999</v>
      </c>
      <c r="AB5914">
        <v>17</v>
      </c>
      <c r="AC5914">
        <v>23.4774999999999</v>
      </c>
      <c r="AD5914">
        <v>-1.1117538864340999</v>
      </c>
      <c r="AE5914">
        <v>2.4262599999999899</v>
      </c>
      <c r="AF5914">
        <v>-5.1931840239331297</v>
      </c>
      <c r="AG5914">
        <v>-1.1117538864340999</v>
      </c>
      <c r="AH5914">
        <v>22.970563615122099</v>
      </c>
      <c r="AI5914">
        <v>92.702793112239803</v>
      </c>
      <c r="AJ5914">
        <v>102.739265226641</v>
      </c>
      <c r="AK5914">
        <v>23.576512672717499</v>
      </c>
      <c r="AL5914">
        <v>91.007869232422706</v>
      </c>
      <c r="AM5914">
        <v>89.495726669788397</v>
      </c>
      <c r="AN5914">
        <v>1.00000003584654</v>
      </c>
    </row>
    <row r="5915" spans="1:40" x14ac:dyDescent="0.25">
      <c r="A5915" t="str">
        <f>"20190312161138606"</f>
        <v>20190312161138606</v>
      </c>
      <c r="B5915" t="str">
        <f>"1552378298593689"</f>
        <v>1552378298593689</v>
      </c>
      <c r="C5915" t="s">
        <v>40</v>
      </c>
      <c r="D5915">
        <v>5.9149320000000003</v>
      </c>
      <c r="E5915">
        <v>0.40882930000000001</v>
      </c>
      <c r="F5915" t="s">
        <v>109</v>
      </c>
      <c r="G5915">
        <v>-253.5889</v>
      </c>
      <c r="H5915" s="1">
        <v>-7.0561289999999996E-7</v>
      </c>
      <c r="I5915">
        <v>-60.248779999999996</v>
      </c>
      <c r="J5915">
        <v>-277.42989999999998</v>
      </c>
      <c r="K5915">
        <v>1.111685</v>
      </c>
      <c r="L5915">
        <v>-62.871859999999998</v>
      </c>
      <c r="M5915">
        <v>0.99312339999999999</v>
      </c>
      <c r="N5915">
        <v>0</v>
      </c>
      <c r="O5915">
        <v>-0.1165712</v>
      </c>
      <c r="P5915">
        <v>0.99170860000000005</v>
      </c>
      <c r="Q5915">
        <v>-2.8366280000000001E-2</v>
      </c>
      <c r="R5915">
        <v>-0.12533710000000001</v>
      </c>
      <c r="S5915">
        <v>3.0650330000000001</v>
      </c>
      <c r="T5915">
        <v>-0.14233090000000001</v>
      </c>
      <c r="U5915">
        <v>0.3346558</v>
      </c>
      <c r="V5915">
        <v>8.9471259999999997E-3</v>
      </c>
      <c r="W5915">
        <v>-1.7495670000000001E-2</v>
      </c>
      <c r="X5915">
        <v>0.99980690000000005</v>
      </c>
      <c r="Y5915">
        <v>-0.22332650000000001</v>
      </c>
      <c r="Z5915">
        <v>1.056114E-2</v>
      </c>
      <c r="AA5915">
        <v>0.97468650000000001</v>
      </c>
      <c r="AB5915">
        <v>17</v>
      </c>
      <c r="AC5915">
        <v>23.840999999999902</v>
      </c>
      <c r="AD5915">
        <v>-1.1116857056128999</v>
      </c>
      <c r="AE5915">
        <v>2.6230799999999901</v>
      </c>
      <c r="AF5915">
        <v>-5.3729886486030303</v>
      </c>
      <c r="AG5915">
        <v>-1.1116857056128999</v>
      </c>
      <c r="AH5915">
        <v>23.322544340112</v>
      </c>
      <c r="AI5915">
        <v>92.659422182743896</v>
      </c>
      <c r="AJ5915">
        <v>102.973303389375</v>
      </c>
      <c r="AK5915">
        <v>23.959255552344999</v>
      </c>
      <c r="AL5915">
        <v>91.0024792046881</v>
      </c>
      <c r="AM5915">
        <v>89.487282119159403</v>
      </c>
      <c r="AN5915">
        <v>0.999999993410009</v>
      </c>
    </row>
    <row r="5916" spans="1:40" x14ac:dyDescent="0.25">
      <c r="A5916" t="str">
        <f>"20190312161138617"</f>
        <v>20190312161138617</v>
      </c>
      <c r="B5916" t="str">
        <f>"1552378298613210"</f>
        <v>1552378298613210</v>
      </c>
      <c r="C5916" t="s">
        <v>40</v>
      </c>
      <c r="D5916">
        <v>5.9436660000000003</v>
      </c>
      <c r="E5916">
        <v>0.40877770000000002</v>
      </c>
      <c r="F5916" t="s">
        <v>109</v>
      </c>
      <c r="G5916">
        <v>-253.2473</v>
      </c>
      <c r="H5916" s="1">
        <v>-5.8654300000000004E-7</v>
      </c>
      <c r="I5916">
        <v>-60.124549999999999</v>
      </c>
      <c r="J5916">
        <v>-277.3424</v>
      </c>
      <c r="K5916">
        <v>1.111623</v>
      </c>
      <c r="L5916">
        <v>-62.879579999999997</v>
      </c>
      <c r="M5916">
        <v>0.99336610000000003</v>
      </c>
      <c r="N5916">
        <v>0</v>
      </c>
      <c r="O5916">
        <v>-0.1144839</v>
      </c>
      <c r="P5916">
        <v>0.99193929999999997</v>
      </c>
      <c r="Q5916">
        <v>-2.8650930000000002E-2</v>
      </c>
      <c r="R5916">
        <v>-0.1234326</v>
      </c>
      <c r="S5916">
        <v>3.0650019999999998</v>
      </c>
      <c r="T5916">
        <v>-0.14089969999999999</v>
      </c>
      <c r="U5916">
        <v>0.348205599999999</v>
      </c>
      <c r="V5916">
        <v>9.1277359999999991E-3</v>
      </c>
      <c r="W5916">
        <v>-1.779058E-2</v>
      </c>
      <c r="X5916">
        <v>0.99980009999999997</v>
      </c>
      <c r="Y5916">
        <v>-0.2255421</v>
      </c>
      <c r="Z5916">
        <v>1.0408260000000001E-2</v>
      </c>
      <c r="AA5916">
        <v>0.97417779999999998</v>
      </c>
      <c r="AB5916">
        <v>17</v>
      </c>
      <c r="AC5916">
        <v>24.095099999999999</v>
      </c>
      <c r="AD5916">
        <v>-1.111623586543</v>
      </c>
      <c r="AE5916">
        <v>2.7550300000000001</v>
      </c>
      <c r="AF5916">
        <v>-5.4840547924993199</v>
      </c>
      <c r="AG5916">
        <v>-1.111623586543</v>
      </c>
      <c r="AH5916">
        <v>23.5717103767734</v>
      </c>
      <c r="AI5916">
        <v>92.629889402013106</v>
      </c>
      <c r="AJ5916">
        <v>103.097108359388</v>
      </c>
      <c r="AK5916">
        <v>24.226764002891102</v>
      </c>
      <c r="AL5916">
        <v>91.019378896238194</v>
      </c>
      <c r="AM5916">
        <v>89.476929218068406</v>
      </c>
      <c r="AN5916">
        <v>1.00000003013061</v>
      </c>
    </row>
    <row r="5917" spans="1:40" x14ac:dyDescent="0.25">
      <c r="A5917" t="str">
        <f>"20190312161138627"</f>
        <v>20190312161138627</v>
      </c>
      <c r="B5917" t="str">
        <f>"1552378298622971"</f>
        <v>1552378298622971</v>
      </c>
      <c r="C5917" t="s">
        <v>40</v>
      </c>
      <c r="D5917">
        <v>5.9142250000000001</v>
      </c>
      <c r="E5917">
        <v>0.4090705</v>
      </c>
      <c r="F5917" t="s">
        <v>109</v>
      </c>
      <c r="G5917">
        <v>-253.7107</v>
      </c>
      <c r="H5917" s="1">
        <v>-7.807608E-7</v>
      </c>
      <c r="I5917">
        <v>-60.145310000000002</v>
      </c>
      <c r="J5917">
        <v>-277.26229999999998</v>
      </c>
      <c r="K5917">
        <v>1.1115649999999999</v>
      </c>
      <c r="L5917">
        <v>-62.886629999999997</v>
      </c>
      <c r="M5917">
        <v>0.99358040000000003</v>
      </c>
      <c r="N5917">
        <v>0</v>
      </c>
      <c r="O5917">
        <v>-0.1126098</v>
      </c>
      <c r="P5917">
        <v>0.99216669999999996</v>
      </c>
      <c r="Q5917">
        <v>-2.88034E-2</v>
      </c>
      <c r="R5917">
        <v>-0.1215556</v>
      </c>
      <c r="S5917">
        <v>3.0643310000000001</v>
      </c>
      <c r="T5917">
        <v>-0.14414469999999999</v>
      </c>
      <c r="U5917">
        <v>0.35455320000000001</v>
      </c>
      <c r="V5917">
        <v>9.1208230000000001E-3</v>
      </c>
      <c r="W5917">
        <v>-1.795298E-2</v>
      </c>
      <c r="X5917">
        <v>0.99979720000000005</v>
      </c>
      <c r="Y5917">
        <v>-0.2257055</v>
      </c>
      <c r="Z5917">
        <v>1.0565079999999999E-2</v>
      </c>
      <c r="AA5917">
        <v>0.97413830000000001</v>
      </c>
      <c r="AB5917">
        <v>17</v>
      </c>
      <c r="AC5917">
        <v>23.551599999999901</v>
      </c>
      <c r="AD5917">
        <v>-1.1115657807607999</v>
      </c>
      <c r="AE5917">
        <v>2.74132</v>
      </c>
      <c r="AF5917">
        <v>-5.3643875929255502</v>
      </c>
      <c r="AG5917">
        <v>-1.1115657807607999</v>
      </c>
      <c r="AH5917">
        <v>23.042417613705702</v>
      </c>
      <c r="AI5917">
        <v>92.689982053625698</v>
      </c>
      <c r="AJ5917">
        <v>103.105304933037</v>
      </c>
      <c r="AK5917">
        <v>23.684704815903999</v>
      </c>
      <c r="AL5917">
        <v>91.028685278747602</v>
      </c>
      <c r="AM5917">
        <v>89.477323834013504</v>
      </c>
      <c r="AN5917">
        <v>0.99999997001545804</v>
      </c>
    </row>
    <row r="5918" spans="1:40" x14ac:dyDescent="0.25">
      <c r="A5918" t="str">
        <f>"20190312161138638"</f>
        <v>20190312161138638</v>
      </c>
      <c r="B5918" t="str">
        <f>"1552378298633707"</f>
        <v>1552378298633707</v>
      </c>
      <c r="C5918" t="s">
        <v>40</v>
      </c>
      <c r="D5918">
        <v>5.9220810000000004</v>
      </c>
      <c r="E5918">
        <v>0.40951409999999999</v>
      </c>
      <c r="F5918" t="s">
        <v>109</v>
      </c>
      <c r="G5918">
        <v>-254.07679999999999</v>
      </c>
      <c r="H5918" s="1">
        <v>-9.3101599999999998E-7</v>
      </c>
      <c r="I5918">
        <v>-60.17606</v>
      </c>
      <c r="J5918">
        <v>-277.17939999999999</v>
      </c>
      <c r="K5918">
        <v>1.1115029999999999</v>
      </c>
      <c r="L5918">
        <v>-62.893740000000001</v>
      </c>
      <c r="M5918">
        <v>0.99379030000000002</v>
      </c>
      <c r="N5918">
        <v>0</v>
      </c>
      <c r="O5918">
        <v>-0.11074249999999999</v>
      </c>
      <c r="P5918">
        <v>0.99233280000000001</v>
      </c>
      <c r="Q5918">
        <v>-2.8960179999999999E-2</v>
      </c>
      <c r="R5918">
        <v>-0.1201536</v>
      </c>
      <c r="S5918">
        <v>3.0632929999999998</v>
      </c>
      <c r="T5918">
        <v>-0.14686179999999999</v>
      </c>
      <c r="U5918">
        <v>0.35812379999999999</v>
      </c>
      <c r="V5918">
        <v>9.5853410000000007E-3</v>
      </c>
      <c r="W5918">
        <v>-1.811813E-2</v>
      </c>
      <c r="X5918">
        <v>0.99978990000000001</v>
      </c>
      <c r="Y5918">
        <v>-0.22502150000000001</v>
      </c>
      <c r="Z5918">
        <v>1.066162E-2</v>
      </c>
      <c r="AA5918">
        <v>0.97429549999999998</v>
      </c>
      <c r="AB5918">
        <v>17</v>
      </c>
      <c r="AC5918">
        <v>23.102599999999899</v>
      </c>
      <c r="AD5918">
        <v>-1.111503931016</v>
      </c>
      <c r="AE5918">
        <v>2.7176800000000001</v>
      </c>
      <c r="AF5918">
        <v>-5.2475703190463499</v>
      </c>
      <c r="AG5918">
        <v>-1.111503931016</v>
      </c>
      <c r="AH5918">
        <v>22.607885161219802</v>
      </c>
      <c r="AI5918">
        <v>92.7418721922608</v>
      </c>
      <c r="AJ5918">
        <v>103.067661656806</v>
      </c>
      <c r="AK5918">
        <v>23.2355096071703</v>
      </c>
      <c r="AL5918">
        <v>91.038149190673593</v>
      </c>
      <c r="AM5918">
        <v>89.450701834029601</v>
      </c>
      <c r="AN5918">
        <v>0.99999999476939605</v>
      </c>
    </row>
    <row r="5919" spans="1:40" x14ac:dyDescent="0.25">
      <c r="A5919" t="str">
        <f>"20190312161138648"</f>
        <v>20190312161138648</v>
      </c>
      <c r="B5919" t="str">
        <f>"1552378298643467"</f>
        <v>1552378298643467</v>
      </c>
      <c r="C5919" t="s">
        <v>40</v>
      </c>
      <c r="D5919">
        <v>5.9377559999999896</v>
      </c>
      <c r="E5919">
        <v>0.41001589999999999</v>
      </c>
      <c r="F5919" t="s">
        <v>109</v>
      </c>
      <c r="G5919">
        <v>-254.39089999999999</v>
      </c>
      <c r="H5919" s="1">
        <v>-1.055473E-6</v>
      </c>
      <c r="I5919">
        <v>-60.222569999999997</v>
      </c>
      <c r="J5919">
        <v>-277.10270000000003</v>
      </c>
      <c r="K5919">
        <v>1.111445</v>
      </c>
      <c r="L5919">
        <v>-62.900300000000001</v>
      </c>
      <c r="M5919">
        <v>0.99397650000000004</v>
      </c>
      <c r="N5919">
        <v>0</v>
      </c>
      <c r="O5919">
        <v>-0.10905960000000001</v>
      </c>
      <c r="P5919">
        <v>0.99251299999999998</v>
      </c>
      <c r="Q5919">
        <v>-2.8996190000000002E-2</v>
      </c>
      <c r="R5919">
        <v>-0.11864669999999999</v>
      </c>
      <c r="S5919">
        <v>3.0622859999999998</v>
      </c>
      <c r="T5919">
        <v>-0.1493622</v>
      </c>
      <c r="U5919">
        <v>0.35894779999999998</v>
      </c>
      <c r="V5919">
        <v>9.7580270000000007E-3</v>
      </c>
      <c r="W5919">
        <v>-1.8162950000000001E-2</v>
      </c>
      <c r="X5919">
        <v>0.99978739999999999</v>
      </c>
      <c r="Y5919">
        <v>-0.22365740000000001</v>
      </c>
      <c r="Z5919">
        <v>1.0731539999999999E-2</v>
      </c>
      <c r="AA5919">
        <v>0.97460880000000005</v>
      </c>
      <c r="AB5919">
        <v>17</v>
      </c>
      <c r="AC5919">
        <v>22.7118</v>
      </c>
      <c r="AD5919">
        <v>-1.1114460554729999</v>
      </c>
      <c r="AE5919">
        <v>2.6777299999999999</v>
      </c>
      <c r="AF5919">
        <v>-5.1267311355727996</v>
      </c>
      <c r="AG5919">
        <v>-1.1114460554729999</v>
      </c>
      <c r="AH5919">
        <v>22.231752659059399</v>
      </c>
      <c r="AI5919">
        <v>92.7889658075554</v>
      </c>
      <c r="AJ5919">
        <v>102.98562822175199</v>
      </c>
      <c r="AK5919">
        <v>22.842274640768</v>
      </c>
      <c r="AL5919">
        <v>91.040717627078195</v>
      </c>
      <c r="AM5919">
        <v>89.440805103690096</v>
      </c>
      <c r="AN5919">
        <v>0.99999997852119704</v>
      </c>
    </row>
    <row r="5920" spans="1:40" x14ac:dyDescent="0.25">
      <c r="A5920" t="str">
        <f>"20190312161138660"</f>
        <v>20190312161138660</v>
      </c>
      <c r="B5920" t="str">
        <f>"1552378298653226"</f>
        <v>1552378298653226</v>
      </c>
      <c r="C5920" t="s">
        <v>40</v>
      </c>
      <c r="D5920">
        <v>9.2915770000000002</v>
      </c>
      <c r="E5920">
        <v>0.41061199999999998</v>
      </c>
      <c r="F5920" t="s">
        <v>109</v>
      </c>
      <c r="G5920">
        <v>-254.48439999999999</v>
      </c>
      <c r="H5920" s="1">
        <v>-1.0910710000000001E-6</v>
      </c>
      <c r="I5920">
        <v>-60.243009999999998</v>
      </c>
      <c r="J5920">
        <v>-277.01130000000001</v>
      </c>
      <c r="K5920">
        <v>1.1113710000000001</v>
      </c>
      <c r="L5920">
        <v>-62.907989999999998</v>
      </c>
      <c r="M5920">
        <v>0.99418689999999998</v>
      </c>
      <c r="N5920">
        <v>0</v>
      </c>
      <c r="O5920">
        <v>-0.107126</v>
      </c>
      <c r="P5920">
        <v>0.99271909999999997</v>
      </c>
      <c r="Q5920">
        <v>-2.929E-2</v>
      </c>
      <c r="R5920">
        <v>-0.11683730000000001</v>
      </c>
      <c r="S5920">
        <v>3.0612490000000001</v>
      </c>
      <c r="T5920">
        <v>-0.1504279</v>
      </c>
      <c r="U5920">
        <v>0.35964970000000002</v>
      </c>
      <c r="V5920">
        <v>9.8791550000000006E-3</v>
      </c>
      <c r="W5920">
        <v>-1.8467770000000001E-2</v>
      </c>
      <c r="X5920">
        <v>0.99978069999999997</v>
      </c>
      <c r="Y5920">
        <v>-0.2220184</v>
      </c>
      <c r="Z5920">
        <v>1.06769E-2</v>
      </c>
      <c r="AA5920">
        <v>0.97498399999999996</v>
      </c>
      <c r="AB5920">
        <v>18</v>
      </c>
      <c r="AC5920">
        <v>22.526900000000001</v>
      </c>
      <c r="AD5920">
        <v>-1.1113720910710001</v>
      </c>
      <c r="AE5920">
        <v>2.6649799999999999</v>
      </c>
      <c r="AF5920">
        <v>-5.0508756157416501</v>
      </c>
      <c r="AG5920">
        <v>-1.1113720910710001</v>
      </c>
      <c r="AH5920">
        <v>22.0587979674597</v>
      </c>
      <c r="AI5920">
        <v>92.811610287012897</v>
      </c>
      <c r="AJ5920">
        <v>102.89688157931801</v>
      </c>
      <c r="AK5920">
        <v>22.6569428692335</v>
      </c>
      <c r="AL5920">
        <v>91.058185379156001</v>
      </c>
      <c r="AM5920">
        <v>89.433860380461695</v>
      </c>
      <c r="AN5920">
        <v>1.00000005216238</v>
      </c>
    </row>
    <row r="5921" spans="1:40" x14ac:dyDescent="0.25">
      <c r="A5921" t="str">
        <f>"20190312161138670"</f>
        <v>20190312161138670</v>
      </c>
      <c r="B5921" t="str">
        <f>"1552378298662985"</f>
        <v>1552378298662985</v>
      </c>
      <c r="C5921" t="s">
        <v>40</v>
      </c>
      <c r="D5921">
        <v>5.9124309999999998</v>
      </c>
      <c r="E5921">
        <v>0.4111957</v>
      </c>
      <c r="F5921" t="s">
        <v>109</v>
      </c>
      <c r="G5921">
        <v>-254.78100000000001</v>
      </c>
      <c r="H5921" s="1">
        <v>-1.2081680000000001E-6</v>
      </c>
      <c r="I5921">
        <v>-60.288719999999998</v>
      </c>
      <c r="J5921">
        <v>-276.9307</v>
      </c>
      <c r="K5921">
        <v>1.111305</v>
      </c>
      <c r="L5921">
        <v>-62.914700000000003</v>
      </c>
      <c r="M5921">
        <v>0.99436139999999995</v>
      </c>
      <c r="N5921">
        <v>0</v>
      </c>
      <c r="O5921">
        <v>-0.105495699999999</v>
      </c>
      <c r="P5921">
        <v>0.99287139999999996</v>
      </c>
      <c r="Q5921">
        <v>-2.9592009999999998E-2</v>
      </c>
      <c r="R5921">
        <v>-0.11545999999999999</v>
      </c>
      <c r="S5921">
        <v>3.0599370000000001</v>
      </c>
      <c r="T5921">
        <v>-0.1529771</v>
      </c>
      <c r="U5921">
        <v>0.36053469999999999</v>
      </c>
      <c r="V5921">
        <v>1.013063E-2</v>
      </c>
      <c r="W5921">
        <v>-1.8778909999999999E-2</v>
      </c>
      <c r="X5921">
        <v>0.99977229999999995</v>
      </c>
      <c r="Y5921">
        <v>-0.22073599999999999</v>
      </c>
      <c r="Z5921">
        <v>1.074906E-2</v>
      </c>
      <c r="AA5921">
        <v>0.97527439999999999</v>
      </c>
      <c r="AB5921">
        <v>18</v>
      </c>
      <c r="AC5921">
        <v>22.149699999999999</v>
      </c>
      <c r="AD5921">
        <v>-1.1113062081680001</v>
      </c>
      <c r="AE5921">
        <v>2.6259800000000002</v>
      </c>
      <c r="AF5921">
        <v>-4.9359055704108297</v>
      </c>
      <c r="AG5921">
        <v>-1.1113062081680001</v>
      </c>
      <c r="AH5921">
        <v>21.6951833638967</v>
      </c>
      <c r="AI5921">
        <v>92.859391681320005</v>
      </c>
      <c r="AJ5921">
        <v>102.81727879648901</v>
      </c>
      <c r="AK5921">
        <v>22.277323593318499</v>
      </c>
      <c r="AL5921">
        <v>91.076015573751803</v>
      </c>
      <c r="AM5921">
        <v>89.419445329582601</v>
      </c>
      <c r="AN5921">
        <v>0.99999996448613604</v>
      </c>
    </row>
    <row r="5922" spans="1:40" x14ac:dyDescent="0.25">
      <c r="A5922" t="str">
        <f>"20190312161138680"</f>
        <v>20190312161138680</v>
      </c>
      <c r="B5922" t="str">
        <f>"1552378298673722"</f>
        <v>1552378298673722</v>
      </c>
      <c r="C5922" t="s">
        <v>40</v>
      </c>
      <c r="D5922">
        <v>5.905951</v>
      </c>
      <c r="E5922">
        <v>0.41173850000000001</v>
      </c>
      <c r="F5922" t="s">
        <v>109</v>
      </c>
      <c r="G5922">
        <v>-255.00630000000001</v>
      </c>
      <c r="H5922" s="1">
        <v>-1.2951169999999999E-6</v>
      </c>
      <c r="I5922">
        <v>-60.332740000000001</v>
      </c>
      <c r="J5922">
        <v>-276.8494</v>
      </c>
      <c r="K5922">
        <v>1.1112379999999999</v>
      </c>
      <c r="L5922">
        <v>-62.921419999999998</v>
      </c>
      <c r="M5922">
        <v>0.99453060000000004</v>
      </c>
      <c r="N5922">
        <v>0</v>
      </c>
      <c r="O5922">
        <v>-0.10388989999999999</v>
      </c>
      <c r="P5922">
        <v>0.99301450000000002</v>
      </c>
      <c r="Q5922">
        <v>-2.984817E-2</v>
      </c>
      <c r="R5922">
        <v>-0.11415549999999999</v>
      </c>
      <c r="S5922">
        <v>3.0588380000000002</v>
      </c>
      <c r="T5922">
        <v>-0.15504660000000001</v>
      </c>
      <c r="U5922">
        <v>0.36022949999999998</v>
      </c>
      <c r="V5922">
        <v>1.0430170000000001E-2</v>
      </c>
      <c r="W5922">
        <v>-1.904403E-2</v>
      </c>
      <c r="X5922">
        <v>0.99976430000000005</v>
      </c>
      <c r="Y5922">
        <v>-0.2190985</v>
      </c>
      <c r="Z5922">
        <v>1.077592E-2</v>
      </c>
      <c r="AA5922">
        <v>0.97564320000000004</v>
      </c>
      <c r="AB5922">
        <v>18</v>
      </c>
      <c r="AC5922">
        <v>21.8431</v>
      </c>
      <c r="AD5922">
        <v>-1.111239295117</v>
      </c>
      <c r="AE5922">
        <v>2.5886799999999899</v>
      </c>
      <c r="AF5922">
        <v>-4.8317473659576402</v>
      </c>
      <c r="AG5922">
        <v>-1.111239295117</v>
      </c>
      <c r="AH5922">
        <v>21.401313432122901</v>
      </c>
      <c r="AI5922">
        <v>92.899501676001705</v>
      </c>
      <c r="AJ5922">
        <v>102.72229926487501</v>
      </c>
      <c r="AK5922">
        <v>21.968087126543701</v>
      </c>
      <c r="AL5922">
        <v>91.091208444743501</v>
      </c>
      <c r="AM5922">
        <v>89.402276075500197</v>
      </c>
      <c r="AN5922">
        <v>1.0000000595396701</v>
      </c>
    </row>
    <row r="5923" spans="1:40" x14ac:dyDescent="0.25">
      <c r="A5923" t="str">
        <f>"20190312161138692"</f>
        <v>20190312161138692</v>
      </c>
      <c r="B5923" t="str">
        <f>"1552378298683481"</f>
        <v>1552378298683481</v>
      </c>
      <c r="C5923" t="s">
        <v>40</v>
      </c>
      <c r="D5923">
        <v>5.8519480000000001</v>
      </c>
      <c r="E5923">
        <v>0.41209489999999999</v>
      </c>
      <c r="F5923" t="s">
        <v>109</v>
      </c>
      <c r="G5923">
        <v>-255.1422</v>
      </c>
      <c r="H5923" s="1">
        <v>-1.346048E-6</v>
      </c>
      <c r="I5923">
        <v>-60.366100000000003</v>
      </c>
      <c r="J5923">
        <v>-276.76339999999999</v>
      </c>
      <c r="K5923">
        <v>1.1111740000000001</v>
      </c>
      <c r="L5923">
        <v>-62.928469999999997</v>
      </c>
      <c r="M5923">
        <v>0.99469669999999999</v>
      </c>
      <c r="N5923">
        <v>0</v>
      </c>
      <c r="O5923">
        <v>-0.1022861</v>
      </c>
      <c r="P5923">
        <v>0.99314420000000003</v>
      </c>
      <c r="Q5923">
        <v>-2.9952260000000001E-2</v>
      </c>
      <c r="R5923">
        <v>-0.11299430000000001</v>
      </c>
      <c r="S5923">
        <v>3.0577700000000001</v>
      </c>
      <c r="T5923">
        <v>-0.15653439999999999</v>
      </c>
      <c r="U5923">
        <v>0.35995480000000002</v>
      </c>
      <c r="V5923">
        <v>1.087047E-2</v>
      </c>
      <c r="W5923">
        <v>-1.9153489999999999E-2</v>
      </c>
      <c r="X5923">
        <v>0.99975749999999997</v>
      </c>
      <c r="Y5923">
        <v>-0.21747420000000001</v>
      </c>
      <c r="Z5923">
        <v>1.0759919999999999E-2</v>
      </c>
      <c r="AA5923">
        <v>0.9760067</v>
      </c>
      <c r="AB5923">
        <v>18</v>
      </c>
      <c r="AC5923">
        <v>21.621199999999899</v>
      </c>
      <c r="AD5923">
        <v>-1.1111753460479901</v>
      </c>
      <c r="AE5923">
        <v>2.5623699999999898</v>
      </c>
      <c r="AF5923">
        <v>-4.7482379314154501</v>
      </c>
      <c r="AG5923">
        <v>-1.1111753460479901</v>
      </c>
      <c r="AH5923">
        <v>21.190480392182799</v>
      </c>
      <c r="AI5923">
        <v>92.929192534827195</v>
      </c>
      <c r="AJ5923">
        <v>102.629879862921</v>
      </c>
      <c r="AK5923">
        <v>21.7443540569611</v>
      </c>
      <c r="AL5923">
        <v>91.097481204826195</v>
      </c>
      <c r="AM5923">
        <v>89.377041423139502</v>
      </c>
      <c r="AN5923">
        <v>1.00000004105172</v>
      </c>
    </row>
    <row r="5924" spans="1:40" x14ac:dyDescent="0.25">
      <c r="A5924" t="str">
        <f>"20190312161138703"</f>
        <v>20190312161138703</v>
      </c>
      <c r="B5924" t="str">
        <f>"1552378298693242"</f>
        <v>1552378298693242</v>
      </c>
      <c r="C5924" t="s">
        <v>40</v>
      </c>
      <c r="D5924">
        <v>5.9320389999999996</v>
      </c>
      <c r="E5924">
        <v>0.41253509999999999</v>
      </c>
      <c r="F5924" t="s">
        <v>109</v>
      </c>
      <c r="G5924">
        <v>-255.27170000000001</v>
      </c>
      <c r="H5924" s="1">
        <v>-1.399648E-6</v>
      </c>
      <c r="I5924">
        <v>-60.392479999999999</v>
      </c>
      <c r="J5924">
        <v>-276.67880000000002</v>
      </c>
      <c r="K5924">
        <v>1.1111040000000001</v>
      </c>
      <c r="L5924">
        <v>-62.93533</v>
      </c>
      <c r="M5924">
        <v>0.99485449999999997</v>
      </c>
      <c r="N5924">
        <v>0</v>
      </c>
      <c r="O5924">
        <v>-0.1007412</v>
      </c>
      <c r="P5924">
        <v>0.99325569999999996</v>
      </c>
      <c r="Q5924">
        <v>-3.015845E-2</v>
      </c>
      <c r="R5924">
        <v>-0.1119531</v>
      </c>
      <c r="S5924">
        <v>3.0569760000000001</v>
      </c>
      <c r="T5924">
        <v>-0.15805329999999901</v>
      </c>
      <c r="U5924">
        <v>0.36071779999999998</v>
      </c>
      <c r="V5924">
        <v>1.137289E-2</v>
      </c>
      <c r="W5924">
        <v>-1.9363470000000001E-2</v>
      </c>
      <c r="X5924">
        <v>0.99974779999999996</v>
      </c>
      <c r="Y5924">
        <v>-0.21622340000000001</v>
      </c>
      <c r="Z5924">
        <v>1.075516E-2</v>
      </c>
      <c r="AA5924">
        <v>0.97628470000000001</v>
      </c>
      <c r="AB5924">
        <v>18</v>
      </c>
      <c r="AC5924">
        <v>21.4071</v>
      </c>
      <c r="AD5924">
        <v>-1.111105399648</v>
      </c>
      <c r="AE5924">
        <v>2.5428500000000001</v>
      </c>
      <c r="AF5924">
        <v>-4.6741969137409098</v>
      </c>
      <c r="AG5924">
        <v>-1.111105399648</v>
      </c>
      <c r="AH5924">
        <v>20.986247720335701</v>
      </c>
      <c r="AI5924">
        <v>92.958309001869907</v>
      </c>
      <c r="AJ5924">
        <v>102.556346957503</v>
      </c>
      <c r="AK5924">
        <v>21.529172426659699</v>
      </c>
      <c r="AL5924">
        <v>91.109514477016504</v>
      </c>
      <c r="AM5924">
        <v>89.348245135570707</v>
      </c>
      <c r="AN5924">
        <v>0.99999997510111605</v>
      </c>
    </row>
    <row r="5925" spans="1:40" x14ac:dyDescent="0.25">
      <c r="A5925" t="str">
        <f>"20190312161138713"</f>
        <v>20190312161138713</v>
      </c>
      <c r="B5925" t="str">
        <f>"1552378298703002"</f>
        <v>1552378298703002</v>
      </c>
      <c r="C5925" t="s">
        <v>40</v>
      </c>
      <c r="D5925">
        <v>5.9331969999999998</v>
      </c>
      <c r="E5925">
        <v>0.41253509999999999</v>
      </c>
      <c r="F5925" t="s">
        <v>109</v>
      </c>
      <c r="G5925">
        <v>-255.4066</v>
      </c>
      <c r="H5925" s="1">
        <v>-1.465169E-6</v>
      </c>
      <c r="I5925">
        <v>-60.42671</v>
      </c>
      <c r="J5925">
        <v>-276.5951</v>
      </c>
      <c r="K5925">
        <v>1.1110359999999999</v>
      </c>
      <c r="L5925">
        <v>-62.942050000000002</v>
      </c>
      <c r="M5925">
        <v>0.99499680000000001</v>
      </c>
      <c r="N5925">
        <v>0</v>
      </c>
      <c r="O5925">
        <v>-9.9324880000000004E-2</v>
      </c>
      <c r="P5925">
        <v>0.9933206</v>
      </c>
      <c r="Q5925">
        <v>-3.0386969999999999E-2</v>
      </c>
      <c r="R5925">
        <v>-0.11131480000000001</v>
      </c>
      <c r="S5925">
        <v>3.056152</v>
      </c>
      <c r="T5925">
        <v>-0.15963150000000001</v>
      </c>
      <c r="U5925">
        <v>0.36041260000000003</v>
      </c>
      <c r="V5925">
        <v>1.2151199999999999E-2</v>
      </c>
      <c r="W5925">
        <v>-1.9584000000000001E-2</v>
      </c>
      <c r="X5925">
        <v>0.99973440000000002</v>
      </c>
      <c r="Y5925">
        <v>-0.21476319999999999</v>
      </c>
      <c r="Z5925">
        <v>1.0753779999999999E-2</v>
      </c>
      <c r="AA5925">
        <v>0.976607</v>
      </c>
      <c r="AB5925">
        <v>18</v>
      </c>
      <c r="AC5925">
        <v>21.188500000000001</v>
      </c>
      <c r="AD5925">
        <v>-1.111037465169</v>
      </c>
      <c r="AE5925">
        <v>2.5153400000000001</v>
      </c>
      <c r="AF5925">
        <v>-4.5951088012317296</v>
      </c>
      <c r="AG5925">
        <v>-1.111037465169</v>
      </c>
      <c r="AH5925">
        <v>20.777527248429202</v>
      </c>
      <c r="AI5925">
        <v>92.988780697123701</v>
      </c>
      <c r="AJ5925">
        <v>102.47066872039601</v>
      </c>
      <c r="AK5925">
        <v>21.308567941168199</v>
      </c>
      <c r="AL5925">
        <v>91.122152253186798</v>
      </c>
      <c r="AM5925">
        <v>89.303636850741697</v>
      </c>
      <c r="AN5925">
        <v>1.00000002763039</v>
      </c>
    </row>
    <row r="5926" spans="1:40" x14ac:dyDescent="0.25">
      <c r="A5926" t="str">
        <f>"20190312161138724"</f>
        <v>20190312161138724</v>
      </c>
      <c r="B5926" t="str">
        <f>"1552378298712763"</f>
        <v>1552378298712763</v>
      </c>
      <c r="C5926" t="s">
        <v>40</v>
      </c>
      <c r="D5926">
        <v>5.8434309999999998</v>
      </c>
      <c r="E5926">
        <v>0.42321730000000002</v>
      </c>
      <c r="F5926" t="s">
        <v>109</v>
      </c>
      <c r="G5926">
        <v>-255.4418</v>
      </c>
      <c r="H5926" s="1">
        <v>-1.4818069999999999E-6</v>
      </c>
      <c r="I5926">
        <v>-60.433689999999999</v>
      </c>
      <c r="J5926">
        <v>-276.51150000000001</v>
      </c>
      <c r="K5926">
        <v>1.1109719999999901</v>
      </c>
      <c r="L5926">
        <v>-62.94876</v>
      </c>
      <c r="M5926">
        <v>0.99513529999999994</v>
      </c>
      <c r="N5926">
        <v>0</v>
      </c>
      <c r="O5926">
        <v>-9.7927529999999999E-2</v>
      </c>
      <c r="P5926">
        <v>0.99341069999999998</v>
      </c>
      <c r="Q5926">
        <v>-3.0500860000000001E-2</v>
      </c>
      <c r="R5926">
        <v>-0.11047700000000001</v>
      </c>
      <c r="S5926">
        <v>3.0558779999999999</v>
      </c>
      <c r="T5926">
        <v>-0.16050420000000001</v>
      </c>
      <c r="U5926">
        <v>0.36236570000000001</v>
      </c>
      <c r="V5926">
        <v>1.2709130000000001E-2</v>
      </c>
      <c r="W5926">
        <v>-1.9688629999999999E-2</v>
      </c>
      <c r="X5926">
        <v>0.99972539999999999</v>
      </c>
      <c r="Y5926">
        <v>-0.21401580000000001</v>
      </c>
      <c r="Z5926">
        <v>1.0720510000000001E-2</v>
      </c>
      <c r="AA5926">
        <v>0.97677139999999996</v>
      </c>
      <c r="AB5926">
        <v>18</v>
      </c>
      <c r="AC5926">
        <v>21.069700000000001</v>
      </c>
      <c r="AD5926">
        <v>-1.1109734818069901</v>
      </c>
      <c r="AE5926">
        <v>2.5150699999999899</v>
      </c>
      <c r="AF5926">
        <v>-4.5539199650387197</v>
      </c>
      <c r="AG5926">
        <v>-1.1109734818069901</v>
      </c>
      <c r="AH5926">
        <v>20.665460005132399</v>
      </c>
      <c r="AI5926">
        <v>93.005287483563094</v>
      </c>
      <c r="AJ5926">
        <v>102.427300698994</v>
      </c>
      <c r="AK5926">
        <v>21.190414964058199</v>
      </c>
      <c r="AL5926">
        <v>91.128148275399596</v>
      </c>
      <c r="AM5926">
        <v>89.271659710877501</v>
      </c>
      <c r="AN5926">
        <v>1.00000001977089</v>
      </c>
    </row>
    <row r="5927" spans="1:40" x14ac:dyDescent="0.25">
      <c r="A5927" t="str">
        <f>"20190312161138735"</f>
        <v>20190312161138735</v>
      </c>
      <c r="B5927" t="str">
        <f>"1552378298723498"</f>
        <v>1552378298723498</v>
      </c>
      <c r="C5927" t="s">
        <v>40</v>
      </c>
      <c r="D5927">
        <v>5.9123080000000003</v>
      </c>
      <c r="E5927">
        <v>0.4233189</v>
      </c>
      <c r="F5927" t="s">
        <v>41</v>
      </c>
      <c r="G5927">
        <v>-262.64550000000003</v>
      </c>
      <c r="H5927" s="1">
        <v>-4.7908459999999898E-7</v>
      </c>
      <c r="I5927">
        <v>-61.657380000000003</v>
      </c>
      <c r="J5927">
        <v>-276.428</v>
      </c>
      <c r="K5927">
        <v>1.1109100000000001</v>
      </c>
      <c r="L5927">
        <v>-62.955350000000003</v>
      </c>
      <c r="M5927">
        <v>0.99525980000000003</v>
      </c>
      <c r="N5927">
        <v>0</v>
      </c>
      <c r="O5927">
        <v>-9.6649700000000005E-2</v>
      </c>
      <c r="P5927">
        <v>0.99344929999999998</v>
      </c>
      <c r="Q5927">
        <v>-3.054753E-2</v>
      </c>
      <c r="R5927">
        <v>-0.11011509999999999</v>
      </c>
      <c r="S5927">
        <v>3.0439449999999999</v>
      </c>
      <c r="T5927">
        <v>-0.2438871</v>
      </c>
      <c r="U5927">
        <v>0.2834778</v>
      </c>
      <c r="V5927">
        <v>1.362526E-2</v>
      </c>
      <c r="W5927">
        <v>-1.9710439999999999E-2</v>
      </c>
      <c r="X5927">
        <v>0.99971290000000002</v>
      </c>
      <c r="Y5927">
        <v>-0.1876274</v>
      </c>
      <c r="Z5927">
        <v>1.520322E-2</v>
      </c>
      <c r="AA5927">
        <v>0.98212259999999996</v>
      </c>
      <c r="AB5927">
        <v>18</v>
      </c>
      <c r="AC5927">
        <v>13.782499999999899</v>
      </c>
      <c r="AD5927">
        <v>-1.1109104790846001</v>
      </c>
      <c r="AE5927">
        <v>1.2979699999999901</v>
      </c>
      <c r="AF5927">
        <v>-2.6072550499790901</v>
      </c>
      <c r="AG5927">
        <v>-1.1109104790846001</v>
      </c>
      <c r="AH5927">
        <v>13.5055413972065</v>
      </c>
      <c r="AI5927">
        <v>94.617452641216303</v>
      </c>
      <c r="AJ5927">
        <v>100.926577757445</v>
      </c>
      <c r="AK5927">
        <v>13.7996938161627</v>
      </c>
      <c r="AL5927">
        <v>91.129398143363701</v>
      </c>
      <c r="AM5927">
        <v>89.2191542586433</v>
      </c>
      <c r="AN5927">
        <v>1.0000000157907301</v>
      </c>
    </row>
    <row r="5928" spans="1:40" x14ac:dyDescent="0.25">
      <c r="A5928" t="str">
        <f>"20190312161138746"</f>
        <v>20190312161138746</v>
      </c>
      <c r="B5928" t="str">
        <f>"1552378298743017"</f>
        <v>1552378298743017</v>
      </c>
      <c r="C5928" t="s">
        <v>40</v>
      </c>
      <c r="D5928">
        <v>5.8971850000000003</v>
      </c>
      <c r="E5928">
        <v>0.42368060000000002</v>
      </c>
      <c r="F5928" t="s">
        <v>105</v>
      </c>
      <c r="G5928">
        <v>-261.59300000000002</v>
      </c>
      <c r="H5928" s="1">
        <v>-5.827587E-9</v>
      </c>
      <c r="I5928">
        <v>-61.575749999999999</v>
      </c>
      <c r="J5928">
        <v>-276.33980000000003</v>
      </c>
      <c r="K5928">
        <v>1.1108469999999999</v>
      </c>
      <c r="L5928">
        <v>-62.9623699999999</v>
      </c>
      <c r="M5928">
        <v>0.99538700000000002</v>
      </c>
      <c r="N5928">
        <v>0</v>
      </c>
      <c r="O5928">
        <v>-9.5328289999999996E-2</v>
      </c>
      <c r="P5928">
        <v>0.99349790000000004</v>
      </c>
      <c r="Q5928">
        <v>-3.0876130000000002E-2</v>
      </c>
      <c r="R5928">
        <v>-0.10958519999999899</v>
      </c>
      <c r="S5928">
        <v>3.0441590000000001</v>
      </c>
      <c r="T5928">
        <v>-0.22795940000000001</v>
      </c>
      <c r="U5928">
        <v>0.28308109999999997</v>
      </c>
      <c r="V5928">
        <v>1.4417019999999999E-2</v>
      </c>
      <c r="W5928">
        <v>-2.0010469999999999E-2</v>
      </c>
      <c r="X5928">
        <v>0.99969580000000002</v>
      </c>
      <c r="Y5928">
        <v>-0.1863117</v>
      </c>
      <c r="Z5928">
        <v>1.4064699999999999E-2</v>
      </c>
      <c r="AA5928">
        <v>0.98238999999999999</v>
      </c>
      <c r="AB5928">
        <v>18</v>
      </c>
      <c r="AC5928">
        <v>14.7468</v>
      </c>
      <c r="AD5928">
        <v>-1.1108470058275799</v>
      </c>
      <c r="AE5928">
        <v>1.38661999999999</v>
      </c>
      <c r="AF5928">
        <v>-2.7705906689194202</v>
      </c>
      <c r="AG5928">
        <v>-1.1108470058275799</v>
      </c>
      <c r="AH5928">
        <v>14.4660760844077</v>
      </c>
      <c r="AI5928">
        <v>94.313026494788801</v>
      </c>
      <c r="AJ5928">
        <v>100.842181333493</v>
      </c>
      <c r="AK5928">
        <v>14.770833118173501</v>
      </c>
      <c r="AL5928">
        <v>91.146592027114394</v>
      </c>
      <c r="AM5928">
        <v>89.173771520375695</v>
      </c>
      <c r="AN5928">
        <v>0.99999998095647002</v>
      </c>
    </row>
    <row r="5929" spans="1:40" x14ac:dyDescent="0.25">
      <c r="A5929" t="str">
        <f>"20190312161138758"</f>
        <v>20190312161138758</v>
      </c>
      <c r="B5929" t="str">
        <f>"1552378298752778"</f>
        <v>1552378298752778</v>
      </c>
      <c r="C5929" t="s">
        <v>40</v>
      </c>
      <c r="D5929">
        <v>5.8355050000000004</v>
      </c>
      <c r="E5929">
        <v>0.4231741</v>
      </c>
      <c r="F5929" t="s">
        <v>41</v>
      </c>
      <c r="G5929">
        <v>-260.81439999999998</v>
      </c>
      <c r="H5929" s="1">
        <v>3.4108879999999998E-7</v>
      </c>
      <c r="I5929">
        <v>-61.527169999999998</v>
      </c>
      <c r="J5929">
        <v>-276.24709999999999</v>
      </c>
      <c r="K5929">
        <v>1.1107849999999999</v>
      </c>
      <c r="L5929">
        <v>-62.969639999999998</v>
      </c>
      <c r="M5929">
        <v>0.99550989999999995</v>
      </c>
      <c r="N5929">
        <v>0</v>
      </c>
      <c r="O5929">
        <v>-9.4031240000000002E-2</v>
      </c>
      <c r="P5929">
        <v>0.99355130000000003</v>
      </c>
      <c r="Q5929">
        <v>-3.1168919999999999E-2</v>
      </c>
      <c r="R5929">
        <v>-0.1090159</v>
      </c>
      <c r="S5929">
        <v>3.0439150000000001</v>
      </c>
      <c r="T5929">
        <v>-0.2177924</v>
      </c>
      <c r="U5929">
        <v>0.28137210000000001</v>
      </c>
      <c r="V5929">
        <v>1.5144619999999999E-2</v>
      </c>
      <c r="W5929">
        <v>-2.0263090000000001E-2</v>
      </c>
      <c r="X5929">
        <v>0.99968000000000001</v>
      </c>
      <c r="Y5929">
        <v>-0.1845676</v>
      </c>
      <c r="Z5929">
        <v>1.328585E-2</v>
      </c>
      <c r="AA5929">
        <v>0.98272999999999999</v>
      </c>
      <c r="AB5929">
        <v>18</v>
      </c>
      <c r="AC5929">
        <v>15.432700000000001</v>
      </c>
      <c r="AD5929">
        <v>-1.1107846589112</v>
      </c>
      <c r="AE5929">
        <v>1.4424699999999999</v>
      </c>
      <c r="AF5929">
        <v>-2.8725670826577598</v>
      </c>
      <c r="AG5929">
        <v>-1.1107846589112</v>
      </c>
      <c r="AH5929">
        <v>15.1508581526939</v>
      </c>
      <c r="AI5929">
        <v>94.119998041308193</v>
      </c>
      <c r="AJ5929">
        <v>100.735715638695</v>
      </c>
      <c r="AK5929">
        <v>15.4607240116979</v>
      </c>
      <c r="AL5929">
        <v>91.161068968793003</v>
      </c>
      <c r="AM5929">
        <v>89.132065826234196</v>
      </c>
      <c r="AN5929">
        <v>1.00000002736564</v>
      </c>
    </row>
    <row r="5930" spans="1:40" x14ac:dyDescent="0.25">
      <c r="A5930" t="str">
        <f>"20190312161138782"</f>
        <v>20190312161138782</v>
      </c>
      <c r="B5930" t="str">
        <f>"1552378298773273"</f>
        <v>1552378298773273</v>
      </c>
      <c r="C5930" t="s">
        <v>40</v>
      </c>
      <c r="D5930">
        <v>5.8737539999999999</v>
      </c>
      <c r="E5930">
        <v>0.42344789999999999</v>
      </c>
      <c r="F5930" t="s">
        <v>41</v>
      </c>
      <c r="G5930">
        <v>-260.10340000000002</v>
      </c>
      <c r="H5930" s="1">
        <v>6.6701380000000001E-7</v>
      </c>
      <c r="I5930">
        <v>-61.448540000000001</v>
      </c>
      <c r="J5930">
        <v>-276.06479999999999</v>
      </c>
      <c r="K5930">
        <v>1.11069</v>
      </c>
      <c r="L5930">
        <v>-62.98386</v>
      </c>
      <c r="M5930">
        <v>0.99573029999999996</v>
      </c>
      <c r="N5930">
        <v>0</v>
      </c>
      <c r="O5930">
        <v>-9.1654200000000005E-2</v>
      </c>
      <c r="P5930">
        <v>0.99361049999999995</v>
      </c>
      <c r="Q5930">
        <v>-3.1606759999999998E-2</v>
      </c>
      <c r="R5930">
        <v>-0.1083491</v>
      </c>
      <c r="S5930">
        <v>3.0443730000000002</v>
      </c>
      <c r="T5930">
        <v>-0.20947170000000001</v>
      </c>
      <c r="U5930">
        <v>0.2868347</v>
      </c>
      <c r="V5930">
        <v>1.685559E-2</v>
      </c>
      <c r="W5930">
        <v>-2.0598209999999999E-2</v>
      </c>
      <c r="X5930">
        <v>0.99964569999999997</v>
      </c>
      <c r="Y5930">
        <v>-0.18401629999999999</v>
      </c>
      <c r="Z5930">
        <v>1.2594910000000001E-2</v>
      </c>
      <c r="AA5930">
        <v>0.98284249999999995</v>
      </c>
      <c r="AB5930">
        <v>18</v>
      </c>
      <c r="AC5930">
        <v>15.9613999999999</v>
      </c>
      <c r="AD5930">
        <v>-1.1106893329862</v>
      </c>
      <c r="AE5930">
        <v>1.53531999999999</v>
      </c>
      <c r="AF5930">
        <v>-2.9775886059592098</v>
      </c>
      <c r="AG5930">
        <v>-1.1106893329862</v>
      </c>
      <c r="AH5930">
        <v>15.6782602750139</v>
      </c>
      <c r="AI5930">
        <v>93.981284964415295</v>
      </c>
      <c r="AJ5930">
        <v>100.75344929245701</v>
      </c>
      <c r="AK5930">
        <v>15.997109424887601</v>
      </c>
      <c r="AL5930">
        <v>91.180274016522105</v>
      </c>
      <c r="AM5930">
        <v>89.033995085922697</v>
      </c>
      <c r="AN5930">
        <v>0.99999996134896996</v>
      </c>
    </row>
    <row r="5931" spans="1:40" x14ac:dyDescent="0.25">
      <c r="A5931" t="str">
        <f>"20190312161138794"</f>
        <v>20190312161138794</v>
      </c>
      <c r="B5931" t="str">
        <f>"1552378298783033"</f>
        <v>1552378298783033</v>
      </c>
      <c r="C5931" t="s">
        <v>40</v>
      </c>
      <c r="D5931">
        <v>5.8678919999999897</v>
      </c>
      <c r="E5931">
        <v>0.42376530000000001</v>
      </c>
      <c r="F5931" t="s">
        <v>109</v>
      </c>
      <c r="G5931">
        <v>-259.64359999999999</v>
      </c>
      <c r="H5931" s="1">
        <v>-3.4458440000000001E-6</v>
      </c>
      <c r="I5931">
        <v>-61.438600000000001</v>
      </c>
      <c r="J5931">
        <v>-275.96640000000002</v>
      </c>
      <c r="K5931">
        <v>1.110654</v>
      </c>
      <c r="L5931">
        <v>-62.991489999999999</v>
      </c>
      <c r="M5931">
        <v>0.99583549999999998</v>
      </c>
      <c r="N5931">
        <v>0</v>
      </c>
      <c r="O5931">
        <v>-9.0494679999999994E-2</v>
      </c>
      <c r="P5931">
        <v>0.99365650000000005</v>
      </c>
      <c r="Q5931">
        <v>-3.1645140000000002E-2</v>
      </c>
      <c r="R5931">
        <v>-0.10791389999999999</v>
      </c>
      <c r="S5931">
        <v>3.0439449999999999</v>
      </c>
      <c r="T5931">
        <v>-0.2058846</v>
      </c>
      <c r="U5931">
        <v>0.28643800000000003</v>
      </c>
      <c r="V5931">
        <v>1.7578860000000002E-2</v>
      </c>
      <c r="W5931">
        <v>-2.0552959999999999E-2</v>
      </c>
      <c r="X5931">
        <v>0.99963420000000003</v>
      </c>
      <c r="Y5931">
        <v>-0.1827849</v>
      </c>
      <c r="Z5931">
        <v>1.2261930000000001E-2</v>
      </c>
      <c r="AA5931">
        <v>0.98307650000000002</v>
      </c>
      <c r="AB5931">
        <v>18</v>
      </c>
      <c r="AC5931">
        <v>16.322800000000001</v>
      </c>
      <c r="AD5931">
        <v>-1.1106574458439999</v>
      </c>
      <c r="AE5931">
        <v>1.5528899999999899</v>
      </c>
      <c r="AF5931">
        <v>-3.00992393807925</v>
      </c>
      <c r="AG5931">
        <v>-1.1106574458439999</v>
      </c>
      <c r="AH5931">
        <v>16.0416764065737</v>
      </c>
      <c r="AI5931">
        <v>93.8928772405431</v>
      </c>
      <c r="AJ5931">
        <v>100.62693406600199</v>
      </c>
      <c r="AK5931">
        <v>16.359357689354798</v>
      </c>
      <c r="AL5931">
        <v>91.177680803036793</v>
      </c>
      <c r="AM5931">
        <v>88.992540787962795</v>
      </c>
      <c r="AN5931">
        <v>0.99999998714664995</v>
      </c>
    </row>
    <row r="5932" spans="1:40" x14ac:dyDescent="0.25">
      <c r="A5932" t="str">
        <f>"20190312161138805"</f>
        <v>20190312161138805</v>
      </c>
      <c r="B5932" t="str">
        <f>"1552378298792793"</f>
        <v>1552378298792793</v>
      </c>
      <c r="C5932" t="s">
        <v>40</v>
      </c>
      <c r="D5932">
        <v>5.8081060000000004</v>
      </c>
      <c r="E5932">
        <v>0.42422490000000002</v>
      </c>
      <c r="F5932" t="s">
        <v>109</v>
      </c>
      <c r="G5932">
        <v>-259.80220000000003</v>
      </c>
      <c r="H5932" s="1">
        <v>-3.5047469999999999E-6</v>
      </c>
      <c r="I5932">
        <v>-61.475529999999999</v>
      </c>
      <c r="J5932">
        <v>-275.87970000000001</v>
      </c>
      <c r="K5932">
        <v>1.1106279999999999</v>
      </c>
      <c r="L5932">
        <v>-62.998139999999999</v>
      </c>
      <c r="M5932">
        <v>0.99592409999999998</v>
      </c>
      <c r="N5932">
        <v>0</v>
      </c>
      <c r="O5932">
        <v>-8.9502929999999994E-2</v>
      </c>
      <c r="P5932">
        <v>0.99367740000000004</v>
      </c>
      <c r="Q5932">
        <v>-3.1877250000000003E-2</v>
      </c>
      <c r="R5932">
        <v>-0.107652</v>
      </c>
      <c r="S5932">
        <v>3.043488</v>
      </c>
      <c r="T5932">
        <v>-0.20911969999999999</v>
      </c>
      <c r="U5932">
        <v>0.28543089999999999</v>
      </c>
      <c r="V5932">
        <v>1.8309240000000001E-2</v>
      </c>
      <c r="W5932">
        <v>-2.070315E-2</v>
      </c>
      <c r="X5932">
        <v>0.99961800000000001</v>
      </c>
      <c r="Y5932">
        <v>-0.1814828</v>
      </c>
      <c r="Z5932">
        <v>1.2343750000000001E-2</v>
      </c>
      <c r="AA5932">
        <v>0.98331670000000004</v>
      </c>
      <c r="AB5932">
        <v>18</v>
      </c>
      <c r="AC5932">
        <v>16.077499999999901</v>
      </c>
      <c r="AD5932">
        <v>-1.1106315047469999</v>
      </c>
      <c r="AE5932">
        <v>1.52260999999999</v>
      </c>
      <c r="AF5932">
        <v>-2.9416583209324099</v>
      </c>
      <c r="AG5932">
        <v>-1.1106315047469999</v>
      </c>
      <c r="AH5932">
        <v>15.801942327862401</v>
      </c>
      <c r="AI5932">
        <v>93.952707351398999</v>
      </c>
      <c r="AJ5932">
        <v>100.545358906996</v>
      </c>
      <c r="AK5932">
        <v>16.111742219559499</v>
      </c>
      <c r="AL5932">
        <v>91.186287875649995</v>
      </c>
      <c r="AM5932">
        <v>88.950674268344301</v>
      </c>
      <c r="AN5932">
        <v>0.99999999730665001</v>
      </c>
    </row>
    <row r="5933" spans="1:40" x14ac:dyDescent="0.25">
      <c r="A5933" t="str">
        <f>"20190312161138815"</f>
        <v>20190312161138815</v>
      </c>
      <c r="B5933" t="str">
        <f>"1552378298803530"</f>
        <v>1552378298803530</v>
      </c>
      <c r="C5933" t="s">
        <v>40</v>
      </c>
      <c r="D5933">
        <v>5.8837780000000004</v>
      </c>
      <c r="E5933">
        <v>0.4245602</v>
      </c>
      <c r="F5933" t="s">
        <v>105</v>
      </c>
      <c r="G5933">
        <v>-260.02530000000002</v>
      </c>
      <c r="H5933" s="1">
        <v>6.8015040000000003E-7</v>
      </c>
      <c r="I5933">
        <v>-61.525190000000002</v>
      </c>
      <c r="J5933">
        <v>-275.80059999999997</v>
      </c>
      <c r="K5933">
        <v>1.110609</v>
      </c>
      <c r="L5933">
        <v>-63.00421</v>
      </c>
      <c r="M5933">
        <v>0.99599709999999997</v>
      </c>
      <c r="N5933">
        <v>0</v>
      </c>
      <c r="O5933">
        <v>-8.8674600000000006E-2</v>
      </c>
      <c r="P5933">
        <v>0.99370440000000004</v>
      </c>
      <c r="Q5933">
        <v>-3.1967460000000003E-2</v>
      </c>
      <c r="R5933">
        <v>-0.107377</v>
      </c>
      <c r="S5933">
        <v>3.0428769999999998</v>
      </c>
      <c r="T5933">
        <v>-0.2131586</v>
      </c>
      <c r="U5933">
        <v>0.2826843</v>
      </c>
      <c r="V5933">
        <v>1.886202E-2</v>
      </c>
      <c r="W5933">
        <v>-2.0699349999999998E-2</v>
      </c>
      <c r="X5933">
        <v>0.99960780000000005</v>
      </c>
      <c r="Y5933">
        <v>-0.17978440000000001</v>
      </c>
      <c r="Z5933">
        <v>1.2467489999999999E-2</v>
      </c>
      <c r="AA5933">
        <v>0.98362700000000003</v>
      </c>
      <c r="AB5933">
        <v>18</v>
      </c>
      <c r="AC5933">
        <v>15.7752999999999</v>
      </c>
      <c r="AD5933">
        <v>-1.1106083198496</v>
      </c>
      <c r="AE5933">
        <v>1.47901999999999</v>
      </c>
      <c r="AF5933">
        <v>-2.8581073531916199</v>
      </c>
      <c r="AG5933">
        <v>-1.1106083198496</v>
      </c>
      <c r="AH5933">
        <v>15.5058044996966</v>
      </c>
      <c r="AI5933">
        <v>94.029186373218806</v>
      </c>
      <c r="AJ5933">
        <v>100.443818601313</v>
      </c>
      <c r="AK5933">
        <v>15.8060811609108</v>
      </c>
      <c r="AL5933">
        <v>91.186070106149401</v>
      </c>
      <c r="AM5933">
        <v>88.918990126010996</v>
      </c>
      <c r="AN5933">
        <v>0.99999999635487102</v>
      </c>
    </row>
    <row r="5934" spans="1:40" x14ac:dyDescent="0.25">
      <c r="A5934" t="str">
        <f>"20190312161138825"</f>
        <v>20190312161138825</v>
      </c>
      <c r="B5934" t="str">
        <f>"1552378298823050"</f>
        <v>1552378298823050</v>
      </c>
      <c r="C5934" t="s">
        <v>40</v>
      </c>
      <c r="D5934">
        <v>5.8847940000000003</v>
      </c>
      <c r="E5934">
        <v>0.42505080000000001</v>
      </c>
      <c r="F5934" t="s">
        <v>105</v>
      </c>
      <c r="G5934">
        <v>-260.21859999999998</v>
      </c>
      <c r="H5934" s="1">
        <v>5.866598E-7</v>
      </c>
      <c r="I5934">
        <v>-61.564929999999997</v>
      </c>
      <c r="J5934">
        <v>-275.72059999999999</v>
      </c>
      <c r="K5934">
        <v>1.110592</v>
      </c>
      <c r="L5934">
        <v>-63.010309999999997</v>
      </c>
      <c r="M5934">
        <v>0.99606899999999998</v>
      </c>
      <c r="N5934">
        <v>0</v>
      </c>
      <c r="O5934">
        <v>-8.7851410000000005E-2</v>
      </c>
      <c r="P5934">
        <v>0.99372139999999998</v>
      </c>
      <c r="Q5934">
        <v>-3.2122190000000002E-2</v>
      </c>
      <c r="R5934">
        <v>-0.1071725</v>
      </c>
      <c r="S5934">
        <v>3.042389</v>
      </c>
      <c r="T5934">
        <v>-0.21684590000000001</v>
      </c>
      <c r="U5934">
        <v>0.28100589999999998</v>
      </c>
      <c r="V5934">
        <v>1.9480890000000001E-2</v>
      </c>
      <c r="W5934">
        <v>-2.075774E-2</v>
      </c>
      <c r="X5934">
        <v>0.99959469999999995</v>
      </c>
      <c r="Y5934">
        <v>-0.17843039999999999</v>
      </c>
      <c r="Z5934">
        <v>1.257841E-2</v>
      </c>
      <c r="AA5934">
        <v>0.98387210000000003</v>
      </c>
      <c r="AB5934">
        <v>18</v>
      </c>
      <c r="AC5934">
        <v>15.502000000000001</v>
      </c>
      <c r="AD5934">
        <v>-1.1105914133402</v>
      </c>
      <c r="AE5934">
        <v>1.4453799999999899</v>
      </c>
      <c r="AF5934">
        <v>-2.7875670162920301</v>
      </c>
      <c r="AG5934">
        <v>-1.1105914133402</v>
      </c>
      <c r="AH5934">
        <v>15.237534969797199</v>
      </c>
      <c r="AI5934">
        <v>94.100826337147694</v>
      </c>
      <c r="AJ5934">
        <v>100.36709779834</v>
      </c>
      <c r="AK5934">
        <v>15.5301775622011</v>
      </c>
      <c r="AL5934">
        <v>91.189416349246201</v>
      </c>
      <c r="AM5934">
        <v>88.883515990947103</v>
      </c>
      <c r="AN5934">
        <v>0.99999997655659401</v>
      </c>
    </row>
    <row r="5935" spans="1:40" x14ac:dyDescent="0.25">
      <c r="A5935" t="str">
        <f>"20190312161138836"</f>
        <v>20190312161138836</v>
      </c>
      <c r="B5935" t="str">
        <f>"1552378298832809"</f>
        <v>1552378298832809</v>
      </c>
      <c r="C5935" t="s">
        <v>40</v>
      </c>
      <c r="D5935">
        <v>5.8342970000000003</v>
      </c>
      <c r="E5935">
        <v>0.4247359</v>
      </c>
      <c r="F5935" t="s">
        <v>41</v>
      </c>
      <c r="G5935">
        <v>-260.65100000000001</v>
      </c>
      <c r="H5935" s="1">
        <v>3.8317120000000002E-7</v>
      </c>
      <c r="I5935">
        <v>-61.632429999999999</v>
      </c>
      <c r="J5935">
        <v>-275.6386</v>
      </c>
      <c r="K5935">
        <v>1.1105769999999999</v>
      </c>
      <c r="L5935">
        <v>-63.016570000000002</v>
      </c>
      <c r="M5935">
        <v>0.99613649999999998</v>
      </c>
      <c r="N5935">
        <v>0</v>
      </c>
      <c r="O5935">
        <v>-8.7068770000000004E-2</v>
      </c>
      <c r="P5935">
        <v>0.99375460000000004</v>
      </c>
      <c r="Q5935">
        <v>-3.2272599999999999E-2</v>
      </c>
      <c r="R5935">
        <v>-0.1068192</v>
      </c>
      <c r="S5935">
        <v>3.0417179999999999</v>
      </c>
      <c r="T5935">
        <v>-0.22416759999999999</v>
      </c>
      <c r="U5935">
        <v>0.27810669999999998</v>
      </c>
      <c r="V5935">
        <v>1.990921E-2</v>
      </c>
      <c r="W5935">
        <v>-2.0804969999999999E-2</v>
      </c>
      <c r="X5935">
        <v>0.99958530000000001</v>
      </c>
      <c r="Y5935">
        <v>-0.17670759999999999</v>
      </c>
      <c r="Z5935">
        <v>1.2884649999999999E-2</v>
      </c>
      <c r="AA5935">
        <v>0.98417909999999997</v>
      </c>
      <c r="AB5935">
        <v>18</v>
      </c>
      <c r="AC5935">
        <v>14.987599999999899</v>
      </c>
      <c r="AD5935">
        <v>-1.1105766168288</v>
      </c>
      <c r="AE5935">
        <v>1.3841399999999799</v>
      </c>
      <c r="AF5935">
        <v>-2.6693871862646401</v>
      </c>
      <c r="AG5935">
        <v>-1.1105766168288</v>
      </c>
      <c r="AH5935">
        <v>14.729956145678599</v>
      </c>
      <c r="AI5935">
        <v>94.242853618956005</v>
      </c>
      <c r="AJ5935">
        <v>100.27175882601399</v>
      </c>
      <c r="AK5935">
        <v>15.011016502077901</v>
      </c>
      <c r="AL5935">
        <v>91.192122988289299</v>
      </c>
      <c r="AM5935">
        <v>88.858963912506894</v>
      </c>
      <c r="AN5935">
        <v>0.99999999769780701</v>
      </c>
    </row>
    <row r="5936" spans="1:40" x14ac:dyDescent="0.25">
      <c r="A5936" t="str">
        <f>"20190312161138847"</f>
        <v>20190312161138847</v>
      </c>
      <c r="B5936" t="str">
        <f>"1552378298843546"</f>
        <v>1552378298843546</v>
      </c>
      <c r="C5936" t="s">
        <v>40</v>
      </c>
      <c r="D5936">
        <v>5.7727440000000003</v>
      </c>
      <c r="E5936">
        <v>0.42454560000000002</v>
      </c>
      <c r="F5936" t="s">
        <v>105</v>
      </c>
      <c r="G5936">
        <v>-260.66039999999998</v>
      </c>
      <c r="H5936" s="1">
        <v>3.7997440000000001E-7</v>
      </c>
      <c r="I5936">
        <v>-61.629339999999999</v>
      </c>
      <c r="J5936">
        <v>-275.55560000000003</v>
      </c>
      <c r="K5936">
        <v>1.1105609999999999</v>
      </c>
      <c r="L5936">
        <v>-63.022860000000001</v>
      </c>
      <c r="M5936">
        <v>0.99620260000000005</v>
      </c>
      <c r="N5936">
        <v>0</v>
      </c>
      <c r="O5936">
        <v>-8.6296629999999999E-2</v>
      </c>
      <c r="P5936">
        <v>0.99381019999999998</v>
      </c>
      <c r="Q5936">
        <v>-3.221947E-2</v>
      </c>
      <c r="R5936">
        <v>-0.1063175</v>
      </c>
      <c r="S5936">
        <v>3.0418090000000002</v>
      </c>
      <c r="T5936">
        <v>-0.22553809999999999</v>
      </c>
      <c r="U5936">
        <v>0.28170780000000001</v>
      </c>
      <c r="V5936">
        <v>2.0177029999999999E-2</v>
      </c>
      <c r="W5936">
        <v>-2.0650620000000001E-2</v>
      </c>
      <c r="X5936">
        <v>0.99958309999999995</v>
      </c>
      <c r="Y5936">
        <v>-0.17709</v>
      </c>
      <c r="Z5936">
        <v>1.291934E-2</v>
      </c>
      <c r="AA5936">
        <v>0.98410989999999998</v>
      </c>
      <c r="AB5936">
        <v>18</v>
      </c>
      <c r="AC5936">
        <v>14.895200000000001</v>
      </c>
      <c r="AD5936">
        <v>-1.1105606200256</v>
      </c>
      <c r="AE5936">
        <v>1.3935199999999901</v>
      </c>
      <c r="AF5936">
        <v>-2.65915814946143</v>
      </c>
      <c r="AG5936">
        <v>-1.1105606200256</v>
      </c>
      <c r="AH5936">
        <v>14.6386922297174</v>
      </c>
      <c r="AI5936">
        <v>94.268824600286294</v>
      </c>
      <c r="AJ5936">
        <v>100.295668884436</v>
      </c>
      <c r="AK5936">
        <v>14.9196440021532</v>
      </c>
      <c r="AL5936">
        <v>91.183277520352306</v>
      </c>
      <c r="AM5936">
        <v>88.843616216000299</v>
      </c>
      <c r="AN5936">
        <v>0.99999996722580697</v>
      </c>
    </row>
    <row r="5937" spans="1:40" x14ac:dyDescent="0.25">
      <c r="A5937" t="str">
        <f>"20190312161138859"</f>
        <v>20190312161138859</v>
      </c>
      <c r="B5937" t="str">
        <f>"1552378298853305"</f>
        <v>1552378298853305</v>
      </c>
      <c r="C5937" t="s">
        <v>40</v>
      </c>
      <c r="D5937">
        <v>5.8114850000000002</v>
      </c>
      <c r="E5937">
        <v>0.42434660000000002</v>
      </c>
      <c r="F5937" t="s">
        <v>105</v>
      </c>
      <c r="G5937">
        <v>-260.45350000000002</v>
      </c>
      <c r="H5937" s="1">
        <v>4.7411099999999998E-7</v>
      </c>
      <c r="I5937">
        <v>-61.609180000000002</v>
      </c>
      <c r="J5937">
        <v>-275.46140000000003</v>
      </c>
      <c r="K5937">
        <v>1.1105419999999999</v>
      </c>
      <c r="L5937">
        <v>-63.029969999999999</v>
      </c>
      <c r="M5937">
        <v>0.9962723</v>
      </c>
      <c r="N5937">
        <v>0</v>
      </c>
      <c r="O5937">
        <v>-8.5473060000000003E-2</v>
      </c>
      <c r="P5937">
        <v>0.99386949999999996</v>
      </c>
      <c r="Q5937">
        <v>-3.2048609999999998E-2</v>
      </c>
      <c r="R5937">
        <v>-0.1058127</v>
      </c>
      <c r="S5937">
        <v>3.0418699999999999</v>
      </c>
      <c r="T5937">
        <v>-0.2236892</v>
      </c>
      <c r="U5937">
        <v>0.28472900000000001</v>
      </c>
      <c r="V5937">
        <v>2.0493049999999999E-2</v>
      </c>
      <c r="W5937">
        <v>-2.037307E-2</v>
      </c>
      <c r="X5937">
        <v>0.99958239999999998</v>
      </c>
      <c r="Y5937">
        <v>-0.17725739999999901</v>
      </c>
      <c r="Z5937">
        <v>1.2758769999999999E-2</v>
      </c>
      <c r="AA5937">
        <v>0.98408180000000001</v>
      </c>
      <c r="AB5937">
        <v>17</v>
      </c>
      <c r="AC5937">
        <v>15.007899999999999</v>
      </c>
      <c r="AD5937">
        <v>-1.1105415258889999</v>
      </c>
      <c r="AE5937">
        <v>1.42078999999999</v>
      </c>
      <c r="AF5937">
        <v>-2.6838829060946998</v>
      </c>
      <c r="AG5937">
        <v>-1.1105415258889999</v>
      </c>
      <c r="AH5937">
        <v>14.751468031112999</v>
      </c>
      <c r="AI5937">
        <v>94.236022463664995</v>
      </c>
      <c r="AJ5937">
        <v>100.311605696947</v>
      </c>
      <c r="AK5937">
        <v>15.034704486863101</v>
      </c>
      <c r="AL5937">
        <v>91.167371690633601</v>
      </c>
      <c r="AM5937">
        <v>88.8255087234635</v>
      </c>
      <c r="AN5937">
        <v>1.0000000007346399</v>
      </c>
    </row>
    <row r="5938" spans="1:40" x14ac:dyDescent="0.25">
      <c r="A5938" t="str">
        <f>"20190312161138869"</f>
        <v>20190312161138869</v>
      </c>
      <c r="B5938" t="str">
        <f>"1552378298863066"</f>
        <v>1552378298863066</v>
      </c>
      <c r="C5938" t="s">
        <v>40</v>
      </c>
      <c r="D5938">
        <v>5.8089639999999996</v>
      </c>
      <c r="E5938">
        <v>0.4242052</v>
      </c>
      <c r="F5938" t="s">
        <v>41</v>
      </c>
      <c r="G5938">
        <v>-260.21379999999999</v>
      </c>
      <c r="H5938" s="1">
        <v>5.8282909999999995E-7</v>
      </c>
      <c r="I5938">
        <v>-61.58699</v>
      </c>
      <c r="J5938">
        <v>-275.37619999999998</v>
      </c>
      <c r="K5938">
        <v>1.110522</v>
      </c>
      <c r="L5938">
        <v>-63.036409999999997</v>
      </c>
      <c r="M5938">
        <v>0.99633190000000005</v>
      </c>
      <c r="N5938">
        <v>0</v>
      </c>
      <c r="O5938">
        <v>-8.4762950000000004E-2</v>
      </c>
      <c r="P5938">
        <v>0.99394170000000004</v>
      </c>
      <c r="Q5938">
        <v>-3.1705980000000002E-2</v>
      </c>
      <c r="R5938">
        <v>-0.10523730000000001</v>
      </c>
      <c r="S5938">
        <v>3.0420229999999999</v>
      </c>
      <c r="T5938">
        <v>-0.22156190000000001</v>
      </c>
      <c r="U5938">
        <v>0.28787230000000003</v>
      </c>
      <c r="V5938">
        <v>2.0623539999999999E-2</v>
      </c>
      <c r="W5938">
        <v>-1.9940920000000001E-2</v>
      </c>
      <c r="X5938">
        <v>0.99958840000000004</v>
      </c>
      <c r="Y5938">
        <v>-0.17757390000000001</v>
      </c>
      <c r="Z5938">
        <v>1.259658E-2</v>
      </c>
      <c r="AA5938">
        <v>0.98402679999999998</v>
      </c>
      <c r="AB5938">
        <v>17</v>
      </c>
      <c r="AC5938">
        <v>15.1623999999999</v>
      </c>
      <c r="AD5938">
        <v>-1.1105214171708999</v>
      </c>
      <c r="AE5938">
        <v>1.4494199999999899</v>
      </c>
      <c r="AF5938">
        <v>-2.7150687388214401</v>
      </c>
      <c r="AG5938">
        <v>-1.1105214171708999</v>
      </c>
      <c r="AH5938">
        <v>14.905723965272299</v>
      </c>
      <c r="AI5938">
        <v>94.192112214333093</v>
      </c>
      <c r="AJ5938">
        <v>100.323215754912</v>
      </c>
      <c r="AK5938">
        <v>15.1916247650939</v>
      </c>
      <c r="AL5938">
        <v>91.142606322745493</v>
      </c>
      <c r="AM5938">
        <v>88.818039328947293</v>
      </c>
      <c r="AN5938">
        <v>0.999999970053568</v>
      </c>
    </row>
    <row r="5939" spans="1:40" x14ac:dyDescent="0.25">
      <c r="A5939" t="str">
        <f>"20190312161138880"</f>
        <v>20190312161138880</v>
      </c>
      <c r="B5939" t="str">
        <f>"1552378298872825"</f>
        <v>1552378298872825</v>
      </c>
      <c r="C5939" t="s">
        <v>40</v>
      </c>
      <c r="D5939">
        <v>5.8057589999999903</v>
      </c>
      <c r="E5939">
        <v>0.42409619999999998</v>
      </c>
      <c r="F5939" t="s">
        <v>105</v>
      </c>
      <c r="G5939">
        <v>-259.97949999999997</v>
      </c>
      <c r="H5939" s="1">
        <v>6.891723E-7</v>
      </c>
      <c r="I5939">
        <v>-61.565119999999901</v>
      </c>
      <c r="J5939">
        <v>-275.2921</v>
      </c>
      <c r="K5939">
        <v>1.1105050000000001</v>
      </c>
      <c r="L5939">
        <v>-63.042720000000003</v>
      </c>
      <c r="M5939">
        <v>0.99638819999999995</v>
      </c>
      <c r="N5939">
        <v>0</v>
      </c>
      <c r="O5939">
        <v>-8.4086530000000007E-2</v>
      </c>
      <c r="P5939">
        <v>0.99400719999999998</v>
      </c>
      <c r="Q5939">
        <v>-3.1646279999999999E-2</v>
      </c>
      <c r="R5939">
        <v>-0.1046349</v>
      </c>
      <c r="S5939">
        <v>3.0420530000000001</v>
      </c>
      <c r="T5939">
        <v>-0.2194141</v>
      </c>
      <c r="U5939">
        <v>0.29067989999999999</v>
      </c>
      <c r="V5939">
        <v>2.069472E-2</v>
      </c>
      <c r="W5939">
        <v>-1.9797820000000001E-2</v>
      </c>
      <c r="X5939">
        <v>0.99958979999999997</v>
      </c>
      <c r="Y5939">
        <v>-0.17781959999999999</v>
      </c>
      <c r="Z5939">
        <v>1.243442E-2</v>
      </c>
      <c r="AA5939">
        <v>0.98398450000000004</v>
      </c>
      <c r="AB5939">
        <v>17</v>
      </c>
      <c r="AC5939">
        <v>15.3126</v>
      </c>
      <c r="AD5939">
        <v>-1.1105043108277</v>
      </c>
      <c r="AE5939">
        <v>1.4776</v>
      </c>
      <c r="AF5939">
        <v>-2.7457319382023102</v>
      </c>
      <c r="AG5939">
        <v>-1.1105043108277</v>
      </c>
      <c r="AH5939">
        <v>15.055652847955299</v>
      </c>
      <c r="AI5939">
        <v>94.150286248541505</v>
      </c>
      <c r="AJ5939">
        <v>100.335568412486</v>
      </c>
      <c r="AK5939">
        <v>15.3442154044766</v>
      </c>
      <c r="AL5939">
        <v>91.134405647292098</v>
      </c>
      <c r="AM5939">
        <v>88.813962738729401</v>
      </c>
      <c r="AN5939">
        <v>0.99999999668833495</v>
      </c>
    </row>
    <row r="5940" spans="1:40" x14ac:dyDescent="0.25">
      <c r="A5940" t="str">
        <f>"20190312161138893"</f>
        <v>20190312161138893</v>
      </c>
      <c r="B5940" t="str">
        <f>"1552378298883563"</f>
        <v>1552378298883563</v>
      </c>
      <c r="C5940" t="s">
        <v>40</v>
      </c>
      <c r="D5940">
        <v>5.7884739999999999</v>
      </c>
      <c r="E5940">
        <v>0.42410330000000002</v>
      </c>
      <c r="F5940" t="s">
        <v>109</v>
      </c>
      <c r="G5940">
        <v>-259.85590000000002</v>
      </c>
      <c r="H5940" s="1">
        <v>-3.5334700000000002E-6</v>
      </c>
      <c r="I5940">
        <v>-61.553629999999998</v>
      </c>
      <c r="J5940">
        <v>-275.2011</v>
      </c>
      <c r="K5940">
        <v>1.1104830000000001</v>
      </c>
      <c r="L5940">
        <v>-63.049529999999997</v>
      </c>
      <c r="M5940">
        <v>0.99644460000000001</v>
      </c>
      <c r="N5940">
        <v>0</v>
      </c>
      <c r="O5940">
        <v>-8.3404660000000005E-2</v>
      </c>
      <c r="P5940">
        <v>0.99406209999999995</v>
      </c>
      <c r="Q5940">
        <v>-3.1688529999999999E-2</v>
      </c>
      <c r="R5940">
        <v>-0.10409939999999999</v>
      </c>
      <c r="S5940">
        <v>3.0420229999999999</v>
      </c>
      <c r="T5940">
        <v>-0.21884890000000001</v>
      </c>
      <c r="U5940">
        <v>0.29345700000000002</v>
      </c>
      <c r="V5940">
        <v>2.0838760000000001E-2</v>
      </c>
      <c r="W5940">
        <v>-1.9754009999999999E-2</v>
      </c>
      <c r="X5940">
        <v>0.99958769999999997</v>
      </c>
      <c r="Y5940">
        <v>-0.17804200000000001</v>
      </c>
      <c r="Z5940">
        <v>1.2361250000000001E-2</v>
      </c>
      <c r="AA5940">
        <v>0.98394530000000002</v>
      </c>
      <c r="AB5940">
        <v>17</v>
      </c>
      <c r="AC5940">
        <v>15.345199999999901</v>
      </c>
      <c r="AD5940">
        <v>-1.11048653346999</v>
      </c>
      <c r="AE5940">
        <v>1.49589999999999</v>
      </c>
      <c r="AF5940">
        <v>-2.7563401077755101</v>
      </c>
      <c r="AG5940">
        <v>-1.11048653346999</v>
      </c>
      <c r="AH5940">
        <v>15.0886768323042</v>
      </c>
      <c r="AI5940">
        <v>94.140946731615699</v>
      </c>
      <c r="AJ5940">
        <v>100.35241945442699</v>
      </c>
      <c r="AK5940">
        <v>15.378516172910301</v>
      </c>
      <c r="AL5940">
        <v>91.131894999081695</v>
      </c>
      <c r="AM5940">
        <v>88.805707521587806</v>
      </c>
      <c r="AN5940">
        <v>1.00000002241035</v>
      </c>
    </row>
    <row r="5941" spans="1:40" x14ac:dyDescent="0.25">
      <c r="A5941" t="str">
        <f>"20190312161138906"</f>
        <v>20190312161138906</v>
      </c>
      <c r="B5941" t="str">
        <f>"1552378298893322"</f>
        <v>1552378298893322</v>
      </c>
      <c r="C5941" t="s">
        <v>40</v>
      </c>
      <c r="D5941">
        <v>5.8107089999999904</v>
      </c>
      <c r="E5941">
        <v>0.42406870000000002</v>
      </c>
      <c r="F5941" t="s">
        <v>109</v>
      </c>
      <c r="G5941">
        <v>-259.80459999999999</v>
      </c>
      <c r="H5941" s="1">
        <v>-3.516372E-6</v>
      </c>
      <c r="I5941">
        <v>-61.556139999999999</v>
      </c>
      <c r="J5941">
        <v>-275.10919999999999</v>
      </c>
      <c r="K5941">
        <v>1.110465</v>
      </c>
      <c r="L5941">
        <v>-63.056429999999999</v>
      </c>
      <c r="M5941">
        <v>0.99649940000000004</v>
      </c>
      <c r="N5941">
        <v>0</v>
      </c>
      <c r="O5941">
        <v>-8.2735080000000003E-2</v>
      </c>
      <c r="P5941">
        <v>0.99413779999999996</v>
      </c>
      <c r="Q5941">
        <v>-3.138316E-2</v>
      </c>
      <c r="R5941">
        <v>-0.10346669999999999</v>
      </c>
      <c r="S5941">
        <v>3.0418090000000002</v>
      </c>
      <c r="T5941">
        <v>-0.21939420000000001</v>
      </c>
      <c r="U5941">
        <v>0.29504390000000003</v>
      </c>
      <c r="V5941">
        <v>2.0871580000000001E-2</v>
      </c>
      <c r="W5941">
        <v>-1.9363020000000002E-2</v>
      </c>
      <c r="X5941">
        <v>0.9995946</v>
      </c>
      <c r="Y5941">
        <v>-0.17789489999999999</v>
      </c>
      <c r="Z5941">
        <v>1.233918E-2</v>
      </c>
      <c r="AA5941">
        <v>0.98397210000000002</v>
      </c>
      <c r="AB5941">
        <v>17</v>
      </c>
      <c r="AC5941">
        <v>15.304599999999899</v>
      </c>
      <c r="AD5941">
        <v>-1.1104685163720001</v>
      </c>
      <c r="AE5941">
        <v>1.5002899999999999</v>
      </c>
      <c r="AF5941">
        <v>-2.74713898415505</v>
      </c>
      <c r="AG5941">
        <v>-1.1104685163720001</v>
      </c>
      <c r="AH5941">
        <v>15.0495101407486</v>
      </c>
      <c r="AI5941">
        <v>94.151718289718104</v>
      </c>
      <c r="AJ5941">
        <v>100.34488025350301</v>
      </c>
      <c r="AK5941">
        <v>15.3384376127627</v>
      </c>
      <c r="AL5941">
        <v>91.109488709307499</v>
      </c>
      <c r="AM5941">
        <v>88.803835371551699</v>
      </c>
      <c r="AN5941">
        <v>0.99999995687218701</v>
      </c>
    </row>
    <row r="5942" spans="1:40" x14ac:dyDescent="0.25">
      <c r="A5942" t="str">
        <f>"20190312161138915"</f>
        <v>20190312161138915</v>
      </c>
      <c r="B5942" t="str">
        <f>"1552378298912842"</f>
        <v>1552378298912842</v>
      </c>
      <c r="C5942" t="s">
        <v>40</v>
      </c>
      <c r="D5942">
        <v>5.9894949999999998</v>
      </c>
      <c r="E5942">
        <v>0.42448930000000001</v>
      </c>
      <c r="F5942" t="s">
        <v>109</v>
      </c>
      <c r="G5942">
        <v>-259.6277</v>
      </c>
      <c r="H5942" s="1">
        <v>-3.4544400000000002E-6</v>
      </c>
      <c r="I5942">
        <v>-61.543410000000002</v>
      </c>
      <c r="J5942">
        <v>-275.02080000000001</v>
      </c>
      <c r="K5942">
        <v>1.1104499999999999</v>
      </c>
      <c r="L5942">
        <v>-63.063020000000002</v>
      </c>
      <c r="M5942">
        <v>0.99654690000000001</v>
      </c>
      <c r="N5942">
        <v>0</v>
      </c>
      <c r="O5942">
        <v>-8.2146150000000001E-2</v>
      </c>
      <c r="P5942">
        <v>0.99420960000000003</v>
      </c>
      <c r="Q5942">
        <v>-3.1420330000000003E-2</v>
      </c>
      <c r="R5942">
        <v>-0.10276159999999999</v>
      </c>
      <c r="S5942">
        <v>3.0417480000000001</v>
      </c>
      <c r="T5942">
        <v>-0.21818070000000001</v>
      </c>
      <c r="U5942">
        <v>0.29727170000000003</v>
      </c>
      <c r="V5942">
        <v>2.0752240000000002E-2</v>
      </c>
      <c r="W5942">
        <v>-1.931923E-2</v>
      </c>
      <c r="X5942">
        <v>0.99959799999999999</v>
      </c>
      <c r="Y5942">
        <v>-0.1780378</v>
      </c>
      <c r="Z5942">
        <v>1.2234E-2</v>
      </c>
      <c r="AA5942">
        <v>0.98394760000000003</v>
      </c>
      <c r="AB5942">
        <v>17</v>
      </c>
      <c r="AC5942">
        <v>15.3931</v>
      </c>
      <c r="AD5942">
        <v>-1.11045345444</v>
      </c>
      <c r="AE5942">
        <v>1.5196099999999999</v>
      </c>
      <c r="AF5942">
        <v>-2.76480028980686</v>
      </c>
      <c r="AG5942">
        <v>-1.11045345444</v>
      </c>
      <c r="AH5942">
        <v>15.1382080690948</v>
      </c>
      <c r="AI5942">
        <v>94.127350439350096</v>
      </c>
      <c r="AJ5942">
        <v>100.35026585683001</v>
      </c>
      <c r="AK5942">
        <v>15.4286282948355</v>
      </c>
      <c r="AL5942">
        <v>91.106979182334896</v>
      </c>
      <c r="AM5942">
        <v>88.810676903204396</v>
      </c>
      <c r="AN5942">
        <v>1.0000000248584</v>
      </c>
    </row>
    <row r="5943" spans="1:40" x14ac:dyDescent="0.25">
      <c r="A5943" t="str">
        <f>"20190312161138941"</f>
        <v>20190312161138941</v>
      </c>
      <c r="B5943" t="str">
        <f>"1552378298933338"</f>
        <v>1552378298933338</v>
      </c>
      <c r="C5943" t="s">
        <v>40</v>
      </c>
      <c r="D5943">
        <v>5.9033369999999996</v>
      </c>
      <c r="E5943">
        <v>0.42448930000000001</v>
      </c>
      <c r="F5943" t="s">
        <v>109</v>
      </c>
      <c r="G5943">
        <v>-259.32459999999998</v>
      </c>
      <c r="H5943" s="1">
        <v>-3.3502269999999998E-6</v>
      </c>
      <c r="I5943">
        <v>-61.535409999999999</v>
      </c>
      <c r="J5943">
        <v>-274.82569999999998</v>
      </c>
      <c r="K5943">
        <v>1.1104149999999999</v>
      </c>
      <c r="L5943">
        <v>-63.077509999999997</v>
      </c>
      <c r="M5943">
        <v>0.99664489999999994</v>
      </c>
      <c r="N5943">
        <v>0</v>
      </c>
      <c r="O5943">
        <v>-8.092415E-2</v>
      </c>
      <c r="P5943">
        <v>0.99446210000000002</v>
      </c>
      <c r="Q5943">
        <v>-3.0714700000000001E-2</v>
      </c>
      <c r="R5943">
        <v>-0.1005084</v>
      </c>
      <c r="S5943">
        <v>3.04129</v>
      </c>
      <c r="T5943">
        <v>-0.21516109999999999</v>
      </c>
      <c r="U5943">
        <v>0.29598999999999998</v>
      </c>
      <c r="V5943">
        <v>1.970804E-2</v>
      </c>
      <c r="W5943">
        <v>-1.8441220000000001E-2</v>
      </c>
      <c r="X5943">
        <v>0.99963570000000002</v>
      </c>
      <c r="Y5943">
        <v>-0.1764598</v>
      </c>
      <c r="Z5943">
        <v>1.1925420000000001E-2</v>
      </c>
      <c r="AA5943">
        <v>0.98423559999999999</v>
      </c>
      <c r="AB5943">
        <v>17</v>
      </c>
      <c r="AC5943">
        <v>15.501099999999999</v>
      </c>
      <c r="AD5943">
        <v>-1.110418350227</v>
      </c>
      <c r="AE5943">
        <v>1.54209999999999</v>
      </c>
      <c r="AF5943">
        <v>-2.7774362623586599</v>
      </c>
      <c r="AG5943">
        <v>-1.110418350227</v>
      </c>
      <c r="AH5943">
        <v>15.2479714413202</v>
      </c>
      <c r="AI5943">
        <v>94.097962322133398</v>
      </c>
      <c r="AJ5943">
        <v>100.32331522389499</v>
      </c>
      <c r="AK5943">
        <v>15.538591125945199</v>
      </c>
      <c r="AL5943">
        <v>91.056663962720194</v>
      </c>
      <c r="AM5943">
        <v>88.870547293087796</v>
      </c>
      <c r="AN5943">
        <v>1.00000000907511</v>
      </c>
    </row>
    <row r="5944" spans="1:40" x14ac:dyDescent="0.25">
      <c r="A5944" t="str">
        <f>"20190312161138952"</f>
        <v>20190312161138952</v>
      </c>
      <c r="B5944" t="str">
        <f>"1552378298943099"</f>
        <v>1552378298943099</v>
      </c>
      <c r="C5944" t="s">
        <v>40</v>
      </c>
      <c r="D5944">
        <v>5.7611179999999997</v>
      </c>
      <c r="E5944">
        <v>0.45571070000000002</v>
      </c>
      <c r="F5944" t="s">
        <v>109</v>
      </c>
      <c r="G5944">
        <v>-258.9622</v>
      </c>
      <c r="H5944" s="1">
        <v>-3.2217870000000001E-6</v>
      </c>
      <c r="I5944">
        <v>-61.497039999999998</v>
      </c>
      <c r="J5944">
        <v>-274.7405</v>
      </c>
      <c r="K5944">
        <v>1.1103970000000001</v>
      </c>
      <c r="L5944">
        <v>-63.083829999999999</v>
      </c>
      <c r="M5944">
        <v>0.99668310000000004</v>
      </c>
      <c r="N5944">
        <v>0</v>
      </c>
      <c r="O5944">
        <v>-8.0439380000000005E-2</v>
      </c>
      <c r="P5944">
        <v>0.99455360000000004</v>
      </c>
      <c r="Q5944">
        <v>-3.0454419999999999E-2</v>
      </c>
      <c r="R5944">
        <v>-9.9677290000000002E-2</v>
      </c>
      <c r="S5944">
        <v>3.0407410000000001</v>
      </c>
      <c r="T5944">
        <v>-0.21284719999999999</v>
      </c>
      <c r="U5944">
        <v>0.302948</v>
      </c>
      <c r="V5944">
        <v>1.9357349999999999E-2</v>
      </c>
      <c r="W5944">
        <v>-1.8113199999999999E-2</v>
      </c>
      <c r="X5944">
        <v>0.99964850000000005</v>
      </c>
      <c r="Y5944">
        <v>-0.17823900000000001</v>
      </c>
      <c r="Z5944">
        <v>1.1826679999999999E-2</v>
      </c>
      <c r="AA5944">
        <v>0.98391620000000002</v>
      </c>
      <c r="AB5944">
        <v>17</v>
      </c>
      <c r="AC5944">
        <v>15.7783</v>
      </c>
      <c r="AD5944">
        <v>-1.1104002217869999</v>
      </c>
      <c r="AE5944">
        <v>1.5867899999999999</v>
      </c>
      <c r="AF5944">
        <v>-2.8370303935336199</v>
      </c>
      <c r="AG5944">
        <v>-1.1104002217869999</v>
      </c>
      <c r="AH5944">
        <v>15.5234001781534</v>
      </c>
      <c r="AI5944">
        <v>94.024998544090593</v>
      </c>
      <c r="AJ5944">
        <v>100.356979554411</v>
      </c>
      <c r="AK5944">
        <v>15.819534860338599</v>
      </c>
      <c r="AL5944">
        <v>91.037866712952294</v>
      </c>
      <c r="AM5944">
        <v>88.890654202136602</v>
      </c>
      <c r="AN5944">
        <v>0.99999995928275498</v>
      </c>
    </row>
    <row r="5945" spans="1:40" x14ac:dyDescent="0.25">
      <c r="A5945" t="str">
        <f>"20190312161138965"</f>
        <v>20190312161138965</v>
      </c>
      <c r="B5945" t="str">
        <f>"1552378298952858"</f>
        <v>1552378298952858</v>
      </c>
      <c r="C5945" t="s">
        <v>40</v>
      </c>
      <c r="D5945">
        <v>5.7671190000000001</v>
      </c>
      <c r="E5945">
        <v>0.4577871</v>
      </c>
      <c r="F5945" t="s">
        <v>109</v>
      </c>
      <c r="G5945">
        <v>-259.95479999999998</v>
      </c>
      <c r="H5945" s="1">
        <v>-3.7335470000000002E-6</v>
      </c>
      <c r="I5945">
        <v>-62.798609999999996</v>
      </c>
      <c r="J5945">
        <v>-274.64879999999999</v>
      </c>
      <c r="K5945">
        <v>1.1103829999999999</v>
      </c>
      <c r="L5945">
        <v>-63.09064</v>
      </c>
      <c r="M5945">
        <v>0.99672349999999998</v>
      </c>
      <c r="N5945">
        <v>0</v>
      </c>
      <c r="O5945">
        <v>-7.9930100000000004E-2</v>
      </c>
      <c r="P5945">
        <v>0.99462439999999996</v>
      </c>
      <c r="Q5945">
        <v>-3.0345770000000001E-2</v>
      </c>
      <c r="R5945">
        <v>-9.9004309999999998E-2</v>
      </c>
      <c r="S5945">
        <v>3.01532</v>
      </c>
      <c r="T5945">
        <v>-0.2264485</v>
      </c>
      <c r="U5945">
        <v>5.8166500000000003E-2</v>
      </c>
      <c r="V5945">
        <v>1.919038E-2</v>
      </c>
      <c r="W5945">
        <v>-1.7933830000000001E-2</v>
      </c>
      <c r="X5945">
        <v>0.99965499999999996</v>
      </c>
      <c r="Y5945">
        <v>-9.8643850000000005E-2</v>
      </c>
      <c r="Z5945">
        <v>9.6890009999999992E-3</v>
      </c>
      <c r="AA5945">
        <v>0.99507559999999995</v>
      </c>
      <c r="AB5945">
        <v>17</v>
      </c>
      <c r="AC5945">
        <v>14.694000000000001</v>
      </c>
      <c r="AD5945">
        <v>-1.1103867335469999</v>
      </c>
      <c r="AE5945">
        <v>0.29203000000000301</v>
      </c>
      <c r="AF5945">
        <v>-1.45735964926898</v>
      </c>
      <c r="AG5945">
        <v>-1.1103867335469999</v>
      </c>
      <c r="AH5945">
        <v>14.540634691701699</v>
      </c>
      <c r="AI5945">
        <v>94.345195974734196</v>
      </c>
      <c r="AJ5945">
        <v>95.723452489167997</v>
      </c>
      <c r="AK5945">
        <v>14.655610293770501</v>
      </c>
      <c r="AL5945">
        <v>91.027587850896793</v>
      </c>
      <c r="AM5945">
        <v>88.900227835290195</v>
      </c>
      <c r="AN5945">
        <v>1.000000005984</v>
      </c>
    </row>
    <row r="5946" spans="1:40" x14ac:dyDescent="0.25">
      <c r="A5946" t="str">
        <f>"20190312161138978"</f>
        <v>20190312161138978</v>
      </c>
      <c r="B5946" t="str">
        <f>"1552378298973354"</f>
        <v>1552378298973354</v>
      </c>
      <c r="C5946" t="s">
        <v>40</v>
      </c>
      <c r="D5946">
        <v>5.7631449999999997</v>
      </c>
      <c r="E5946">
        <v>0.46076859999999997</v>
      </c>
      <c r="F5946" t="s">
        <v>41</v>
      </c>
      <c r="G5946">
        <v>-260.47579999999999</v>
      </c>
      <c r="H5946" s="1">
        <v>1.2563010000000001E-7</v>
      </c>
      <c r="I5946">
        <v>-62.88288</v>
      </c>
      <c r="J5946">
        <v>-274.54070000000002</v>
      </c>
      <c r="K5946">
        <v>1.110366</v>
      </c>
      <c r="L5946">
        <v>-63.098599999999998</v>
      </c>
      <c r="M5946">
        <v>0.99676620000000005</v>
      </c>
      <c r="N5946">
        <v>0</v>
      </c>
      <c r="O5946">
        <v>-7.9381750000000001E-2</v>
      </c>
      <c r="P5946">
        <v>0.99469209999999997</v>
      </c>
      <c r="Q5946">
        <v>-3.0501299999999999E-2</v>
      </c>
      <c r="R5946">
        <v>-9.8272090000000006E-2</v>
      </c>
      <c r="S5946">
        <v>3.0133969999999999</v>
      </c>
      <c r="T5946">
        <v>-0.23608390000000001</v>
      </c>
      <c r="U5946">
        <v>4.4158940000000001E-2</v>
      </c>
      <c r="V5946">
        <v>1.9003989999999998E-2</v>
      </c>
      <c r="W5946">
        <v>-1.8016879999999999E-2</v>
      </c>
      <c r="X5946">
        <v>0.99965700000000002</v>
      </c>
      <c r="Y5946">
        <v>-9.3456490000000003E-2</v>
      </c>
      <c r="Z5946">
        <v>9.8608859999999993E-3</v>
      </c>
      <c r="AA5946">
        <v>0.99557450000000003</v>
      </c>
      <c r="AB5946">
        <v>17</v>
      </c>
      <c r="AC5946">
        <v>14.0649</v>
      </c>
      <c r="AD5946">
        <v>-1.1103658743699001</v>
      </c>
      <c r="AE5946">
        <v>0.21571999999999</v>
      </c>
      <c r="AF5946">
        <v>-1.3233764977602001</v>
      </c>
      <c r="AG5946">
        <v>-1.1103658743699001</v>
      </c>
      <c r="AH5946">
        <v>13.9166682007698</v>
      </c>
      <c r="AI5946">
        <v>94.541380435502802</v>
      </c>
      <c r="AJ5946">
        <v>95.432088275618995</v>
      </c>
      <c r="AK5946">
        <v>14.023476442740799</v>
      </c>
      <c r="AL5946">
        <v>91.032347103843804</v>
      </c>
      <c r="AM5946">
        <v>88.910909162261504</v>
      </c>
      <c r="AN5946">
        <v>0.99999993862492498</v>
      </c>
    </row>
    <row r="5947" spans="1:40" x14ac:dyDescent="0.25">
      <c r="A5947" t="str">
        <f>"20190312161138994"</f>
        <v>20190312161138994</v>
      </c>
      <c r="B5947" t="str">
        <f>"1552378298983113"</f>
        <v>1552378298983113</v>
      </c>
      <c r="C5947" t="s">
        <v>40</v>
      </c>
      <c r="D5947">
        <v>5.8828050000000003</v>
      </c>
      <c r="E5947">
        <v>0.46102209999999899</v>
      </c>
      <c r="F5947" t="s">
        <v>105</v>
      </c>
      <c r="G5947">
        <v>-261.41719999999998</v>
      </c>
      <c r="H5947" s="1">
        <v>-3.0834579999999999E-7</v>
      </c>
      <c r="I5947">
        <v>-62.996099999999998</v>
      </c>
      <c r="J5947">
        <v>-274.4196</v>
      </c>
      <c r="K5947">
        <v>1.110352</v>
      </c>
      <c r="L5947">
        <v>-63.10754</v>
      </c>
      <c r="M5947">
        <v>0.99681120000000001</v>
      </c>
      <c r="N5947">
        <v>0</v>
      </c>
      <c r="O5947">
        <v>-7.8802769999999994E-2</v>
      </c>
      <c r="P5947">
        <v>0.99473</v>
      </c>
      <c r="Q5947">
        <v>-3.0637870000000001E-2</v>
      </c>
      <c r="R5947">
        <v>-9.7845719999999997E-2</v>
      </c>
      <c r="S5947">
        <v>3.010529</v>
      </c>
      <c r="T5947">
        <v>-0.25471779999999999</v>
      </c>
      <c r="U5947">
        <v>2.3498539999999998E-2</v>
      </c>
      <c r="V5947">
        <v>1.9155269999999999E-2</v>
      </c>
      <c r="W5947">
        <v>-1.8078440000000001E-2</v>
      </c>
      <c r="X5947">
        <v>0.99965300000000001</v>
      </c>
      <c r="Y5947">
        <v>-8.5999049999999994E-2</v>
      </c>
      <c r="Z5947">
        <v>1.0282879999999999E-2</v>
      </c>
      <c r="AA5947">
        <v>0.99624219999999997</v>
      </c>
      <c r="AB5947">
        <v>17</v>
      </c>
      <c r="AC5947">
        <v>13.0024</v>
      </c>
      <c r="AD5947">
        <v>-1.1103523083458</v>
      </c>
      <c r="AE5947">
        <v>0.111440000000001</v>
      </c>
      <c r="AF5947">
        <v>-1.1275770397942599</v>
      </c>
      <c r="AG5947">
        <v>-1.1103523083458</v>
      </c>
      <c r="AH5947">
        <v>12.859406696564299</v>
      </c>
      <c r="AI5947">
        <v>94.916224050795805</v>
      </c>
      <c r="AJ5947">
        <v>95.011163449264203</v>
      </c>
      <c r="AK5947">
        <v>12.9564135784932</v>
      </c>
      <c r="AL5947">
        <v>91.035874808097006</v>
      </c>
      <c r="AM5947">
        <v>88.902237248650906</v>
      </c>
      <c r="AN5947">
        <v>0.99999993738530102</v>
      </c>
    </row>
    <row r="5948" spans="1:40" x14ac:dyDescent="0.25">
      <c r="A5948" t="str">
        <f>"20190312161139009"</f>
        <v>20190312161139009</v>
      </c>
      <c r="B5948" t="str">
        <f>"1552378299003610"</f>
        <v>1552378299003610</v>
      </c>
      <c r="C5948" t="s">
        <v>40</v>
      </c>
      <c r="D5948">
        <v>5.8135320000000004</v>
      </c>
      <c r="E5948">
        <v>0.46148869999999997</v>
      </c>
      <c r="F5948" t="s">
        <v>41</v>
      </c>
      <c r="G5948">
        <v>-260.65800000000002</v>
      </c>
      <c r="H5948" s="1">
        <v>1.5084989999999999E-8</v>
      </c>
      <c r="I5948">
        <v>-63.004530000000003</v>
      </c>
      <c r="J5948">
        <v>-274.30619999999999</v>
      </c>
      <c r="K5948">
        <v>1.1103379999999901</v>
      </c>
      <c r="L5948">
        <v>-63.11591</v>
      </c>
      <c r="M5948">
        <v>0.99685040000000003</v>
      </c>
      <c r="N5948">
        <v>0</v>
      </c>
      <c r="O5948">
        <v>-7.8295210000000004E-2</v>
      </c>
      <c r="P5948">
        <v>0.99477360000000004</v>
      </c>
      <c r="Q5948">
        <v>-3.0575100000000001E-2</v>
      </c>
      <c r="R5948">
        <v>-9.7422250000000002E-2</v>
      </c>
      <c r="S5948">
        <v>3.0106199999999999</v>
      </c>
      <c r="T5948">
        <v>-0.24291270000000001</v>
      </c>
      <c r="U5948">
        <v>2.2521969999999999E-2</v>
      </c>
      <c r="V5948">
        <v>1.9237830000000001E-2</v>
      </c>
      <c r="W5948">
        <v>-1.7950859999999999E-2</v>
      </c>
      <c r="X5948">
        <v>0.99965380000000004</v>
      </c>
      <c r="Y5948">
        <v>-8.5225830000000002E-2</v>
      </c>
      <c r="Z5948">
        <v>9.7356470000000001E-3</v>
      </c>
      <c r="AA5948">
        <v>0.99631409999999998</v>
      </c>
      <c r="AB5948">
        <v>17</v>
      </c>
      <c r="AC5948">
        <v>13.6481999999999</v>
      </c>
      <c r="AD5948">
        <v>-1.1103379849150099</v>
      </c>
      <c r="AE5948">
        <v>0.111379999999996</v>
      </c>
      <c r="AF5948">
        <v>-1.17195568282278</v>
      </c>
      <c r="AG5948">
        <v>-1.1103379849150099</v>
      </c>
      <c r="AH5948">
        <v>13.508177181229801</v>
      </c>
      <c r="AI5948">
        <v>94.681496820716603</v>
      </c>
      <c r="AJ5948">
        <v>94.958507206756906</v>
      </c>
      <c r="AK5948">
        <v>13.604307454727101</v>
      </c>
      <c r="AL5948">
        <v>91.028563736924895</v>
      </c>
      <c r="AM5948">
        <v>88.897507893519901</v>
      </c>
      <c r="AN5948">
        <v>1.0000000236661399</v>
      </c>
    </row>
    <row r="5949" spans="1:40" x14ac:dyDescent="0.25">
      <c r="A5949" t="str">
        <f>"20190312161139037"</f>
        <v>20190312161139037</v>
      </c>
      <c r="B5949" t="str">
        <f>"1552378299032890"</f>
        <v>1552378299032890</v>
      </c>
      <c r="C5949" t="s">
        <v>40</v>
      </c>
      <c r="D5949">
        <v>5.8567090000000004</v>
      </c>
      <c r="E5949">
        <v>0.46212130000000001</v>
      </c>
      <c r="F5949" t="s">
        <v>41</v>
      </c>
      <c r="G5949">
        <v>-260.10899999999998</v>
      </c>
      <c r="H5949" s="1">
        <v>2.4581699999999998E-7</v>
      </c>
      <c r="I5949">
        <v>-63.022579999999998</v>
      </c>
      <c r="J5949">
        <v>-274.08730000000003</v>
      </c>
      <c r="K5949">
        <v>1.1103130000000001</v>
      </c>
      <c r="L5949">
        <v>-63.131959999999999</v>
      </c>
      <c r="M5949">
        <v>0.99691779999999997</v>
      </c>
      <c r="N5949">
        <v>0</v>
      </c>
      <c r="O5949">
        <v>-7.7413720000000005E-2</v>
      </c>
      <c r="P5949">
        <v>0.99483140000000003</v>
      </c>
      <c r="Q5949">
        <v>-3.0113569999999999E-2</v>
      </c>
      <c r="R5949">
        <v>-9.6973100000000007E-2</v>
      </c>
      <c r="S5949">
        <v>3.010437</v>
      </c>
      <c r="T5949">
        <v>-0.2354405</v>
      </c>
      <c r="U5949">
        <v>1.977539E-2</v>
      </c>
      <c r="V5949">
        <v>1.9667960000000002E-2</v>
      </c>
      <c r="W5949">
        <v>-1.7378009999999999E-2</v>
      </c>
      <c r="X5949">
        <v>0.99965550000000003</v>
      </c>
      <c r="Y5949">
        <v>-8.3476419999999996E-2</v>
      </c>
      <c r="Z5949">
        <v>9.3006619999999995E-3</v>
      </c>
      <c r="AA5949">
        <v>0.99646630000000003</v>
      </c>
      <c r="AB5949">
        <v>17</v>
      </c>
      <c r="AC5949">
        <v>13.9782999999999</v>
      </c>
      <c r="AD5949">
        <v>-1.11031275418299</v>
      </c>
      <c r="AE5949">
        <v>0.109379999999994</v>
      </c>
      <c r="AF5949">
        <v>-1.1837831769927301</v>
      </c>
      <c r="AG5949">
        <v>-1.11031275418299</v>
      </c>
      <c r="AH5949">
        <v>13.8405578473087</v>
      </c>
      <c r="AI5949">
        <v>94.569927524224795</v>
      </c>
      <c r="AJ5949">
        <v>94.888611591145406</v>
      </c>
      <c r="AK5949">
        <v>13.9353930173114</v>
      </c>
      <c r="AL5949">
        <v>90.995736780182895</v>
      </c>
      <c r="AM5949">
        <v>88.872865973688207</v>
      </c>
      <c r="AN5949">
        <v>0.99999997128118501</v>
      </c>
    </row>
    <row r="5950" spans="1:40" x14ac:dyDescent="0.25">
      <c r="A5950" t="str">
        <f>"20190312161139049"</f>
        <v>20190312161139049</v>
      </c>
      <c r="B5950" t="str">
        <f>"1552378299043630"</f>
        <v>1552378299043630</v>
      </c>
      <c r="C5950" t="s">
        <v>40</v>
      </c>
      <c r="D5950">
        <v>5.8595220000000001</v>
      </c>
      <c r="E5950">
        <v>0.46245310000000001</v>
      </c>
      <c r="F5950" t="s">
        <v>41</v>
      </c>
      <c r="G5950">
        <v>-260.00380000000001</v>
      </c>
      <c r="H5950" s="1">
        <v>2.819278E-7</v>
      </c>
      <c r="I5950">
        <v>-63.0565</v>
      </c>
      <c r="J5950">
        <v>-273.99970000000002</v>
      </c>
      <c r="K5950">
        <v>1.110311</v>
      </c>
      <c r="L5950">
        <v>-63.138370000000002</v>
      </c>
      <c r="M5950">
        <v>0.99694229999999995</v>
      </c>
      <c r="N5950">
        <v>0</v>
      </c>
      <c r="O5950">
        <v>-7.7090179999999994E-2</v>
      </c>
      <c r="P5950">
        <v>0.99482360000000003</v>
      </c>
      <c r="Q5950">
        <v>-3.0179379999999999E-2</v>
      </c>
      <c r="R5950">
        <v>-9.7031820000000005E-2</v>
      </c>
      <c r="S5950">
        <v>3.009979</v>
      </c>
      <c r="T5950">
        <v>-0.23729919999999999</v>
      </c>
      <c r="U5950">
        <v>1.6113280000000001E-2</v>
      </c>
      <c r="V5950">
        <v>2.0051240000000001E-2</v>
      </c>
      <c r="W5950">
        <v>-1.7403700000000001E-2</v>
      </c>
      <c r="X5950">
        <v>0.99964739999999996</v>
      </c>
      <c r="Y5950">
        <v>-8.1939509999999993E-2</v>
      </c>
      <c r="Z5950">
        <v>9.2893460000000004E-3</v>
      </c>
      <c r="AA5950">
        <v>0.99659399999999998</v>
      </c>
      <c r="AB5950">
        <v>17</v>
      </c>
      <c r="AC5950">
        <v>13.995900000000001</v>
      </c>
      <c r="AD5950">
        <v>-1.1103107180722001</v>
      </c>
      <c r="AE5950">
        <v>8.1869999999995002E-2</v>
      </c>
      <c r="AF5950">
        <v>-1.15340219625288</v>
      </c>
      <c r="AG5950">
        <v>-1.1103107180722001</v>
      </c>
      <c r="AH5950">
        <v>13.860702866800899</v>
      </c>
      <c r="AI5950">
        <v>94.564187179355798</v>
      </c>
      <c r="AJ5950">
        <v>94.7568419072186</v>
      </c>
      <c r="AK5950">
        <v>13.952856713903801</v>
      </c>
      <c r="AL5950">
        <v>90.997208969952098</v>
      </c>
      <c r="AM5950">
        <v>88.850897437974695</v>
      </c>
      <c r="AN5950">
        <v>0.99999993266299103</v>
      </c>
    </row>
    <row r="5951" spans="1:40" x14ac:dyDescent="0.25">
      <c r="A5951" t="str">
        <f>"20190312161139060"</f>
        <v>20190312161139060</v>
      </c>
      <c r="B5951" t="str">
        <f>"1552378299053386"</f>
        <v>1552378299053386</v>
      </c>
      <c r="C5951" t="s">
        <v>40</v>
      </c>
      <c r="D5951">
        <v>5.8620599999999996</v>
      </c>
      <c r="E5951">
        <v>0.46270699999999998</v>
      </c>
      <c r="F5951" t="s">
        <v>41</v>
      </c>
      <c r="G5951">
        <v>-260.01679999999999</v>
      </c>
      <c r="H5951" s="1">
        <v>2.7116320000000002E-7</v>
      </c>
      <c r="I5951">
        <v>-63.075920000000004</v>
      </c>
      <c r="J5951">
        <v>-273.91199999999998</v>
      </c>
      <c r="K5951">
        <v>1.110304</v>
      </c>
      <c r="L5951">
        <v>-63.144739999999999</v>
      </c>
      <c r="M5951">
        <v>0.9969654</v>
      </c>
      <c r="N5951">
        <v>0</v>
      </c>
      <c r="O5951">
        <v>-7.6784149999999995E-2</v>
      </c>
      <c r="P5951">
        <v>0.99482230000000005</v>
      </c>
      <c r="Q5951">
        <v>-3.047938E-2</v>
      </c>
      <c r="R5951">
        <v>-9.6955399999999997E-2</v>
      </c>
      <c r="S5951">
        <v>3.0097049999999999</v>
      </c>
      <c r="T5951">
        <v>-0.23898639999999999</v>
      </c>
      <c r="U5951">
        <v>1.3427730000000001E-2</v>
      </c>
      <c r="V5951">
        <v>2.0281239999999999E-2</v>
      </c>
      <c r="W5951">
        <v>-1.766651E-2</v>
      </c>
      <c r="X5951">
        <v>0.99963820000000003</v>
      </c>
      <c r="Y5951">
        <v>-8.0742430000000004E-2</v>
      </c>
      <c r="Z5951">
        <v>9.2843419999999992E-3</v>
      </c>
      <c r="AA5951">
        <v>0.99669180000000002</v>
      </c>
      <c r="AB5951">
        <v>17</v>
      </c>
      <c r="AC5951">
        <v>13.895200000000001</v>
      </c>
      <c r="AD5951">
        <v>-1.1103037288368001</v>
      </c>
      <c r="AE5951">
        <v>6.8820000000009401E-2</v>
      </c>
      <c r="AF5951">
        <v>-1.12843077206158</v>
      </c>
      <c r="AG5951">
        <v>-1.1103037288368001</v>
      </c>
      <c r="AH5951">
        <v>13.761025684844601</v>
      </c>
      <c r="AI5951">
        <v>94.597532755715804</v>
      </c>
      <c r="AJ5951">
        <v>94.687876132934207</v>
      </c>
      <c r="AK5951">
        <v>13.8517853822731</v>
      </c>
      <c r="AL5951">
        <v>91.012269139818997</v>
      </c>
      <c r="AM5951">
        <v>88.837709429317101</v>
      </c>
      <c r="AN5951">
        <v>0.99999998258537803</v>
      </c>
    </row>
    <row r="5952" spans="1:40" x14ac:dyDescent="0.25">
      <c r="A5952" t="str">
        <f>"20190312161139071"</f>
        <v>20190312161139071</v>
      </c>
      <c r="B5952" t="str">
        <f>"1552378299063146"</f>
        <v>1552378299063146</v>
      </c>
      <c r="C5952" t="s">
        <v>40</v>
      </c>
      <c r="D5952">
        <v>5.8313620000000004</v>
      </c>
      <c r="E5952">
        <v>0.46283829999999998</v>
      </c>
      <c r="F5952" t="s">
        <v>41</v>
      </c>
      <c r="G5952">
        <v>-260.03379999999999</v>
      </c>
      <c r="H5952" s="1">
        <v>2.600379E-7</v>
      </c>
      <c r="I5952">
        <v>-63.090350000000001</v>
      </c>
      <c r="J5952">
        <v>-273.82560000000001</v>
      </c>
      <c r="K5952">
        <v>1.110298</v>
      </c>
      <c r="L5952">
        <v>-63.151060000000001</v>
      </c>
      <c r="M5952">
        <v>0.99698690000000001</v>
      </c>
      <c r="N5952">
        <v>0</v>
      </c>
      <c r="O5952">
        <v>-7.6499070000000002E-2</v>
      </c>
      <c r="P5952">
        <v>0.99480460000000004</v>
      </c>
      <c r="Q5952">
        <v>-3.075073E-2</v>
      </c>
      <c r="R5952">
        <v>-9.7048540000000003E-2</v>
      </c>
      <c r="S5952">
        <v>3.0093990000000002</v>
      </c>
      <c r="T5952">
        <v>-0.24076159999999999</v>
      </c>
      <c r="U5952">
        <v>1.177979E-2</v>
      </c>
      <c r="V5952">
        <v>2.066115E-2</v>
      </c>
      <c r="W5952">
        <v>-1.790425E-2</v>
      </c>
      <c r="X5952">
        <v>0.99962620000000002</v>
      </c>
      <c r="Y5952">
        <v>-7.9908209999999993E-2</v>
      </c>
      <c r="Z5952">
        <v>9.2979770000000007E-3</v>
      </c>
      <c r="AA5952">
        <v>0.9967589</v>
      </c>
      <c r="AB5952">
        <v>17</v>
      </c>
      <c r="AC5952">
        <v>13.7918</v>
      </c>
      <c r="AD5952">
        <v>-1.1102977399620999</v>
      </c>
      <c r="AE5952">
        <v>6.0710000000000201E-2</v>
      </c>
      <c r="AF5952">
        <v>-1.10849506873625</v>
      </c>
      <c r="AG5952">
        <v>-1.1102977399620999</v>
      </c>
      <c r="AH5952">
        <v>13.658217741480399</v>
      </c>
      <c r="AI5952">
        <v>94.632279178372798</v>
      </c>
      <c r="AJ5952">
        <v>94.639931068853699</v>
      </c>
      <c r="AK5952">
        <v>13.7480338326055</v>
      </c>
      <c r="AL5952">
        <v>91.025892783416097</v>
      </c>
      <c r="AM5952">
        <v>88.8159292298742</v>
      </c>
      <c r="AN5952">
        <v>0.99999999250691196</v>
      </c>
    </row>
    <row r="5953" spans="1:40" x14ac:dyDescent="0.25">
      <c r="A5953" t="str">
        <f>"20190312161139081"</f>
        <v>20190312161139081</v>
      </c>
      <c r="B5953" t="str">
        <f>"1552378299072906"</f>
        <v>1552378299072906</v>
      </c>
      <c r="C5953" t="s">
        <v>40</v>
      </c>
      <c r="D5953">
        <v>5.8805550000000002</v>
      </c>
      <c r="E5953">
        <v>0.46291369999999998</v>
      </c>
      <c r="F5953" t="s">
        <v>109</v>
      </c>
      <c r="G5953">
        <v>-259.93970000000002</v>
      </c>
      <c r="H5953" s="1">
        <v>-3.7690869999999999E-6</v>
      </c>
      <c r="I5953">
        <v>-63.102899999999998</v>
      </c>
      <c r="J5953">
        <v>-273.7407</v>
      </c>
      <c r="K5953">
        <v>1.110295</v>
      </c>
      <c r="L5953">
        <v>-63.157290000000003</v>
      </c>
      <c r="M5953">
        <v>0.99700739999999999</v>
      </c>
      <c r="N5953">
        <v>0</v>
      </c>
      <c r="O5953">
        <v>-7.6226849999999999E-2</v>
      </c>
      <c r="P5953">
        <v>0.99481799999999998</v>
      </c>
      <c r="Q5953">
        <v>-3.0675629999999999E-2</v>
      </c>
      <c r="R5953">
        <v>-9.6932519999999994E-2</v>
      </c>
      <c r="S5953">
        <v>3.0092469999999998</v>
      </c>
      <c r="T5953">
        <v>-0.24061560000000001</v>
      </c>
      <c r="U5953">
        <v>1.043701E-2</v>
      </c>
      <c r="V5953">
        <v>2.0817209999999999E-2</v>
      </c>
      <c r="W5953">
        <v>-1.7797520000000001E-2</v>
      </c>
      <c r="X5953">
        <v>0.99962479999999998</v>
      </c>
      <c r="Y5953">
        <v>-7.9195169999999995E-2</v>
      </c>
      <c r="Z5953">
        <v>9.2426590000000003E-3</v>
      </c>
      <c r="AA5953">
        <v>0.99681629999999999</v>
      </c>
      <c r="AB5953">
        <v>17</v>
      </c>
      <c r="AC5953">
        <v>13.800999999999901</v>
      </c>
      <c r="AD5953">
        <v>-1.1102987690870001</v>
      </c>
      <c r="AE5953">
        <v>5.4390000000004997E-2</v>
      </c>
      <c r="AF5953">
        <v>-1.0992113441537299</v>
      </c>
      <c r="AG5953">
        <v>-1.1102987690870001</v>
      </c>
      <c r="AH5953">
        <v>13.6682295176966</v>
      </c>
      <c r="AI5953">
        <v>94.629178388220893</v>
      </c>
      <c r="AJ5953">
        <v>94.597882994667103</v>
      </c>
      <c r="AK5953">
        <v>13.7572354448191</v>
      </c>
      <c r="AL5953">
        <v>91.019776699772905</v>
      </c>
      <c r="AM5953">
        <v>88.806986485122906</v>
      </c>
      <c r="AN5953">
        <v>0.99999992436268403</v>
      </c>
    </row>
    <row r="5954" spans="1:40" x14ac:dyDescent="0.25">
      <c r="A5954" t="str">
        <f>"20190312161139093"</f>
        <v>20190312161139093</v>
      </c>
      <c r="B5954" t="str">
        <f>"1552378299083642"</f>
        <v>1552378299083642</v>
      </c>
      <c r="C5954" t="s">
        <v>40</v>
      </c>
      <c r="D5954">
        <v>5.8217720000000002</v>
      </c>
      <c r="E5954">
        <v>0.46304529999999999</v>
      </c>
      <c r="F5954" t="s">
        <v>109</v>
      </c>
      <c r="G5954">
        <v>-259.8922</v>
      </c>
      <c r="H5954" s="1">
        <v>-3.753949E-6</v>
      </c>
      <c r="I5954">
        <v>-63.110520000000001</v>
      </c>
      <c r="J5954">
        <v>-273.65679999999998</v>
      </c>
      <c r="K5954">
        <v>1.1102909999999999</v>
      </c>
      <c r="L5954">
        <v>-63.163359999999997</v>
      </c>
      <c r="M5954">
        <v>0.99702619999999997</v>
      </c>
      <c r="N5954">
        <v>0</v>
      </c>
      <c r="O5954">
        <v>-7.5975570000000006E-2</v>
      </c>
      <c r="P5954">
        <v>0.99486600000000003</v>
      </c>
      <c r="Q5954">
        <v>-3.0628300000000001E-2</v>
      </c>
      <c r="R5954">
        <v>-9.6454899999999996E-2</v>
      </c>
      <c r="S5954">
        <v>3.0091860000000001</v>
      </c>
      <c r="T5954">
        <v>-0.24126120000000001</v>
      </c>
      <c r="U5954">
        <v>1.0162350000000001E-2</v>
      </c>
      <c r="V5954">
        <v>2.0588849999999999E-2</v>
      </c>
      <c r="W5954">
        <v>-1.772234E-2</v>
      </c>
      <c r="X5954">
        <v>0.99963089999999999</v>
      </c>
      <c r="Y5954">
        <v>-7.88523E-2</v>
      </c>
      <c r="Z5954">
        <v>9.233771E-3</v>
      </c>
      <c r="AA5954">
        <v>0.99684349999999999</v>
      </c>
      <c r="AB5954">
        <v>17</v>
      </c>
      <c r="AC5954">
        <v>13.7645999999999</v>
      </c>
      <c r="AD5954">
        <v>-1.110294753949</v>
      </c>
      <c r="AE5954">
        <v>5.2840000000003301E-2</v>
      </c>
      <c r="AF5954">
        <v>-1.09144621420812</v>
      </c>
      <c r="AG5954">
        <v>-1.110294753949</v>
      </c>
      <c r="AH5954">
        <v>13.632098039043401</v>
      </c>
      <c r="AI5954">
        <v>94.641508981098795</v>
      </c>
      <c r="AJ5954">
        <v>94.577589562125397</v>
      </c>
      <c r="AK5954">
        <v>13.7207181381022</v>
      </c>
      <c r="AL5954">
        <v>91.015468487920202</v>
      </c>
      <c r="AM5954">
        <v>88.820077046513205</v>
      </c>
      <c r="AN5954">
        <v>0.99999995915710305</v>
      </c>
    </row>
    <row r="5955" spans="1:40" x14ac:dyDescent="0.25">
      <c r="A5955" t="str">
        <f>"20190312161139115"</f>
        <v>20190312161139115</v>
      </c>
      <c r="B5955" t="str">
        <f>"1552378299103162"</f>
        <v>1552378299103162</v>
      </c>
      <c r="C5955" t="s">
        <v>40</v>
      </c>
      <c r="D5955">
        <v>5.8774069999999998</v>
      </c>
      <c r="E5955">
        <v>0.46342549999999999</v>
      </c>
      <c r="F5955" t="s">
        <v>109</v>
      </c>
      <c r="G5955">
        <v>-259.82729999999998</v>
      </c>
      <c r="H5955" s="1">
        <v>-3.732536E-6</v>
      </c>
      <c r="I5955">
        <v>-63.11553</v>
      </c>
      <c r="J5955">
        <v>-273.4905</v>
      </c>
      <c r="K5955">
        <v>1.110285</v>
      </c>
      <c r="L5955">
        <v>-63.175449999999998</v>
      </c>
      <c r="M5955">
        <v>0.9970618</v>
      </c>
      <c r="N5955">
        <v>0</v>
      </c>
      <c r="O5955">
        <v>-7.5498480000000007E-2</v>
      </c>
      <c r="P5955">
        <v>0.99493350000000003</v>
      </c>
      <c r="Q5955">
        <v>-3.0431420000000001E-2</v>
      </c>
      <c r="R5955">
        <v>-9.5820020000000006E-2</v>
      </c>
      <c r="S5955">
        <v>3.009064</v>
      </c>
      <c r="T5955">
        <v>-0.24158109999999999</v>
      </c>
      <c r="U5955">
        <v>1.0406489999999999E-2</v>
      </c>
      <c r="V5955">
        <v>2.042824E-2</v>
      </c>
      <c r="W5955">
        <v>-1.7474420000000001E-2</v>
      </c>
      <c r="X5955">
        <v>0.99963860000000004</v>
      </c>
      <c r="Y5955">
        <v>-7.8457780000000005E-2</v>
      </c>
      <c r="Z5955">
        <v>9.1923749999999992E-3</v>
      </c>
      <c r="AA5955">
        <v>0.99687499999999996</v>
      </c>
      <c r="AB5955">
        <v>17</v>
      </c>
      <c r="AC5955">
        <v>13.6632</v>
      </c>
      <c r="AD5955">
        <v>-1.110288732536</v>
      </c>
      <c r="AE5955">
        <v>5.9919999999991001E-2</v>
      </c>
      <c r="AF5955">
        <v>-1.0842268806087401</v>
      </c>
      <c r="AG5955">
        <v>-1.110288732536</v>
      </c>
      <c r="AH5955">
        <v>13.5303289567621</v>
      </c>
      <c r="AI5955">
        <v>94.6762153996725</v>
      </c>
      <c r="AJ5955">
        <v>94.5814973936169</v>
      </c>
      <c r="AK5955">
        <v>13.6190341315538</v>
      </c>
      <c r="AL5955">
        <v>91.001261477130896</v>
      </c>
      <c r="AM5955">
        <v>88.829287861617601</v>
      </c>
      <c r="AN5955">
        <v>0.99999999947689699</v>
      </c>
    </row>
    <row r="5956" spans="1:40" x14ac:dyDescent="0.25">
      <c r="A5956" t="str">
        <f>"20190312161139126"</f>
        <v>20190312161139126</v>
      </c>
      <c r="B5956" t="str">
        <f>"1552378299123658"</f>
        <v>1552378299123658</v>
      </c>
      <c r="C5956" t="s">
        <v>40</v>
      </c>
      <c r="D5956">
        <v>5.8681169999999998</v>
      </c>
      <c r="E5956">
        <v>0.46344980000000002</v>
      </c>
      <c r="F5956" t="s">
        <v>109</v>
      </c>
      <c r="G5956">
        <v>-259.87040000000002</v>
      </c>
      <c r="H5956" s="1">
        <v>-3.7495869999999999E-6</v>
      </c>
      <c r="I5956">
        <v>-63.133450000000003</v>
      </c>
      <c r="J5956">
        <v>-273.40570000000002</v>
      </c>
      <c r="K5956">
        <v>1.1102829999999999</v>
      </c>
      <c r="L5956">
        <v>-63.181609999999999</v>
      </c>
      <c r="M5956">
        <v>0.99707900000000005</v>
      </c>
      <c r="N5956">
        <v>0</v>
      </c>
      <c r="O5956">
        <v>-7.5265499999999999E-2</v>
      </c>
      <c r="P5956">
        <v>0.99494499999999997</v>
      </c>
      <c r="Q5956">
        <v>-3.0855319999999999E-2</v>
      </c>
      <c r="R5956">
        <v>-9.556278E-2</v>
      </c>
      <c r="S5956">
        <v>3.008667</v>
      </c>
      <c r="T5956">
        <v>-0.2452618</v>
      </c>
      <c r="U5956">
        <v>9.2773439999999999E-3</v>
      </c>
      <c r="V5956">
        <v>2.0404249999999999E-2</v>
      </c>
      <c r="W5956">
        <v>-1.7874609999999999E-2</v>
      </c>
      <c r="X5956">
        <v>0.99963199999999997</v>
      </c>
      <c r="Y5956">
        <v>-7.783872E-2</v>
      </c>
      <c r="Z5956">
        <v>9.2890720000000006E-3</v>
      </c>
      <c r="AA5956">
        <v>0.99692270000000005</v>
      </c>
      <c r="AB5956">
        <v>17</v>
      </c>
      <c r="AC5956">
        <v>13.535299999999999</v>
      </c>
      <c r="AD5956">
        <v>-1.1102867495869999</v>
      </c>
      <c r="AE5956">
        <v>4.8159999999995699E-2</v>
      </c>
      <c r="AF5956">
        <v>-1.0597198690335099</v>
      </c>
      <c r="AG5956">
        <v>-1.1102867495869999</v>
      </c>
      <c r="AH5956">
        <v>13.4030910084363</v>
      </c>
      <c r="AI5956">
        <v>94.720796374275295</v>
      </c>
      <c r="AJ5956">
        <v>94.520705467971396</v>
      </c>
      <c r="AK5956">
        <v>13.490685358704299</v>
      </c>
      <c r="AL5956">
        <v>91.024194272107493</v>
      </c>
      <c r="AM5956">
        <v>88.830654592658504</v>
      </c>
      <c r="AN5956">
        <v>0.99999998526235701</v>
      </c>
    </row>
    <row r="5957" spans="1:40" x14ac:dyDescent="0.25">
      <c r="A5957" t="str">
        <f>"20190312161139138"</f>
        <v>20190312161139138</v>
      </c>
      <c r="B5957" t="str">
        <f>"1552378299133418"</f>
        <v>1552378299133418</v>
      </c>
      <c r="C5957" t="s">
        <v>40</v>
      </c>
      <c r="D5957">
        <v>5.8732600000000001</v>
      </c>
      <c r="E5957">
        <v>0.46357009999999998</v>
      </c>
      <c r="F5957" t="s">
        <v>109</v>
      </c>
      <c r="G5957">
        <v>-259.8064</v>
      </c>
      <c r="H5957" s="1">
        <v>-3.7282979999999999E-6</v>
      </c>
      <c r="I5957">
        <v>-63.137050000000002</v>
      </c>
      <c r="J5957">
        <v>-273.31310000000002</v>
      </c>
      <c r="K5957">
        <v>1.110287</v>
      </c>
      <c r="L5957">
        <v>-63.188290000000002</v>
      </c>
      <c r="M5957">
        <v>0.99709709999999996</v>
      </c>
      <c r="N5957">
        <v>0</v>
      </c>
      <c r="O5957">
        <v>-7.5021409999999997E-2</v>
      </c>
      <c r="P5957">
        <v>0.99491890000000005</v>
      </c>
      <c r="Q5957">
        <v>-3.1279580000000001E-2</v>
      </c>
      <c r="R5957">
        <v>-9.5697309999999994E-2</v>
      </c>
      <c r="S5957">
        <v>3.008575</v>
      </c>
      <c r="T5957">
        <v>-0.2456286</v>
      </c>
      <c r="U5957">
        <v>9.8571779999999994E-3</v>
      </c>
      <c r="V5957">
        <v>2.0785109999999999E-2</v>
      </c>
      <c r="W5957">
        <v>-1.8275329999999999E-2</v>
      </c>
      <c r="X5957">
        <v>0.99961690000000003</v>
      </c>
      <c r="Y5957">
        <v>-7.7786339999999995E-2</v>
      </c>
      <c r="Z5957">
        <v>9.2812190000000003E-3</v>
      </c>
      <c r="AA5957">
        <v>0.9969268</v>
      </c>
      <c r="AB5957">
        <v>17</v>
      </c>
      <c r="AC5957">
        <v>13.5067</v>
      </c>
      <c r="AD5957">
        <v>-1.1102907282979999</v>
      </c>
      <c r="AE5957">
        <v>5.1239999999999897E-2</v>
      </c>
      <c r="AF5957">
        <v>-1.05732836105075</v>
      </c>
      <c r="AG5957">
        <v>-1.1102907282979999</v>
      </c>
      <c r="AH5957">
        <v>13.374412238735299</v>
      </c>
      <c r="AI5957">
        <v>94.730893593196399</v>
      </c>
      <c r="AJ5957">
        <v>94.520177504779198</v>
      </c>
      <c r="AK5957">
        <v>13.462005478236099</v>
      </c>
      <c r="AL5957">
        <v>91.047157596781005</v>
      </c>
      <c r="AM5957">
        <v>88.808816162448394</v>
      </c>
      <c r="AN5957">
        <v>0.99999997762496495</v>
      </c>
    </row>
    <row r="5958" spans="1:40" x14ac:dyDescent="0.25">
      <c r="A5958" t="str">
        <f>"20190312161139150"</f>
        <v>20190312161139150</v>
      </c>
      <c r="B5958" t="str">
        <f>"1552378299143177"</f>
        <v>1552378299143177</v>
      </c>
      <c r="C5958" t="s">
        <v>40</v>
      </c>
      <c r="D5958">
        <v>5.8837120000000001</v>
      </c>
      <c r="E5958">
        <v>0.46372849999999999</v>
      </c>
      <c r="F5958" t="s">
        <v>109</v>
      </c>
      <c r="G5958">
        <v>-259.81380000000001</v>
      </c>
      <c r="H5958" s="1">
        <v>-3.7324870000000001E-6</v>
      </c>
      <c r="I5958">
        <v>-63.149540000000002</v>
      </c>
      <c r="J5958">
        <v>-273.22750000000002</v>
      </c>
      <c r="K5958">
        <v>1.1102879999999999</v>
      </c>
      <c r="L5958">
        <v>-63.194459999999999</v>
      </c>
      <c r="M5958">
        <v>0.99711349999999999</v>
      </c>
      <c r="N5958">
        <v>0</v>
      </c>
      <c r="O5958">
        <v>-7.479943E-2</v>
      </c>
      <c r="P5958">
        <v>0.99487170000000003</v>
      </c>
      <c r="Q5958">
        <v>-3.1893949999999997E-2</v>
      </c>
      <c r="R5958">
        <v>-9.5985109999999998E-2</v>
      </c>
      <c r="S5958">
        <v>3.008362</v>
      </c>
      <c r="T5958">
        <v>-0.2474325</v>
      </c>
      <c r="U5958">
        <v>8.6364749999999994E-3</v>
      </c>
      <c r="V5958">
        <v>2.1298190000000002E-2</v>
      </c>
      <c r="W5958">
        <v>-1.8869299999999999E-2</v>
      </c>
      <c r="X5958">
        <v>0.99959509999999996</v>
      </c>
      <c r="Y5958">
        <v>-7.715545E-2</v>
      </c>
      <c r="Z5958">
        <v>9.3057060000000004E-3</v>
      </c>
      <c r="AA5958">
        <v>0.99697570000000002</v>
      </c>
      <c r="AB5958">
        <v>17</v>
      </c>
      <c r="AC5958">
        <v>13.4137</v>
      </c>
      <c r="AD5958">
        <v>-1.1102917324870001</v>
      </c>
      <c r="AE5958">
        <v>4.4919999999997601E-2</v>
      </c>
      <c r="AF5958">
        <v>-1.04108364169532</v>
      </c>
      <c r="AG5958">
        <v>-1.1102917324870001</v>
      </c>
      <c r="AH5958">
        <v>13.281759036940199</v>
      </c>
      <c r="AI5958">
        <v>94.763998263675205</v>
      </c>
      <c r="AJ5958">
        <v>94.481935106946693</v>
      </c>
      <c r="AK5958">
        <v>13.368684527491</v>
      </c>
      <c r="AL5958">
        <v>91.081195404092</v>
      </c>
      <c r="AM5958">
        <v>88.779393991647396</v>
      </c>
      <c r="AN5958">
        <v>1.0000000136618801</v>
      </c>
    </row>
    <row r="5959" spans="1:40" x14ac:dyDescent="0.25">
      <c r="A5959" t="str">
        <f>"20190312161139159"</f>
        <v>20190312161139159</v>
      </c>
      <c r="B5959" t="str">
        <f>"1552378299152938"</f>
        <v>1552378299152938</v>
      </c>
      <c r="C5959" t="s">
        <v>40</v>
      </c>
      <c r="D5959">
        <v>5.9173619999999998</v>
      </c>
      <c r="E5959">
        <v>0.46385280000000001</v>
      </c>
      <c r="F5959" t="s">
        <v>109</v>
      </c>
      <c r="G5959">
        <v>-259.84859999999998</v>
      </c>
      <c r="H5959" s="1">
        <v>-3.7464010000000001E-6</v>
      </c>
      <c r="I5959">
        <v>-63.165140000000001</v>
      </c>
      <c r="J5959">
        <v>-273.14609999999999</v>
      </c>
      <c r="K5959">
        <v>1.1102920000000001</v>
      </c>
      <c r="L5959">
        <v>-63.20035</v>
      </c>
      <c r="M5959">
        <v>0.99712880000000004</v>
      </c>
      <c r="N5959">
        <v>0</v>
      </c>
      <c r="O5959">
        <v>-7.459209E-2</v>
      </c>
      <c r="P5959">
        <v>0.99481799999999998</v>
      </c>
      <c r="Q5959">
        <v>-3.2020739999999999E-2</v>
      </c>
      <c r="R5959">
        <v>-9.6498260000000002E-2</v>
      </c>
      <c r="S5959">
        <v>3.008057</v>
      </c>
      <c r="T5959">
        <v>-0.2496333</v>
      </c>
      <c r="U5959">
        <v>6.5917969999999999E-3</v>
      </c>
      <c r="V5959">
        <v>2.2021929999999999E-2</v>
      </c>
      <c r="W5959">
        <v>-1.89777E-2</v>
      </c>
      <c r="X5959">
        <v>0.9995773</v>
      </c>
      <c r="Y5959">
        <v>-7.6265250000000007E-2</v>
      </c>
      <c r="Z5959">
        <v>9.3350959999999993E-3</v>
      </c>
      <c r="AA5959">
        <v>0.99704380000000004</v>
      </c>
      <c r="AB5959">
        <v>17</v>
      </c>
      <c r="AC5959">
        <v>13.297499999999999</v>
      </c>
      <c r="AD5959">
        <v>-1.1102957464009999</v>
      </c>
      <c r="AE5959">
        <v>3.5209999999999297E-2</v>
      </c>
      <c r="AF5959">
        <v>-1.0199737391057799</v>
      </c>
      <c r="AG5959">
        <v>-1.1102957464009999</v>
      </c>
      <c r="AH5959">
        <v>13.166033254194501</v>
      </c>
      <c r="AI5959">
        <v>94.806033296450906</v>
      </c>
      <c r="AJ5959">
        <v>94.429861045447694</v>
      </c>
      <c r="AK5959">
        <v>13.252076619288699</v>
      </c>
      <c r="AL5959">
        <v>91.087407449631201</v>
      </c>
      <c r="AM5959">
        <v>88.737906951221504</v>
      </c>
      <c r="AN5959">
        <v>0.99999994858675101</v>
      </c>
    </row>
    <row r="5960" spans="1:40" x14ac:dyDescent="0.25">
      <c r="A5960" t="str">
        <f>"20190312161139172"</f>
        <v>20190312161139172</v>
      </c>
      <c r="B5960" t="str">
        <f>"1552378299163674"</f>
        <v>1552378299163674</v>
      </c>
      <c r="C5960" t="s">
        <v>40</v>
      </c>
      <c r="D5960">
        <v>5.9114360000000001</v>
      </c>
      <c r="E5960">
        <v>0.46400590000000003</v>
      </c>
      <c r="F5960" t="s">
        <v>109</v>
      </c>
      <c r="G5960">
        <v>-259.80939999999998</v>
      </c>
      <c r="H5960" s="1">
        <v>-3.735321E-6</v>
      </c>
      <c r="I5960">
        <v>-63.181950000000001</v>
      </c>
      <c r="J5960">
        <v>-273.05650000000003</v>
      </c>
      <c r="K5960">
        <v>1.1102970000000001</v>
      </c>
      <c r="L5960">
        <v>-63.206789999999998</v>
      </c>
      <c r="M5960">
        <v>0.99714550000000002</v>
      </c>
      <c r="N5960">
        <v>0</v>
      </c>
      <c r="O5960">
        <v>-7.4365630000000002E-2</v>
      </c>
      <c r="P5960">
        <v>0.99476160000000002</v>
      </c>
      <c r="Q5960">
        <v>-3.1905830000000003E-2</v>
      </c>
      <c r="R5960">
        <v>-9.7117200000000001E-2</v>
      </c>
      <c r="S5960">
        <v>3.007965</v>
      </c>
      <c r="T5960">
        <v>-0.25041649999999999</v>
      </c>
      <c r="U5960">
        <v>4.1503909999999998E-3</v>
      </c>
      <c r="V5960">
        <v>2.2870379999999999E-2</v>
      </c>
      <c r="W5960">
        <v>-1.884417E-2</v>
      </c>
      <c r="X5960">
        <v>0.99956080000000003</v>
      </c>
      <c r="Y5960">
        <v>-7.5230679999999994E-2</v>
      </c>
      <c r="Z5960">
        <v>9.3027549999999994E-3</v>
      </c>
      <c r="AA5960">
        <v>0.99712279999999998</v>
      </c>
      <c r="AB5960">
        <v>17</v>
      </c>
      <c r="AC5960">
        <v>13.2471</v>
      </c>
      <c r="AD5960">
        <v>-1.1103007353209999</v>
      </c>
      <c r="AE5960">
        <v>2.4840000000004601E-2</v>
      </c>
      <c r="AF5960">
        <v>-1.00293867849839</v>
      </c>
      <c r="AG5960">
        <v>-1.1103007353209999</v>
      </c>
      <c r="AH5960">
        <v>13.116424545630201</v>
      </c>
      <c r="AI5960">
        <v>94.824516038900001</v>
      </c>
      <c r="AJ5960">
        <v>94.372575067179994</v>
      </c>
      <c r="AK5960">
        <v>13.2014865290577</v>
      </c>
      <c r="AL5960">
        <v>91.079755346910105</v>
      </c>
      <c r="AM5960">
        <v>88.689276675442102</v>
      </c>
      <c r="AN5960">
        <v>0.99999997496048598</v>
      </c>
    </row>
    <row r="5961" spans="1:40" x14ac:dyDescent="0.25">
      <c r="A5961" t="str">
        <f>"20190312161139184"</f>
        <v>20190312161139184</v>
      </c>
      <c r="B5961" t="str">
        <f>"1552378299173434"</f>
        <v>1552378299173434</v>
      </c>
      <c r="C5961" t="s">
        <v>40</v>
      </c>
      <c r="D5961">
        <v>5.9151420000000003</v>
      </c>
      <c r="E5961">
        <v>0.46423510000000001</v>
      </c>
      <c r="F5961" t="s">
        <v>109</v>
      </c>
      <c r="G5961">
        <v>-259.77010000000001</v>
      </c>
      <c r="H5961" s="1">
        <v>-3.7245870000000002E-6</v>
      </c>
      <c r="I5961">
        <v>-63.201659999999997</v>
      </c>
      <c r="J5961">
        <v>-272.96620000000001</v>
      </c>
      <c r="K5961">
        <v>1.1103069999999999</v>
      </c>
      <c r="L5961">
        <v>-63.213259999999998</v>
      </c>
      <c r="M5961">
        <v>0.9971622</v>
      </c>
      <c r="N5961">
        <v>0</v>
      </c>
      <c r="O5961">
        <v>-7.4138430000000005E-2</v>
      </c>
      <c r="P5961">
        <v>0.9947163</v>
      </c>
      <c r="Q5961">
        <v>-3.2242890000000003E-2</v>
      </c>
      <c r="R5961">
        <v>-9.7466800000000006E-2</v>
      </c>
      <c r="S5961">
        <v>3.0078740000000002</v>
      </c>
      <c r="T5961">
        <v>-0.25135930000000001</v>
      </c>
      <c r="U5961">
        <v>1.159668E-3</v>
      </c>
      <c r="V5961">
        <v>2.3450530000000001E-2</v>
      </c>
      <c r="W5961">
        <v>-1.9163409999999999E-2</v>
      </c>
      <c r="X5961">
        <v>0.99954129999999997</v>
      </c>
      <c r="Y5961">
        <v>-7.4013170000000003E-2</v>
      </c>
      <c r="Z5961">
        <v>9.2681929999999992E-3</v>
      </c>
      <c r="AA5961">
        <v>0.99721420000000005</v>
      </c>
      <c r="AB5961">
        <v>17</v>
      </c>
      <c r="AC5961">
        <v>13.196099999999999</v>
      </c>
      <c r="AD5961">
        <v>-1.1103107245870001</v>
      </c>
      <c r="AE5961">
        <v>1.16000000000013E-2</v>
      </c>
      <c r="AF5961">
        <v>-0.983030600996602</v>
      </c>
      <c r="AG5961">
        <v>-1.1103107245870001</v>
      </c>
      <c r="AH5961">
        <v>13.066414891976301</v>
      </c>
      <c r="AI5961">
        <v>94.843384287671697</v>
      </c>
      <c r="AJ5961">
        <v>94.302450183822899</v>
      </c>
      <c r="AK5961">
        <v>13.150297988900901</v>
      </c>
      <c r="AL5961">
        <v>91.098049742607699</v>
      </c>
      <c r="AM5961">
        <v>88.656013558936493</v>
      </c>
      <c r="AN5961">
        <v>0.99999998702289905</v>
      </c>
    </row>
    <row r="5962" spans="1:40" x14ac:dyDescent="0.25">
      <c r="A5962" t="str">
        <f>"20190312161139195"</f>
        <v>20190312161139195</v>
      </c>
      <c r="B5962" t="str">
        <f>"1552378299192954"</f>
        <v>1552378299192954</v>
      </c>
      <c r="C5962" t="s">
        <v>40</v>
      </c>
      <c r="D5962">
        <v>5.4004529999999997</v>
      </c>
      <c r="E5962">
        <v>0.49128080000000002</v>
      </c>
      <c r="F5962" t="s">
        <v>109</v>
      </c>
      <c r="G5962">
        <v>-259.8</v>
      </c>
      <c r="H5962" s="1">
        <v>-3.7372809999999999E-6</v>
      </c>
      <c r="I5962">
        <v>-63.220599999999997</v>
      </c>
      <c r="J5962">
        <v>-272.87380000000002</v>
      </c>
      <c r="K5962">
        <v>1.1103149999999999</v>
      </c>
      <c r="L5962">
        <v>-63.219880000000003</v>
      </c>
      <c r="M5962">
        <v>0.99717929999999999</v>
      </c>
      <c r="N5962">
        <v>0</v>
      </c>
      <c r="O5962">
        <v>-7.3904979999999995E-2</v>
      </c>
      <c r="P5962">
        <v>0.9946796</v>
      </c>
      <c r="Q5962">
        <v>-3.2171680000000001E-2</v>
      </c>
      <c r="R5962">
        <v>-9.7865359999999998E-2</v>
      </c>
      <c r="S5962">
        <v>3.0075379999999998</v>
      </c>
      <c r="T5962">
        <v>-0.25362750000000001</v>
      </c>
      <c r="U5962">
        <v>-1.6784669999999999E-3</v>
      </c>
      <c r="V5962">
        <v>2.4084970000000001E-2</v>
      </c>
      <c r="W5962">
        <v>-1.907609E-2</v>
      </c>
      <c r="X5962">
        <v>0.99952790000000002</v>
      </c>
      <c r="Y5962">
        <v>-7.2834220000000005E-2</v>
      </c>
      <c r="Z5962">
        <v>9.2832820000000003E-3</v>
      </c>
      <c r="AA5962">
        <v>0.99730090000000005</v>
      </c>
      <c r="AB5962">
        <v>17</v>
      </c>
      <c r="AC5962">
        <v>13.0738</v>
      </c>
      <c r="AD5962">
        <v>-1.1103187372809999</v>
      </c>
      <c r="AE5962">
        <v>-7.1999999999405797E-4</v>
      </c>
      <c r="AF5962">
        <v>-0.95866926462652002</v>
      </c>
      <c r="AG5962">
        <v>-1.1103187372809999</v>
      </c>
      <c r="AH5962">
        <v>12.944728880917699</v>
      </c>
      <c r="AI5962">
        <v>94.889153915618394</v>
      </c>
      <c r="AJ5962">
        <v>94.235516410512204</v>
      </c>
      <c r="AK5962">
        <v>13.0275807523025</v>
      </c>
      <c r="AL5962">
        <v>91.093045742956804</v>
      </c>
      <c r="AM5962">
        <v>88.619648197431502</v>
      </c>
      <c r="AN5962">
        <v>1.0000000029339899</v>
      </c>
    </row>
    <row r="5963" spans="1:40" x14ac:dyDescent="0.25">
      <c r="A5963" t="str">
        <f>"20190312161139208"</f>
        <v>20190312161139208</v>
      </c>
      <c r="B5963" t="str">
        <f>"1552378299203690"</f>
        <v>1552378299203690</v>
      </c>
      <c r="C5963" t="s">
        <v>40</v>
      </c>
      <c r="D5963">
        <v>6.163589</v>
      </c>
      <c r="E5963">
        <v>0.49128080000000002</v>
      </c>
      <c r="F5963" t="s">
        <v>42</v>
      </c>
      <c r="G5963">
        <v>-272.10250000000002</v>
      </c>
      <c r="H5963">
        <v>1.0101579999999999</v>
      </c>
      <c r="I5963">
        <v>-63.274900000000002</v>
      </c>
      <c r="J5963">
        <v>-272.78370000000001</v>
      </c>
      <c r="K5963">
        <v>1.1103270000000001</v>
      </c>
      <c r="L5963">
        <v>-63.226289999999999</v>
      </c>
      <c r="M5963">
        <v>0.99719619999999998</v>
      </c>
      <c r="N5963">
        <v>0</v>
      </c>
      <c r="O5963">
        <v>-7.3675930000000001E-2</v>
      </c>
      <c r="P5963">
        <v>0.99466619999999994</v>
      </c>
      <c r="Q5963">
        <v>-3.2525099999999897E-2</v>
      </c>
      <c r="R5963">
        <v>-9.7886020000000004E-2</v>
      </c>
      <c r="S5963">
        <v>2.9826350000000001</v>
      </c>
      <c r="T5963">
        <v>-0.38736920000000002</v>
      </c>
      <c r="U5963">
        <v>-0.2120667</v>
      </c>
      <c r="V5963">
        <v>2.4336460000000001E-2</v>
      </c>
      <c r="W5963">
        <v>-1.9414500000000001E-2</v>
      </c>
      <c r="X5963">
        <v>0.9995153</v>
      </c>
      <c r="Y5963">
        <v>-2.1362099999999999E-3</v>
      </c>
      <c r="Z5963">
        <v>9.6428639999999993E-3</v>
      </c>
      <c r="AA5963">
        <v>0.99995120000000004</v>
      </c>
      <c r="AB5963">
        <v>17</v>
      </c>
      <c r="AC5963">
        <v>0.68119999999998904</v>
      </c>
      <c r="AD5963">
        <v>-0.10016899999999999</v>
      </c>
      <c r="AE5963">
        <v>-4.8609999999996399E-2</v>
      </c>
      <c r="AF5963">
        <v>-1.67837557002629E-3</v>
      </c>
      <c r="AG5963">
        <v>-0.10016899999999999</v>
      </c>
      <c r="AH5963">
        <v>0.66854722950041701</v>
      </c>
      <c r="AI5963">
        <v>98.521260625864599</v>
      </c>
      <c r="AJ5963">
        <v>90.143839702466806</v>
      </c>
      <c r="AK5963">
        <v>0.67601186644779998</v>
      </c>
      <c r="AL5963">
        <v>91.112438791049399</v>
      </c>
      <c r="AM5963">
        <v>88.605222953680496</v>
      </c>
      <c r="AN5963">
        <v>1.0000000105148299</v>
      </c>
    </row>
    <row r="5964" spans="1:40" x14ac:dyDescent="0.25">
      <c r="A5964" t="str">
        <f>"20190312161139220"</f>
        <v>20190312161139220</v>
      </c>
      <c r="B5964" t="str">
        <f>"1552378299213450"</f>
        <v>1552378299213450</v>
      </c>
      <c r="C5964" t="s">
        <v>40</v>
      </c>
      <c r="D5964">
        <v>5.7386520000000001</v>
      </c>
      <c r="E5964">
        <v>0.53473559999999998</v>
      </c>
      <c r="F5964" t="s">
        <v>42</v>
      </c>
      <c r="G5964">
        <v>-271.95460000000003</v>
      </c>
      <c r="H5964">
        <v>1.0023340000000001</v>
      </c>
      <c r="I5964">
        <v>-63.285380000000004</v>
      </c>
      <c r="J5964">
        <v>-272.68720000000002</v>
      </c>
      <c r="K5964">
        <v>1.110333</v>
      </c>
      <c r="L5964">
        <v>-63.2331199999999</v>
      </c>
      <c r="M5964">
        <v>0.99721420000000005</v>
      </c>
      <c r="N5964">
        <v>0</v>
      </c>
      <c r="O5964">
        <v>-7.3427900000000004E-2</v>
      </c>
      <c r="P5964">
        <v>0.99466929999999998</v>
      </c>
      <c r="Q5964">
        <v>-3.2747850000000002E-2</v>
      </c>
      <c r="R5964">
        <v>-9.7778169999999998E-2</v>
      </c>
      <c r="S5964">
        <v>2.982513</v>
      </c>
      <c r="T5964">
        <v>-0.38847710000000002</v>
      </c>
      <c r="U5964">
        <v>-0.21224979999999999</v>
      </c>
      <c r="V5964">
        <v>2.447796E-2</v>
      </c>
      <c r="W5964">
        <v>-1.9622400000000002E-2</v>
      </c>
      <c r="X5964">
        <v>0.99950779999999995</v>
      </c>
      <c r="Y5964">
        <v>-1.824574E-3</v>
      </c>
      <c r="Z5964">
        <v>9.6183689999999999E-3</v>
      </c>
      <c r="AA5964">
        <v>0.99995210000000001</v>
      </c>
      <c r="AB5964">
        <v>17</v>
      </c>
      <c r="AC5964">
        <v>0.73259999999999004</v>
      </c>
      <c r="AD5964">
        <v>-0.107998999999999</v>
      </c>
      <c r="AE5964">
        <v>-5.2260000000010999E-2</v>
      </c>
      <c r="AF5964">
        <v>-1.6434743584610499E-3</v>
      </c>
      <c r="AG5964">
        <v>-0.107998999999999</v>
      </c>
      <c r="AH5964">
        <v>0.71891512245693001</v>
      </c>
      <c r="AI5964">
        <v>98.543349180813095</v>
      </c>
      <c r="AJ5964">
        <v>90.130980664479694</v>
      </c>
      <c r="AK5964">
        <v>0.72698379507815003</v>
      </c>
      <c r="AL5964">
        <v>91.124352836114198</v>
      </c>
      <c r="AM5964">
        <v>88.597105980546502</v>
      </c>
      <c r="AN5964">
        <v>1.0000000256841799</v>
      </c>
    </row>
    <row r="5965" spans="1:40" x14ac:dyDescent="0.25">
      <c r="A5965" t="str">
        <f>"20190312161139231"</f>
        <v>20190312161139231</v>
      </c>
      <c r="B5965" t="str">
        <f>"1552378299223210"</f>
        <v>1552378299223210</v>
      </c>
      <c r="C5965" t="s">
        <v>40</v>
      </c>
      <c r="D5965">
        <v>6.0008269999999904</v>
      </c>
      <c r="E5965">
        <v>0.54264990000000002</v>
      </c>
      <c r="F5965" t="s">
        <v>42</v>
      </c>
      <c r="G5965">
        <v>-271.98480000000001</v>
      </c>
      <c r="H5965">
        <v>0.95496890000000001</v>
      </c>
      <c r="I5965">
        <v>-63.363689999999998</v>
      </c>
      <c r="J5965">
        <v>-272.61130000000003</v>
      </c>
      <c r="K5965">
        <v>1.110341</v>
      </c>
      <c r="L5965">
        <v>-63.238489999999999</v>
      </c>
      <c r="M5965">
        <v>0.99722869999999997</v>
      </c>
      <c r="N5965">
        <v>0</v>
      </c>
      <c r="O5965">
        <v>-7.3229600000000006E-2</v>
      </c>
      <c r="P5965">
        <v>0.99467519999999998</v>
      </c>
      <c r="Q5965">
        <v>-3.2810209999999999E-2</v>
      </c>
      <c r="R5965">
        <v>-9.7697880000000001E-2</v>
      </c>
      <c r="S5965">
        <v>2.9409179999999999</v>
      </c>
      <c r="T5965">
        <v>-0.65049279999999998</v>
      </c>
      <c r="U5965">
        <v>-0.54629519999999998</v>
      </c>
      <c r="V5965">
        <v>2.4596409999999999E-2</v>
      </c>
      <c r="W5965">
        <v>-1.9674049999999998E-2</v>
      </c>
      <c r="X5965">
        <v>0.9995039</v>
      </c>
      <c r="Y5965">
        <v>0.10929560000000001</v>
      </c>
      <c r="Z5965">
        <v>3.9919339999999999E-3</v>
      </c>
      <c r="AA5965">
        <v>0.99400129999999998</v>
      </c>
      <c r="AB5965">
        <v>17</v>
      </c>
      <c r="AC5965">
        <v>0.62650000000002104</v>
      </c>
      <c r="AD5965">
        <v>-0.15537210000000001</v>
      </c>
      <c r="AE5965">
        <v>-0.12519999999999901</v>
      </c>
      <c r="AF5965">
        <v>7.4571193224605203E-2</v>
      </c>
      <c r="AG5965">
        <v>-0.15537210000000001</v>
      </c>
      <c r="AH5965">
        <v>0.598585138968456</v>
      </c>
      <c r="AI5965">
        <v>104.443968470583</v>
      </c>
      <c r="AJ5965">
        <v>82.898730100612696</v>
      </c>
      <c r="AK5965">
        <v>0.62290089172454899</v>
      </c>
      <c r="AL5965">
        <v>91.127312708300906</v>
      </c>
      <c r="AM5965">
        <v>88.590314544816295</v>
      </c>
      <c r="AN5965">
        <v>1.00000004887174</v>
      </c>
    </row>
    <row r="5966" spans="1:40" x14ac:dyDescent="0.25">
      <c r="A5966" t="str">
        <f>"20190312161139240"</f>
        <v>20190312161139240</v>
      </c>
      <c r="B5966" t="str">
        <f>"1552378299232970"</f>
        <v>1552378299232970</v>
      </c>
      <c r="C5966" t="s">
        <v>40</v>
      </c>
      <c r="D5966">
        <v>6.1216470000000003</v>
      </c>
      <c r="E5966">
        <v>0.54442690000000005</v>
      </c>
      <c r="F5966" t="s">
        <v>42</v>
      </c>
      <c r="G5966">
        <v>-271.84989999999999</v>
      </c>
      <c r="H5966">
        <v>0.92249820000000005</v>
      </c>
      <c r="I5966">
        <v>-63.396149999999999</v>
      </c>
      <c r="J5966">
        <v>-272.5335</v>
      </c>
      <c r="K5966">
        <v>1.1103510000000001</v>
      </c>
      <c r="L5966">
        <v>-63.243960000000001</v>
      </c>
      <c r="M5966">
        <v>0.99724360000000001</v>
      </c>
      <c r="N5966">
        <v>0</v>
      </c>
      <c r="O5966">
        <v>-7.3024270000000002E-2</v>
      </c>
      <c r="P5966">
        <v>0.99468389999999995</v>
      </c>
      <c r="Q5966">
        <v>-3.3126610000000001E-2</v>
      </c>
      <c r="R5966">
        <v>-9.7503510000000002E-2</v>
      </c>
      <c r="S5966">
        <v>2.932709</v>
      </c>
      <c r="T5966">
        <v>-0.72350479999999995</v>
      </c>
      <c r="U5966">
        <v>-0.60595699999999997</v>
      </c>
      <c r="V5966">
        <v>2.4608290000000001E-2</v>
      </c>
      <c r="W5966">
        <v>-1.9980060000000001E-2</v>
      </c>
      <c r="X5966">
        <v>0.99949750000000004</v>
      </c>
      <c r="Y5966">
        <v>0.12868789999999999</v>
      </c>
      <c r="Z5966">
        <v>2.0461049999999999E-3</v>
      </c>
      <c r="AA5966">
        <v>0.99168310000000004</v>
      </c>
      <c r="AB5966">
        <v>17</v>
      </c>
      <c r="AC5966">
        <v>0.68360000000001198</v>
      </c>
      <c r="AD5966">
        <v>-0.18785279999999999</v>
      </c>
      <c r="AE5966">
        <v>-0.15219000000000399</v>
      </c>
      <c r="AF5966">
        <v>9.5023127286037998E-2</v>
      </c>
      <c r="AG5966">
        <v>-0.18785279999999999</v>
      </c>
      <c r="AH5966">
        <v>0.64638278419834705</v>
      </c>
      <c r="AI5966">
        <v>106.04159760245</v>
      </c>
      <c r="AJ5966">
        <v>81.636991390673501</v>
      </c>
      <c r="AK5966">
        <v>0.67980053905176097</v>
      </c>
      <c r="AL5966">
        <v>91.144849278903493</v>
      </c>
      <c r="AM5966">
        <v>88.589624918231806</v>
      </c>
      <c r="AN5966">
        <v>1.0000000116202801</v>
      </c>
    </row>
    <row r="5967" spans="1:40" x14ac:dyDescent="0.25">
      <c r="A5967" t="str">
        <f>"20190312161139252"</f>
        <v>20190312161139252</v>
      </c>
      <c r="B5967" t="str">
        <f>"1552378299243706"</f>
        <v>1552378299243706</v>
      </c>
      <c r="C5967" t="s">
        <v>40</v>
      </c>
      <c r="D5967">
        <v>5.9977489999999998</v>
      </c>
      <c r="E5967">
        <v>0.54723999999999995</v>
      </c>
      <c r="F5967" t="s">
        <v>42</v>
      </c>
      <c r="G5967">
        <v>-271.84050000000002</v>
      </c>
      <c r="H5967">
        <v>0.94190649999999998</v>
      </c>
      <c r="I5967">
        <v>-63.390860000000004</v>
      </c>
      <c r="J5967">
        <v>-272.447</v>
      </c>
      <c r="K5967">
        <v>1.110357</v>
      </c>
      <c r="L5967">
        <v>-63.250030000000002</v>
      </c>
      <c r="M5967">
        <v>0.99726040000000005</v>
      </c>
      <c r="N5967">
        <v>0</v>
      </c>
      <c r="O5967">
        <v>-7.2791510000000004E-2</v>
      </c>
      <c r="P5967">
        <v>0.99474130000000005</v>
      </c>
      <c r="Q5967">
        <v>-3.3332239999999999E-2</v>
      </c>
      <c r="R5967">
        <v>-9.6842269999999994E-2</v>
      </c>
      <c r="S5967">
        <v>2.9315190000000002</v>
      </c>
      <c r="T5967">
        <v>-0.71254110000000004</v>
      </c>
      <c r="U5967">
        <v>-0.61999510000000002</v>
      </c>
      <c r="V5967">
        <v>2.4178290000000002E-2</v>
      </c>
      <c r="W5967">
        <v>-2.0175120000000001E-2</v>
      </c>
      <c r="X5967">
        <v>0.99950410000000001</v>
      </c>
      <c r="Y5967">
        <v>0.13345679999999999</v>
      </c>
      <c r="Z5967">
        <v>1.3949399999999999E-3</v>
      </c>
      <c r="AA5967">
        <v>0.99105359999999998</v>
      </c>
      <c r="AB5967">
        <v>17</v>
      </c>
      <c r="AC5967">
        <v>0.60649999999998205</v>
      </c>
      <c r="AD5967">
        <v>-0.168450499999999</v>
      </c>
      <c r="AE5967">
        <v>-0.14082999999999399</v>
      </c>
      <c r="AF5967">
        <v>8.9736293702061598E-2</v>
      </c>
      <c r="AG5967">
        <v>-0.168450499999999</v>
      </c>
      <c r="AH5967">
        <v>0.57318882610877797</v>
      </c>
      <c r="AI5967">
        <v>106.190467455185</v>
      </c>
      <c r="AJ5967">
        <v>81.102212944435394</v>
      </c>
      <c r="AK5967">
        <v>0.60413045257923503</v>
      </c>
      <c r="AL5967">
        <v>91.156027619162103</v>
      </c>
      <c r="AM5967">
        <v>88.614268962997897</v>
      </c>
      <c r="AN5967">
        <v>1.00000003554557</v>
      </c>
    </row>
    <row r="5968" spans="1:40" x14ac:dyDescent="0.25">
      <c r="A5968" t="str">
        <f>"20190312161139262"</f>
        <v>20190312161139262</v>
      </c>
      <c r="B5968" t="str">
        <f>"1552378299253467"</f>
        <v>1552378299253467</v>
      </c>
      <c r="C5968" t="s">
        <v>40</v>
      </c>
      <c r="D5968">
        <v>5.9917540000000002</v>
      </c>
      <c r="E5968">
        <v>0.54918369999999905</v>
      </c>
      <c r="F5968" t="s">
        <v>42</v>
      </c>
      <c r="G5968">
        <v>-271.70049999999998</v>
      </c>
      <c r="H5968">
        <v>0.91878490000000002</v>
      </c>
      <c r="I5968">
        <v>-63.412889999999997</v>
      </c>
      <c r="J5968">
        <v>-272.36599999999999</v>
      </c>
      <c r="K5968">
        <v>1.1103639999999999</v>
      </c>
      <c r="L5968">
        <v>-63.255679999999998</v>
      </c>
      <c r="M5968">
        <v>0.9972763</v>
      </c>
      <c r="N5968">
        <v>0</v>
      </c>
      <c r="O5968">
        <v>-7.2572109999999995E-2</v>
      </c>
      <c r="P5968">
        <v>0.99481450000000005</v>
      </c>
      <c r="Q5968">
        <v>-3.3452309999999999E-2</v>
      </c>
      <c r="R5968">
        <v>-9.604762E-2</v>
      </c>
      <c r="S5968">
        <v>2.9284970000000001</v>
      </c>
      <c r="T5968">
        <v>-0.7515155</v>
      </c>
      <c r="U5968">
        <v>-0.6387024</v>
      </c>
      <c r="V5968">
        <v>2.3600630000000001E-2</v>
      </c>
      <c r="W5968">
        <v>-2.0285649999999999E-2</v>
      </c>
      <c r="X5968">
        <v>0.99951570000000001</v>
      </c>
      <c r="Y5968">
        <v>0.1395487</v>
      </c>
      <c r="Z5968">
        <v>6.5333950000000002E-4</v>
      </c>
      <c r="AA5968">
        <v>0.99021499999999996</v>
      </c>
      <c r="AB5968">
        <v>17</v>
      </c>
      <c r="AC5968">
        <v>0.66550000000000797</v>
      </c>
      <c r="AD5968">
        <v>-0.191579099999999</v>
      </c>
      <c r="AE5968">
        <v>-0.15720999999999899</v>
      </c>
      <c r="AF5968">
        <v>0.10059844888070101</v>
      </c>
      <c r="AG5968">
        <v>-0.191579099999999</v>
      </c>
      <c r="AH5968">
        <v>0.62601845505565701</v>
      </c>
      <c r="AI5968">
        <v>106.812270669274</v>
      </c>
      <c r="AJ5968">
        <v>80.870863818916206</v>
      </c>
      <c r="AK5968">
        <v>0.66236070652197099</v>
      </c>
      <c r="AL5968">
        <v>91.162361782442801</v>
      </c>
      <c r="AM5968">
        <v>88.6473796493365</v>
      </c>
      <c r="AN5968">
        <v>1.0000000659393999</v>
      </c>
    </row>
    <row r="5969" spans="1:40" x14ac:dyDescent="0.25">
      <c r="A5969" t="str">
        <f>"20190312161139272"</f>
        <v>20190312161139272</v>
      </c>
      <c r="B5969" t="str">
        <f>"1552378299263226"</f>
        <v>1552378299263226</v>
      </c>
      <c r="C5969" t="s">
        <v>40</v>
      </c>
      <c r="D5969">
        <v>5.9918969999999998</v>
      </c>
      <c r="E5969">
        <v>0.55054399999999903</v>
      </c>
      <c r="F5969" t="s">
        <v>42</v>
      </c>
      <c r="G5969">
        <v>-271.6936</v>
      </c>
      <c r="H5969">
        <v>0.93271630000000005</v>
      </c>
      <c r="I5969">
        <v>-63.405290000000001</v>
      </c>
      <c r="J5969">
        <v>-272.29329999999999</v>
      </c>
      <c r="K5969">
        <v>1.110368</v>
      </c>
      <c r="L5969">
        <v>-63.260739999999998</v>
      </c>
      <c r="M5969">
        <v>0.99729069999999997</v>
      </c>
      <c r="N5969">
        <v>0</v>
      </c>
      <c r="O5969">
        <v>-7.2370619999999997E-2</v>
      </c>
      <c r="P5969">
        <v>0.99488929999999998</v>
      </c>
      <c r="Q5969">
        <v>-3.35477E-2</v>
      </c>
      <c r="R5969">
        <v>-9.5236000000000001E-2</v>
      </c>
      <c r="S5969">
        <v>2.9267880000000002</v>
      </c>
      <c r="T5969">
        <v>-0.77318999999999904</v>
      </c>
      <c r="U5969">
        <v>-0.65097050000000001</v>
      </c>
      <c r="V5969">
        <v>2.2987770000000001E-2</v>
      </c>
      <c r="W5969">
        <v>-2.0373619999999999E-2</v>
      </c>
      <c r="X5969">
        <v>0.99952810000000003</v>
      </c>
      <c r="Y5969">
        <v>0.143569899999999</v>
      </c>
      <c r="Z5969">
        <v>1.0337869999999999E-4</v>
      </c>
      <c r="AA5969">
        <v>0.98964019999999997</v>
      </c>
      <c r="AB5969">
        <v>17</v>
      </c>
      <c r="AC5969">
        <v>0.59969999999998402</v>
      </c>
      <c r="AD5969">
        <v>-0.177651699999999</v>
      </c>
      <c r="AE5969">
        <v>-0.14454999999999499</v>
      </c>
      <c r="AF5969">
        <v>9.3049304631541901E-2</v>
      </c>
      <c r="AG5969">
        <v>-0.177651699999999</v>
      </c>
      <c r="AH5969">
        <v>0.56198071081103695</v>
      </c>
      <c r="AI5969">
        <v>107.32118898654799</v>
      </c>
      <c r="AJ5969">
        <v>80.598610609680193</v>
      </c>
      <c r="AK5969">
        <v>0.59669139337599097</v>
      </c>
      <c r="AL5969">
        <v>91.167403243023799</v>
      </c>
      <c r="AM5969">
        <v>88.682508221756095</v>
      </c>
      <c r="AN5969">
        <v>0.99999997232554305</v>
      </c>
    </row>
    <row r="5970" spans="1:40" x14ac:dyDescent="0.25">
      <c r="A5970" t="str">
        <f>"20190312161139282"</f>
        <v>20190312161139282</v>
      </c>
      <c r="B5970" t="str">
        <f>"1552378299272988"</f>
        <v>1552378299272988</v>
      </c>
      <c r="C5970" t="s">
        <v>40</v>
      </c>
      <c r="D5970">
        <v>6.0448639999999996</v>
      </c>
      <c r="E5970">
        <v>0.55266329999999997</v>
      </c>
      <c r="F5970" t="s">
        <v>42</v>
      </c>
      <c r="G5970">
        <v>-271.5532</v>
      </c>
      <c r="H5970">
        <v>0.90999459999999999</v>
      </c>
      <c r="I5970">
        <v>-63.427619999999997</v>
      </c>
      <c r="J5970">
        <v>-272.21480000000003</v>
      </c>
      <c r="K5970">
        <v>1.1103700000000001</v>
      </c>
      <c r="L5970">
        <v>-63.266199999999998</v>
      </c>
      <c r="M5970">
        <v>0.99730649999999998</v>
      </c>
      <c r="N5970">
        <v>0</v>
      </c>
      <c r="O5970">
        <v>-7.2152910000000001E-2</v>
      </c>
      <c r="P5970">
        <v>0.99495100000000003</v>
      </c>
      <c r="Q5970">
        <v>-3.3569349999999998E-2</v>
      </c>
      <c r="R5970">
        <v>-9.4582150000000004E-2</v>
      </c>
      <c r="S5970">
        <v>2.9256899999999999</v>
      </c>
      <c r="T5970">
        <v>-0.79219319999999904</v>
      </c>
      <c r="U5970">
        <v>-0.65844729999999996</v>
      </c>
      <c r="V5970">
        <v>2.2549550000000002E-2</v>
      </c>
      <c r="W5970">
        <v>-2.038738E-2</v>
      </c>
      <c r="X5970">
        <v>0.99953780000000003</v>
      </c>
      <c r="Y5970">
        <v>0.14606640000000001</v>
      </c>
      <c r="Z5970">
        <v>-2.7956809999999998E-4</v>
      </c>
      <c r="AA5970">
        <v>0.98927469999999995</v>
      </c>
      <c r="AB5970">
        <v>17</v>
      </c>
      <c r="AC5970">
        <v>0.66160000000002095</v>
      </c>
      <c r="AD5970">
        <v>-0.20037540000000001</v>
      </c>
      <c r="AE5970">
        <v>-0.16141999999999901</v>
      </c>
      <c r="AF5970">
        <v>0.104234717307175</v>
      </c>
      <c r="AG5970">
        <v>-0.20037540000000001</v>
      </c>
      <c r="AH5970">
        <v>0.61801911786077202</v>
      </c>
      <c r="AI5970">
        <v>107.729426884437</v>
      </c>
      <c r="AJ5970">
        <v>80.4266258936496</v>
      </c>
      <c r="AK5970">
        <v>0.65799909366098197</v>
      </c>
      <c r="AL5970">
        <v>91.168191798833604</v>
      </c>
      <c r="AM5970">
        <v>88.707627741611006</v>
      </c>
      <c r="AN5970">
        <v>0.99999997054865297</v>
      </c>
    </row>
    <row r="5971" spans="1:40" x14ac:dyDescent="0.25">
      <c r="A5971" t="str">
        <f>"20190312161139294"</f>
        <v>20190312161139294</v>
      </c>
      <c r="B5971" t="str">
        <f>"1552378299283722"</f>
        <v>1552378299283722</v>
      </c>
      <c r="C5971" t="s">
        <v>40</v>
      </c>
      <c r="D5971">
        <v>6.918831</v>
      </c>
      <c r="E5971">
        <v>0.55212349999999999</v>
      </c>
      <c r="F5971" t="s">
        <v>42</v>
      </c>
      <c r="G5971">
        <v>-271.54230000000001</v>
      </c>
      <c r="H5971">
        <v>0.93334459999999997</v>
      </c>
      <c r="I5971">
        <v>-63.42154</v>
      </c>
      <c r="J5971">
        <v>-272.13389999999998</v>
      </c>
      <c r="K5971">
        <v>1.1103769999999999</v>
      </c>
      <c r="L5971">
        <v>-63.271790000000003</v>
      </c>
      <c r="M5971">
        <v>0.99732279999999995</v>
      </c>
      <c r="N5971">
        <v>0</v>
      </c>
      <c r="O5971">
        <v>-7.1924600000000005E-2</v>
      </c>
      <c r="P5971">
        <v>0.9950196</v>
      </c>
      <c r="Q5971">
        <v>-3.3764330000000002E-2</v>
      </c>
      <c r="R5971">
        <v>-9.3786430000000004E-2</v>
      </c>
      <c r="S5971">
        <v>2.9251399999999999</v>
      </c>
      <c r="T5971">
        <v>-0.76998169999999899</v>
      </c>
      <c r="U5971">
        <v>-0.67422490000000002</v>
      </c>
      <c r="V5971">
        <v>2.198015E-2</v>
      </c>
      <c r="W5971">
        <v>-2.057529E-2</v>
      </c>
      <c r="X5971">
        <v>0.99954659999999995</v>
      </c>
      <c r="Y5971">
        <v>0.15136529999999901</v>
      </c>
      <c r="Z5971">
        <v>-1.008056E-3</v>
      </c>
      <c r="AA5971">
        <v>0.9884773</v>
      </c>
      <c r="AB5971">
        <v>17</v>
      </c>
      <c r="AC5971">
        <v>0.59159999999997104</v>
      </c>
      <c r="AD5971">
        <v>-0.17703239999999901</v>
      </c>
      <c r="AE5971">
        <v>-0.149749999999997</v>
      </c>
      <c r="AF5971">
        <v>9.8517128146146105E-2</v>
      </c>
      <c r="AG5971">
        <v>-0.17703239999999901</v>
      </c>
      <c r="AH5971">
        <v>0.55420066791663403</v>
      </c>
      <c r="AI5971">
        <v>107.458715109653</v>
      </c>
      <c r="AJ5971">
        <v>79.920147132820503</v>
      </c>
      <c r="AK5971">
        <v>0.59007158507012303</v>
      </c>
      <c r="AL5971">
        <v>91.178960546883602</v>
      </c>
      <c r="AM5971">
        <v>88.740261943712099</v>
      </c>
      <c r="AN5971">
        <v>0.99999993756208105</v>
      </c>
    </row>
    <row r="5972" spans="1:40" x14ac:dyDescent="0.25">
      <c r="A5972" t="str">
        <f>"20190312161139306"</f>
        <v>20190312161139306</v>
      </c>
      <c r="B5972" t="str">
        <f>"1552378299293483"</f>
        <v>1552378299293483</v>
      </c>
      <c r="C5972" t="s">
        <v>40</v>
      </c>
      <c r="D5972">
        <v>6.9709539999999901</v>
      </c>
      <c r="E5972">
        <v>0.55084540000000004</v>
      </c>
      <c r="F5972" t="s">
        <v>42</v>
      </c>
      <c r="G5972">
        <v>-271.39679999999998</v>
      </c>
      <c r="H5972">
        <v>0.92247579999999996</v>
      </c>
      <c r="I5972">
        <v>-63.440289999999997</v>
      </c>
      <c r="J5972">
        <v>-272.04640000000001</v>
      </c>
      <c r="K5972">
        <v>1.1103829999999999</v>
      </c>
      <c r="L5972">
        <v>-63.277830000000002</v>
      </c>
      <c r="M5972">
        <v>0.99734069999999997</v>
      </c>
      <c r="N5972">
        <v>0</v>
      </c>
      <c r="O5972">
        <v>-7.1677229999999995E-2</v>
      </c>
      <c r="P5972">
        <v>0.99511870000000002</v>
      </c>
      <c r="Q5972">
        <v>-3.3399379999999999E-2</v>
      </c>
      <c r="R5972">
        <v>-9.2864779999999994E-2</v>
      </c>
      <c r="S5972">
        <v>2.926666</v>
      </c>
      <c r="T5972">
        <v>-0.74606059999999996</v>
      </c>
      <c r="U5972">
        <v>-0.66864009999999996</v>
      </c>
      <c r="V5972">
        <v>2.1301319999999999E-2</v>
      </c>
      <c r="W5972">
        <v>-2.0202769999999998E-2</v>
      </c>
      <c r="X5972">
        <v>0.99956889999999998</v>
      </c>
      <c r="Y5972">
        <v>0.149898</v>
      </c>
      <c r="Z5972">
        <v>-8.5623559999999999E-4</v>
      </c>
      <c r="AA5972">
        <v>0.9887011</v>
      </c>
      <c r="AB5972">
        <v>17</v>
      </c>
      <c r="AC5972">
        <v>0.64960000000002005</v>
      </c>
      <c r="AD5972">
        <v>-0.187907199999999</v>
      </c>
      <c r="AE5972">
        <v>-0.16246000000000199</v>
      </c>
      <c r="AF5972">
        <v>0.107046630000996</v>
      </c>
      <c r="AG5972">
        <v>-0.187907199999999</v>
      </c>
      <c r="AH5972">
        <v>0.61142521518102799</v>
      </c>
      <c r="AI5972">
        <v>106.842220759912</v>
      </c>
      <c r="AJ5972">
        <v>80.0694613590355</v>
      </c>
      <c r="AK5972">
        <v>0.64854366897347504</v>
      </c>
      <c r="AL5972">
        <v>91.157612278674804</v>
      </c>
      <c r="AM5972">
        <v>88.779182675951603</v>
      </c>
      <c r="AN5972">
        <v>0.99999994199830999</v>
      </c>
    </row>
    <row r="5973" spans="1:40" x14ac:dyDescent="0.25">
      <c r="A5973" t="str">
        <f>"20190312161139315"</f>
        <v>20190312161139315</v>
      </c>
      <c r="B5973" t="str">
        <f>"1552378299303242"</f>
        <v>1552378299303242</v>
      </c>
      <c r="C5973" t="s">
        <v>40</v>
      </c>
      <c r="D5973">
        <v>5.9592039999999997</v>
      </c>
      <c r="E5973">
        <v>0.55157149999999999</v>
      </c>
      <c r="F5973" t="s">
        <v>42</v>
      </c>
      <c r="G5973">
        <v>-271.25</v>
      </c>
      <c r="H5973">
        <v>0.91363629999999996</v>
      </c>
      <c r="I5973">
        <v>-63.456359999999997</v>
      </c>
      <c r="J5973">
        <v>-271.96300000000002</v>
      </c>
      <c r="K5973">
        <v>1.110392</v>
      </c>
      <c r="L5973">
        <v>-63.283540000000002</v>
      </c>
      <c r="M5973">
        <v>0.99735770000000001</v>
      </c>
      <c r="N5973">
        <v>0</v>
      </c>
      <c r="O5973">
        <v>-7.1439879999999997E-2</v>
      </c>
      <c r="P5973">
        <v>0.99519369999999996</v>
      </c>
      <c r="Q5973">
        <v>-3.3220420000000001E-2</v>
      </c>
      <c r="R5973">
        <v>-9.2122079999999995E-2</v>
      </c>
      <c r="S5973">
        <v>2.929138</v>
      </c>
      <c r="T5973">
        <v>-0.72368489999999996</v>
      </c>
      <c r="U5973">
        <v>-0.65661619999999998</v>
      </c>
      <c r="V5973">
        <v>2.079311E-2</v>
      </c>
      <c r="W5973">
        <v>-2.0017719999999999E-2</v>
      </c>
      <c r="X5973">
        <v>0.99958340000000001</v>
      </c>
      <c r="Y5973">
        <v>0.14632429999999999</v>
      </c>
      <c r="Z5973">
        <v>-4.5731480000000001E-4</v>
      </c>
      <c r="AA5973">
        <v>0.98923660000000002</v>
      </c>
      <c r="AB5973">
        <v>17</v>
      </c>
      <c r="AC5973">
        <v>0.712999999999965</v>
      </c>
      <c r="AD5973">
        <v>-0.19675570000000001</v>
      </c>
      <c r="AE5973">
        <v>-0.17281999999999401</v>
      </c>
      <c r="AF5973">
        <v>0.11328893772755499</v>
      </c>
      <c r="AG5973">
        <v>-0.19675570000000001</v>
      </c>
      <c r="AH5973">
        <v>0.674977229028217</v>
      </c>
      <c r="AI5973">
        <v>106.03881357981</v>
      </c>
      <c r="AJ5973">
        <v>80.472217449879594</v>
      </c>
      <c r="AK5973">
        <v>0.71213864422634598</v>
      </c>
      <c r="AL5973">
        <v>91.147007462196498</v>
      </c>
      <c r="AM5973">
        <v>88.8083178936526</v>
      </c>
      <c r="AN5973">
        <v>1.0000000180465101</v>
      </c>
    </row>
    <row r="5974" spans="1:40" x14ac:dyDescent="0.25">
      <c r="A5974" t="str">
        <f>"20190312161139327"</f>
        <v>20190312161139327</v>
      </c>
      <c r="B5974" t="str">
        <f>"1552378299323738"</f>
        <v>1552378299323738</v>
      </c>
      <c r="C5974" t="s">
        <v>40</v>
      </c>
      <c r="D5974">
        <v>6.0651869999999999</v>
      </c>
      <c r="E5974">
        <v>0.55263509999999905</v>
      </c>
      <c r="F5974" t="s">
        <v>42</v>
      </c>
      <c r="G5974">
        <v>-271.2432</v>
      </c>
      <c r="H5974">
        <v>0.92798219999999998</v>
      </c>
      <c r="I5974">
        <v>-63.445630000000001</v>
      </c>
      <c r="J5974">
        <v>-271.87869999999998</v>
      </c>
      <c r="K5974">
        <v>1.1103970000000001</v>
      </c>
      <c r="L5974">
        <v>-63.28931</v>
      </c>
      <c r="M5974">
        <v>0.99737480000000001</v>
      </c>
      <c r="N5974">
        <v>0</v>
      </c>
      <c r="O5974">
        <v>-7.1199319999999996E-2</v>
      </c>
      <c r="P5974">
        <v>0.99522849999999996</v>
      </c>
      <c r="Q5974">
        <v>-3.325272E-2</v>
      </c>
      <c r="R5974">
        <v>-9.1731110000000005E-2</v>
      </c>
      <c r="S5974">
        <v>2.928741</v>
      </c>
      <c r="T5974">
        <v>-0.74219009999999996</v>
      </c>
      <c r="U5974">
        <v>-0.65948490000000004</v>
      </c>
      <c r="V5974">
        <v>2.0641860000000001E-2</v>
      </c>
      <c r="W5974">
        <v>-2.0044159999999998E-2</v>
      </c>
      <c r="X5974">
        <v>0.99958599999999997</v>
      </c>
      <c r="Y5974">
        <v>0.1473662</v>
      </c>
      <c r="Z5974">
        <v>-6.5619129999999997E-4</v>
      </c>
      <c r="AA5974">
        <v>0.98908180000000001</v>
      </c>
      <c r="AB5974">
        <v>17</v>
      </c>
      <c r="AC5974">
        <v>0.63549999999997897</v>
      </c>
      <c r="AD5974">
        <v>-0.18241479999999899</v>
      </c>
      <c r="AE5974">
        <v>-0.15631999999999999</v>
      </c>
      <c r="AF5974">
        <v>0.102693632082183</v>
      </c>
      <c r="AG5974">
        <v>-0.18241479999999899</v>
      </c>
      <c r="AH5974">
        <v>0.59851773531947905</v>
      </c>
      <c r="AI5974">
        <v>106.719637884064</v>
      </c>
      <c r="AJ5974">
        <v>80.263996945975293</v>
      </c>
      <c r="AK5974">
        <v>0.63406988638574302</v>
      </c>
      <c r="AL5974">
        <v>91.148522672311202</v>
      </c>
      <c r="AM5974">
        <v>88.816986845665895</v>
      </c>
      <c r="AN5974">
        <v>1.00000001306518</v>
      </c>
    </row>
    <row r="5975" spans="1:40" x14ac:dyDescent="0.25">
      <c r="A5975" t="str">
        <f>"20190312161139340"</f>
        <v>20190312161139340</v>
      </c>
      <c r="B5975" t="str">
        <f>"1552378299333501"</f>
        <v>1552378299333501</v>
      </c>
      <c r="C5975" t="s">
        <v>40</v>
      </c>
      <c r="D5975">
        <v>5.9793010000000004</v>
      </c>
      <c r="E5975">
        <v>0.55292030000000003</v>
      </c>
      <c r="F5975" t="s">
        <v>42</v>
      </c>
      <c r="G5975">
        <v>-271.09780000000001</v>
      </c>
      <c r="H5975">
        <v>0.91719079999999997</v>
      </c>
      <c r="I5975">
        <v>-63.467399999999998</v>
      </c>
      <c r="J5975">
        <v>-271.78269999999998</v>
      </c>
      <c r="K5975">
        <v>1.1103989999999999</v>
      </c>
      <c r="L5975">
        <v>-63.295870000000001</v>
      </c>
      <c r="M5975">
        <v>0.99739429999999996</v>
      </c>
      <c r="N5975">
        <v>0</v>
      </c>
      <c r="O5975">
        <v>-7.092503E-2</v>
      </c>
      <c r="P5975">
        <v>0.99526970000000003</v>
      </c>
      <c r="Q5975">
        <v>-3.3270750000000002E-2</v>
      </c>
      <c r="R5975">
        <v>-9.1277230000000001E-2</v>
      </c>
      <c r="S5975">
        <v>2.9286500000000002</v>
      </c>
      <c r="T5975">
        <v>-0.72461989999999998</v>
      </c>
      <c r="U5975">
        <v>-0.66760249999999999</v>
      </c>
      <c r="V5975">
        <v>2.046127E-2</v>
      </c>
      <c r="W5975">
        <v>-2.0056129999999998E-2</v>
      </c>
      <c r="X5975">
        <v>0.99958939999999996</v>
      </c>
      <c r="Y5975">
        <v>0.15026809999999999</v>
      </c>
      <c r="Z5975">
        <v>-1.0564070000000001E-3</v>
      </c>
      <c r="AA5975">
        <v>0.98864470000000004</v>
      </c>
      <c r="AB5975">
        <v>17</v>
      </c>
      <c r="AC5975">
        <v>0.68489999999996998</v>
      </c>
      <c r="AD5975">
        <v>-0.193208199999999</v>
      </c>
      <c r="AE5975">
        <v>-0.17153000000000401</v>
      </c>
      <c r="AF5975">
        <v>0.113981980732799</v>
      </c>
      <c r="AG5975">
        <v>-0.193208199999999</v>
      </c>
      <c r="AH5975">
        <v>0.64690057778756205</v>
      </c>
      <c r="AI5975">
        <v>106.39054165182</v>
      </c>
      <c r="AJ5975">
        <v>80.0072195373791</v>
      </c>
      <c r="AK5975">
        <v>0.68469092152656297</v>
      </c>
      <c r="AL5975">
        <v>91.149208724363007</v>
      </c>
      <c r="AM5975">
        <v>88.827337789667993</v>
      </c>
      <c r="AN5975">
        <v>0.99999994025647299</v>
      </c>
    </row>
    <row r="5976" spans="1:40" x14ac:dyDescent="0.25">
      <c r="A5976" t="str">
        <f>"20190312161139351"</f>
        <v>20190312161139351</v>
      </c>
      <c r="B5976" t="str">
        <f>"1552378299343259"</f>
        <v>1552378299343259</v>
      </c>
      <c r="C5976" t="s">
        <v>40</v>
      </c>
      <c r="D5976">
        <v>5.9846979999999999</v>
      </c>
      <c r="E5976">
        <v>0.55317260000000001</v>
      </c>
      <c r="F5976" t="s">
        <v>42</v>
      </c>
      <c r="G5976">
        <v>-271.08870000000002</v>
      </c>
      <c r="H5976">
        <v>0.93605150000000004</v>
      </c>
      <c r="I5976">
        <v>-63.454239999999999</v>
      </c>
      <c r="J5976">
        <v>-271.70609999999999</v>
      </c>
      <c r="K5976">
        <v>1.1104039999999999</v>
      </c>
      <c r="L5976">
        <v>-63.30106</v>
      </c>
      <c r="M5976">
        <v>0.99740960000000001</v>
      </c>
      <c r="N5976">
        <v>0</v>
      </c>
      <c r="O5976">
        <v>-7.0706649999999996E-2</v>
      </c>
      <c r="P5976">
        <v>0.99528950000000005</v>
      </c>
      <c r="Q5976">
        <v>-3.3444340000000003E-2</v>
      </c>
      <c r="R5976">
        <v>-9.0997610000000007E-2</v>
      </c>
      <c r="S5976">
        <v>2.9284059999999998</v>
      </c>
      <c r="T5976">
        <v>-0.73575349999999995</v>
      </c>
      <c r="U5976">
        <v>-0.66796880000000003</v>
      </c>
      <c r="V5976">
        <v>2.0399819999999999E-2</v>
      </c>
      <c r="W5976">
        <v>-2.0225440000000001E-2</v>
      </c>
      <c r="X5976">
        <v>0.99958729999999996</v>
      </c>
      <c r="Y5976">
        <v>0.150536</v>
      </c>
      <c r="Z5976">
        <v>-1.1580550000000001E-3</v>
      </c>
      <c r="AA5976">
        <v>0.98860380000000003</v>
      </c>
      <c r="AB5976">
        <v>17</v>
      </c>
      <c r="AC5976">
        <v>0.61739999999997497</v>
      </c>
      <c r="AD5976">
        <v>-0.17435249999999999</v>
      </c>
      <c r="AE5976">
        <v>-0.15318000000000601</v>
      </c>
      <c r="AF5976">
        <v>0.101512404637724</v>
      </c>
      <c r="AG5976">
        <v>-0.17435249999999999</v>
      </c>
      <c r="AH5976">
        <v>0.58289659109737302</v>
      </c>
      <c r="AI5976">
        <v>106.419122373108</v>
      </c>
      <c r="AJ5976">
        <v>80.120923654833106</v>
      </c>
      <c r="AK5976">
        <v>0.61682412279718801</v>
      </c>
      <c r="AL5976">
        <v>91.158911377279694</v>
      </c>
      <c r="AM5976">
        <v>88.830856135218696</v>
      </c>
      <c r="AN5976">
        <v>0.99999999570025799</v>
      </c>
    </row>
    <row r="5977" spans="1:40" x14ac:dyDescent="0.25">
      <c r="A5977" t="str">
        <f>"20190312161139361"</f>
        <v>20190312161139361</v>
      </c>
      <c r="B5977" t="str">
        <f>"1552378299353017"</f>
        <v>1552378299353017</v>
      </c>
      <c r="C5977" t="s">
        <v>40</v>
      </c>
      <c r="D5977">
        <v>6.0725119999999997</v>
      </c>
      <c r="E5977">
        <v>0.55313230000000002</v>
      </c>
      <c r="F5977" t="s">
        <v>42</v>
      </c>
      <c r="G5977">
        <v>-270.94740000000002</v>
      </c>
      <c r="H5977">
        <v>0.91722190000000003</v>
      </c>
      <c r="I5977">
        <v>-63.474490000000003</v>
      </c>
      <c r="J5977">
        <v>-271.62329999999997</v>
      </c>
      <c r="K5977">
        <v>1.1104080000000001</v>
      </c>
      <c r="L5977">
        <v>-63.306640000000002</v>
      </c>
      <c r="M5977">
        <v>0.99742620000000004</v>
      </c>
      <c r="N5977">
        <v>0</v>
      </c>
      <c r="O5977">
        <v>-7.0470749999999999E-2</v>
      </c>
      <c r="P5977">
        <v>0.995309</v>
      </c>
      <c r="Q5977">
        <v>-3.3393850000000003E-2</v>
      </c>
      <c r="R5977">
        <v>-9.0803179999999997E-2</v>
      </c>
      <c r="S5977">
        <v>2.9280089999999999</v>
      </c>
      <c r="T5977">
        <v>-0.74562530000000005</v>
      </c>
      <c r="U5977">
        <v>-0.6687012</v>
      </c>
      <c r="V5977">
        <v>2.044054E-2</v>
      </c>
      <c r="W5977">
        <v>-2.0170520000000001E-2</v>
      </c>
      <c r="X5977">
        <v>0.99958760000000002</v>
      </c>
      <c r="Y5977">
        <v>0.1509511</v>
      </c>
      <c r="Z5977">
        <v>-1.2827369999999999E-3</v>
      </c>
      <c r="AA5977">
        <v>0.98854039999999999</v>
      </c>
      <c r="AB5977">
        <v>17</v>
      </c>
      <c r="AC5977">
        <v>0.67589999999995598</v>
      </c>
      <c r="AD5977">
        <v>-0.193186099999999</v>
      </c>
      <c r="AE5977">
        <v>-0.167850000000001</v>
      </c>
      <c r="AF5977">
        <v>0.111237762925061</v>
      </c>
      <c r="AG5977">
        <v>-0.193186099999999</v>
      </c>
      <c r="AH5977">
        <v>0.63703065705231399</v>
      </c>
      <c r="AI5977">
        <v>106.63298526417501</v>
      </c>
      <c r="AJ5977">
        <v>80.094927579945306</v>
      </c>
      <c r="AK5977">
        <v>0.67490945108087297</v>
      </c>
      <c r="AL5977">
        <v>91.155764025439595</v>
      </c>
      <c r="AM5977">
        <v>88.828523412963307</v>
      </c>
      <c r="AN5977">
        <v>1.0000000178131601</v>
      </c>
    </row>
    <row r="5978" spans="1:40" x14ac:dyDescent="0.25">
      <c r="A5978" t="str">
        <f>"20190312161139373"</f>
        <v>20190312161139373</v>
      </c>
      <c r="B5978" t="str">
        <f>"1552378299363754"</f>
        <v>1552378299363754</v>
      </c>
      <c r="C5978" t="s">
        <v>40</v>
      </c>
      <c r="D5978">
        <v>6.0268860000000002</v>
      </c>
      <c r="E5978">
        <v>0.5525177</v>
      </c>
      <c r="F5978" t="s">
        <v>42</v>
      </c>
      <c r="G5978">
        <v>-270.93779999999998</v>
      </c>
      <c r="H5978">
        <v>0.93707779999999996</v>
      </c>
      <c r="I5978">
        <v>-63.463209999999997</v>
      </c>
      <c r="J5978">
        <v>-271.5367</v>
      </c>
      <c r="K5978">
        <v>1.110411</v>
      </c>
      <c r="L5978">
        <v>-63.312469999999998</v>
      </c>
      <c r="M5978">
        <v>0.99744350000000004</v>
      </c>
      <c r="N5978">
        <v>0</v>
      </c>
      <c r="O5978">
        <v>-7.0225570000000001E-2</v>
      </c>
      <c r="P5978">
        <v>0.99533090000000002</v>
      </c>
      <c r="Q5978">
        <v>-3.31037E-2</v>
      </c>
      <c r="R5978">
        <v>-9.0668310000000002E-2</v>
      </c>
      <c r="S5978">
        <v>2.928375</v>
      </c>
      <c r="T5978">
        <v>-0.74054149999999996</v>
      </c>
      <c r="U5978">
        <v>-0.66818239999999995</v>
      </c>
      <c r="V5978">
        <v>2.0550189999999999E-2</v>
      </c>
      <c r="W5978">
        <v>-1.9876189999999998E-2</v>
      </c>
      <c r="X5978">
        <v>0.99959120000000001</v>
      </c>
      <c r="Y5978">
        <v>0.1510242</v>
      </c>
      <c r="Z5978">
        <v>-1.3430600000000001E-3</v>
      </c>
      <c r="AA5978">
        <v>0.98852910000000005</v>
      </c>
      <c r="AB5978">
        <v>17</v>
      </c>
      <c r="AC5978">
        <v>0.59890000000001398</v>
      </c>
      <c r="AD5978">
        <v>-0.17333319999999899</v>
      </c>
      <c r="AE5978">
        <v>-0.15073999999999901</v>
      </c>
      <c r="AF5978">
        <v>0.100397383352961</v>
      </c>
      <c r="AG5978">
        <v>-0.17333319999999899</v>
      </c>
      <c r="AH5978">
        <v>0.563610461839813</v>
      </c>
      <c r="AI5978">
        <v>106.844978740653</v>
      </c>
      <c r="AJ5978">
        <v>79.899697580403</v>
      </c>
      <c r="AK5978">
        <v>0.59814779570073595</v>
      </c>
      <c r="AL5978">
        <v>91.1388968314821</v>
      </c>
      <c r="AM5978">
        <v>88.822245220429807</v>
      </c>
      <c r="AN5978">
        <v>0.99999997017769504</v>
      </c>
    </row>
    <row r="5979" spans="1:40" x14ac:dyDescent="0.25">
      <c r="A5979" t="str">
        <f>"20190312161139386"</f>
        <v>20190312161139386</v>
      </c>
      <c r="B5979" t="str">
        <f>"1552378299373514"</f>
        <v>1552378299373514</v>
      </c>
      <c r="C5979" t="s">
        <v>40</v>
      </c>
      <c r="D5979">
        <v>6.0281399999999996</v>
      </c>
      <c r="E5979">
        <v>0.55385260000000003</v>
      </c>
      <c r="F5979" t="s">
        <v>42</v>
      </c>
      <c r="G5979">
        <v>-270.79340000000002</v>
      </c>
      <c r="H5979">
        <v>0.92547000000000001</v>
      </c>
      <c r="I5979">
        <v>-63.480809999999998</v>
      </c>
      <c r="J5979">
        <v>-271.44380000000001</v>
      </c>
      <c r="K5979">
        <v>1.110417</v>
      </c>
      <c r="L5979">
        <v>-63.318730000000002</v>
      </c>
      <c r="M5979">
        <v>0.99746190000000001</v>
      </c>
      <c r="N5979">
        <v>0</v>
      </c>
      <c r="O5979">
        <v>-6.9962609999999995E-2</v>
      </c>
      <c r="P5979">
        <v>0.99534739999999999</v>
      </c>
      <c r="Q5979">
        <v>-3.308299E-2</v>
      </c>
      <c r="R5979">
        <v>-9.0494110000000003E-2</v>
      </c>
      <c r="S5979">
        <v>2.9294129999999998</v>
      </c>
      <c r="T5979">
        <v>-0.72883129999999996</v>
      </c>
      <c r="U5979">
        <v>-0.66345209999999999</v>
      </c>
      <c r="V5979">
        <v>2.0638710000000001E-2</v>
      </c>
      <c r="W5979">
        <v>-1.9851279999999999E-2</v>
      </c>
      <c r="X5979">
        <v>0.99958990000000003</v>
      </c>
      <c r="Y5979">
        <v>0.14979389999999901</v>
      </c>
      <c r="Z5979">
        <v>-1.236338E-3</v>
      </c>
      <c r="AA5979">
        <v>0.9887165</v>
      </c>
      <c r="AB5979">
        <v>17</v>
      </c>
      <c r="AC5979">
        <v>0.65039999999998999</v>
      </c>
      <c r="AD5979">
        <v>-0.184946999999999</v>
      </c>
      <c r="AE5979">
        <v>-0.16207999999999601</v>
      </c>
      <c r="AF5979">
        <v>0.10795617904395501</v>
      </c>
      <c r="AG5979">
        <v>-0.184946999999999</v>
      </c>
      <c r="AH5979">
        <v>0.61344376665751599</v>
      </c>
      <c r="AI5979">
        <v>106.537567398582</v>
      </c>
      <c r="AJ5979">
        <v>80.019069759196896</v>
      </c>
      <c r="AK5979">
        <v>0.64974855463766201</v>
      </c>
      <c r="AL5979">
        <v>91.137469279213803</v>
      </c>
      <c r="AM5979">
        <v>88.817171938798793</v>
      </c>
      <c r="AN5979">
        <v>0.99999999892505598</v>
      </c>
    </row>
    <row r="5980" spans="1:40" x14ac:dyDescent="0.25">
      <c r="A5980" t="str">
        <f>"20190312161139397"</f>
        <v>20190312161139397</v>
      </c>
      <c r="B5980" t="str">
        <f>"1552378299393033"</f>
        <v>1552378299393033</v>
      </c>
      <c r="C5980" t="s">
        <v>40</v>
      </c>
      <c r="D5980">
        <v>5.9623350000000004</v>
      </c>
      <c r="E5980">
        <v>0.55504709999999902</v>
      </c>
      <c r="F5980" t="s">
        <v>42</v>
      </c>
      <c r="G5980">
        <v>-270.64839999999998</v>
      </c>
      <c r="H5980">
        <v>0.91485879999999997</v>
      </c>
      <c r="I5980">
        <v>-63.502029999999998</v>
      </c>
      <c r="J5980">
        <v>-271.3494</v>
      </c>
      <c r="K5980">
        <v>1.11042</v>
      </c>
      <c r="L5980">
        <v>-63.325009999999999</v>
      </c>
      <c r="M5980">
        <v>0.99748049999999999</v>
      </c>
      <c r="N5980">
        <v>0</v>
      </c>
      <c r="O5980">
        <v>-6.9696809999999998E-2</v>
      </c>
      <c r="P5980">
        <v>0.9953803</v>
      </c>
      <c r="Q5980">
        <v>-3.2838239999999998E-2</v>
      </c>
      <c r="R5980">
        <v>-9.0222029999999995E-2</v>
      </c>
      <c r="S5980">
        <v>2.9288020000000001</v>
      </c>
      <c r="T5980">
        <v>-0.72008479999999997</v>
      </c>
      <c r="U5980">
        <v>-0.67398069999999999</v>
      </c>
      <c r="V5980">
        <v>2.0631210000000001E-2</v>
      </c>
      <c r="W5980">
        <v>-1.9602709999999999E-2</v>
      </c>
      <c r="X5980">
        <v>0.99959500000000001</v>
      </c>
      <c r="Y5980">
        <v>0.1534247</v>
      </c>
      <c r="Z5980">
        <v>-1.71980299999999E-3</v>
      </c>
      <c r="AA5980">
        <v>0.9881588</v>
      </c>
      <c r="AB5980">
        <v>17</v>
      </c>
      <c r="AC5980">
        <v>0.70100000000002105</v>
      </c>
      <c r="AD5980">
        <v>-0.19556119999999999</v>
      </c>
      <c r="AE5980">
        <v>-0.17702000000000501</v>
      </c>
      <c r="AF5980">
        <v>0.11902003739675</v>
      </c>
      <c r="AG5980">
        <v>-0.19556119999999999</v>
      </c>
      <c r="AH5980">
        <v>0.66311910296330001</v>
      </c>
      <c r="AI5980">
        <v>106.18656673410401</v>
      </c>
      <c r="AJ5980">
        <v>79.824601328958096</v>
      </c>
      <c r="AK5980">
        <v>0.70152469447783194</v>
      </c>
      <c r="AL5980">
        <v>91.123224450760702</v>
      </c>
      <c r="AM5980">
        <v>88.817607681285196</v>
      </c>
      <c r="AN5980">
        <v>1.0000000385451999</v>
      </c>
    </row>
    <row r="5981" spans="1:40" x14ac:dyDescent="0.25">
      <c r="A5981" t="str">
        <f>"20190312161139421"</f>
        <v>20190312161139421</v>
      </c>
      <c r="B5981" t="str">
        <f>"1552378299413530"</f>
        <v>1552378299413530</v>
      </c>
      <c r="C5981" t="s">
        <v>40</v>
      </c>
      <c r="D5981">
        <v>6.2322069999999998</v>
      </c>
      <c r="E5981">
        <v>0.55473149999999904</v>
      </c>
      <c r="F5981" t="s">
        <v>42</v>
      </c>
      <c r="G5981">
        <v>-270.64019999999999</v>
      </c>
      <c r="H5981">
        <v>0.93240500000000004</v>
      </c>
      <c r="I5981">
        <v>-63.490459999999999</v>
      </c>
      <c r="J5981">
        <v>-271.17270000000002</v>
      </c>
      <c r="K5981">
        <v>1.1104240000000001</v>
      </c>
      <c r="L5981">
        <v>-63.336790000000001</v>
      </c>
      <c r="M5981">
        <v>0.99751489999999998</v>
      </c>
      <c r="N5981">
        <v>0</v>
      </c>
      <c r="O5981">
        <v>-6.9201219999999994E-2</v>
      </c>
      <c r="P5981">
        <v>0.99538360000000004</v>
      </c>
      <c r="Q5981">
        <v>-3.2766499999999997E-2</v>
      </c>
      <c r="R5981">
        <v>-9.021113E-2</v>
      </c>
      <c r="S5981">
        <v>2.9278559999999998</v>
      </c>
      <c r="T5981">
        <v>-0.73487599999999997</v>
      </c>
      <c r="U5981">
        <v>-0.6819153</v>
      </c>
      <c r="V5981">
        <v>2.111644E-2</v>
      </c>
      <c r="W5981">
        <v>-1.9524860000000002E-2</v>
      </c>
      <c r="X5981">
        <v>0.99958630000000004</v>
      </c>
      <c r="Y5981">
        <v>0.15633029999999901</v>
      </c>
      <c r="Z5981">
        <v>-2.2293180000000001E-3</v>
      </c>
      <c r="AA5981">
        <v>0.98770230000000003</v>
      </c>
      <c r="AB5981">
        <v>17</v>
      </c>
      <c r="AC5981">
        <v>0.53250000000002695</v>
      </c>
      <c r="AD5981">
        <v>-0.17801900000000001</v>
      </c>
      <c r="AE5981">
        <v>-0.153669999999998</v>
      </c>
      <c r="AF5981">
        <v>0.105558237246601</v>
      </c>
      <c r="AG5981">
        <v>-0.17801900000000001</v>
      </c>
      <c r="AH5981">
        <v>0.49118301863811098</v>
      </c>
      <c r="AI5981">
        <v>109.511216867638</v>
      </c>
      <c r="AJ5981">
        <v>77.8712611451204</v>
      </c>
      <c r="AK5981">
        <v>0.53300475008207604</v>
      </c>
      <c r="AL5981">
        <v>91.118763222324802</v>
      </c>
      <c r="AM5981">
        <v>88.789796379684105</v>
      </c>
      <c r="AN5981">
        <v>0.99999994767198996</v>
      </c>
    </row>
    <row r="5982" spans="1:40" x14ac:dyDescent="0.25">
      <c r="A5982" t="str">
        <f>"20190312161139431"</f>
        <v>20190312161139431</v>
      </c>
      <c r="B5982" t="str">
        <f>"1552378299423290"</f>
        <v>1552378299423290</v>
      </c>
      <c r="C5982" t="s">
        <v>40</v>
      </c>
      <c r="D5982">
        <v>6.0220640000000003</v>
      </c>
      <c r="E5982">
        <v>0.55447100000000005</v>
      </c>
      <c r="F5982" t="s">
        <v>42</v>
      </c>
      <c r="G5982">
        <v>-270.48649999999998</v>
      </c>
      <c r="H5982">
        <v>0.94031869999999995</v>
      </c>
      <c r="I5982">
        <v>-63.496200000000002</v>
      </c>
      <c r="J5982">
        <v>-271.1046</v>
      </c>
      <c r="K5982">
        <v>1.1104259999999999</v>
      </c>
      <c r="L5982">
        <v>-63.341279999999998</v>
      </c>
      <c r="M5982">
        <v>0.99752810000000003</v>
      </c>
      <c r="N5982">
        <v>0</v>
      </c>
      <c r="O5982">
        <v>-6.9011230000000007E-2</v>
      </c>
      <c r="P5982">
        <v>0.99540580000000001</v>
      </c>
      <c r="Q5982">
        <v>-3.27415E-2</v>
      </c>
      <c r="R5982">
        <v>-8.9975459999999993E-2</v>
      </c>
      <c r="S5982">
        <v>2.928375</v>
      </c>
      <c r="T5982">
        <v>-0.7259293</v>
      </c>
      <c r="U5982">
        <v>-0.67980959999999901</v>
      </c>
      <c r="V5982">
        <v>2.107009E-2</v>
      </c>
      <c r="W5982">
        <v>-1.949799E-2</v>
      </c>
      <c r="X5982">
        <v>0.99958780000000003</v>
      </c>
      <c r="Y5982">
        <v>0.15587479999999901</v>
      </c>
      <c r="Z5982">
        <v>-2.193291E-3</v>
      </c>
      <c r="AA5982">
        <v>0.98777440000000005</v>
      </c>
      <c r="AB5982">
        <v>17</v>
      </c>
      <c r="AC5982">
        <v>0.61810000000002596</v>
      </c>
      <c r="AD5982">
        <v>-0.17010729999999899</v>
      </c>
      <c r="AE5982">
        <v>-0.154919999999997</v>
      </c>
      <c r="AF5982">
        <v>0.10444767670049999</v>
      </c>
      <c r="AG5982">
        <v>-0.17010729999999899</v>
      </c>
      <c r="AH5982">
        <v>0.58558713484187297</v>
      </c>
      <c r="AI5982">
        <v>105.959299760129</v>
      </c>
      <c r="AJ5982">
        <v>79.886845040926502</v>
      </c>
      <c r="AK5982">
        <v>0.61867447270251597</v>
      </c>
      <c r="AL5982">
        <v>91.117223394382506</v>
      </c>
      <c r="AM5982">
        <v>88.792453767184895</v>
      </c>
      <c r="AN5982">
        <v>0.99999994510774204</v>
      </c>
    </row>
    <row r="5983" spans="1:40" x14ac:dyDescent="0.25">
      <c r="A5983" t="str">
        <f>"20190312161139441"</f>
        <v>20190312161139441</v>
      </c>
      <c r="B5983" t="str">
        <f>"1552378299433051"</f>
        <v>1552378299433051</v>
      </c>
      <c r="C5983" t="s">
        <v>40</v>
      </c>
      <c r="D5983">
        <v>6.013395</v>
      </c>
      <c r="E5983">
        <v>0.55478660000000002</v>
      </c>
      <c r="F5983" t="s">
        <v>42</v>
      </c>
      <c r="G5983">
        <v>-270.3449</v>
      </c>
      <c r="H5983">
        <v>0.92416679999999995</v>
      </c>
      <c r="I5983">
        <v>-63.517200000000003</v>
      </c>
      <c r="J5983">
        <v>-271.01729999999998</v>
      </c>
      <c r="K5983">
        <v>1.1104270000000001</v>
      </c>
      <c r="L5983">
        <v>-63.347050000000003</v>
      </c>
      <c r="M5983">
        <v>0.99754489999999996</v>
      </c>
      <c r="N5983">
        <v>0</v>
      </c>
      <c r="O5983">
        <v>-6.8767960000000003E-2</v>
      </c>
      <c r="P5983">
        <v>0.99542989999999998</v>
      </c>
      <c r="Q5983">
        <v>-3.2729880000000003E-2</v>
      </c>
      <c r="R5983">
        <v>-8.9711609999999997E-2</v>
      </c>
      <c r="S5983">
        <v>2.9290159999999998</v>
      </c>
      <c r="T5983">
        <v>-0.7181554</v>
      </c>
      <c r="U5983">
        <v>-0.67721560000000003</v>
      </c>
      <c r="V5983">
        <v>2.1048939999999999E-2</v>
      </c>
      <c r="W5983">
        <v>-1.9484069999999999E-2</v>
      </c>
      <c r="X5983">
        <v>0.99958849999999999</v>
      </c>
      <c r="Y5983">
        <v>0.15529970000000001</v>
      </c>
      <c r="Z5983">
        <v>-2.1592099999999999E-3</v>
      </c>
      <c r="AA5983">
        <v>0.98786499999999999</v>
      </c>
      <c r="AB5983">
        <v>17</v>
      </c>
      <c r="AC5983">
        <v>0.67239999999998101</v>
      </c>
      <c r="AD5983">
        <v>-0.18626019999999999</v>
      </c>
      <c r="AE5983">
        <v>-0.170149999999999</v>
      </c>
      <c r="AF5983">
        <v>0.115196068205346</v>
      </c>
      <c r="AG5983">
        <v>-0.18626019999999999</v>
      </c>
      <c r="AH5983">
        <v>0.63660095637945402</v>
      </c>
      <c r="AI5983">
        <v>106.061622815831</v>
      </c>
      <c r="AJ5983">
        <v>79.743039897868101</v>
      </c>
      <c r="AK5983">
        <v>0.67321896430303196</v>
      </c>
      <c r="AL5983">
        <v>91.116425704543801</v>
      </c>
      <c r="AM5983">
        <v>88.793666379299907</v>
      </c>
      <c r="AN5983">
        <v>0.99999992809556604</v>
      </c>
    </row>
    <row r="5984" spans="1:40" x14ac:dyDescent="0.25">
      <c r="A5984" t="str">
        <f>"20190312161139451"</f>
        <v>20190312161139451</v>
      </c>
      <c r="B5984" t="str">
        <f>"1552378299443787"</f>
        <v>1552378299443787</v>
      </c>
      <c r="C5984" t="s">
        <v>40</v>
      </c>
      <c r="D5984">
        <v>5.8572660000000001</v>
      </c>
      <c r="E5984">
        <v>0.55448339999999996</v>
      </c>
      <c r="F5984" t="s">
        <v>42</v>
      </c>
      <c r="G5984">
        <v>-270.33530000000002</v>
      </c>
      <c r="H5984">
        <v>0.94377120000000003</v>
      </c>
      <c r="I5984">
        <v>-63.50544</v>
      </c>
      <c r="J5984">
        <v>-270.9504</v>
      </c>
      <c r="K5984">
        <v>1.1104259999999999</v>
      </c>
      <c r="L5984">
        <v>-63.351410000000001</v>
      </c>
      <c r="M5984">
        <v>0.99755760000000004</v>
      </c>
      <c r="N5984">
        <v>0</v>
      </c>
      <c r="O5984">
        <v>-6.858214E-2</v>
      </c>
      <c r="P5984">
        <v>0.99544149999999998</v>
      </c>
      <c r="Q5984">
        <v>-3.3005420000000001E-2</v>
      </c>
      <c r="R5984">
        <v>-8.9481950000000005E-2</v>
      </c>
      <c r="S5984">
        <v>2.9290769999999999</v>
      </c>
      <c r="T5984">
        <v>-0.71573089999999995</v>
      </c>
      <c r="U5984">
        <v>-0.67910769999999998</v>
      </c>
      <c r="V5984">
        <v>2.1005010000000001E-2</v>
      </c>
      <c r="W5984">
        <v>-1.9758230000000002E-2</v>
      </c>
      <c r="X5984">
        <v>0.99958409999999998</v>
      </c>
      <c r="Y5984">
        <v>0.15607470000000001</v>
      </c>
      <c r="Z5984">
        <v>-2.2880940000000001E-3</v>
      </c>
      <c r="AA5984">
        <v>0.98774260000000003</v>
      </c>
      <c r="AB5984">
        <v>17</v>
      </c>
      <c r="AC5984">
        <v>0.61509999999998399</v>
      </c>
      <c r="AD5984">
        <v>-0.16665479999999899</v>
      </c>
      <c r="AE5984">
        <v>-0.154030000000005</v>
      </c>
      <c r="AF5984">
        <v>0.10427569334824</v>
      </c>
      <c r="AG5984">
        <v>-0.16665479999999899</v>
      </c>
      <c r="AH5984">
        <v>0.58388346926720103</v>
      </c>
      <c r="AI5984">
        <v>105.69425355872799</v>
      </c>
      <c r="AJ5984">
        <v>79.874302436517397</v>
      </c>
      <c r="AK5984">
        <v>0.61609021114590001</v>
      </c>
      <c r="AL5984">
        <v>91.132136876218098</v>
      </c>
      <c r="AM5984">
        <v>88.796178007894795</v>
      </c>
      <c r="AN5984">
        <v>0.99999998553532099</v>
      </c>
    </row>
    <row r="5985" spans="1:40" x14ac:dyDescent="0.25">
      <c r="A5985" t="str">
        <f>"20190312161139461"</f>
        <v>20190312161139461</v>
      </c>
      <c r="B5985" t="str">
        <f>"1552378299453546"</f>
        <v>1552378299453546</v>
      </c>
      <c r="C5985" t="s">
        <v>40</v>
      </c>
      <c r="D5985">
        <v>5.792395</v>
      </c>
      <c r="E5985">
        <v>0.5542648</v>
      </c>
      <c r="F5985" t="s">
        <v>42</v>
      </c>
      <c r="G5985">
        <v>-270.19420000000002</v>
      </c>
      <c r="H5985">
        <v>0.92728969999999999</v>
      </c>
      <c r="I5985">
        <v>-63.526110000000003</v>
      </c>
      <c r="J5985">
        <v>-270.8707</v>
      </c>
      <c r="K5985">
        <v>1.1104270000000001</v>
      </c>
      <c r="L5985">
        <v>-63.356659999999998</v>
      </c>
      <c r="M5985">
        <v>0.99757289999999998</v>
      </c>
      <c r="N5985">
        <v>0</v>
      </c>
      <c r="O5985">
        <v>-6.8360679999999993E-2</v>
      </c>
      <c r="P5985">
        <v>0.99543009999999998</v>
      </c>
      <c r="Q5985">
        <v>-3.322497E-2</v>
      </c>
      <c r="R5985">
        <v>-8.9530159999999998E-2</v>
      </c>
      <c r="S5985">
        <v>2.9294739999999999</v>
      </c>
      <c r="T5985">
        <v>-0.70937109999999903</v>
      </c>
      <c r="U5985">
        <v>-0.67623900000000003</v>
      </c>
      <c r="V5985">
        <v>2.1275789999999999E-2</v>
      </c>
      <c r="W5985">
        <v>-1.9976109999999998E-2</v>
      </c>
      <c r="X5985">
        <v>0.99957410000000002</v>
      </c>
      <c r="Y5985">
        <v>0.15540109999999999</v>
      </c>
      <c r="Z5985">
        <v>-2.2406599999999998E-3</v>
      </c>
      <c r="AA5985">
        <v>0.98784890000000003</v>
      </c>
      <c r="AB5985">
        <v>17</v>
      </c>
      <c r="AC5985">
        <v>0.67649999999997501</v>
      </c>
      <c r="AD5985">
        <v>-0.1831373</v>
      </c>
      <c r="AE5985">
        <v>-0.16944999999999699</v>
      </c>
      <c r="AF5985">
        <v>0.114881379124294</v>
      </c>
      <c r="AG5985">
        <v>-0.1831373</v>
      </c>
      <c r="AH5985">
        <v>0.64221538361004804</v>
      </c>
      <c r="AI5985">
        <v>105.679912534927</v>
      </c>
      <c r="AJ5985">
        <v>79.858032265614199</v>
      </c>
      <c r="AK5985">
        <v>0.677626446404058</v>
      </c>
      <c r="AL5985">
        <v>91.144622879704301</v>
      </c>
      <c r="AM5985">
        <v>88.7806517460169</v>
      </c>
      <c r="AN5985">
        <v>1.00000004280083</v>
      </c>
    </row>
    <row r="5986" spans="1:40" x14ac:dyDescent="0.25">
      <c r="A5986" t="str">
        <f>"20190312161139473"</f>
        <v>20190312161139473</v>
      </c>
      <c r="B5986" t="str">
        <f>"1552378299463307"</f>
        <v>1552378299463307</v>
      </c>
      <c r="C5986" t="s">
        <v>40</v>
      </c>
      <c r="D5986">
        <v>5.88164</v>
      </c>
      <c r="E5986">
        <v>0.55405990000000005</v>
      </c>
      <c r="F5986" t="s">
        <v>42</v>
      </c>
      <c r="G5986">
        <v>-270.185</v>
      </c>
      <c r="H5986">
        <v>0.9457835</v>
      </c>
      <c r="I5986">
        <v>-63.514740000000003</v>
      </c>
      <c r="J5986">
        <v>-270.78789999999998</v>
      </c>
      <c r="K5986">
        <v>1.110428</v>
      </c>
      <c r="L5986">
        <v>-63.362090000000002</v>
      </c>
      <c r="M5986">
        <v>0.99758849999999999</v>
      </c>
      <c r="N5986">
        <v>0</v>
      </c>
      <c r="O5986">
        <v>-6.8131120000000003E-2</v>
      </c>
      <c r="P5986">
        <v>0.9954518</v>
      </c>
      <c r="Q5986">
        <v>-3.3264200000000001E-2</v>
      </c>
      <c r="R5986">
        <v>-8.9272589999999999E-2</v>
      </c>
      <c r="S5986">
        <v>2.9295960000000001</v>
      </c>
      <c r="T5986">
        <v>-0.70346379999999997</v>
      </c>
      <c r="U5986">
        <v>-0.67489619999999995</v>
      </c>
      <c r="V5986">
        <v>2.1247329999999998E-2</v>
      </c>
      <c r="W5986">
        <v>-2.0013699999999999E-2</v>
      </c>
      <c r="X5986">
        <v>0.99957390000000002</v>
      </c>
      <c r="Y5986">
        <v>0.1552267</v>
      </c>
      <c r="Z5986">
        <v>-2.2554609999999998E-3</v>
      </c>
      <c r="AA5986">
        <v>0.98787630000000004</v>
      </c>
      <c r="AB5986">
        <v>17</v>
      </c>
      <c r="AC5986">
        <v>0.60289999999997601</v>
      </c>
      <c r="AD5986">
        <v>-0.1646445</v>
      </c>
      <c r="AE5986">
        <v>-0.15265000000000101</v>
      </c>
      <c r="AF5986">
        <v>0.10393145321689599</v>
      </c>
      <c r="AG5986">
        <v>-0.1646445</v>
      </c>
      <c r="AH5986">
        <v>0.571824251174059</v>
      </c>
      <c r="AI5986">
        <v>105.816756609207</v>
      </c>
      <c r="AJ5986">
        <v>79.698702742177005</v>
      </c>
      <c r="AK5986">
        <v>0.60406335146141699</v>
      </c>
      <c r="AL5986">
        <v>91.146777119881406</v>
      </c>
      <c r="AM5986">
        <v>88.782282097367201</v>
      </c>
      <c r="AN5986">
        <v>0.99999998939051404</v>
      </c>
    </row>
    <row r="5987" spans="1:40" x14ac:dyDescent="0.25">
      <c r="A5987" t="str">
        <f>"20190312161139483"</f>
        <v>20190312161139483</v>
      </c>
      <c r="B5987" t="str">
        <f>"1552378299473067"</f>
        <v>1552378299473067</v>
      </c>
      <c r="C5987" t="s">
        <v>40</v>
      </c>
      <c r="D5987">
        <v>6.9067020000000001</v>
      </c>
      <c r="E5987">
        <v>0.55393990000000004</v>
      </c>
      <c r="F5987" t="s">
        <v>42</v>
      </c>
      <c r="G5987">
        <v>-270.04219999999998</v>
      </c>
      <c r="H5987">
        <v>0.93289610000000001</v>
      </c>
      <c r="I5987">
        <v>-63.533369999999998</v>
      </c>
      <c r="J5987">
        <v>-270.70650000000001</v>
      </c>
      <c r="K5987">
        <v>1.110425</v>
      </c>
      <c r="L5987">
        <v>-63.367370000000001</v>
      </c>
      <c r="M5987">
        <v>0.99760380000000004</v>
      </c>
      <c r="N5987">
        <v>0</v>
      </c>
      <c r="O5987">
        <v>-6.7905489999999999E-2</v>
      </c>
      <c r="P5987">
        <v>0.99546990000000002</v>
      </c>
      <c r="Q5987">
        <v>-3.3094499999999999E-2</v>
      </c>
      <c r="R5987">
        <v>-8.9132500000000003E-2</v>
      </c>
      <c r="S5987">
        <v>2.9300540000000002</v>
      </c>
      <c r="T5987">
        <v>-0.69758129999999996</v>
      </c>
      <c r="U5987">
        <v>-0.67276000000000002</v>
      </c>
      <c r="V5987">
        <v>2.133231E-2</v>
      </c>
      <c r="W5987">
        <v>-1.98423E-2</v>
      </c>
      <c r="X5987">
        <v>0.99957549999999995</v>
      </c>
      <c r="Y5987">
        <v>0.1547769</v>
      </c>
      <c r="Z5987">
        <v>-2.2367289999999998E-3</v>
      </c>
      <c r="AA5987">
        <v>0.98794689999999996</v>
      </c>
      <c r="AB5987">
        <v>17</v>
      </c>
      <c r="AC5987">
        <v>0.66430000000002498</v>
      </c>
      <c r="AD5987">
        <v>-0.17752889999999999</v>
      </c>
      <c r="AE5987">
        <v>-0.16600000000000301</v>
      </c>
      <c r="AF5987">
        <v>0.112913079740549</v>
      </c>
      <c r="AG5987">
        <v>-0.17752889999999999</v>
      </c>
      <c r="AH5987">
        <v>0.63158407237552305</v>
      </c>
      <c r="AI5987">
        <v>105.466664788944</v>
      </c>
      <c r="AJ5987">
        <v>79.863881474507906</v>
      </c>
      <c r="AK5987">
        <v>0.66570587678805704</v>
      </c>
      <c r="AL5987">
        <v>91.136954680700796</v>
      </c>
      <c r="AM5987">
        <v>88.777415191564302</v>
      </c>
      <c r="AN5987">
        <v>0.99999998225973796</v>
      </c>
    </row>
    <row r="5988" spans="1:40" x14ac:dyDescent="0.25">
      <c r="A5988" t="str">
        <f>"20190312161139494"</f>
        <v>20190312161139494</v>
      </c>
      <c r="B5988" t="str">
        <f>"1552378299483802"</f>
        <v>1552378299483802</v>
      </c>
      <c r="C5988" t="s">
        <v>40</v>
      </c>
      <c r="D5988">
        <v>5.7378130000000001</v>
      </c>
      <c r="E5988">
        <v>0.55381990000000003</v>
      </c>
      <c r="F5988" t="s">
        <v>42</v>
      </c>
      <c r="G5988">
        <v>-269.89949999999999</v>
      </c>
      <c r="H5988">
        <v>0.91980309999999998</v>
      </c>
      <c r="I5988">
        <v>-63.552430000000001</v>
      </c>
      <c r="J5988">
        <v>-270.62950000000001</v>
      </c>
      <c r="K5988">
        <v>1.1104270000000001</v>
      </c>
      <c r="L5988">
        <v>-63.37238</v>
      </c>
      <c r="M5988">
        <v>0.99761829999999996</v>
      </c>
      <c r="N5988">
        <v>0</v>
      </c>
      <c r="O5988">
        <v>-6.7692489999999994E-2</v>
      </c>
      <c r="P5988">
        <v>0.99547070000000004</v>
      </c>
      <c r="Q5988">
        <v>-3.3042429999999998E-2</v>
      </c>
      <c r="R5988">
        <v>-8.9142109999999997E-2</v>
      </c>
      <c r="S5988">
        <v>2.930542</v>
      </c>
      <c r="T5988">
        <v>-0.69217659999999903</v>
      </c>
      <c r="U5988">
        <v>-0.67144780000000004</v>
      </c>
      <c r="V5988">
        <v>2.1555109999999999E-2</v>
      </c>
      <c r="W5988">
        <v>-1.9788980000000001E-2</v>
      </c>
      <c r="X5988">
        <v>0.99957180000000001</v>
      </c>
      <c r="Y5988">
        <v>0.15456700000000001</v>
      </c>
      <c r="Z5988">
        <v>-2.244135E-3</v>
      </c>
      <c r="AA5988">
        <v>0.98797979999999996</v>
      </c>
      <c r="AB5988">
        <v>17</v>
      </c>
      <c r="AC5988">
        <v>0.73000000000001797</v>
      </c>
      <c r="AD5988">
        <v>-0.19062390000000001</v>
      </c>
      <c r="AE5988">
        <v>-0.18005000000000099</v>
      </c>
      <c r="AF5988">
        <v>0.122352514848931</v>
      </c>
      <c r="AG5988">
        <v>-0.19062390000000001</v>
      </c>
      <c r="AH5988">
        <v>0.69579039149195199</v>
      </c>
      <c r="AI5988">
        <v>105.100355771214</v>
      </c>
      <c r="AJ5988">
        <v>80.026684836504202</v>
      </c>
      <c r="AK5988">
        <v>0.73173210810623301</v>
      </c>
      <c r="AL5988">
        <v>91.133899044011699</v>
      </c>
      <c r="AM5988">
        <v>88.764645574122397</v>
      </c>
      <c r="AN5988">
        <v>1.0000000049258899</v>
      </c>
    </row>
    <row r="5989" spans="1:40" x14ac:dyDescent="0.25">
      <c r="A5989" t="str">
        <f>"20190312161139516"</f>
        <v>20190312161139516</v>
      </c>
      <c r="B5989" t="str">
        <f>"1552378299513082"</f>
        <v>1552378299513082</v>
      </c>
      <c r="C5989" t="s">
        <v>40</v>
      </c>
      <c r="D5989">
        <v>6.9176960000000003</v>
      </c>
      <c r="E5989">
        <v>0.55352730000000006</v>
      </c>
      <c r="F5989" t="s">
        <v>42</v>
      </c>
      <c r="G5989">
        <v>-269.89120000000003</v>
      </c>
      <c r="H5989">
        <v>0.93726290000000001</v>
      </c>
      <c r="I5989">
        <v>-63.541510000000002</v>
      </c>
      <c r="J5989">
        <v>-270.45960000000002</v>
      </c>
      <c r="K5989">
        <v>1.1104179999999999</v>
      </c>
      <c r="L5989">
        <v>-63.383330000000001</v>
      </c>
      <c r="M5989">
        <v>0.99765009999999998</v>
      </c>
      <c r="N5989">
        <v>0</v>
      </c>
      <c r="O5989">
        <v>-6.7222270000000001E-2</v>
      </c>
      <c r="P5989">
        <v>0.99546590000000001</v>
      </c>
      <c r="Q5989">
        <v>-3.2987139999999998E-2</v>
      </c>
      <c r="R5989">
        <v>-8.9218069999999997E-2</v>
      </c>
      <c r="S5989">
        <v>2.9307859999999999</v>
      </c>
      <c r="T5989">
        <v>-0.68734090000000003</v>
      </c>
      <c r="U5989">
        <v>-0.67077640000000005</v>
      </c>
      <c r="V5989">
        <v>2.210196E-2</v>
      </c>
      <c r="W5989">
        <v>-1.9731120000000001E-2</v>
      </c>
      <c r="X5989">
        <v>0.99956100000000003</v>
      </c>
      <c r="Y5989">
        <v>0.15481249999999999</v>
      </c>
      <c r="Z5989">
        <v>-2.363651E-3</v>
      </c>
      <c r="AA5989">
        <v>0.98794099999999996</v>
      </c>
      <c r="AB5989">
        <v>17</v>
      </c>
      <c r="AC5989">
        <v>0.56839999999999602</v>
      </c>
      <c r="AD5989">
        <v>-0.17315510000000001</v>
      </c>
      <c r="AE5989">
        <v>-0.158179999999987</v>
      </c>
      <c r="AF5989">
        <v>0.11012435775421001</v>
      </c>
      <c r="AG5989">
        <v>-0.17315510000000001</v>
      </c>
      <c r="AH5989">
        <v>0.53193160364259995</v>
      </c>
      <c r="AI5989">
        <v>107.68030066598401</v>
      </c>
      <c r="AJ5989">
        <v>78.303447810920403</v>
      </c>
      <c r="AK5989">
        <v>0.570141468216947</v>
      </c>
      <c r="AL5989">
        <v>91.130583264743805</v>
      </c>
      <c r="AM5989">
        <v>88.733301215322101</v>
      </c>
      <c r="AN5989">
        <v>1.0000000032266401</v>
      </c>
    </row>
    <row r="5990" spans="1:40" x14ac:dyDescent="0.25">
      <c r="A5990" t="str">
        <f>"20190312161139529"</f>
        <v>20190312161139529</v>
      </c>
      <c r="B5990" t="str">
        <f>"1552378299523817"</f>
        <v>1552378299523817</v>
      </c>
      <c r="C5990" t="s">
        <v>40</v>
      </c>
      <c r="D5990">
        <v>5.5898659999999998</v>
      </c>
      <c r="E5990">
        <v>0.55352730000000006</v>
      </c>
      <c r="F5990" t="s">
        <v>42</v>
      </c>
      <c r="G5990">
        <v>-269.73939999999999</v>
      </c>
      <c r="H5990">
        <v>0.94354740000000004</v>
      </c>
      <c r="I5990">
        <v>-63.547890000000002</v>
      </c>
      <c r="J5990">
        <v>-270.37009999999998</v>
      </c>
      <c r="K5990">
        <v>1.1104179999999999</v>
      </c>
      <c r="L5990">
        <v>-63.389040000000001</v>
      </c>
      <c r="M5990">
        <v>0.99766679999999996</v>
      </c>
      <c r="N5990">
        <v>0</v>
      </c>
      <c r="O5990">
        <v>-6.6974450000000005E-2</v>
      </c>
      <c r="P5990">
        <v>0.99543760000000003</v>
      </c>
      <c r="Q5990">
        <v>-3.2888969999999997E-2</v>
      </c>
      <c r="R5990">
        <v>-8.9568789999999995E-2</v>
      </c>
      <c r="S5990">
        <v>2.9312130000000001</v>
      </c>
      <c r="T5990">
        <v>-0.67915490000000001</v>
      </c>
      <c r="U5990">
        <v>-0.66873169999999904</v>
      </c>
      <c r="V5990">
        <v>2.270198E-2</v>
      </c>
      <c r="W5990">
        <v>-1.963177E-2</v>
      </c>
      <c r="X5990">
        <v>0.99954949999999998</v>
      </c>
      <c r="Y5990">
        <v>0.154427799999999</v>
      </c>
      <c r="Z5990">
        <v>-2.348199E-3</v>
      </c>
      <c r="AA5990">
        <v>0.98800129999999997</v>
      </c>
      <c r="AB5990">
        <v>17</v>
      </c>
      <c r="AC5990">
        <v>0.63069999999999005</v>
      </c>
      <c r="AD5990">
        <v>-0.16687060000000001</v>
      </c>
      <c r="AE5990">
        <v>-0.15885000000000099</v>
      </c>
      <c r="AF5990">
        <v>0.109069104569609</v>
      </c>
      <c r="AG5990">
        <v>-0.16687060000000001</v>
      </c>
      <c r="AH5990">
        <v>0.60040095732058096</v>
      </c>
      <c r="AI5990">
        <v>105.29399825677</v>
      </c>
      <c r="AJ5990">
        <v>79.703902270711595</v>
      </c>
      <c r="AK5990">
        <v>0.63263194376149401</v>
      </c>
      <c r="AL5990">
        <v>91.124889835938404</v>
      </c>
      <c r="AM5990">
        <v>88.698909806841698</v>
      </c>
      <c r="AN5990">
        <v>0.99999999461975098</v>
      </c>
    </row>
    <row r="5991" spans="1:40" x14ac:dyDescent="0.25">
      <c r="A5991" t="str">
        <f>"20190312161139540"</f>
        <v>20190312161139540</v>
      </c>
      <c r="B5991" t="str">
        <f>"1552378299533164"</f>
        <v>1552378299533164</v>
      </c>
      <c r="C5991" t="s">
        <v>40</v>
      </c>
      <c r="D5991">
        <v>5.6493909999999996</v>
      </c>
      <c r="E5991">
        <v>0.50565990000000005</v>
      </c>
      <c r="F5991" t="s">
        <v>42</v>
      </c>
      <c r="G5991">
        <v>-269.59699999999998</v>
      </c>
      <c r="H5991">
        <v>0.93133080000000001</v>
      </c>
      <c r="I5991">
        <v>-63.565759999999997</v>
      </c>
      <c r="J5991">
        <v>-270.28519999999997</v>
      </c>
      <c r="K5991">
        <v>1.1104179999999999</v>
      </c>
      <c r="L5991">
        <v>-63.394469999999998</v>
      </c>
      <c r="M5991">
        <v>0.99768239999999997</v>
      </c>
      <c r="N5991">
        <v>0</v>
      </c>
      <c r="O5991">
        <v>-6.6739039999999999E-2</v>
      </c>
      <c r="P5991">
        <v>0.99542430000000004</v>
      </c>
      <c r="Q5991">
        <v>-3.2994429999999998E-2</v>
      </c>
      <c r="R5991">
        <v>-8.9675749999999999E-2</v>
      </c>
      <c r="S5991">
        <v>2.9310610000000001</v>
      </c>
      <c r="T5991">
        <v>-0.67894509999999997</v>
      </c>
      <c r="U5991">
        <v>-0.66970830000000003</v>
      </c>
      <c r="V5991">
        <v>2.3045400000000001E-2</v>
      </c>
      <c r="W5991">
        <v>-1.9736380000000001E-2</v>
      </c>
      <c r="X5991">
        <v>0.99953959999999997</v>
      </c>
      <c r="Y5991">
        <v>0.15496670000000001</v>
      </c>
      <c r="Z5991">
        <v>-2.4612929999999998E-3</v>
      </c>
      <c r="AA5991">
        <v>0.98791660000000003</v>
      </c>
      <c r="AB5991">
        <v>17</v>
      </c>
      <c r="AC5991">
        <v>0.68819999999999404</v>
      </c>
      <c r="AD5991">
        <v>-0.1790872</v>
      </c>
      <c r="AE5991">
        <v>-0.171289999999999</v>
      </c>
      <c r="AF5991">
        <v>0.11748267312539599</v>
      </c>
      <c r="AG5991">
        <v>-0.1790872</v>
      </c>
      <c r="AH5991">
        <v>0.656250936701813</v>
      </c>
      <c r="AI5991">
        <v>105.036059099718</v>
      </c>
      <c r="AJ5991">
        <v>79.850369925979905</v>
      </c>
      <c r="AK5991">
        <v>0.69031854647730195</v>
      </c>
      <c r="AL5991">
        <v>91.130884687551202</v>
      </c>
      <c r="AM5991">
        <v>88.679221648599196</v>
      </c>
      <c r="AN5991">
        <v>1.0000000135624101</v>
      </c>
    </row>
    <row r="5992" spans="1:40" x14ac:dyDescent="0.25">
      <c r="A5992" t="str">
        <f>"20190312161139551"</f>
        <v>20190312161139551</v>
      </c>
      <c r="B5992" t="str">
        <f>"1552378299543887"</f>
        <v>1552378299543887</v>
      </c>
      <c r="C5992" t="s">
        <v>40</v>
      </c>
      <c r="D5992">
        <v>5.50319</v>
      </c>
      <c r="E5992">
        <v>0.50009139999999996</v>
      </c>
      <c r="F5992" t="s">
        <v>42</v>
      </c>
      <c r="G5992">
        <v>-269.56439999999998</v>
      </c>
      <c r="H5992">
        <v>0.98583200000000004</v>
      </c>
      <c r="I5992">
        <v>-63.466459999999998</v>
      </c>
      <c r="J5992">
        <v>-270.20850000000002</v>
      </c>
      <c r="K5992">
        <v>1.110412</v>
      </c>
      <c r="L5992">
        <v>-63.399380000000001</v>
      </c>
      <c r="M5992">
        <v>0.99769669999999999</v>
      </c>
      <c r="N5992">
        <v>0</v>
      </c>
      <c r="O5992">
        <v>-6.6526500000000002E-2</v>
      </c>
      <c r="P5992">
        <v>0.99538210000000005</v>
      </c>
      <c r="Q5992">
        <v>-3.2770130000000001E-2</v>
      </c>
      <c r="R5992">
        <v>-9.0225120000000006E-2</v>
      </c>
      <c r="S5992">
        <v>2.9701230000000001</v>
      </c>
      <c r="T5992">
        <v>-0.51338799999999996</v>
      </c>
      <c r="U5992">
        <v>-0.29635620000000001</v>
      </c>
      <c r="V5992">
        <v>2.3809250000000001E-2</v>
      </c>
      <c r="W5992">
        <v>-1.951133E-2</v>
      </c>
      <c r="X5992">
        <v>0.99952609999999997</v>
      </c>
      <c r="Y5992">
        <v>3.3347839999999997E-2</v>
      </c>
      <c r="Z5992">
        <v>8.51821E-3</v>
      </c>
      <c r="AA5992">
        <v>0.9994075</v>
      </c>
      <c r="AB5992">
        <v>17</v>
      </c>
      <c r="AC5992">
        <v>0.64410000000003698</v>
      </c>
      <c r="AD5992">
        <v>-0.12458</v>
      </c>
      <c r="AE5992">
        <v>-6.7079999999989995E-2</v>
      </c>
      <c r="AF5992">
        <v>2.32185968452964E-2</v>
      </c>
      <c r="AG5992">
        <v>-0.12458</v>
      </c>
      <c r="AH5992">
        <v>0.62404083731604199</v>
      </c>
      <c r="AI5992">
        <v>101.2821816803</v>
      </c>
      <c r="AJ5992">
        <v>87.869187149887495</v>
      </c>
      <c r="AK5992">
        <v>0.636778019625027</v>
      </c>
      <c r="AL5992">
        <v>91.117987805871607</v>
      </c>
      <c r="AM5992">
        <v>88.635441727798906</v>
      </c>
      <c r="AN5992">
        <v>0.99999999848257004</v>
      </c>
    </row>
    <row r="5993" spans="1:40" x14ac:dyDescent="0.25">
      <c r="A5993" t="str">
        <f>"20190312161139562"</f>
        <v>20190312161139562</v>
      </c>
      <c r="B5993" t="str">
        <f>"1552378299553647"</f>
        <v>1552378299553647</v>
      </c>
      <c r="C5993" t="s">
        <v>40</v>
      </c>
      <c r="D5993">
        <v>5.4951210000000001</v>
      </c>
      <c r="E5993">
        <v>0.49211450000000001</v>
      </c>
      <c r="F5993" t="s">
        <v>42</v>
      </c>
      <c r="G5993">
        <v>-269.4187</v>
      </c>
      <c r="H5993">
        <v>0.97891870000000003</v>
      </c>
      <c r="I5993">
        <v>-63.467210000000001</v>
      </c>
      <c r="J5993">
        <v>-270.12450000000001</v>
      </c>
      <c r="K5993">
        <v>1.110414</v>
      </c>
      <c r="L5993">
        <v>-63.404690000000002</v>
      </c>
      <c r="M5993">
        <v>0.99771209999999999</v>
      </c>
      <c r="N5993">
        <v>0</v>
      </c>
      <c r="O5993">
        <v>-6.6293580000000005E-2</v>
      </c>
      <c r="P5993">
        <v>0.99533609999999995</v>
      </c>
      <c r="Q5993">
        <v>-3.3030009999999999E-2</v>
      </c>
      <c r="R5993">
        <v>-9.0638109999999994E-2</v>
      </c>
      <c r="S5993">
        <v>2.9745789999999999</v>
      </c>
      <c r="T5993">
        <v>-0.49526120000000001</v>
      </c>
      <c r="U5993">
        <v>-0.25448609999999999</v>
      </c>
      <c r="V5993">
        <v>2.445752E-2</v>
      </c>
      <c r="W5993">
        <v>-1.9770659999999999E-2</v>
      </c>
      <c r="X5993">
        <v>0.99950530000000004</v>
      </c>
      <c r="Y5993">
        <v>1.9632480000000001E-2</v>
      </c>
      <c r="Z5993">
        <v>9.3096089999999999E-3</v>
      </c>
      <c r="AA5993">
        <v>0.99976390000000004</v>
      </c>
      <c r="AB5993">
        <v>17</v>
      </c>
      <c r="AC5993">
        <v>0.70580000000000997</v>
      </c>
      <c r="AD5993">
        <v>-0.13149529999999901</v>
      </c>
      <c r="AE5993">
        <v>-6.2519999999992096E-2</v>
      </c>
      <c r="AF5993">
        <v>1.50693340117644E-2</v>
      </c>
      <c r="AG5993">
        <v>-0.13149529999999901</v>
      </c>
      <c r="AH5993">
        <v>0.68480737351152399</v>
      </c>
      <c r="AI5993">
        <v>100.866948513615</v>
      </c>
      <c r="AJ5993">
        <v>88.739397456763299</v>
      </c>
      <c r="AK5993">
        <v>0.69748063597880705</v>
      </c>
      <c r="AL5993">
        <v>91.132849245565495</v>
      </c>
      <c r="AM5993">
        <v>88.598273476614494</v>
      </c>
      <c r="AN5993">
        <v>0.99999994700473605</v>
      </c>
    </row>
    <row r="5994" spans="1:40" x14ac:dyDescent="0.25">
      <c r="A5994" t="str">
        <f>"20190312161139573"</f>
        <v>20190312161139573</v>
      </c>
      <c r="B5994" t="str">
        <f>"1552378299563407"</f>
        <v>1552378299563407</v>
      </c>
      <c r="C5994" t="s">
        <v>40</v>
      </c>
      <c r="D5994">
        <v>5.4059860000000004</v>
      </c>
      <c r="E5994">
        <v>0.48751169999999999</v>
      </c>
      <c r="F5994" t="s">
        <v>42</v>
      </c>
      <c r="G5994">
        <v>-269.40750000000003</v>
      </c>
      <c r="H5994">
        <v>0.99891770000000002</v>
      </c>
      <c r="I5994">
        <v>-63.451509999999999</v>
      </c>
      <c r="J5994">
        <v>-270.04590000000002</v>
      </c>
      <c r="K5994">
        <v>1.110411</v>
      </c>
      <c r="L5994">
        <v>-63.409700000000001</v>
      </c>
      <c r="M5994">
        <v>0.99772660000000002</v>
      </c>
      <c r="N5994">
        <v>0</v>
      </c>
      <c r="O5994">
        <v>-6.6075439999999999E-2</v>
      </c>
      <c r="P5994">
        <v>0.99528879999999997</v>
      </c>
      <c r="Q5994">
        <v>-3.2536860000000001E-2</v>
      </c>
      <c r="R5994">
        <v>-9.1331010000000004E-2</v>
      </c>
      <c r="S5994">
        <v>2.9810490000000001</v>
      </c>
      <c r="T5994">
        <v>-0.463565</v>
      </c>
      <c r="U5994">
        <v>-0.19360350000000001</v>
      </c>
      <c r="V5994">
        <v>2.5370279999999999E-2</v>
      </c>
      <c r="W5994">
        <v>-1.9276729999999999E-2</v>
      </c>
      <c r="X5994">
        <v>0.99949219999999905</v>
      </c>
      <c r="Y5994">
        <v>-4.80839E-4</v>
      </c>
      <c r="Z5994">
        <v>1.0230039999999999E-2</v>
      </c>
      <c r="AA5994">
        <v>0.99994749999999999</v>
      </c>
      <c r="AB5994">
        <v>17</v>
      </c>
      <c r="AC5994">
        <v>0.63839999999998998</v>
      </c>
      <c r="AD5994">
        <v>-0.1114933</v>
      </c>
      <c r="AE5994">
        <v>-4.1809999999998099E-2</v>
      </c>
      <c r="AF5994">
        <v>-4.5386857840815E-4</v>
      </c>
      <c r="AG5994">
        <v>-0.1114933</v>
      </c>
      <c r="AH5994">
        <v>0.62091007602203796</v>
      </c>
      <c r="AI5994">
        <v>100.17979039998001</v>
      </c>
      <c r="AJ5994">
        <v>90.041881667521594</v>
      </c>
      <c r="AK5994">
        <v>0.63084093434658195</v>
      </c>
      <c r="AL5994">
        <v>91.104543740197897</v>
      </c>
      <c r="AM5994">
        <v>88.545963740224906</v>
      </c>
      <c r="AN5994">
        <v>0.99999995064380398</v>
      </c>
    </row>
    <row r="5995" spans="1:40" x14ac:dyDescent="0.25">
      <c r="A5995" t="str">
        <f>"20190312161139585"</f>
        <v>20190312161139585</v>
      </c>
      <c r="B5995" t="str">
        <f>"1552378299573168"</f>
        <v>1552378299573168</v>
      </c>
      <c r="C5995" t="s">
        <v>40</v>
      </c>
      <c r="D5995">
        <v>5.3617650000000001</v>
      </c>
      <c r="E5995">
        <v>0.48504799999999998</v>
      </c>
      <c r="F5995" t="s">
        <v>42</v>
      </c>
      <c r="G5995">
        <v>-269.25909999999999</v>
      </c>
      <c r="H5995">
        <v>0.99786010000000003</v>
      </c>
      <c r="I5995">
        <v>-63.452060000000003</v>
      </c>
      <c r="J5995">
        <v>-269.95499999999998</v>
      </c>
      <c r="K5995">
        <v>1.1104149999999999</v>
      </c>
      <c r="L5995">
        <v>-63.415410000000001</v>
      </c>
      <c r="M5995">
        <v>0.99774320000000005</v>
      </c>
      <c r="N5995">
        <v>0</v>
      </c>
      <c r="O5995">
        <v>-6.5823090000000001E-2</v>
      </c>
      <c r="P5995">
        <v>0.9952415</v>
      </c>
      <c r="Q5995">
        <v>-3.2127280000000001E-2</v>
      </c>
      <c r="R5995">
        <v>-9.1988819999999999E-2</v>
      </c>
      <c r="S5995">
        <v>2.9855040000000002</v>
      </c>
      <c r="T5995">
        <v>-0.42713689999999999</v>
      </c>
      <c r="U5995">
        <v>-0.16052249999999901</v>
      </c>
      <c r="V5995">
        <v>2.6282409999999999E-2</v>
      </c>
      <c r="W5995">
        <v>-1.886637E-2</v>
      </c>
      <c r="X5995">
        <v>0.99947649999999999</v>
      </c>
      <c r="Y5995">
        <v>-1.137815E-2</v>
      </c>
      <c r="Z5995">
        <v>1.0163800000000001E-2</v>
      </c>
      <c r="AA5995">
        <v>0.99988359999999998</v>
      </c>
      <c r="AB5995">
        <v>17</v>
      </c>
      <c r="AC5995">
        <v>0.69589999999999397</v>
      </c>
      <c r="AD5995">
        <v>-0.112554899999999</v>
      </c>
      <c r="AE5995">
        <v>-3.6650000000001598E-2</v>
      </c>
      <c r="AF5995">
        <v>-9.0048972679587901E-3</v>
      </c>
      <c r="AG5995">
        <v>-0.112554899999999</v>
      </c>
      <c r="AH5995">
        <v>0.67908748558842402</v>
      </c>
      <c r="AI5995">
        <v>99.410084298917894</v>
      </c>
      <c r="AJ5995">
        <v>90.759714149109698</v>
      </c>
      <c r="AK5995">
        <v>0.68841085608205199</v>
      </c>
      <c r="AL5995">
        <v>91.081027523669405</v>
      </c>
      <c r="AM5995">
        <v>88.493687230615294</v>
      </c>
      <c r="AN5995">
        <v>0.99999998952231695</v>
      </c>
    </row>
    <row r="5996" spans="1:40" x14ac:dyDescent="0.25">
      <c r="A5996" t="str">
        <f>"20190312161139596"</f>
        <v>20190312161139596</v>
      </c>
      <c r="B5996" t="str">
        <f>"1552378299593663"</f>
        <v>1552378299593663</v>
      </c>
      <c r="C5996" t="s">
        <v>40</v>
      </c>
      <c r="D5996">
        <v>5.2644699999999904</v>
      </c>
      <c r="E5996">
        <v>0.48142020000000002</v>
      </c>
      <c r="F5996" t="s">
        <v>42</v>
      </c>
      <c r="G5996">
        <v>-269.11</v>
      </c>
      <c r="H5996">
        <v>0.99955799999999995</v>
      </c>
      <c r="I5996">
        <v>-63.456330000000001</v>
      </c>
      <c r="J5996">
        <v>-269.87099999999998</v>
      </c>
      <c r="K5996">
        <v>1.1104130000000001</v>
      </c>
      <c r="L5996">
        <v>-63.420679999999997</v>
      </c>
      <c r="M5996">
        <v>0.99775879999999995</v>
      </c>
      <c r="N5996">
        <v>0</v>
      </c>
      <c r="O5996">
        <v>-6.5589220000000004E-2</v>
      </c>
      <c r="P5996">
        <v>0.99519840000000004</v>
      </c>
      <c r="Q5996">
        <v>-3.1980160000000001E-2</v>
      </c>
      <c r="R5996">
        <v>-9.2508549999999995E-2</v>
      </c>
      <c r="S5996">
        <v>2.9883419999999998</v>
      </c>
      <c r="T5996">
        <v>-0.39211600000000002</v>
      </c>
      <c r="U5996">
        <v>-0.1443787</v>
      </c>
      <c r="V5996">
        <v>2.703792E-2</v>
      </c>
      <c r="W5996">
        <v>-1.8718829999999999E-2</v>
      </c>
      <c r="X5996">
        <v>0.99945910000000004</v>
      </c>
      <c r="Y5996">
        <v>-1.66625E-2</v>
      </c>
      <c r="Z5996">
        <v>9.6452770000000007E-3</v>
      </c>
      <c r="AA5996">
        <v>0.9998146</v>
      </c>
      <c r="AB5996">
        <v>17</v>
      </c>
      <c r="AC5996">
        <v>0.76099999999996704</v>
      </c>
      <c r="AD5996">
        <v>-0.110854999999999</v>
      </c>
      <c r="AE5996">
        <v>-3.5649999999996802E-2</v>
      </c>
      <c r="AF5996">
        <v>-1.40471289674676E-2</v>
      </c>
      <c r="AG5996">
        <v>-0.110854999999999</v>
      </c>
      <c r="AH5996">
        <v>0.74590619858112195</v>
      </c>
      <c r="AI5996">
        <v>98.451826065085498</v>
      </c>
      <c r="AJ5996">
        <v>91.078883750748602</v>
      </c>
      <c r="AK5996">
        <v>0.75422954724604097</v>
      </c>
      <c r="AL5996">
        <v>91.072572634088601</v>
      </c>
      <c r="AM5996">
        <v>88.450380854751799</v>
      </c>
      <c r="AN5996">
        <v>0.999999968143652</v>
      </c>
    </row>
    <row r="5997" spans="1:40" x14ac:dyDescent="0.25">
      <c r="A5997" t="str">
        <f>"20190312161139619"</f>
        <v>20190312161139619</v>
      </c>
      <c r="B5997" t="str">
        <f>"1552378299613183"</f>
        <v>1552378299613183</v>
      </c>
      <c r="C5997" t="s">
        <v>40</v>
      </c>
      <c r="D5997">
        <v>5.8182309999999999</v>
      </c>
      <c r="E5997">
        <v>0.47885450000000002</v>
      </c>
      <c r="F5997" t="s">
        <v>42</v>
      </c>
      <c r="G5997">
        <v>-269.09809999999999</v>
      </c>
      <c r="H5997">
        <v>1.0222899999999999</v>
      </c>
      <c r="I5997">
        <v>-63.451599999999999</v>
      </c>
      <c r="J5997">
        <v>-269.709</v>
      </c>
      <c r="K5997">
        <v>1.1104210000000001</v>
      </c>
      <c r="L5997">
        <v>-63.430790000000002</v>
      </c>
      <c r="M5997">
        <v>0.99778829999999996</v>
      </c>
      <c r="N5997">
        <v>0</v>
      </c>
      <c r="O5997">
        <v>-6.5137319999999999E-2</v>
      </c>
      <c r="P5997">
        <v>0.99513249999999998</v>
      </c>
      <c r="Q5997">
        <v>-3.2166140000000003E-2</v>
      </c>
      <c r="R5997">
        <v>-9.3149159999999995E-2</v>
      </c>
      <c r="S5997">
        <v>2.9924620000000002</v>
      </c>
      <c r="T5997">
        <v>-0.341257599999999</v>
      </c>
      <c r="U5997">
        <v>-0.1192932</v>
      </c>
      <c r="V5997">
        <v>2.8133970000000001E-2</v>
      </c>
      <c r="W5997">
        <v>-1.890437E-2</v>
      </c>
      <c r="X5997">
        <v>0.99942540000000002</v>
      </c>
      <c r="Y5997">
        <v>-2.4762050000000001E-2</v>
      </c>
      <c r="Z5997">
        <v>8.8024090000000006E-3</v>
      </c>
      <c r="AA5997">
        <v>0.99965459999999995</v>
      </c>
      <c r="AB5997">
        <v>17</v>
      </c>
      <c r="AC5997">
        <v>0.61090000000001499</v>
      </c>
      <c r="AD5997">
        <v>-8.8130999999999904E-2</v>
      </c>
      <c r="AE5997">
        <v>-2.0809999999997299E-2</v>
      </c>
      <c r="AF5997">
        <v>-1.8642543648439099E-2</v>
      </c>
      <c r="AG5997">
        <v>-8.8130999999999904E-2</v>
      </c>
      <c r="AH5997">
        <v>0.59851606194890095</v>
      </c>
      <c r="AI5997">
        <v>98.372558718416201</v>
      </c>
      <c r="AJ5997">
        <v>91.7840688080544</v>
      </c>
      <c r="AK5997">
        <v>0.60525704787759704</v>
      </c>
      <c r="AL5997">
        <v>91.083205126443602</v>
      </c>
      <c r="AM5997">
        <v>88.387541325217597</v>
      </c>
      <c r="AN5997">
        <v>1.0000000128191</v>
      </c>
    </row>
    <row r="5998" spans="1:40" x14ac:dyDescent="0.25">
      <c r="A5998" t="str">
        <f>"20190312161139630"</f>
        <v>20190312161139630</v>
      </c>
      <c r="B5998" t="str">
        <f>"1552378299622943"</f>
        <v>1552378299622943</v>
      </c>
      <c r="C5998" t="s">
        <v>40</v>
      </c>
      <c r="D5998">
        <v>5.2434419999999999</v>
      </c>
      <c r="E5998">
        <v>0.4776628</v>
      </c>
      <c r="F5998" t="s">
        <v>42</v>
      </c>
      <c r="G5998">
        <v>-268.94389999999999</v>
      </c>
      <c r="H5998">
        <v>1.028813</v>
      </c>
      <c r="I5998">
        <v>-63.456859999999999</v>
      </c>
      <c r="J5998">
        <v>-269.62400000000002</v>
      </c>
      <c r="K5998">
        <v>1.1104240000000001</v>
      </c>
      <c r="L5998">
        <v>-63.436070000000001</v>
      </c>
      <c r="M5998">
        <v>0.99780369999999996</v>
      </c>
      <c r="N5998">
        <v>0</v>
      </c>
      <c r="O5998">
        <v>-6.4899499999999999E-2</v>
      </c>
      <c r="P5998">
        <v>0.99515480000000001</v>
      </c>
      <c r="Q5998">
        <v>-3.1784510000000002E-2</v>
      </c>
      <c r="R5998">
        <v>-9.3041550000000001E-2</v>
      </c>
      <c r="S5998">
        <v>2.9947810000000001</v>
      </c>
      <c r="T5998">
        <v>-0.31949929999999999</v>
      </c>
      <c r="U5998">
        <v>-0.1018066</v>
      </c>
      <c r="V5998">
        <v>2.8263170000000001E-2</v>
      </c>
      <c r="W5998">
        <v>-1.852256E-2</v>
      </c>
      <c r="X5998">
        <v>0.99942889999999995</v>
      </c>
      <c r="Y5998">
        <v>-3.0424659999999999E-2</v>
      </c>
      <c r="Z5998">
        <v>8.5151930000000008E-3</v>
      </c>
      <c r="AA5998">
        <v>0.99950079999999997</v>
      </c>
      <c r="AB5998">
        <v>17</v>
      </c>
      <c r="AC5998">
        <v>0.68010000000003801</v>
      </c>
      <c r="AD5998">
        <v>-8.16110000000001E-2</v>
      </c>
      <c r="AE5998">
        <v>-2.07900000000052E-2</v>
      </c>
      <c r="AF5998">
        <v>-2.3064063660888201E-2</v>
      </c>
      <c r="AG5998">
        <v>-8.16110000000001E-2</v>
      </c>
      <c r="AH5998">
        <v>0.67037124624751399</v>
      </c>
      <c r="AI5998">
        <v>96.936968505390894</v>
      </c>
      <c r="AJ5998">
        <v>91.970479007097396</v>
      </c>
      <c r="AK5998">
        <v>0.67571437319994798</v>
      </c>
      <c r="AL5998">
        <v>91.061325197539105</v>
      </c>
      <c r="AM5998">
        <v>88.380146015979506</v>
      </c>
      <c r="AN5998">
        <v>1.0000000090812999</v>
      </c>
    </row>
    <row r="5999" spans="1:40" x14ac:dyDescent="0.25">
      <c r="A5999" t="str">
        <f>"20190312161139640"</f>
        <v>20190312161139640</v>
      </c>
      <c r="B5999" t="str">
        <f>"1552378299633508"</f>
        <v>1552378299633508</v>
      </c>
      <c r="C5999" t="s">
        <v>40</v>
      </c>
      <c r="D5999">
        <v>5.3267730000000002</v>
      </c>
      <c r="E5999">
        <v>0.47654770000000002</v>
      </c>
      <c r="F5999" t="s">
        <v>42</v>
      </c>
      <c r="G5999">
        <v>-268.80059999999997</v>
      </c>
      <c r="H5999">
        <v>1.0224690000000001</v>
      </c>
      <c r="I5999">
        <v>-63.461579999999998</v>
      </c>
      <c r="J5999">
        <v>-269.54539999999997</v>
      </c>
      <c r="K5999">
        <v>1.1104290000000001</v>
      </c>
      <c r="L5999">
        <v>-63.440950000000001</v>
      </c>
      <c r="M5999">
        <v>0.99781810000000004</v>
      </c>
      <c r="N5999">
        <v>0</v>
      </c>
      <c r="O5999">
        <v>-6.4679440000000005E-2</v>
      </c>
      <c r="P5999">
        <v>0.9951835</v>
      </c>
      <c r="Q5999">
        <v>-3.1486220000000002E-2</v>
      </c>
      <c r="R5999">
        <v>-9.2836790000000002E-2</v>
      </c>
      <c r="S5999">
        <v>2.995819</v>
      </c>
      <c r="T5999">
        <v>-0.32001269999999998</v>
      </c>
      <c r="U5999">
        <v>-9.2071529999999999E-2</v>
      </c>
      <c r="V5999">
        <v>2.8277259999999999E-2</v>
      </c>
      <c r="W5999">
        <v>-1.8224199999999999E-2</v>
      </c>
      <c r="X5999">
        <v>0.99943400000000004</v>
      </c>
      <c r="Y5999">
        <v>-3.3443029999999999E-2</v>
      </c>
      <c r="Z5999">
        <v>8.6638159999999995E-3</v>
      </c>
      <c r="AA5999">
        <v>0.99940309999999999</v>
      </c>
      <c r="AB5999">
        <v>17</v>
      </c>
      <c r="AC5999">
        <v>0.74479999999999702</v>
      </c>
      <c r="AD5999">
        <v>-8.7959999999999997E-2</v>
      </c>
      <c r="AE5999">
        <v>-2.06300000000041E-2</v>
      </c>
      <c r="AF5999">
        <v>-2.72114461192977E-2</v>
      </c>
      <c r="AG5999">
        <v>-8.7959999999999997E-2</v>
      </c>
      <c r="AH5999">
        <v>0.73434040104472897</v>
      </c>
      <c r="AI5999">
        <v>96.825760876680206</v>
      </c>
      <c r="AJ5999">
        <v>92.122160229012096</v>
      </c>
      <c r="AK5999">
        <v>0.74009002763612297</v>
      </c>
      <c r="AL5999">
        <v>91.044227528542507</v>
      </c>
      <c r="AM5999">
        <v>88.379347168563299</v>
      </c>
      <c r="AN5999">
        <v>1.00000002262737</v>
      </c>
    </row>
    <row r="6000" spans="1:40" x14ac:dyDescent="0.25">
      <c r="A6000" t="str">
        <f>"20190312161139662"</f>
        <v>20190312161139662</v>
      </c>
      <c r="B6000" t="str">
        <f>"1552378299653018"</f>
        <v>1552378299653018</v>
      </c>
      <c r="C6000" t="s">
        <v>40</v>
      </c>
      <c r="D6000">
        <v>5.2318509999999998</v>
      </c>
      <c r="E6000">
        <v>0.47566589999999997</v>
      </c>
      <c r="F6000" t="s">
        <v>109</v>
      </c>
      <c r="G6000">
        <v>-259.1044</v>
      </c>
      <c r="H6000" s="1">
        <v>-3.5685670000000002E-6</v>
      </c>
      <c r="I6000">
        <v>-63.729199999999999</v>
      </c>
      <c r="J6000">
        <v>-269.38420000000002</v>
      </c>
      <c r="K6000">
        <v>1.110436</v>
      </c>
      <c r="L6000">
        <v>-63.450839999999999</v>
      </c>
      <c r="M6000">
        <v>0.99784720000000005</v>
      </c>
      <c r="N6000">
        <v>0</v>
      </c>
      <c r="O6000">
        <v>-6.4226939999999996E-2</v>
      </c>
      <c r="P6000">
        <v>0.99529719999999999</v>
      </c>
      <c r="Q6000">
        <v>-3.067986E-2</v>
      </c>
      <c r="R6000">
        <v>-9.1881080000000004E-2</v>
      </c>
      <c r="S6000">
        <v>2.9967350000000001</v>
      </c>
      <c r="T6000">
        <v>-0.31871260000000001</v>
      </c>
      <c r="U6000">
        <v>-8.2733150000000005E-2</v>
      </c>
      <c r="V6000">
        <v>2.776901E-2</v>
      </c>
      <c r="W6000">
        <v>-1.741759E-2</v>
      </c>
      <c r="X6000">
        <v>0.99946259999999998</v>
      </c>
      <c r="Y6000">
        <v>-3.6103070000000001E-2</v>
      </c>
      <c r="Z6000">
        <v>8.7198999999999992E-3</v>
      </c>
      <c r="AA6000">
        <v>0.99931000000000003</v>
      </c>
      <c r="AB6000">
        <v>17</v>
      </c>
      <c r="AC6000">
        <v>10.2798</v>
      </c>
      <c r="AD6000">
        <v>-1.1104395685670001</v>
      </c>
      <c r="AE6000">
        <v>-0.278359999999999</v>
      </c>
      <c r="AF6000">
        <v>-0.37810425544723603</v>
      </c>
      <c r="AG6000">
        <v>-1.1104395685670001</v>
      </c>
      <c r="AH6000">
        <v>10.158008163340901</v>
      </c>
      <c r="AI6000">
        <v>96.234328150690303</v>
      </c>
      <c r="AJ6000">
        <v>92.131695601229595</v>
      </c>
      <c r="AK6000">
        <v>10.2255155718392</v>
      </c>
      <c r="AL6000">
        <v>90.998004872224598</v>
      </c>
      <c r="AM6000">
        <v>88.408506869359101</v>
      </c>
      <c r="AN6000">
        <v>0.99999998957827396</v>
      </c>
    </row>
    <row r="6001" spans="1:40" x14ac:dyDescent="0.25">
      <c r="A6001" t="str">
        <f>"20190312161139674"</f>
        <v>20190312161139674</v>
      </c>
      <c r="B6001" t="str">
        <f>"1552378299663754"</f>
        <v>1552378299663754</v>
      </c>
      <c r="C6001" t="s">
        <v>40</v>
      </c>
      <c r="D6001">
        <v>5.1799169999999997</v>
      </c>
      <c r="E6001">
        <v>0.47517480000000001</v>
      </c>
      <c r="F6001" t="s">
        <v>109</v>
      </c>
      <c r="G6001">
        <v>-258.73829999999998</v>
      </c>
      <c r="H6001" s="1">
        <v>-3.4413829999999999E-6</v>
      </c>
      <c r="I6001">
        <v>-63.709850000000003</v>
      </c>
      <c r="J6001">
        <v>-269.30340000000001</v>
      </c>
      <c r="K6001">
        <v>1.11043799999999</v>
      </c>
      <c r="L6001">
        <v>-63.455779999999997</v>
      </c>
      <c r="M6001">
        <v>0.99786189999999997</v>
      </c>
      <c r="N6001">
        <v>0</v>
      </c>
      <c r="O6001">
        <v>-6.3999619999999993E-2</v>
      </c>
      <c r="P6001">
        <v>0.99535560000000001</v>
      </c>
      <c r="Q6001">
        <v>-3.0416970000000002E-2</v>
      </c>
      <c r="R6001">
        <v>-9.1336609999999999E-2</v>
      </c>
      <c r="S6001">
        <v>2.997833</v>
      </c>
      <c r="T6001">
        <v>-0.31269570000000002</v>
      </c>
      <c r="U6001">
        <v>-7.2937009999999997E-2</v>
      </c>
      <c r="V6001">
        <v>2.7449169999999998E-2</v>
      </c>
      <c r="W6001">
        <v>-1.7154800000000001E-2</v>
      </c>
      <c r="X6001">
        <v>0.99947600000000003</v>
      </c>
      <c r="Y6001">
        <v>-3.9154700000000001E-2</v>
      </c>
      <c r="Z6001">
        <v>8.6886910000000001E-3</v>
      </c>
      <c r="AA6001">
        <v>0.99919539999999996</v>
      </c>
      <c r="AB6001">
        <v>17</v>
      </c>
      <c r="AC6001">
        <v>10.565099999999999</v>
      </c>
      <c r="AD6001">
        <v>-1.1104414413829899</v>
      </c>
      <c r="AE6001">
        <v>-0.25406999999999802</v>
      </c>
      <c r="AF6001">
        <v>-0.41805713572018099</v>
      </c>
      <c r="AG6001">
        <v>-1.1104414413829899</v>
      </c>
      <c r="AH6001">
        <v>10.444386350933399</v>
      </c>
      <c r="AI6001">
        <v>96.0640377396644</v>
      </c>
      <c r="AJ6001">
        <v>92.292152820956801</v>
      </c>
      <c r="AK6001">
        <v>10.511567828398899</v>
      </c>
      <c r="AL6001">
        <v>90.982945844624595</v>
      </c>
      <c r="AM6001">
        <v>88.426849304995002</v>
      </c>
      <c r="AN6001">
        <v>1.0000000093363599</v>
      </c>
    </row>
    <row r="6002" spans="1:40" x14ac:dyDescent="0.25">
      <c r="A6002" t="str">
        <f>"20190312161139685"</f>
        <v>20190312161139685</v>
      </c>
      <c r="B6002" t="str">
        <f>"1552378299673514"</f>
        <v>1552378299673514</v>
      </c>
      <c r="C6002" t="s">
        <v>40</v>
      </c>
      <c r="D6002">
        <v>5.2909790000000001</v>
      </c>
      <c r="E6002">
        <v>0.47485260000000001</v>
      </c>
      <c r="F6002" t="s">
        <v>109</v>
      </c>
      <c r="G6002">
        <v>-258.55419999999998</v>
      </c>
      <c r="H6002" s="1">
        <v>-3.3770469999999998E-6</v>
      </c>
      <c r="I6002">
        <v>-63.697240000000001</v>
      </c>
      <c r="J6002">
        <v>-269.22329999999999</v>
      </c>
      <c r="K6002">
        <v>1.1104339999999999</v>
      </c>
      <c r="L6002">
        <v>-63.460630000000002</v>
      </c>
      <c r="M6002">
        <v>0.99787650000000006</v>
      </c>
      <c r="N6002">
        <v>0</v>
      </c>
      <c r="O6002">
        <v>-6.3774789999999998E-2</v>
      </c>
      <c r="P6002">
        <v>0.99541679999999999</v>
      </c>
      <c r="Q6002">
        <v>-3.0272540000000001E-2</v>
      </c>
      <c r="R6002">
        <v>-9.0717179999999994E-2</v>
      </c>
      <c r="S6002">
        <v>2.9983520000000001</v>
      </c>
      <c r="T6002">
        <v>-0.30974410000000002</v>
      </c>
      <c r="U6002">
        <v>-6.7352289999999995E-2</v>
      </c>
      <c r="V6002">
        <v>2.705231E-2</v>
      </c>
      <c r="W6002">
        <v>-1.701051E-2</v>
      </c>
      <c r="X6002">
        <v>0.99948919999999997</v>
      </c>
      <c r="Y6002">
        <v>-4.0796880000000001E-2</v>
      </c>
      <c r="Z6002">
        <v>8.6673830000000007E-3</v>
      </c>
      <c r="AA6002">
        <v>0.99912990000000002</v>
      </c>
      <c r="AB6002">
        <v>17</v>
      </c>
      <c r="AC6002">
        <v>10.6691</v>
      </c>
      <c r="AD6002">
        <v>-1.110437377047</v>
      </c>
      <c r="AE6002">
        <v>-0.23660999999999799</v>
      </c>
      <c r="AF6002">
        <v>-0.43959141939319701</v>
      </c>
      <c r="AG6002">
        <v>-1.110437377047</v>
      </c>
      <c r="AH6002">
        <v>10.548259479779199</v>
      </c>
      <c r="AI6002">
        <v>96.004338792938398</v>
      </c>
      <c r="AJ6002">
        <v>92.386381114562994</v>
      </c>
      <c r="AK6002">
        <v>10.6156530574948</v>
      </c>
      <c r="AL6002">
        <v>90.974677514382805</v>
      </c>
      <c r="AM6002">
        <v>88.4496031952865</v>
      </c>
      <c r="AN6002">
        <v>0.99999992292171502</v>
      </c>
    </row>
    <row r="6003" spans="1:40" x14ac:dyDescent="0.25">
      <c r="A6003" t="str">
        <f>"20190312161139695"</f>
        <v>20190312161139695</v>
      </c>
      <c r="B6003" t="str">
        <f>"1552378299683273"</f>
        <v>1552378299683273</v>
      </c>
      <c r="C6003" t="s">
        <v>40</v>
      </c>
      <c r="D6003">
        <v>5.2360300000000004</v>
      </c>
      <c r="E6003">
        <v>0.47457090000000002</v>
      </c>
      <c r="F6003" t="s">
        <v>42</v>
      </c>
      <c r="G6003">
        <v>-268.35309999999998</v>
      </c>
      <c r="H6003">
        <v>1.0223640000000001</v>
      </c>
      <c r="I6003">
        <v>-63.479120000000002</v>
      </c>
      <c r="J6003">
        <v>-269.14010000000002</v>
      </c>
      <c r="K6003">
        <v>1.110433</v>
      </c>
      <c r="L6003">
        <v>-63.465670000000003</v>
      </c>
      <c r="M6003">
        <v>0.99789119999999998</v>
      </c>
      <c r="N6003">
        <v>0</v>
      </c>
      <c r="O6003">
        <v>-6.3540079999999999E-2</v>
      </c>
      <c r="P6003">
        <v>0.9954904</v>
      </c>
      <c r="Q6003">
        <v>-3.0294950000000001E-2</v>
      </c>
      <c r="R6003">
        <v>-8.9895359999999994E-2</v>
      </c>
      <c r="S6003">
        <v>2.9988709999999998</v>
      </c>
      <c r="T6003">
        <v>-0.30350240000000001</v>
      </c>
      <c r="U6003">
        <v>-6.3049320000000006E-2</v>
      </c>
      <c r="V6003">
        <v>2.6462449999999998E-2</v>
      </c>
      <c r="W6003">
        <v>-1.703325E-2</v>
      </c>
      <c r="X6003">
        <v>0.99950470000000002</v>
      </c>
      <c r="Y6003">
        <v>-4.2015909999999997E-2</v>
      </c>
      <c r="Z6003">
        <v>8.5302409999999992E-3</v>
      </c>
      <c r="AA6003">
        <v>0.99908050000000004</v>
      </c>
      <c r="AB6003">
        <v>16</v>
      </c>
      <c r="AC6003">
        <v>0.78700000000003401</v>
      </c>
      <c r="AD6003">
        <v>-8.8068999999999897E-2</v>
      </c>
      <c r="AE6003">
        <v>-1.34499999999988E-2</v>
      </c>
      <c r="AF6003">
        <v>-3.61352453754012E-2</v>
      </c>
      <c r="AG6003">
        <v>-8.8068999999999897E-2</v>
      </c>
      <c r="AH6003">
        <v>0.77654256769936403</v>
      </c>
      <c r="AI6003">
        <v>96.463429487733805</v>
      </c>
      <c r="AJ6003">
        <v>92.664251370851403</v>
      </c>
      <c r="AK6003">
        <v>0.78235558678165096</v>
      </c>
      <c r="AL6003">
        <v>90.975980515434102</v>
      </c>
      <c r="AM6003">
        <v>88.483416246352505</v>
      </c>
      <c r="AN6003">
        <v>1.0000000190938201</v>
      </c>
    </row>
    <row r="6004" spans="1:40" x14ac:dyDescent="0.25">
      <c r="A6004" t="str">
        <f>"20190312161139708"</f>
        <v>20190312161139708</v>
      </c>
      <c r="B6004" t="str">
        <f>"1552378299703770"</f>
        <v>1552378299703770</v>
      </c>
      <c r="C6004" t="s">
        <v>40</v>
      </c>
      <c r="D6004">
        <v>5.2839780000000003</v>
      </c>
      <c r="E6004">
        <v>0.47428049999999999</v>
      </c>
      <c r="F6004" t="s">
        <v>109</v>
      </c>
      <c r="G6004">
        <v>-257.95269999999999</v>
      </c>
      <c r="H6004" s="1">
        <v>-3.1705559999999998E-6</v>
      </c>
      <c r="I6004">
        <v>-63.683880000000002</v>
      </c>
      <c r="J6004">
        <v>-269.05340000000001</v>
      </c>
      <c r="K6004">
        <v>1.110433</v>
      </c>
      <c r="L6004">
        <v>-63.470950000000002</v>
      </c>
      <c r="M6004">
        <v>0.99790670000000004</v>
      </c>
      <c r="N6004">
        <v>0</v>
      </c>
      <c r="O6004">
        <v>-6.3295710000000005E-2</v>
      </c>
      <c r="P6004">
        <v>0.99554469999999995</v>
      </c>
      <c r="Q6004">
        <v>-3.0203899999999999E-2</v>
      </c>
      <c r="R6004">
        <v>-8.9321910000000004E-2</v>
      </c>
      <c r="S6004">
        <v>2.9992679999999998</v>
      </c>
      <c r="T6004">
        <v>-0.29770039999999998</v>
      </c>
      <c r="U6004">
        <v>-5.85021999999999E-2</v>
      </c>
      <c r="V6004">
        <v>2.6131390000000001E-2</v>
      </c>
      <c r="W6004">
        <v>-1.6942539999999999E-2</v>
      </c>
      <c r="X6004">
        <v>0.99951489999999998</v>
      </c>
      <c r="Y6004">
        <v>-4.3303380000000002E-2</v>
      </c>
      <c r="Z6004">
        <v>8.4066569999999997E-3</v>
      </c>
      <c r="AA6004">
        <v>0.99902659999999999</v>
      </c>
      <c r="AB6004">
        <v>16</v>
      </c>
      <c r="AC6004">
        <v>11.1007</v>
      </c>
      <c r="AD6004">
        <v>-1.110436170556</v>
      </c>
      <c r="AE6004">
        <v>-0.21293000000000001</v>
      </c>
      <c r="AF6004">
        <v>-0.48533079690115</v>
      </c>
      <c r="AG6004">
        <v>-1.110436170556</v>
      </c>
      <c r="AH6004">
        <v>10.9820632007628</v>
      </c>
      <c r="AI6004">
        <v>95.768168237624195</v>
      </c>
      <c r="AJ6004">
        <v>92.530428404176803</v>
      </c>
      <c r="AK6004">
        <v>11.048725112738101</v>
      </c>
      <c r="AL6004">
        <v>90.970782515589704</v>
      </c>
      <c r="AM6004">
        <v>88.5023961352274</v>
      </c>
      <c r="AN6004">
        <v>0.99999996726349605</v>
      </c>
    </row>
    <row r="6005" spans="1:40" x14ac:dyDescent="0.25">
      <c r="A6005" t="str">
        <f>"20190312161139719"</f>
        <v>20190312161139719</v>
      </c>
      <c r="B6005" t="str">
        <f>"1552378299713530"</f>
        <v>1552378299713530</v>
      </c>
      <c r="C6005" t="s">
        <v>40</v>
      </c>
      <c r="D6005">
        <v>5.4403930000000003</v>
      </c>
      <c r="E6005">
        <v>0.47387699999999999</v>
      </c>
      <c r="F6005" t="s">
        <v>109</v>
      </c>
      <c r="G6005">
        <v>-257.74509999999998</v>
      </c>
      <c r="H6005" s="1">
        <v>-3.0989550000000001E-6</v>
      </c>
      <c r="I6005">
        <v>-63.676540000000003</v>
      </c>
      <c r="J6005">
        <v>-268.97160000000002</v>
      </c>
      <c r="K6005">
        <v>1.110433</v>
      </c>
      <c r="L6005">
        <v>-63.475859999999997</v>
      </c>
      <c r="M6005">
        <v>0.99792150000000002</v>
      </c>
      <c r="N6005">
        <v>0</v>
      </c>
      <c r="O6005">
        <v>-6.3064330000000002E-2</v>
      </c>
      <c r="P6005">
        <v>0.99552839999999998</v>
      </c>
      <c r="Q6005">
        <v>-3.0250139999999998E-2</v>
      </c>
      <c r="R6005">
        <v>-8.9487109999999995E-2</v>
      </c>
      <c r="S6005">
        <v>2.999603</v>
      </c>
      <c r="T6005">
        <v>-0.2945509</v>
      </c>
      <c r="U6005">
        <v>-5.4534909999999999E-2</v>
      </c>
      <c r="V6005">
        <v>2.6529049999999998E-2</v>
      </c>
      <c r="W6005">
        <v>-1.698916E-2</v>
      </c>
      <c r="X6005">
        <v>0.99950369999999999</v>
      </c>
      <c r="Y6005">
        <v>-4.4401660000000003E-2</v>
      </c>
      <c r="Z6005">
        <v>8.3485529999999999E-3</v>
      </c>
      <c r="AA6005">
        <v>0.9989789</v>
      </c>
      <c r="AB6005">
        <v>16</v>
      </c>
      <c r="AC6005">
        <v>11.2265</v>
      </c>
      <c r="AD6005">
        <v>-1.110436098955</v>
      </c>
      <c r="AE6005">
        <v>-0.20068000000000499</v>
      </c>
      <c r="AF6005">
        <v>-0.50285523155302703</v>
      </c>
      <c r="AG6005">
        <v>-1.110436098955</v>
      </c>
      <c r="AH6005">
        <v>11.1081631477223</v>
      </c>
      <c r="AI6005">
        <v>95.702849576012397</v>
      </c>
      <c r="AJ6005">
        <v>92.591952001128703</v>
      </c>
      <c r="AK6005">
        <v>11.174847660267099</v>
      </c>
      <c r="AL6005">
        <v>90.973453964281504</v>
      </c>
      <c r="AM6005">
        <v>88.479599617003203</v>
      </c>
      <c r="AN6005">
        <v>1.0000000341825399</v>
      </c>
    </row>
    <row r="6006" spans="1:40" x14ac:dyDescent="0.25">
      <c r="A6006" t="str">
        <f>"20190312161139731"</f>
        <v>20190312161139731</v>
      </c>
      <c r="B6006" t="str">
        <f>"1552378299723290"</f>
        <v>1552378299723290</v>
      </c>
      <c r="C6006" t="s">
        <v>40</v>
      </c>
      <c r="D6006">
        <v>5.227131</v>
      </c>
      <c r="E6006">
        <v>0.4739256</v>
      </c>
      <c r="F6006" t="s">
        <v>109</v>
      </c>
      <c r="G6006">
        <v>-257.86470000000003</v>
      </c>
      <c r="H6006" s="1">
        <v>-3.138335E-6</v>
      </c>
      <c r="I6006">
        <v>-63.666820000000001</v>
      </c>
      <c r="J6006">
        <v>-268.88990000000001</v>
      </c>
      <c r="K6006">
        <v>1.1104339999999999</v>
      </c>
      <c r="L6006">
        <v>-63.480739999999997</v>
      </c>
      <c r="M6006">
        <v>0.99793609999999999</v>
      </c>
      <c r="N6006">
        <v>0</v>
      </c>
      <c r="O6006">
        <v>-6.2832470000000001E-2</v>
      </c>
      <c r="P6006">
        <v>0.99553069999999999</v>
      </c>
      <c r="Q6006">
        <v>-3.0033130000000002E-2</v>
      </c>
      <c r="R6006">
        <v>-8.9535069999999994E-2</v>
      </c>
      <c r="S6006">
        <v>2.9997250000000002</v>
      </c>
      <c r="T6006">
        <v>-0.29990460000000002</v>
      </c>
      <c r="U6006">
        <v>-5.1574710000000003E-2</v>
      </c>
      <c r="V6006">
        <v>2.6808950000000002E-2</v>
      </c>
      <c r="W6006">
        <v>-1.6772410000000001E-2</v>
      </c>
      <c r="X6006">
        <v>0.9994999</v>
      </c>
      <c r="Y6006">
        <v>-4.513441E-2</v>
      </c>
      <c r="Z6006">
        <v>8.5127789999999998E-3</v>
      </c>
      <c r="AA6006">
        <v>0.99894459999999996</v>
      </c>
      <c r="AB6006">
        <v>16</v>
      </c>
      <c r="AC6006">
        <v>11.0251999999999</v>
      </c>
      <c r="AD6006">
        <v>-1.110437138335</v>
      </c>
      <c r="AE6006">
        <v>-0.186079999999989</v>
      </c>
      <c r="AF6006">
        <v>-0.50199824091155099</v>
      </c>
      <c r="AG6006">
        <v>-1.110437138335</v>
      </c>
      <c r="AH6006">
        <v>10.9045188342491</v>
      </c>
      <c r="AI6006">
        <v>95.808433791693204</v>
      </c>
      <c r="AJ6006">
        <v>92.635796049977202</v>
      </c>
      <c r="AK6006">
        <v>10.972401919295701</v>
      </c>
      <c r="AL6006">
        <v>90.961033327310005</v>
      </c>
      <c r="AM6006">
        <v>88.463560141712406</v>
      </c>
      <c r="AN6006">
        <v>1.0000000418186501</v>
      </c>
    </row>
    <row r="6007" spans="1:40" x14ac:dyDescent="0.25">
      <c r="A6007" t="str">
        <f>"20190312161139740"</f>
        <v>20190312161139740</v>
      </c>
      <c r="B6007" t="str">
        <f>"1552378299733050"</f>
        <v>1552378299733050</v>
      </c>
      <c r="C6007" t="s">
        <v>40</v>
      </c>
      <c r="D6007">
        <v>5.9562220000000003</v>
      </c>
      <c r="E6007">
        <v>0.47394389999999997</v>
      </c>
      <c r="F6007" t="s">
        <v>109</v>
      </c>
      <c r="G6007">
        <v>-257.65609999999998</v>
      </c>
      <c r="H6007" s="1">
        <v>-3.0685820000000001E-6</v>
      </c>
      <c r="I6007">
        <v>-63.675930000000001</v>
      </c>
      <c r="J6007">
        <v>-268.80869999999999</v>
      </c>
      <c r="K6007">
        <v>1.110436</v>
      </c>
      <c r="L6007">
        <v>-63.485599999999998</v>
      </c>
      <c r="M6007">
        <v>0.99795069999999997</v>
      </c>
      <c r="N6007">
        <v>0</v>
      </c>
      <c r="O6007">
        <v>-6.2601329999999997E-2</v>
      </c>
      <c r="P6007">
        <v>0.99551710000000004</v>
      </c>
      <c r="Q6007">
        <v>-2.9796690000000001E-2</v>
      </c>
      <c r="R6007">
        <v>-8.9768200000000006E-2</v>
      </c>
      <c r="S6007">
        <v>2.999908</v>
      </c>
      <c r="T6007">
        <v>-0.29653570000000001</v>
      </c>
      <c r="U6007">
        <v>-5.212402E-2</v>
      </c>
      <c r="V6007">
        <v>2.7273499999999999E-2</v>
      </c>
      <c r="W6007">
        <v>-1.6536140000000001E-2</v>
      </c>
      <c r="X6007">
        <v>0.99949120000000002</v>
      </c>
      <c r="Y6007">
        <v>-4.4736329999999998E-2</v>
      </c>
      <c r="Z6007">
        <v>8.3747089999999993E-3</v>
      </c>
      <c r="AA6007">
        <v>0.99896370000000001</v>
      </c>
      <c r="AB6007">
        <v>16</v>
      </c>
      <c r="AC6007">
        <v>11.1526</v>
      </c>
      <c r="AD6007">
        <v>-1.110439068582</v>
      </c>
      <c r="AE6007">
        <v>-0.19033000000000999</v>
      </c>
      <c r="AF6007">
        <v>-0.50328425943524102</v>
      </c>
      <c r="AG6007">
        <v>-1.110439068582</v>
      </c>
      <c r="AH6007">
        <v>11.0332883257184</v>
      </c>
      <c r="AI6007">
        <v>95.741218690813696</v>
      </c>
      <c r="AJ6007">
        <v>92.611740758832397</v>
      </c>
      <c r="AK6007">
        <v>11.100442389799699</v>
      </c>
      <c r="AL6007">
        <v>90.947494241170801</v>
      </c>
      <c r="AM6007">
        <v>88.436935949290401</v>
      </c>
      <c r="AN6007">
        <v>0.99999997330289403</v>
      </c>
    </row>
    <row r="6008" spans="1:40" x14ac:dyDescent="0.25">
      <c r="A6008" t="str">
        <f>"20190312161139752"</f>
        <v>20190312161139752</v>
      </c>
      <c r="B6008" t="str">
        <f>"1552378299743786"</f>
        <v>1552378299743786</v>
      </c>
      <c r="C6008" t="s">
        <v>40</v>
      </c>
      <c r="D6008">
        <v>5.291226</v>
      </c>
      <c r="E6008">
        <v>0.47395510000000002</v>
      </c>
      <c r="F6008" t="s">
        <v>109</v>
      </c>
      <c r="G6008">
        <v>-257.38049999999998</v>
      </c>
      <c r="H6008" s="1">
        <v>-2.9763560000000001E-6</v>
      </c>
      <c r="I6008">
        <v>-63.687759999999997</v>
      </c>
      <c r="J6008">
        <v>-268.7285</v>
      </c>
      <c r="K6008">
        <v>1.11043799999999</v>
      </c>
      <c r="L6008">
        <v>-63.490360000000003</v>
      </c>
      <c r="M6008">
        <v>0.9979652</v>
      </c>
      <c r="N6008">
        <v>0</v>
      </c>
      <c r="O6008">
        <v>-6.2370410000000001E-2</v>
      </c>
      <c r="P6008">
        <v>0.99546349999999995</v>
      </c>
      <c r="Q6008">
        <v>-2.9619320000000001E-2</v>
      </c>
      <c r="R6008">
        <v>-9.0417399999999995E-2</v>
      </c>
      <c r="S6008">
        <v>3.0000309999999999</v>
      </c>
      <c r="T6008">
        <v>-0.29150160000000003</v>
      </c>
      <c r="U6008">
        <v>-5.3070069999999997E-2</v>
      </c>
      <c r="V6008">
        <v>2.8156170000000001E-2</v>
      </c>
      <c r="W6008">
        <v>-1.6358930000000001E-2</v>
      </c>
      <c r="X6008">
        <v>0.99946959999999996</v>
      </c>
      <c r="Y6008">
        <v>-4.4212080000000001E-2</v>
      </c>
      <c r="Z6008">
        <v>8.1850829999999992E-3</v>
      </c>
      <c r="AA6008">
        <v>0.9989886</v>
      </c>
      <c r="AB6008">
        <v>16</v>
      </c>
      <c r="AC6008">
        <v>11.348000000000001</v>
      </c>
      <c r="AD6008">
        <v>-1.1104409763559999</v>
      </c>
      <c r="AE6008">
        <v>-0.19740000000000099</v>
      </c>
      <c r="AF6008">
        <v>-0.50598241455964099</v>
      </c>
      <c r="AG6008">
        <v>-1.1104409763559999</v>
      </c>
      <c r="AH6008">
        <v>11.230710494575799</v>
      </c>
      <c r="AI6008">
        <v>95.641103781771207</v>
      </c>
      <c r="AJ6008">
        <v>92.579628912231001</v>
      </c>
      <c r="AK6008">
        <v>11.296811743974001</v>
      </c>
      <c r="AL6008">
        <v>90.937339520029397</v>
      </c>
      <c r="AM6008">
        <v>88.386340963142899</v>
      </c>
      <c r="AN6008">
        <v>0.99999993291198397</v>
      </c>
    </row>
    <row r="6009" spans="1:40" x14ac:dyDescent="0.25">
      <c r="A6009" t="str">
        <f>"20190312161139763"</f>
        <v>20190312161139763</v>
      </c>
      <c r="B6009" t="str">
        <f>"1552378299753546"</f>
        <v>1552378299753546</v>
      </c>
      <c r="C6009" t="s">
        <v>40</v>
      </c>
      <c r="D6009">
        <v>5.674582</v>
      </c>
      <c r="E6009">
        <v>0.47399530000000001</v>
      </c>
      <c r="F6009" t="s">
        <v>109</v>
      </c>
      <c r="G6009">
        <v>-257.15109999999999</v>
      </c>
      <c r="H6009" s="1">
        <v>-2.9003870000000001E-6</v>
      </c>
      <c r="I6009">
        <v>-63.703400000000002</v>
      </c>
      <c r="J6009">
        <v>-268.64670000000001</v>
      </c>
      <c r="K6009">
        <v>1.1104400000000001</v>
      </c>
      <c r="L6009">
        <v>-63.49521</v>
      </c>
      <c r="M6009">
        <v>0.99797990000000003</v>
      </c>
      <c r="N6009">
        <v>0</v>
      </c>
      <c r="O6009">
        <v>-6.2134599999999998E-2</v>
      </c>
      <c r="P6009">
        <v>0.9954537</v>
      </c>
      <c r="Q6009">
        <v>-2.8996560000000001E-2</v>
      </c>
      <c r="R6009">
        <v>-9.072587E-2</v>
      </c>
      <c r="S6009">
        <v>3.000092</v>
      </c>
      <c r="T6009">
        <v>-0.28775329999999999</v>
      </c>
      <c r="U6009">
        <v>-5.52063E-2</v>
      </c>
      <c r="V6009">
        <v>2.8700549999999998E-2</v>
      </c>
      <c r="W6009">
        <v>-1.5736239999999999E-2</v>
      </c>
      <c r="X6009">
        <v>0.99946420000000002</v>
      </c>
      <c r="Y6009">
        <v>-4.3283429999999998E-2</v>
      </c>
      <c r="Z6009">
        <v>8.013114E-3</v>
      </c>
      <c r="AA6009">
        <v>0.99903070000000005</v>
      </c>
      <c r="AB6009">
        <v>16</v>
      </c>
      <c r="AC6009">
        <v>11.4956</v>
      </c>
      <c r="AD6009">
        <v>-1.11044290038699</v>
      </c>
      <c r="AE6009">
        <v>-0.20819000000000101</v>
      </c>
      <c r="AF6009">
        <v>-0.50186809502876495</v>
      </c>
      <c r="AG6009">
        <v>-1.11044290038699</v>
      </c>
      <c r="AH6009">
        <v>11.380167232014101</v>
      </c>
      <c r="AI6009">
        <v>95.567731417446396</v>
      </c>
      <c r="AJ6009">
        <v>92.525121441298495</v>
      </c>
      <c r="AK6009">
        <v>11.4452243861112</v>
      </c>
      <c r="AL6009">
        <v>90.901657335716706</v>
      </c>
      <c r="AM6009">
        <v>88.355150080287601</v>
      </c>
      <c r="AN6009">
        <v>1.0000000189506399</v>
      </c>
    </row>
    <row r="6010" spans="1:40" x14ac:dyDescent="0.25">
      <c r="A6010" t="str">
        <f>"20190312161139775"</f>
        <v>20190312161139775</v>
      </c>
      <c r="B6010" t="str">
        <f>"1552378299763307"</f>
        <v>1552378299763307</v>
      </c>
      <c r="C6010" t="s">
        <v>40</v>
      </c>
      <c r="D6010">
        <v>5.318905</v>
      </c>
      <c r="E6010">
        <v>0.47398820000000003</v>
      </c>
      <c r="F6010" t="s">
        <v>109</v>
      </c>
      <c r="G6010">
        <v>-256.86630000000002</v>
      </c>
      <c r="H6010" s="1">
        <v>-2.8053539999999999E-6</v>
      </c>
      <c r="I6010">
        <v>-63.717480000000002</v>
      </c>
      <c r="J6010">
        <v>-268.56319999999999</v>
      </c>
      <c r="K6010">
        <v>1.1104449999999999</v>
      </c>
      <c r="L6010">
        <v>-63.500120000000003</v>
      </c>
      <c r="M6010">
        <v>0.99799510000000002</v>
      </c>
      <c r="N6010">
        <v>0</v>
      </c>
      <c r="O6010">
        <v>-6.1889590000000001E-2</v>
      </c>
      <c r="P6010">
        <v>0.99542370000000002</v>
      </c>
      <c r="Q6010">
        <v>-2.853849E-2</v>
      </c>
      <c r="R6010">
        <v>-9.1200180000000006E-2</v>
      </c>
      <c r="S6010">
        <v>3.000305</v>
      </c>
      <c r="T6010">
        <v>-0.28281440000000002</v>
      </c>
      <c r="U6010">
        <v>-5.6610109999999998E-2</v>
      </c>
      <c r="V6010">
        <v>2.9420720000000001E-2</v>
      </c>
      <c r="W6010">
        <v>-1.5278399999999999E-2</v>
      </c>
      <c r="X6010">
        <v>0.99945030000000001</v>
      </c>
      <c r="Y6010">
        <v>-4.2592810000000002E-2</v>
      </c>
      <c r="Z6010">
        <v>7.8200990000000005E-3</v>
      </c>
      <c r="AA6010">
        <v>0.99906189999999995</v>
      </c>
      <c r="AB6010">
        <v>16</v>
      </c>
      <c r="AC6010">
        <v>11.6968999999999</v>
      </c>
      <c r="AD6010">
        <v>-1.1104478053539999</v>
      </c>
      <c r="AE6010">
        <v>-0.21736000000000599</v>
      </c>
      <c r="AF6010">
        <v>-0.50250921471193799</v>
      </c>
      <c r="AG6010">
        <v>-1.1104478053539999</v>
      </c>
      <c r="AH6010">
        <v>11.5835635235601</v>
      </c>
      <c r="AI6010">
        <v>95.470760411971696</v>
      </c>
      <c r="AJ6010">
        <v>92.484003836451393</v>
      </c>
      <c r="AK6010">
        <v>11.6475127707007</v>
      </c>
      <c r="AL6010">
        <v>90.875421937385994</v>
      </c>
      <c r="AM6010">
        <v>88.313876697771093</v>
      </c>
      <c r="AN6010">
        <v>0.99999995522098295</v>
      </c>
    </row>
    <row r="6011" spans="1:40" x14ac:dyDescent="0.25">
      <c r="A6011" t="str">
        <f>"20190312161139787"</f>
        <v>20190312161139787</v>
      </c>
      <c r="B6011" t="str">
        <f>"1552378299783802"</f>
        <v>1552378299783802</v>
      </c>
      <c r="C6011" t="s">
        <v>40</v>
      </c>
      <c r="D6011">
        <v>5.2879360000000002</v>
      </c>
      <c r="E6011">
        <v>0.47400029999999999</v>
      </c>
      <c r="F6011" t="s">
        <v>109</v>
      </c>
      <c r="G6011">
        <v>-256.60419999999999</v>
      </c>
      <c r="H6011" s="1">
        <v>-2.7138179999999998E-6</v>
      </c>
      <c r="I6011">
        <v>-63.73171</v>
      </c>
      <c r="J6011">
        <v>-268.47340000000003</v>
      </c>
      <c r="K6011">
        <v>1.1104529999999999</v>
      </c>
      <c r="L6011">
        <v>-63.505400000000002</v>
      </c>
      <c r="M6011">
        <v>0.99801150000000005</v>
      </c>
      <c r="N6011">
        <v>0</v>
      </c>
      <c r="O6011">
        <v>-6.1624310000000002E-2</v>
      </c>
      <c r="P6011">
        <v>0.99540139999999999</v>
      </c>
      <c r="Q6011">
        <v>-2.8187690000000001E-2</v>
      </c>
      <c r="R6011">
        <v>-9.1550759999999995E-2</v>
      </c>
      <c r="S6011">
        <v>3.0004580000000001</v>
      </c>
      <c r="T6011">
        <v>-0.27860639999999998</v>
      </c>
      <c r="U6011">
        <v>-5.8105469999999999E-2</v>
      </c>
      <c r="V6011">
        <v>3.0037769999999998E-2</v>
      </c>
      <c r="W6011">
        <v>-1.4927879999999999E-2</v>
      </c>
      <c r="X6011">
        <v>0.99943729999999997</v>
      </c>
      <c r="Y6011">
        <v>-4.1848490000000002E-2</v>
      </c>
      <c r="Z6011">
        <v>7.6447829999999996E-3</v>
      </c>
      <c r="AA6011">
        <v>0.9990947</v>
      </c>
      <c r="AB6011">
        <v>16</v>
      </c>
      <c r="AC6011">
        <v>11.869199999999999</v>
      </c>
      <c r="AD6011">
        <v>-1.110455713818</v>
      </c>
      <c r="AE6011">
        <v>-0.22630999999999801</v>
      </c>
      <c r="AF6011">
        <v>-0.50122994675787103</v>
      </c>
      <c r="AG6011">
        <v>-1.110455713818</v>
      </c>
      <c r="AH6011">
        <v>11.757706612501901</v>
      </c>
      <c r="AI6011">
        <v>95.390424899061799</v>
      </c>
      <c r="AJ6011">
        <v>92.441035798333402</v>
      </c>
      <c r="AK6011">
        <v>11.8206602242662</v>
      </c>
      <c r="AL6011">
        <v>90.855336279441801</v>
      </c>
      <c r="AM6011">
        <v>88.278511786068904</v>
      </c>
      <c r="AN6011">
        <v>1.0000000129295701</v>
      </c>
    </row>
    <row r="6012" spans="1:40" x14ac:dyDescent="0.25">
      <c r="A6012" t="str">
        <f>"20190312161139799"</f>
        <v>20190312161139799</v>
      </c>
      <c r="B6012" t="str">
        <f>"1552378299793562"</f>
        <v>1552378299793562</v>
      </c>
      <c r="C6012" t="s">
        <v>40</v>
      </c>
      <c r="D6012">
        <v>5.3750749999999998</v>
      </c>
      <c r="E6012">
        <v>0.47402</v>
      </c>
      <c r="F6012" t="s">
        <v>109</v>
      </c>
      <c r="G6012">
        <v>-256.26769999999999</v>
      </c>
      <c r="H6012" s="1">
        <v>-2.5729890000000001E-6</v>
      </c>
      <c r="I6012">
        <v>-63.7474699999999</v>
      </c>
      <c r="J6012">
        <v>-268.38670000000002</v>
      </c>
      <c r="K6012">
        <v>1.1104579999999999</v>
      </c>
      <c r="L6012">
        <v>-63.510440000000003</v>
      </c>
      <c r="M6012">
        <v>0.99802769999999996</v>
      </c>
      <c r="N6012">
        <v>0</v>
      </c>
      <c r="O6012">
        <v>-6.1363180000000003E-2</v>
      </c>
      <c r="P6012">
        <v>0.99538709999999997</v>
      </c>
      <c r="Q6012">
        <v>-2.793035E-2</v>
      </c>
      <c r="R6012">
        <v>-9.1786469999999995E-2</v>
      </c>
      <c r="S6012">
        <v>3.0006409999999999</v>
      </c>
      <c r="T6012">
        <v>-0.27299329999999999</v>
      </c>
      <c r="U6012">
        <v>-5.9509279999999998E-2</v>
      </c>
      <c r="V6012">
        <v>3.0535380000000001E-2</v>
      </c>
      <c r="W6012">
        <v>-1.467069E-2</v>
      </c>
      <c r="X6012">
        <v>0.99942600000000004</v>
      </c>
      <c r="Y6012">
        <v>-4.1142730000000002E-2</v>
      </c>
      <c r="Z6012">
        <v>7.4351900000000004E-3</v>
      </c>
      <c r="AA6012">
        <v>0.99912559999999995</v>
      </c>
      <c r="AB6012">
        <v>16</v>
      </c>
      <c r="AC6012">
        <v>12.119</v>
      </c>
      <c r="AD6012">
        <v>-1.110460572989</v>
      </c>
      <c r="AE6012">
        <v>-0.23702999999999</v>
      </c>
      <c r="AF6012">
        <v>-0.50292140188061096</v>
      </c>
      <c r="AG6012">
        <v>-1.110460572989</v>
      </c>
      <c r="AH6012">
        <v>12.0099072903418</v>
      </c>
      <c r="AI6012">
        <v>95.278065280803801</v>
      </c>
      <c r="AJ6012">
        <v>92.397890978023298</v>
      </c>
      <c r="AK6012">
        <v>12.071616533970801</v>
      </c>
      <c r="AL6012">
        <v>90.840598788371395</v>
      </c>
      <c r="AM6012">
        <v>88.249991180329303</v>
      </c>
      <c r="AN6012">
        <v>0.99999998402640999</v>
      </c>
    </row>
    <row r="6013" spans="1:40" x14ac:dyDescent="0.25">
      <c r="A6013" t="str">
        <f>"20190312161139822"</f>
        <v>20190312161139822</v>
      </c>
      <c r="B6013" t="str">
        <f>"1552378299813082"</f>
        <v>1552378299813082</v>
      </c>
      <c r="C6013" t="s">
        <v>40</v>
      </c>
      <c r="D6013">
        <v>5.4057130000000004</v>
      </c>
      <c r="E6013">
        <v>0.47403489999999998</v>
      </c>
      <c r="F6013" t="s">
        <v>109</v>
      </c>
      <c r="G6013">
        <v>-256.04520000000002</v>
      </c>
      <c r="H6013" s="1">
        <v>-2.4801059999999999E-6</v>
      </c>
      <c r="I6013">
        <v>-63.759079999999997</v>
      </c>
      <c r="J6013">
        <v>-268.21409999999997</v>
      </c>
      <c r="K6013">
        <v>1.110476</v>
      </c>
      <c r="L6013">
        <v>-63.520449999999997</v>
      </c>
      <c r="M6013">
        <v>0.99805999999999995</v>
      </c>
      <c r="N6013">
        <v>0</v>
      </c>
      <c r="O6013">
        <v>-6.0831610000000001E-2</v>
      </c>
      <c r="P6013">
        <v>0.99536219999999997</v>
      </c>
      <c r="Q6013">
        <v>-2.778895E-2</v>
      </c>
      <c r="R6013">
        <v>-9.2098109999999997E-2</v>
      </c>
      <c r="S6013">
        <v>3.0007320000000002</v>
      </c>
      <c r="T6013">
        <v>-0.2699995</v>
      </c>
      <c r="U6013">
        <v>-6.045532E-2</v>
      </c>
      <c r="V6013">
        <v>3.1380140000000001E-2</v>
      </c>
      <c r="W6013">
        <v>-1.452961E-2</v>
      </c>
      <c r="X6013">
        <v>0.99940189999999995</v>
      </c>
      <c r="Y6013">
        <v>-4.0311050000000001E-2</v>
      </c>
      <c r="Z6013">
        <v>7.2687339999999998E-3</v>
      </c>
      <c r="AA6013">
        <v>0.99916079999999996</v>
      </c>
      <c r="AB6013">
        <v>16</v>
      </c>
      <c r="AC6013">
        <v>12.168899999999899</v>
      </c>
      <c r="AD6013">
        <v>-1.1104784801059999</v>
      </c>
      <c r="AE6013">
        <v>-0.238630000000007</v>
      </c>
      <c r="AF6013">
        <v>-0.49798543985020599</v>
      </c>
      <c r="AG6013">
        <v>-1.1104784801059999</v>
      </c>
      <c r="AH6013">
        <v>12.0604815262478</v>
      </c>
      <c r="AI6013">
        <v>95.256267727778706</v>
      </c>
      <c r="AJ6013">
        <v>92.364438374904793</v>
      </c>
      <c r="AK6013">
        <v>12.1217311716622</v>
      </c>
      <c r="AL6013">
        <v>90.832514632817507</v>
      </c>
      <c r="AM6013">
        <v>88.201565285862898</v>
      </c>
      <c r="AN6013">
        <v>0.99999999023839004</v>
      </c>
    </row>
    <row r="6014" spans="1:40" x14ac:dyDescent="0.25">
      <c r="A6014" t="str">
        <f>"20190312161139835"</f>
        <v>20190312161139835</v>
      </c>
      <c r="B6014" t="str">
        <f>"1552378299823817"</f>
        <v>1552378299823817</v>
      </c>
      <c r="C6014" t="s">
        <v>40</v>
      </c>
      <c r="D6014">
        <v>5.3195189999999997</v>
      </c>
      <c r="E6014">
        <v>0.47406789999999999</v>
      </c>
      <c r="F6014" t="s">
        <v>109</v>
      </c>
      <c r="G6014">
        <v>-255.7577</v>
      </c>
      <c r="H6014" s="1">
        <v>-2.3604540000000001E-6</v>
      </c>
      <c r="I6014">
        <v>-63.775700000000001</v>
      </c>
      <c r="J6014">
        <v>-268.12689999999998</v>
      </c>
      <c r="K6014">
        <v>1.1104849999999999</v>
      </c>
      <c r="L6014">
        <v>-63.525390000000002</v>
      </c>
      <c r="M6014">
        <v>0.9980772</v>
      </c>
      <c r="N6014">
        <v>0</v>
      </c>
      <c r="O6014">
        <v>-6.0552920000000003E-2</v>
      </c>
      <c r="P6014">
        <v>0.99535169999999995</v>
      </c>
      <c r="Q6014">
        <v>-2.7613220000000001E-2</v>
      </c>
      <c r="R6014">
        <v>-9.2264879999999994E-2</v>
      </c>
      <c r="S6014">
        <v>3.0007929999999998</v>
      </c>
      <c r="T6014">
        <v>-0.26751829999999999</v>
      </c>
      <c r="U6014">
        <v>-6.149292E-2</v>
      </c>
      <c r="V6014">
        <v>3.1826529999999999E-2</v>
      </c>
      <c r="W6014">
        <v>-1.4353899999999999E-2</v>
      </c>
      <c r="X6014">
        <v>0.99939029999999995</v>
      </c>
      <c r="Y6014">
        <v>-3.9698110000000002E-2</v>
      </c>
      <c r="Z6014">
        <v>7.1499980000000003E-3</v>
      </c>
      <c r="AA6014">
        <v>0.99918620000000002</v>
      </c>
      <c r="AB6014">
        <v>16</v>
      </c>
      <c r="AC6014">
        <v>12.3691999999999</v>
      </c>
      <c r="AD6014">
        <v>-1.110487360454</v>
      </c>
      <c r="AE6014">
        <v>-0.25030999999999798</v>
      </c>
      <c r="AF6014">
        <v>-0.49521632604046201</v>
      </c>
      <c r="AG6014">
        <v>-1.110487360454</v>
      </c>
      <c r="AH6014">
        <v>12.2628565155511</v>
      </c>
      <c r="AI6014">
        <v>95.170228393335506</v>
      </c>
      <c r="AJ6014">
        <v>92.312544084364006</v>
      </c>
      <c r="AK6014">
        <v>12.3229895442746</v>
      </c>
      <c r="AL6014">
        <v>90.822446160304395</v>
      </c>
      <c r="AM6014">
        <v>88.175978125086303</v>
      </c>
      <c r="AN6014">
        <v>0.99999996709556904</v>
      </c>
    </row>
    <row r="6015" spans="1:40" x14ac:dyDescent="0.25">
      <c r="A6015" t="str">
        <f>"20190312161139846"</f>
        <v>20190312161139846</v>
      </c>
      <c r="B6015" t="str">
        <f>"1552378299833578"</f>
        <v>1552378299833578</v>
      </c>
      <c r="C6015" t="s">
        <v>40</v>
      </c>
      <c r="D6015">
        <v>5.3150269999999997</v>
      </c>
      <c r="E6015">
        <v>0.47402440000000001</v>
      </c>
      <c r="F6015" t="s">
        <v>109</v>
      </c>
      <c r="G6015">
        <v>-255.60040000000001</v>
      </c>
      <c r="H6015" s="1">
        <v>-2.295021E-6</v>
      </c>
      <c r="I6015">
        <v>-63.784889999999997</v>
      </c>
      <c r="J6015">
        <v>-268.048</v>
      </c>
      <c r="K6015">
        <v>1.110495</v>
      </c>
      <c r="L6015">
        <v>-63.529910000000001</v>
      </c>
      <c r="M6015">
        <v>0.99809250000000005</v>
      </c>
      <c r="N6015">
        <v>0</v>
      </c>
      <c r="O6015">
        <v>-6.0297730000000001E-2</v>
      </c>
      <c r="P6015">
        <v>0.99533930000000004</v>
      </c>
      <c r="Q6015">
        <v>-2.7284389999999999E-2</v>
      </c>
      <c r="R6015">
        <v>-9.2493649999999997E-2</v>
      </c>
      <c r="S6015">
        <v>3.0008539999999999</v>
      </c>
      <c r="T6015">
        <v>-0.26602819999999999</v>
      </c>
      <c r="U6015">
        <v>-6.216431E-2</v>
      </c>
      <c r="V6015">
        <v>3.231113E-2</v>
      </c>
      <c r="W6015">
        <v>-1.4025050000000001E-2</v>
      </c>
      <c r="X6015">
        <v>0.99937949999999998</v>
      </c>
      <c r="Y6015">
        <v>-3.9226869999999997E-2</v>
      </c>
      <c r="Z6015">
        <v>7.066775E-3</v>
      </c>
      <c r="AA6015">
        <v>0.99920540000000002</v>
      </c>
      <c r="AB6015">
        <v>16</v>
      </c>
      <c r="AC6015">
        <v>12.4475999999999</v>
      </c>
      <c r="AD6015">
        <v>-1.1104972950209999</v>
      </c>
      <c r="AE6015">
        <v>-0.25498000000000298</v>
      </c>
      <c r="AF6015">
        <v>-0.49219615173763898</v>
      </c>
      <c r="AG6015">
        <v>-1.1104972950209999</v>
      </c>
      <c r="AH6015">
        <v>12.3421318703589</v>
      </c>
      <c r="AI6015">
        <v>95.137346426441695</v>
      </c>
      <c r="AJ6015">
        <v>92.283708108375095</v>
      </c>
      <c r="AK6015">
        <v>12.401761181355001</v>
      </c>
      <c r="AL6015">
        <v>90.803602480325495</v>
      </c>
      <c r="AM6015">
        <v>88.148204231455495</v>
      </c>
      <c r="AN6015">
        <v>1.0000000480848099</v>
      </c>
    </row>
    <row r="6016" spans="1:40" x14ac:dyDescent="0.25">
      <c r="A6016" t="str">
        <f>"20190312161139856"</f>
        <v>20190312161139856</v>
      </c>
      <c r="B6016" t="str">
        <f>"1552378299843338"</f>
        <v>1552378299843338</v>
      </c>
      <c r="C6016" t="s">
        <v>40</v>
      </c>
      <c r="D6016">
        <v>5.1763659999999998</v>
      </c>
      <c r="E6016">
        <v>0.47365059999999898</v>
      </c>
      <c r="F6016" t="s">
        <v>109</v>
      </c>
      <c r="G6016">
        <v>-255.61240000000001</v>
      </c>
      <c r="H6016" s="1">
        <v>-2.3008180000000001E-6</v>
      </c>
      <c r="I6016">
        <v>-63.787770000000002</v>
      </c>
      <c r="J6016">
        <v>-267.971</v>
      </c>
      <c r="K6016">
        <v>1.110506</v>
      </c>
      <c r="L6016">
        <v>-63.534300000000002</v>
      </c>
      <c r="M6016">
        <v>0.99810810000000005</v>
      </c>
      <c r="N6016">
        <v>0</v>
      </c>
      <c r="O6016">
        <v>-6.004027E-2</v>
      </c>
      <c r="P6016">
        <v>0.9953803</v>
      </c>
      <c r="Q6016">
        <v>-2.653283E-2</v>
      </c>
      <c r="R6016">
        <v>-9.2273549999999996E-2</v>
      </c>
      <c r="S6016">
        <v>3.0009160000000001</v>
      </c>
      <c r="T6016">
        <v>-0.26798080000000002</v>
      </c>
      <c r="U6016">
        <v>-6.2225339999999997E-2</v>
      </c>
      <c r="V6016">
        <v>3.2346439999999997E-2</v>
      </c>
      <c r="W6016">
        <v>-1.3273429999999999E-2</v>
      </c>
      <c r="X6016">
        <v>0.99938859999999996</v>
      </c>
      <c r="Y6016">
        <v>-3.8945630000000002E-2</v>
      </c>
      <c r="Z6016">
        <v>7.0828549999999999E-3</v>
      </c>
      <c r="AA6016">
        <v>0.9992162</v>
      </c>
      <c r="AB6016">
        <v>16</v>
      </c>
      <c r="AC6016">
        <v>12.3585999999999</v>
      </c>
      <c r="AD6016">
        <v>-1.1105083008179999</v>
      </c>
      <c r="AE6016">
        <v>-0.25346999999999298</v>
      </c>
      <c r="AF6016">
        <v>-0.48515050512547597</v>
      </c>
      <c r="AG6016">
        <v>-1.1105083008179999</v>
      </c>
      <c r="AH6016">
        <v>12.252630506390901</v>
      </c>
      <c r="AI6016">
        <v>95.174778963399703</v>
      </c>
      <c r="AJ6016">
        <v>92.267477431387903</v>
      </c>
      <c r="AK6016">
        <v>12.3124146301589</v>
      </c>
      <c r="AL6016">
        <v>90.760533833096503</v>
      </c>
      <c r="AM6016">
        <v>88.146198845830597</v>
      </c>
      <c r="AN6016">
        <v>1.00000002496729</v>
      </c>
    </row>
    <row r="6017" spans="1:40" x14ac:dyDescent="0.25">
      <c r="A6017" t="str">
        <f>"20190312161139877"</f>
        <v>20190312161139877</v>
      </c>
      <c r="B6017" t="str">
        <f>"1552378299873594"</f>
        <v>1552378299873594</v>
      </c>
      <c r="C6017" t="s">
        <v>40</v>
      </c>
      <c r="D6017">
        <v>5.1829020000000003</v>
      </c>
      <c r="E6017">
        <v>0.45060859999999903</v>
      </c>
      <c r="F6017" t="s">
        <v>109</v>
      </c>
      <c r="G6017">
        <v>-255.35900000000001</v>
      </c>
      <c r="H6017" s="1">
        <v>-2.1904830000000002E-6</v>
      </c>
      <c r="I6017">
        <v>-63.78051</v>
      </c>
      <c r="J6017">
        <v>-267.81959999999998</v>
      </c>
      <c r="K6017">
        <v>1.1105290000000001</v>
      </c>
      <c r="L6017">
        <v>-63.542789999999997</v>
      </c>
      <c r="M6017">
        <v>0.99813929999999995</v>
      </c>
      <c r="N6017">
        <v>0</v>
      </c>
      <c r="O6017">
        <v>-5.9519370000000002E-2</v>
      </c>
      <c r="P6017">
        <v>0.99543970000000004</v>
      </c>
      <c r="Q6017">
        <v>-2.5369070000000001E-2</v>
      </c>
      <c r="R6017">
        <v>-9.1959890000000002E-2</v>
      </c>
      <c r="S6017">
        <v>3.0014949999999998</v>
      </c>
      <c r="T6017">
        <v>-0.26428559999999901</v>
      </c>
      <c r="U6017">
        <v>-5.859375E-2</v>
      </c>
      <c r="V6017">
        <v>3.2550759999999998E-2</v>
      </c>
      <c r="W6017">
        <v>-1.2109409999999999E-2</v>
      </c>
      <c r="X6017">
        <v>0.99939670000000003</v>
      </c>
      <c r="Y6017">
        <v>-3.9646830000000001E-2</v>
      </c>
      <c r="Z6017">
        <v>6.9694619999999896E-3</v>
      </c>
      <c r="AA6017">
        <v>0.99918940000000001</v>
      </c>
      <c r="AB6017">
        <v>16</v>
      </c>
      <c r="AC6017">
        <v>12.4605999999999</v>
      </c>
      <c r="AD6017">
        <v>-1.110531190483</v>
      </c>
      <c r="AE6017">
        <v>-0.23771999999999599</v>
      </c>
      <c r="AF6017">
        <v>-0.50044008134579998</v>
      </c>
      <c r="AG6017">
        <v>-1.110531190483</v>
      </c>
      <c r="AH6017">
        <v>12.3545591966513</v>
      </c>
      <c r="AI6017">
        <v>95.132233770837999</v>
      </c>
      <c r="AJ6017">
        <v>92.319584006518397</v>
      </c>
      <c r="AK6017">
        <v>12.4144614359067</v>
      </c>
      <c r="AL6017">
        <v>90.693835059216298</v>
      </c>
      <c r="AM6017">
        <v>88.134512455096797</v>
      </c>
      <c r="AN6017">
        <v>0.99999997687900699</v>
      </c>
    </row>
    <row r="6018" spans="1:40" x14ac:dyDescent="0.25">
      <c r="A6018" t="str">
        <f>"20190312161139888"</f>
        <v>20190312161139888</v>
      </c>
      <c r="B6018" t="str">
        <f>"1552378299883354"</f>
        <v>1552378299883354</v>
      </c>
      <c r="C6018" t="s">
        <v>40</v>
      </c>
      <c r="D6018">
        <v>5.2761839999999998</v>
      </c>
      <c r="E6018">
        <v>0.44843169999999999</v>
      </c>
      <c r="F6018" t="s">
        <v>109</v>
      </c>
      <c r="G6018">
        <v>-250.6602</v>
      </c>
      <c r="H6018" s="1">
        <v>3.2838220000000003E-8</v>
      </c>
      <c r="I6018">
        <v>-62.846960000000003</v>
      </c>
      <c r="J6018">
        <v>-267.74810000000002</v>
      </c>
      <c r="K6018">
        <v>1.1105389999999999</v>
      </c>
      <c r="L6018">
        <v>-63.546779999999998</v>
      </c>
      <c r="M6018">
        <v>0.9981544</v>
      </c>
      <c r="N6018">
        <v>0</v>
      </c>
      <c r="O6018">
        <v>-5.9266680000000002E-2</v>
      </c>
      <c r="P6018">
        <v>0.99547059999999998</v>
      </c>
      <c r="Q6018">
        <v>-2.4837069999999999E-2</v>
      </c>
      <c r="R6018">
        <v>-9.1770019999999994E-2</v>
      </c>
      <c r="S6018">
        <v>3.0200809999999998</v>
      </c>
      <c r="T6018">
        <v>-0.19545570000000001</v>
      </c>
      <c r="U6018">
        <v>0.12246700000000001</v>
      </c>
      <c r="V6018">
        <v>3.26124E-2</v>
      </c>
      <c r="W6018">
        <v>-1.1577280000000001E-2</v>
      </c>
      <c r="X6018">
        <v>0.99940099999999998</v>
      </c>
      <c r="Y6018">
        <v>-9.9338220000000005E-2</v>
      </c>
      <c r="Z6018">
        <v>7.0397289999999998E-3</v>
      </c>
      <c r="AA6018">
        <v>0.99502889999999999</v>
      </c>
      <c r="AB6018">
        <v>16</v>
      </c>
      <c r="AC6018">
        <v>17.087900000000001</v>
      </c>
      <c r="AD6018">
        <v>-1.11053896716178</v>
      </c>
      <c r="AE6018">
        <v>0.69982000000000899</v>
      </c>
      <c r="AF6018">
        <v>-1.7042354079114199</v>
      </c>
      <c r="AG6018">
        <v>-1.11053896716178</v>
      </c>
      <c r="AH6018">
        <v>16.944927743398299</v>
      </c>
      <c r="AI6018">
        <v>93.730927337593698</v>
      </c>
      <c r="AJ6018">
        <v>95.743207818637799</v>
      </c>
      <c r="AK6018">
        <v>17.066584056341</v>
      </c>
      <c r="AL6018">
        <v>90.663344114169405</v>
      </c>
      <c r="AM6018">
        <v>88.130990399097897</v>
      </c>
      <c r="AN6018">
        <v>0.99999998042347904</v>
      </c>
    </row>
    <row r="6019" spans="1:40" x14ac:dyDescent="0.25">
      <c r="A6019" t="str">
        <f>"20190312161139897"</f>
        <v>20190312161139897</v>
      </c>
      <c r="B6019" t="str">
        <f>"1552378299893115"</f>
        <v>1552378299893115</v>
      </c>
      <c r="C6019" t="s">
        <v>40</v>
      </c>
      <c r="D6019">
        <v>5.2695379999999998</v>
      </c>
      <c r="E6019">
        <v>0.44730710000000001</v>
      </c>
      <c r="F6019" t="s">
        <v>108</v>
      </c>
      <c r="G6019">
        <v>-249.74100000000001</v>
      </c>
      <c r="H6019" s="1">
        <v>-3.6020960000000001E-6</v>
      </c>
      <c r="I6019">
        <v>-62.712580000000003</v>
      </c>
      <c r="J6019">
        <v>-267.67129999999997</v>
      </c>
      <c r="K6019">
        <v>1.1105449999999999</v>
      </c>
      <c r="L6019">
        <v>-63.550989999999999</v>
      </c>
      <c r="M6019">
        <v>0.99817089999999997</v>
      </c>
      <c r="N6019">
        <v>0</v>
      </c>
      <c r="O6019">
        <v>-5.8987989999999997E-2</v>
      </c>
      <c r="P6019">
        <v>0.99550590000000005</v>
      </c>
      <c r="Q6019">
        <v>-2.4373680000000002E-2</v>
      </c>
      <c r="R6019">
        <v>-9.1510739999999993E-2</v>
      </c>
      <c r="S6019">
        <v>3.0219119999999999</v>
      </c>
      <c r="T6019">
        <v>-0.18636929999999999</v>
      </c>
      <c r="U6019">
        <v>0.1399841</v>
      </c>
      <c r="V6019">
        <v>3.2630390000000002E-2</v>
      </c>
      <c r="W6019">
        <v>-1.111388E-2</v>
      </c>
      <c r="X6019">
        <v>0.99940569999999895</v>
      </c>
      <c r="Y6019">
        <v>-0.10481210000000001</v>
      </c>
      <c r="Z6019">
        <v>6.8597509999999999E-3</v>
      </c>
      <c r="AA6019">
        <v>0.99446840000000003</v>
      </c>
      <c r="AB6019">
        <v>16</v>
      </c>
      <c r="AC6019">
        <v>17.9302999999999</v>
      </c>
      <c r="AD6019">
        <v>-1.110548602096</v>
      </c>
      <c r="AE6019">
        <v>0.83841000000000299</v>
      </c>
      <c r="AF6019">
        <v>-1.8874899017787701</v>
      </c>
      <c r="AG6019">
        <v>-1.110548602096</v>
      </c>
      <c r="AH6019">
        <v>17.7815473374677</v>
      </c>
      <c r="AI6019">
        <v>93.553858723935505</v>
      </c>
      <c r="AJ6019">
        <v>96.059188746035105</v>
      </c>
      <c r="AK6019">
        <v>17.915896908654599</v>
      </c>
      <c r="AL6019">
        <v>90.636791523293994</v>
      </c>
      <c r="AM6019">
        <v>88.129968916087506</v>
      </c>
      <c r="AN6019">
        <v>1.0000000069363399</v>
      </c>
    </row>
    <row r="6020" spans="1:40" x14ac:dyDescent="0.25">
      <c r="A6020" t="str">
        <f>"20190312161139911"</f>
        <v>20190312161139911</v>
      </c>
      <c r="B6020" t="str">
        <f>"1552378299903849"</f>
        <v>1552378299903849</v>
      </c>
      <c r="C6020" t="s">
        <v>40</v>
      </c>
      <c r="D6020">
        <v>5.5226499999999996</v>
      </c>
      <c r="E6020">
        <v>0.44663409999999898</v>
      </c>
      <c r="F6020" t="s">
        <v>108</v>
      </c>
      <c r="G6020">
        <v>-249.86799999999999</v>
      </c>
      <c r="H6020" s="1">
        <v>-3.637334E-6</v>
      </c>
      <c r="I6020">
        <v>-62.667659999999998</v>
      </c>
      <c r="J6020">
        <v>-267.57409999999999</v>
      </c>
      <c r="K6020">
        <v>1.110554</v>
      </c>
      <c r="L6020">
        <v>-63.556339999999999</v>
      </c>
      <c r="M6020">
        <v>0.99819199999999997</v>
      </c>
      <c r="N6020">
        <v>0</v>
      </c>
      <c r="O6020">
        <v>-5.8627749999999999E-2</v>
      </c>
      <c r="P6020">
        <v>0.99552050000000003</v>
      </c>
      <c r="Q6020">
        <v>-2.424188E-2</v>
      </c>
      <c r="R6020">
        <v>-9.1384839999999995E-2</v>
      </c>
      <c r="S6020">
        <v>3.022675</v>
      </c>
      <c r="T6020">
        <v>-0.18855050000000001</v>
      </c>
      <c r="U6020">
        <v>0.1499634</v>
      </c>
      <c r="V6020">
        <v>3.286447E-2</v>
      </c>
      <c r="W6020">
        <v>-1.0982169999999999E-2</v>
      </c>
      <c r="X6020">
        <v>0.9993995</v>
      </c>
      <c r="Y6020">
        <v>-0.1077048</v>
      </c>
      <c r="Z6020">
        <v>7.0053320000000004E-3</v>
      </c>
      <c r="AA6020">
        <v>0.99415819999999999</v>
      </c>
      <c r="AB6020">
        <v>16</v>
      </c>
      <c r="AC6020">
        <v>17.7060999999999</v>
      </c>
      <c r="AD6020">
        <v>-1.110557637334</v>
      </c>
      <c r="AE6020">
        <v>0.88868000000000702</v>
      </c>
      <c r="AF6020">
        <v>-1.9177853965857301</v>
      </c>
      <c r="AG6020">
        <v>-1.110557637334</v>
      </c>
      <c r="AH6020">
        <v>17.554645987511702</v>
      </c>
      <c r="AI6020">
        <v>93.598519207302402</v>
      </c>
      <c r="AJ6020">
        <v>96.234644463015997</v>
      </c>
      <c r="AK6020">
        <v>17.693977360674499</v>
      </c>
      <c r="AL6020">
        <v>90.629244626760396</v>
      </c>
      <c r="AM6020">
        <v>88.116551861754999</v>
      </c>
      <c r="AN6020">
        <v>1.00000002102326</v>
      </c>
    </row>
    <row r="6021" spans="1:40" x14ac:dyDescent="0.25">
      <c r="A6021" t="str">
        <f>"20190312161139921"</f>
        <v>20190312161139921</v>
      </c>
      <c r="B6021" t="str">
        <f>"1552378299913610"</f>
        <v>1552378299913610</v>
      </c>
      <c r="C6021" t="s">
        <v>40</v>
      </c>
      <c r="D6021">
        <v>5.3139000000000003</v>
      </c>
      <c r="E6021">
        <v>0.44624730000000001</v>
      </c>
      <c r="F6021" t="s">
        <v>108</v>
      </c>
      <c r="G6021">
        <v>-248.4528</v>
      </c>
      <c r="H6021" s="1">
        <v>-3.1393839999999999E-6</v>
      </c>
      <c r="I6021">
        <v>-62.575429999999997</v>
      </c>
      <c r="J6021">
        <v>-267.49740000000003</v>
      </c>
      <c r="K6021">
        <v>1.110557</v>
      </c>
      <c r="L6021">
        <v>-63.560490000000001</v>
      </c>
      <c r="M6021">
        <v>0.99820889999999995</v>
      </c>
      <c r="N6021">
        <v>0</v>
      </c>
      <c r="O6021">
        <v>-5.8339420000000003E-2</v>
      </c>
      <c r="P6021">
        <v>0.99550479999999997</v>
      </c>
      <c r="Q6021">
        <v>-2.4238320000000001E-2</v>
      </c>
      <c r="R6021">
        <v>-9.1559100000000004E-2</v>
      </c>
      <c r="S6021">
        <v>3.0234380000000001</v>
      </c>
      <c r="T6021">
        <v>-0.17560039999999999</v>
      </c>
      <c r="U6021">
        <v>0.15509029999999999</v>
      </c>
      <c r="V6021">
        <v>3.3328110000000001E-2</v>
      </c>
      <c r="W6021">
        <v>-1.0978679999999999E-2</v>
      </c>
      <c r="X6021">
        <v>0.99938419999999895</v>
      </c>
      <c r="Y6021">
        <v>-0.10912769999999999</v>
      </c>
      <c r="Z6021">
        <v>6.5476969999999999E-3</v>
      </c>
      <c r="AA6021">
        <v>0.99400619999999995</v>
      </c>
      <c r="AB6021">
        <v>16</v>
      </c>
      <c r="AC6021">
        <v>19.044599999999999</v>
      </c>
      <c r="AD6021">
        <v>-1.1105601393839999</v>
      </c>
      <c r="AE6021">
        <v>0.98505999999999705</v>
      </c>
      <c r="AF6021">
        <v>-2.0874509853718601</v>
      </c>
      <c r="AG6021">
        <v>-1.1105601393839999</v>
      </c>
      <c r="AH6021">
        <v>18.8906189659542</v>
      </c>
      <c r="AI6021">
        <v>93.344178908678003</v>
      </c>
      <c r="AJ6021">
        <v>96.305714978768705</v>
      </c>
      <c r="AK6021">
        <v>19.038021965435</v>
      </c>
      <c r="AL6021">
        <v>90.629044642532406</v>
      </c>
      <c r="AM6021">
        <v>88.089971184520607</v>
      </c>
      <c r="AN6021">
        <v>1.00000003677017</v>
      </c>
    </row>
    <row r="6022" spans="1:40" x14ac:dyDescent="0.25">
      <c r="A6022" t="str">
        <f>"20190312161139934"</f>
        <v>20190312161139934</v>
      </c>
      <c r="B6022" t="str">
        <f>"1552378299923370"</f>
        <v>1552378299923370</v>
      </c>
      <c r="C6022" t="s">
        <v>40</v>
      </c>
      <c r="D6022">
        <v>5.3188579999999996</v>
      </c>
      <c r="E6022">
        <v>0.44596380000000002</v>
      </c>
      <c r="F6022" t="s">
        <v>108</v>
      </c>
      <c r="G6022">
        <v>-247.53890000000001</v>
      </c>
      <c r="H6022" s="1">
        <v>-2.7902750000000001E-6</v>
      </c>
      <c r="I6022">
        <v>-62.522089999999999</v>
      </c>
      <c r="J6022">
        <v>-267.41320000000002</v>
      </c>
      <c r="K6022">
        <v>1.1105640000000001</v>
      </c>
      <c r="L6022">
        <v>-63.565060000000003</v>
      </c>
      <c r="M6022">
        <v>0.99822789999999995</v>
      </c>
      <c r="N6022">
        <v>0</v>
      </c>
      <c r="O6022">
        <v>-5.8014870000000003E-2</v>
      </c>
      <c r="P6022">
        <v>0.9955041</v>
      </c>
      <c r="Q6022">
        <v>-2.4032979999999999E-2</v>
      </c>
      <c r="R6022">
        <v>-9.1618500000000005E-2</v>
      </c>
      <c r="S6022">
        <v>3.0239259999999999</v>
      </c>
      <c r="T6022">
        <v>-0.16826150000000001</v>
      </c>
      <c r="U6022">
        <v>0.15731809999999999</v>
      </c>
      <c r="V6022">
        <v>3.3712390000000002E-2</v>
      </c>
      <c r="W6022">
        <v>-1.077349E-2</v>
      </c>
      <c r="X6022">
        <v>0.99937350000000003</v>
      </c>
      <c r="Y6022">
        <v>-0.1095497</v>
      </c>
      <c r="Z6022">
        <v>6.2670629999999998E-3</v>
      </c>
      <c r="AA6022">
        <v>0.9939616</v>
      </c>
      <c r="AB6022">
        <v>16</v>
      </c>
      <c r="AC6022">
        <v>19.874300000000002</v>
      </c>
      <c r="AD6022">
        <v>-1.1105667902749901</v>
      </c>
      <c r="AE6022">
        <v>1.04296999999998</v>
      </c>
      <c r="AF6022">
        <v>-2.1875072791877801</v>
      </c>
      <c r="AG6022">
        <v>-1.1105667902749901</v>
      </c>
      <c r="AH6022">
        <v>19.718903514459601</v>
      </c>
      <c r="AI6022">
        <v>93.203874968974702</v>
      </c>
      <c r="AJ6022">
        <v>96.330197541196696</v>
      </c>
      <c r="AK6022">
        <v>19.870926060572199</v>
      </c>
      <c r="AL6022">
        <v>90.617287453622097</v>
      </c>
      <c r="AM6022">
        <v>88.067944082839205</v>
      </c>
      <c r="AN6022">
        <v>0.999999992914271</v>
      </c>
    </row>
    <row r="6023" spans="1:40" x14ac:dyDescent="0.25">
      <c r="A6023" t="str">
        <f>"20190312161139953"</f>
        <v>20190312161139953</v>
      </c>
      <c r="B6023" t="str">
        <f>"1552378299943866"</f>
        <v>1552378299943866</v>
      </c>
      <c r="C6023" t="s">
        <v>40</v>
      </c>
      <c r="D6023">
        <v>5.3882909999999997</v>
      </c>
      <c r="E6023">
        <v>0.44544929999999999</v>
      </c>
      <c r="F6023" t="s">
        <v>108</v>
      </c>
      <c r="G6023">
        <v>-247.68799999999999</v>
      </c>
      <c r="H6023" s="1">
        <v>-2.854918E-6</v>
      </c>
      <c r="I6023">
        <v>-62.524549999999998</v>
      </c>
      <c r="J6023">
        <v>-267.26870000000002</v>
      </c>
      <c r="K6023">
        <v>1.1105659999999999</v>
      </c>
      <c r="L6023">
        <v>-63.572780000000002</v>
      </c>
      <c r="M6023">
        <v>0.9982607</v>
      </c>
      <c r="N6023">
        <v>0</v>
      </c>
      <c r="O6023">
        <v>-5.7448529999999998E-2</v>
      </c>
      <c r="P6023">
        <v>0.9955077</v>
      </c>
      <c r="Q6023">
        <v>-2.4068820000000001E-2</v>
      </c>
      <c r="R6023">
        <v>-9.1571639999999996E-2</v>
      </c>
      <c r="S6023">
        <v>3.0241389999999999</v>
      </c>
      <c r="T6023">
        <v>-0.17026459999999999</v>
      </c>
      <c r="U6023">
        <v>0.1595154</v>
      </c>
      <c r="V6023">
        <v>3.4232569999999997E-2</v>
      </c>
      <c r="W6023">
        <v>-1.0809869999999999E-2</v>
      </c>
      <c r="X6023">
        <v>0.9993554</v>
      </c>
      <c r="Y6023">
        <v>-0.1096968</v>
      </c>
      <c r="Z6023">
        <v>6.3133149999999999E-3</v>
      </c>
      <c r="AA6023">
        <v>0.99394510000000003</v>
      </c>
      <c r="AB6023">
        <v>16</v>
      </c>
      <c r="AC6023">
        <v>19.5807</v>
      </c>
      <c r="AD6023">
        <v>-1.1105688549179999</v>
      </c>
      <c r="AE6023">
        <v>1.04823</v>
      </c>
      <c r="AF6023">
        <v>-2.1645363690091601</v>
      </c>
      <c r="AG6023">
        <v>-1.1105688549179999</v>
      </c>
      <c r="AH6023">
        <v>19.425819744086699</v>
      </c>
      <c r="AI6023">
        <v>93.251940880811603</v>
      </c>
      <c r="AJ6023">
        <v>96.357998281793598</v>
      </c>
      <c r="AK6023">
        <v>19.5775650580972</v>
      </c>
      <c r="AL6023">
        <v>90.619372010404007</v>
      </c>
      <c r="AM6023">
        <v>88.038120199178906</v>
      </c>
      <c r="AN6023">
        <v>0.99999996882369002</v>
      </c>
    </row>
    <row r="6024" spans="1:40" x14ac:dyDescent="0.25">
      <c r="A6024" t="str">
        <f>"20190312161139965"</f>
        <v>20190312161139965</v>
      </c>
      <c r="B6024" t="str">
        <f>"1552378299953626"</f>
        <v>1552378299953626</v>
      </c>
      <c r="C6024" t="s">
        <v>40</v>
      </c>
      <c r="D6024">
        <v>5.3482949999999896</v>
      </c>
      <c r="E6024">
        <v>0.44552799999999998</v>
      </c>
      <c r="F6024" t="s">
        <v>108</v>
      </c>
      <c r="G6024">
        <v>-248.45910000000001</v>
      </c>
      <c r="H6024" s="1">
        <v>-3.137459E-6</v>
      </c>
      <c r="I6024">
        <v>-62.552520000000001</v>
      </c>
      <c r="J6024">
        <v>-267.18340000000001</v>
      </c>
      <c r="K6024">
        <v>1.1105670000000001</v>
      </c>
      <c r="L6024">
        <v>-63.577300000000001</v>
      </c>
      <c r="M6024">
        <v>0.99828019999999995</v>
      </c>
      <c r="N6024">
        <v>0</v>
      </c>
      <c r="O6024">
        <v>-5.7109939999999998E-2</v>
      </c>
      <c r="P6024">
        <v>0.99551780000000001</v>
      </c>
      <c r="Q6024">
        <v>-2.3892440000000001E-2</v>
      </c>
      <c r="R6024">
        <v>-9.1507320000000003E-2</v>
      </c>
      <c r="S6024">
        <v>3.024292</v>
      </c>
      <c r="T6024">
        <v>-0.1785619</v>
      </c>
      <c r="U6024">
        <v>0.16403199999999901</v>
      </c>
      <c r="V6024">
        <v>3.4506490000000001E-2</v>
      </c>
      <c r="W6024">
        <v>-1.06339E-2</v>
      </c>
      <c r="X6024">
        <v>0.99934789999999996</v>
      </c>
      <c r="Y6024">
        <v>-0.11080950000000001</v>
      </c>
      <c r="Z6024">
        <v>6.6327340000000004E-3</v>
      </c>
      <c r="AA6024">
        <v>0.99381949999999997</v>
      </c>
      <c r="AB6024">
        <v>16</v>
      </c>
      <c r="AC6024">
        <v>18.724299999999999</v>
      </c>
      <c r="AD6024">
        <v>-1.110570137459</v>
      </c>
      <c r="AE6024">
        <v>1.02478</v>
      </c>
      <c r="AF6024">
        <v>-2.0852307593762198</v>
      </c>
      <c r="AG6024">
        <v>-1.110570137459</v>
      </c>
      <c r="AH6024">
        <v>18.570072222665701</v>
      </c>
      <c r="AI6024">
        <v>93.401132925627493</v>
      </c>
      <c r="AJ6024">
        <v>96.406896641724202</v>
      </c>
      <c r="AK6024">
        <v>18.719752554590102</v>
      </c>
      <c r="AL6024">
        <v>90.609289072294501</v>
      </c>
      <c r="AM6024">
        <v>88.022419339803307</v>
      </c>
      <c r="AN6024">
        <v>1.00000000145787</v>
      </c>
    </row>
    <row r="6025" spans="1:40" x14ac:dyDescent="0.25">
      <c r="A6025" t="str">
        <f>"20190312161139977"</f>
        <v>20190312161139977</v>
      </c>
      <c r="B6025" t="str">
        <f>"1552378299973146"</f>
        <v>1552378299973146</v>
      </c>
      <c r="C6025" t="s">
        <v>40</v>
      </c>
      <c r="D6025">
        <v>5.3757190000000001</v>
      </c>
      <c r="E6025">
        <v>0.44537159999999898</v>
      </c>
      <c r="F6025" t="s">
        <v>108</v>
      </c>
      <c r="G6025">
        <v>-248.44239999999999</v>
      </c>
      <c r="H6025" s="1">
        <v>-3.133687E-6</v>
      </c>
      <c r="I6025">
        <v>-62.563389999999998</v>
      </c>
      <c r="J6025">
        <v>-267.09629999999999</v>
      </c>
      <c r="K6025">
        <v>1.1105670000000001</v>
      </c>
      <c r="L6025">
        <v>-63.581879999999998</v>
      </c>
      <c r="M6025">
        <v>0.99830019999999997</v>
      </c>
      <c r="N6025">
        <v>0</v>
      </c>
      <c r="O6025">
        <v>-5.6759570000000002E-2</v>
      </c>
      <c r="P6025">
        <v>0.99554189999999998</v>
      </c>
      <c r="Q6025">
        <v>-2.3916739999999999E-2</v>
      </c>
      <c r="R6025">
        <v>-9.1239050000000002E-2</v>
      </c>
      <c r="S6025">
        <v>3.0242610000000001</v>
      </c>
      <c r="T6025">
        <v>-0.17921339999999999</v>
      </c>
      <c r="U6025">
        <v>0.16360469999999999</v>
      </c>
      <c r="V6025">
        <v>3.4588010000000002E-2</v>
      </c>
      <c r="W6025">
        <v>-1.065897E-2</v>
      </c>
      <c r="X6025">
        <v>0.99934480000000003</v>
      </c>
      <c r="Y6025">
        <v>-0.1103206</v>
      </c>
      <c r="Z6025">
        <v>6.6217979999999999E-3</v>
      </c>
      <c r="AA6025">
        <v>0.99387400000000004</v>
      </c>
      <c r="AB6025">
        <v>16</v>
      </c>
      <c r="AC6025">
        <v>18.6539</v>
      </c>
      <c r="AD6025">
        <v>-1.110570133687</v>
      </c>
      <c r="AE6025">
        <v>1.0184899999999999</v>
      </c>
      <c r="AF6025">
        <v>-2.0684181332367002</v>
      </c>
      <c r="AG6025">
        <v>-1.110570133687</v>
      </c>
      <c r="AH6025">
        <v>18.5006279914647</v>
      </c>
      <c r="AI6025">
        <v>93.414052962755903</v>
      </c>
      <c r="AJ6025">
        <v>96.379324457391803</v>
      </c>
      <c r="AK6025">
        <v>18.6489934225498</v>
      </c>
      <c r="AL6025">
        <v>90.610725567921804</v>
      </c>
      <c r="AM6025">
        <v>88.017744974833704</v>
      </c>
      <c r="AN6025">
        <v>0.99999998668212997</v>
      </c>
    </row>
    <row r="6026" spans="1:40" x14ac:dyDescent="0.25">
      <c r="A6026" t="str">
        <f>"20190312161139990"</f>
        <v>20190312161139990</v>
      </c>
      <c r="B6026" t="str">
        <f>"1552378299983882"</f>
        <v>1552378299983882</v>
      </c>
      <c r="C6026" t="s">
        <v>40</v>
      </c>
      <c r="D6026">
        <v>5.399356</v>
      </c>
      <c r="E6026">
        <v>0.44528060000000003</v>
      </c>
      <c r="F6026" t="s">
        <v>108</v>
      </c>
      <c r="G6026">
        <v>-248.97970000000001</v>
      </c>
      <c r="H6026" s="1">
        <v>-3.3207019999999999E-6</v>
      </c>
      <c r="I6026">
        <v>-62.586759999999998</v>
      </c>
      <c r="J6026">
        <v>-267.00459999999998</v>
      </c>
      <c r="K6026">
        <v>1.1105659999999999</v>
      </c>
      <c r="L6026">
        <v>-63.586669999999998</v>
      </c>
      <c r="M6026">
        <v>0.99832100000000001</v>
      </c>
      <c r="N6026">
        <v>0</v>
      </c>
      <c r="O6026">
        <v>-5.6390030000000001E-2</v>
      </c>
      <c r="P6026">
        <v>0.99557010000000001</v>
      </c>
      <c r="Q6026">
        <v>-2.4028870000000001E-2</v>
      </c>
      <c r="R6026">
        <v>-9.090086E-2</v>
      </c>
      <c r="S6026">
        <v>3.0242309999999999</v>
      </c>
      <c r="T6026">
        <v>-0.18538950000000001</v>
      </c>
      <c r="U6026">
        <v>0.16610720000000001</v>
      </c>
      <c r="V6026">
        <v>3.4618699999999898E-2</v>
      </c>
      <c r="W6026">
        <v>-1.0771960000000001E-2</v>
      </c>
      <c r="X6026">
        <v>0.99934259999999997</v>
      </c>
      <c r="Y6026">
        <v>-0.11075260000000001</v>
      </c>
      <c r="Z6026">
        <v>6.8401269999999997E-3</v>
      </c>
      <c r="AA6026">
        <v>0.9938245</v>
      </c>
      <c r="AB6026">
        <v>16</v>
      </c>
      <c r="AC6026">
        <v>18.024899999999899</v>
      </c>
      <c r="AD6026">
        <v>-1.110569320702</v>
      </c>
      <c r="AE6026">
        <v>0.99990999999999997</v>
      </c>
      <c r="AF6026">
        <v>-2.0072360247795999</v>
      </c>
      <c r="AG6026">
        <v>-1.110569320702</v>
      </c>
      <c r="AH6026">
        <v>17.8721864327422</v>
      </c>
      <c r="AI6026">
        <v>93.533601857068703</v>
      </c>
      <c r="AJ6026">
        <v>96.4080704478542</v>
      </c>
      <c r="AK6026">
        <v>18.018807079325601</v>
      </c>
      <c r="AL6026">
        <v>90.617199744064195</v>
      </c>
      <c r="AM6026">
        <v>88.015983157409494</v>
      </c>
      <c r="AN6026">
        <v>1.0000000608433399</v>
      </c>
    </row>
    <row r="6027" spans="1:40" x14ac:dyDescent="0.25">
      <c r="A6027" t="str">
        <f>"20190312161140004"</f>
        <v>20190312161140004</v>
      </c>
      <c r="B6027" t="str">
        <f>"1552378299993642"</f>
        <v>1552378299993642</v>
      </c>
      <c r="C6027" t="s">
        <v>40</v>
      </c>
      <c r="D6027">
        <v>5.416963</v>
      </c>
      <c r="E6027">
        <v>0.44527430000000001</v>
      </c>
      <c r="F6027" t="s">
        <v>108</v>
      </c>
      <c r="G6027">
        <v>-249.16800000000001</v>
      </c>
      <c r="H6027" s="1">
        <v>-3.386365E-6</v>
      </c>
      <c r="I6027">
        <v>-62.595719999999901</v>
      </c>
      <c r="J6027">
        <v>-266.90480000000002</v>
      </c>
      <c r="K6027">
        <v>1.1105659999999999</v>
      </c>
      <c r="L6027">
        <v>-63.591830000000002</v>
      </c>
      <c r="M6027">
        <v>0.9983438</v>
      </c>
      <c r="N6027">
        <v>0</v>
      </c>
      <c r="O6027">
        <v>-5.5986540000000001E-2</v>
      </c>
      <c r="P6027">
        <v>0.99561889999999997</v>
      </c>
      <c r="Q6027">
        <v>-2.419228E-2</v>
      </c>
      <c r="R6027">
        <v>-9.0319930000000007E-2</v>
      </c>
      <c r="S6027">
        <v>3.0241090000000002</v>
      </c>
      <c r="T6027">
        <v>-0.18829129999999999</v>
      </c>
      <c r="U6027">
        <v>0.16799929999999999</v>
      </c>
      <c r="V6027">
        <v>3.4439820000000003E-2</v>
      </c>
      <c r="W6027">
        <v>-1.0936410000000001E-2</v>
      </c>
      <c r="X6027">
        <v>0.99934690000000004</v>
      </c>
      <c r="Y6027">
        <v>-0.11096350000000001</v>
      </c>
      <c r="Z6027">
        <v>6.9286460000000001E-3</v>
      </c>
      <c r="AA6027">
        <v>0.99380029999999997</v>
      </c>
      <c r="AB6027">
        <v>16</v>
      </c>
      <c r="AC6027">
        <v>17.736799999999999</v>
      </c>
      <c r="AD6027">
        <v>-1.1105693863649999</v>
      </c>
      <c r="AE6027">
        <v>0.99611000000000804</v>
      </c>
      <c r="AF6027">
        <v>-1.97991854159674</v>
      </c>
      <c r="AG6027">
        <v>-1.1105693863649999</v>
      </c>
      <c r="AH6027">
        <v>17.5844786336325</v>
      </c>
      <c r="AI6027">
        <v>93.591153883361201</v>
      </c>
      <c r="AJ6027">
        <v>96.424142985632798</v>
      </c>
      <c r="AK6027">
        <v>17.730406949925499</v>
      </c>
      <c r="AL6027">
        <v>90.626622648708306</v>
      </c>
      <c r="AM6027">
        <v>88.026235225459104</v>
      </c>
      <c r="AN6027">
        <v>0.99999996640246402</v>
      </c>
    </row>
    <row r="6028" spans="1:40" x14ac:dyDescent="0.25">
      <c r="A6028" t="str">
        <f>"20190312161140017"</f>
        <v>20190312161140017</v>
      </c>
      <c r="B6028" t="str">
        <f>"1552378300013162"</f>
        <v>1552378300013162</v>
      </c>
      <c r="C6028" t="s">
        <v>40</v>
      </c>
      <c r="D6028">
        <v>5.6061909999999999</v>
      </c>
      <c r="E6028">
        <v>0.44491170000000002</v>
      </c>
      <c r="F6028" t="s">
        <v>108</v>
      </c>
      <c r="G6028">
        <v>-249.26939999999999</v>
      </c>
      <c r="H6028" s="1">
        <v>-3.4217560000000001E-6</v>
      </c>
      <c r="I6028">
        <v>-62.600790000000003</v>
      </c>
      <c r="J6028">
        <v>-266.81369999999998</v>
      </c>
      <c r="K6028">
        <v>1.110563</v>
      </c>
      <c r="L6028">
        <v>-63.596499999999999</v>
      </c>
      <c r="M6028">
        <v>0.99836440000000004</v>
      </c>
      <c r="N6028">
        <v>0</v>
      </c>
      <c r="O6028">
        <v>-5.5618229999999998E-2</v>
      </c>
      <c r="P6028">
        <v>0.99566049999999995</v>
      </c>
      <c r="Q6028">
        <v>-2.4202410000000001E-2</v>
      </c>
      <c r="R6028">
        <v>-8.9860830000000003E-2</v>
      </c>
      <c r="S6028">
        <v>3.0239259999999999</v>
      </c>
      <c r="T6028">
        <v>-0.19042780000000001</v>
      </c>
      <c r="U6028">
        <v>0.16992189999999999</v>
      </c>
      <c r="V6028">
        <v>3.4347519999999999E-2</v>
      </c>
      <c r="W6028">
        <v>-1.0947780000000001E-2</v>
      </c>
      <c r="X6028">
        <v>0.99934999999999996</v>
      </c>
      <c r="Y6028">
        <v>-0.111223</v>
      </c>
      <c r="Z6028">
        <v>6.9924310000000003E-3</v>
      </c>
      <c r="AA6028">
        <v>0.99377090000000001</v>
      </c>
      <c r="AB6028">
        <v>16</v>
      </c>
      <c r="AC6028">
        <v>17.5442999999999</v>
      </c>
      <c r="AD6028">
        <v>-1.1105664217560001</v>
      </c>
      <c r="AE6028">
        <v>0.99570999999999499</v>
      </c>
      <c r="AF6028">
        <v>-1.96219960312047</v>
      </c>
      <c r="AG6028">
        <v>-1.1105664217560001</v>
      </c>
      <c r="AH6028">
        <v>17.392287321028</v>
      </c>
      <c r="AI6028">
        <v>93.630631399669895</v>
      </c>
      <c r="AJ6028">
        <v>96.436897272369805</v>
      </c>
      <c r="AK6028">
        <v>17.537823220594099</v>
      </c>
      <c r="AL6028">
        <v>90.627274110725807</v>
      </c>
      <c r="AM6028">
        <v>88.031526922830395</v>
      </c>
      <c r="AN6028">
        <v>1.0000000142585299</v>
      </c>
    </row>
    <row r="6029" spans="1:40" x14ac:dyDescent="0.25">
      <c r="A6029" t="str">
        <f>"20190312161140033"</f>
        <v>20190312161140033</v>
      </c>
      <c r="B6029" t="str">
        <f>"1552378300022921"</f>
        <v>1552378300022921</v>
      </c>
      <c r="C6029" t="s">
        <v>40</v>
      </c>
      <c r="D6029">
        <v>5.4979239999999896</v>
      </c>
      <c r="E6029">
        <v>0.4447972</v>
      </c>
      <c r="F6029" t="s">
        <v>108</v>
      </c>
      <c r="G6029">
        <v>-248.9248</v>
      </c>
      <c r="H6029" s="1">
        <v>-3.2984629999999999E-6</v>
      </c>
      <c r="I6029">
        <v>-62.566760000000002</v>
      </c>
      <c r="J6029">
        <v>-266.69319999999999</v>
      </c>
      <c r="K6029">
        <v>1.11056</v>
      </c>
      <c r="L6029">
        <v>-63.60266</v>
      </c>
      <c r="M6029">
        <v>0.99839140000000004</v>
      </c>
      <c r="N6029">
        <v>0</v>
      </c>
      <c r="O6029">
        <v>-5.5132519999999997E-2</v>
      </c>
      <c r="P6029">
        <v>0.99571860000000001</v>
      </c>
      <c r="Q6029">
        <v>-2.4439619999999999E-2</v>
      </c>
      <c r="R6029">
        <v>-8.9148720000000001E-2</v>
      </c>
      <c r="S6029">
        <v>3.0242309999999999</v>
      </c>
      <c r="T6029">
        <v>-0.18774830000000001</v>
      </c>
      <c r="U6029">
        <v>0.17407230000000001</v>
      </c>
      <c r="V6029">
        <v>3.4119499999999997E-2</v>
      </c>
      <c r="W6029">
        <v>-1.1186649999999999E-2</v>
      </c>
      <c r="X6029">
        <v>0.99935510000000005</v>
      </c>
      <c r="Y6029">
        <v>-0.1121018</v>
      </c>
      <c r="Z6029">
        <v>6.8904439999999999E-3</v>
      </c>
      <c r="AA6029">
        <v>0.99367280000000002</v>
      </c>
      <c r="AB6029">
        <v>16</v>
      </c>
      <c r="AC6029">
        <v>17.7683999999999</v>
      </c>
      <c r="AD6029">
        <v>-1.1105632984630001</v>
      </c>
      <c r="AE6029">
        <v>1.0359</v>
      </c>
      <c r="AF6029">
        <v>-2.00621579950116</v>
      </c>
      <c r="AG6029">
        <v>-1.1105632984630001</v>
      </c>
      <c r="AH6029">
        <v>17.615670716834099</v>
      </c>
      <c r="AI6029">
        <v>93.584274981367102</v>
      </c>
      <c r="AJ6029">
        <v>96.497314549195295</v>
      </c>
      <c r="AK6029">
        <v>17.764293047515</v>
      </c>
      <c r="AL6029">
        <v>90.640961233709803</v>
      </c>
      <c r="AM6029">
        <v>88.044594652494396</v>
      </c>
      <c r="AN6029">
        <v>0.99999994865723996</v>
      </c>
    </row>
    <row r="6030" spans="1:40" x14ac:dyDescent="0.25">
      <c r="A6030" t="str">
        <f>"20190312161140047"</f>
        <v>20190312161140047</v>
      </c>
      <c r="B6030" t="str">
        <f>"1552378300043418"</f>
        <v>1552378300043418</v>
      </c>
      <c r="C6030" t="s">
        <v>40</v>
      </c>
      <c r="D6030">
        <v>5.4493790000000004</v>
      </c>
      <c r="E6030">
        <v>0.44455270000000002</v>
      </c>
      <c r="F6030" t="s">
        <v>108</v>
      </c>
      <c r="G6030">
        <v>-248.61869999999999</v>
      </c>
      <c r="H6030" s="1">
        <v>-3.1903779999999998E-6</v>
      </c>
      <c r="I6030">
        <v>-62.544719999999998</v>
      </c>
      <c r="J6030">
        <v>-266.59989999999999</v>
      </c>
      <c r="K6030">
        <v>1.110555</v>
      </c>
      <c r="L6030">
        <v>-63.60736</v>
      </c>
      <c r="M6030">
        <v>0.99841199999999997</v>
      </c>
      <c r="N6030">
        <v>0</v>
      </c>
      <c r="O6030">
        <v>-5.4757920000000002E-2</v>
      </c>
      <c r="P6030">
        <v>0.995753</v>
      </c>
      <c r="Q6030">
        <v>-2.4817200000000001E-2</v>
      </c>
      <c r="R6030">
        <v>-8.8657739999999999E-2</v>
      </c>
      <c r="S6030">
        <v>3.0241699999999998</v>
      </c>
      <c r="T6030">
        <v>-0.18581600000000001</v>
      </c>
      <c r="U6030">
        <v>0.17700199999999999</v>
      </c>
      <c r="V6030">
        <v>3.4002490000000003E-2</v>
      </c>
      <c r="W6030">
        <v>-1.1565539999999999E-2</v>
      </c>
      <c r="X6030">
        <v>0.99935479999999999</v>
      </c>
      <c r="Y6030">
        <v>-0.112695699999999</v>
      </c>
      <c r="Z6030">
        <v>6.8148749999999998E-3</v>
      </c>
      <c r="AA6030">
        <v>0.99360619999999999</v>
      </c>
      <c r="AB6030">
        <v>16</v>
      </c>
      <c r="AC6030">
        <v>17.981200000000001</v>
      </c>
      <c r="AD6030">
        <v>-1.110558190378</v>
      </c>
      <c r="AE6030">
        <v>1.06264</v>
      </c>
      <c r="AF6030">
        <v>-2.03799767568885</v>
      </c>
      <c r="AG6030">
        <v>-1.110558190378</v>
      </c>
      <c r="AH6030">
        <v>17.8282539132347</v>
      </c>
      <c r="AI6030">
        <v>93.541460486595497</v>
      </c>
      <c r="AJ6030">
        <v>96.521333799932407</v>
      </c>
      <c r="AK6030">
        <v>17.978693267729401</v>
      </c>
      <c r="AL6030">
        <v>90.662671421147607</v>
      </c>
      <c r="AM6030">
        <v>88.051294789537195</v>
      </c>
      <c r="AN6030">
        <v>0.99999997366236504</v>
      </c>
    </row>
    <row r="6031" spans="1:40" x14ac:dyDescent="0.25">
      <c r="A6031" t="str">
        <f>"20190312161140058"</f>
        <v>20190312161140058</v>
      </c>
      <c r="B6031" t="str">
        <f>"1552378300053179"</f>
        <v>1552378300053179</v>
      </c>
      <c r="C6031" t="s">
        <v>40</v>
      </c>
      <c r="D6031">
        <v>5.4581019999999896</v>
      </c>
      <c r="E6031">
        <v>0.44450729999999999</v>
      </c>
      <c r="F6031" t="s">
        <v>108</v>
      </c>
      <c r="G6031">
        <v>-248.23500000000001</v>
      </c>
      <c r="H6031" s="1">
        <v>-3.0541289999999999E-6</v>
      </c>
      <c r="I6031">
        <v>-62.512639999999998</v>
      </c>
      <c r="J6031">
        <v>-266.5145</v>
      </c>
      <c r="K6031">
        <v>1.110554</v>
      </c>
      <c r="L6031">
        <v>-63.611629999999998</v>
      </c>
      <c r="M6031">
        <v>0.99843059999999995</v>
      </c>
      <c r="N6031">
        <v>0</v>
      </c>
      <c r="O6031">
        <v>-5.4417159999999999E-2</v>
      </c>
      <c r="P6031">
        <v>0.99579600000000001</v>
      </c>
      <c r="Q6031">
        <v>-2.5271149999999999E-2</v>
      </c>
      <c r="R6031">
        <v>-8.8044869999999997E-2</v>
      </c>
      <c r="S6031">
        <v>3.024292</v>
      </c>
      <c r="T6031">
        <v>-0.18288470000000001</v>
      </c>
      <c r="U6031">
        <v>0.18026729999999999</v>
      </c>
      <c r="V6031">
        <v>3.37294E-2</v>
      </c>
      <c r="W6031">
        <v>-1.202085E-2</v>
      </c>
      <c r="X6031">
        <v>0.99935870000000004</v>
      </c>
      <c r="Y6031">
        <v>-0.11343250000000001</v>
      </c>
      <c r="Z6031">
        <v>6.7087769999999904E-3</v>
      </c>
      <c r="AA6031">
        <v>0.99352309999999999</v>
      </c>
      <c r="AB6031">
        <v>16</v>
      </c>
      <c r="AC6031">
        <v>18.279499999999899</v>
      </c>
      <c r="AD6031">
        <v>-1.110557054129</v>
      </c>
      <c r="AE6031">
        <v>1.0989899999999999</v>
      </c>
      <c r="AF6031">
        <v>-2.0845005668847199</v>
      </c>
      <c r="AG6031">
        <v>-1.110557054129</v>
      </c>
      <c r="AH6031">
        <v>18.1259378828072</v>
      </c>
      <c r="AI6031">
        <v>93.483168991962899</v>
      </c>
      <c r="AJ6031">
        <v>96.560251652015594</v>
      </c>
      <c r="AK6031">
        <v>18.2791713082187</v>
      </c>
      <c r="AL6031">
        <v>90.688760564914602</v>
      </c>
      <c r="AM6031">
        <v>88.066941374215503</v>
      </c>
      <c r="AN6031">
        <v>0.99999999226238601</v>
      </c>
    </row>
    <row r="6032" spans="1:40" x14ac:dyDescent="0.25">
      <c r="A6032" t="str">
        <f>"20190312161140068"</f>
        <v>20190312161140068</v>
      </c>
      <c r="B6032" t="str">
        <f>"1552378300063914"</f>
        <v>1552378300063914</v>
      </c>
      <c r="C6032" t="s">
        <v>40</v>
      </c>
      <c r="D6032">
        <v>5.4665249999999999</v>
      </c>
      <c r="E6032">
        <v>0.44452399999999997</v>
      </c>
      <c r="F6032" t="s">
        <v>108</v>
      </c>
      <c r="G6032">
        <v>-248.13570000000001</v>
      </c>
      <c r="H6032" s="1">
        <v>-3.0185789999999998E-6</v>
      </c>
      <c r="I6032">
        <v>-62.502690000000001</v>
      </c>
      <c r="J6032">
        <v>-266.44139999999999</v>
      </c>
      <c r="K6032">
        <v>1.1105480000000001</v>
      </c>
      <c r="L6032">
        <v>-63.615299999999998</v>
      </c>
      <c r="M6032">
        <v>0.99844630000000001</v>
      </c>
      <c r="N6032">
        <v>0</v>
      </c>
      <c r="O6032">
        <v>-5.4126699999999903E-2</v>
      </c>
      <c r="P6032">
        <v>0.99583200000000005</v>
      </c>
      <c r="Q6032">
        <v>-2.5123909999999999E-2</v>
      </c>
      <c r="R6032">
        <v>-8.7677690000000003E-2</v>
      </c>
      <c r="S6032">
        <v>3.0241699999999998</v>
      </c>
      <c r="T6032">
        <v>-0.18273909999999999</v>
      </c>
      <c r="U6032">
        <v>0.1824646</v>
      </c>
      <c r="V6032">
        <v>3.3651260000000002E-2</v>
      </c>
      <c r="W6032">
        <v>-1.1874610000000001E-2</v>
      </c>
      <c r="X6032">
        <v>0.99936309999999995</v>
      </c>
      <c r="Y6032">
        <v>-0.1138653</v>
      </c>
      <c r="Z6032">
        <v>6.6991269999999896E-3</v>
      </c>
      <c r="AA6032">
        <v>0.99347359999999896</v>
      </c>
      <c r="AB6032">
        <v>16</v>
      </c>
      <c r="AC6032">
        <v>18.305699999999899</v>
      </c>
      <c r="AD6032">
        <v>-1.110551018579</v>
      </c>
      <c r="AE6032">
        <v>1.1126099999999901</v>
      </c>
      <c r="AF6032">
        <v>-2.0942133548729398</v>
      </c>
      <c r="AG6032">
        <v>-1.110551018579</v>
      </c>
      <c r="AH6032">
        <v>18.152070909637398</v>
      </c>
      <c r="AI6032">
        <v>93.478002094684996</v>
      </c>
      <c r="AJ6032">
        <v>96.581146085519904</v>
      </c>
      <c r="AK6032">
        <v>18.306193800162202</v>
      </c>
      <c r="AL6032">
        <v>90.680381020111</v>
      </c>
      <c r="AM6032">
        <v>88.071424738509805</v>
      </c>
      <c r="AN6032">
        <v>1.0000000096519199</v>
      </c>
    </row>
    <row r="6033" spans="1:40" x14ac:dyDescent="0.25">
      <c r="A6033" t="str">
        <f>"20190312161140079"</f>
        <v>20190312161140079</v>
      </c>
      <c r="B6033" t="str">
        <f>"1552378300073674"</f>
        <v>1552378300073674</v>
      </c>
      <c r="C6033" t="s">
        <v>40</v>
      </c>
      <c r="D6033">
        <v>5.4809789999999996</v>
      </c>
      <c r="E6033">
        <v>0.44448090000000001</v>
      </c>
      <c r="F6033" t="s">
        <v>108</v>
      </c>
      <c r="G6033">
        <v>-248.126</v>
      </c>
      <c r="H6033" s="1">
        <v>-3.0155479999999998E-6</v>
      </c>
      <c r="I6033">
        <v>-62.504219999999997</v>
      </c>
      <c r="J6033">
        <v>-266.36450000000002</v>
      </c>
      <c r="K6033">
        <v>1.1105449999999999</v>
      </c>
      <c r="L6033">
        <v>-63.619109999999999</v>
      </c>
      <c r="M6033">
        <v>0.99846290000000004</v>
      </c>
      <c r="N6033">
        <v>0</v>
      </c>
      <c r="O6033">
        <v>-5.3822660000000001E-2</v>
      </c>
      <c r="P6033">
        <v>0.99587650000000005</v>
      </c>
      <c r="Q6033">
        <v>-2.5259070000000002E-2</v>
      </c>
      <c r="R6033">
        <v>-8.7132550000000003E-2</v>
      </c>
      <c r="S6033">
        <v>3.0240779999999998</v>
      </c>
      <c r="T6033">
        <v>-0.18336469999999999</v>
      </c>
      <c r="U6033">
        <v>0.1834412</v>
      </c>
      <c r="V6033">
        <v>3.3408710000000001E-2</v>
      </c>
      <c r="W6033">
        <v>-1.2010939999999999E-2</v>
      </c>
      <c r="X6033">
        <v>0.99936959999999997</v>
      </c>
      <c r="Y6033">
        <v>-0.1138827</v>
      </c>
      <c r="Z6033">
        <v>6.7042899999999999E-3</v>
      </c>
      <c r="AA6033">
        <v>0.99347160000000001</v>
      </c>
      <c r="AB6033">
        <v>16</v>
      </c>
      <c r="AC6033">
        <v>18.238499999999998</v>
      </c>
      <c r="AD6033">
        <v>-1.1105480155480001</v>
      </c>
      <c r="AE6033">
        <v>1.1148899999999999</v>
      </c>
      <c r="AF6033">
        <v>-2.0872940595760801</v>
      </c>
      <c r="AG6033">
        <v>-1.1105480155480001</v>
      </c>
      <c r="AH6033">
        <v>18.085243478048099</v>
      </c>
      <c r="AI6033">
        <v>93.490795311775699</v>
      </c>
      <c r="AJ6033">
        <v>96.583617926547205</v>
      </c>
      <c r="AK6033">
        <v>18.2391377275972</v>
      </c>
      <c r="AL6033">
        <v>90.688192716731507</v>
      </c>
      <c r="AM6033">
        <v>88.085327494263197</v>
      </c>
      <c r="AN6033">
        <v>1.0000000009938499</v>
      </c>
    </row>
    <row r="6034" spans="1:40" x14ac:dyDescent="0.25">
      <c r="A6034" t="str">
        <f>"20190312161140089"</f>
        <v>20190312161140089</v>
      </c>
      <c r="B6034" t="str">
        <f>"1552378300083435"</f>
        <v>1552378300083435</v>
      </c>
      <c r="C6034" t="s">
        <v>40</v>
      </c>
      <c r="D6034">
        <v>5.5336460000000001</v>
      </c>
      <c r="E6034">
        <v>0.44448520000000002</v>
      </c>
      <c r="F6034" t="s">
        <v>108</v>
      </c>
      <c r="G6034">
        <v>-248.23230000000001</v>
      </c>
      <c r="H6034" s="1">
        <v>-3.0522339999999999E-6</v>
      </c>
      <c r="I6034">
        <v>-62.507210000000001</v>
      </c>
      <c r="J6034">
        <v>-266.2944</v>
      </c>
      <c r="K6034">
        <v>1.1105419999999999</v>
      </c>
      <c r="L6034">
        <v>-63.622529999999998</v>
      </c>
      <c r="M6034">
        <v>0.99847770000000002</v>
      </c>
      <c r="N6034">
        <v>0</v>
      </c>
      <c r="O6034">
        <v>-5.3546499999999997E-2</v>
      </c>
      <c r="P6034">
        <v>0.9959266</v>
      </c>
      <c r="Q6034">
        <v>-2.522255E-2</v>
      </c>
      <c r="R6034">
        <v>-8.656788E-2</v>
      </c>
      <c r="S6034">
        <v>3.0239560000000001</v>
      </c>
      <c r="T6034">
        <v>-0.18520890000000001</v>
      </c>
      <c r="U6034">
        <v>0.1854248</v>
      </c>
      <c r="V6034">
        <v>3.3118519999999999E-2</v>
      </c>
      <c r="W6034">
        <v>-1.197543E-2</v>
      </c>
      <c r="X6034">
        <v>0.99937969999999998</v>
      </c>
      <c r="Y6034">
        <v>-0.1142532</v>
      </c>
      <c r="Z6034">
        <v>6.7661900000000001E-3</v>
      </c>
      <c r="AA6034">
        <v>0.99342859999999999</v>
      </c>
      <c r="AB6034">
        <v>16</v>
      </c>
      <c r="AC6034">
        <v>18.062099999999901</v>
      </c>
      <c r="AD6034">
        <v>-1.1105450522339999</v>
      </c>
      <c r="AE6034">
        <v>1.1153200000000001</v>
      </c>
      <c r="AF6034">
        <v>-2.0731589693674199</v>
      </c>
      <c r="AG6034">
        <v>-1.1105450522339999</v>
      </c>
      <c r="AH6034">
        <v>17.909010323372598</v>
      </c>
      <c r="AI6034">
        <v>93.524911863405407</v>
      </c>
      <c r="AJ6034">
        <v>96.603206791164396</v>
      </c>
      <c r="AK6034">
        <v>18.0627780030641</v>
      </c>
      <c r="AL6034">
        <v>90.686157986945602</v>
      </c>
      <c r="AM6034">
        <v>88.101965401364694</v>
      </c>
      <c r="AN6034">
        <v>1.00000001603138</v>
      </c>
    </row>
    <row r="6035" spans="1:40" x14ac:dyDescent="0.25">
      <c r="A6035" t="str">
        <f>"20190312161140100"</f>
        <v>20190312161140100</v>
      </c>
      <c r="B6035" t="str">
        <f>"1552378300093196"</f>
        <v>1552378300093196</v>
      </c>
      <c r="C6035" t="s">
        <v>40</v>
      </c>
      <c r="D6035">
        <v>5.5488530000000003</v>
      </c>
      <c r="E6035">
        <v>0.4444475</v>
      </c>
      <c r="F6035" t="s">
        <v>108</v>
      </c>
      <c r="G6035">
        <v>-248.20240000000001</v>
      </c>
      <c r="H6035" s="1">
        <v>-3.041307E-6</v>
      </c>
      <c r="I6035">
        <v>-62.503010000000003</v>
      </c>
      <c r="J6035">
        <v>-266.21879999999999</v>
      </c>
      <c r="K6035">
        <v>1.110538</v>
      </c>
      <c r="L6035">
        <v>-63.626249999999999</v>
      </c>
      <c r="M6035">
        <v>0.99849359999999998</v>
      </c>
      <c r="N6035">
        <v>0</v>
      </c>
      <c r="O6035">
        <v>-5.3250550000000001E-2</v>
      </c>
      <c r="P6035">
        <v>0.99596519999999999</v>
      </c>
      <c r="Q6035">
        <v>-2.5326419999999999E-2</v>
      </c>
      <c r="R6035">
        <v>-8.6093890000000006E-2</v>
      </c>
      <c r="S6035">
        <v>3.0238649999999998</v>
      </c>
      <c r="T6035">
        <v>-0.18561430000000001</v>
      </c>
      <c r="U6035">
        <v>0.1871033</v>
      </c>
      <c r="V6035">
        <v>3.2939139999999999E-2</v>
      </c>
      <c r="W6035">
        <v>-1.208041E-2</v>
      </c>
      <c r="X6035">
        <v>0.9993843</v>
      </c>
      <c r="Y6035">
        <v>-0.1145086</v>
      </c>
      <c r="Z6035">
        <v>6.7707710000000001E-3</v>
      </c>
      <c r="AA6035">
        <v>0.99339920000000004</v>
      </c>
      <c r="AB6035">
        <v>16</v>
      </c>
      <c r="AC6035">
        <v>18.016399999999901</v>
      </c>
      <c r="AD6035">
        <v>-1.110541041307</v>
      </c>
      <c r="AE6035">
        <v>1.12324</v>
      </c>
      <c r="AF6035">
        <v>-2.0732661753586399</v>
      </c>
      <c r="AG6035">
        <v>-1.110541041307</v>
      </c>
      <c r="AH6035">
        <v>17.863404906467</v>
      </c>
      <c r="AI6035">
        <v>93.533753917293197</v>
      </c>
      <c r="AJ6035">
        <v>96.620254676755707</v>
      </c>
      <c r="AK6035">
        <v>18.017573890252301</v>
      </c>
      <c r="AL6035">
        <v>90.6921733778224</v>
      </c>
      <c r="AM6035">
        <v>88.112246959625097</v>
      </c>
      <c r="AN6035">
        <v>0.99999995116809703</v>
      </c>
    </row>
    <row r="6036" spans="1:40" x14ac:dyDescent="0.25">
      <c r="A6036" t="str">
        <f>"20190312161140110"</f>
        <v>20190312161140110</v>
      </c>
      <c r="B6036" t="str">
        <f>"1552378300102954"</f>
        <v>1552378300102954</v>
      </c>
      <c r="C6036" t="s">
        <v>40</v>
      </c>
      <c r="D6036">
        <v>5.4951319999999999</v>
      </c>
      <c r="E6036">
        <v>0.44445200000000001</v>
      </c>
      <c r="F6036" t="s">
        <v>108</v>
      </c>
      <c r="G6036">
        <v>-248.1602</v>
      </c>
      <c r="H6036" s="1">
        <v>-3.0261670000000001E-6</v>
      </c>
      <c r="I6036">
        <v>-62.498550000000002</v>
      </c>
      <c r="J6036">
        <v>-266.1429</v>
      </c>
      <c r="K6036">
        <v>1.110533</v>
      </c>
      <c r="L6036">
        <v>-63.629939999999998</v>
      </c>
      <c r="M6036">
        <v>0.99850930000000004</v>
      </c>
      <c r="N6036">
        <v>0</v>
      </c>
      <c r="O6036">
        <v>-5.2954010000000003E-2</v>
      </c>
      <c r="P6036">
        <v>0.99599400000000005</v>
      </c>
      <c r="Q6036">
        <v>-2.547251E-2</v>
      </c>
      <c r="R6036">
        <v>-8.5715529999999998E-2</v>
      </c>
      <c r="S6036">
        <v>3.0237430000000001</v>
      </c>
      <c r="T6036">
        <v>-0.18594920000000001</v>
      </c>
      <c r="U6036">
        <v>0.18881229999999999</v>
      </c>
      <c r="V6036">
        <v>3.2856610000000001E-2</v>
      </c>
      <c r="W6036">
        <v>-1.222757E-2</v>
      </c>
      <c r="X6036">
        <v>0.99938530000000003</v>
      </c>
      <c r="Y6036">
        <v>-0.1147743</v>
      </c>
      <c r="Z6036">
        <v>6.7730849999999999E-3</v>
      </c>
      <c r="AA6036">
        <v>0.99336849999999999</v>
      </c>
      <c r="AB6036">
        <v>16</v>
      </c>
      <c r="AC6036">
        <v>17.982699999999902</v>
      </c>
      <c r="AD6036">
        <v>-1.1105360261669901</v>
      </c>
      <c r="AE6036">
        <v>1.1313899999999999</v>
      </c>
      <c r="AF6036">
        <v>-2.07426217366949</v>
      </c>
      <c r="AG6036">
        <v>-1.1105360261669901</v>
      </c>
      <c r="AH6036">
        <v>17.829817232091902</v>
      </c>
      <c r="AI6036">
        <v>93.540266776214196</v>
      </c>
      <c r="AJ6036">
        <v>96.635772751640104</v>
      </c>
      <c r="AK6036">
        <v>17.984388684643498</v>
      </c>
      <c r="AL6036">
        <v>90.700605596903401</v>
      </c>
      <c r="AM6036">
        <v>88.116975254779604</v>
      </c>
      <c r="AN6036">
        <v>1.00000002407244</v>
      </c>
    </row>
    <row r="6037" spans="1:40" x14ac:dyDescent="0.25">
      <c r="A6037" t="str">
        <f>"20190312161140121"</f>
        <v>20190312161140121</v>
      </c>
      <c r="B6037" t="str">
        <f>"1552378300113690"</f>
        <v>1552378300113690</v>
      </c>
      <c r="C6037" t="s">
        <v>40</v>
      </c>
      <c r="D6037">
        <v>5.5711870000000001</v>
      </c>
      <c r="E6037">
        <v>0.44444470000000003</v>
      </c>
      <c r="F6037" t="s">
        <v>108</v>
      </c>
      <c r="G6037">
        <v>-248.31229999999999</v>
      </c>
      <c r="H6037" s="1">
        <v>-3.079863E-6</v>
      </c>
      <c r="I6037">
        <v>-62.509410000000003</v>
      </c>
      <c r="J6037">
        <v>-266.0659</v>
      </c>
      <c r="K6037">
        <v>1.1105320000000001</v>
      </c>
      <c r="L6037">
        <v>-63.633699999999997</v>
      </c>
      <c r="M6037">
        <v>0.99852540000000001</v>
      </c>
      <c r="N6037">
        <v>0</v>
      </c>
      <c r="O6037">
        <v>-5.2653770000000003E-2</v>
      </c>
      <c r="P6037">
        <v>0.99603240000000004</v>
      </c>
      <c r="Q6037">
        <v>-2.6075330000000001E-2</v>
      </c>
      <c r="R6037">
        <v>-8.5088010000000006E-2</v>
      </c>
      <c r="S6037">
        <v>3.02359</v>
      </c>
      <c r="T6037">
        <v>-0.1883174</v>
      </c>
      <c r="U6037">
        <v>0.19000239999999999</v>
      </c>
      <c r="V6037">
        <v>3.2528630000000003E-2</v>
      </c>
      <c r="W6037">
        <v>-1.283163E-2</v>
      </c>
      <c r="X6037">
        <v>0.99938850000000001</v>
      </c>
      <c r="Y6037">
        <v>-0.1148605</v>
      </c>
      <c r="Z6037">
        <v>6.8434660000000003E-3</v>
      </c>
      <c r="AA6037">
        <v>0.99335810000000002</v>
      </c>
      <c r="AB6037">
        <v>16</v>
      </c>
      <c r="AC6037">
        <v>17.753599999999999</v>
      </c>
      <c r="AD6037">
        <v>-1.110535079863</v>
      </c>
      <c r="AE6037">
        <v>1.12429</v>
      </c>
      <c r="AF6037">
        <v>-2.0496179500843299</v>
      </c>
      <c r="AG6037">
        <v>-1.110535079863</v>
      </c>
      <c r="AH6037">
        <v>17.601169718853999</v>
      </c>
      <c r="AI6037">
        <v>93.586088575277401</v>
      </c>
      <c r="AJ6037">
        <v>96.642054465249998</v>
      </c>
      <c r="AK6037">
        <v>17.754869680648699</v>
      </c>
      <c r="AL6037">
        <v>90.735218369766997</v>
      </c>
      <c r="AM6037">
        <v>88.135764547390906</v>
      </c>
      <c r="AN6037">
        <v>1.0000000682151799</v>
      </c>
    </row>
    <row r="6038" spans="1:40" x14ac:dyDescent="0.25">
      <c r="A6038" t="str">
        <f>"20190312161140133"</f>
        <v>20190312161140133</v>
      </c>
      <c r="B6038" t="str">
        <f>"1552378300123450"</f>
        <v>1552378300123450</v>
      </c>
      <c r="C6038" t="s">
        <v>40</v>
      </c>
      <c r="D6038">
        <v>5.5246469999999999</v>
      </c>
      <c r="E6038">
        <v>0.44447540000000002</v>
      </c>
      <c r="F6038" t="s">
        <v>108</v>
      </c>
      <c r="G6038">
        <v>-248.45840000000001</v>
      </c>
      <c r="H6038" s="1">
        <v>-3.130672E-6</v>
      </c>
      <c r="I6038">
        <v>-62.515540000000001</v>
      </c>
      <c r="J6038">
        <v>-265.98509999999999</v>
      </c>
      <c r="K6038">
        <v>1.1105259999999999</v>
      </c>
      <c r="L6038">
        <v>-63.637569999999997</v>
      </c>
      <c r="M6038">
        <v>0.99854180000000003</v>
      </c>
      <c r="N6038">
        <v>0</v>
      </c>
      <c r="O6038">
        <v>-5.2340169999999998E-2</v>
      </c>
      <c r="P6038">
        <v>0.99605659999999896</v>
      </c>
      <c r="Q6038">
        <v>-2.6292389999999999E-2</v>
      </c>
      <c r="R6038">
        <v>-8.4735939999999996E-2</v>
      </c>
      <c r="S6038">
        <v>3.0233460000000001</v>
      </c>
      <c r="T6038">
        <v>-0.19068840000000001</v>
      </c>
      <c r="U6038">
        <v>0.19198609999999999</v>
      </c>
      <c r="V6038">
        <v>3.2489829999999997E-2</v>
      </c>
      <c r="W6038">
        <v>-1.304988E-2</v>
      </c>
      <c r="X6038">
        <v>0.99938680000000002</v>
      </c>
      <c r="Y6038">
        <v>-0.1151944</v>
      </c>
      <c r="Z6038">
        <v>6.9206600000000004E-3</v>
      </c>
      <c r="AA6038">
        <v>0.9933189</v>
      </c>
      <c r="AB6038">
        <v>16</v>
      </c>
      <c r="AC6038">
        <v>17.526699999999899</v>
      </c>
      <c r="AD6038">
        <v>-1.110529130672</v>
      </c>
      <c r="AE6038">
        <v>1.1220299999999901</v>
      </c>
      <c r="AF6038">
        <v>-2.0298064911401101</v>
      </c>
      <c r="AG6038">
        <v>-1.110529130672</v>
      </c>
      <c r="AH6038">
        <v>17.3744701999087</v>
      </c>
      <c r="AI6038">
        <v>93.6325773661097</v>
      </c>
      <c r="AJ6038">
        <v>96.663485539736499</v>
      </c>
      <c r="AK6038">
        <v>17.527852237768901</v>
      </c>
      <c r="AL6038">
        <v>90.747724321690001</v>
      </c>
      <c r="AM6038">
        <v>88.137983467457801</v>
      </c>
      <c r="AN6038">
        <v>0.999999932217839</v>
      </c>
    </row>
    <row r="6039" spans="1:40" x14ac:dyDescent="0.25">
      <c r="A6039" t="str">
        <f>"20190312161140144"</f>
        <v>20190312161140144</v>
      </c>
      <c r="B6039" t="str">
        <f>"1552378300133211"</f>
        <v>1552378300133211</v>
      </c>
      <c r="C6039" t="s">
        <v>40</v>
      </c>
      <c r="D6039">
        <v>5.5478899999999998</v>
      </c>
      <c r="E6039">
        <v>0.44449660000000002</v>
      </c>
      <c r="F6039" t="s">
        <v>108</v>
      </c>
      <c r="G6039">
        <v>-248.5694</v>
      </c>
      <c r="H6039" s="1">
        <v>-3.1702999999999898E-6</v>
      </c>
      <c r="I6039">
        <v>-62.526090000000003</v>
      </c>
      <c r="J6039">
        <v>-265.90390000000002</v>
      </c>
      <c r="K6039">
        <v>1.110522</v>
      </c>
      <c r="L6039">
        <v>-63.641419999999997</v>
      </c>
      <c r="M6039">
        <v>0.99855830000000001</v>
      </c>
      <c r="N6039">
        <v>0</v>
      </c>
      <c r="O6039">
        <v>-5.2025139999999997E-2</v>
      </c>
      <c r="P6039">
        <v>0.99610019999999999</v>
      </c>
      <c r="Q6039">
        <v>-2.62884E-2</v>
      </c>
      <c r="R6039">
        <v>-8.4224289999999993E-2</v>
      </c>
      <c r="S6039">
        <v>3.023193</v>
      </c>
      <c r="T6039">
        <v>-0.19277659999999999</v>
      </c>
      <c r="U6039">
        <v>0.1929321</v>
      </c>
      <c r="V6039">
        <v>3.2291559999999997E-2</v>
      </c>
      <c r="W6039">
        <v>-1.3047039999999999E-2</v>
      </c>
      <c r="X6039">
        <v>0.99939330000000004</v>
      </c>
      <c r="Y6039">
        <v>-0.1151871</v>
      </c>
      <c r="Z6039">
        <v>6.9763050000000004E-3</v>
      </c>
      <c r="AA6039">
        <v>0.99331930000000002</v>
      </c>
      <c r="AB6039">
        <v>16</v>
      </c>
      <c r="AC6039">
        <v>17.334499999999998</v>
      </c>
      <c r="AD6039">
        <v>-1.1105251703000001</v>
      </c>
      <c r="AE6039">
        <v>1.1153299999999899</v>
      </c>
      <c r="AF6039">
        <v>-2.0075224939249399</v>
      </c>
      <c r="AG6039">
        <v>-1.1105251703000001</v>
      </c>
      <c r="AH6039">
        <v>17.1827591701689</v>
      </c>
      <c r="AI6039">
        <v>93.672980485514202</v>
      </c>
      <c r="AJ6039">
        <v>96.663857326443804</v>
      </c>
      <c r="AK6039">
        <v>17.335242294744798</v>
      </c>
      <c r="AL6039">
        <v>90.747561560243199</v>
      </c>
      <c r="AM6039">
        <v>88.149350572220698</v>
      </c>
      <c r="AN6039">
        <v>0.99999996909244204</v>
      </c>
    </row>
    <row r="6040" spans="1:40" x14ac:dyDescent="0.25">
      <c r="A6040" t="str">
        <f>"20190312161140154"</f>
        <v>20190312161140154</v>
      </c>
      <c r="B6040" t="str">
        <f>"1552378300142970"</f>
        <v>1552378300142970</v>
      </c>
      <c r="C6040" t="s">
        <v>40</v>
      </c>
      <c r="D6040">
        <v>5.5819779999999897</v>
      </c>
      <c r="E6040">
        <v>0.44455810000000001</v>
      </c>
      <c r="F6040" t="s">
        <v>108</v>
      </c>
      <c r="G6040">
        <v>-248.63120000000001</v>
      </c>
      <c r="H6040" s="1">
        <v>-3.1920909999999999E-6</v>
      </c>
      <c r="I6040">
        <v>-62.530279999999998</v>
      </c>
      <c r="J6040">
        <v>-265.82639999999998</v>
      </c>
      <c r="K6040">
        <v>1.11052</v>
      </c>
      <c r="L6040">
        <v>-63.645110000000003</v>
      </c>
      <c r="M6040">
        <v>0.99857399999999996</v>
      </c>
      <c r="N6040">
        <v>0</v>
      </c>
      <c r="O6040">
        <v>-5.1723690000000003E-2</v>
      </c>
      <c r="P6040">
        <v>0.99614570000000002</v>
      </c>
      <c r="Q6040">
        <v>-2.6389920000000001E-2</v>
      </c>
      <c r="R6040">
        <v>-8.3650890000000006E-2</v>
      </c>
      <c r="S6040">
        <v>3.0230410000000001</v>
      </c>
      <c r="T6040">
        <v>-0.19436239999999999</v>
      </c>
      <c r="U6040">
        <v>0.19445799999999999</v>
      </c>
      <c r="V6040">
        <v>3.2018280000000003E-2</v>
      </c>
      <c r="W6040">
        <v>-1.314952E-2</v>
      </c>
      <c r="X6040">
        <v>0.99940079999999998</v>
      </c>
      <c r="Y6040">
        <v>-0.1153844</v>
      </c>
      <c r="Z6040">
        <v>7.0208179999999999E-3</v>
      </c>
      <c r="AA6040">
        <v>0.99329610000000002</v>
      </c>
      <c r="AB6040">
        <v>16</v>
      </c>
      <c r="AC6040">
        <v>17.1951999999999</v>
      </c>
      <c r="AD6040">
        <v>-1.1105231920909999</v>
      </c>
      <c r="AE6040">
        <v>1.11482999999999</v>
      </c>
      <c r="AF6040">
        <v>-1.9945299530235201</v>
      </c>
      <c r="AG6040">
        <v>-1.1105231920909999</v>
      </c>
      <c r="AH6040">
        <v>17.043719027291701</v>
      </c>
      <c r="AI6040">
        <v>93.702773242991597</v>
      </c>
      <c r="AJ6040">
        <v>96.674642138750897</v>
      </c>
      <c r="AK6040">
        <v>17.195923056787201</v>
      </c>
      <c r="AL6040">
        <v>90.753433697617695</v>
      </c>
      <c r="AM6040">
        <v>88.165015427493799</v>
      </c>
      <c r="AN6040">
        <v>1.0000000195855101</v>
      </c>
    </row>
    <row r="6041" spans="1:40" x14ac:dyDescent="0.25">
      <c r="A6041" t="str">
        <f>"20190312161140165"</f>
        <v>20190312161140165</v>
      </c>
      <c r="B6041" t="str">
        <f>"1552378300153706"</f>
        <v>1552378300153706</v>
      </c>
      <c r="C6041" t="s">
        <v>40</v>
      </c>
      <c r="D6041">
        <v>5.5599049999999997</v>
      </c>
      <c r="E6041">
        <v>0.44457550000000001</v>
      </c>
      <c r="F6041" t="s">
        <v>108</v>
      </c>
      <c r="G6041">
        <v>-248.75319999999999</v>
      </c>
      <c r="H6041" s="1">
        <v>-3.2352759999999999E-6</v>
      </c>
      <c r="I6041">
        <v>-62.539679999999997</v>
      </c>
      <c r="J6041">
        <v>-265.75259999999997</v>
      </c>
      <c r="K6041">
        <v>1.1105179999999999</v>
      </c>
      <c r="L6041">
        <v>-63.648620000000001</v>
      </c>
      <c r="M6041">
        <v>0.9985887</v>
      </c>
      <c r="N6041">
        <v>0</v>
      </c>
      <c r="O6041">
        <v>-5.1437249999999997E-2</v>
      </c>
      <c r="P6041">
        <v>0.99618099999999998</v>
      </c>
      <c r="Q6041">
        <v>-2.6217049999999999E-2</v>
      </c>
      <c r="R6041">
        <v>-8.3284929999999993E-2</v>
      </c>
      <c r="S6041">
        <v>3.0228269999999999</v>
      </c>
      <c r="T6041">
        <v>-0.19662019999999999</v>
      </c>
      <c r="U6041">
        <v>0.1957092</v>
      </c>
      <c r="V6041">
        <v>3.1937229999999997E-2</v>
      </c>
      <c r="W6041">
        <v>-1.297746E-2</v>
      </c>
      <c r="X6041">
        <v>0.99940560000000001</v>
      </c>
      <c r="Y6041">
        <v>-0.1155057</v>
      </c>
      <c r="Z6041">
        <v>7.0879649999999999E-3</v>
      </c>
      <c r="AA6041">
        <v>0.99328150000000004</v>
      </c>
      <c r="AB6041">
        <v>16</v>
      </c>
      <c r="AC6041">
        <v>16.999399999999898</v>
      </c>
      <c r="AD6041">
        <v>-1.1105212352760001</v>
      </c>
      <c r="AE6041">
        <v>1.1089399999999801</v>
      </c>
      <c r="AF6041">
        <v>-1.97356384155534</v>
      </c>
      <c r="AG6041">
        <v>-1.1105212352760001</v>
      </c>
      <c r="AH6041">
        <v>16.848249551545599</v>
      </c>
      <c r="AI6041">
        <v>93.745554918890903</v>
      </c>
      <c r="AJ6041">
        <v>96.681044853566704</v>
      </c>
      <c r="AK6041">
        <v>16.999756604194399</v>
      </c>
      <c r="AL6041">
        <v>90.743574576187896</v>
      </c>
      <c r="AM6041">
        <v>88.169666067211907</v>
      </c>
      <c r="AN6041">
        <v>0.99999997721974099</v>
      </c>
    </row>
    <row r="6042" spans="1:40" x14ac:dyDescent="0.25">
      <c r="A6042" t="str">
        <f>"20190312161140177"</f>
        <v>20190312161140177</v>
      </c>
      <c r="B6042" t="str">
        <f>"1552378300173226"</f>
        <v>1552378300173226</v>
      </c>
      <c r="C6042" t="s">
        <v>40</v>
      </c>
      <c r="D6042">
        <v>5.5690580000000001</v>
      </c>
      <c r="E6042">
        <v>0.44467099999999998</v>
      </c>
      <c r="F6042" t="s">
        <v>108</v>
      </c>
      <c r="G6042">
        <v>-248.76660000000001</v>
      </c>
      <c r="H6042" s="1">
        <v>-3.2404010000000002E-6</v>
      </c>
      <c r="I6042">
        <v>-62.542949999999998</v>
      </c>
      <c r="J6042">
        <v>-265.67200000000003</v>
      </c>
      <c r="K6042">
        <v>1.1105179999999999</v>
      </c>
      <c r="L6042">
        <v>-63.6524</v>
      </c>
      <c r="M6042">
        <v>0.99860479999999996</v>
      </c>
      <c r="N6042">
        <v>0</v>
      </c>
      <c r="O6042">
        <v>-5.112303E-2</v>
      </c>
      <c r="P6042">
        <v>0.99622040000000001</v>
      </c>
      <c r="Q6042">
        <v>-2.6238529999999999E-2</v>
      </c>
      <c r="R6042">
        <v>-8.2803340000000003E-2</v>
      </c>
      <c r="S6042">
        <v>3.0227050000000002</v>
      </c>
      <c r="T6042">
        <v>-0.19761989999999999</v>
      </c>
      <c r="U6042">
        <v>0.1967468</v>
      </c>
      <c r="V6042">
        <v>3.1768810000000001E-2</v>
      </c>
      <c r="W6042">
        <v>-1.299998E-2</v>
      </c>
      <c r="X6042">
        <v>0.99941069999999999</v>
      </c>
      <c r="Y6042">
        <v>-0.1155323</v>
      </c>
      <c r="Z6042">
        <v>7.1045129999999998E-3</v>
      </c>
      <c r="AA6042">
        <v>0.99327829999999995</v>
      </c>
      <c r="AB6042">
        <v>16</v>
      </c>
      <c r="AC6042">
        <v>16.9054</v>
      </c>
      <c r="AD6042">
        <v>-1.1105212404009901</v>
      </c>
      <c r="AE6042">
        <v>1.10945</v>
      </c>
      <c r="AF6042">
        <v>-1.9638915645792001</v>
      </c>
      <c r="AG6042">
        <v>-1.1105212404009901</v>
      </c>
      <c r="AH6042">
        <v>16.754576980929599</v>
      </c>
      <c r="AI6042">
        <v>93.766402026855502</v>
      </c>
      <c r="AJ6042">
        <v>96.685431291039805</v>
      </c>
      <c r="AK6042">
        <v>16.905797151057499</v>
      </c>
      <c r="AL6042">
        <v>90.744864967551905</v>
      </c>
      <c r="AM6042">
        <v>88.179321048021094</v>
      </c>
      <c r="AN6042">
        <v>1.00000000202165</v>
      </c>
    </row>
    <row r="6043" spans="1:40" x14ac:dyDescent="0.25">
      <c r="A6043" t="str">
        <f>"20190312161140189"</f>
        <v>20190312161140189</v>
      </c>
      <c r="B6043" t="str">
        <f>"1552378300182986"</f>
        <v>1552378300182986</v>
      </c>
      <c r="C6043" t="s">
        <v>40</v>
      </c>
      <c r="D6043">
        <v>5.6167509999999998</v>
      </c>
      <c r="E6043">
        <v>0.44470779999999899</v>
      </c>
      <c r="F6043" t="s">
        <v>108</v>
      </c>
      <c r="G6043">
        <v>-248.96860000000001</v>
      </c>
      <c r="H6043" s="1">
        <v>-3.3122490000000001E-6</v>
      </c>
      <c r="I6043">
        <v>-62.560490000000001</v>
      </c>
      <c r="J6043">
        <v>-265.58319999999998</v>
      </c>
      <c r="K6043">
        <v>1.1105149999999999</v>
      </c>
      <c r="L6043">
        <v>-63.656559999999999</v>
      </c>
      <c r="M6043">
        <v>0.99862269999999997</v>
      </c>
      <c r="N6043">
        <v>0</v>
      </c>
      <c r="O6043">
        <v>-5.0775059999999997E-2</v>
      </c>
      <c r="P6043">
        <v>0.99624919999999995</v>
      </c>
      <c r="Q6043">
        <v>-2.6475849999999999E-2</v>
      </c>
      <c r="R6043">
        <v>-8.2382230000000001E-2</v>
      </c>
      <c r="S6043">
        <v>3.022491</v>
      </c>
      <c r="T6043">
        <v>-0.20094909999999999</v>
      </c>
      <c r="U6043">
        <v>0.19757079999999999</v>
      </c>
      <c r="V6043">
        <v>3.1695059999999997E-2</v>
      </c>
      <c r="W6043">
        <v>-1.323829E-2</v>
      </c>
      <c r="X6043">
        <v>0.99940989999999996</v>
      </c>
      <c r="Y6043">
        <v>-0.1154492</v>
      </c>
      <c r="Z6043">
        <v>7.1985479999999999E-3</v>
      </c>
      <c r="AA6043">
        <v>0.99328729999999998</v>
      </c>
      <c r="AB6043">
        <v>16</v>
      </c>
      <c r="AC6043">
        <v>16.6145999999999</v>
      </c>
      <c r="AD6043">
        <v>-1.1105183122490001</v>
      </c>
      <c r="AE6043">
        <v>1.0960699999999901</v>
      </c>
      <c r="AF6043">
        <v>-1.9297529609085</v>
      </c>
      <c r="AG6043">
        <v>-1.1105183122490001</v>
      </c>
      <c r="AH6043">
        <v>16.464270846170201</v>
      </c>
      <c r="AI6043">
        <v>93.832609746714695</v>
      </c>
      <c r="AJ6043">
        <v>96.6850526351366</v>
      </c>
      <c r="AK6043">
        <v>16.614132896664401</v>
      </c>
      <c r="AL6043">
        <v>90.758520310061499</v>
      </c>
      <c r="AM6043">
        <v>88.183543392278295</v>
      </c>
      <c r="AN6043">
        <v>0.99999998868426798</v>
      </c>
    </row>
    <row r="6044" spans="1:40" x14ac:dyDescent="0.25">
      <c r="A6044" t="str">
        <f>"20190312161140202"</f>
        <v>20190312161140202</v>
      </c>
      <c r="B6044" t="str">
        <f>"1552378300193722"</f>
        <v>1552378300193722</v>
      </c>
      <c r="C6044" t="s">
        <v>40</v>
      </c>
      <c r="D6044">
        <v>5.6637740000000001</v>
      </c>
      <c r="E6044">
        <v>0.44470300000000001</v>
      </c>
      <c r="F6044" t="s">
        <v>108</v>
      </c>
      <c r="G6044">
        <v>-249.0549</v>
      </c>
      <c r="H6044" s="1">
        <v>-3.3433269999999999E-6</v>
      </c>
      <c r="I6044">
        <v>-62.570030000000003</v>
      </c>
      <c r="J6044">
        <v>-265.49180000000001</v>
      </c>
      <c r="K6044">
        <v>1.1105179999999999</v>
      </c>
      <c r="L6044">
        <v>-63.6607699999999</v>
      </c>
      <c r="M6044">
        <v>0.99864090000000005</v>
      </c>
      <c r="N6044">
        <v>0</v>
      </c>
      <c r="O6044">
        <v>-5.0414319999999999E-2</v>
      </c>
      <c r="P6044">
        <v>0.99625870000000005</v>
      </c>
      <c r="Q6044">
        <v>-2.651384E-2</v>
      </c>
      <c r="R6044">
        <v>-8.2253989999999999E-2</v>
      </c>
      <c r="S6044">
        <v>3.0223390000000001</v>
      </c>
      <c r="T6044">
        <v>-0.203068</v>
      </c>
      <c r="U6044">
        <v>0.1986694</v>
      </c>
      <c r="V6044">
        <v>3.1927459999999998E-2</v>
      </c>
      <c r="W6044">
        <v>-1.327702E-2</v>
      </c>
      <c r="X6044">
        <v>0.99940200000000001</v>
      </c>
      <c r="Y6044">
        <v>-0.1154462</v>
      </c>
      <c r="Z6044">
        <v>7.2502900000000004E-3</v>
      </c>
      <c r="AA6044">
        <v>0.99328729999999998</v>
      </c>
      <c r="AB6044">
        <v>16</v>
      </c>
      <c r="AC6044">
        <v>16.436900000000001</v>
      </c>
      <c r="AD6044">
        <v>-1.110521343327</v>
      </c>
      <c r="AE6044">
        <v>1.0907399999999801</v>
      </c>
      <c r="AF6044">
        <v>-1.9094026376168201</v>
      </c>
      <c r="AG6044">
        <v>-1.110521343327</v>
      </c>
      <c r="AH6044">
        <v>16.286981754860001</v>
      </c>
      <c r="AI6044">
        <v>93.874201348000696</v>
      </c>
      <c r="AJ6044">
        <v>96.686542984613595</v>
      </c>
      <c r="AK6044">
        <v>16.436083802708801</v>
      </c>
      <c r="AL6044">
        <v>90.760739562226703</v>
      </c>
      <c r="AM6044">
        <v>88.170219022030906</v>
      </c>
      <c r="AN6044">
        <v>0.99999999978306597</v>
      </c>
    </row>
    <row r="6045" spans="1:40" x14ac:dyDescent="0.25">
      <c r="A6045" t="str">
        <f>"20190312161140216"</f>
        <v>20190312161140216</v>
      </c>
      <c r="B6045" t="str">
        <f>"1552378300203483"</f>
        <v>1552378300203483</v>
      </c>
      <c r="C6045" t="s">
        <v>40</v>
      </c>
      <c r="D6045">
        <v>5.5976920000000003</v>
      </c>
      <c r="E6045">
        <v>0.44472010000000001</v>
      </c>
      <c r="F6045" t="s">
        <v>108</v>
      </c>
      <c r="G6045">
        <v>-249.0377</v>
      </c>
      <c r="H6045" s="1">
        <v>-3.3385969999999998E-6</v>
      </c>
      <c r="I6045">
        <v>-62.576439999999998</v>
      </c>
      <c r="J6045">
        <v>-265.3997</v>
      </c>
      <c r="K6045">
        <v>1.1105229999999999</v>
      </c>
      <c r="L6045">
        <v>-63.66498</v>
      </c>
      <c r="M6045">
        <v>0.99865939999999997</v>
      </c>
      <c r="N6045">
        <v>0</v>
      </c>
      <c r="O6045">
        <v>-5.0044499999999999E-2</v>
      </c>
      <c r="P6045">
        <v>0.99626919999999997</v>
      </c>
      <c r="Q6045">
        <v>-2.6665459999999998E-2</v>
      </c>
      <c r="R6045">
        <v>-8.207747E-2</v>
      </c>
      <c r="S6045">
        <v>3.022278</v>
      </c>
      <c r="T6045">
        <v>-0.20397950000000001</v>
      </c>
      <c r="U6045">
        <v>0.19915769999999999</v>
      </c>
      <c r="V6045">
        <v>3.2120889999999999E-2</v>
      </c>
      <c r="W6045">
        <v>-1.34293E-2</v>
      </c>
      <c r="X6045">
        <v>0.9993938</v>
      </c>
      <c r="Y6045">
        <v>-0.11523750000000001</v>
      </c>
      <c r="Z6045">
        <v>7.2509369999999998E-3</v>
      </c>
      <c r="AA6045">
        <v>0.99331150000000001</v>
      </c>
      <c r="AB6045">
        <v>16</v>
      </c>
      <c r="AC6045">
        <v>16.361999999999899</v>
      </c>
      <c r="AD6045">
        <v>-1.1105263385969999</v>
      </c>
      <c r="AE6045">
        <v>1.0885400000000001</v>
      </c>
      <c r="AF6045">
        <v>-1.8973735393895299</v>
      </c>
      <c r="AG6045">
        <v>-1.1105263385969999</v>
      </c>
      <c r="AH6045">
        <v>16.212657552380701</v>
      </c>
      <c r="AI6045">
        <v>93.892016656009503</v>
      </c>
      <c r="AJ6045">
        <v>96.674983814502696</v>
      </c>
      <c r="AK6045">
        <v>16.361037864617899</v>
      </c>
      <c r="AL6045">
        <v>90.769465316274903</v>
      </c>
      <c r="AM6045">
        <v>88.159125948790404</v>
      </c>
      <c r="AN6045">
        <v>1.0000000325756599</v>
      </c>
    </row>
    <row r="6046" spans="1:40" x14ac:dyDescent="0.25">
      <c r="A6046" t="str">
        <f>"20190312161140228"</f>
        <v>20190312161140228</v>
      </c>
      <c r="B6046" t="str">
        <f>"1552378300223002"</f>
        <v>1552378300223002</v>
      </c>
      <c r="C6046" t="s">
        <v>40</v>
      </c>
      <c r="D6046">
        <v>5.6182420000000004</v>
      </c>
      <c r="E6046">
        <v>0.44470920000000003</v>
      </c>
      <c r="F6046" t="s">
        <v>108</v>
      </c>
      <c r="G6046">
        <v>-249.05330000000001</v>
      </c>
      <c r="H6046" s="1">
        <v>-3.3454819999999999E-6</v>
      </c>
      <c r="I6046">
        <v>-62.585239999999999</v>
      </c>
      <c r="J6046">
        <v>-265.30990000000003</v>
      </c>
      <c r="K6046">
        <v>1.110528</v>
      </c>
      <c r="L6046">
        <v>-63.669069999999998</v>
      </c>
      <c r="M6046">
        <v>0.9986777</v>
      </c>
      <c r="N6046">
        <v>0</v>
      </c>
      <c r="O6046">
        <v>-4.9679420000000002E-2</v>
      </c>
      <c r="P6046">
        <v>0.99628229999999995</v>
      </c>
      <c r="Q6046">
        <v>-2.6488919999999999E-2</v>
      </c>
      <c r="R6046">
        <v>-8.197575E-2</v>
      </c>
      <c r="S6046">
        <v>3.022186</v>
      </c>
      <c r="T6046">
        <v>-0.2053189</v>
      </c>
      <c r="U6046">
        <v>0.1996155</v>
      </c>
      <c r="V6046">
        <v>3.2384000000000003E-2</v>
      </c>
      <c r="W6046">
        <v>-1.325321E-2</v>
      </c>
      <c r="X6046">
        <v>0.99938760000000004</v>
      </c>
      <c r="Y6046">
        <v>-0.1150225</v>
      </c>
      <c r="Z6046">
        <v>7.266598E-3</v>
      </c>
      <c r="AA6046">
        <v>0.99333629999999995</v>
      </c>
      <c r="AB6046">
        <v>16</v>
      </c>
      <c r="AC6046">
        <v>16.256599999999999</v>
      </c>
      <c r="AD6046">
        <v>-1.1105313454820001</v>
      </c>
      <c r="AE6046">
        <v>1.0838299999999901</v>
      </c>
      <c r="AF6046">
        <v>-1.88143942147927</v>
      </c>
      <c r="AG6046">
        <v>-1.1105313454820001</v>
      </c>
      <c r="AH6046">
        <v>16.107837857959101</v>
      </c>
      <c r="AI6046">
        <v>93.917385006036895</v>
      </c>
      <c r="AJ6046">
        <v>96.662116043215505</v>
      </c>
      <c r="AK6046">
        <v>16.2553232703719</v>
      </c>
      <c r="AL6046">
        <v>90.759375249989603</v>
      </c>
      <c r="AM6046">
        <v>88.144045900046393</v>
      </c>
      <c r="AN6046">
        <v>0.99999997303253096</v>
      </c>
    </row>
    <row r="6047" spans="1:40" x14ac:dyDescent="0.25">
      <c r="A6047" t="str">
        <f>"20190312161140243"</f>
        <v>20190312161140243</v>
      </c>
      <c r="B6047" t="str">
        <f>"1552378300233738"</f>
        <v>1552378300233738</v>
      </c>
      <c r="C6047" t="s">
        <v>40</v>
      </c>
      <c r="D6047">
        <v>5.6745409999999996</v>
      </c>
      <c r="E6047">
        <v>0.44471640000000001</v>
      </c>
      <c r="F6047" t="s">
        <v>108</v>
      </c>
      <c r="G6047">
        <v>-249.09649999999999</v>
      </c>
      <c r="H6047" s="1">
        <v>-3.3619400000000002E-6</v>
      </c>
      <c r="I6047">
        <v>-62.595309999999998</v>
      </c>
      <c r="J6047">
        <v>-265.20139999999998</v>
      </c>
      <c r="K6047">
        <v>1.1105370000000001</v>
      </c>
      <c r="L6047">
        <v>-63.673920000000003</v>
      </c>
      <c r="M6047">
        <v>0.99870009999999998</v>
      </c>
      <c r="N6047">
        <v>0</v>
      </c>
      <c r="O6047">
        <v>-4.9228569999999999E-2</v>
      </c>
      <c r="P6047">
        <v>0.99630459999999998</v>
      </c>
      <c r="Q6047">
        <v>-2.621687E-2</v>
      </c>
      <c r="R6047">
        <v>-8.179372E-2</v>
      </c>
      <c r="S6047">
        <v>3.0221559999999998</v>
      </c>
      <c r="T6047">
        <v>-0.20700109999999999</v>
      </c>
      <c r="U6047">
        <v>0.20013429999999999</v>
      </c>
      <c r="V6047">
        <v>3.2652210000000001E-2</v>
      </c>
      <c r="W6047">
        <v>-1.298142E-2</v>
      </c>
      <c r="X6047">
        <v>0.99938249999999995</v>
      </c>
      <c r="Y6047">
        <v>-0.11473999999999999</v>
      </c>
      <c r="Z6047">
        <v>7.2855649999999999E-3</v>
      </c>
      <c r="AA6047">
        <v>0.9933689</v>
      </c>
      <c r="AB6047">
        <v>16</v>
      </c>
      <c r="AC6047">
        <v>16.104899999999901</v>
      </c>
      <c r="AD6047">
        <v>-1.1105403619399901</v>
      </c>
      <c r="AE6047">
        <v>1.0786099999999901</v>
      </c>
      <c r="AF6047">
        <v>-1.8613810549329</v>
      </c>
      <c r="AG6047">
        <v>-1.1105403619399901</v>
      </c>
      <c r="AH6047">
        <v>15.956731149252899</v>
      </c>
      <c r="AI6047">
        <v>93.954465160213502</v>
      </c>
      <c r="AJ6047">
        <v>96.653583425315006</v>
      </c>
      <c r="AK6047">
        <v>16.103270111896499</v>
      </c>
      <c r="AL6047">
        <v>90.743801445329396</v>
      </c>
      <c r="AM6047">
        <v>88.128675902076296</v>
      </c>
      <c r="AN6047">
        <v>1.0000000326946701</v>
      </c>
    </row>
    <row r="6048" spans="1:40" x14ac:dyDescent="0.25">
      <c r="A6048" t="str">
        <f>"20190312161140254"</f>
        <v>20190312161140254</v>
      </c>
      <c r="B6048" t="str">
        <f>"1552378300243499"</f>
        <v>1552378300243499</v>
      </c>
      <c r="C6048" t="s">
        <v>40</v>
      </c>
      <c r="D6048">
        <v>5.6435930000000001</v>
      </c>
      <c r="E6048">
        <v>0.44475579999999998</v>
      </c>
      <c r="F6048" t="s">
        <v>108</v>
      </c>
      <c r="G6048">
        <v>-248.99260000000001</v>
      </c>
      <c r="H6048" s="1">
        <v>-3.3270079999999999E-6</v>
      </c>
      <c r="I6048">
        <v>-62.597529999999999</v>
      </c>
      <c r="J6048">
        <v>-265.12389999999999</v>
      </c>
      <c r="K6048">
        <v>1.110544</v>
      </c>
      <c r="L6048">
        <v>-63.677370000000003</v>
      </c>
      <c r="M6048">
        <v>0.99871650000000001</v>
      </c>
      <c r="N6048">
        <v>0</v>
      </c>
      <c r="O6048">
        <v>-4.8894310000000003E-2</v>
      </c>
      <c r="P6048">
        <v>0.99630419999999997</v>
      </c>
      <c r="Q6048">
        <v>-2.6251010000000002E-2</v>
      </c>
      <c r="R6048">
        <v>-8.1787970000000002E-2</v>
      </c>
      <c r="S6048">
        <v>3.0221559999999998</v>
      </c>
      <c r="T6048">
        <v>-0.20706240000000001</v>
      </c>
      <c r="U6048">
        <v>0.20068359999999999</v>
      </c>
      <c r="V6048">
        <v>3.2980910000000002E-2</v>
      </c>
      <c r="W6048">
        <v>-1.3015479999999999E-2</v>
      </c>
      <c r="X6048">
        <v>0.99937120000000002</v>
      </c>
      <c r="Y6048">
        <v>-0.1145882</v>
      </c>
      <c r="Z6048">
        <v>7.259639E-3</v>
      </c>
      <c r="AA6048">
        <v>0.99338660000000001</v>
      </c>
      <c r="AB6048">
        <v>16</v>
      </c>
      <c r="AC6048">
        <v>16.1312999999999</v>
      </c>
      <c r="AD6048">
        <v>-1.110547327008</v>
      </c>
      <c r="AE6048">
        <v>1.0798399999999899</v>
      </c>
      <c r="AF6048">
        <v>-1.8585764422842299</v>
      </c>
      <c r="AG6048">
        <v>-1.110547327008</v>
      </c>
      <c r="AH6048">
        <v>15.9837825807366</v>
      </c>
      <c r="AI6048">
        <v>93.947986990106898</v>
      </c>
      <c r="AJ6048">
        <v>96.632504260915198</v>
      </c>
      <c r="AK6048">
        <v>16.129752860648502</v>
      </c>
      <c r="AL6048">
        <v>90.745753151702999</v>
      </c>
      <c r="AM6048">
        <v>88.109830083889307</v>
      </c>
      <c r="AN6048">
        <v>0.99999996926674795</v>
      </c>
    </row>
    <row r="6049" spans="1:40" x14ac:dyDescent="0.25">
      <c r="A6049" t="str">
        <f>"20190312161140265"</f>
        <v>20190312161140265</v>
      </c>
      <c r="B6049" t="str">
        <f>"1552378300253258"</f>
        <v>1552378300253258</v>
      </c>
      <c r="C6049" t="s">
        <v>40</v>
      </c>
      <c r="D6049">
        <v>5.6306289999999999</v>
      </c>
      <c r="E6049">
        <v>0.44475120000000001</v>
      </c>
      <c r="F6049" t="s">
        <v>108</v>
      </c>
      <c r="G6049">
        <v>-249.0009</v>
      </c>
      <c r="H6049" s="1">
        <v>-3.3316200000000001E-6</v>
      </c>
      <c r="I6049">
        <v>-62.607779999999998</v>
      </c>
      <c r="J6049">
        <v>-265.04590000000002</v>
      </c>
      <c r="K6049">
        <v>1.1105529999999999</v>
      </c>
      <c r="L6049">
        <v>-63.680819999999997</v>
      </c>
      <c r="M6049">
        <v>0.99873299999999998</v>
      </c>
      <c r="N6049">
        <v>0</v>
      </c>
      <c r="O6049">
        <v>-4.8555040000000001E-2</v>
      </c>
      <c r="P6049">
        <v>0.99631239999999999</v>
      </c>
      <c r="Q6049">
        <v>-2.6005469999999999E-2</v>
      </c>
      <c r="R6049">
        <v>-8.176485E-2</v>
      </c>
      <c r="S6049">
        <v>3.0220639999999999</v>
      </c>
      <c r="T6049">
        <v>-0.20815790000000001</v>
      </c>
      <c r="U6049">
        <v>0.20047000000000001</v>
      </c>
      <c r="V6049">
        <v>3.329704E-2</v>
      </c>
      <c r="W6049">
        <v>-1.276976E-2</v>
      </c>
      <c r="X6049">
        <v>0.99936389999999997</v>
      </c>
      <c r="Y6049">
        <v>-0.1141805</v>
      </c>
      <c r="Z6049">
        <v>7.2608709999999899E-3</v>
      </c>
      <c r="AA6049">
        <v>0.99343349999999997</v>
      </c>
      <c r="AB6049">
        <v>16</v>
      </c>
      <c r="AC6049">
        <v>16.045000000000002</v>
      </c>
      <c r="AD6049">
        <v>-1.11055633162</v>
      </c>
      <c r="AE6049">
        <v>1.07303999999999</v>
      </c>
      <c r="AF6049">
        <v>-1.84212203860541</v>
      </c>
      <c r="AG6049">
        <v>-1.11055633162</v>
      </c>
      <c r="AH6049">
        <v>15.898141110115899</v>
      </c>
      <c r="AI6049">
        <v>93.969403793476801</v>
      </c>
      <c r="AJ6049">
        <v>96.6094039802868</v>
      </c>
      <c r="AK6049">
        <v>16.042993477776299</v>
      </c>
      <c r="AL6049">
        <v>90.731673252652499</v>
      </c>
      <c r="AM6049">
        <v>88.091711750864903</v>
      </c>
      <c r="AN6049">
        <v>0.99999998213321395</v>
      </c>
    </row>
    <row r="6050" spans="1:40" x14ac:dyDescent="0.25">
      <c r="A6050" t="str">
        <f>"20190312161140276"</f>
        <v>20190312161140276</v>
      </c>
      <c r="B6050" t="str">
        <f>"1552378300273754"</f>
        <v>1552378300273754</v>
      </c>
      <c r="C6050" t="s">
        <v>40</v>
      </c>
      <c r="D6050">
        <v>5.6716899999999999</v>
      </c>
      <c r="E6050">
        <v>0.44477919999999999</v>
      </c>
      <c r="F6050" t="s">
        <v>108</v>
      </c>
      <c r="G6050">
        <v>-248.9391</v>
      </c>
      <c r="H6050" s="1">
        <v>-3.3112850000000002E-6</v>
      </c>
      <c r="I6050">
        <v>-62.611519999999999</v>
      </c>
      <c r="J6050">
        <v>-264.96480000000003</v>
      </c>
      <c r="K6050">
        <v>1.110565</v>
      </c>
      <c r="L6050">
        <v>-63.684330000000003</v>
      </c>
      <c r="M6050">
        <v>0.9987509</v>
      </c>
      <c r="N6050">
        <v>0</v>
      </c>
      <c r="O6050">
        <v>-4.818807E-2</v>
      </c>
      <c r="P6050">
        <v>0.99633249999999995</v>
      </c>
      <c r="Q6050">
        <v>-2.5771789999999999E-2</v>
      </c>
      <c r="R6050">
        <v>-8.1595280000000006E-2</v>
      </c>
      <c r="S6050">
        <v>3.022125</v>
      </c>
      <c r="T6050">
        <v>-0.20837520000000001</v>
      </c>
      <c r="U6050">
        <v>0.20062260000000001</v>
      </c>
      <c r="V6050">
        <v>3.3493870000000002E-2</v>
      </c>
      <c r="W6050">
        <v>-1.253582E-2</v>
      </c>
      <c r="X6050">
        <v>0.99936029999999998</v>
      </c>
      <c r="Y6050">
        <v>-0.11386499999999999</v>
      </c>
      <c r="Z6050">
        <v>7.2321769999999898E-3</v>
      </c>
      <c r="AA6050">
        <v>0.99346990000000002</v>
      </c>
      <c r="AB6050">
        <v>16</v>
      </c>
      <c r="AC6050">
        <v>16.025700000000001</v>
      </c>
      <c r="AD6050">
        <v>-1.110568311285</v>
      </c>
      <c r="AE6050">
        <v>1.07281</v>
      </c>
      <c r="AF6050">
        <v>-1.8351048839278801</v>
      </c>
      <c r="AG6050">
        <v>-1.110568311285</v>
      </c>
      <c r="AH6050">
        <v>15.879459239867201</v>
      </c>
      <c r="AI6050">
        <v>93.974239725570101</v>
      </c>
      <c r="AJ6050">
        <v>96.592126757456498</v>
      </c>
      <c r="AK6050">
        <v>16.023676159347801</v>
      </c>
      <c r="AL6050">
        <v>90.718268393512901</v>
      </c>
      <c r="AM6050">
        <v>88.0804327220619</v>
      </c>
      <c r="AN6050">
        <v>0.999999997663369</v>
      </c>
    </row>
    <row r="6051" spans="1:40" x14ac:dyDescent="0.25">
      <c r="A6051" t="str">
        <f>"20190312161140289"</f>
        <v>20190312161140289</v>
      </c>
      <c r="B6051" t="str">
        <f>"1552378300283514"</f>
        <v>1552378300283514</v>
      </c>
      <c r="C6051" t="s">
        <v>40</v>
      </c>
      <c r="D6051">
        <v>5.6900019999999998</v>
      </c>
      <c r="E6051">
        <v>0.44480059999999899</v>
      </c>
      <c r="F6051" t="s">
        <v>108</v>
      </c>
      <c r="G6051">
        <v>-248.934</v>
      </c>
      <c r="H6051" s="1">
        <v>-3.3105450000000001E-6</v>
      </c>
      <c r="I6051">
        <v>-62.617310000000003</v>
      </c>
      <c r="J6051">
        <v>-264.87970000000001</v>
      </c>
      <c r="K6051">
        <v>1.1105799999999999</v>
      </c>
      <c r="L6051">
        <v>-63.687989999999999</v>
      </c>
      <c r="M6051">
        <v>0.99876980000000004</v>
      </c>
      <c r="N6051">
        <v>0</v>
      </c>
      <c r="O6051">
        <v>-4.7795440000000002E-2</v>
      </c>
      <c r="P6051">
        <v>0.99633210000000005</v>
      </c>
      <c r="Q6051">
        <v>-2.589938E-2</v>
      </c>
      <c r="R6051">
        <v>-8.1560160000000007E-2</v>
      </c>
      <c r="S6051">
        <v>3.0220950000000002</v>
      </c>
      <c r="T6051">
        <v>-0.2093621</v>
      </c>
      <c r="U6051">
        <v>0.2011414</v>
      </c>
      <c r="V6051">
        <v>3.3852130000000001E-2</v>
      </c>
      <c r="W6051">
        <v>-1.266489E-2</v>
      </c>
      <c r="X6051">
        <v>0.99934659999999997</v>
      </c>
      <c r="Y6051">
        <v>-0.1136427</v>
      </c>
      <c r="Z6051">
        <v>7.2315640000000002E-3</v>
      </c>
      <c r="AA6051">
        <v>0.99349529999999997</v>
      </c>
      <c r="AB6051">
        <v>16</v>
      </c>
      <c r="AC6051">
        <v>15.945699999999899</v>
      </c>
      <c r="AD6051">
        <v>-1.11058331054499</v>
      </c>
      <c r="AE6051">
        <v>1.0706800000000001</v>
      </c>
      <c r="AF6051">
        <v>-1.8228517618671101</v>
      </c>
      <c r="AG6051">
        <v>-1.11058331054499</v>
      </c>
      <c r="AH6051">
        <v>15.799996172216099</v>
      </c>
      <c r="AI6051">
        <v>93.994304793949794</v>
      </c>
      <c r="AJ6051">
        <v>96.581140456563801</v>
      </c>
      <c r="AK6051">
        <v>15.9435273034999</v>
      </c>
      <c r="AL6051">
        <v>90.725664147745107</v>
      </c>
      <c r="AM6051">
        <v>88.059889513723903</v>
      </c>
      <c r="AN6051">
        <v>0.99999999653790395</v>
      </c>
    </row>
    <row r="6052" spans="1:40" x14ac:dyDescent="0.25">
      <c r="A6052" t="str">
        <f>"20190312161140300"</f>
        <v>20190312161140300</v>
      </c>
      <c r="B6052" t="str">
        <f>"1552378300293274"</f>
        <v>1552378300293274</v>
      </c>
      <c r="C6052" t="s">
        <v>40</v>
      </c>
      <c r="D6052">
        <v>5.6629659999999999</v>
      </c>
      <c r="E6052">
        <v>0.44484420000000002</v>
      </c>
      <c r="F6052" t="s">
        <v>108</v>
      </c>
      <c r="G6052">
        <v>-248.96369999999999</v>
      </c>
      <c r="H6052" s="1">
        <v>-3.3226869999999998E-6</v>
      </c>
      <c r="I6052">
        <v>-62.628749999999997</v>
      </c>
      <c r="J6052">
        <v>-264.79669999999999</v>
      </c>
      <c r="K6052">
        <v>1.1105929999999999</v>
      </c>
      <c r="L6052">
        <v>-63.691499999999998</v>
      </c>
      <c r="M6052">
        <v>0.99878849999999997</v>
      </c>
      <c r="N6052">
        <v>0</v>
      </c>
      <c r="O6052">
        <v>-4.7401480000000003E-2</v>
      </c>
      <c r="P6052">
        <v>0.99633799999999995</v>
      </c>
      <c r="Q6052">
        <v>-2.6073059999999999E-2</v>
      </c>
      <c r="R6052">
        <v>-8.1430569999999994E-2</v>
      </c>
      <c r="S6052">
        <v>3.0220639999999999</v>
      </c>
      <c r="T6052">
        <v>-0.21087249999999999</v>
      </c>
      <c r="U6052">
        <v>0.20111080000000001</v>
      </c>
      <c r="V6052">
        <v>3.4117120000000001E-2</v>
      </c>
      <c r="W6052">
        <v>-1.284241E-2</v>
      </c>
      <c r="X6052">
        <v>0.99933530000000004</v>
      </c>
      <c r="Y6052">
        <v>-0.1132379</v>
      </c>
      <c r="Z6052">
        <v>7.2421650000000001E-3</v>
      </c>
      <c r="AA6052">
        <v>0.99354149999999997</v>
      </c>
      <c r="AB6052">
        <v>16</v>
      </c>
      <c r="AC6052">
        <v>15.832999999999901</v>
      </c>
      <c r="AD6052">
        <v>-1.1105963226869999</v>
      </c>
      <c r="AE6052">
        <v>1.0627500000000001</v>
      </c>
      <c r="AF6052">
        <v>-1.80329550004323</v>
      </c>
      <c r="AG6052">
        <v>-1.1105963226869999</v>
      </c>
      <c r="AH6052">
        <v>15.6879766199763</v>
      </c>
      <c r="AI6052">
        <v>94.022972347412207</v>
      </c>
      <c r="AJ6052">
        <v>96.557234131745801</v>
      </c>
      <c r="AK6052">
        <v>15.830284560972499</v>
      </c>
      <c r="AL6052">
        <v>90.735836138750997</v>
      </c>
      <c r="AM6052">
        <v>88.044692235582701</v>
      </c>
      <c r="AN6052">
        <v>0.99999997359889603</v>
      </c>
    </row>
    <row r="6053" spans="1:40" x14ac:dyDescent="0.25">
      <c r="A6053" t="str">
        <f>"20190312161140311"</f>
        <v>20190312161140311</v>
      </c>
      <c r="B6053" t="str">
        <f>"1552378300303034"</f>
        <v>1552378300303034</v>
      </c>
      <c r="C6053" t="s">
        <v>40</v>
      </c>
      <c r="D6053">
        <v>5.6813440000000002</v>
      </c>
      <c r="E6053">
        <v>0.44486340000000002</v>
      </c>
      <c r="F6053" t="s">
        <v>108</v>
      </c>
      <c r="G6053">
        <v>-249.00489999999999</v>
      </c>
      <c r="H6053" s="1">
        <v>-3.3386749999999998E-6</v>
      </c>
      <c r="I6053">
        <v>-62.63984</v>
      </c>
      <c r="J6053">
        <v>-264.7192</v>
      </c>
      <c r="K6053">
        <v>1.1105780000000001</v>
      </c>
      <c r="L6053">
        <v>-63.69473</v>
      </c>
      <c r="M6053">
        <v>0.99880809999999998</v>
      </c>
      <c r="N6053">
        <v>0</v>
      </c>
      <c r="O6053">
        <v>-4.7018039999999997E-2</v>
      </c>
      <c r="P6053">
        <v>0.99638400000000005</v>
      </c>
      <c r="Q6053">
        <v>-2.6161799999999999E-2</v>
      </c>
      <c r="R6053">
        <v>-8.0838750000000001E-2</v>
      </c>
      <c r="S6053">
        <v>3.0219119999999999</v>
      </c>
      <c r="T6053">
        <v>-0.2125225</v>
      </c>
      <c r="U6053">
        <v>0.20123289999999999</v>
      </c>
      <c r="V6053">
        <v>3.3907859999999998E-2</v>
      </c>
      <c r="W6053">
        <v>-1.303256E-2</v>
      </c>
      <c r="X6053">
        <v>0.99934000000000001</v>
      </c>
      <c r="Y6053">
        <v>-0.1128953</v>
      </c>
      <c r="Z6053">
        <v>7.2601239999999997E-3</v>
      </c>
      <c r="AA6053">
        <v>0.99358029999999997</v>
      </c>
      <c r="AB6053">
        <v>16</v>
      </c>
      <c r="AC6053">
        <v>15.7143</v>
      </c>
      <c r="AD6053">
        <v>-1.1105813386750001</v>
      </c>
      <c r="AE6053">
        <v>1.0548900000000001</v>
      </c>
      <c r="AF6053">
        <v>-1.78377268620708</v>
      </c>
      <c r="AG6053">
        <v>-1.1105813386750001</v>
      </c>
      <c r="AH6053">
        <v>15.5698962026104</v>
      </c>
      <c r="AI6053">
        <v>94.053501171977103</v>
      </c>
      <c r="AJ6053">
        <v>96.535624179220605</v>
      </c>
      <c r="AK6053">
        <v>15.7110440030551</v>
      </c>
      <c r="AL6053">
        <v>90.746731813926502</v>
      </c>
      <c r="AM6053">
        <v>88.056685175961206</v>
      </c>
      <c r="AN6053">
        <v>1.00000001309496</v>
      </c>
    </row>
    <row r="6054" spans="1:40" x14ac:dyDescent="0.25">
      <c r="A6054" t="str">
        <f>"20190312161140322"</f>
        <v>20190312161140322</v>
      </c>
      <c r="B6054" t="str">
        <f>"1552378300313771"</f>
        <v>1552378300313771</v>
      </c>
      <c r="C6054" t="s">
        <v>40</v>
      </c>
      <c r="D6054">
        <v>5.6831740000000002</v>
      </c>
      <c r="E6054">
        <v>0.44488559999999999</v>
      </c>
      <c r="F6054" t="s">
        <v>108</v>
      </c>
      <c r="G6054">
        <v>-249.00210000000001</v>
      </c>
      <c r="H6054" s="1">
        <v>-3.3375880000000001E-6</v>
      </c>
      <c r="I6054">
        <v>-62.639099999999999</v>
      </c>
      <c r="J6054">
        <v>-264.64089999999999</v>
      </c>
      <c r="K6054">
        <v>1.1105499999999999</v>
      </c>
      <c r="L6054">
        <v>-63.698</v>
      </c>
      <c r="M6054">
        <v>0.9988283</v>
      </c>
      <c r="N6054">
        <v>0</v>
      </c>
      <c r="O6054">
        <v>-4.6623499999999998E-2</v>
      </c>
      <c r="P6054">
        <v>0.99643119999999996</v>
      </c>
      <c r="Q6054">
        <v>-2.6017220000000001E-2</v>
      </c>
      <c r="R6054">
        <v>-8.0297469999999996E-2</v>
      </c>
      <c r="S6054">
        <v>3.0217589999999999</v>
      </c>
      <c r="T6054">
        <v>-0.2135186</v>
      </c>
      <c r="U6054">
        <v>0.20294190000000001</v>
      </c>
      <c r="V6054">
        <v>3.3760390000000001E-2</v>
      </c>
      <c r="W6054">
        <v>-1.3030669999999999E-2</v>
      </c>
      <c r="X6054">
        <v>0.99934500000000004</v>
      </c>
      <c r="Y6054">
        <v>-0.1130623</v>
      </c>
      <c r="Z6054">
        <v>7.2723789999999998E-3</v>
      </c>
      <c r="AA6054">
        <v>0.99356129999999998</v>
      </c>
      <c r="AB6054">
        <v>16</v>
      </c>
      <c r="AC6054">
        <v>15.6387999999999</v>
      </c>
      <c r="AD6054">
        <v>-1.1105533375879999</v>
      </c>
      <c r="AE6054">
        <v>1.0589</v>
      </c>
      <c r="AF6054">
        <v>-1.7780199502109</v>
      </c>
      <c r="AG6054">
        <v>-1.1105533375879999</v>
      </c>
      <c r="AH6054">
        <v>15.494636875051199</v>
      </c>
      <c r="AI6054">
        <v>94.072935989317997</v>
      </c>
      <c r="AJ6054">
        <v>96.546096859683701</v>
      </c>
      <c r="AK6054">
        <v>15.635806840348</v>
      </c>
      <c r="AL6054">
        <v>90.746623528727099</v>
      </c>
      <c r="AM6054">
        <v>88.065140157649594</v>
      </c>
      <c r="AN6054">
        <v>0.99999999565929998</v>
      </c>
    </row>
    <row r="6055" spans="1:40" x14ac:dyDescent="0.25">
      <c r="A6055" t="str">
        <f>"20190312161140333"</f>
        <v>20190312161140333</v>
      </c>
      <c r="B6055" t="str">
        <f>"1552378300323531"</f>
        <v>1552378300323531</v>
      </c>
      <c r="C6055" t="s">
        <v>40</v>
      </c>
      <c r="D6055">
        <v>5.677009</v>
      </c>
      <c r="E6055">
        <v>0.4449014</v>
      </c>
      <c r="F6055" t="s">
        <v>108</v>
      </c>
      <c r="G6055">
        <v>-248.98330000000001</v>
      </c>
      <c r="H6055" s="1">
        <v>-3.331133E-6</v>
      </c>
      <c r="I6055">
        <v>-62.638730000000002</v>
      </c>
      <c r="J6055">
        <v>-264.56939999999997</v>
      </c>
      <c r="K6055">
        <v>1.110525</v>
      </c>
      <c r="L6055">
        <v>-63.700899999999997</v>
      </c>
      <c r="M6055">
        <v>0.99884799999999996</v>
      </c>
      <c r="N6055">
        <v>0</v>
      </c>
      <c r="O6055">
        <v>-4.6247299999999998E-2</v>
      </c>
      <c r="P6055">
        <v>0.99647929999999996</v>
      </c>
      <c r="Q6055">
        <v>-2.5778789999999999E-2</v>
      </c>
      <c r="R6055">
        <v>-7.9778909999999995E-2</v>
      </c>
      <c r="S6055">
        <v>3.0216370000000001</v>
      </c>
      <c r="T6055">
        <v>-0.21431639999999999</v>
      </c>
      <c r="U6055">
        <v>0.2044067</v>
      </c>
      <c r="V6055">
        <v>3.3616670000000001E-2</v>
      </c>
      <c r="W6055">
        <v>-1.294785E-2</v>
      </c>
      <c r="X6055">
        <v>0.99935090000000004</v>
      </c>
      <c r="Y6055">
        <v>-0.1131679</v>
      </c>
      <c r="Z6055">
        <v>7.2767750000000001E-3</v>
      </c>
      <c r="AA6055">
        <v>0.99354920000000002</v>
      </c>
      <c r="AB6055">
        <v>16</v>
      </c>
      <c r="AC6055">
        <v>15.586099999999901</v>
      </c>
      <c r="AD6055">
        <v>-1.1105283311329901</v>
      </c>
      <c r="AE6055">
        <v>1.0621699999999901</v>
      </c>
      <c r="AF6055">
        <v>-1.7729482431071499</v>
      </c>
      <c r="AG6055">
        <v>-1.1105283311329901</v>
      </c>
      <c r="AH6055">
        <v>15.4422601159369</v>
      </c>
      <c r="AI6055">
        <v>94.0865840152413</v>
      </c>
      <c r="AJ6055">
        <v>96.549533942250903</v>
      </c>
      <c r="AK6055">
        <v>15.5833249383834</v>
      </c>
      <c r="AL6055">
        <v>90.741877907712507</v>
      </c>
      <c r="AM6055">
        <v>88.073382116866199</v>
      </c>
      <c r="AN6055">
        <v>0.99999997432615995</v>
      </c>
    </row>
    <row r="6056" spans="1:40" x14ac:dyDescent="0.25">
      <c r="A6056" t="str">
        <f>"20190312161140345"</f>
        <v>20190312161140345</v>
      </c>
      <c r="B6056" t="str">
        <f>"1552378300333292"</f>
        <v>1552378300333292</v>
      </c>
      <c r="C6056" t="s">
        <v>40</v>
      </c>
      <c r="D6056">
        <v>5.6855010000000004</v>
      </c>
      <c r="E6056">
        <v>0.44488670000000002</v>
      </c>
      <c r="F6056" t="s">
        <v>108</v>
      </c>
      <c r="G6056">
        <v>-248.96199999999999</v>
      </c>
      <c r="H6056" s="1">
        <v>-3.323645E-6</v>
      </c>
      <c r="I6056">
        <v>-62.637419999999999</v>
      </c>
      <c r="J6056">
        <v>-264.48750000000001</v>
      </c>
      <c r="K6056">
        <v>1.1104959999999999</v>
      </c>
      <c r="L6056">
        <v>-63.7042199999999</v>
      </c>
      <c r="M6056">
        <v>0.99887020000000004</v>
      </c>
      <c r="N6056">
        <v>0</v>
      </c>
      <c r="O6056">
        <v>-4.581317E-2</v>
      </c>
      <c r="P6056">
        <v>0.99655709999999997</v>
      </c>
      <c r="Q6056">
        <v>-2.555174E-2</v>
      </c>
      <c r="R6056">
        <v>-7.887653E-2</v>
      </c>
      <c r="S6056">
        <v>3.021515</v>
      </c>
      <c r="T6056">
        <v>-0.21499260000000001</v>
      </c>
      <c r="U6056">
        <v>0.20587159999999999</v>
      </c>
      <c r="V6056">
        <v>3.3146330000000002E-2</v>
      </c>
      <c r="W6056">
        <v>-1.2898410000000001E-2</v>
      </c>
      <c r="X6056">
        <v>0.99936729999999996</v>
      </c>
      <c r="Y6056">
        <v>-0.1132166</v>
      </c>
      <c r="Z6056">
        <v>7.2707630000000004E-3</v>
      </c>
      <c r="AA6056">
        <v>0.99354370000000003</v>
      </c>
      <c r="AB6056">
        <v>16</v>
      </c>
      <c r="AC6056">
        <v>15.5254999999999</v>
      </c>
      <c r="AD6056">
        <v>-1.110499323645</v>
      </c>
      <c r="AE6056">
        <v>1.06679999999999</v>
      </c>
      <c r="AF6056">
        <v>-1.7680058808644801</v>
      </c>
      <c r="AG6056">
        <v>-1.110499323645</v>
      </c>
      <c r="AH6056">
        <v>15.381991486474901</v>
      </c>
      <c r="AI6056">
        <v>94.102374836829895</v>
      </c>
      <c r="AJ6056">
        <v>96.556802690526993</v>
      </c>
      <c r="AK6056">
        <v>15.5230382217069</v>
      </c>
      <c r="AL6056">
        <v>90.739044930838205</v>
      </c>
      <c r="AM6056">
        <v>88.100349214215797</v>
      </c>
      <c r="AN6056">
        <v>1.00000002424114</v>
      </c>
    </row>
    <row r="6057" spans="1:40" x14ac:dyDescent="0.25">
      <c r="A6057" t="str">
        <f>"20190312161140355"</f>
        <v>20190312161140355</v>
      </c>
      <c r="B6057" t="str">
        <f>"1552378300343051"</f>
        <v>1552378300343051</v>
      </c>
      <c r="C6057" t="s">
        <v>40</v>
      </c>
      <c r="D6057">
        <v>5.6713420000000001</v>
      </c>
      <c r="E6057">
        <v>0.44490950000000001</v>
      </c>
      <c r="F6057" t="s">
        <v>108</v>
      </c>
      <c r="G6057">
        <v>-248.89779999999999</v>
      </c>
      <c r="H6057" s="1">
        <v>-3.2999980000000001E-6</v>
      </c>
      <c r="I6057">
        <v>-62.62726</v>
      </c>
      <c r="J6057">
        <v>-264.40870000000001</v>
      </c>
      <c r="K6057">
        <v>1.1104969999999901</v>
      </c>
      <c r="L6057">
        <v>-63.707340000000002</v>
      </c>
      <c r="M6057">
        <v>0.99889119999999998</v>
      </c>
      <c r="N6057">
        <v>0</v>
      </c>
      <c r="O6057">
        <v>-4.5379219999999998E-2</v>
      </c>
      <c r="P6057">
        <v>0.99661270000000002</v>
      </c>
      <c r="Q6057">
        <v>-2.5344169999999999E-2</v>
      </c>
      <c r="R6057">
        <v>-7.8239489999999995E-2</v>
      </c>
      <c r="S6057">
        <v>3.0213619999999999</v>
      </c>
      <c r="T6057">
        <v>-0.21522060000000001</v>
      </c>
      <c r="U6057">
        <v>0.2087097</v>
      </c>
      <c r="V6057">
        <v>3.29418E-2</v>
      </c>
      <c r="W6057">
        <v>-1.277818E-2</v>
      </c>
      <c r="X6057">
        <v>0.99937560000000003</v>
      </c>
      <c r="Y6057">
        <v>-0.1137162</v>
      </c>
      <c r="Z6057">
        <v>7.2655089999999999E-3</v>
      </c>
      <c r="AA6057">
        <v>0.99348669999999994</v>
      </c>
      <c r="AB6057">
        <v>16</v>
      </c>
      <c r="AC6057">
        <v>15.510899999999999</v>
      </c>
      <c r="AD6057">
        <v>-1.11050029999799</v>
      </c>
      <c r="AE6057">
        <v>1.0800799999999999</v>
      </c>
      <c r="AF6057">
        <v>-1.77384645699489</v>
      </c>
      <c r="AG6057">
        <v>-1.11050029999799</v>
      </c>
      <c r="AH6057">
        <v>15.3675106354444</v>
      </c>
      <c r="AI6057">
        <v>94.106003723464099</v>
      </c>
      <c r="AJ6057">
        <v>96.584417752181906</v>
      </c>
      <c r="AK6057">
        <v>15.509356056902799</v>
      </c>
      <c r="AL6057">
        <v>90.732155696979802</v>
      </c>
      <c r="AM6057">
        <v>88.112078201310297</v>
      </c>
      <c r="AN6057">
        <v>1.0000000169733501</v>
      </c>
    </row>
    <row r="6058" spans="1:40" x14ac:dyDescent="0.25">
      <c r="A6058" t="str">
        <f>"20190312161140366"</f>
        <v>20190312161140366</v>
      </c>
      <c r="B6058" t="str">
        <f>"1552378300363547"</f>
        <v>1552378300363547</v>
      </c>
      <c r="C6058" t="s">
        <v>40</v>
      </c>
      <c r="D6058">
        <v>5.6861370000000004</v>
      </c>
      <c r="E6058">
        <v>0.4449379</v>
      </c>
      <c r="F6058" t="s">
        <v>108</v>
      </c>
      <c r="G6058">
        <v>-248.83459999999999</v>
      </c>
      <c r="H6058" s="1">
        <v>-3.2775669999999999E-6</v>
      </c>
      <c r="I6058">
        <v>-62.621940000000002</v>
      </c>
      <c r="J6058">
        <v>-264.3347</v>
      </c>
      <c r="K6058">
        <v>1.110498</v>
      </c>
      <c r="L6058">
        <v>-63.710239999999999</v>
      </c>
      <c r="M6058">
        <v>0.99891050000000003</v>
      </c>
      <c r="N6058">
        <v>0</v>
      </c>
      <c r="O6058">
        <v>-4.4969259999999997E-2</v>
      </c>
      <c r="P6058">
        <v>0.99665610000000004</v>
      </c>
      <c r="Q6058">
        <v>-2.5621499999999998E-2</v>
      </c>
      <c r="R6058">
        <v>-7.7592439999999999E-2</v>
      </c>
      <c r="S6058">
        <v>3.0211790000000001</v>
      </c>
      <c r="T6058">
        <v>-0.21542310000000001</v>
      </c>
      <c r="U6058">
        <v>0.2105408</v>
      </c>
      <c r="V6058">
        <v>3.2704110000000002E-2</v>
      </c>
      <c r="W6058">
        <v>-1.312228E-2</v>
      </c>
      <c r="X6058">
        <v>0.99937889999999996</v>
      </c>
      <c r="Y6058">
        <v>-0.1139116</v>
      </c>
      <c r="Z6058">
        <v>7.2504129999999998E-3</v>
      </c>
      <c r="AA6058">
        <v>0.99346440000000003</v>
      </c>
      <c r="AB6058">
        <v>16</v>
      </c>
      <c r="AC6058">
        <v>15.5001</v>
      </c>
      <c r="AD6058">
        <v>-1.110501277567</v>
      </c>
      <c r="AE6058">
        <v>1.0882999999999901</v>
      </c>
      <c r="AF6058">
        <v>-1.7752137009467801</v>
      </c>
      <c r="AG6058">
        <v>-1.110501277567</v>
      </c>
      <c r="AH6058">
        <v>15.3570327914715</v>
      </c>
      <c r="AI6058">
        <v>94.1087208783444</v>
      </c>
      <c r="AJ6058">
        <v>96.593904558068303</v>
      </c>
      <c r="AK6058">
        <v>15.4991307152962</v>
      </c>
      <c r="AL6058">
        <v>90.751872863675004</v>
      </c>
      <c r="AM6058">
        <v>88.125696844852698</v>
      </c>
      <c r="AN6058">
        <v>0.99999996940424896</v>
      </c>
    </row>
    <row r="6059" spans="1:40" x14ac:dyDescent="0.25">
      <c r="A6059" t="str">
        <f>"20190312161140377"</f>
        <v>20190312161140377</v>
      </c>
      <c r="B6059" t="str">
        <f>"1552378300373306"</f>
        <v>1552378300373306</v>
      </c>
      <c r="C6059" t="s">
        <v>40</v>
      </c>
      <c r="D6059">
        <v>5.68811</v>
      </c>
      <c r="E6059">
        <v>0.4449631</v>
      </c>
      <c r="F6059" t="s">
        <v>108</v>
      </c>
      <c r="G6059">
        <v>-248.9409</v>
      </c>
      <c r="H6059" s="1">
        <v>-3.3147869999999999E-6</v>
      </c>
      <c r="I6059">
        <v>-62.627989999999997</v>
      </c>
      <c r="J6059">
        <v>-264.25560000000002</v>
      </c>
      <c r="K6059">
        <v>1.110514</v>
      </c>
      <c r="L6059">
        <v>-63.713290000000001</v>
      </c>
      <c r="M6059">
        <v>0.9989306</v>
      </c>
      <c r="N6059">
        <v>0</v>
      </c>
      <c r="O6059">
        <v>-4.4522010000000001E-2</v>
      </c>
      <c r="P6059">
        <v>0.99670190000000003</v>
      </c>
      <c r="Q6059">
        <v>-2.590313E-2</v>
      </c>
      <c r="R6059">
        <v>-7.6906379999999996E-2</v>
      </c>
      <c r="S6059">
        <v>3.020966</v>
      </c>
      <c r="T6059">
        <v>-0.2179297</v>
      </c>
      <c r="U6059">
        <v>0.2123718</v>
      </c>
      <c r="V6059">
        <v>3.2464529999999998E-2</v>
      </c>
      <c r="W6059">
        <v>-1.341115E-2</v>
      </c>
      <c r="X6059">
        <v>0.99938289999999996</v>
      </c>
      <c r="Y6059">
        <v>-0.1140622</v>
      </c>
      <c r="Z6059">
        <v>7.3081650000000001E-3</v>
      </c>
      <c r="AA6059">
        <v>0.99344670000000002</v>
      </c>
      <c r="AB6059">
        <v>16</v>
      </c>
      <c r="AC6059">
        <v>15.3147</v>
      </c>
      <c r="AD6059">
        <v>-1.110517314787</v>
      </c>
      <c r="AE6059">
        <v>1.0852999999999899</v>
      </c>
      <c r="AF6059">
        <v>-1.7569258491915301</v>
      </c>
      <c r="AG6059">
        <v>-1.110517314787</v>
      </c>
      <c r="AH6059">
        <v>15.171810993341101</v>
      </c>
      <c r="AI6059">
        <v>94.158668835327902</v>
      </c>
      <c r="AJ6059">
        <v>96.605542932559104</v>
      </c>
      <c r="AK6059">
        <v>15.3135197117992</v>
      </c>
      <c r="AL6059">
        <v>90.7684253348705</v>
      </c>
      <c r="AM6059">
        <v>88.139425154345204</v>
      </c>
      <c r="AN6059">
        <v>0.99999999273242601</v>
      </c>
    </row>
    <row r="6060" spans="1:40" x14ac:dyDescent="0.25">
      <c r="A6060" t="str">
        <f>"20190312161140389"</f>
        <v>20190312161140389</v>
      </c>
      <c r="B6060" t="str">
        <f>"1552378300383066"</f>
        <v>1552378300383066</v>
      </c>
      <c r="C6060" t="s">
        <v>40</v>
      </c>
      <c r="D6060">
        <v>5.7205750000000002</v>
      </c>
      <c r="E6060">
        <v>0.4449631</v>
      </c>
      <c r="F6060" t="s">
        <v>108</v>
      </c>
      <c r="G6060">
        <v>-248.9769</v>
      </c>
      <c r="H6060" s="1">
        <v>-3.3272370000000001E-6</v>
      </c>
      <c r="I6060">
        <v>-62.62903</v>
      </c>
      <c r="J6060">
        <v>-264.17020000000002</v>
      </c>
      <c r="K6060">
        <v>1.1105259999999999</v>
      </c>
      <c r="L6060">
        <v>-63.71658</v>
      </c>
      <c r="M6060">
        <v>0.99895230000000002</v>
      </c>
      <c r="N6060">
        <v>0</v>
      </c>
      <c r="O6060">
        <v>-4.4034490000000003E-2</v>
      </c>
      <c r="P6060">
        <v>0.99672300000000003</v>
      </c>
      <c r="Q6060">
        <v>-2.6393320000000001E-2</v>
      </c>
      <c r="R6060">
        <v>-7.6464920000000006E-2</v>
      </c>
      <c r="S6060">
        <v>3.0207519999999999</v>
      </c>
      <c r="T6060">
        <v>-0.21956010000000001</v>
      </c>
      <c r="U6060">
        <v>0.2143555</v>
      </c>
      <c r="V6060">
        <v>3.2510709999999998E-2</v>
      </c>
      <c r="W6060">
        <v>-1.390688E-2</v>
      </c>
      <c r="X6060">
        <v>0.9993746</v>
      </c>
      <c r="Y6060">
        <v>-0.1142261</v>
      </c>
      <c r="Z6060">
        <v>7.33365199999999E-3</v>
      </c>
      <c r="AA6060">
        <v>0.99342770000000002</v>
      </c>
      <c r="AB6060">
        <v>16</v>
      </c>
      <c r="AC6060">
        <v>15.193300000000001</v>
      </c>
      <c r="AD6060">
        <v>-1.110529327237</v>
      </c>
      <c r="AE6060">
        <v>1.08755</v>
      </c>
      <c r="AF6060">
        <v>-1.7462938297008599</v>
      </c>
      <c r="AG6060">
        <v>-1.110529327237</v>
      </c>
      <c r="AH6060">
        <v>15.050666583</v>
      </c>
      <c r="AI6060">
        <v>94.191960903608702</v>
      </c>
      <c r="AJ6060">
        <v>96.6183024209449</v>
      </c>
      <c r="AK6060">
        <v>15.1922803462462</v>
      </c>
      <c r="AL6060">
        <v>90.796831240726803</v>
      </c>
      <c r="AM6060">
        <v>88.136764932795998</v>
      </c>
      <c r="AN6060">
        <v>0.99999996935059798</v>
      </c>
    </row>
    <row r="6061" spans="1:40" x14ac:dyDescent="0.25">
      <c r="A6061" t="str">
        <f>"20190312161140401"</f>
        <v>20190312161140401</v>
      </c>
      <c r="B6061" t="str">
        <f>"1552378300393802"</f>
        <v>1552378300393802</v>
      </c>
      <c r="C6061" t="s">
        <v>40</v>
      </c>
      <c r="D6061">
        <v>5.7114240000000001</v>
      </c>
      <c r="E6061">
        <v>0.462007</v>
      </c>
      <c r="F6061" t="s">
        <v>108</v>
      </c>
      <c r="G6061">
        <v>-248.98859999999999</v>
      </c>
      <c r="H6061" s="1">
        <v>-3.3317959999999999E-6</v>
      </c>
      <c r="I6061">
        <v>-62.632260000000002</v>
      </c>
      <c r="J6061">
        <v>-264.07929999999999</v>
      </c>
      <c r="K6061">
        <v>1.110541</v>
      </c>
      <c r="L6061">
        <v>-63.72</v>
      </c>
      <c r="M6061">
        <v>0.99897530000000001</v>
      </c>
      <c r="N6061">
        <v>0</v>
      </c>
      <c r="O6061">
        <v>-4.3509449999999998E-2</v>
      </c>
      <c r="P6061">
        <v>0.99677369999999998</v>
      </c>
      <c r="Q6061">
        <v>-2.6951900000000001E-2</v>
      </c>
      <c r="R6061">
        <v>-7.5604939999999995E-2</v>
      </c>
      <c r="S6061">
        <v>3.0205690000000001</v>
      </c>
      <c r="T6061">
        <v>-0.2209535</v>
      </c>
      <c r="U6061">
        <v>0.2157288</v>
      </c>
      <c r="V6061">
        <v>3.2174979999999999E-2</v>
      </c>
      <c r="W6061">
        <v>-1.446882E-2</v>
      </c>
      <c r="X6061">
        <v>0.99937750000000003</v>
      </c>
      <c r="Y6061">
        <v>-0.1141539</v>
      </c>
      <c r="Z6061">
        <v>7.3394549999999999E-3</v>
      </c>
      <c r="AA6061">
        <v>0.99343599999999999</v>
      </c>
      <c r="AB6061">
        <v>16</v>
      </c>
      <c r="AC6061">
        <v>15.090699999999901</v>
      </c>
      <c r="AD6061">
        <v>-1.110544331796</v>
      </c>
      <c r="AE6061">
        <v>1.0877399999999999</v>
      </c>
      <c r="AF6061">
        <v>-1.7340065199816601</v>
      </c>
      <c r="AG6061">
        <v>-1.110544331796</v>
      </c>
      <c r="AH6061">
        <v>14.9485384091545</v>
      </c>
      <c r="AI6061">
        <v>94.220568086167404</v>
      </c>
      <c r="AJ6061">
        <v>96.616647374433498</v>
      </c>
      <c r="AK6061">
        <v>15.089694758151699</v>
      </c>
      <c r="AL6061">
        <v>90.8290312631745</v>
      </c>
      <c r="AM6061">
        <v>88.155998090979196</v>
      </c>
      <c r="AN6061">
        <v>0.99999998179822103</v>
      </c>
    </row>
    <row r="6062" spans="1:40" x14ac:dyDescent="0.25">
      <c r="A6062" t="str">
        <f>"20190312161140414"</f>
        <v>20190312161140414</v>
      </c>
      <c r="B6062" t="str">
        <f>"1552378300403562"</f>
        <v>1552378300403562</v>
      </c>
      <c r="C6062" t="s">
        <v>40</v>
      </c>
      <c r="D6062">
        <v>5.6984500000000002</v>
      </c>
      <c r="E6062">
        <v>0.46507589999999999</v>
      </c>
      <c r="F6062" t="s">
        <v>109</v>
      </c>
      <c r="G6062">
        <v>-250.55770000000001</v>
      </c>
      <c r="H6062" s="1">
        <v>-3.350726E-8</v>
      </c>
      <c r="I6062">
        <v>-63.343200000000003</v>
      </c>
      <c r="J6062">
        <v>-263.99540000000002</v>
      </c>
      <c r="K6062">
        <v>1.1105400000000001</v>
      </c>
      <c r="L6062">
        <v>-63.723080000000003</v>
      </c>
      <c r="M6062">
        <v>0.99899720000000003</v>
      </c>
      <c r="N6062">
        <v>0</v>
      </c>
      <c r="O6062">
        <v>-4.3015480000000002E-2</v>
      </c>
      <c r="P6062">
        <v>0.996807</v>
      </c>
      <c r="Q6062">
        <v>-2.7173599999999999E-2</v>
      </c>
      <c r="R6062">
        <v>-7.5086089999999994E-2</v>
      </c>
      <c r="S6062">
        <v>3.00943</v>
      </c>
      <c r="T6062">
        <v>-0.24716659999999999</v>
      </c>
      <c r="U6062">
        <v>8.3862300000000001E-2</v>
      </c>
      <c r="V6062">
        <v>3.2149629999999998E-2</v>
      </c>
      <c r="W6062">
        <v>-1.4727499999999999E-2</v>
      </c>
      <c r="X6062">
        <v>0.9993746</v>
      </c>
      <c r="Y6062">
        <v>-7.0450209999999999E-2</v>
      </c>
      <c r="Z6062">
        <v>6.4138980000000003E-3</v>
      </c>
      <c r="AA6062">
        <v>0.99749469999999996</v>
      </c>
      <c r="AB6062">
        <v>16</v>
      </c>
      <c r="AC6062">
        <v>13.4377</v>
      </c>
      <c r="AD6062">
        <v>-1.1105400335072599</v>
      </c>
      <c r="AE6062">
        <v>0.37988</v>
      </c>
      <c r="AF6062">
        <v>-0.95111116622071601</v>
      </c>
      <c r="AG6062">
        <v>-1.1105400335072599</v>
      </c>
      <c r="AH6062">
        <v>13.318029189901599</v>
      </c>
      <c r="AI6062">
        <v>94.7545972020514</v>
      </c>
      <c r="AJ6062">
        <v>94.084860739733202</v>
      </c>
      <c r="AK6062">
        <v>13.3980525868353</v>
      </c>
      <c r="AL6062">
        <v>90.843854062282503</v>
      </c>
      <c r="AM6062">
        <v>88.157444596964098</v>
      </c>
      <c r="AN6062">
        <v>1.0000000445452699</v>
      </c>
    </row>
    <row r="6063" spans="1:40" x14ac:dyDescent="0.25">
      <c r="A6063" t="str">
        <f>"20190312161140440"</f>
        <v>20190312161140440</v>
      </c>
      <c r="B6063" t="str">
        <f>"1552378300433818"</f>
        <v>1552378300433818</v>
      </c>
      <c r="C6063" t="s">
        <v>40</v>
      </c>
      <c r="D6063">
        <v>5.8360810000000001</v>
      </c>
      <c r="E6063">
        <v>0.46955629999999998</v>
      </c>
      <c r="F6063" t="s">
        <v>109</v>
      </c>
      <c r="G6063">
        <v>-250.5052</v>
      </c>
      <c r="H6063" s="1">
        <v>-3.4629519999999999E-8</v>
      </c>
      <c r="I6063">
        <v>-63.449579999999997</v>
      </c>
      <c r="J6063">
        <v>-263.80880000000002</v>
      </c>
      <c r="K6063">
        <v>1.110528</v>
      </c>
      <c r="L6063">
        <v>-63.72983</v>
      </c>
      <c r="M6063">
        <v>0.99904550000000003</v>
      </c>
      <c r="N6063">
        <v>0</v>
      </c>
      <c r="O6063">
        <v>-4.1916670000000003E-2</v>
      </c>
      <c r="P6063">
        <v>0.99689910000000004</v>
      </c>
      <c r="Q6063">
        <v>-2.766358E-2</v>
      </c>
      <c r="R6063">
        <v>-7.3671109999999998E-2</v>
      </c>
      <c r="S6063">
        <v>3.0074459999999998</v>
      </c>
      <c r="T6063">
        <v>-0.2475784</v>
      </c>
      <c r="U6063">
        <v>6.097412E-2</v>
      </c>
      <c r="V6063">
        <v>3.183184E-2</v>
      </c>
      <c r="W6063">
        <v>-1.5338890000000001E-2</v>
      </c>
      <c r="X6063">
        <v>0.99937549999999997</v>
      </c>
      <c r="Y6063">
        <v>-6.1812869999999999E-2</v>
      </c>
      <c r="Z6063">
        <v>5.9840609999999997E-3</v>
      </c>
      <c r="AA6063">
        <v>0.99806980000000001</v>
      </c>
      <c r="AB6063">
        <v>16</v>
      </c>
      <c r="AC6063">
        <v>13.303599999999999</v>
      </c>
      <c r="AD6063">
        <v>-1.1105280346295201</v>
      </c>
      <c r="AE6063">
        <v>0.280250000000002</v>
      </c>
      <c r="AF6063">
        <v>-0.83189415968015101</v>
      </c>
      <c r="AG6063">
        <v>-1.1105280346295201</v>
      </c>
      <c r="AH6063">
        <v>13.188299832993099</v>
      </c>
      <c r="AI6063">
        <v>94.803765298074694</v>
      </c>
      <c r="AJ6063">
        <v>93.6093324615413</v>
      </c>
      <c r="AK6063">
        <v>13.2610924472131</v>
      </c>
      <c r="AL6063">
        <v>90.878888153502999</v>
      </c>
      <c r="AM6063">
        <v>88.175647008725306</v>
      </c>
      <c r="AN6063">
        <v>0.99999996879223296</v>
      </c>
    </row>
    <row r="6064" spans="1:40" x14ac:dyDescent="0.25">
      <c r="A6064" t="str">
        <f>"20190312161140456"</f>
        <v>20190312161140456</v>
      </c>
      <c r="B6064" t="str">
        <f>"1552378300443579"</f>
        <v>1552378300443579</v>
      </c>
      <c r="C6064" t="s">
        <v>40</v>
      </c>
      <c r="D6064">
        <v>5.7462629999999999</v>
      </c>
      <c r="E6064">
        <v>0.47032800000000002</v>
      </c>
      <c r="F6064" t="s">
        <v>108</v>
      </c>
      <c r="G6064">
        <v>-249.75530000000001</v>
      </c>
      <c r="H6064" s="1">
        <v>-3.7634740000000002E-6</v>
      </c>
      <c r="I6064">
        <v>-63.594889999999999</v>
      </c>
      <c r="J6064">
        <v>-263.70339999999999</v>
      </c>
      <c r="K6064">
        <v>1.1105179999999999</v>
      </c>
      <c r="L6064">
        <v>-63.733519999999999</v>
      </c>
      <c r="M6064">
        <v>0.9990715</v>
      </c>
      <c r="N6064">
        <v>0</v>
      </c>
      <c r="O6064">
        <v>-4.1309100000000001E-2</v>
      </c>
      <c r="P6064">
        <v>0.99693259999999995</v>
      </c>
      <c r="Q6064">
        <v>-2.8113050000000001E-2</v>
      </c>
      <c r="R6064">
        <v>-7.3042969999999999E-2</v>
      </c>
      <c r="S6064">
        <v>3.0049130000000002</v>
      </c>
      <c r="T6064">
        <v>-0.2374539</v>
      </c>
      <c r="U6064">
        <v>2.8839110000000001E-2</v>
      </c>
      <c r="V6064">
        <v>3.1810959999999999E-2</v>
      </c>
      <c r="W6064">
        <v>-1.5849080000000002E-2</v>
      </c>
      <c r="X6064">
        <v>0.99936829999999999</v>
      </c>
      <c r="Y6064">
        <v>-5.0612459999999998E-2</v>
      </c>
      <c r="Z6064">
        <v>5.255465E-3</v>
      </c>
      <c r="AA6064">
        <v>0.99870460000000005</v>
      </c>
      <c r="AB6064">
        <v>16</v>
      </c>
      <c r="AC6064">
        <v>13.948099999999901</v>
      </c>
      <c r="AD6064">
        <v>-1.1105217634739999</v>
      </c>
      <c r="AE6064">
        <v>0.138629999999999</v>
      </c>
      <c r="AF6064">
        <v>-0.71023646019347098</v>
      </c>
      <c r="AG6064">
        <v>-1.1105217634739999</v>
      </c>
      <c r="AH6064">
        <v>13.8427241897607</v>
      </c>
      <c r="AI6064">
        <v>94.580686650499203</v>
      </c>
      <c r="AJ6064">
        <v>92.937131393369796</v>
      </c>
      <c r="AK6064">
        <v>13.905348158543999</v>
      </c>
      <c r="AL6064">
        <v>90.908123356131</v>
      </c>
      <c r="AM6064">
        <v>88.176829753561407</v>
      </c>
      <c r="AN6064">
        <v>1.00000006477892</v>
      </c>
    </row>
    <row r="6065" spans="1:40" x14ac:dyDescent="0.25">
      <c r="A6065" t="str">
        <f>"20190312161140467"</f>
        <v>20190312161140467</v>
      </c>
      <c r="B6065" t="str">
        <f>"1552378300463099"</f>
        <v>1552378300463099</v>
      </c>
      <c r="C6065" t="s">
        <v>40</v>
      </c>
      <c r="D6065">
        <v>5.7452930000000002</v>
      </c>
      <c r="E6065">
        <v>0.47174899999999997</v>
      </c>
      <c r="F6065" t="s">
        <v>108</v>
      </c>
      <c r="G6065">
        <v>-249.10599999999999</v>
      </c>
      <c r="H6065" s="1">
        <v>-3.5462649999999999E-6</v>
      </c>
      <c r="I6065">
        <v>-63.616030000000002</v>
      </c>
      <c r="J6065">
        <v>-263.61989999999997</v>
      </c>
      <c r="K6065">
        <v>1.1105160000000001</v>
      </c>
      <c r="L6065">
        <v>-63.736449999999998</v>
      </c>
      <c r="M6065">
        <v>0.99909159999999997</v>
      </c>
      <c r="N6065">
        <v>0</v>
      </c>
      <c r="O6065">
        <v>-4.0831729999999997E-2</v>
      </c>
      <c r="P6065">
        <v>0.99695409999999995</v>
      </c>
      <c r="Q6065">
        <v>-2.8271310000000001E-2</v>
      </c>
      <c r="R6065">
        <v>-7.2686239999999999E-2</v>
      </c>
      <c r="S6065">
        <v>3.0045470000000001</v>
      </c>
      <c r="T6065">
        <v>-0.22857620000000001</v>
      </c>
      <c r="U6065">
        <v>2.4169920000000001E-2</v>
      </c>
      <c r="V6065">
        <v>3.1931250000000001E-2</v>
      </c>
      <c r="W6065">
        <v>-1.6044329999999999E-2</v>
      </c>
      <c r="X6065">
        <v>0.99936130000000001</v>
      </c>
      <c r="Y6065">
        <v>-4.8612509999999998E-2</v>
      </c>
      <c r="Z6065">
        <v>4.9479670000000002E-3</v>
      </c>
      <c r="AA6065">
        <v>0.99880550000000001</v>
      </c>
      <c r="AB6065">
        <v>16</v>
      </c>
      <c r="AC6065">
        <v>14.5138999999999</v>
      </c>
      <c r="AD6065">
        <v>-1.1105195462649999</v>
      </c>
      <c r="AE6065">
        <v>0.120419999999995</v>
      </c>
      <c r="AF6065">
        <v>-0.70884171113852101</v>
      </c>
      <c r="AG6065">
        <v>-1.1105195462649999</v>
      </c>
      <c r="AH6065">
        <v>14.412505713576</v>
      </c>
      <c r="AI6065">
        <v>94.400778466776998</v>
      </c>
      <c r="AJ6065">
        <v>92.815675479546798</v>
      </c>
      <c r="AK6065">
        <v>14.472595868673601</v>
      </c>
      <c r="AL6065">
        <v>90.919311823357901</v>
      </c>
      <c r="AM6065">
        <v>88.169927484803097</v>
      </c>
      <c r="AN6065">
        <v>1.0000000165947001</v>
      </c>
    </row>
    <row r="6066" spans="1:40" x14ac:dyDescent="0.25">
      <c r="A6066" t="str">
        <f>"20190312161140477"</f>
        <v>20190312161140477</v>
      </c>
      <c r="B6066" t="str">
        <f>"1552378300473834"</f>
        <v>1552378300473834</v>
      </c>
      <c r="C6066" t="s">
        <v>40</v>
      </c>
      <c r="D6066">
        <v>5.7009299999999996</v>
      </c>
      <c r="E6066">
        <v>0.47230939999999999</v>
      </c>
      <c r="F6066" t="s">
        <v>108</v>
      </c>
      <c r="G6066">
        <v>-248.98599999999999</v>
      </c>
      <c r="H6066" s="1">
        <v>-3.514755E-6</v>
      </c>
      <c r="I6066">
        <v>-63.66874</v>
      </c>
      <c r="J6066">
        <v>-263.54340000000002</v>
      </c>
      <c r="K6066">
        <v>1.110514</v>
      </c>
      <c r="L6066">
        <v>-63.73901</v>
      </c>
      <c r="M6066">
        <v>0.99910940000000004</v>
      </c>
      <c r="N6066">
        <v>0</v>
      </c>
      <c r="O6066">
        <v>-4.0399570000000003E-2</v>
      </c>
      <c r="P6066">
        <v>0.99698350000000002</v>
      </c>
      <c r="Q6066">
        <v>-2.8004689999999999E-2</v>
      </c>
      <c r="R6066">
        <v>-7.2386279999999997E-2</v>
      </c>
      <c r="S6066">
        <v>3.0037229999999999</v>
      </c>
      <c r="T6066">
        <v>-0.2279429</v>
      </c>
      <c r="U6066">
        <v>1.38855E-2</v>
      </c>
      <c r="V6066">
        <v>3.2062340000000002E-2</v>
      </c>
      <c r="W6066">
        <v>-1.5795389999999999E-2</v>
      </c>
      <c r="X6066">
        <v>0.99936100000000005</v>
      </c>
      <c r="Y6066">
        <v>-4.477619E-2</v>
      </c>
      <c r="Z6066">
        <v>4.7575610000000004E-3</v>
      </c>
      <c r="AA6066">
        <v>0.99898569999999998</v>
      </c>
      <c r="AB6066">
        <v>16</v>
      </c>
      <c r="AC6066">
        <v>14.557399999999999</v>
      </c>
      <c r="AD6066">
        <v>-1.1105175147549999</v>
      </c>
      <c r="AE6066">
        <v>7.0270000000000707E-2</v>
      </c>
      <c r="AF6066">
        <v>-0.65455983121296601</v>
      </c>
      <c r="AG6066">
        <v>-1.1105175147549999</v>
      </c>
      <c r="AH6066">
        <v>14.4585355402121</v>
      </c>
      <c r="AI6066">
        <v>94.3876203958974</v>
      </c>
      <c r="AJ6066">
        <v>92.592096955057499</v>
      </c>
      <c r="AK6066">
        <v>14.5158860456671</v>
      </c>
      <c r="AL6066">
        <v>90.905046866359299</v>
      </c>
      <c r="AM6066">
        <v>88.162418926036906</v>
      </c>
      <c r="AN6066">
        <v>0.99999994815626203</v>
      </c>
    </row>
    <row r="6067" spans="1:40" x14ac:dyDescent="0.25">
      <c r="A6067" t="str">
        <f>"20190312161140490"</f>
        <v>20190312161140490</v>
      </c>
      <c r="B6067" t="str">
        <f>"1552378300483594"</f>
        <v>1552378300483594</v>
      </c>
      <c r="C6067" t="s">
        <v>40</v>
      </c>
      <c r="D6067">
        <v>5.7253270000000001</v>
      </c>
      <c r="E6067">
        <v>0.47274529999999998</v>
      </c>
      <c r="F6067" t="s">
        <v>108</v>
      </c>
      <c r="G6067">
        <v>-248.92230000000001</v>
      </c>
      <c r="H6067" s="1">
        <v>-3.4966059999999999E-6</v>
      </c>
      <c r="I6067">
        <v>-63.688589999999998</v>
      </c>
      <c r="J6067">
        <v>-263.46190000000001</v>
      </c>
      <c r="K6067">
        <v>1.110509</v>
      </c>
      <c r="L6067">
        <v>-63.741759999999999</v>
      </c>
      <c r="M6067">
        <v>0.99912800000000002</v>
      </c>
      <c r="N6067">
        <v>0</v>
      </c>
      <c r="O6067">
        <v>-3.9940389999999999E-2</v>
      </c>
      <c r="P6067">
        <v>0.99702080000000004</v>
      </c>
      <c r="Q6067">
        <v>-2.8154439999999999E-2</v>
      </c>
      <c r="R6067">
        <v>-7.1813790000000002E-2</v>
      </c>
      <c r="S6067">
        <v>3.0034179999999999</v>
      </c>
      <c r="T6067">
        <v>-0.22811880000000001</v>
      </c>
      <c r="U6067">
        <v>1.0345460000000001E-2</v>
      </c>
      <c r="V6067">
        <v>3.1947690000000001E-2</v>
      </c>
      <c r="W6067">
        <v>-1.5959460000000002E-2</v>
      </c>
      <c r="X6067">
        <v>0.99936210000000003</v>
      </c>
      <c r="Y6067">
        <v>-4.3145629999999997E-2</v>
      </c>
      <c r="Z6067">
        <v>4.6650540000000001E-3</v>
      </c>
      <c r="AA6067">
        <v>0.99905790000000005</v>
      </c>
      <c r="AB6067">
        <v>16</v>
      </c>
      <c r="AC6067">
        <v>14.5396</v>
      </c>
      <c r="AD6067">
        <v>-1.110512496606</v>
      </c>
      <c r="AE6067">
        <v>5.3169999999994298E-2</v>
      </c>
      <c r="AF6067">
        <v>-0.63021144370096505</v>
      </c>
      <c r="AG6067">
        <v>-1.110512496606</v>
      </c>
      <c r="AH6067">
        <v>14.4416262486722</v>
      </c>
      <c r="AI6067">
        <v>94.393034890619404</v>
      </c>
      <c r="AJ6067">
        <v>92.498718686449806</v>
      </c>
      <c r="AK6067">
        <v>14.4979644493711</v>
      </c>
      <c r="AL6067">
        <v>90.9144485385808</v>
      </c>
      <c r="AM6067">
        <v>88.168987366698104</v>
      </c>
      <c r="AN6067">
        <v>0.99999998308811799</v>
      </c>
    </row>
    <row r="6068" spans="1:40" x14ac:dyDescent="0.25">
      <c r="A6068" t="str">
        <f>"20190312161140501"</f>
        <v>20190312161140501</v>
      </c>
      <c r="B6068" t="str">
        <f>"1552378300493354"</f>
        <v>1552378300493354</v>
      </c>
      <c r="C6068" t="s">
        <v>40</v>
      </c>
      <c r="D6068">
        <v>5.7005720000000002</v>
      </c>
      <c r="E6068">
        <v>0.47318729999999998</v>
      </c>
      <c r="F6068" t="s">
        <v>108</v>
      </c>
      <c r="G6068">
        <v>-249.05520000000001</v>
      </c>
      <c r="H6068" s="1">
        <v>-3.5438280000000002E-6</v>
      </c>
      <c r="I6068">
        <v>-63.699829999999999</v>
      </c>
      <c r="J6068">
        <v>-263.38099999999997</v>
      </c>
      <c r="K6068">
        <v>1.1105069999999999</v>
      </c>
      <c r="L6068">
        <v>-63.744480000000003</v>
      </c>
      <c r="M6068">
        <v>0.99914619999999998</v>
      </c>
      <c r="N6068">
        <v>0</v>
      </c>
      <c r="O6068">
        <v>-3.9484819999999997E-2</v>
      </c>
      <c r="P6068">
        <v>0.99706459999999997</v>
      </c>
      <c r="Q6068">
        <v>-2.7938370000000001E-2</v>
      </c>
      <c r="R6068">
        <v>-7.1286680000000005E-2</v>
      </c>
      <c r="S6068">
        <v>3.0030519999999998</v>
      </c>
      <c r="T6068">
        <v>-0.2314843</v>
      </c>
      <c r="U6068">
        <v>8.7280269999999993E-3</v>
      </c>
      <c r="V6068">
        <v>3.1874529999999998E-2</v>
      </c>
      <c r="W6068">
        <v>-1.575298E-2</v>
      </c>
      <c r="X6068">
        <v>0.99936769999999997</v>
      </c>
      <c r="Y6068">
        <v>-4.2149539999999999E-2</v>
      </c>
      <c r="Z6068">
        <v>4.660867E-3</v>
      </c>
      <c r="AA6068">
        <v>0.9991004</v>
      </c>
      <c r="AB6068">
        <v>16</v>
      </c>
      <c r="AC6068">
        <v>14.3257999999999</v>
      </c>
      <c r="AD6068">
        <v>-1.1105105438280001</v>
      </c>
      <c r="AE6068">
        <v>4.4649999999997102E-2</v>
      </c>
      <c r="AF6068">
        <v>-0.60666317283748095</v>
      </c>
      <c r="AG6068">
        <v>-1.1105105438280001</v>
      </c>
      <c r="AH6068">
        <v>14.2273710324052</v>
      </c>
      <c r="AI6068">
        <v>94.459109427071795</v>
      </c>
      <c r="AJ6068">
        <v>92.441645447930895</v>
      </c>
      <c r="AK6068">
        <v>14.2835345894129</v>
      </c>
      <c r="AL6068">
        <v>90.902616629305101</v>
      </c>
      <c r="AM6068">
        <v>88.1731877589269</v>
      </c>
      <c r="AN6068">
        <v>0.99999997092244497</v>
      </c>
    </row>
    <row r="6069" spans="1:40" x14ac:dyDescent="0.25">
      <c r="A6069" t="str">
        <f>"20190312161140511"</f>
        <v>20190312161140511</v>
      </c>
      <c r="B6069" t="str">
        <f>"1552378300503115"</f>
        <v>1552378300503115</v>
      </c>
      <c r="C6069" t="s">
        <v>40</v>
      </c>
      <c r="D6069">
        <v>5.7072770000000004</v>
      </c>
      <c r="E6069">
        <v>0.4734642</v>
      </c>
      <c r="F6069" t="s">
        <v>108</v>
      </c>
      <c r="G6069">
        <v>-249.10939999999999</v>
      </c>
      <c r="H6069" s="1">
        <v>-3.564417E-6</v>
      </c>
      <c r="I6069">
        <v>-63.711930000000002</v>
      </c>
      <c r="J6069">
        <v>-263.30560000000003</v>
      </c>
      <c r="K6069">
        <v>1.1105050000000001</v>
      </c>
      <c r="L6069">
        <v>-63.746949999999998</v>
      </c>
      <c r="M6069">
        <v>0.99916300000000002</v>
      </c>
      <c r="N6069">
        <v>0</v>
      </c>
      <c r="O6069">
        <v>-3.9063670000000002E-2</v>
      </c>
      <c r="P6069">
        <v>0.99712310000000004</v>
      </c>
      <c r="Q6069">
        <v>-2.7719190000000001E-2</v>
      </c>
      <c r="R6069">
        <v>-7.055119E-2</v>
      </c>
      <c r="S6069">
        <v>3.0028079999999999</v>
      </c>
      <c r="T6069">
        <v>-0.23365659999999999</v>
      </c>
      <c r="U6069">
        <v>6.8359379999999997E-3</v>
      </c>
      <c r="V6069">
        <v>3.1557950000000001E-2</v>
      </c>
      <c r="W6069">
        <v>-1.554576E-2</v>
      </c>
      <c r="X6069">
        <v>0.99938099999999996</v>
      </c>
      <c r="Y6069">
        <v>-4.1098929999999999E-2</v>
      </c>
      <c r="Z6069">
        <v>4.6313320000000002E-3</v>
      </c>
      <c r="AA6069">
        <v>0.99914440000000004</v>
      </c>
      <c r="AB6069">
        <v>16</v>
      </c>
      <c r="AC6069">
        <v>14.196199999999999</v>
      </c>
      <c r="AD6069">
        <v>-1.1105085644170001</v>
      </c>
      <c r="AE6069">
        <v>3.5019999999995798E-2</v>
      </c>
      <c r="AF6069">
        <v>-0.58600389960563803</v>
      </c>
      <c r="AG6069">
        <v>-1.1105085644170001</v>
      </c>
      <c r="AH6069">
        <v>14.0977273936827</v>
      </c>
      <c r="AI6069">
        <v>94.500142213793396</v>
      </c>
      <c r="AJ6069">
        <v>92.380258293941196</v>
      </c>
      <c r="AK6069">
        <v>14.153534806139</v>
      </c>
      <c r="AL6069">
        <v>90.890742336190101</v>
      </c>
      <c r="AM6069">
        <v>88.191343725032198</v>
      </c>
      <c r="AN6069">
        <v>0.99999997901158899</v>
      </c>
    </row>
    <row r="6070" spans="1:40" x14ac:dyDescent="0.25">
      <c r="A6070" t="str">
        <f>"20190312161140522"</f>
        <v>20190312161140522</v>
      </c>
      <c r="B6070" t="str">
        <f>"1552378300513851"</f>
        <v>1552378300513851</v>
      </c>
      <c r="C6070" t="s">
        <v>40</v>
      </c>
      <c r="D6070">
        <v>5.7094870000000002</v>
      </c>
      <c r="E6070">
        <v>0.47378920000000002</v>
      </c>
      <c r="F6070" t="s">
        <v>108</v>
      </c>
      <c r="G6070">
        <v>-248.9119</v>
      </c>
      <c r="H6070" s="1">
        <v>-3.497748E-6</v>
      </c>
      <c r="I6070">
        <v>-63.715000000000003</v>
      </c>
      <c r="J6070">
        <v>-263.22930000000002</v>
      </c>
      <c r="K6070">
        <v>1.110509</v>
      </c>
      <c r="L6070">
        <v>-63.749389999999998</v>
      </c>
      <c r="M6070">
        <v>0.99917959999999995</v>
      </c>
      <c r="N6070">
        <v>0</v>
      </c>
      <c r="O6070">
        <v>-3.8637989999999997E-2</v>
      </c>
      <c r="P6070">
        <v>0.99718399999999996</v>
      </c>
      <c r="Q6070">
        <v>-2.759352E-2</v>
      </c>
      <c r="R6070">
        <v>-6.9732669999999997E-2</v>
      </c>
      <c r="S6070">
        <v>3.0027159999999999</v>
      </c>
      <c r="T6070">
        <v>-0.2316666</v>
      </c>
      <c r="U6070">
        <v>6.6528319999999896E-3</v>
      </c>
      <c r="V6070">
        <v>3.1163199999999999E-2</v>
      </c>
      <c r="W6070">
        <v>-1.5433240000000001E-2</v>
      </c>
      <c r="X6070">
        <v>0.99939509999999998</v>
      </c>
      <c r="Y6070">
        <v>-4.0619179999999998E-2</v>
      </c>
      <c r="Z6070">
        <v>4.5408849999999997E-3</v>
      </c>
      <c r="AA6070">
        <v>0.99916439999999995</v>
      </c>
      <c r="AB6070">
        <v>16</v>
      </c>
      <c r="AC6070">
        <v>14.317399999999999</v>
      </c>
      <c r="AD6070">
        <v>-1.1105124977480001</v>
      </c>
      <c r="AE6070">
        <v>3.4390000000001898E-2</v>
      </c>
      <c r="AF6070">
        <v>-0.58408667089614297</v>
      </c>
      <c r="AG6070">
        <v>-1.1105124977480001</v>
      </c>
      <c r="AH6070">
        <v>14.2198302687365</v>
      </c>
      <c r="AI6070">
        <v>94.461762956321607</v>
      </c>
      <c r="AJ6070">
        <v>92.352130681904995</v>
      </c>
      <c r="AK6070">
        <v>14.275082070462799</v>
      </c>
      <c r="AL6070">
        <v>90.884294668912204</v>
      </c>
      <c r="AM6070">
        <v>88.213978161366001</v>
      </c>
      <c r="AN6070">
        <v>0.99999994791757196</v>
      </c>
    </row>
    <row r="6071" spans="1:40" x14ac:dyDescent="0.25">
      <c r="A6071" t="str">
        <f>"20190312161140534"</f>
        <v>20190312161140534</v>
      </c>
      <c r="B6071" t="str">
        <f>"1552378300523610"</f>
        <v>1552378300523610</v>
      </c>
      <c r="C6071" t="s">
        <v>40</v>
      </c>
      <c r="D6071">
        <v>5.7077470000000003</v>
      </c>
      <c r="E6071">
        <v>0.47408929999999999</v>
      </c>
      <c r="F6071" t="s">
        <v>108</v>
      </c>
      <c r="G6071">
        <v>-248.8501</v>
      </c>
      <c r="H6071" s="1">
        <v>-3.4772540000000001E-6</v>
      </c>
      <c r="I6071">
        <v>-63.718049999999998</v>
      </c>
      <c r="J6071">
        <v>-263.1515</v>
      </c>
      <c r="K6071">
        <v>1.110506</v>
      </c>
      <c r="L6071">
        <v>-63.751890000000003</v>
      </c>
      <c r="M6071">
        <v>0.99919630000000004</v>
      </c>
      <c r="N6071">
        <v>0</v>
      </c>
      <c r="O6071">
        <v>-3.8208689999999997E-2</v>
      </c>
      <c r="P6071">
        <v>0.99721979999999999</v>
      </c>
      <c r="Q6071">
        <v>-2.7426059999999999E-2</v>
      </c>
      <c r="R6071">
        <v>-6.928819E-2</v>
      </c>
      <c r="S6071">
        <v>3.0025019999999998</v>
      </c>
      <c r="T6071">
        <v>-0.23188410000000001</v>
      </c>
      <c r="U6071">
        <v>6.5307619999999999E-3</v>
      </c>
      <c r="V6071">
        <v>3.114656E-2</v>
      </c>
      <c r="W6071">
        <v>-1.528259E-2</v>
      </c>
      <c r="X6071">
        <v>0.99939800000000001</v>
      </c>
      <c r="Y6071">
        <v>-4.0151619999999999E-2</v>
      </c>
      <c r="Z6071">
        <v>4.494339E-3</v>
      </c>
      <c r="AA6071">
        <v>0.9991835</v>
      </c>
      <c r="AB6071">
        <v>16</v>
      </c>
      <c r="AC6071">
        <v>14.301399999999999</v>
      </c>
      <c r="AD6071">
        <v>-1.1105094772540001</v>
      </c>
      <c r="AE6071">
        <v>3.3840000000004901E-2</v>
      </c>
      <c r="AF6071">
        <v>-0.57681523448385796</v>
      </c>
      <c r="AG6071">
        <v>-1.1105094772540001</v>
      </c>
      <c r="AH6071">
        <v>14.2040183817879</v>
      </c>
      <c r="AI6071">
        <v>94.466782159337399</v>
      </c>
      <c r="AJ6071">
        <v>92.325463704417302</v>
      </c>
      <c r="AK6071">
        <v>14.2590352164504</v>
      </c>
      <c r="AL6071">
        <v>90.875661983200104</v>
      </c>
      <c r="AM6071">
        <v>88.214936390486997</v>
      </c>
      <c r="AN6071">
        <v>1.0000000140804699</v>
      </c>
    </row>
    <row r="6072" spans="1:40" x14ac:dyDescent="0.25">
      <c r="A6072" t="str">
        <f>"20190312161140545"</f>
        <v>20190312161140545</v>
      </c>
      <c r="B6072" t="str">
        <f>"1552378300533370"</f>
        <v>1552378300533370</v>
      </c>
      <c r="C6072" t="s">
        <v>40</v>
      </c>
      <c r="D6072">
        <v>5.8118429999999996</v>
      </c>
      <c r="E6072">
        <v>0.47412179999999998</v>
      </c>
      <c r="F6072" t="s">
        <v>108</v>
      </c>
      <c r="G6072">
        <v>-248.83670000000001</v>
      </c>
      <c r="H6072" s="1">
        <v>-3.4740640000000002E-6</v>
      </c>
      <c r="I6072">
        <v>-63.725639999999999</v>
      </c>
      <c r="J6072">
        <v>-263.07490000000001</v>
      </c>
      <c r="K6072">
        <v>1.1105020000000001</v>
      </c>
      <c r="L6072">
        <v>-63.754330000000003</v>
      </c>
      <c r="M6072">
        <v>0.99921260000000001</v>
      </c>
      <c r="N6072">
        <v>0</v>
      </c>
      <c r="O6072">
        <v>-3.7787389999999997E-2</v>
      </c>
      <c r="P6072">
        <v>0.99726870000000001</v>
      </c>
      <c r="Q6072">
        <v>-2.7405519999999999E-2</v>
      </c>
      <c r="R6072">
        <v>-6.8588850000000007E-2</v>
      </c>
      <c r="S6072">
        <v>3.00238</v>
      </c>
      <c r="T6072">
        <v>-0.23291919999999999</v>
      </c>
      <c r="U6072">
        <v>5.493164E-3</v>
      </c>
      <c r="V6072">
        <v>3.0867100000000001E-2</v>
      </c>
      <c r="W6072">
        <v>-1.5279030000000001E-2</v>
      </c>
      <c r="X6072">
        <v>0.99940669999999998</v>
      </c>
      <c r="Y6072">
        <v>-3.9386520000000001E-2</v>
      </c>
      <c r="Z6072">
        <v>4.4522670000000002E-3</v>
      </c>
      <c r="AA6072">
        <v>0.99921409999999999</v>
      </c>
      <c r="AB6072">
        <v>16</v>
      </c>
      <c r="AC6072">
        <v>14.238200000000001</v>
      </c>
      <c r="AD6072">
        <v>-1.1105054740639999</v>
      </c>
      <c r="AE6072">
        <v>2.8689999999997402E-2</v>
      </c>
      <c r="AF6072">
        <v>-0.56330659597015997</v>
      </c>
      <c r="AG6072">
        <v>-1.1105054740639999</v>
      </c>
      <c r="AH6072">
        <v>14.1409238642883</v>
      </c>
      <c r="AI6072">
        <v>94.486753820261796</v>
      </c>
      <c r="AJ6072">
        <v>92.281182985414702</v>
      </c>
      <c r="AK6072">
        <v>14.195642446349099</v>
      </c>
      <c r="AL6072">
        <v>90.875458008094597</v>
      </c>
      <c r="AM6072">
        <v>88.230957896833601</v>
      </c>
      <c r="AN6072">
        <v>0.99999998931251999</v>
      </c>
    </row>
    <row r="6073" spans="1:40" x14ac:dyDescent="0.25">
      <c r="A6073" t="str">
        <f>"20190312161140556"</f>
        <v>20190312161140556</v>
      </c>
      <c r="B6073" t="str">
        <f>"1552378300543131"</f>
        <v>1552378300543131</v>
      </c>
      <c r="C6073" t="s">
        <v>40</v>
      </c>
      <c r="D6073">
        <v>5.7088619999999999</v>
      </c>
      <c r="E6073">
        <v>0.47443770000000002</v>
      </c>
      <c r="F6073" t="s">
        <v>108</v>
      </c>
      <c r="G6073">
        <v>-248.76599999999999</v>
      </c>
      <c r="H6073" s="1">
        <v>-3.4487979999999999E-6</v>
      </c>
      <c r="I6073">
        <v>-63.71893</v>
      </c>
      <c r="J6073">
        <v>-262.99270000000001</v>
      </c>
      <c r="K6073">
        <v>1.1105020000000001</v>
      </c>
      <c r="L6073">
        <v>-63.756900000000002</v>
      </c>
      <c r="M6073">
        <v>0.99922949999999999</v>
      </c>
      <c r="N6073">
        <v>0</v>
      </c>
      <c r="O6073">
        <v>-3.7339610000000002E-2</v>
      </c>
      <c r="P6073">
        <v>0.99730410000000003</v>
      </c>
      <c r="Q6073">
        <v>-2.7450059999999998E-2</v>
      </c>
      <c r="R6073">
        <v>-6.8052080000000001E-2</v>
      </c>
      <c r="S6073">
        <v>3.002319</v>
      </c>
      <c r="T6073">
        <v>-0.23300799999999999</v>
      </c>
      <c r="U6073">
        <v>7.4157709999999998E-3</v>
      </c>
      <c r="V6073">
        <v>3.0776939999999999E-2</v>
      </c>
      <c r="W6073">
        <v>-1.534014E-2</v>
      </c>
      <c r="X6073">
        <v>0.99940850000000003</v>
      </c>
      <c r="Y6073">
        <v>-3.9579240000000002E-2</v>
      </c>
      <c r="Z6073">
        <v>4.4268390000000001E-3</v>
      </c>
      <c r="AA6073">
        <v>0.99920659999999994</v>
      </c>
      <c r="AB6073">
        <v>16</v>
      </c>
      <c r="AC6073">
        <v>14.226699999999999</v>
      </c>
      <c r="AD6073">
        <v>-1.110505448798</v>
      </c>
      <c r="AE6073">
        <v>3.7969999999994203E-2</v>
      </c>
      <c r="AF6073">
        <v>-0.56575463920248303</v>
      </c>
      <c r="AG6073">
        <v>-1.110505448798</v>
      </c>
      <c r="AH6073">
        <v>14.1292700397738</v>
      </c>
      <c r="AI6073">
        <v>94.490402509820001</v>
      </c>
      <c r="AJ6073">
        <v>92.292973783938905</v>
      </c>
      <c r="AK6073">
        <v>14.1841310104088</v>
      </c>
      <c r="AL6073">
        <v>90.878959802657803</v>
      </c>
      <c r="AM6073">
        <v>88.2361250142892</v>
      </c>
      <c r="AN6073">
        <v>0.99999994490161503</v>
      </c>
    </row>
    <row r="6074" spans="1:40" x14ac:dyDescent="0.25">
      <c r="A6074" t="str">
        <f>"20190312161140567"</f>
        <v>20190312161140567</v>
      </c>
      <c r="B6074" t="str">
        <f>"1552378300563627"</f>
        <v>1552378300563627</v>
      </c>
      <c r="C6074" t="s">
        <v>40</v>
      </c>
      <c r="D6074">
        <v>5.7121440000000003</v>
      </c>
      <c r="E6074">
        <v>0.47506890000000002</v>
      </c>
      <c r="F6074" t="s">
        <v>108</v>
      </c>
      <c r="G6074">
        <v>-248.71780000000001</v>
      </c>
      <c r="H6074" s="1">
        <v>-3.433552E-6</v>
      </c>
      <c r="I6074">
        <v>-63.725490000000001</v>
      </c>
      <c r="J6074">
        <v>-262.91789999999997</v>
      </c>
      <c r="K6074">
        <v>1.110498</v>
      </c>
      <c r="L6074">
        <v>-63.759160000000001</v>
      </c>
      <c r="M6074">
        <v>0.99924489999999999</v>
      </c>
      <c r="N6074">
        <v>0</v>
      </c>
      <c r="O6074">
        <v>-3.6931909999999998E-2</v>
      </c>
      <c r="P6074">
        <v>0.99735839999999998</v>
      </c>
      <c r="Q6074">
        <v>-2.7087569999999998E-2</v>
      </c>
      <c r="R6074">
        <v>-6.7400630000000003E-2</v>
      </c>
      <c r="S6074">
        <v>3.002167</v>
      </c>
      <c r="T6074">
        <v>-0.23355039999999999</v>
      </c>
      <c r="U6074">
        <v>6.5917969999999999E-3</v>
      </c>
      <c r="V6074">
        <v>3.053115E-2</v>
      </c>
      <c r="W6074">
        <v>-1.499141E-2</v>
      </c>
      <c r="X6074">
        <v>0.99942140000000002</v>
      </c>
      <c r="Y6074">
        <v>-3.8899589999999998E-2</v>
      </c>
      <c r="Z6074">
        <v>4.3792809999999996E-3</v>
      </c>
      <c r="AA6074">
        <v>0.9992335</v>
      </c>
      <c r="AB6074">
        <v>16</v>
      </c>
      <c r="AC6074">
        <v>14.2000999999999</v>
      </c>
      <c r="AD6074">
        <v>-1.11050143355199</v>
      </c>
      <c r="AE6074">
        <v>3.3669999999993601E-2</v>
      </c>
      <c r="AF6074">
        <v>-0.554729429458379</v>
      </c>
      <c r="AG6074">
        <v>-1.11050143355199</v>
      </c>
      <c r="AH6074">
        <v>14.102916904451</v>
      </c>
      <c r="AI6074">
        <v>94.498868306890401</v>
      </c>
      <c r="AJ6074">
        <v>92.252532485132505</v>
      </c>
      <c r="AK6074">
        <v>14.1574433916466</v>
      </c>
      <c r="AL6074">
        <v>90.858976686599505</v>
      </c>
      <c r="AM6074">
        <v>88.250225405965494</v>
      </c>
      <c r="AN6074">
        <v>1.0000000141360299</v>
      </c>
    </row>
    <row r="6075" spans="1:40" x14ac:dyDescent="0.25">
      <c r="A6075" t="str">
        <f>"20190312161140578"</f>
        <v>20190312161140578</v>
      </c>
      <c r="B6075" t="str">
        <f>"1552378300573386"</f>
        <v>1552378300573386</v>
      </c>
      <c r="C6075" t="s">
        <v>40</v>
      </c>
      <c r="D6075">
        <v>5.7190139999999996</v>
      </c>
      <c r="E6075">
        <v>0.47532160000000001</v>
      </c>
      <c r="F6075" t="s">
        <v>108</v>
      </c>
      <c r="G6075">
        <v>-248.63310000000001</v>
      </c>
      <c r="H6075" s="1">
        <v>-3.4076659999999999E-6</v>
      </c>
      <c r="I6075">
        <v>-63.742109999999997</v>
      </c>
      <c r="J6075">
        <v>-262.83479999999997</v>
      </c>
      <c r="K6075">
        <v>1.1104959999999999</v>
      </c>
      <c r="L6075">
        <v>-63.761690000000002</v>
      </c>
      <c r="M6075">
        <v>0.99926159999999997</v>
      </c>
      <c r="N6075">
        <v>0</v>
      </c>
      <c r="O6075">
        <v>-3.648059E-2</v>
      </c>
      <c r="P6075">
        <v>0.99740220000000002</v>
      </c>
      <c r="Q6075">
        <v>-2.707037E-2</v>
      </c>
      <c r="R6075">
        <v>-6.6755750000000003E-2</v>
      </c>
      <c r="S6075">
        <v>3.0018919999999998</v>
      </c>
      <c r="T6075">
        <v>-0.23336699999999999</v>
      </c>
      <c r="U6075">
        <v>3.5705569999999998E-3</v>
      </c>
      <c r="V6075">
        <v>3.0336209999999999E-2</v>
      </c>
      <c r="W6075">
        <v>-1.4986090000000001E-2</v>
      </c>
      <c r="X6075">
        <v>0.99942739999999997</v>
      </c>
      <c r="Y6075">
        <v>-3.7448830000000002E-2</v>
      </c>
      <c r="Z6075">
        <v>4.2849189999999999E-3</v>
      </c>
      <c r="AA6075">
        <v>0.99928930000000005</v>
      </c>
      <c r="AB6075">
        <v>16</v>
      </c>
      <c r="AC6075">
        <v>14.201699999999899</v>
      </c>
      <c r="AD6075">
        <v>-1.110499407666</v>
      </c>
      <c r="AE6075">
        <v>1.9580000000004798E-2</v>
      </c>
      <c r="AF6075">
        <v>-0.53442334636748901</v>
      </c>
      <c r="AG6075">
        <v>-1.110499407666</v>
      </c>
      <c r="AH6075">
        <v>14.1052854679041</v>
      </c>
      <c r="AI6075">
        <v>94.498357562449002</v>
      </c>
      <c r="AJ6075">
        <v>92.169793939917895</v>
      </c>
      <c r="AK6075">
        <v>14.1590216956765</v>
      </c>
      <c r="AL6075">
        <v>90.858671852495206</v>
      </c>
      <c r="AM6075">
        <v>88.261401189251998</v>
      </c>
      <c r="AN6075">
        <v>0.99999999820070595</v>
      </c>
    </row>
    <row r="6076" spans="1:40" x14ac:dyDescent="0.25">
      <c r="A6076" t="str">
        <f>"20190312161140590"</f>
        <v>20190312161140590</v>
      </c>
      <c r="B6076" t="str">
        <f>"1552378300583147"</f>
        <v>1552378300583147</v>
      </c>
      <c r="C6076" t="s">
        <v>40</v>
      </c>
      <c r="D6076">
        <v>5.7141060000000001</v>
      </c>
      <c r="E6076">
        <v>0.47555069999999999</v>
      </c>
      <c r="F6076" t="s">
        <v>108</v>
      </c>
      <c r="G6076">
        <v>-248.60300000000001</v>
      </c>
      <c r="H6076" s="1">
        <v>-3.3979169999999999E-6</v>
      </c>
      <c r="I6076">
        <v>-63.744700000000002</v>
      </c>
      <c r="J6076">
        <v>-262.75569999999999</v>
      </c>
      <c r="K6076">
        <v>1.11049</v>
      </c>
      <c r="L6076">
        <v>-63.764040000000001</v>
      </c>
      <c r="M6076">
        <v>0.99927730000000003</v>
      </c>
      <c r="N6076">
        <v>0</v>
      </c>
      <c r="O6076">
        <v>-3.6049079999999997E-2</v>
      </c>
      <c r="P6076">
        <v>0.99744849999999996</v>
      </c>
      <c r="Q6076">
        <v>-2.6826539999999999E-2</v>
      </c>
      <c r="R6076">
        <v>-6.6158529999999993E-2</v>
      </c>
      <c r="S6076">
        <v>3.001709</v>
      </c>
      <c r="T6076">
        <v>-0.23422280000000001</v>
      </c>
      <c r="U6076">
        <v>3.5705569999999998E-3</v>
      </c>
      <c r="V6076">
        <v>3.016887E-2</v>
      </c>
      <c r="W6076">
        <v>-1.4751749999999999E-2</v>
      </c>
      <c r="X6076">
        <v>0.99943599999999999</v>
      </c>
      <c r="Y6076">
        <v>-3.7018330000000002E-2</v>
      </c>
      <c r="Z6076">
        <v>4.2504700000000001E-3</v>
      </c>
      <c r="AA6076">
        <v>0.99930549999999996</v>
      </c>
      <c r="AB6076">
        <v>16</v>
      </c>
      <c r="AC6076">
        <v>14.152699999999999</v>
      </c>
      <c r="AD6076">
        <v>-1.110493397917</v>
      </c>
      <c r="AE6076">
        <v>1.9339999999999601E-2</v>
      </c>
      <c r="AF6076">
        <v>-0.52631591894132501</v>
      </c>
      <c r="AG6076">
        <v>-1.110493397917</v>
      </c>
      <c r="AH6076">
        <v>14.056261367727499</v>
      </c>
      <c r="AI6076">
        <v>94.5140326343504</v>
      </c>
      <c r="AJ6076">
        <v>92.144353962419203</v>
      </c>
      <c r="AK6076">
        <v>14.1098790806731</v>
      </c>
      <c r="AL6076">
        <v>90.845243634201495</v>
      </c>
      <c r="AM6076">
        <v>88.271000644996107</v>
      </c>
      <c r="AN6076">
        <v>1.0000000464705601</v>
      </c>
    </row>
    <row r="6077" spans="1:40" x14ac:dyDescent="0.25">
      <c r="A6077" t="str">
        <f>"20190312161140601"</f>
        <v>20190312161140601</v>
      </c>
      <c r="B6077" t="str">
        <f>"1552378300592907"</f>
        <v>1552378300592907</v>
      </c>
      <c r="C6077" t="s">
        <v>40</v>
      </c>
      <c r="D6077">
        <v>5.7179409999999997</v>
      </c>
      <c r="E6077">
        <v>0.475767</v>
      </c>
      <c r="F6077" t="s">
        <v>108</v>
      </c>
      <c r="G6077">
        <v>-248.50200000000001</v>
      </c>
      <c r="H6077" s="1">
        <v>-3.3639600000000001E-6</v>
      </c>
      <c r="I6077">
        <v>-63.747169999999997</v>
      </c>
      <c r="J6077">
        <v>-262.673</v>
      </c>
      <c r="K6077">
        <v>1.110487</v>
      </c>
      <c r="L6077">
        <v>-63.766509999999997</v>
      </c>
      <c r="M6077">
        <v>0.9992936</v>
      </c>
      <c r="N6077">
        <v>0</v>
      </c>
      <c r="O6077">
        <v>-3.559731E-2</v>
      </c>
      <c r="P6077">
        <v>0.99750680000000003</v>
      </c>
      <c r="Q6077">
        <v>-2.6734339999999999E-2</v>
      </c>
      <c r="R6077">
        <v>-6.5311629999999996E-2</v>
      </c>
      <c r="S6077">
        <v>3.001617</v>
      </c>
      <c r="T6077">
        <v>-0.23385359999999999</v>
      </c>
      <c r="U6077">
        <v>3.540039E-3</v>
      </c>
      <c r="V6077">
        <v>2.977194E-2</v>
      </c>
      <c r="W6077">
        <v>-1.466811E-2</v>
      </c>
      <c r="X6077">
        <v>0.99944909999999998</v>
      </c>
      <c r="Y6077">
        <v>-3.655986E-2</v>
      </c>
      <c r="Z6077">
        <v>4.190956E-3</v>
      </c>
      <c r="AA6077">
        <v>0.99932270000000001</v>
      </c>
      <c r="AB6077">
        <v>16</v>
      </c>
      <c r="AC6077">
        <v>14.1709999999999</v>
      </c>
      <c r="AD6077">
        <v>-1.1104903639599999</v>
      </c>
      <c r="AE6077">
        <v>1.9339999999999601E-2</v>
      </c>
      <c r="AF6077">
        <v>-0.52061680630121998</v>
      </c>
      <c r="AG6077">
        <v>-1.1104903639599999</v>
      </c>
      <c r="AH6077">
        <v>14.074897133891699</v>
      </c>
      <c r="AI6077">
        <v>94.508144081518395</v>
      </c>
      <c r="AJ6077">
        <v>92.118349615909295</v>
      </c>
      <c r="AK6077">
        <v>14.128232728727401</v>
      </c>
      <c r="AL6077">
        <v>90.840450925269394</v>
      </c>
      <c r="AM6077">
        <v>88.293757799559302</v>
      </c>
      <c r="AN6077">
        <v>1.00000001267657</v>
      </c>
    </row>
    <row r="6078" spans="1:40" x14ac:dyDescent="0.25">
      <c r="A6078" t="str">
        <f>"20190312161140625"</f>
        <v>20190312161140625</v>
      </c>
      <c r="B6078" t="str">
        <f>"1552378300613402"</f>
        <v>1552378300613402</v>
      </c>
      <c r="C6078" t="s">
        <v>40</v>
      </c>
      <c r="D6078">
        <v>5.6996260000000003</v>
      </c>
      <c r="E6078">
        <v>0.4759118</v>
      </c>
      <c r="F6078" t="s">
        <v>108</v>
      </c>
      <c r="G6078">
        <v>-248.44049999999999</v>
      </c>
      <c r="H6078" s="1">
        <v>-3.3427210000000001E-6</v>
      </c>
      <c r="I6078">
        <v>-63.745469999999997</v>
      </c>
      <c r="J6078">
        <v>-262.51209999999998</v>
      </c>
      <c r="K6078">
        <v>1.1104860000000001</v>
      </c>
      <c r="L6078">
        <v>-63.771149999999999</v>
      </c>
      <c r="M6078">
        <v>0.9993242</v>
      </c>
      <c r="N6078">
        <v>0</v>
      </c>
      <c r="O6078">
        <v>-3.471465E-2</v>
      </c>
      <c r="P6078">
        <v>0.99758809999999998</v>
      </c>
      <c r="Q6078">
        <v>-2.6872670000000001E-2</v>
      </c>
      <c r="R6078">
        <v>-6.4000039999999994E-2</v>
      </c>
      <c r="S6078">
        <v>3.0015260000000001</v>
      </c>
      <c r="T6078">
        <v>-0.2341926</v>
      </c>
      <c r="U6078">
        <v>4.4250490000000003E-3</v>
      </c>
      <c r="V6078">
        <v>2.9340669999999999E-2</v>
      </c>
      <c r="W6078">
        <v>-1.4775699999999999E-2</v>
      </c>
      <c r="X6078">
        <v>0.99946029999999997</v>
      </c>
      <c r="Y6078">
        <v>-3.5975699999999902E-2</v>
      </c>
      <c r="Z6078">
        <v>4.1056520000000004E-3</v>
      </c>
      <c r="AA6078">
        <v>0.99934420000000002</v>
      </c>
      <c r="AB6078">
        <v>16</v>
      </c>
      <c r="AC6078">
        <v>14.071599999999901</v>
      </c>
      <c r="AD6078">
        <v>-1.1104893427210001</v>
      </c>
      <c r="AE6078">
        <v>2.5680000000001198E-2</v>
      </c>
      <c r="AF6078">
        <v>-0.511008361234641</v>
      </c>
      <c r="AG6078">
        <v>-1.1104893427210001</v>
      </c>
      <c r="AH6078">
        <v>13.9751899412031</v>
      </c>
      <c r="AI6078">
        <v>94.540240012548594</v>
      </c>
      <c r="AJ6078">
        <v>92.094109932978995</v>
      </c>
      <c r="AK6078">
        <v>14.0285512444533</v>
      </c>
      <c r="AL6078">
        <v>90.846616019935098</v>
      </c>
      <c r="AM6078">
        <v>88.318478600004298</v>
      </c>
      <c r="AN6078">
        <v>1.0000000437513099</v>
      </c>
    </row>
    <row r="6079" spans="1:40" x14ac:dyDescent="0.25">
      <c r="A6079" t="str">
        <f>"20190312161140645"</f>
        <v>20190312161140645</v>
      </c>
      <c r="B6079" t="str">
        <f>"1552378300632923"</f>
        <v>1552378300632923</v>
      </c>
      <c r="C6079" t="s">
        <v>40</v>
      </c>
      <c r="D6079">
        <v>5.6876129999999998</v>
      </c>
      <c r="E6079">
        <v>0.47624440000000001</v>
      </c>
      <c r="F6079" t="s">
        <v>108</v>
      </c>
      <c r="G6079">
        <v>-248.29329999999999</v>
      </c>
      <c r="H6079" s="1">
        <v>-3.2911909999999999E-6</v>
      </c>
      <c r="I6079">
        <v>-63.737259999999999</v>
      </c>
      <c r="J6079">
        <v>-262.36810000000003</v>
      </c>
      <c r="K6079">
        <v>1.1107290000000001</v>
      </c>
      <c r="L6079">
        <v>-63.775239999999997</v>
      </c>
      <c r="M6079">
        <v>0.99933559999999999</v>
      </c>
      <c r="N6079">
        <v>0</v>
      </c>
      <c r="O6079">
        <v>-3.3996199999999997E-2</v>
      </c>
      <c r="P6079">
        <v>0.99760249999999995</v>
      </c>
      <c r="Q6079">
        <v>-2.814198E-2</v>
      </c>
      <c r="R6079">
        <v>-6.3226099999999993E-2</v>
      </c>
      <c r="S6079">
        <v>3.001404</v>
      </c>
      <c r="T6079">
        <v>-0.23441029999999999</v>
      </c>
      <c r="U6079">
        <v>7.1411130000000001E-3</v>
      </c>
      <c r="V6079">
        <v>2.928296E-2</v>
      </c>
      <c r="W6079">
        <v>-1.498828E-2</v>
      </c>
      <c r="X6079">
        <v>0.99945879999999998</v>
      </c>
      <c r="Y6079">
        <v>-3.6163290000000001E-2</v>
      </c>
      <c r="Z6079">
        <v>4.0609729999999998E-3</v>
      </c>
      <c r="AA6079">
        <v>0.99933760000000005</v>
      </c>
      <c r="AB6079">
        <v>16</v>
      </c>
      <c r="AC6079">
        <v>14.0748</v>
      </c>
      <c r="AD6079">
        <v>-1.110732291191</v>
      </c>
      <c r="AE6079">
        <v>3.7980000000004503E-2</v>
      </c>
      <c r="AF6079">
        <v>-0.51329240439822099</v>
      </c>
      <c r="AG6079">
        <v>-1.110732291191</v>
      </c>
      <c r="AH6079">
        <v>13.9783180703991</v>
      </c>
      <c r="AI6079">
        <v>94.5401914668779</v>
      </c>
      <c r="AJ6079">
        <v>92.102991243021407</v>
      </c>
      <c r="AK6079">
        <v>14.031770073385401</v>
      </c>
      <c r="AL6079">
        <v>90.858797328552697</v>
      </c>
      <c r="AM6079">
        <v>88.321781564615307</v>
      </c>
      <c r="AN6079">
        <v>1.00000001659057</v>
      </c>
    </row>
    <row r="6080" spans="1:40" x14ac:dyDescent="0.25">
      <c r="A6080" t="str">
        <f>"20190312161140656"</f>
        <v>20190312161140656</v>
      </c>
      <c r="B6080" t="str">
        <f>"1552378300643659"</f>
        <v>1552378300643659</v>
      </c>
      <c r="C6080" t="s">
        <v>40</v>
      </c>
      <c r="D6080">
        <v>5.7015520000000004</v>
      </c>
      <c r="E6080">
        <v>0.47639609999999899</v>
      </c>
      <c r="F6080" t="s">
        <v>108</v>
      </c>
      <c r="G6080">
        <v>-248.39570000000001</v>
      </c>
      <c r="H6080" s="1">
        <v>-3.3271739999999998E-6</v>
      </c>
      <c r="I6080">
        <v>-63.743630000000003</v>
      </c>
      <c r="J6080">
        <v>-262.29329999999999</v>
      </c>
      <c r="K6080">
        <v>1.1108929999999999</v>
      </c>
      <c r="L6080">
        <v>-63.77731</v>
      </c>
      <c r="M6080">
        <v>0.99933669999999997</v>
      </c>
      <c r="N6080">
        <v>0</v>
      </c>
      <c r="O6080">
        <v>-3.3641909999999997E-2</v>
      </c>
      <c r="P6080">
        <v>0.99760720000000003</v>
      </c>
      <c r="Q6080">
        <v>-2.9063789999999999E-2</v>
      </c>
      <c r="R6080">
        <v>-6.2731999999999996E-2</v>
      </c>
      <c r="S6080">
        <v>3.0009160000000001</v>
      </c>
      <c r="T6080">
        <v>-0.23855779999999999</v>
      </c>
      <c r="U6080">
        <v>6.7749019999999898E-3</v>
      </c>
      <c r="V6080">
        <v>2.9141839999999999E-2</v>
      </c>
      <c r="W6080">
        <v>-1.511404E-2</v>
      </c>
      <c r="X6080">
        <v>0.99946100000000004</v>
      </c>
      <c r="Y6080">
        <v>-3.5682730000000003E-2</v>
      </c>
      <c r="Z6080">
        <v>4.086119E-3</v>
      </c>
      <c r="AA6080">
        <v>0.99935479999999999</v>
      </c>
      <c r="AB6080">
        <v>15</v>
      </c>
      <c r="AC6080">
        <v>13.897599999999899</v>
      </c>
      <c r="AD6080">
        <v>-1.110896327174</v>
      </c>
      <c r="AE6080">
        <v>3.3679999999996803E-2</v>
      </c>
      <c r="AF6080">
        <v>-0.49806581063521699</v>
      </c>
      <c r="AG6080">
        <v>-1.110896327174</v>
      </c>
      <c r="AH6080">
        <v>13.8004211848304</v>
      </c>
      <c r="AI6080">
        <v>94.599249321253396</v>
      </c>
      <c r="AJ6080">
        <v>92.0669433202101</v>
      </c>
      <c r="AK6080">
        <v>13.8540169294024</v>
      </c>
      <c r="AL6080">
        <v>90.866003688649798</v>
      </c>
      <c r="AM6080">
        <v>88.329868292228099</v>
      </c>
      <c r="AN6080">
        <v>0.99999998578235305</v>
      </c>
    </row>
    <row r="6081" spans="1:40" x14ac:dyDescent="0.25">
      <c r="A6081" t="str">
        <f>"20190312161140668"</f>
        <v>20190312161140668</v>
      </c>
      <c r="B6081" t="str">
        <f>"1552378300663179"</f>
        <v>1552378300663179</v>
      </c>
      <c r="C6081" t="s">
        <v>40</v>
      </c>
      <c r="D6081">
        <v>5.641864</v>
      </c>
      <c r="E6081">
        <v>0.47647339999999999</v>
      </c>
      <c r="F6081" t="s">
        <v>108</v>
      </c>
      <c r="G6081">
        <v>-248.50409999999999</v>
      </c>
      <c r="H6081" s="1">
        <v>-3.3642590000000001E-6</v>
      </c>
      <c r="I6081">
        <v>-63.744720000000001</v>
      </c>
      <c r="J6081">
        <v>-262.2199</v>
      </c>
      <c r="K6081">
        <v>1.111051</v>
      </c>
      <c r="L6081">
        <v>-63.779359999999997</v>
      </c>
      <c r="M6081">
        <v>0.99933620000000001</v>
      </c>
      <c r="N6081">
        <v>0</v>
      </c>
      <c r="O6081">
        <v>-3.3302099999999897E-2</v>
      </c>
      <c r="P6081">
        <v>0.99757899999999999</v>
      </c>
      <c r="Q6081">
        <v>-2.9877239999999999E-2</v>
      </c>
      <c r="R6081">
        <v>-6.2798240000000005E-2</v>
      </c>
      <c r="S6081">
        <v>3.00061</v>
      </c>
      <c r="T6081">
        <v>-0.24173749999999999</v>
      </c>
      <c r="U6081">
        <v>7.0800780000000001E-3</v>
      </c>
      <c r="V6081">
        <v>2.9547090000000002E-2</v>
      </c>
      <c r="W6081">
        <v>-1.510563E-2</v>
      </c>
      <c r="X6081">
        <v>0.99944929999999998</v>
      </c>
      <c r="Y6081">
        <v>-3.5441159999999999E-2</v>
      </c>
      <c r="Z6081">
        <v>4.1038200000000002E-3</v>
      </c>
      <c r="AA6081">
        <v>0.99936340000000001</v>
      </c>
      <c r="AB6081">
        <v>15</v>
      </c>
      <c r="AC6081">
        <v>13.7158</v>
      </c>
      <c r="AD6081">
        <v>-1.1110543642590001</v>
      </c>
      <c r="AE6081">
        <v>3.4640000000003099E-2</v>
      </c>
      <c r="AF6081">
        <v>-0.48823185162706401</v>
      </c>
      <c r="AG6081">
        <v>-1.1110543642590001</v>
      </c>
      <c r="AH6081">
        <v>13.617679882188</v>
      </c>
      <c r="AI6081">
        <v>94.661398210113305</v>
      </c>
      <c r="AJ6081">
        <v>92.053334196582696</v>
      </c>
      <c r="AK6081">
        <v>13.6716501387005</v>
      </c>
      <c r="AL6081">
        <v>90.865521714539398</v>
      </c>
      <c r="AM6081">
        <v>88.306636853594</v>
      </c>
      <c r="AN6081">
        <v>1.00000005692782</v>
      </c>
    </row>
    <row r="6082" spans="1:40" x14ac:dyDescent="0.25">
      <c r="A6082" t="str">
        <f>"20190312161140679"</f>
        <v>20190312161140679</v>
      </c>
      <c r="B6082" t="str">
        <f>"1552378300672939"</f>
        <v>1552378300672939</v>
      </c>
      <c r="C6082" t="s">
        <v>40</v>
      </c>
      <c r="D6082">
        <v>5.7056779999999998</v>
      </c>
      <c r="E6082">
        <v>0.47702660000000002</v>
      </c>
      <c r="F6082" t="s">
        <v>108</v>
      </c>
      <c r="G6082">
        <v>-248.46899999999999</v>
      </c>
      <c r="H6082" s="1">
        <v>-3.353388E-6</v>
      </c>
      <c r="I6082">
        <v>-63.750770000000003</v>
      </c>
      <c r="J6082">
        <v>-262.14490000000001</v>
      </c>
      <c r="K6082">
        <v>1.1112139999999999</v>
      </c>
      <c r="L6082">
        <v>-63.78143</v>
      </c>
      <c r="M6082">
        <v>0.99933340000000004</v>
      </c>
      <c r="N6082">
        <v>0</v>
      </c>
      <c r="O6082">
        <v>-3.2969779999999997E-2</v>
      </c>
      <c r="P6082">
        <v>0.99755769999999999</v>
      </c>
      <c r="Q6082">
        <v>-3.0849890000000001E-2</v>
      </c>
      <c r="R6082">
        <v>-6.2665970000000001E-2</v>
      </c>
      <c r="S6082">
        <v>3.0004270000000002</v>
      </c>
      <c r="T6082">
        <v>-0.24243100000000001</v>
      </c>
      <c r="U6082">
        <v>6.225586E-3</v>
      </c>
      <c r="V6082">
        <v>2.9746410000000001E-2</v>
      </c>
      <c r="W6082">
        <v>-1.516636E-2</v>
      </c>
      <c r="X6082">
        <v>0.99944239999999995</v>
      </c>
      <c r="Y6082">
        <v>-3.4826599999999999E-2</v>
      </c>
      <c r="Z6082">
        <v>4.0642550000000001E-3</v>
      </c>
      <c r="AA6082">
        <v>0.99938510000000003</v>
      </c>
      <c r="AB6082">
        <v>15</v>
      </c>
      <c r="AC6082">
        <v>13.675899999999899</v>
      </c>
      <c r="AD6082">
        <v>-1.1112173533880001</v>
      </c>
      <c r="AE6082">
        <v>3.0660000000011602E-2</v>
      </c>
      <c r="AF6082">
        <v>-0.47843148872567598</v>
      </c>
      <c r="AG6082">
        <v>-1.1112173533880001</v>
      </c>
      <c r="AH6082">
        <v>13.577809824173</v>
      </c>
      <c r="AI6082">
        <v>94.675810072216095</v>
      </c>
      <c r="AJ6082">
        <v>92.018055118986098</v>
      </c>
      <c r="AK6082">
        <v>13.6316037324037</v>
      </c>
      <c r="AL6082">
        <v>90.869001744585304</v>
      </c>
      <c r="AM6082">
        <v>88.295208649007705</v>
      </c>
      <c r="AN6082">
        <v>0.99999998915064803</v>
      </c>
    </row>
    <row r="6083" spans="1:40" x14ac:dyDescent="0.25">
      <c r="A6083" t="str">
        <f>"20190312161140690"</f>
        <v>20190312161140690</v>
      </c>
      <c r="B6083" t="str">
        <f>"1552378300683675"</f>
        <v>1552378300683675</v>
      </c>
      <c r="C6083" t="s">
        <v>40</v>
      </c>
      <c r="D6083">
        <v>5.6976459999999998</v>
      </c>
      <c r="E6083">
        <v>0.47717349999999997</v>
      </c>
      <c r="F6083" t="s">
        <v>108</v>
      </c>
      <c r="G6083">
        <v>-248.61859999999999</v>
      </c>
      <c r="H6083" s="1">
        <v>-3.4079410000000001E-6</v>
      </c>
      <c r="I6083">
        <v>-63.771470000000001</v>
      </c>
      <c r="J6083">
        <v>-262.07330000000002</v>
      </c>
      <c r="K6083">
        <v>1.111364</v>
      </c>
      <c r="L6083">
        <v>-63.7834199999999</v>
      </c>
      <c r="M6083">
        <v>0.99932869999999996</v>
      </c>
      <c r="N6083">
        <v>0</v>
      </c>
      <c r="O6083">
        <v>-3.2673050000000002E-2</v>
      </c>
      <c r="P6083">
        <v>0.99755749999999999</v>
      </c>
      <c r="Q6083">
        <v>-3.1894239999999997E-2</v>
      </c>
      <c r="R6083">
        <v>-6.2143219999999999E-2</v>
      </c>
      <c r="S6083">
        <v>2.9998469999999999</v>
      </c>
      <c r="T6083">
        <v>-0.24644369999999999</v>
      </c>
      <c r="U6083">
        <v>2.1972659999999998E-3</v>
      </c>
      <c r="V6083">
        <v>2.9519259999999999E-2</v>
      </c>
      <c r="W6083">
        <v>-1.531622E-2</v>
      </c>
      <c r="X6083">
        <v>0.99944690000000003</v>
      </c>
      <c r="Y6083">
        <v>-3.318774E-2</v>
      </c>
      <c r="Z6083">
        <v>4.040592E-3</v>
      </c>
      <c r="AA6083">
        <v>0.99944100000000002</v>
      </c>
      <c r="AB6083">
        <v>15</v>
      </c>
      <c r="AC6083">
        <v>13.454700000000001</v>
      </c>
      <c r="AD6083">
        <v>-1.1113674079410001</v>
      </c>
      <c r="AE6083">
        <v>1.19499999999987E-2</v>
      </c>
      <c r="AF6083">
        <v>-0.44854968387098298</v>
      </c>
      <c r="AG6083">
        <v>-1.1113674079410001</v>
      </c>
      <c r="AH6083">
        <v>13.3559977739123</v>
      </c>
      <c r="AI6083">
        <v>94.754019103993102</v>
      </c>
      <c r="AJ6083">
        <v>91.923506462006301</v>
      </c>
      <c r="AK6083">
        <v>13.409661102022101</v>
      </c>
      <c r="AL6083">
        <v>90.877589043380496</v>
      </c>
      <c r="AM6083">
        <v>88.308226821746103</v>
      </c>
      <c r="AN6083">
        <v>1.0000000396128199</v>
      </c>
    </row>
    <row r="6084" spans="1:40" x14ac:dyDescent="0.25">
      <c r="A6084" t="str">
        <f>"20190312161140701"</f>
        <v>20190312161140701</v>
      </c>
      <c r="B6084" t="str">
        <f>"1552378300693435"</f>
        <v>1552378300693435</v>
      </c>
      <c r="C6084" t="s">
        <v>40</v>
      </c>
      <c r="D6084">
        <v>5.6378459999999997</v>
      </c>
      <c r="E6084">
        <v>0.47749249999999999</v>
      </c>
      <c r="F6084" t="s">
        <v>108</v>
      </c>
      <c r="G6084">
        <v>-248.7441</v>
      </c>
      <c r="H6084" s="1">
        <v>-3.450681E-6</v>
      </c>
      <c r="I6084">
        <v>-63.771560000000001</v>
      </c>
      <c r="J6084">
        <v>-262.00170000000003</v>
      </c>
      <c r="K6084">
        <v>1.1115090000000001</v>
      </c>
      <c r="L6084">
        <v>-63.785429999999998</v>
      </c>
      <c r="M6084">
        <v>0.9993223</v>
      </c>
      <c r="N6084">
        <v>0</v>
      </c>
      <c r="O6084">
        <v>-3.2390049999999997E-2</v>
      </c>
      <c r="P6084">
        <v>0.99756140000000004</v>
      </c>
      <c r="Q6084">
        <v>-3.2414440000000003E-2</v>
      </c>
      <c r="R6084">
        <v>-6.1810329999999997E-2</v>
      </c>
      <c r="S6084">
        <v>2.9994809999999998</v>
      </c>
      <c r="T6084">
        <v>-0.25009189999999998</v>
      </c>
      <c r="U6084">
        <v>2.6550290000000002E-3</v>
      </c>
      <c r="V6084">
        <v>2.9468000000000001E-2</v>
      </c>
      <c r="W6084">
        <v>-1.4923860000000001E-2</v>
      </c>
      <c r="X6084">
        <v>0.99945430000000002</v>
      </c>
      <c r="Y6084">
        <v>-3.3052619999999998E-2</v>
      </c>
      <c r="Z6084">
        <v>4.0715700000000001E-3</v>
      </c>
      <c r="AA6084">
        <v>0.99944529999999998</v>
      </c>
      <c r="AB6084">
        <v>15</v>
      </c>
      <c r="AC6084">
        <v>13.2576</v>
      </c>
      <c r="AD6084">
        <v>-1.1115124506809999</v>
      </c>
      <c r="AE6084">
        <v>1.38700000000042E-2</v>
      </c>
      <c r="AF6084">
        <v>-0.44024818623628498</v>
      </c>
      <c r="AG6084">
        <v>-1.1115124506809999</v>
      </c>
      <c r="AH6084">
        <v>13.157705811021801</v>
      </c>
      <c r="AI6084">
        <v>94.825975146810705</v>
      </c>
      <c r="AJ6084">
        <v>91.916364187351803</v>
      </c>
      <c r="AK6084">
        <v>13.2119075308185</v>
      </c>
      <c r="AL6084">
        <v>90.855105943328596</v>
      </c>
      <c r="AM6084">
        <v>88.311175368901999</v>
      </c>
      <c r="AN6084">
        <v>0.99999999120489402</v>
      </c>
    </row>
    <row r="6085" spans="1:40" x14ac:dyDescent="0.25">
      <c r="A6085" t="str">
        <f>"20190312161140724"</f>
        <v>20190312161140724</v>
      </c>
      <c r="B6085" t="str">
        <f>"1552378300712955"</f>
        <v>1552378300712955</v>
      </c>
      <c r="C6085" t="s">
        <v>40</v>
      </c>
      <c r="D6085">
        <v>5.6986650000000001</v>
      </c>
      <c r="E6085">
        <v>0.47760269999999999</v>
      </c>
      <c r="F6085" t="s">
        <v>108</v>
      </c>
      <c r="G6085">
        <v>-248.7921</v>
      </c>
      <c r="H6085" s="1">
        <v>-3.4685649999999998E-6</v>
      </c>
      <c r="I6085">
        <v>-63.7804</v>
      </c>
      <c r="J6085">
        <v>-261.86160000000001</v>
      </c>
      <c r="K6085">
        <v>1.1117649999999999</v>
      </c>
      <c r="L6085">
        <v>-63.789250000000003</v>
      </c>
      <c r="M6085">
        <v>0.99930549999999996</v>
      </c>
      <c r="N6085">
        <v>0</v>
      </c>
      <c r="O6085">
        <v>-3.1868090000000002E-2</v>
      </c>
      <c r="P6085">
        <v>0.997533</v>
      </c>
      <c r="Q6085">
        <v>-3.4441340000000001E-2</v>
      </c>
      <c r="R6085">
        <v>-6.1170009999999997E-2</v>
      </c>
      <c r="S6085">
        <v>2.9992070000000002</v>
      </c>
      <c r="T6085">
        <v>-0.25236500000000001</v>
      </c>
      <c r="U6085">
        <v>1.12915E-3</v>
      </c>
      <c r="V6085">
        <v>2.934873E-2</v>
      </c>
      <c r="W6085">
        <v>-1.5132039999999999E-2</v>
      </c>
      <c r="X6085">
        <v>0.99945470000000003</v>
      </c>
      <c r="Y6085">
        <v>-3.2024549999999999E-2</v>
      </c>
      <c r="Z6085">
        <v>4.0218989999999998E-3</v>
      </c>
      <c r="AA6085">
        <v>0.99947900000000001</v>
      </c>
      <c r="AB6085">
        <v>14</v>
      </c>
      <c r="AC6085">
        <v>13.0695</v>
      </c>
      <c r="AD6085">
        <v>-1.111768468565</v>
      </c>
      <c r="AE6085">
        <v>8.8500000000024601E-3</v>
      </c>
      <c r="AF6085">
        <v>-0.42236686145399799</v>
      </c>
      <c r="AG6085">
        <v>-1.111768468565</v>
      </c>
      <c r="AH6085">
        <v>12.9687328775039</v>
      </c>
      <c r="AI6085">
        <v>94.8972225590948</v>
      </c>
      <c r="AJ6085">
        <v>91.865354783549407</v>
      </c>
      <c r="AK6085">
        <v>13.023150745553099</v>
      </c>
      <c r="AL6085">
        <v>90.867035107944105</v>
      </c>
      <c r="AM6085">
        <v>88.318007525786797</v>
      </c>
      <c r="AN6085">
        <v>1.00000001196963</v>
      </c>
    </row>
    <row r="6086" spans="1:40" x14ac:dyDescent="0.25">
      <c r="A6086" t="str">
        <f>"20190312161140734"</f>
        <v>20190312161140734</v>
      </c>
      <c r="B6086" t="str">
        <f>"1552378300723691"</f>
        <v>1552378300723691</v>
      </c>
      <c r="C6086" t="s">
        <v>40</v>
      </c>
      <c r="D6086">
        <v>5.7835839999999896</v>
      </c>
      <c r="E6086">
        <v>0.47766199999999998</v>
      </c>
      <c r="F6086" t="s">
        <v>108</v>
      </c>
      <c r="G6086">
        <v>-248.97460000000001</v>
      </c>
      <c r="H6086" s="1">
        <v>-3.5305649999999998E-6</v>
      </c>
      <c r="I6086">
        <v>-63.779739999999997</v>
      </c>
      <c r="J6086">
        <v>-261.79660000000001</v>
      </c>
      <c r="K6086">
        <v>1.111869</v>
      </c>
      <c r="L6086">
        <v>-63.790990000000001</v>
      </c>
      <c r="M6086">
        <v>0.99929699999999999</v>
      </c>
      <c r="N6086">
        <v>0</v>
      </c>
      <c r="O6086">
        <v>-3.1619420000000002E-2</v>
      </c>
      <c r="P6086">
        <v>0.99751630000000002</v>
      </c>
      <c r="Q6086">
        <v>-3.533232E-2</v>
      </c>
      <c r="R6086">
        <v>-6.0932449999999999E-2</v>
      </c>
      <c r="S6086">
        <v>2.9986570000000001</v>
      </c>
      <c r="T6086">
        <v>-0.25869599999999998</v>
      </c>
      <c r="U6086">
        <v>2.1972659999999998E-3</v>
      </c>
      <c r="V6086">
        <v>2.9359759999999999E-2</v>
      </c>
      <c r="W6086">
        <v>-1.5189899999999999E-2</v>
      </c>
      <c r="X6086">
        <v>0.99945349999999999</v>
      </c>
      <c r="Y6086">
        <v>-3.2121459999999998E-2</v>
      </c>
      <c r="Z6086">
        <v>4.105989E-3</v>
      </c>
      <c r="AA6086">
        <v>0.99947549999999996</v>
      </c>
      <c r="AB6086">
        <v>14</v>
      </c>
      <c r="AC6086">
        <v>12.821999999999999</v>
      </c>
      <c r="AD6086">
        <v>-1.1118725305649999</v>
      </c>
      <c r="AE6086">
        <v>1.1249999999996801E-2</v>
      </c>
      <c r="AF6086">
        <v>-0.413640410083358</v>
      </c>
      <c r="AG6086">
        <v>-1.1118725305649999</v>
      </c>
      <c r="AH6086">
        <v>12.7195834398155</v>
      </c>
      <c r="AI6086">
        <v>94.993141173594395</v>
      </c>
      <c r="AJ6086">
        <v>91.862600341109996</v>
      </c>
      <c r="AK6086">
        <v>12.7747861741599</v>
      </c>
      <c r="AL6086">
        <v>90.870350621340407</v>
      </c>
      <c r="AM6086">
        <v>88.317373734418894</v>
      </c>
      <c r="AN6086">
        <v>1.0000000136157501</v>
      </c>
    </row>
    <row r="6087" spans="1:40" x14ac:dyDescent="0.25">
      <c r="A6087" t="str">
        <f>"20190312161140768"</f>
        <v>20190312161140768</v>
      </c>
      <c r="B6087" t="str">
        <f>"1552378300763709"</f>
        <v>1552378300763709</v>
      </c>
      <c r="C6087" t="s">
        <v>40</v>
      </c>
      <c r="D6087">
        <v>5.6371379999999904</v>
      </c>
      <c r="E6087">
        <v>0.47789700000000002</v>
      </c>
      <c r="F6087" t="s">
        <v>108</v>
      </c>
      <c r="G6087">
        <v>-249.10059999999999</v>
      </c>
      <c r="H6087" s="1">
        <v>-3.5735499999999999E-6</v>
      </c>
      <c r="I6087">
        <v>-63.780200000000001</v>
      </c>
      <c r="J6087">
        <v>-261.59550000000002</v>
      </c>
      <c r="K6087">
        <v>1.11205</v>
      </c>
      <c r="L6087">
        <v>-63.796259999999997</v>
      </c>
      <c r="M6087">
        <v>0.99928519999999998</v>
      </c>
      <c r="N6087">
        <v>0</v>
      </c>
      <c r="O6087">
        <v>-3.0685190000000001E-2</v>
      </c>
      <c r="P6087">
        <v>0.99748159999999997</v>
      </c>
      <c r="Q6087">
        <v>-3.7260719999999997E-2</v>
      </c>
      <c r="R6087">
        <v>-6.0354390000000001E-2</v>
      </c>
      <c r="S6087">
        <v>2.9983219999999999</v>
      </c>
      <c r="T6087">
        <v>-0.2625844</v>
      </c>
      <c r="U6087">
        <v>2.532959E-3</v>
      </c>
      <c r="V6087">
        <v>2.9716599999999999E-2</v>
      </c>
      <c r="W6087">
        <v>-1.5176210000000001E-2</v>
      </c>
      <c r="X6087">
        <v>0.99944319999999998</v>
      </c>
      <c r="Y6087">
        <v>-3.1299800000000003E-2</v>
      </c>
      <c r="Z6087">
        <v>4.0504900000000003E-3</v>
      </c>
      <c r="AA6087">
        <v>0.9995018</v>
      </c>
      <c r="AB6087">
        <v>13</v>
      </c>
      <c r="AC6087">
        <v>12.494899999999999</v>
      </c>
      <c r="AD6087">
        <v>-1.1120535735499999</v>
      </c>
      <c r="AE6087">
        <v>1.60599999999959E-2</v>
      </c>
      <c r="AF6087">
        <v>-0.39641427125102602</v>
      </c>
      <c r="AG6087">
        <v>-1.1120535735499999</v>
      </c>
      <c r="AH6087">
        <v>12.3903750227309</v>
      </c>
      <c r="AI6087">
        <v>95.126026434671303</v>
      </c>
      <c r="AJ6087">
        <v>91.832480435612695</v>
      </c>
      <c r="AK6087">
        <v>12.4464935073623</v>
      </c>
      <c r="AL6087">
        <v>90.869566118458195</v>
      </c>
      <c r="AM6087">
        <v>88.296917440535495</v>
      </c>
      <c r="AN6087">
        <v>1.00000005184588</v>
      </c>
    </row>
    <row r="6088" spans="1:40" x14ac:dyDescent="0.25">
      <c r="A6088" t="str">
        <f>"20190312161140780"</f>
        <v>20190312161140780</v>
      </c>
      <c r="B6088" t="str">
        <f>"1552378300773467"</f>
        <v>1552378300773467</v>
      </c>
      <c r="C6088" t="s">
        <v>40</v>
      </c>
      <c r="D6088">
        <v>5.6707999999999998</v>
      </c>
      <c r="E6088">
        <v>0.44770690000000002</v>
      </c>
      <c r="F6088" t="s">
        <v>108</v>
      </c>
      <c r="G6088">
        <v>-249.03229999999999</v>
      </c>
      <c r="H6088" s="1">
        <v>-3.5513659999999999E-6</v>
      </c>
      <c r="I6088">
        <v>-63.786349999999999</v>
      </c>
      <c r="J6088">
        <v>-261.52620000000002</v>
      </c>
      <c r="K6088">
        <v>1.1119760000000001</v>
      </c>
      <c r="L6088">
        <v>-63.798000000000002</v>
      </c>
      <c r="M6088">
        <v>0.99929650000000003</v>
      </c>
      <c r="N6088">
        <v>0</v>
      </c>
      <c r="O6088">
        <v>-3.0263760000000001E-2</v>
      </c>
      <c r="P6088">
        <v>0.99749829999999995</v>
      </c>
      <c r="Q6088">
        <v>-3.7157320000000001E-2</v>
      </c>
      <c r="R6088">
        <v>-6.0137929999999999E-2</v>
      </c>
      <c r="S6088">
        <v>2.9978639999999999</v>
      </c>
      <c r="T6088">
        <v>-0.26535989999999998</v>
      </c>
      <c r="U6088">
        <v>2.3498540000000002E-3</v>
      </c>
      <c r="V6088">
        <v>2.9922379999999998E-2</v>
      </c>
      <c r="W6088">
        <v>-1.500775E-2</v>
      </c>
      <c r="X6088">
        <v>0.99943950000000004</v>
      </c>
      <c r="Y6088">
        <v>-3.0815840000000001E-2</v>
      </c>
      <c r="Z6088">
        <v>4.0351579999999996E-3</v>
      </c>
      <c r="AA6088">
        <v>0.99951690000000004</v>
      </c>
      <c r="AB6088">
        <v>13</v>
      </c>
      <c r="AC6088">
        <v>12.4939</v>
      </c>
      <c r="AD6088">
        <v>-1.111979551366</v>
      </c>
      <c r="AE6088">
        <v>1.1650000000003E-2</v>
      </c>
      <c r="AF6088">
        <v>-0.386785986267006</v>
      </c>
      <c r="AG6088">
        <v>-1.111979551366</v>
      </c>
      <c r="AH6088">
        <v>12.3896791427435</v>
      </c>
      <c r="AI6088">
        <v>95.126098221539607</v>
      </c>
      <c r="AJ6088">
        <v>91.788101950573207</v>
      </c>
      <c r="AK6088">
        <v>12.4454911989025</v>
      </c>
      <c r="AL6088">
        <v>90.859913062030401</v>
      </c>
      <c r="AM6088">
        <v>88.285124693948106</v>
      </c>
      <c r="AN6088">
        <v>0.99999994777258705</v>
      </c>
    </row>
    <row r="6089" spans="1:40" x14ac:dyDescent="0.25">
      <c r="A6089" t="str">
        <f>"20190312161140791"</f>
        <v>20190312161140791</v>
      </c>
      <c r="B6089" t="str">
        <f>"1552378300783227"</f>
        <v>1552378300783227</v>
      </c>
      <c r="C6089" t="s">
        <v>40</v>
      </c>
      <c r="D6089">
        <v>5.6408480000000001</v>
      </c>
      <c r="E6089">
        <v>0.44830360000000002</v>
      </c>
      <c r="F6089" t="s">
        <v>107</v>
      </c>
      <c r="G6089">
        <v>-236.71340000000001</v>
      </c>
      <c r="H6089" s="1">
        <v>-2.2560620000000001E-6</v>
      </c>
      <c r="I6089">
        <v>-61.845190000000002</v>
      </c>
      <c r="J6089">
        <v>-261.46050000000002</v>
      </c>
      <c r="K6089">
        <v>1.1118399999999999</v>
      </c>
      <c r="L6089">
        <v>-63.799590000000002</v>
      </c>
      <c r="M6089">
        <v>0.99931559999999997</v>
      </c>
      <c r="N6089">
        <v>0</v>
      </c>
      <c r="O6089">
        <v>-2.9858289999999999E-2</v>
      </c>
      <c r="P6089">
        <v>0.99752459999999998</v>
      </c>
      <c r="Q6089">
        <v>-3.6937690000000002E-2</v>
      </c>
      <c r="R6089">
        <v>-5.9838349999999998E-2</v>
      </c>
      <c r="S6089">
        <v>3.0168759999999999</v>
      </c>
      <c r="T6089">
        <v>-0.1352003</v>
      </c>
      <c r="U6089">
        <v>0.23742679999999999</v>
      </c>
      <c r="V6089">
        <v>3.002954E-2</v>
      </c>
      <c r="W6089">
        <v>-1.509598E-2</v>
      </c>
      <c r="X6089">
        <v>0.99943499999999996</v>
      </c>
      <c r="Y6089">
        <v>-0.10805770000000001</v>
      </c>
      <c r="Z6089">
        <v>3.7522570000000002E-3</v>
      </c>
      <c r="AA6089">
        <v>0.99413750000000001</v>
      </c>
      <c r="AB6089">
        <v>13</v>
      </c>
      <c r="AC6089">
        <v>24.7471</v>
      </c>
      <c r="AD6089">
        <v>-1.111842256062</v>
      </c>
      <c r="AE6089">
        <v>1.9543999999999999</v>
      </c>
      <c r="AF6089">
        <v>-2.6872198672827001</v>
      </c>
      <c r="AG6089">
        <v>-1.111842256062</v>
      </c>
      <c r="AH6089">
        <v>24.628286997340702</v>
      </c>
      <c r="AI6089">
        <v>92.569628651053094</v>
      </c>
      <c r="AJ6089">
        <v>96.226973188191096</v>
      </c>
      <c r="AK6089">
        <v>24.799392416768299</v>
      </c>
      <c r="AL6089">
        <v>90.864968804662098</v>
      </c>
      <c r="AM6089">
        <v>88.278979211950102</v>
      </c>
      <c r="AN6089">
        <v>0.99999999055488598</v>
      </c>
    </row>
    <row r="6090" spans="1:40" x14ac:dyDescent="0.25">
      <c r="A6090" t="str">
        <f>"20190312161140802"</f>
        <v>20190312161140802</v>
      </c>
      <c r="B6090" t="str">
        <f>"1552378300792987"</f>
        <v>1552378300792987</v>
      </c>
      <c r="C6090" t="s">
        <v>40</v>
      </c>
      <c r="D6090">
        <v>5.6170749999999998</v>
      </c>
      <c r="E6090">
        <v>0.44840849999999999</v>
      </c>
      <c r="F6090" t="s">
        <v>108</v>
      </c>
      <c r="G6090">
        <v>-240.78870000000001</v>
      </c>
      <c r="H6090" s="1">
        <v>1.9412690000000001E-7</v>
      </c>
      <c r="I6090">
        <v>-62.189120000000003</v>
      </c>
      <c r="J6090">
        <v>-261.3895</v>
      </c>
      <c r="K6090">
        <v>1.11165</v>
      </c>
      <c r="L6090">
        <v>-63.80124</v>
      </c>
      <c r="M6090">
        <v>0.99934020000000001</v>
      </c>
      <c r="N6090">
        <v>0</v>
      </c>
      <c r="O6090">
        <v>-2.941734E-2</v>
      </c>
      <c r="P6090">
        <v>0.99756500000000004</v>
      </c>
      <c r="Q6090">
        <v>-3.6165599999999999E-2</v>
      </c>
      <c r="R6090">
        <v>-5.963632E-2</v>
      </c>
      <c r="S6090">
        <v>3.0155639999999999</v>
      </c>
      <c r="T6090">
        <v>-0.16219310000000001</v>
      </c>
      <c r="U6090">
        <v>0.2349243</v>
      </c>
      <c r="V6090">
        <v>3.0269219999999999E-2</v>
      </c>
      <c r="W6090">
        <v>-1.4852809999999999E-2</v>
      </c>
      <c r="X6090">
        <v>0.99943139999999997</v>
      </c>
      <c r="Y6090">
        <v>-0.10677440000000001</v>
      </c>
      <c r="Z6090">
        <v>4.4443720000000003E-3</v>
      </c>
      <c r="AA6090">
        <v>0.99427339999999997</v>
      </c>
      <c r="AB6090">
        <v>13</v>
      </c>
      <c r="AC6090">
        <v>20.6007999999999</v>
      </c>
      <c r="AD6090">
        <v>-1.1116498058730999</v>
      </c>
      <c r="AE6090">
        <v>1.61212</v>
      </c>
      <c r="AF6090">
        <v>-2.2111808500430201</v>
      </c>
      <c r="AG6090">
        <v>-1.1116498058730999</v>
      </c>
      <c r="AH6090">
        <v>20.4851587326656</v>
      </c>
      <c r="AI6090">
        <v>93.088268380147696</v>
      </c>
      <c r="AJ6090">
        <v>96.160689743843193</v>
      </c>
      <c r="AK6090">
        <v>20.6341177263532</v>
      </c>
      <c r="AL6090">
        <v>90.8510346385888</v>
      </c>
      <c r="AM6090">
        <v>88.265245044007202</v>
      </c>
      <c r="AN6090">
        <v>0.99999997747513203</v>
      </c>
    </row>
    <row r="6091" spans="1:40" x14ac:dyDescent="0.25">
      <c r="A6091" t="str">
        <f>"20190312161140815"</f>
        <v>20190312161140815</v>
      </c>
      <c r="B6091" t="str">
        <f>"1552378300803723"</f>
        <v>1552378300803723</v>
      </c>
      <c r="C6091" t="s">
        <v>40</v>
      </c>
      <c r="D6091">
        <v>5.5920389999999998</v>
      </c>
      <c r="E6091">
        <v>0.44836880000000001</v>
      </c>
      <c r="F6091" t="s">
        <v>108</v>
      </c>
      <c r="G6091">
        <v>-241.49950000000001</v>
      </c>
      <c r="H6091" s="1">
        <v>-1.2722730000000001E-7</v>
      </c>
      <c r="I6091">
        <v>-62.250709999999998</v>
      </c>
      <c r="J6091">
        <v>-261.31729999999999</v>
      </c>
      <c r="K6091">
        <v>1.1114630000000001</v>
      </c>
      <c r="L6091">
        <v>-63.80283</v>
      </c>
      <c r="M6091">
        <v>0.99936610000000003</v>
      </c>
      <c r="N6091">
        <v>0</v>
      </c>
      <c r="O6091">
        <v>-2.898539E-2</v>
      </c>
      <c r="P6091">
        <v>0.99763729999999995</v>
      </c>
      <c r="Q6091">
        <v>-3.5296139999999997E-2</v>
      </c>
      <c r="R6091">
        <v>-5.8942710000000002E-2</v>
      </c>
      <c r="S6091">
        <v>3.0152589999999999</v>
      </c>
      <c r="T6091">
        <v>-0.16852259999999999</v>
      </c>
      <c r="U6091">
        <v>0.23504639999999999</v>
      </c>
      <c r="V6091">
        <v>3.0007289999999999E-2</v>
      </c>
      <c r="W6091">
        <v>-1.460998E-2</v>
      </c>
      <c r="X6091">
        <v>0.99944290000000002</v>
      </c>
      <c r="Y6091">
        <v>-0.10637770000000001</v>
      </c>
      <c r="Z6091">
        <v>4.5828290000000001E-3</v>
      </c>
      <c r="AA6091">
        <v>0.99431519999999995</v>
      </c>
      <c r="AB6091">
        <v>13</v>
      </c>
      <c r="AC6091">
        <v>19.817799999999899</v>
      </c>
      <c r="AD6091">
        <v>-1.1114631272272999</v>
      </c>
      <c r="AE6091">
        <v>1.5521199999999999</v>
      </c>
      <c r="AF6091">
        <v>-2.1193912442362399</v>
      </c>
      <c r="AG6091">
        <v>-1.1114631272272999</v>
      </c>
      <c r="AH6091">
        <v>19.702875207689399</v>
      </c>
      <c r="AI6091">
        <v>93.2102226873033</v>
      </c>
      <c r="AJ6091">
        <v>96.139562963546396</v>
      </c>
      <c r="AK6091">
        <v>19.847681501352099</v>
      </c>
      <c r="AL6091">
        <v>90.837119975607195</v>
      </c>
      <c r="AM6091">
        <v>88.280267199468298</v>
      </c>
      <c r="AN6091">
        <v>0.99999999966457698</v>
      </c>
    </row>
    <row r="6092" spans="1:40" x14ac:dyDescent="0.25">
      <c r="A6092" t="str">
        <f>"20190312161140827"</f>
        <v>20190312161140827</v>
      </c>
      <c r="B6092" t="str">
        <f>"1552378300823245"</f>
        <v>1552378300823245</v>
      </c>
      <c r="C6092" t="s">
        <v>40</v>
      </c>
      <c r="D6092">
        <v>5.5969800000000003</v>
      </c>
      <c r="E6092">
        <v>0.44856940000000001</v>
      </c>
      <c r="F6092" t="s">
        <v>108</v>
      </c>
      <c r="G6092">
        <v>-241.87690000000001</v>
      </c>
      <c r="H6092" s="1">
        <v>-2.9424270000000002E-7</v>
      </c>
      <c r="I6092">
        <v>-62.2699199999999</v>
      </c>
      <c r="J6092">
        <v>-261.24369999999999</v>
      </c>
      <c r="K6092">
        <v>1.111286</v>
      </c>
      <c r="L6092">
        <v>-63.804409999999997</v>
      </c>
      <c r="M6092">
        <v>0.99939089999999997</v>
      </c>
      <c r="N6092">
        <v>0</v>
      </c>
      <c r="O6092">
        <v>-2.855092E-2</v>
      </c>
      <c r="P6092">
        <v>0.9976912</v>
      </c>
      <c r="Q6092">
        <v>-3.4517930000000002E-2</v>
      </c>
      <c r="R6092">
        <v>-5.8487659999999997E-2</v>
      </c>
      <c r="S6092">
        <v>3.0150450000000002</v>
      </c>
      <c r="T6092">
        <v>-0.172379</v>
      </c>
      <c r="U6092">
        <v>0.2377319</v>
      </c>
      <c r="V6092">
        <v>2.998642E-2</v>
      </c>
      <c r="W6092">
        <v>-1.443287E-2</v>
      </c>
      <c r="X6092">
        <v>0.9994461</v>
      </c>
      <c r="Y6092">
        <v>-0.106821</v>
      </c>
      <c r="Z6092">
        <v>4.6755349999999998E-3</v>
      </c>
      <c r="AA6092">
        <v>0.99426729999999997</v>
      </c>
      <c r="AB6092">
        <v>14</v>
      </c>
      <c r="AC6092">
        <v>19.366799999999898</v>
      </c>
      <c r="AD6092">
        <v>-1.1112862942427</v>
      </c>
      <c r="AE6092">
        <v>1.5344899999999999</v>
      </c>
      <c r="AF6092">
        <v>-2.0801093196916001</v>
      </c>
      <c r="AG6092">
        <v>-1.1112862942427</v>
      </c>
      <c r="AH6092">
        <v>19.252088259976102</v>
      </c>
      <c r="AI6092">
        <v>93.284538584961496</v>
      </c>
      <c r="AJ6092">
        <v>96.166652328644901</v>
      </c>
      <c r="AK6092">
        <v>19.395997380375899</v>
      </c>
      <c r="AL6092">
        <v>90.826971249737696</v>
      </c>
      <c r="AM6092">
        <v>88.281468051194395</v>
      </c>
      <c r="AN6092">
        <v>0.99999999996303102</v>
      </c>
    </row>
    <row r="6093" spans="1:40" x14ac:dyDescent="0.25">
      <c r="A6093" t="str">
        <f>"20190312161140839"</f>
        <v>20190312161140839</v>
      </c>
      <c r="B6093" t="str">
        <f>"1552378300833003"</f>
        <v>1552378300833003</v>
      </c>
      <c r="C6093" t="s">
        <v>40</v>
      </c>
      <c r="D6093">
        <v>5.5809089999999903</v>
      </c>
      <c r="E6093">
        <v>0.44872050000000002</v>
      </c>
      <c r="F6093" t="s">
        <v>108</v>
      </c>
      <c r="G6093">
        <v>-242.99199999999999</v>
      </c>
      <c r="H6093" s="1">
        <v>-7.9733569999999998E-7</v>
      </c>
      <c r="I6093">
        <v>-62.362960000000001</v>
      </c>
      <c r="J6093">
        <v>-261.16370000000001</v>
      </c>
      <c r="K6093">
        <v>1.1111519999999999</v>
      </c>
      <c r="L6093">
        <v>-63.806060000000002</v>
      </c>
      <c r="M6093">
        <v>0.99941369999999896</v>
      </c>
      <c r="N6093">
        <v>0</v>
      </c>
      <c r="O6093">
        <v>-2.809449E-2</v>
      </c>
      <c r="P6093">
        <v>0.99774399999999996</v>
      </c>
      <c r="Q6093">
        <v>-3.3680259999999997E-2</v>
      </c>
      <c r="R6093">
        <v>-5.8075740000000001E-2</v>
      </c>
      <c r="S6093">
        <v>3.0145569999999999</v>
      </c>
      <c r="T6093">
        <v>-0.1835463</v>
      </c>
      <c r="U6093">
        <v>0.23806759999999999</v>
      </c>
      <c r="V6093">
        <v>3.0029719999999999E-2</v>
      </c>
      <c r="W6093">
        <v>-1.4094570000000001E-2</v>
      </c>
      <c r="X6093">
        <v>0.99944960000000005</v>
      </c>
      <c r="Y6093">
        <v>-0.10646129999999999</v>
      </c>
      <c r="Z6093">
        <v>4.9399989999999996E-3</v>
      </c>
      <c r="AA6093">
        <v>0.99430459999999998</v>
      </c>
      <c r="AB6093">
        <v>14</v>
      </c>
      <c r="AC6093">
        <v>18.171699999999898</v>
      </c>
      <c r="AD6093">
        <v>-1.1111527973357</v>
      </c>
      <c r="AE6093">
        <v>1.4430999999999901</v>
      </c>
      <c r="AF6093">
        <v>-1.94592235443971</v>
      </c>
      <c r="AG6093">
        <v>-1.1111527973357</v>
      </c>
      <c r="AH6093">
        <v>18.056881739951201</v>
      </c>
      <c r="AI6093">
        <v>93.501106554880707</v>
      </c>
      <c r="AJ6093">
        <v>96.150813395137106</v>
      </c>
      <c r="AK6093">
        <v>18.1953909691196</v>
      </c>
      <c r="AL6093">
        <v>90.807586137959802</v>
      </c>
      <c r="AM6093">
        <v>88.2789940279593</v>
      </c>
      <c r="AN6093">
        <v>0.99999997196346102</v>
      </c>
    </row>
    <row r="6094" spans="1:40" x14ac:dyDescent="0.25">
      <c r="A6094" t="str">
        <f>"20190312161140851"</f>
        <v>20190312161140851</v>
      </c>
      <c r="B6094" t="str">
        <f>"1552378300843739"</f>
        <v>1552378300843739</v>
      </c>
      <c r="C6094" t="s">
        <v>40</v>
      </c>
      <c r="D6094">
        <v>5.5816809999999997</v>
      </c>
      <c r="E6094">
        <v>0.44876199999999999</v>
      </c>
      <c r="F6094" t="s">
        <v>108</v>
      </c>
      <c r="G6094">
        <v>-243.13130000000001</v>
      </c>
      <c r="H6094" s="1">
        <v>-8.6169669999999898E-7</v>
      </c>
      <c r="I6094">
        <v>-62.380189999999999</v>
      </c>
      <c r="J6094">
        <v>-261.09280000000001</v>
      </c>
      <c r="K6094">
        <v>1.1110629999999999</v>
      </c>
      <c r="L6094">
        <v>-63.807459999999999</v>
      </c>
      <c r="M6094">
        <v>0.99943150000000003</v>
      </c>
      <c r="N6094">
        <v>0</v>
      </c>
      <c r="O6094">
        <v>-2.768779E-2</v>
      </c>
      <c r="P6094">
        <v>0.99777899999999997</v>
      </c>
      <c r="Q6094">
        <v>-3.3622449999999998E-2</v>
      </c>
      <c r="R6094">
        <v>-5.7504609999999998E-2</v>
      </c>
      <c r="S6094">
        <v>3.0143430000000002</v>
      </c>
      <c r="T6094">
        <v>-0.18574299999999999</v>
      </c>
      <c r="U6094">
        <v>0.23834230000000001</v>
      </c>
      <c r="V6094">
        <v>2.9864499999999999E-2</v>
      </c>
      <c r="W6094">
        <v>-1.436891E-2</v>
      </c>
      <c r="X6094">
        <v>0.99945070000000003</v>
      </c>
      <c r="Y6094">
        <v>-0.10614750000000001</v>
      </c>
      <c r="Z6094">
        <v>4.9646789999999996E-3</v>
      </c>
      <c r="AA6094">
        <v>0.99433800000000006</v>
      </c>
      <c r="AB6094">
        <v>14</v>
      </c>
      <c r="AC6094">
        <v>17.961500000000001</v>
      </c>
      <c r="AD6094">
        <v>-1.1110638616966999</v>
      </c>
      <c r="AE6094">
        <v>1.42727</v>
      </c>
      <c r="AF6094">
        <v>-1.9168402779178</v>
      </c>
      <c r="AG6094">
        <v>-1.1110638616966999</v>
      </c>
      <c r="AH6094">
        <v>17.847223599121101</v>
      </c>
      <c r="AI6094">
        <v>93.541985083785093</v>
      </c>
      <c r="AJ6094">
        <v>96.130222968100298</v>
      </c>
      <c r="AK6094">
        <v>17.984218908610998</v>
      </c>
      <c r="AL6094">
        <v>90.823306208676698</v>
      </c>
      <c r="AM6094">
        <v>88.288459036261798</v>
      </c>
      <c r="AN6094">
        <v>1.00000002783266</v>
      </c>
    </row>
    <row r="6095" spans="1:40" x14ac:dyDescent="0.25">
      <c r="A6095" t="str">
        <f>"20190312161140862"</f>
        <v>20190312161140862</v>
      </c>
      <c r="B6095" t="str">
        <f>"1552378300853498"</f>
        <v>1552378300853498</v>
      </c>
      <c r="C6095" t="s">
        <v>40</v>
      </c>
      <c r="D6095">
        <v>5.5574849999999998</v>
      </c>
      <c r="E6095">
        <v>0.44879590000000003</v>
      </c>
      <c r="F6095" t="s">
        <v>108</v>
      </c>
      <c r="G6095">
        <v>-243.18790000000001</v>
      </c>
      <c r="H6095" s="1">
        <v>-8.8664580000000003E-7</v>
      </c>
      <c r="I6095">
        <v>-62.3827199999999</v>
      </c>
      <c r="J6095">
        <v>-261.02809999999999</v>
      </c>
      <c r="K6095">
        <v>1.1109960000000001</v>
      </c>
      <c r="L6095">
        <v>-63.808779999999999</v>
      </c>
      <c r="M6095">
        <v>0.99944670000000002</v>
      </c>
      <c r="N6095">
        <v>0</v>
      </c>
      <c r="O6095">
        <v>-2.7315929999999999E-2</v>
      </c>
      <c r="P6095">
        <v>0.99779700000000005</v>
      </c>
      <c r="Q6095">
        <v>-3.3917450000000002E-2</v>
      </c>
      <c r="R6095">
        <v>-5.701734E-2</v>
      </c>
      <c r="S6095">
        <v>3.0141909999999998</v>
      </c>
      <c r="T6095">
        <v>-0.1870416</v>
      </c>
      <c r="U6095">
        <v>0.23983760000000001</v>
      </c>
      <c r="V6095">
        <v>2.9748509999999999E-2</v>
      </c>
      <c r="W6095">
        <v>-1.491921E-2</v>
      </c>
      <c r="X6095">
        <v>0.9994461</v>
      </c>
      <c r="Y6095">
        <v>-0.1062685</v>
      </c>
      <c r="Z6095">
        <v>4.9801919999999996E-3</v>
      </c>
      <c r="AA6095">
        <v>0.99432500000000001</v>
      </c>
      <c r="AB6095">
        <v>14</v>
      </c>
      <c r="AC6095">
        <v>17.8401999999999</v>
      </c>
      <c r="AD6095">
        <v>-1.11099688664579</v>
      </c>
      <c r="AE6095">
        <v>1.4260600000000101</v>
      </c>
      <c r="AF6095">
        <v>-1.90559381738478</v>
      </c>
      <c r="AG6095">
        <v>-1.11099688664579</v>
      </c>
      <c r="AH6095">
        <v>17.726270439098801</v>
      </c>
      <c r="AI6095">
        <v>93.565839667703699</v>
      </c>
      <c r="AJ6095">
        <v>96.135796432478998</v>
      </c>
      <c r="AK6095">
        <v>17.8629859082702</v>
      </c>
      <c r="AL6095">
        <v>90.854839453633204</v>
      </c>
      <c r="AM6095">
        <v>88.295094675243703</v>
      </c>
      <c r="AN6095">
        <v>1.00000003173972</v>
      </c>
    </row>
    <row r="6096" spans="1:40" x14ac:dyDescent="0.25">
      <c r="A6096" t="str">
        <f>"20190312161140872"</f>
        <v>20190312161140872</v>
      </c>
      <c r="B6096" t="str">
        <f>"1552378300863259"</f>
        <v>1552378300863259</v>
      </c>
      <c r="C6096" t="s">
        <v>40</v>
      </c>
      <c r="D6096">
        <v>5.5896319999999999</v>
      </c>
      <c r="E6096">
        <v>0.44881280000000001</v>
      </c>
      <c r="F6096" t="s">
        <v>108</v>
      </c>
      <c r="G6096">
        <v>-243.29300000000001</v>
      </c>
      <c r="H6096" s="1">
        <v>-9.3360680000000005E-7</v>
      </c>
      <c r="I6096">
        <v>-62.389719999999997</v>
      </c>
      <c r="J6096">
        <v>-260.96969999999999</v>
      </c>
      <c r="K6096">
        <v>1.110935</v>
      </c>
      <c r="L6096">
        <v>-63.809939999999997</v>
      </c>
      <c r="M6096">
        <v>0.99946029999999997</v>
      </c>
      <c r="N6096">
        <v>0</v>
      </c>
      <c r="O6096">
        <v>-2.695935E-2</v>
      </c>
      <c r="P6096">
        <v>0.99780519999999995</v>
      </c>
      <c r="Q6096">
        <v>-3.397476E-2</v>
      </c>
      <c r="R6096">
        <v>-5.683614E-2</v>
      </c>
      <c r="S6096">
        <v>3.0139770000000001</v>
      </c>
      <c r="T6096">
        <v>-0.18880720000000001</v>
      </c>
      <c r="U6096">
        <v>0.2411499</v>
      </c>
      <c r="V6096">
        <v>2.992291E-2</v>
      </c>
      <c r="W6096">
        <v>-1.5191329999999999E-2</v>
      </c>
      <c r="X6096">
        <v>0.99943669999999996</v>
      </c>
      <c r="Y6096">
        <v>-0.1063451</v>
      </c>
      <c r="Z6096">
        <v>5.0074769999999998E-3</v>
      </c>
      <c r="AA6096">
        <v>0.99431670000000005</v>
      </c>
      <c r="AB6096">
        <v>14</v>
      </c>
      <c r="AC6096">
        <v>17.676699999999901</v>
      </c>
      <c r="AD6096">
        <v>-1.1109359336068001</v>
      </c>
      <c r="AE6096">
        <v>1.42022</v>
      </c>
      <c r="AF6096">
        <v>-1.88892688105545</v>
      </c>
      <c r="AG6096">
        <v>-1.1109359336068001</v>
      </c>
      <c r="AH6096">
        <v>17.563052141225199</v>
      </c>
      <c r="AI6096">
        <v>93.598675278784199</v>
      </c>
      <c r="AJ6096">
        <v>96.138631895868699</v>
      </c>
      <c r="AK6096">
        <v>17.699237947605202</v>
      </c>
      <c r="AL6096">
        <v>90.870432630297501</v>
      </c>
      <c r="AM6096">
        <v>88.285089535792295</v>
      </c>
      <c r="AN6096">
        <v>0.99999993717846103</v>
      </c>
    </row>
    <row r="6097" spans="1:40" x14ac:dyDescent="0.25">
      <c r="A6097" t="str">
        <f>"20190312161140881"</f>
        <v>20190312161140881</v>
      </c>
      <c r="B6097" t="str">
        <f>"1552378300873019"</f>
        <v>1552378300873019</v>
      </c>
      <c r="C6097" t="s">
        <v>40</v>
      </c>
      <c r="D6097">
        <v>5.5837629999999896</v>
      </c>
      <c r="E6097">
        <v>0.44906669999999999</v>
      </c>
      <c r="F6097" t="s">
        <v>108</v>
      </c>
      <c r="G6097">
        <v>-243.512</v>
      </c>
      <c r="H6097" s="1">
        <v>-1.032767E-6</v>
      </c>
      <c r="I6097">
        <v>-62.409309999999998</v>
      </c>
      <c r="J6097">
        <v>-260.91000000000003</v>
      </c>
      <c r="K6097">
        <v>1.1108750000000001</v>
      </c>
      <c r="L6097">
        <v>-63.811129999999999</v>
      </c>
      <c r="M6097">
        <v>0.99947419999999998</v>
      </c>
      <c r="N6097">
        <v>0</v>
      </c>
      <c r="O6097">
        <v>-2.6592439999999998E-2</v>
      </c>
      <c r="P6097">
        <v>0.99782340000000003</v>
      </c>
      <c r="Q6097">
        <v>-3.3978220000000003E-2</v>
      </c>
      <c r="R6097">
        <v>-5.6520000000000001E-2</v>
      </c>
      <c r="S6097">
        <v>3.013855</v>
      </c>
      <c r="T6097">
        <v>-0.19178990000000001</v>
      </c>
      <c r="U6097">
        <v>0.2417908</v>
      </c>
      <c r="V6097">
        <v>2.9972120000000001E-2</v>
      </c>
      <c r="W6097">
        <v>-1.5411879999999999E-2</v>
      </c>
      <c r="X6097">
        <v>0.99943190000000004</v>
      </c>
      <c r="Y6097">
        <v>-0.106186</v>
      </c>
      <c r="Z6097">
        <v>5.0582350000000003E-3</v>
      </c>
      <c r="AA6097">
        <v>0.99433340000000003</v>
      </c>
      <c r="AB6097">
        <v>13</v>
      </c>
      <c r="AC6097">
        <v>17.398</v>
      </c>
      <c r="AD6097">
        <v>-1.110876032767</v>
      </c>
      <c r="AE6097">
        <v>1.4018200000000001</v>
      </c>
      <c r="AF6097">
        <v>-1.8565388494406501</v>
      </c>
      <c r="AG6097">
        <v>-1.110876032767</v>
      </c>
      <c r="AH6097">
        <v>17.284547754618401</v>
      </c>
      <c r="AI6097">
        <v>93.656362296794498</v>
      </c>
      <c r="AJ6097">
        <v>96.130653851623805</v>
      </c>
      <c r="AK6097">
        <v>17.4194251667884</v>
      </c>
      <c r="AL6097">
        <v>90.883070649689898</v>
      </c>
      <c r="AM6097">
        <v>88.282262707212894</v>
      </c>
      <c r="AN6097">
        <v>0.99999998838001902</v>
      </c>
    </row>
    <row r="6098" spans="1:40" x14ac:dyDescent="0.25">
      <c r="A6098" t="str">
        <f>"20190312161140892"</f>
        <v>20190312161140892</v>
      </c>
      <c r="B6098" t="str">
        <f>"1552378300883755"</f>
        <v>1552378300883755</v>
      </c>
      <c r="C6098" t="s">
        <v>40</v>
      </c>
      <c r="D6098">
        <v>5.5931100000000002</v>
      </c>
      <c r="E6098">
        <v>0.44923439999999998</v>
      </c>
      <c r="F6098" t="s">
        <v>108</v>
      </c>
      <c r="G6098">
        <v>-243.53</v>
      </c>
      <c r="H6098" s="1">
        <v>-1.04399E-6</v>
      </c>
      <c r="I6098">
        <v>-62.422440000000002</v>
      </c>
      <c r="J6098">
        <v>-260.85309999999998</v>
      </c>
      <c r="K6098">
        <v>1.1108119999999999</v>
      </c>
      <c r="L6098">
        <v>-63.81223</v>
      </c>
      <c r="M6098">
        <v>0.99948809999999999</v>
      </c>
      <c r="N6098">
        <v>0</v>
      </c>
      <c r="O6098">
        <v>-2.623385E-2</v>
      </c>
      <c r="P6098">
        <v>0.99785939999999995</v>
      </c>
      <c r="Q6098">
        <v>-3.3620730000000001E-2</v>
      </c>
      <c r="R6098">
        <v>-5.609277E-2</v>
      </c>
      <c r="S6098">
        <v>3.0136409999999998</v>
      </c>
      <c r="T6098">
        <v>-0.1926233</v>
      </c>
      <c r="U6098">
        <v>0.24078369999999999</v>
      </c>
      <c r="V6098">
        <v>2.9901629999999998E-2</v>
      </c>
      <c r="W6098">
        <v>-1.529572E-2</v>
      </c>
      <c r="X6098">
        <v>0.99943579999999999</v>
      </c>
      <c r="Y6098">
        <v>-0.1055043</v>
      </c>
      <c r="Z6098">
        <v>5.0359879999999999E-3</v>
      </c>
      <c r="AA6098">
        <v>0.99440609999999996</v>
      </c>
      <c r="AB6098">
        <v>13</v>
      </c>
      <c r="AC6098">
        <v>17.323099999999901</v>
      </c>
      <c r="AD6098">
        <v>-1.1108130439899999</v>
      </c>
      <c r="AE6098">
        <v>1.3897900000000001</v>
      </c>
      <c r="AF6098">
        <v>-1.8363370003275501</v>
      </c>
      <c r="AG6098">
        <v>-1.1108130439899999</v>
      </c>
      <c r="AH6098">
        <v>17.2103575328691</v>
      </c>
      <c r="AI6098">
        <v>93.672148922457893</v>
      </c>
      <c r="AJ6098">
        <v>96.090389699433302</v>
      </c>
      <c r="AK6098">
        <v>17.343657215439201</v>
      </c>
      <c r="AL6098">
        <v>90.876414383698602</v>
      </c>
      <c r="AM6098">
        <v>88.286306843112399</v>
      </c>
      <c r="AN6098">
        <v>0.99999999242430704</v>
      </c>
    </row>
    <row r="6099" spans="1:40" x14ac:dyDescent="0.25">
      <c r="A6099" t="str">
        <f>"20190312161140902"</f>
        <v>20190312161140902</v>
      </c>
      <c r="B6099" t="str">
        <f>"1552378300893515"</f>
        <v>1552378300893515</v>
      </c>
      <c r="C6099" t="s">
        <v>40</v>
      </c>
      <c r="D6099">
        <v>5.5993459999999997</v>
      </c>
      <c r="E6099">
        <v>0.44934099999999999</v>
      </c>
      <c r="F6099" t="s">
        <v>108</v>
      </c>
      <c r="G6099">
        <v>-243.38149999999999</v>
      </c>
      <c r="H6099" s="1">
        <v>-9.7875479999999999E-7</v>
      </c>
      <c r="I6099">
        <v>-62.416679999999999</v>
      </c>
      <c r="J6099">
        <v>-260.78969999999998</v>
      </c>
      <c r="K6099">
        <v>1.110744</v>
      </c>
      <c r="L6099">
        <v>-63.813479999999998</v>
      </c>
      <c r="M6099">
        <v>0.99950349999999999</v>
      </c>
      <c r="N6099">
        <v>0</v>
      </c>
      <c r="O6099">
        <v>-2.5832600000000001E-2</v>
      </c>
      <c r="P6099">
        <v>0.99788719999999997</v>
      </c>
      <c r="Q6099">
        <v>-3.3168299999999998E-2</v>
      </c>
      <c r="R6099">
        <v>-5.5870690000000001E-2</v>
      </c>
      <c r="S6099">
        <v>3.0134889999999999</v>
      </c>
      <c r="T6099">
        <v>-0.1915927</v>
      </c>
      <c r="U6099">
        <v>0.24069209999999999</v>
      </c>
      <c r="V6099">
        <v>3.0078669999999998E-2</v>
      </c>
      <c r="W6099">
        <v>-1.511904E-2</v>
      </c>
      <c r="X6099">
        <v>0.99943320000000002</v>
      </c>
      <c r="Y6099">
        <v>-0.1050835</v>
      </c>
      <c r="Z6099">
        <v>4.9705469999999996E-3</v>
      </c>
      <c r="AA6099">
        <v>0.99445099999999997</v>
      </c>
      <c r="AB6099">
        <v>13</v>
      </c>
      <c r="AC6099">
        <v>17.408199999999901</v>
      </c>
      <c r="AD6099">
        <v>-1.1107449787548</v>
      </c>
      <c r="AE6099">
        <v>1.39679999999999</v>
      </c>
      <c r="AF6099">
        <v>-1.83866829351085</v>
      </c>
      <c r="AG6099">
        <v>-1.1107449787548</v>
      </c>
      <c r="AH6099">
        <v>17.296333697175701</v>
      </c>
      <c r="AI6099">
        <v>93.653873586125798</v>
      </c>
      <c r="AJ6099">
        <v>96.067978049808602</v>
      </c>
      <c r="AK6099">
        <v>17.429217276327901</v>
      </c>
      <c r="AL6099">
        <v>90.866290173666798</v>
      </c>
      <c r="AM6099">
        <v>88.276162120780398</v>
      </c>
      <c r="AN6099">
        <v>1.00000001651086</v>
      </c>
    </row>
    <row r="6100" spans="1:40" x14ac:dyDescent="0.25">
      <c r="A6100" t="str">
        <f>"20190312161140913"</f>
        <v>20190312161140913</v>
      </c>
      <c r="B6100" t="str">
        <f>"1552378300903276"</f>
        <v>1552378300903276</v>
      </c>
      <c r="C6100" t="s">
        <v>40</v>
      </c>
      <c r="D6100">
        <v>5.5797589999999904</v>
      </c>
      <c r="E6100">
        <v>0.44955260000000002</v>
      </c>
      <c r="F6100" t="s">
        <v>108</v>
      </c>
      <c r="G6100">
        <v>-243.21129999999999</v>
      </c>
      <c r="H6100" s="1">
        <v>-9.0418079999999998E-7</v>
      </c>
      <c r="I6100">
        <v>-62.410829999999997</v>
      </c>
      <c r="J6100">
        <v>-260.7276</v>
      </c>
      <c r="K6100">
        <v>1.110679</v>
      </c>
      <c r="L6100">
        <v>-63.814639999999997</v>
      </c>
      <c r="M6100">
        <v>0.99951840000000003</v>
      </c>
      <c r="N6100">
        <v>0</v>
      </c>
      <c r="O6100">
        <v>-2.5448209999999999E-2</v>
      </c>
      <c r="P6100">
        <v>0.99792590000000003</v>
      </c>
      <c r="Q6100">
        <v>-3.2682839999999998E-2</v>
      </c>
      <c r="R6100">
        <v>-5.5460009999999997E-2</v>
      </c>
      <c r="S6100">
        <v>3.0134889999999999</v>
      </c>
      <c r="T6100">
        <v>-0.19041649999999999</v>
      </c>
      <c r="U6100">
        <v>0.240448</v>
      </c>
      <c r="V6100">
        <v>3.0050839999999999E-2</v>
      </c>
      <c r="W6100">
        <v>-1.492073E-2</v>
      </c>
      <c r="X6100">
        <v>0.99943700000000002</v>
      </c>
      <c r="Y6100">
        <v>-0.1046257</v>
      </c>
      <c r="Z6100">
        <v>4.9014380000000001E-3</v>
      </c>
      <c r="AA6100">
        <v>0.99449960000000004</v>
      </c>
      <c r="AB6100">
        <v>13</v>
      </c>
      <c r="AC6100">
        <v>17.516300000000001</v>
      </c>
      <c r="AD6100">
        <v>-1.1106799041808</v>
      </c>
      <c r="AE6100">
        <v>1.40381</v>
      </c>
      <c r="AF6100">
        <v>-1.84182598186725</v>
      </c>
      <c r="AG6100">
        <v>-1.1106799041808</v>
      </c>
      <c r="AH6100">
        <v>17.405361583979001</v>
      </c>
      <c r="AI6100">
        <v>93.631018841122398</v>
      </c>
      <c r="AJ6100">
        <v>96.040528648313696</v>
      </c>
      <c r="AK6100">
        <v>17.537746282407198</v>
      </c>
      <c r="AL6100">
        <v>90.854926580843596</v>
      </c>
      <c r="AM6100">
        <v>88.277762668454898</v>
      </c>
      <c r="AN6100">
        <v>0.99999999906871895</v>
      </c>
    </row>
    <row r="6101" spans="1:40" x14ac:dyDescent="0.25">
      <c r="A6101" t="str">
        <f>"20190312161140926"</f>
        <v>20190312161140926</v>
      </c>
      <c r="B6101" t="str">
        <f>"1552378300913034"</f>
        <v>1552378300913034</v>
      </c>
      <c r="C6101" t="s">
        <v>40</v>
      </c>
      <c r="D6101">
        <v>5.6150270000000004</v>
      </c>
      <c r="E6101">
        <v>0.44967109999999899</v>
      </c>
      <c r="F6101" t="s">
        <v>108</v>
      </c>
      <c r="G6101">
        <v>-243.15190000000001</v>
      </c>
      <c r="H6101" s="1">
        <v>-8.7971609999999998E-7</v>
      </c>
      <c r="I6101">
        <v>-62.4146199999999</v>
      </c>
      <c r="J6101">
        <v>-260.65219999999999</v>
      </c>
      <c r="K6101">
        <v>1.110616</v>
      </c>
      <c r="L6101">
        <v>-63.816099999999999</v>
      </c>
      <c r="M6101">
        <v>0.99953619999999999</v>
      </c>
      <c r="N6101">
        <v>0</v>
      </c>
      <c r="O6101">
        <v>-2.4987539999999999E-2</v>
      </c>
      <c r="P6101">
        <v>0.99795160000000005</v>
      </c>
      <c r="Q6101">
        <v>-3.2354550000000003E-2</v>
      </c>
      <c r="R6101">
        <v>-5.5191499999999998E-2</v>
      </c>
      <c r="S6101">
        <v>3.0133359999999998</v>
      </c>
      <c r="T6101">
        <v>-0.19042519999999999</v>
      </c>
      <c r="U6101">
        <v>0.24002080000000001</v>
      </c>
      <c r="V6101">
        <v>3.0241770000000001E-2</v>
      </c>
      <c r="W6101">
        <v>-1.493852E-2</v>
      </c>
      <c r="X6101">
        <v>0.99943099999999996</v>
      </c>
      <c r="Y6101">
        <v>-0.1040331</v>
      </c>
      <c r="Z6101">
        <v>4.8542009999999998E-3</v>
      </c>
      <c r="AA6101">
        <v>0.99456199999999995</v>
      </c>
      <c r="AB6101">
        <v>13</v>
      </c>
      <c r="AC6101">
        <v>17.5002999999999</v>
      </c>
      <c r="AD6101">
        <v>-1.1106168797161</v>
      </c>
      <c r="AE6101">
        <v>1.4014800000000001</v>
      </c>
      <c r="AF6101">
        <v>-1.83107031036823</v>
      </c>
      <c r="AG6101">
        <v>-1.1106168797161</v>
      </c>
      <c r="AH6101">
        <v>17.3902161564091</v>
      </c>
      <c r="AI6101">
        <v>93.634166158966295</v>
      </c>
      <c r="AJ6101">
        <v>96.010704472667001</v>
      </c>
      <c r="AK6101">
        <v>17.5215840123447</v>
      </c>
      <c r="AL6101">
        <v>90.855945965124903</v>
      </c>
      <c r="AM6101">
        <v>88.266816573852097</v>
      </c>
      <c r="AN6101">
        <v>1.0000000238967599</v>
      </c>
    </row>
    <row r="6102" spans="1:40" x14ac:dyDescent="0.25">
      <c r="A6102" t="str">
        <f>"20190312161140937"</f>
        <v>20190312161140937</v>
      </c>
      <c r="B6102" t="str">
        <f>"1552378300933531"</f>
        <v>1552378300933531</v>
      </c>
      <c r="C6102" t="s">
        <v>40</v>
      </c>
      <c r="D6102">
        <v>5.615259</v>
      </c>
      <c r="E6102">
        <v>0.45002510000000001</v>
      </c>
      <c r="F6102" t="s">
        <v>108</v>
      </c>
      <c r="G6102">
        <v>-243.0008</v>
      </c>
      <c r="H6102" s="1">
        <v>-8.1384710000000001E-7</v>
      </c>
      <c r="I6102">
        <v>-62.410739999999997</v>
      </c>
      <c r="J6102">
        <v>-260.5806</v>
      </c>
      <c r="K6102">
        <v>1.1105849999999999</v>
      </c>
      <c r="L6102">
        <v>-63.817439999999998</v>
      </c>
      <c r="M6102">
        <v>0.99955139999999998</v>
      </c>
      <c r="N6102">
        <v>0</v>
      </c>
      <c r="O6102">
        <v>-2.4574349999999998E-2</v>
      </c>
      <c r="P6102">
        <v>0.99798200000000004</v>
      </c>
      <c r="Q6102">
        <v>-3.2304989999999999E-2</v>
      </c>
      <c r="R6102">
        <v>-5.466497E-2</v>
      </c>
      <c r="S6102">
        <v>3.0132750000000001</v>
      </c>
      <c r="T6102">
        <v>-0.1895937</v>
      </c>
      <c r="U6102">
        <v>0.23989869999999999</v>
      </c>
      <c r="V6102">
        <v>3.0127520000000001E-2</v>
      </c>
      <c r="W6102">
        <v>-1.5184319999999999E-2</v>
      </c>
      <c r="X6102">
        <v>0.99943070000000001</v>
      </c>
      <c r="Y6102">
        <v>-0.10358729999999999</v>
      </c>
      <c r="Z6102">
        <v>4.7932139999999996E-3</v>
      </c>
      <c r="AA6102">
        <v>0.99460879999999996</v>
      </c>
      <c r="AB6102">
        <v>13</v>
      </c>
      <c r="AC6102">
        <v>17.579799999999999</v>
      </c>
      <c r="AD6102">
        <v>-1.1105858138471001</v>
      </c>
      <c r="AE6102">
        <v>1.4067000000000001</v>
      </c>
      <c r="AF6102">
        <v>-1.8310892485049</v>
      </c>
      <c r="AG6102">
        <v>-1.1105858138471001</v>
      </c>
      <c r="AH6102">
        <v>17.470634778610201</v>
      </c>
      <c r="AI6102">
        <v>93.617562712548803</v>
      </c>
      <c r="AJ6102">
        <v>95.983299355200401</v>
      </c>
      <c r="AK6102">
        <v>17.6014024513245</v>
      </c>
      <c r="AL6102">
        <v>90.870030905382706</v>
      </c>
      <c r="AM6102">
        <v>88.273359856568803</v>
      </c>
      <c r="AN6102">
        <v>0.99999997756885095</v>
      </c>
    </row>
    <row r="6103" spans="1:40" x14ac:dyDescent="0.25">
      <c r="A6103" t="str">
        <f>"20190312161140949"</f>
        <v>20190312161140949</v>
      </c>
      <c r="B6103" t="str">
        <f>"1552378300943372"</f>
        <v>1552378300943372</v>
      </c>
      <c r="C6103" t="s">
        <v>40</v>
      </c>
      <c r="D6103">
        <v>5.6097609999999998</v>
      </c>
      <c r="E6103">
        <v>0.45019550000000003</v>
      </c>
      <c r="F6103" t="s">
        <v>108</v>
      </c>
      <c r="G6103">
        <v>-242.97970000000001</v>
      </c>
      <c r="H6103" s="1">
        <v>-8.0804679999999997E-7</v>
      </c>
      <c r="I6103">
        <v>-62.422939999999997</v>
      </c>
      <c r="J6103">
        <v>-260.51400000000001</v>
      </c>
      <c r="K6103">
        <v>1.1105689999999999</v>
      </c>
      <c r="L6103">
        <v>-63.8187</v>
      </c>
      <c r="M6103">
        <v>0.99956469999999997</v>
      </c>
      <c r="N6103">
        <v>0</v>
      </c>
      <c r="O6103">
        <v>-2.4203769999999999E-2</v>
      </c>
      <c r="P6103">
        <v>0.99800460000000002</v>
      </c>
      <c r="Q6103">
        <v>-3.2384410000000002E-2</v>
      </c>
      <c r="R6103">
        <v>-5.4203389999999997E-2</v>
      </c>
      <c r="S6103">
        <v>3.0129999999999999</v>
      </c>
      <c r="T6103">
        <v>-0.1901157</v>
      </c>
      <c r="U6103">
        <v>0.23870849999999999</v>
      </c>
      <c r="V6103">
        <v>3.003627E-2</v>
      </c>
      <c r="W6103">
        <v>-1.551222E-2</v>
      </c>
      <c r="X6103">
        <v>0.99942850000000005</v>
      </c>
      <c r="Y6103">
        <v>-0.102836</v>
      </c>
      <c r="Z6103">
        <v>4.7599110000000004E-3</v>
      </c>
      <c r="AA6103">
        <v>0.99468699999999999</v>
      </c>
      <c r="AB6103">
        <v>13</v>
      </c>
      <c r="AC6103">
        <v>17.534300000000002</v>
      </c>
      <c r="AD6103">
        <v>-1.1105698080468001</v>
      </c>
      <c r="AE6103">
        <v>1.3957599999999899</v>
      </c>
      <c r="AF6103">
        <v>-1.81258203233906</v>
      </c>
      <c r="AG6103">
        <v>-1.1105698080468001</v>
      </c>
      <c r="AH6103">
        <v>17.4259091581653</v>
      </c>
      <c r="AI6103">
        <v>93.627067018867393</v>
      </c>
      <c r="AJ6103">
        <v>95.938351207565802</v>
      </c>
      <c r="AK6103">
        <v>17.555088405107298</v>
      </c>
      <c r="AL6103">
        <v>90.888820326143403</v>
      </c>
      <c r="AM6103">
        <v>88.278582552641595</v>
      </c>
      <c r="AN6103">
        <v>1.00000006654854</v>
      </c>
    </row>
    <row r="6104" spans="1:40" x14ac:dyDescent="0.25">
      <c r="A6104" t="str">
        <f>"20190312161140960"</f>
        <v>20190312161140960</v>
      </c>
      <c r="B6104" t="str">
        <f>"1552378300953133"</f>
        <v>1552378300953133</v>
      </c>
      <c r="C6104" t="s">
        <v>40</v>
      </c>
      <c r="D6104">
        <v>5.6228600000000002</v>
      </c>
      <c r="E6104">
        <v>0.4503221</v>
      </c>
      <c r="F6104" t="s">
        <v>108</v>
      </c>
      <c r="G6104">
        <v>-242.92679999999999</v>
      </c>
      <c r="H6104" s="1">
        <v>-7.8591899999999996E-7</v>
      </c>
      <c r="I6104">
        <v>-62.425170000000001</v>
      </c>
      <c r="J6104">
        <v>-260.44209999999998</v>
      </c>
      <c r="K6104">
        <v>1.1105700000000001</v>
      </c>
      <c r="L6104">
        <v>-63.820039999999999</v>
      </c>
      <c r="M6104">
        <v>0.99957779999999996</v>
      </c>
      <c r="N6104">
        <v>0</v>
      </c>
      <c r="O6104">
        <v>-2.3822340000000001E-2</v>
      </c>
      <c r="P6104">
        <v>0.99801169999999995</v>
      </c>
      <c r="Q6104">
        <v>-3.2487950000000002E-2</v>
      </c>
      <c r="R6104">
        <v>-5.4011259999999998E-2</v>
      </c>
      <c r="S6104">
        <v>3.0127869999999999</v>
      </c>
      <c r="T6104">
        <v>-0.19024669999999999</v>
      </c>
      <c r="U6104">
        <v>0.23870849999999999</v>
      </c>
      <c r="V6104">
        <v>3.0225700000000001E-2</v>
      </c>
      <c r="W6104">
        <v>-1.5847679999999999E-2</v>
      </c>
      <c r="X6104">
        <v>0.99941749999999996</v>
      </c>
      <c r="Y6104">
        <v>-0.102463</v>
      </c>
      <c r="Z6104">
        <v>4.7277339999999999E-3</v>
      </c>
      <c r="AA6104">
        <v>0.99472559999999999</v>
      </c>
      <c r="AB6104">
        <v>13</v>
      </c>
      <c r="AC6104">
        <v>17.5152999999999</v>
      </c>
      <c r="AD6104">
        <v>-1.1105707859189999</v>
      </c>
      <c r="AE6104">
        <v>1.39487000000001</v>
      </c>
      <c r="AF6104">
        <v>-1.8045780073461499</v>
      </c>
      <c r="AG6104">
        <v>-1.1105707859189999</v>
      </c>
      <c r="AH6104">
        <v>17.407551897723501</v>
      </c>
      <c r="AI6104">
        <v>93.631015179650902</v>
      </c>
      <c r="AJ6104">
        <v>95.918505351312405</v>
      </c>
      <c r="AK6104">
        <v>17.536040953620901</v>
      </c>
      <c r="AL6104">
        <v>90.908043153922904</v>
      </c>
      <c r="AM6104">
        <v>88.267713614006993</v>
      </c>
      <c r="AN6104">
        <v>1.0000000406040599</v>
      </c>
    </row>
    <row r="6105" spans="1:40" x14ac:dyDescent="0.25">
      <c r="A6105" t="str">
        <f>"20190312161140972"</f>
        <v>20190312161140972</v>
      </c>
      <c r="B6105" t="str">
        <f>"1552378300963868"</f>
        <v>1552378300963868</v>
      </c>
      <c r="C6105" t="s">
        <v>40</v>
      </c>
      <c r="D6105">
        <v>5.6451770000000003</v>
      </c>
      <c r="E6105">
        <v>0.4504107</v>
      </c>
      <c r="F6105" t="s">
        <v>108</v>
      </c>
      <c r="G6105">
        <v>-242.89400000000001</v>
      </c>
      <c r="H6105" s="1">
        <v>-7.7362140000000001E-7</v>
      </c>
      <c r="I6105">
        <v>-62.43186</v>
      </c>
      <c r="J6105">
        <v>-260.37740000000002</v>
      </c>
      <c r="K6105">
        <v>1.110576</v>
      </c>
      <c r="L6105">
        <v>-63.821170000000002</v>
      </c>
      <c r="M6105">
        <v>0.9995887</v>
      </c>
      <c r="N6105">
        <v>0</v>
      </c>
      <c r="O6105">
        <v>-2.348865E-2</v>
      </c>
      <c r="P6105">
        <v>0.99803790000000003</v>
      </c>
      <c r="Q6105">
        <v>-3.2456110000000003E-2</v>
      </c>
      <c r="R6105">
        <v>-5.3546950000000003E-2</v>
      </c>
      <c r="S6105">
        <v>3.0126650000000001</v>
      </c>
      <c r="T6105">
        <v>-0.1906629</v>
      </c>
      <c r="U6105">
        <v>0.23831179999999999</v>
      </c>
      <c r="V6105">
        <v>3.0094820000000001E-2</v>
      </c>
      <c r="W6105">
        <v>-1.5996059999999999E-2</v>
      </c>
      <c r="X6105">
        <v>0.99941899999999995</v>
      </c>
      <c r="Y6105">
        <v>-0.10200430000000001</v>
      </c>
      <c r="Z6105">
        <v>4.702716E-3</v>
      </c>
      <c r="AA6105">
        <v>0.99477289999999996</v>
      </c>
      <c r="AB6105">
        <v>13</v>
      </c>
      <c r="AC6105">
        <v>17.4834</v>
      </c>
      <c r="AD6105">
        <v>-1.1105767736213901</v>
      </c>
      <c r="AE6105">
        <v>1.3893099999999901</v>
      </c>
      <c r="AF6105">
        <v>-1.79245644312098</v>
      </c>
      <c r="AG6105">
        <v>-1.1105767736213901</v>
      </c>
      <c r="AH6105">
        <v>17.376264089923499</v>
      </c>
      <c r="AI6105">
        <v>93.637744883028205</v>
      </c>
      <c r="AJ6105">
        <v>95.889540908253196</v>
      </c>
      <c r="AK6105">
        <v>17.503737732077699</v>
      </c>
      <c r="AL6105">
        <v>90.916545857760994</v>
      </c>
      <c r="AM6105">
        <v>88.275212616383001</v>
      </c>
      <c r="AN6105">
        <v>0.99999995484367699</v>
      </c>
    </row>
    <row r="6106" spans="1:40" x14ac:dyDescent="0.25">
      <c r="A6106" t="str">
        <f>"20190312161140984"</f>
        <v>20190312161140984</v>
      </c>
      <c r="B6106" t="str">
        <f>"1552378300973629"</f>
        <v>1552378300973629</v>
      </c>
      <c r="C6106" t="s">
        <v>40</v>
      </c>
      <c r="D6106">
        <v>5.6267870000000002</v>
      </c>
      <c r="E6106">
        <v>0.45057649999999999</v>
      </c>
      <c r="F6106" t="s">
        <v>108</v>
      </c>
      <c r="G6106">
        <v>-242.822</v>
      </c>
      <c r="H6106" s="1">
        <v>-7.4177609999999995E-7</v>
      </c>
      <c r="I6106">
        <v>-62.428249999999998</v>
      </c>
      <c r="J6106">
        <v>-260.30549999999999</v>
      </c>
      <c r="K6106">
        <v>1.110592</v>
      </c>
      <c r="L6106">
        <v>-63.822420000000001</v>
      </c>
      <c r="M6106">
        <v>0.99960039999999994</v>
      </c>
      <c r="N6106">
        <v>0</v>
      </c>
      <c r="O6106">
        <v>-2.312233E-2</v>
      </c>
      <c r="P6106">
        <v>0.99805770000000005</v>
      </c>
      <c r="Q6106">
        <v>-3.2646189999999999E-2</v>
      </c>
      <c r="R6106">
        <v>-5.3058569999999999E-2</v>
      </c>
      <c r="S6106">
        <v>3.0125120000000001</v>
      </c>
      <c r="T6106">
        <v>-0.1905751</v>
      </c>
      <c r="U6106">
        <v>0.2390137</v>
      </c>
      <c r="V6106">
        <v>2.9973329999999999E-2</v>
      </c>
      <c r="W6106">
        <v>-1.6374349999999999E-2</v>
      </c>
      <c r="X6106">
        <v>0.99941659999999999</v>
      </c>
      <c r="Y6106">
        <v>-0.1018751</v>
      </c>
      <c r="Z6106">
        <v>4.6735479999999996E-3</v>
      </c>
      <c r="AA6106">
        <v>0.99478619999999995</v>
      </c>
      <c r="AB6106">
        <v>13</v>
      </c>
      <c r="AC6106">
        <v>17.4834999999999</v>
      </c>
      <c r="AD6106">
        <v>-1.1105927417760999</v>
      </c>
      <c r="AE6106">
        <v>1.3941699999999899</v>
      </c>
      <c r="AF6106">
        <v>-1.7909289779462501</v>
      </c>
      <c r="AG6106">
        <v>-1.1105927417760999</v>
      </c>
      <c r="AH6106">
        <v>17.3769094122094</v>
      </c>
      <c r="AI6106">
        <v>93.637696267474197</v>
      </c>
      <c r="AJ6106">
        <v>95.884340293031499</v>
      </c>
      <c r="AK6106">
        <v>17.504223020810301</v>
      </c>
      <c r="AL6106">
        <v>90.938223048168496</v>
      </c>
      <c r="AM6106">
        <v>88.282167120217593</v>
      </c>
      <c r="AN6106">
        <v>1.0000000301023799</v>
      </c>
    </row>
    <row r="6107" spans="1:40" x14ac:dyDescent="0.25">
      <c r="A6107" t="str">
        <f>"20190312161140998"</f>
        <v>20190312161140998</v>
      </c>
      <c r="B6107" t="str">
        <f>"1552378300993149"</f>
        <v>1552378300993149</v>
      </c>
      <c r="C6107" t="s">
        <v>40</v>
      </c>
      <c r="D6107">
        <v>5.6702190000000003</v>
      </c>
      <c r="E6107">
        <v>0.45072060000000003</v>
      </c>
      <c r="F6107" t="s">
        <v>108</v>
      </c>
      <c r="G6107">
        <v>-242.77510000000001</v>
      </c>
      <c r="H6107" s="1">
        <v>-7.222574E-7</v>
      </c>
      <c r="I6107">
        <v>-62.430500000000002</v>
      </c>
      <c r="J6107">
        <v>-260.2251</v>
      </c>
      <c r="K6107">
        <v>1.1106119999999999</v>
      </c>
      <c r="L6107">
        <v>-63.823729999999998</v>
      </c>
      <c r="M6107">
        <v>0.99961290000000003</v>
      </c>
      <c r="N6107">
        <v>0</v>
      </c>
      <c r="O6107">
        <v>-2.2712940000000001E-2</v>
      </c>
      <c r="P6107">
        <v>0.99809890000000001</v>
      </c>
      <c r="Q6107">
        <v>-3.2338459999999999E-2</v>
      </c>
      <c r="R6107">
        <v>-5.2472379999999999E-2</v>
      </c>
      <c r="S6107">
        <v>3.0122990000000001</v>
      </c>
      <c r="T6107">
        <v>-0.19083610000000001</v>
      </c>
      <c r="U6107">
        <v>0.2391663</v>
      </c>
      <c r="V6107">
        <v>2.9795720000000001E-2</v>
      </c>
      <c r="W6107">
        <v>-1.6262619999999998E-2</v>
      </c>
      <c r="X6107">
        <v>0.99942370000000003</v>
      </c>
      <c r="Y6107">
        <v>-0.10152410000000001</v>
      </c>
      <c r="Z6107">
        <v>4.6432820000000003E-3</v>
      </c>
      <c r="AA6107">
        <v>0.99482230000000005</v>
      </c>
      <c r="AB6107">
        <v>13</v>
      </c>
      <c r="AC6107">
        <v>17.4499999999999</v>
      </c>
      <c r="AD6107">
        <v>-1.1106127222574</v>
      </c>
      <c r="AE6107">
        <v>1.39323</v>
      </c>
      <c r="AF6107">
        <v>-1.78208941151434</v>
      </c>
      <c r="AG6107">
        <v>-1.1106127222574</v>
      </c>
      <c r="AH6107">
        <v>17.344037613287799</v>
      </c>
      <c r="AI6107">
        <v>93.6447538878909</v>
      </c>
      <c r="AJ6107">
        <v>95.866519476366307</v>
      </c>
      <c r="AK6107">
        <v>17.470688138153399</v>
      </c>
      <c r="AL6107">
        <v>90.931820571161197</v>
      </c>
      <c r="AM6107">
        <v>88.292352392009803</v>
      </c>
      <c r="AN6107">
        <v>0.99999999493063596</v>
      </c>
    </row>
    <row r="6108" spans="1:40" x14ac:dyDescent="0.25">
      <c r="A6108" t="str">
        <f>"20190312161141010"</f>
        <v>20190312161141010</v>
      </c>
      <c r="B6108" t="str">
        <f>"1552378301003884"</f>
        <v>1552378301003884</v>
      </c>
      <c r="C6108" t="s">
        <v>40</v>
      </c>
      <c r="D6108">
        <v>5.6438360000000003</v>
      </c>
      <c r="E6108">
        <v>0.45083450000000003</v>
      </c>
      <c r="F6108" t="s">
        <v>108</v>
      </c>
      <c r="G6108">
        <v>-242.55889999999999</v>
      </c>
      <c r="H6108" s="1">
        <v>-6.2604559999999899E-7</v>
      </c>
      <c r="I6108">
        <v>-62.417409999999997</v>
      </c>
      <c r="J6108">
        <v>-260.15210000000002</v>
      </c>
      <c r="K6108">
        <v>1.1106229999999999</v>
      </c>
      <c r="L6108">
        <v>-63.824950000000001</v>
      </c>
      <c r="M6108">
        <v>0.99962430000000002</v>
      </c>
      <c r="N6108">
        <v>0</v>
      </c>
      <c r="O6108">
        <v>-2.2333720000000001E-2</v>
      </c>
      <c r="P6108">
        <v>0.99812789999999996</v>
      </c>
      <c r="Q6108">
        <v>-3.2361059999999997E-2</v>
      </c>
      <c r="R6108">
        <v>-5.1898550000000002E-2</v>
      </c>
      <c r="S6108">
        <v>3.0122070000000001</v>
      </c>
      <c r="T6108">
        <v>-0.18936720000000001</v>
      </c>
      <c r="U6108">
        <v>0.23977660000000001</v>
      </c>
      <c r="V6108">
        <v>2.9600939999999999E-2</v>
      </c>
      <c r="W6108">
        <v>-1.6463120000000001E-2</v>
      </c>
      <c r="X6108">
        <v>0.99942620000000004</v>
      </c>
      <c r="Y6108">
        <v>-0.10135420000000001</v>
      </c>
      <c r="Z6108">
        <v>4.5785959999999999E-3</v>
      </c>
      <c r="AA6108">
        <v>0.99483980000000005</v>
      </c>
      <c r="AB6108">
        <v>13</v>
      </c>
      <c r="AC6108">
        <v>17.5932</v>
      </c>
      <c r="AD6108">
        <v>-1.1106236260455999</v>
      </c>
      <c r="AE6108">
        <v>1.40754</v>
      </c>
      <c r="AF6108">
        <v>-1.79305988455397</v>
      </c>
      <c r="AG6108">
        <v>-1.1106236260455999</v>
      </c>
      <c r="AH6108">
        <v>17.488121618366399</v>
      </c>
      <c r="AI6108">
        <v>93.614920520244198</v>
      </c>
      <c r="AJ6108">
        <v>95.854088983107502</v>
      </c>
      <c r="AK6108">
        <v>17.614850164764398</v>
      </c>
      <c r="AL6108">
        <v>90.943309918254101</v>
      </c>
      <c r="AM6108">
        <v>88.303513288929494</v>
      </c>
      <c r="AN6108">
        <v>0.99999998960772896</v>
      </c>
    </row>
    <row r="6109" spans="1:40" x14ac:dyDescent="0.25">
      <c r="A6109" t="str">
        <f>"20190312161141027"</f>
        <v>20190312161141027</v>
      </c>
      <c r="B6109" t="str">
        <f>"1552378301023404"</f>
        <v>1552378301023404</v>
      </c>
      <c r="C6109" t="s">
        <v>40</v>
      </c>
      <c r="D6109">
        <v>5.6298519999999996</v>
      </c>
      <c r="E6109">
        <v>0.4509301</v>
      </c>
      <c r="F6109" t="s">
        <v>108</v>
      </c>
      <c r="G6109">
        <v>-242.4049</v>
      </c>
      <c r="H6109" s="1">
        <v>-5.5738169999999995E-7</v>
      </c>
      <c r="I6109">
        <v>-62.407620000000001</v>
      </c>
      <c r="J6109">
        <v>-260.05239999999998</v>
      </c>
      <c r="K6109">
        <v>1.11063</v>
      </c>
      <c r="L6109">
        <v>-63.826509999999999</v>
      </c>
      <c r="M6109">
        <v>0.99963990000000003</v>
      </c>
      <c r="N6109">
        <v>0</v>
      </c>
      <c r="O6109">
        <v>-2.180168E-2</v>
      </c>
      <c r="P6109">
        <v>0.99818810000000002</v>
      </c>
      <c r="Q6109">
        <v>-3.1983869999999998E-2</v>
      </c>
      <c r="R6109">
        <v>-5.0968119999999999E-2</v>
      </c>
      <c r="S6109">
        <v>3.012054</v>
      </c>
      <c r="T6109">
        <v>-0.18849560000000001</v>
      </c>
      <c r="U6109">
        <v>0.24053959999999999</v>
      </c>
      <c r="V6109">
        <v>2.9201230000000002E-2</v>
      </c>
      <c r="W6109">
        <v>-1.632641E-2</v>
      </c>
      <c r="X6109">
        <v>0.9994402</v>
      </c>
      <c r="Y6109">
        <v>-0.1010828</v>
      </c>
      <c r="Z6109">
        <v>4.5160499999999998E-3</v>
      </c>
      <c r="AA6109">
        <v>0.99486770000000002</v>
      </c>
      <c r="AB6109">
        <v>13</v>
      </c>
      <c r="AC6109">
        <v>17.647499999999901</v>
      </c>
      <c r="AD6109">
        <v>-1.1106305573816999</v>
      </c>
      <c r="AE6109">
        <v>1.41889</v>
      </c>
      <c r="AF6109">
        <v>-1.79627608024246</v>
      </c>
      <c r="AG6109">
        <v>-1.1106305573816999</v>
      </c>
      <c r="AH6109">
        <v>17.543328740170001</v>
      </c>
      <c r="AI6109">
        <v>93.603647949540203</v>
      </c>
      <c r="AJ6109">
        <v>95.846189262784904</v>
      </c>
      <c r="AK6109">
        <v>17.669988434549499</v>
      </c>
      <c r="AL6109">
        <v>90.935475960335907</v>
      </c>
      <c r="AM6109">
        <v>88.326431749526407</v>
      </c>
      <c r="AN6109">
        <v>0.99999998843652005</v>
      </c>
    </row>
    <row r="6110" spans="1:40" x14ac:dyDescent="0.25">
      <c r="A6110" t="str">
        <f>"20190312161141039"</f>
        <v>20190312161141039</v>
      </c>
      <c r="B6110" t="str">
        <f>"1552378301033164"</f>
        <v>1552378301033164</v>
      </c>
      <c r="C6110" t="s">
        <v>40</v>
      </c>
      <c r="D6110">
        <v>5.6741449999999896</v>
      </c>
      <c r="E6110">
        <v>0.45099089999999997</v>
      </c>
      <c r="F6110" t="s">
        <v>108</v>
      </c>
      <c r="G6110">
        <v>-242.03899999999999</v>
      </c>
      <c r="H6110" s="1">
        <v>-3.92007E-7</v>
      </c>
      <c r="I6110">
        <v>-62.376139999999999</v>
      </c>
      <c r="J6110">
        <v>-259.9776</v>
      </c>
      <c r="K6110">
        <v>1.1106309999999999</v>
      </c>
      <c r="L6110">
        <v>-63.82761</v>
      </c>
      <c r="M6110">
        <v>0.99965139999999997</v>
      </c>
      <c r="N6110">
        <v>0</v>
      </c>
      <c r="O6110">
        <v>-2.1390180000000002E-2</v>
      </c>
      <c r="P6110">
        <v>0.99822449999999996</v>
      </c>
      <c r="Q6110">
        <v>-3.1771720000000003E-2</v>
      </c>
      <c r="R6110">
        <v>-5.038463E-2</v>
      </c>
      <c r="S6110">
        <v>3.0118710000000002</v>
      </c>
      <c r="T6110">
        <v>-0.18569910000000001</v>
      </c>
      <c r="U6110">
        <v>0.24249270000000001</v>
      </c>
      <c r="V6110">
        <v>2.9028189999999999E-2</v>
      </c>
      <c r="W6110">
        <v>-1.628694E-2</v>
      </c>
      <c r="X6110">
        <v>0.9994459</v>
      </c>
      <c r="Y6110">
        <v>-0.101326399999999</v>
      </c>
      <c r="Z6110">
        <v>4.4315040000000002E-3</v>
      </c>
      <c r="AA6110">
        <v>0.99484340000000004</v>
      </c>
      <c r="AB6110">
        <v>13</v>
      </c>
      <c r="AC6110">
        <v>17.938599999999902</v>
      </c>
      <c r="AD6110">
        <v>-1.1106313920069999</v>
      </c>
      <c r="AE6110">
        <v>1.45147</v>
      </c>
      <c r="AF6110">
        <v>-1.8279324010590701</v>
      </c>
      <c r="AG6110">
        <v>-1.1106313920069999</v>
      </c>
      <c r="AH6110">
        <v>17.835521170457302</v>
      </c>
      <c r="AI6110">
        <v>93.5447302821036</v>
      </c>
      <c r="AJ6110">
        <v>95.851716095369099</v>
      </c>
      <c r="AK6110">
        <v>17.963314125561102</v>
      </c>
      <c r="AL6110">
        <v>90.933214180983796</v>
      </c>
      <c r="AM6110">
        <v>88.336352836033896</v>
      </c>
      <c r="AN6110">
        <v>1.0000000036280201</v>
      </c>
    </row>
    <row r="6111" spans="1:40" x14ac:dyDescent="0.25">
      <c r="A6111" t="str">
        <f>"20190312161141051"</f>
        <v>20190312161141051</v>
      </c>
      <c r="B6111" t="str">
        <f>"1552378301042924"</f>
        <v>1552378301042924</v>
      </c>
      <c r="C6111" t="s">
        <v>40</v>
      </c>
      <c r="D6111">
        <v>5.6865860000000001</v>
      </c>
      <c r="E6111">
        <v>0.45103140000000003</v>
      </c>
      <c r="F6111" t="s">
        <v>108</v>
      </c>
      <c r="G6111">
        <v>-241.9308</v>
      </c>
      <c r="H6111" s="1">
        <v>-3.4315380000000002E-7</v>
      </c>
      <c r="I6111">
        <v>-62.366979999999998</v>
      </c>
      <c r="J6111">
        <v>-259.90609999999998</v>
      </c>
      <c r="K6111">
        <v>1.1106309999999999</v>
      </c>
      <c r="L6111">
        <v>-63.828670000000002</v>
      </c>
      <c r="M6111">
        <v>0.9996623</v>
      </c>
      <c r="N6111">
        <v>0</v>
      </c>
      <c r="O6111">
        <v>-2.0993399999999999E-2</v>
      </c>
      <c r="P6111">
        <v>0.99825699999999995</v>
      </c>
      <c r="Q6111">
        <v>-3.1672489999999998E-2</v>
      </c>
      <c r="R6111">
        <v>-4.9804809999999998E-2</v>
      </c>
      <c r="S6111">
        <v>3.0117189999999998</v>
      </c>
      <c r="T6111">
        <v>-0.1853456</v>
      </c>
      <c r="U6111">
        <v>0.24374390000000001</v>
      </c>
      <c r="V6111">
        <v>2.8844209999999999E-2</v>
      </c>
      <c r="W6111">
        <v>-1.6340250000000001E-2</v>
      </c>
      <c r="X6111">
        <v>0.99945030000000001</v>
      </c>
      <c r="Y6111">
        <v>-0.1013477</v>
      </c>
      <c r="Z6111">
        <v>4.3995229999999998E-3</v>
      </c>
      <c r="AA6111">
        <v>0.99484130000000004</v>
      </c>
      <c r="AB6111">
        <v>13</v>
      </c>
      <c r="AC6111">
        <v>17.975299999999901</v>
      </c>
      <c r="AD6111">
        <v>-1.1106313431538</v>
      </c>
      <c r="AE6111">
        <v>1.4616899999999899</v>
      </c>
      <c r="AF6111">
        <v>-1.83182751631353</v>
      </c>
      <c r="AG6111">
        <v>-1.1106313431538</v>
      </c>
      <c r="AH6111">
        <v>17.872865334457401</v>
      </c>
      <c r="AI6111">
        <v>93.537341117270401</v>
      </c>
      <c r="AJ6111">
        <v>95.851931106087804</v>
      </c>
      <c r="AK6111">
        <v>18.000789129745598</v>
      </c>
      <c r="AL6111">
        <v>90.936269078344907</v>
      </c>
      <c r="AM6111">
        <v>88.346898397786703</v>
      </c>
      <c r="AN6111">
        <v>0.99999994719533603</v>
      </c>
    </row>
    <row r="6112" spans="1:40" x14ac:dyDescent="0.25">
      <c r="A6112" t="str">
        <f>"20190312161141064"</f>
        <v>20190312161141064</v>
      </c>
      <c r="B6112" t="str">
        <f>"1552378301053660"</f>
        <v>1552378301053660</v>
      </c>
      <c r="C6112" t="s">
        <v>40</v>
      </c>
      <c r="D6112">
        <v>5.6628170000000004</v>
      </c>
      <c r="E6112">
        <v>0.45111659999999998</v>
      </c>
      <c r="F6112" t="s">
        <v>108</v>
      </c>
      <c r="G6112">
        <v>-241.76730000000001</v>
      </c>
      <c r="H6112" s="1">
        <v>-2.6924359999999998E-7</v>
      </c>
      <c r="I6112">
        <v>-62.35266</v>
      </c>
      <c r="J6112">
        <v>-259.8331</v>
      </c>
      <c r="K6112">
        <v>1.1106290000000001</v>
      </c>
      <c r="L6112">
        <v>-63.829740000000001</v>
      </c>
      <c r="M6112">
        <v>0.99967289999999998</v>
      </c>
      <c r="N6112">
        <v>0</v>
      </c>
      <c r="O6112">
        <v>-2.058594E-2</v>
      </c>
      <c r="P6112">
        <v>0.99830359999999996</v>
      </c>
      <c r="Q6112">
        <v>-3.1309339999999998E-2</v>
      </c>
      <c r="R6112">
        <v>-4.908933E-2</v>
      </c>
      <c r="S6112">
        <v>3.0116269999999998</v>
      </c>
      <c r="T6112">
        <v>-0.18440090000000001</v>
      </c>
      <c r="U6112">
        <v>0.2450562</v>
      </c>
      <c r="V6112">
        <v>2.8535000000000001E-2</v>
      </c>
      <c r="W6112">
        <v>-1.6124989999999999E-2</v>
      </c>
      <c r="X6112">
        <v>0.99946270000000004</v>
      </c>
      <c r="Y6112">
        <v>-0.1013783</v>
      </c>
      <c r="Z6112">
        <v>4.3532329999999998E-3</v>
      </c>
      <c r="AA6112">
        <v>0.99483840000000001</v>
      </c>
      <c r="AB6112">
        <v>13</v>
      </c>
      <c r="AC6112">
        <v>18.065799999999999</v>
      </c>
      <c r="AD6112">
        <v>-1.1106292692435999</v>
      </c>
      <c r="AE6112">
        <v>1.4770799999999999</v>
      </c>
      <c r="AF6112">
        <v>-1.8417965468131201</v>
      </c>
      <c r="AG6112">
        <v>-1.1106292692435999</v>
      </c>
      <c r="AH6112">
        <v>17.9641172697069</v>
      </c>
      <c r="AI6112">
        <v>93.519399065758805</v>
      </c>
      <c r="AJ6112">
        <v>95.853876731602796</v>
      </c>
      <c r="AK6112">
        <v>18.092407832384701</v>
      </c>
      <c r="AL6112">
        <v>90.923933937132702</v>
      </c>
      <c r="AM6112">
        <v>88.364630254101996</v>
      </c>
      <c r="AN6112">
        <v>0.99999997510939398</v>
      </c>
    </row>
    <row r="6113" spans="1:40" x14ac:dyDescent="0.25">
      <c r="A6113" t="str">
        <f>"20190312161141075"</f>
        <v>20190312161141075</v>
      </c>
      <c r="B6113" t="str">
        <f>"1552378301063420"</f>
        <v>1552378301063420</v>
      </c>
      <c r="C6113" t="s">
        <v>40</v>
      </c>
      <c r="D6113">
        <v>5.6676209999999996</v>
      </c>
      <c r="E6113">
        <v>0.45124900000000001</v>
      </c>
      <c r="F6113" t="s">
        <v>108</v>
      </c>
      <c r="G6113">
        <v>-241.5985</v>
      </c>
      <c r="H6113" s="1">
        <v>-1.925654E-7</v>
      </c>
      <c r="I6113">
        <v>-62.336779999999997</v>
      </c>
      <c r="J6113">
        <v>-259.76620000000003</v>
      </c>
      <c r="K6113">
        <v>1.1106339999999999</v>
      </c>
      <c r="L6113">
        <v>-63.830689999999997</v>
      </c>
      <c r="M6113">
        <v>0.99968230000000002</v>
      </c>
      <c r="N6113">
        <v>0</v>
      </c>
      <c r="O6113">
        <v>-2.0214119999999999E-2</v>
      </c>
      <c r="P6113">
        <v>0.99831650000000005</v>
      </c>
      <c r="Q6113">
        <v>-3.1519390000000001E-2</v>
      </c>
      <c r="R6113">
        <v>-4.8694130000000002E-2</v>
      </c>
      <c r="S6113">
        <v>3.011444</v>
      </c>
      <c r="T6113">
        <v>-0.1834201</v>
      </c>
      <c r="U6113">
        <v>0.24655150000000001</v>
      </c>
      <c r="V6113">
        <v>2.8511379999999999E-2</v>
      </c>
      <c r="W6113">
        <v>-1.6448600000000001E-2</v>
      </c>
      <c r="X6113">
        <v>0.99945810000000002</v>
      </c>
      <c r="Y6113">
        <v>-0.10150670000000001</v>
      </c>
      <c r="Z6113">
        <v>4.3115999999999996E-3</v>
      </c>
      <c r="AA6113">
        <v>0.99482550000000003</v>
      </c>
      <c r="AB6113">
        <v>13</v>
      </c>
      <c r="AC6113">
        <v>18.1677</v>
      </c>
      <c r="AD6113">
        <v>-1.1106341925654</v>
      </c>
      <c r="AE6113">
        <v>1.4939099999999901</v>
      </c>
      <c r="AF6113">
        <v>-1.8540081874166501</v>
      </c>
      <c r="AG6113">
        <v>-1.1106341925654</v>
      </c>
      <c r="AH6113">
        <v>18.066720685108098</v>
      </c>
      <c r="AI6113">
        <v>93.499444009496003</v>
      </c>
      <c r="AJ6113">
        <v>95.859187028385094</v>
      </c>
      <c r="AK6113">
        <v>18.1955283238057</v>
      </c>
      <c r="AL6113">
        <v>90.942477885155199</v>
      </c>
      <c r="AM6113">
        <v>88.365975689563598</v>
      </c>
      <c r="AN6113">
        <v>0.99999997444353605</v>
      </c>
    </row>
    <row r="6114" spans="1:40" x14ac:dyDescent="0.25">
      <c r="A6114" t="str">
        <f>"20190312161141085"</f>
        <v>20190312161141085</v>
      </c>
      <c r="B6114" t="str">
        <f>"1552378301073181"</f>
        <v>1552378301073181</v>
      </c>
      <c r="C6114" t="s">
        <v>40</v>
      </c>
      <c r="D6114">
        <v>5.6592510000000003</v>
      </c>
      <c r="E6114">
        <v>0.45129010000000003</v>
      </c>
      <c r="F6114" t="s">
        <v>108</v>
      </c>
      <c r="G6114">
        <v>-241.60329999999999</v>
      </c>
      <c r="H6114" s="1">
        <v>-1.962344E-7</v>
      </c>
      <c r="I6114">
        <v>-62.342799999999997</v>
      </c>
      <c r="J6114">
        <v>-259.70609999999999</v>
      </c>
      <c r="K6114">
        <v>1.1106370000000001</v>
      </c>
      <c r="L6114">
        <v>-63.831539999999997</v>
      </c>
      <c r="M6114">
        <v>0.99969050000000004</v>
      </c>
      <c r="N6114">
        <v>0</v>
      </c>
      <c r="O6114">
        <v>-1.9879939999999999E-2</v>
      </c>
      <c r="P6114">
        <v>0.99833830000000001</v>
      </c>
      <c r="Q6114">
        <v>-3.1476530000000003E-2</v>
      </c>
      <c r="R6114">
        <v>-4.8270399999999998E-2</v>
      </c>
      <c r="S6114">
        <v>3.0112920000000001</v>
      </c>
      <c r="T6114">
        <v>-0.1841362</v>
      </c>
      <c r="U6114">
        <v>0.24667359999999999</v>
      </c>
      <c r="V6114">
        <v>2.8421160000000001E-2</v>
      </c>
      <c r="W6114">
        <v>-1.650534E-2</v>
      </c>
      <c r="X6114">
        <v>0.99945969999999995</v>
      </c>
      <c r="Y6114">
        <v>-0.1012176</v>
      </c>
      <c r="Z6114">
        <v>4.2994080000000002E-3</v>
      </c>
      <c r="AA6114">
        <v>0.99485500000000004</v>
      </c>
      <c r="AB6114">
        <v>13</v>
      </c>
      <c r="AC6114">
        <v>18.102799999999998</v>
      </c>
      <c r="AD6114">
        <v>-1.1106371962343999</v>
      </c>
      <c r="AE6114">
        <v>1.48874</v>
      </c>
      <c r="AF6114">
        <v>-1.84148372252898</v>
      </c>
      <c r="AG6114">
        <v>-1.1106371962343999</v>
      </c>
      <c r="AH6114">
        <v>18.002316214937299</v>
      </c>
      <c r="AI6114">
        <v>93.512058407885803</v>
      </c>
      <c r="AJ6114">
        <v>95.840556122907103</v>
      </c>
      <c r="AK6114">
        <v>18.130305192814401</v>
      </c>
      <c r="AL6114">
        <v>90.945729321497794</v>
      </c>
      <c r="AM6114">
        <v>88.371146131497198</v>
      </c>
      <c r="AN6114">
        <v>0.99999994025417305</v>
      </c>
    </row>
    <row r="6115" spans="1:40" x14ac:dyDescent="0.25">
      <c r="A6115" t="str">
        <f>"20190312161141096"</f>
        <v>20190312161141096</v>
      </c>
      <c r="B6115" t="str">
        <f>"1552378301093677"</f>
        <v>1552378301093677</v>
      </c>
      <c r="C6115" t="s">
        <v>40</v>
      </c>
      <c r="D6115">
        <v>5.7217419999999999</v>
      </c>
      <c r="E6115">
        <v>0.4514107</v>
      </c>
      <c r="F6115" t="s">
        <v>108</v>
      </c>
      <c r="G6115">
        <v>-241.48699999999999</v>
      </c>
      <c r="H6115" s="1">
        <v>-1.4388909999999999E-7</v>
      </c>
      <c r="I6115">
        <v>-62.333629999999999</v>
      </c>
      <c r="J6115">
        <v>-259.6388</v>
      </c>
      <c r="K6115">
        <v>1.1106339999999999</v>
      </c>
      <c r="L6115">
        <v>-63.832430000000002</v>
      </c>
      <c r="M6115">
        <v>0.99969920000000001</v>
      </c>
      <c r="N6115">
        <v>0</v>
      </c>
      <c r="O6115">
        <v>-1.950905E-2</v>
      </c>
      <c r="P6115">
        <v>0.99836729999999996</v>
      </c>
      <c r="Q6115">
        <v>-3.1309940000000001E-2</v>
      </c>
      <c r="R6115">
        <v>-4.7776480000000003E-2</v>
      </c>
      <c r="S6115">
        <v>3.0111690000000002</v>
      </c>
      <c r="T6115">
        <v>-0.1835611</v>
      </c>
      <c r="U6115">
        <v>0.24755859999999999</v>
      </c>
      <c r="V6115">
        <v>2.829738E-2</v>
      </c>
      <c r="W6115">
        <v>-1.6435330000000001E-2</v>
      </c>
      <c r="X6115">
        <v>0.99946449999999998</v>
      </c>
      <c r="Y6115">
        <v>-0.1011445</v>
      </c>
      <c r="Z6115">
        <v>4.2613420000000004E-3</v>
      </c>
      <c r="AA6115">
        <v>0.99486260000000004</v>
      </c>
      <c r="AB6115">
        <v>13</v>
      </c>
      <c r="AC6115">
        <v>18.151800000000001</v>
      </c>
      <c r="AD6115">
        <v>-1.1106341438891001</v>
      </c>
      <c r="AE6115">
        <v>1.4987999999999899</v>
      </c>
      <c r="AF6115">
        <v>-1.8458147717920199</v>
      </c>
      <c r="AG6115">
        <v>-1.1106341438891001</v>
      </c>
      <c r="AH6115">
        <v>18.051977401214199</v>
      </c>
      <c r="AI6115">
        <v>93.502425848075205</v>
      </c>
      <c r="AJ6115">
        <v>95.838203870344501</v>
      </c>
      <c r="AK6115">
        <v>18.180055788343601</v>
      </c>
      <c r="AL6115">
        <v>90.941717373329396</v>
      </c>
      <c r="AM6115">
        <v>88.378244113026099</v>
      </c>
      <c r="AN6115">
        <v>1.0000000742736499</v>
      </c>
    </row>
    <row r="6116" spans="1:40" x14ac:dyDescent="0.25">
      <c r="A6116" t="str">
        <f>"20190312161141108"</f>
        <v>20190312161141108</v>
      </c>
      <c r="B6116" t="str">
        <f>"1552378301103438"</f>
        <v>1552378301103438</v>
      </c>
      <c r="C6116" t="s">
        <v>40</v>
      </c>
      <c r="D6116">
        <v>5.6723540000000003</v>
      </c>
      <c r="E6116">
        <v>0.4514862</v>
      </c>
      <c r="F6116" t="s">
        <v>108</v>
      </c>
      <c r="G6116">
        <v>-241.32599999999999</v>
      </c>
      <c r="H6116" s="1">
        <v>-7.2182839999999994E-8</v>
      </c>
      <c r="I6116">
        <v>-62.323610000000002</v>
      </c>
      <c r="J6116">
        <v>-259.57530000000003</v>
      </c>
      <c r="K6116">
        <v>1.110638</v>
      </c>
      <c r="L6116">
        <v>-63.83325</v>
      </c>
      <c r="M6116">
        <v>0.99970720000000002</v>
      </c>
      <c r="N6116">
        <v>0</v>
      </c>
      <c r="O6116">
        <v>-1.9159200000000001E-2</v>
      </c>
      <c r="P6116">
        <v>0.99839690000000003</v>
      </c>
      <c r="Q6116">
        <v>-3.1147459999999998E-2</v>
      </c>
      <c r="R6116">
        <v>-4.7259990000000002E-2</v>
      </c>
      <c r="S6116">
        <v>3.0110779999999999</v>
      </c>
      <c r="T6116">
        <v>-0.182616</v>
      </c>
      <c r="U6116">
        <v>0.2480774</v>
      </c>
      <c r="V6116">
        <v>2.8129910000000001E-2</v>
      </c>
      <c r="W6116">
        <v>-1.636029E-2</v>
      </c>
      <c r="X6116">
        <v>0.99947039999999998</v>
      </c>
      <c r="Y6116">
        <v>-0.1009722</v>
      </c>
      <c r="Z6116">
        <v>4.2131590000000002E-3</v>
      </c>
      <c r="AA6116">
        <v>0.99488030000000005</v>
      </c>
      <c r="AB6116">
        <v>13</v>
      </c>
      <c r="AC6116">
        <v>18.249300000000002</v>
      </c>
      <c r="AD6116">
        <v>-1.1106380721828399</v>
      </c>
      <c r="AE6116">
        <v>1.5096400000000001</v>
      </c>
      <c r="AF6116">
        <v>-1.8522292799811</v>
      </c>
      <c r="AG6116">
        <v>-1.1106380721828399</v>
      </c>
      <c r="AH6116">
        <v>18.1502540726262</v>
      </c>
      <c r="AI6116">
        <v>93.483591013491704</v>
      </c>
      <c r="AJ6116">
        <v>95.826849832805195</v>
      </c>
      <c r="AK6116">
        <v>18.2782929491209</v>
      </c>
      <c r="AL6116">
        <v>90.937417375109703</v>
      </c>
      <c r="AM6116">
        <v>88.3878464458639</v>
      </c>
      <c r="AN6116">
        <v>1.00000001570082</v>
      </c>
    </row>
    <row r="6117" spans="1:40" x14ac:dyDescent="0.25">
      <c r="A6117" t="str">
        <f>"20190312161141125"</f>
        <v>20190312161141125</v>
      </c>
      <c r="B6117" t="str">
        <f>"1552378301113197"</f>
        <v>1552378301113197</v>
      </c>
      <c r="C6117" t="s">
        <v>40</v>
      </c>
      <c r="D6117">
        <v>5.6615609999999998</v>
      </c>
      <c r="E6117">
        <v>0.45154430000000001</v>
      </c>
      <c r="F6117" t="s">
        <v>108</v>
      </c>
      <c r="G6117">
        <v>-241.26750000000001</v>
      </c>
      <c r="H6117" s="1">
        <v>-4.5749739999999999E-8</v>
      </c>
      <c r="I6117">
        <v>-62.318640000000002</v>
      </c>
      <c r="J6117">
        <v>-259.47019999999998</v>
      </c>
      <c r="K6117">
        <v>1.110643</v>
      </c>
      <c r="L6117">
        <v>-63.834589999999999</v>
      </c>
      <c r="M6117">
        <v>0.99972019999999995</v>
      </c>
      <c r="N6117">
        <v>0</v>
      </c>
      <c r="O6117">
        <v>-1.8580989999999999E-2</v>
      </c>
      <c r="P6117">
        <v>0.99844010000000005</v>
      </c>
      <c r="Q6117">
        <v>-3.0927349999999999E-2</v>
      </c>
      <c r="R6117">
        <v>-4.6490110000000001E-2</v>
      </c>
      <c r="S6117">
        <v>3.0109249999999999</v>
      </c>
      <c r="T6117">
        <v>-0.1826566</v>
      </c>
      <c r="U6117">
        <v>0.24908449999999999</v>
      </c>
      <c r="V6117">
        <v>2.7937239999999999E-2</v>
      </c>
      <c r="W6117">
        <v>-1.627288E-2</v>
      </c>
      <c r="X6117">
        <v>0.99947719999999995</v>
      </c>
      <c r="Y6117">
        <v>-0.1007328</v>
      </c>
      <c r="Z6117">
        <v>4.1720079999999996E-3</v>
      </c>
      <c r="AA6117">
        <v>0.99490480000000003</v>
      </c>
      <c r="AB6117">
        <v>13</v>
      </c>
      <c r="AC6117">
        <v>18.202699999999901</v>
      </c>
      <c r="AD6117">
        <v>-1.11064304574974</v>
      </c>
      <c r="AE6117">
        <v>1.5159499999999999</v>
      </c>
      <c r="AF6117">
        <v>-1.84711944434869</v>
      </c>
      <c r="AG6117">
        <v>-1.11064304574974</v>
      </c>
      <c r="AH6117">
        <v>18.104449736088</v>
      </c>
      <c r="AI6117">
        <v>93.492406791078395</v>
      </c>
      <c r="AJ6117">
        <v>95.8254857503767</v>
      </c>
      <c r="AK6117">
        <v>18.232292188951401</v>
      </c>
      <c r="AL6117">
        <v>90.932408513238499</v>
      </c>
      <c r="AM6117">
        <v>88.398893678285603</v>
      </c>
      <c r="AN6117">
        <v>0.99999998466107498</v>
      </c>
    </row>
    <row r="6118" spans="1:40" x14ac:dyDescent="0.25">
      <c r="A6118" t="str">
        <f>"20190312161141136"</f>
        <v>20190312161141136</v>
      </c>
      <c r="B6118" t="str">
        <f>"1552378301122957"</f>
        <v>1552378301122957</v>
      </c>
      <c r="C6118" t="s">
        <v>40</v>
      </c>
      <c r="D6118">
        <v>5.6848700000000001</v>
      </c>
      <c r="E6118">
        <v>0.45161570000000001</v>
      </c>
      <c r="F6118" t="s">
        <v>108</v>
      </c>
      <c r="G6118">
        <v>-241.0478</v>
      </c>
      <c r="H6118" s="1">
        <v>5.3752160000000002E-8</v>
      </c>
      <c r="I6118">
        <v>-62.298839999999998</v>
      </c>
      <c r="J6118">
        <v>-259.40480000000002</v>
      </c>
      <c r="K6118">
        <v>1.110646</v>
      </c>
      <c r="L6118">
        <v>-63.835389999999997</v>
      </c>
      <c r="M6118">
        <v>0.99972780000000006</v>
      </c>
      <c r="N6118">
        <v>0</v>
      </c>
      <c r="O6118">
        <v>-1.822035E-2</v>
      </c>
      <c r="P6118">
        <v>0.99845629999999996</v>
      </c>
      <c r="Q6118">
        <v>-3.0508449999999999E-2</v>
      </c>
      <c r="R6118">
        <v>-4.6415339999999999E-2</v>
      </c>
      <c r="S6118">
        <v>3.010742</v>
      </c>
      <c r="T6118">
        <v>-0.18151120000000001</v>
      </c>
      <c r="U6118">
        <v>0.25097659999999999</v>
      </c>
      <c r="V6118">
        <v>2.8222540000000001E-2</v>
      </c>
      <c r="W6118">
        <v>-1.592944E-2</v>
      </c>
      <c r="X6118">
        <v>0.99947470000000005</v>
      </c>
      <c r="Y6118">
        <v>-0.1010027</v>
      </c>
      <c r="Z6118">
        <v>4.1324559999999996E-3</v>
      </c>
      <c r="AA6118">
        <v>0.99487760000000003</v>
      </c>
      <c r="AB6118">
        <v>13</v>
      </c>
      <c r="AC6118">
        <v>18.356999999999999</v>
      </c>
      <c r="AD6118">
        <v>-1.11064594624784</v>
      </c>
      <c r="AE6118">
        <v>1.5365499999999901</v>
      </c>
      <c r="AF6118">
        <v>-1.8640254460818599</v>
      </c>
      <c r="AG6118">
        <v>-1.11064594624784</v>
      </c>
      <c r="AH6118">
        <v>18.259577277140298</v>
      </c>
      <c r="AI6118">
        <v>93.462797327557695</v>
      </c>
      <c r="AJ6118">
        <v>95.828836598826797</v>
      </c>
      <c r="AK6118">
        <v>18.3880474118764</v>
      </c>
      <c r="AL6118">
        <v>90.9127283149097</v>
      </c>
      <c r="AM6118">
        <v>88.382547497426501</v>
      </c>
      <c r="AN6118">
        <v>0.99999996738142705</v>
      </c>
    </row>
    <row r="6119" spans="1:40" x14ac:dyDescent="0.25">
      <c r="A6119" t="str">
        <f>"20190312161141148"</f>
        <v>20190312161141148</v>
      </c>
      <c r="B6119" t="str">
        <f>"1552378301143456"</f>
        <v>1552378301143456</v>
      </c>
      <c r="C6119" t="s">
        <v>40</v>
      </c>
      <c r="D6119">
        <v>5.6746359999999996</v>
      </c>
      <c r="E6119">
        <v>0.45176450000000001</v>
      </c>
      <c r="F6119" t="s">
        <v>108</v>
      </c>
      <c r="G6119">
        <v>-240.80449999999999</v>
      </c>
      <c r="H6119" s="1">
        <v>1.6131389999999999E-7</v>
      </c>
      <c r="I6119">
        <v>-62.28689</v>
      </c>
      <c r="J6119">
        <v>-259.34059999999999</v>
      </c>
      <c r="K6119">
        <v>1.1106510000000001</v>
      </c>
      <c r="L6119">
        <v>-63.836150000000004</v>
      </c>
      <c r="M6119">
        <v>0.99973540000000005</v>
      </c>
      <c r="N6119">
        <v>0</v>
      </c>
      <c r="O6119">
        <v>-1.7866170000000001E-2</v>
      </c>
      <c r="P6119">
        <v>0.99848190000000003</v>
      </c>
      <c r="Q6119">
        <v>-3.0338819999999999E-2</v>
      </c>
      <c r="R6119">
        <v>-4.5978940000000003E-2</v>
      </c>
      <c r="S6119">
        <v>3.0107729999999999</v>
      </c>
      <c r="T6119">
        <v>-0.17977699999999999</v>
      </c>
      <c r="U6119">
        <v>0.2506409</v>
      </c>
      <c r="V6119">
        <v>2.813947E-2</v>
      </c>
      <c r="W6119">
        <v>-1.5831270000000001E-2</v>
      </c>
      <c r="X6119">
        <v>0.99947859999999999</v>
      </c>
      <c r="Y6119">
        <v>-0.1005447</v>
      </c>
      <c r="Z6119">
        <v>4.058285E-3</v>
      </c>
      <c r="AA6119">
        <v>0.99492420000000004</v>
      </c>
      <c r="AB6119">
        <v>13</v>
      </c>
      <c r="AC6119">
        <v>18.536100000000001</v>
      </c>
      <c r="AD6119">
        <v>-1.1106508386861</v>
      </c>
      <c r="AE6119">
        <v>1.5492600000000001</v>
      </c>
      <c r="AF6119">
        <v>-1.8735368416636999</v>
      </c>
      <c r="AG6119">
        <v>-1.1106508386861</v>
      </c>
      <c r="AH6119">
        <v>18.439715569766399</v>
      </c>
      <c r="AI6119">
        <v>93.429231333305495</v>
      </c>
      <c r="AJ6119">
        <v>95.801534153880695</v>
      </c>
      <c r="AK6119">
        <v>18.567896915817698</v>
      </c>
      <c r="AL6119">
        <v>90.907102880502094</v>
      </c>
      <c r="AM6119">
        <v>88.387312065953296</v>
      </c>
      <c r="AN6119">
        <v>0.99999996536982605</v>
      </c>
    </row>
    <row r="6120" spans="1:40" x14ac:dyDescent="0.25">
      <c r="A6120" t="str">
        <f>"20190312161141159"</f>
        <v>20190312161141159</v>
      </c>
      <c r="B6120" t="str">
        <f>"1552378301153212"</f>
        <v>1552378301153212</v>
      </c>
      <c r="C6120" t="s">
        <v>40</v>
      </c>
      <c r="D6120">
        <v>5.7225190000000001</v>
      </c>
      <c r="E6120">
        <v>0.45176450000000001</v>
      </c>
      <c r="F6120" t="s">
        <v>108</v>
      </c>
      <c r="G6120">
        <v>-240.59690000000001</v>
      </c>
      <c r="H6120" s="1">
        <v>2.5346040000000002E-7</v>
      </c>
      <c r="I6120">
        <v>-62.275289999999998</v>
      </c>
      <c r="J6120">
        <v>-259.27190000000002</v>
      </c>
      <c r="K6120">
        <v>1.110654</v>
      </c>
      <c r="L6120">
        <v>-63.836939999999998</v>
      </c>
      <c r="M6120">
        <v>0.9997431</v>
      </c>
      <c r="N6120">
        <v>0</v>
      </c>
      <c r="O6120">
        <v>-1.7485759999999999E-2</v>
      </c>
      <c r="P6120">
        <v>0.99848599999999998</v>
      </c>
      <c r="Q6120">
        <v>-3.0367310000000002E-2</v>
      </c>
      <c r="R6120">
        <v>-4.5868100000000002E-2</v>
      </c>
      <c r="S6120">
        <v>3.0106809999999999</v>
      </c>
      <c r="T6120">
        <v>-0.17839650000000001</v>
      </c>
      <c r="U6120">
        <v>0.25070189999999998</v>
      </c>
      <c r="V6120">
        <v>2.8409090000000001E-2</v>
      </c>
      <c r="W6120">
        <v>-1.5931520000000001E-2</v>
      </c>
      <c r="X6120">
        <v>0.99946939999999995</v>
      </c>
      <c r="Y6120">
        <v>-0.10019309999999999</v>
      </c>
      <c r="Z6120">
        <v>3.9944120000000001E-3</v>
      </c>
      <c r="AA6120">
        <v>0.99495999999999996</v>
      </c>
      <c r="AB6120">
        <v>13</v>
      </c>
      <c r="AC6120">
        <v>18.675000000000001</v>
      </c>
      <c r="AD6120">
        <v>-1.1106537465396</v>
      </c>
      <c r="AE6120">
        <v>1.56165</v>
      </c>
      <c r="AF6120">
        <v>-1.88138346434839</v>
      </c>
      <c r="AG6120">
        <v>-1.1106537465396</v>
      </c>
      <c r="AH6120">
        <v>18.579574974718</v>
      </c>
      <c r="AI6120">
        <v>93.403604052277103</v>
      </c>
      <c r="AJ6120">
        <v>95.782110019338802</v>
      </c>
      <c r="AK6120">
        <v>18.707585673351701</v>
      </c>
      <c r="AL6120">
        <v>90.912847488600207</v>
      </c>
      <c r="AM6120">
        <v>88.371853299629805</v>
      </c>
      <c r="AN6120">
        <v>0.99999998563024906</v>
      </c>
    </row>
    <row r="6121" spans="1:40" x14ac:dyDescent="0.25">
      <c r="A6121" t="str">
        <f>"20190312161141171"</f>
        <v>20190312161141171</v>
      </c>
      <c r="B6121" t="str">
        <f>"1552378301162974"</f>
        <v>1552378301162974</v>
      </c>
      <c r="C6121" t="s">
        <v>40</v>
      </c>
      <c r="D6121">
        <v>5.7140399999999998</v>
      </c>
      <c r="E6121">
        <v>0.45185009999999998</v>
      </c>
      <c r="F6121" t="s">
        <v>108</v>
      </c>
      <c r="G6121">
        <v>-240.54730000000001</v>
      </c>
      <c r="H6121" s="1">
        <v>2.7465199999999999E-7</v>
      </c>
      <c r="I6121">
        <v>-62.275570000000002</v>
      </c>
      <c r="J6121">
        <v>-259.20400000000001</v>
      </c>
      <c r="K6121">
        <v>1.1106560000000001</v>
      </c>
      <c r="L6121">
        <v>-63.837710000000001</v>
      </c>
      <c r="M6121">
        <v>0.99975060000000004</v>
      </c>
      <c r="N6121">
        <v>0</v>
      </c>
      <c r="O6121">
        <v>-1.710969E-2</v>
      </c>
      <c r="P6121">
        <v>0.99850050000000001</v>
      </c>
      <c r="Q6121">
        <v>-3.0353640000000001E-2</v>
      </c>
      <c r="R6121">
        <v>-4.555903E-2</v>
      </c>
      <c r="S6121">
        <v>3.0106510000000002</v>
      </c>
      <c r="T6121">
        <v>-0.17857770000000001</v>
      </c>
      <c r="U6121">
        <v>0.25103760000000003</v>
      </c>
      <c r="V6121">
        <v>2.84757E-2</v>
      </c>
      <c r="W6121">
        <v>-1.5983290000000001E-2</v>
      </c>
      <c r="X6121">
        <v>0.99946670000000004</v>
      </c>
      <c r="Y6121">
        <v>-9.9930550000000007E-2</v>
      </c>
      <c r="Z6121">
        <v>3.9684589999999997E-3</v>
      </c>
      <c r="AA6121">
        <v>0.9949865</v>
      </c>
      <c r="AB6121">
        <v>13</v>
      </c>
      <c r="AC6121">
        <v>18.656700000000001</v>
      </c>
      <c r="AD6121">
        <v>-1.1106557253479901</v>
      </c>
      <c r="AE6121">
        <v>1.5621399999999901</v>
      </c>
      <c r="AF6121">
        <v>-1.8745574090617501</v>
      </c>
      <c r="AG6121">
        <v>-1.1106557253479901</v>
      </c>
      <c r="AH6121">
        <v>18.5619131931964</v>
      </c>
      <c r="AI6121">
        <v>93.406933371902696</v>
      </c>
      <c r="AJ6121">
        <v>95.766717644703405</v>
      </c>
      <c r="AK6121">
        <v>18.689359085101799</v>
      </c>
      <c r="AL6121">
        <v>90.915814048635497</v>
      </c>
      <c r="AM6121">
        <v>88.368033485226206</v>
      </c>
      <c r="AN6121">
        <v>1.0000000077293001</v>
      </c>
    </row>
    <row r="6122" spans="1:40" x14ac:dyDescent="0.25">
      <c r="A6122" t="str">
        <f>"20190312161141182"</f>
        <v>20190312161141182</v>
      </c>
      <c r="B6122" t="str">
        <f>"1552378301173710"</f>
        <v>1552378301173710</v>
      </c>
      <c r="C6122" t="s">
        <v>40</v>
      </c>
      <c r="D6122">
        <v>5.6935640000000003</v>
      </c>
      <c r="E6122">
        <v>0.45198149999999998</v>
      </c>
      <c r="F6122" t="s">
        <v>108</v>
      </c>
      <c r="G6122">
        <v>-240.50399999999999</v>
      </c>
      <c r="H6122" s="1">
        <v>2.9286100000000002E-7</v>
      </c>
      <c r="I6122">
        <v>-62.277009999999997</v>
      </c>
      <c r="J6122">
        <v>-259.13909999999998</v>
      </c>
      <c r="K6122">
        <v>1.1106590000000001</v>
      </c>
      <c r="L6122">
        <v>-63.838410000000003</v>
      </c>
      <c r="M6122">
        <v>0.99975749999999997</v>
      </c>
      <c r="N6122">
        <v>0</v>
      </c>
      <c r="O6122">
        <v>-1.6750589999999999E-2</v>
      </c>
      <c r="P6122">
        <v>0.99849710000000003</v>
      </c>
      <c r="Q6122">
        <v>-3.0432270000000001E-2</v>
      </c>
      <c r="R6122">
        <v>-4.5582249999999998E-2</v>
      </c>
      <c r="S6122">
        <v>3.0105590000000002</v>
      </c>
      <c r="T6122">
        <v>-0.17880739999999901</v>
      </c>
      <c r="U6122">
        <v>0.25125120000000001</v>
      </c>
      <c r="V6122">
        <v>2.8857959999999998E-2</v>
      </c>
      <c r="W6122">
        <v>-1.6121570000000002E-2</v>
      </c>
      <c r="X6122">
        <v>0.99945349999999999</v>
      </c>
      <c r="Y6122">
        <v>-9.9646369999999998E-2</v>
      </c>
      <c r="Z6122">
        <v>3.9439660000000001E-3</v>
      </c>
      <c r="AA6122">
        <v>0.99501510000000004</v>
      </c>
      <c r="AB6122">
        <v>13</v>
      </c>
      <c r="AC6122">
        <v>18.635099999999898</v>
      </c>
      <c r="AD6122">
        <v>-1.1106587071389999</v>
      </c>
      <c r="AE6122">
        <v>1.5613999999999899</v>
      </c>
      <c r="AF6122">
        <v>-1.8667767679976099</v>
      </c>
      <c r="AG6122">
        <v>-1.1106587071389999</v>
      </c>
      <c r="AH6122">
        <v>18.540925914488501</v>
      </c>
      <c r="AI6122">
        <v>93.410893576764096</v>
      </c>
      <c r="AJ6122">
        <v>95.749399473194003</v>
      </c>
      <c r="AK6122">
        <v>18.667735589294999</v>
      </c>
      <c r="AL6122">
        <v>90.923737943773403</v>
      </c>
      <c r="AM6122">
        <v>88.346116096218395</v>
      </c>
      <c r="AN6122">
        <v>0.99999999276843798</v>
      </c>
    </row>
    <row r="6123" spans="1:40" x14ac:dyDescent="0.25">
      <c r="A6123" t="str">
        <f>"20190312161141193"</f>
        <v>20190312161141193</v>
      </c>
      <c r="B6123" t="str">
        <f>"1552378301183469"</f>
        <v>1552378301183469</v>
      </c>
      <c r="C6123" t="s">
        <v>40</v>
      </c>
      <c r="D6123">
        <v>5.7226410000000003</v>
      </c>
      <c r="E6123">
        <v>0.45210499999999998</v>
      </c>
      <c r="F6123" t="s">
        <v>108</v>
      </c>
      <c r="G6123">
        <v>-240.47120000000001</v>
      </c>
      <c r="H6123" s="1">
        <v>3.0420009999999998E-7</v>
      </c>
      <c r="I6123">
        <v>-62.28734</v>
      </c>
      <c r="J6123">
        <v>-259.07929999999999</v>
      </c>
      <c r="K6123">
        <v>1.1106590000000001</v>
      </c>
      <c r="L6123">
        <v>-63.838990000000003</v>
      </c>
      <c r="M6123">
        <v>0.99976370000000003</v>
      </c>
      <c r="N6123">
        <v>0</v>
      </c>
      <c r="O6123">
        <v>-1.641886E-2</v>
      </c>
      <c r="P6123">
        <v>0.99849920000000003</v>
      </c>
      <c r="Q6123">
        <v>-3.0465570000000001E-2</v>
      </c>
      <c r="R6123">
        <v>-4.551707E-2</v>
      </c>
      <c r="S6123">
        <v>3.0104679999999999</v>
      </c>
      <c r="T6123">
        <v>-0.17910899999999999</v>
      </c>
      <c r="U6123">
        <v>0.25012210000000001</v>
      </c>
      <c r="V6123">
        <v>2.912418E-2</v>
      </c>
      <c r="W6123">
        <v>-1.62057E-2</v>
      </c>
      <c r="X6123">
        <v>0.99944440000000001</v>
      </c>
      <c r="Y6123">
        <v>-9.8949140000000005E-2</v>
      </c>
      <c r="Z6123">
        <v>3.910406E-3</v>
      </c>
      <c r="AA6123">
        <v>0.99508479999999999</v>
      </c>
      <c r="AB6123">
        <v>13</v>
      </c>
      <c r="AC6123">
        <v>18.608099999999901</v>
      </c>
      <c r="AD6123">
        <v>-1.1106586957998901</v>
      </c>
      <c r="AE6123">
        <v>1.55165</v>
      </c>
      <c r="AF6123">
        <v>-1.85044885775273</v>
      </c>
      <c r="AG6123">
        <v>-1.1106586957998901</v>
      </c>
      <c r="AH6123">
        <v>18.514609046006601</v>
      </c>
      <c r="AI6123">
        <v>93.415980387668199</v>
      </c>
      <c r="AJ6123">
        <v>95.707492223803001</v>
      </c>
      <c r="AK6123">
        <v>18.6399697381778</v>
      </c>
      <c r="AL6123">
        <v>90.928558883459402</v>
      </c>
      <c r="AM6123">
        <v>88.3308521148126</v>
      </c>
      <c r="AN6123">
        <v>0.99999997563226095</v>
      </c>
    </row>
    <row r="6124" spans="1:40" x14ac:dyDescent="0.25">
      <c r="A6124" t="str">
        <f>"20190312161141204"</f>
        <v>20190312161141204</v>
      </c>
      <c r="B6124" t="str">
        <f>"1552378301193228"</f>
        <v>1552378301193228</v>
      </c>
      <c r="C6124" t="s">
        <v>40</v>
      </c>
      <c r="D6124">
        <v>5.7098360000000001</v>
      </c>
      <c r="E6124">
        <v>0.45220709999999997</v>
      </c>
      <c r="F6124" t="s">
        <v>108</v>
      </c>
      <c r="G6124">
        <v>-240.41380000000001</v>
      </c>
      <c r="H6124" s="1">
        <v>3.2746710000000002E-7</v>
      </c>
      <c r="I6124">
        <v>-62.292430000000003</v>
      </c>
      <c r="J6124">
        <v>-259.01369999999997</v>
      </c>
      <c r="K6124">
        <v>1.1106590000000001</v>
      </c>
      <c r="L6124">
        <v>-63.839689999999997</v>
      </c>
      <c r="M6124">
        <v>0.9997703</v>
      </c>
      <c r="N6124">
        <v>0</v>
      </c>
      <c r="O6124">
        <v>-1.605527E-2</v>
      </c>
      <c r="P6124">
        <v>0.99850369999999999</v>
      </c>
      <c r="Q6124">
        <v>-3.0622980000000001E-2</v>
      </c>
      <c r="R6124">
        <v>-4.530679E-2</v>
      </c>
      <c r="S6124">
        <v>3.0103759999999999</v>
      </c>
      <c r="T6124">
        <v>-0.17912709999999901</v>
      </c>
      <c r="U6124">
        <v>0.24942020000000001</v>
      </c>
      <c r="V6124">
        <v>2.9277439999999998E-2</v>
      </c>
      <c r="W6124">
        <v>-1.6418099999999901E-2</v>
      </c>
      <c r="X6124">
        <v>0.99943649999999995</v>
      </c>
      <c r="Y6124">
        <v>-9.8360929999999999E-2</v>
      </c>
      <c r="Z6124">
        <v>3.8719140000000002E-3</v>
      </c>
      <c r="AA6124">
        <v>0.99514329999999995</v>
      </c>
      <c r="AB6124">
        <v>13</v>
      </c>
      <c r="AC6124">
        <v>18.599899999999899</v>
      </c>
      <c r="AD6124">
        <v>-1.1106586725329</v>
      </c>
      <c r="AE6124">
        <v>1.5472600000000001</v>
      </c>
      <c r="AF6124">
        <v>-1.8392041374063199</v>
      </c>
      <c r="AG6124">
        <v>-1.1106586725329</v>
      </c>
      <c r="AH6124">
        <v>18.507121315761999</v>
      </c>
      <c r="AI6124">
        <v>93.417549913918606</v>
      </c>
      <c r="AJ6124">
        <v>95.675316376427602</v>
      </c>
      <c r="AK6124">
        <v>18.631418999696599</v>
      </c>
      <c r="AL6124">
        <v>90.940730084948498</v>
      </c>
      <c r="AM6124">
        <v>88.322060320304701</v>
      </c>
      <c r="AN6124">
        <v>1.0000000200164001</v>
      </c>
    </row>
    <row r="6125" spans="1:40" x14ac:dyDescent="0.25">
      <c r="A6125" t="str">
        <f>"20190312161141216"</f>
        <v>20190312161141216</v>
      </c>
      <c r="B6125" t="str">
        <f>"1552378301202989"</f>
        <v>1552378301202989</v>
      </c>
      <c r="C6125" t="s">
        <v>40</v>
      </c>
      <c r="D6125">
        <v>5.701149</v>
      </c>
      <c r="E6125">
        <v>0.45228930000000001</v>
      </c>
      <c r="F6125" t="s">
        <v>108</v>
      </c>
      <c r="G6125">
        <v>-240.37459999999999</v>
      </c>
      <c r="H6125" s="1">
        <v>3.431365E-7</v>
      </c>
      <c r="I6125">
        <v>-62.296610000000001</v>
      </c>
      <c r="J6125">
        <v>-258.94330000000002</v>
      </c>
      <c r="K6125">
        <v>1.1106529999999999</v>
      </c>
      <c r="L6125">
        <v>-63.840330000000002</v>
      </c>
      <c r="M6125">
        <v>0.99977740000000004</v>
      </c>
      <c r="N6125">
        <v>0</v>
      </c>
      <c r="O6125">
        <v>-1.5665450000000001E-2</v>
      </c>
      <c r="P6125">
        <v>0.99851069999999997</v>
      </c>
      <c r="Q6125">
        <v>-3.0594900000000001E-2</v>
      </c>
      <c r="R6125">
        <v>-4.5172400000000001E-2</v>
      </c>
      <c r="S6125">
        <v>3.0103149999999999</v>
      </c>
      <c r="T6125">
        <v>-0.17937739999999999</v>
      </c>
      <c r="U6125">
        <v>0.2492065</v>
      </c>
      <c r="V6125">
        <v>2.9532610000000001E-2</v>
      </c>
      <c r="W6125">
        <v>-1.6446099999999901E-2</v>
      </c>
      <c r="X6125">
        <v>0.99942850000000005</v>
      </c>
      <c r="Y6125">
        <v>-9.7905329999999999E-2</v>
      </c>
      <c r="Z6125">
        <v>3.8406899999999999E-3</v>
      </c>
      <c r="AA6125">
        <v>0.99518830000000003</v>
      </c>
      <c r="AB6125">
        <v>13</v>
      </c>
      <c r="AC6125">
        <v>18.5687</v>
      </c>
      <c r="AD6125">
        <v>-1.1106526568635</v>
      </c>
      <c r="AE6125">
        <v>1.54372</v>
      </c>
      <c r="AF6125">
        <v>-1.82795181099741</v>
      </c>
      <c r="AG6125">
        <v>-1.1106526568635</v>
      </c>
      <c r="AH6125">
        <v>18.476587110609699</v>
      </c>
      <c r="AI6125">
        <v>93.4233149487969</v>
      </c>
      <c r="AJ6125">
        <v>95.650080856682493</v>
      </c>
      <c r="AK6125">
        <v>18.599979258146401</v>
      </c>
      <c r="AL6125">
        <v>90.942334613609603</v>
      </c>
      <c r="AM6125">
        <v>88.307431024760106</v>
      </c>
      <c r="AN6125">
        <v>0.99999998793543599</v>
      </c>
    </row>
    <row r="6126" spans="1:40" x14ac:dyDescent="0.25">
      <c r="A6126" t="str">
        <f>"20190312161141228"</f>
        <v>20190312161141228</v>
      </c>
      <c r="B6126" t="str">
        <f>"1552378301213725"</f>
        <v>1552378301213725</v>
      </c>
      <c r="C6126" t="s">
        <v>40</v>
      </c>
      <c r="D6126">
        <v>5.7041399999999998</v>
      </c>
      <c r="E6126">
        <v>0.45240459999999899</v>
      </c>
      <c r="F6126" t="s">
        <v>108</v>
      </c>
      <c r="G6126">
        <v>-240.2722</v>
      </c>
      <c r="H6126" s="1">
        <v>3.871435E-7</v>
      </c>
      <c r="I6126">
        <v>-62.296439999999997</v>
      </c>
      <c r="J6126">
        <v>-258.87700000000001</v>
      </c>
      <c r="K6126">
        <v>1.1106510000000001</v>
      </c>
      <c r="L6126">
        <v>-63.840969999999999</v>
      </c>
      <c r="M6126">
        <v>0.9997838</v>
      </c>
      <c r="N6126">
        <v>0</v>
      </c>
      <c r="O6126">
        <v>-1.529843E-2</v>
      </c>
      <c r="P6126">
        <v>0.9985349</v>
      </c>
      <c r="Q6126">
        <v>-3.0436729999999999E-2</v>
      </c>
      <c r="R6126">
        <v>-4.4742570000000002E-2</v>
      </c>
      <c r="S6126">
        <v>3.0102229999999999</v>
      </c>
      <c r="T6126">
        <v>-0.17906320000000001</v>
      </c>
      <c r="U6126">
        <v>0.24890139999999999</v>
      </c>
      <c r="V6126">
        <v>2.9469240000000001E-2</v>
      </c>
      <c r="W6126">
        <v>-1.6339739999999998E-2</v>
      </c>
      <c r="X6126">
        <v>0.99943210000000005</v>
      </c>
      <c r="Y6126">
        <v>-9.74444E-2</v>
      </c>
      <c r="Z6126">
        <v>3.798648E-3</v>
      </c>
      <c r="AA6126">
        <v>0.9952337</v>
      </c>
      <c r="AB6126">
        <v>13</v>
      </c>
      <c r="AC6126">
        <v>18.604800000000001</v>
      </c>
      <c r="AD6126">
        <v>-1.1106506128564999</v>
      </c>
      <c r="AE6126">
        <v>1.54452999999999</v>
      </c>
      <c r="AF6126">
        <v>-1.8225510437780701</v>
      </c>
      <c r="AG6126">
        <v>-1.1106506128564999</v>
      </c>
      <c r="AH6126">
        <v>18.513465649198199</v>
      </c>
      <c r="AI6126">
        <v>93.416668489741397</v>
      </c>
      <c r="AJ6126">
        <v>95.622345107514207</v>
      </c>
      <c r="AK6126">
        <v>18.6360845521546</v>
      </c>
      <c r="AL6126">
        <v>90.936239829563704</v>
      </c>
      <c r="AM6126">
        <v>88.311066852027693</v>
      </c>
      <c r="AN6126">
        <v>0.99999997285992703</v>
      </c>
    </row>
    <row r="6127" spans="1:40" x14ac:dyDescent="0.25">
      <c r="A6127" t="str">
        <f>"20190312161141241"</f>
        <v>20190312161141241</v>
      </c>
      <c r="B6127" t="str">
        <f>"1552378301233245"</f>
        <v>1552378301233245</v>
      </c>
      <c r="C6127" t="s">
        <v>40</v>
      </c>
      <c r="D6127">
        <v>5.7086560000000004</v>
      </c>
      <c r="E6127">
        <v>0.452596</v>
      </c>
      <c r="F6127" t="s">
        <v>108</v>
      </c>
      <c r="G6127">
        <v>-240.13120000000001</v>
      </c>
      <c r="H6127" s="1">
        <v>4.4980130000000002E-7</v>
      </c>
      <c r="I6127">
        <v>-62.288209999999999</v>
      </c>
      <c r="J6127">
        <v>-258.79989999999998</v>
      </c>
      <c r="K6127">
        <v>1.1106469999999999</v>
      </c>
      <c r="L6127">
        <v>-63.841639999999998</v>
      </c>
      <c r="M6127">
        <v>0.99979090000000004</v>
      </c>
      <c r="N6127">
        <v>0</v>
      </c>
      <c r="O6127">
        <v>-1.487226E-2</v>
      </c>
      <c r="P6127">
        <v>0.99855210000000005</v>
      </c>
      <c r="Q6127">
        <v>-3.033025E-2</v>
      </c>
      <c r="R6127">
        <v>-4.442492E-2</v>
      </c>
      <c r="S6127">
        <v>3.010132</v>
      </c>
      <c r="T6127">
        <v>-0.1783448</v>
      </c>
      <c r="U6127">
        <v>0.24932860000000001</v>
      </c>
      <c r="V6127">
        <v>2.957719E-2</v>
      </c>
      <c r="W6127">
        <v>-1.6291150000000001E-2</v>
      </c>
      <c r="X6127">
        <v>0.99942969999999998</v>
      </c>
      <c r="Y6127">
        <v>-9.716574E-2</v>
      </c>
      <c r="Z6127">
        <v>3.750101E-3</v>
      </c>
      <c r="AA6127">
        <v>0.99526110000000001</v>
      </c>
      <c r="AB6127">
        <v>13</v>
      </c>
      <c r="AC6127">
        <v>18.668699999999902</v>
      </c>
      <c r="AD6127">
        <v>-1.1106465501987</v>
      </c>
      <c r="AE6127">
        <v>1.5534300000000001</v>
      </c>
      <c r="AF6127">
        <v>-1.8245180638276399</v>
      </c>
      <c r="AG6127">
        <v>-1.1106465501987</v>
      </c>
      <c r="AH6127">
        <v>18.578226873319</v>
      </c>
      <c r="AI6127">
        <v>93.404852574669405</v>
      </c>
      <c r="AJ6127">
        <v>95.608879740394201</v>
      </c>
      <c r="AK6127">
        <v>18.700612708711301</v>
      </c>
      <c r="AL6127">
        <v>90.933455461025503</v>
      </c>
      <c r="AM6127">
        <v>88.304879585434307</v>
      </c>
      <c r="AN6127">
        <v>0.99999996848935302</v>
      </c>
    </row>
    <row r="6128" spans="1:40" x14ac:dyDescent="0.25">
      <c r="A6128" t="str">
        <f>"20190312161141253"</f>
        <v>20190312161141253</v>
      </c>
      <c r="B6128" t="str">
        <f>"1552378301243005"</f>
        <v>1552378301243005</v>
      </c>
      <c r="C6128" t="s">
        <v>40</v>
      </c>
      <c r="D6128">
        <v>5.727068</v>
      </c>
      <c r="E6128">
        <v>0.45268969999999997</v>
      </c>
      <c r="F6128" t="s">
        <v>108</v>
      </c>
      <c r="G6128">
        <v>-240.02709999999999</v>
      </c>
      <c r="H6128" s="1">
        <v>4.9392790000000004E-7</v>
      </c>
      <c r="I6128">
        <v>-62.290199999999999</v>
      </c>
      <c r="J6128">
        <v>-258.73099999999999</v>
      </c>
      <c r="K6128">
        <v>1.110643</v>
      </c>
      <c r="L6128">
        <v>-63.842219999999998</v>
      </c>
      <c r="M6128">
        <v>0.9997973</v>
      </c>
      <c r="N6128">
        <v>0</v>
      </c>
      <c r="O6128">
        <v>-1.449169E-2</v>
      </c>
      <c r="P6128">
        <v>0.99858650000000004</v>
      </c>
      <c r="Q6128">
        <v>-3.0154770000000001E-2</v>
      </c>
      <c r="R6128">
        <v>-4.3773560000000003E-2</v>
      </c>
      <c r="S6128">
        <v>3.0100099999999999</v>
      </c>
      <c r="T6128">
        <v>-0.17808009999999999</v>
      </c>
      <c r="U6128">
        <v>0.24874879999999999</v>
      </c>
      <c r="V6128">
        <v>2.9305540000000001E-2</v>
      </c>
      <c r="W6128">
        <v>-1.6164060000000001E-2</v>
      </c>
      <c r="X6128">
        <v>0.99943979999999999</v>
      </c>
      <c r="Y6128">
        <v>-9.6601989999999999E-2</v>
      </c>
      <c r="Z6128">
        <v>3.7056250000000002E-3</v>
      </c>
      <c r="AA6128">
        <v>0.99531619999999998</v>
      </c>
      <c r="AB6128">
        <v>13</v>
      </c>
      <c r="AC6128">
        <v>18.703900000000001</v>
      </c>
      <c r="AD6128">
        <v>-1.1106425060720999</v>
      </c>
      <c r="AE6128">
        <v>1.55201999999999</v>
      </c>
      <c r="AF6128">
        <v>-1.81657312585473</v>
      </c>
      <c r="AG6128">
        <v>-1.1106425060720999</v>
      </c>
      <c r="AH6128">
        <v>18.614256596678199</v>
      </c>
      <c r="AI6128">
        <v>93.398468081616898</v>
      </c>
      <c r="AJ6128">
        <v>95.573868952527704</v>
      </c>
      <c r="AK6128">
        <v>18.7356348529974</v>
      </c>
      <c r="AL6128">
        <v>90.926172749559399</v>
      </c>
      <c r="AM6128">
        <v>88.320456326116499</v>
      </c>
      <c r="AN6128">
        <v>1.0000000026672</v>
      </c>
    </row>
    <row r="6129" spans="1:40" x14ac:dyDescent="0.25">
      <c r="A6129" t="str">
        <f>"20190312161141273"</f>
        <v>20190312161141273</v>
      </c>
      <c r="B6129" t="str">
        <f>"1552378301263502"</f>
        <v>1552378301263502</v>
      </c>
      <c r="C6129" t="s">
        <v>40</v>
      </c>
      <c r="D6129">
        <v>5.720631</v>
      </c>
      <c r="E6129">
        <v>0.45286379999999998</v>
      </c>
      <c r="F6129" t="s">
        <v>107</v>
      </c>
      <c r="G6129">
        <v>-239.9015</v>
      </c>
      <c r="H6129" s="1">
        <v>-3.5796969999999999E-6</v>
      </c>
      <c r="I6129">
        <v>-62.278530000000003</v>
      </c>
      <c r="J6129">
        <v>-258.61930000000001</v>
      </c>
      <c r="K6129">
        <v>1.110636</v>
      </c>
      <c r="L6129">
        <v>-63.84308</v>
      </c>
      <c r="M6129">
        <v>0.99980709999999995</v>
      </c>
      <c r="N6129">
        <v>0</v>
      </c>
      <c r="O6129">
        <v>-1.387411E-2</v>
      </c>
      <c r="P6129">
        <v>0.99861650000000002</v>
      </c>
      <c r="Q6129">
        <v>-3.0222740000000001E-2</v>
      </c>
      <c r="R6129">
        <v>-4.3034450000000002E-2</v>
      </c>
      <c r="S6129">
        <v>3.009811</v>
      </c>
      <c r="T6129">
        <v>-0.17753139999999901</v>
      </c>
      <c r="U6129">
        <v>0.24993899999999999</v>
      </c>
      <c r="V6129">
        <v>2.9183259999999999E-2</v>
      </c>
      <c r="W6129">
        <v>-1.6306729999999998E-2</v>
      </c>
      <c r="X6129">
        <v>0.99944109999999997</v>
      </c>
      <c r="Y6129">
        <v>-9.6386079999999999E-2</v>
      </c>
      <c r="Z6129">
        <v>3.6517120000000001E-3</v>
      </c>
      <c r="AA6129">
        <v>0.99533729999999998</v>
      </c>
      <c r="AB6129">
        <v>13</v>
      </c>
      <c r="AC6129">
        <v>18.7178</v>
      </c>
      <c r="AD6129">
        <v>-1.1106395796969999</v>
      </c>
      <c r="AE6129">
        <v>1.5645500000000001</v>
      </c>
      <c r="AF6129">
        <v>-1.8177617950228699</v>
      </c>
      <c r="AG6129">
        <v>-1.1106395796969999</v>
      </c>
      <c r="AH6129">
        <v>18.629155466419299</v>
      </c>
      <c r="AI6129">
        <v>93.395752220143905</v>
      </c>
      <c r="AJ6129">
        <v>95.573060639017001</v>
      </c>
      <c r="AK6129">
        <v>18.750552301504499</v>
      </c>
      <c r="AL6129">
        <v>90.934348178979803</v>
      </c>
      <c r="AM6129">
        <v>88.327462558509097</v>
      </c>
      <c r="AN6129">
        <v>1.0000000422383599</v>
      </c>
    </row>
    <row r="6130" spans="1:40" x14ac:dyDescent="0.25">
      <c r="A6130" t="str">
        <f>"20190312161141293"</f>
        <v>20190312161141293</v>
      </c>
      <c r="B6130" t="str">
        <f>"1552378301283020"</f>
        <v>1552378301283020</v>
      </c>
      <c r="C6130" t="s">
        <v>40</v>
      </c>
      <c r="D6130">
        <v>5.7435780000000003</v>
      </c>
      <c r="E6130">
        <v>0.45286379999999998</v>
      </c>
      <c r="F6130" t="s">
        <v>107</v>
      </c>
      <c r="G6130">
        <v>-239.81209999999999</v>
      </c>
      <c r="H6130" s="1">
        <v>-3.5487859999999998E-6</v>
      </c>
      <c r="I6130">
        <v>-62.275779999999997</v>
      </c>
      <c r="J6130">
        <v>-258.49950000000001</v>
      </c>
      <c r="K6130">
        <v>1.110627</v>
      </c>
      <c r="L6130">
        <v>-63.843960000000003</v>
      </c>
      <c r="M6130">
        <v>0.99981710000000001</v>
      </c>
      <c r="N6130">
        <v>0</v>
      </c>
      <c r="O6130">
        <v>-1.3213030000000001E-2</v>
      </c>
      <c r="P6130">
        <v>0.99862680000000004</v>
      </c>
      <c r="Q6130">
        <v>-3.0750260000000001E-2</v>
      </c>
      <c r="R6130">
        <v>-4.2417839999999998E-2</v>
      </c>
      <c r="S6130">
        <v>3.0095830000000001</v>
      </c>
      <c r="T6130">
        <v>-0.17772750000000001</v>
      </c>
      <c r="U6130">
        <v>0.2507935</v>
      </c>
      <c r="V6130">
        <v>2.9227650000000001E-2</v>
      </c>
      <c r="W6130">
        <v>-1.6909629999999998E-2</v>
      </c>
      <c r="X6130">
        <v>0.99942980000000003</v>
      </c>
      <c r="Y6130">
        <v>-9.6016169999999998E-2</v>
      </c>
      <c r="Z6130">
        <v>3.6061280000000001E-3</v>
      </c>
      <c r="AA6130">
        <v>0.99537319999999996</v>
      </c>
      <c r="AB6130">
        <v>13</v>
      </c>
      <c r="AC6130">
        <v>18.6874</v>
      </c>
      <c r="AD6130">
        <v>-1.110630548786</v>
      </c>
      <c r="AE6130">
        <v>1.5681799999999899</v>
      </c>
      <c r="AF6130">
        <v>-1.8086401115365101</v>
      </c>
      <c r="AG6130">
        <v>-1.110630548786</v>
      </c>
      <c r="AH6130">
        <v>18.5998077072251</v>
      </c>
      <c r="AI6130">
        <v>93.401180219589193</v>
      </c>
      <c r="AJ6130">
        <v>95.553964247687205</v>
      </c>
      <c r="AK6130">
        <v>18.7205108374399</v>
      </c>
      <c r="AL6130">
        <v>90.968896553221896</v>
      </c>
      <c r="AM6130">
        <v>88.3249010193327</v>
      </c>
      <c r="AN6130">
        <v>1.00000005811964</v>
      </c>
    </row>
    <row r="6131" spans="1:40" x14ac:dyDescent="0.25">
      <c r="A6131" t="str">
        <f>"20190312161141304"</f>
        <v>20190312161141304</v>
      </c>
      <c r="B6131" t="str">
        <f>"1552378301293758"</f>
        <v>1552378301293758</v>
      </c>
      <c r="C6131" t="s">
        <v>40</v>
      </c>
      <c r="D6131">
        <v>5.9306950000000001</v>
      </c>
      <c r="E6131">
        <v>0.47148370000000001</v>
      </c>
      <c r="F6131" t="s">
        <v>107</v>
      </c>
      <c r="G6131">
        <v>-239.84819999999999</v>
      </c>
      <c r="H6131" s="1">
        <v>-3.5615239999999999E-6</v>
      </c>
      <c r="I6131">
        <v>-62.278179999999999</v>
      </c>
      <c r="J6131">
        <v>-258.43630000000002</v>
      </c>
      <c r="K6131">
        <v>1.1106210000000001</v>
      </c>
      <c r="L6131">
        <v>-63.8444199999999</v>
      </c>
      <c r="M6131">
        <v>0.99982210000000005</v>
      </c>
      <c r="N6131">
        <v>0</v>
      </c>
      <c r="O6131">
        <v>-1.2863889999999999E-2</v>
      </c>
      <c r="P6131">
        <v>0.99862609999999996</v>
      </c>
      <c r="Q6131">
        <v>-3.0953069999999999E-2</v>
      </c>
      <c r="R6131">
        <v>-4.2283809999999998E-2</v>
      </c>
      <c r="S6131">
        <v>3.0093380000000001</v>
      </c>
      <c r="T6131">
        <v>-0.1791972</v>
      </c>
      <c r="U6131">
        <v>0.25262449999999997</v>
      </c>
      <c r="V6131">
        <v>2.9442429999999999E-2</v>
      </c>
      <c r="W6131">
        <v>-1.7151079999999999E-2</v>
      </c>
      <c r="X6131">
        <v>0.99941930000000001</v>
      </c>
      <c r="Y6131">
        <v>-9.6273719999999993E-2</v>
      </c>
      <c r="Z6131">
        <v>3.6230059999999998E-3</v>
      </c>
      <c r="AA6131">
        <v>0.99534829999999996</v>
      </c>
      <c r="AB6131">
        <v>13</v>
      </c>
      <c r="AC6131">
        <v>18.588100000000001</v>
      </c>
      <c r="AD6131">
        <v>-1.11062456152399</v>
      </c>
      <c r="AE6131">
        <v>1.5662399999999801</v>
      </c>
      <c r="AF6131">
        <v>-1.7988717619811001</v>
      </c>
      <c r="AG6131">
        <v>-1.11062456152399</v>
      </c>
      <c r="AH6131">
        <v>18.500830023971002</v>
      </c>
      <c r="AI6131">
        <v>93.419317316384607</v>
      </c>
      <c r="AJ6131">
        <v>95.553523119380202</v>
      </c>
      <c r="AK6131">
        <v>18.621228157900401</v>
      </c>
      <c r="AL6131">
        <v>90.982732705019799</v>
      </c>
      <c r="AM6131">
        <v>88.312580892073896</v>
      </c>
      <c r="AN6131">
        <v>0.99999997672097996</v>
      </c>
    </row>
    <row r="6132" spans="1:40" x14ac:dyDescent="0.25">
      <c r="A6132" t="str">
        <f>"20190312161141316"</f>
        <v>20190312161141316</v>
      </c>
      <c r="B6132" t="str">
        <f>"1552378301303517"</f>
        <v>1552378301303517</v>
      </c>
      <c r="C6132" t="s">
        <v>40</v>
      </c>
      <c r="D6132">
        <v>6.0552080000000004</v>
      </c>
      <c r="E6132">
        <v>0.47148370000000001</v>
      </c>
      <c r="F6132" t="s">
        <v>108</v>
      </c>
      <c r="G6132">
        <v>-245.67160000000001</v>
      </c>
      <c r="H6132" s="1">
        <v>-2.2184190000000001E-6</v>
      </c>
      <c r="I6132">
        <v>-63.383490000000002</v>
      </c>
      <c r="J6132">
        <v>-258.37079999999997</v>
      </c>
      <c r="K6132">
        <v>1.1106180000000001</v>
      </c>
      <c r="L6132">
        <v>-63.844819999999999</v>
      </c>
      <c r="M6132">
        <v>0.99982720000000003</v>
      </c>
      <c r="N6132">
        <v>0</v>
      </c>
      <c r="O6132">
        <v>-1.2504380000000001E-2</v>
      </c>
      <c r="P6132">
        <v>0.99863539999999995</v>
      </c>
      <c r="Q6132">
        <v>-3.0994799999999999E-2</v>
      </c>
      <c r="R6132">
        <v>-4.2036549999999999E-2</v>
      </c>
      <c r="S6132">
        <v>3.000626</v>
      </c>
      <c r="T6132">
        <v>-0.2610768</v>
      </c>
      <c r="U6132">
        <v>0.1083374</v>
      </c>
      <c r="V6132">
        <v>2.9554190000000001E-2</v>
      </c>
      <c r="W6132">
        <v>-1.7232440000000002E-2</v>
      </c>
      <c r="X6132">
        <v>0.99941460000000004</v>
      </c>
      <c r="Y6132">
        <v>-4.8346409999999999E-2</v>
      </c>
      <c r="Z6132">
        <v>3.1843179999999998E-3</v>
      </c>
      <c r="AA6132">
        <v>0.99882559999999998</v>
      </c>
      <c r="AB6132">
        <v>13</v>
      </c>
      <c r="AC6132">
        <v>12.6991999999999</v>
      </c>
      <c r="AD6132">
        <v>-1.1106202184189999</v>
      </c>
      <c r="AE6132">
        <v>0.46132999999999602</v>
      </c>
      <c r="AF6132">
        <v>-0.61540383654243502</v>
      </c>
      <c r="AG6132">
        <v>-1.1106202184189999</v>
      </c>
      <c r="AH6132">
        <v>12.596222053803601</v>
      </c>
      <c r="AI6132">
        <v>95.032817936516906</v>
      </c>
      <c r="AJ6132">
        <v>92.797031369035295</v>
      </c>
      <c r="AK6132">
        <v>12.6600556547087</v>
      </c>
      <c r="AL6132">
        <v>90.987394980568993</v>
      </c>
      <c r="AM6132">
        <v>88.306171410940806</v>
      </c>
      <c r="AN6132">
        <v>0.99999997491403403</v>
      </c>
    </row>
    <row r="6133" spans="1:40" x14ac:dyDescent="0.25">
      <c r="A6133" t="str">
        <f>"20190312161141327"</f>
        <v>20190312161141327</v>
      </c>
      <c r="B6133" t="str">
        <f>"1552378301313277"</f>
        <v>1552378301313277</v>
      </c>
      <c r="C6133" t="s">
        <v>40</v>
      </c>
      <c r="D6133">
        <v>5.8885639999999997</v>
      </c>
      <c r="E6133">
        <v>0.52134809999999998</v>
      </c>
      <c r="F6133" t="s">
        <v>108</v>
      </c>
      <c r="G6133">
        <v>-245.6148</v>
      </c>
      <c r="H6133" s="1">
        <v>-2.1934579999999999E-6</v>
      </c>
      <c r="I6133">
        <v>-63.381210000000003</v>
      </c>
      <c r="J6133">
        <v>-258.30680000000001</v>
      </c>
      <c r="K6133">
        <v>1.1106119999999999</v>
      </c>
      <c r="L6133">
        <v>-63.845210000000002</v>
      </c>
      <c r="M6133">
        <v>0.99983219999999995</v>
      </c>
      <c r="N6133">
        <v>0</v>
      </c>
      <c r="O6133">
        <v>-1.215287E-2</v>
      </c>
      <c r="P6133">
        <v>0.99864660000000005</v>
      </c>
      <c r="Q6133">
        <v>-3.077293E-2</v>
      </c>
      <c r="R6133">
        <v>-4.1932799999999999E-2</v>
      </c>
      <c r="S6133">
        <v>3.00061</v>
      </c>
      <c r="T6133">
        <v>-0.26125179999999998</v>
      </c>
      <c r="U6133">
        <v>0.10903930000000001</v>
      </c>
      <c r="V6133">
        <v>2.980151E-2</v>
      </c>
      <c r="W6133">
        <v>-1.7049189999999999E-2</v>
      </c>
      <c r="X6133">
        <v>0.99941049999999998</v>
      </c>
      <c r="Y6133">
        <v>-4.8230219999999997E-2</v>
      </c>
      <c r="Z6133">
        <v>3.1508579999999999E-3</v>
      </c>
      <c r="AA6133">
        <v>0.99883129999999998</v>
      </c>
      <c r="AB6133">
        <v>13</v>
      </c>
      <c r="AC6133">
        <v>12.692</v>
      </c>
      <c r="AD6133">
        <v>-1.1106141934580001</v>
      </c>
      <c r="AE6133">
        <v>0.46399999999999803</v>
      </c>
      <c r="AF6133">
        <v>-0.61353281225845502</v>
      </c>
      <c r="AG6133">
        <v>-1.1106141934580001</v>
      </c>
      <c r="AH6133">
        <v>12.5891548770695</v>
      </c>
      <c r="AI6133">
        <v>95.035631067276199</v>
      </c>
      <c r="AJ6133">
        <v>92.790103873765005</v>
      </c>
      <c r="AK6133">
        <v>12.652932739775</v>
      </c>
      <c r="AL6133">
        <v>90.976893886996606</v>
      </c>
      <c r="AM6133">
        <v>88.2919982077117</v>
      </c>
      <c r="AN6133">
        <v>1.0000000761940899</v>
      </c>
    </row>
    <row r="6134" spans="1:40" x14ac:dyDescent="0.25">
      <c r="A6134" t="str">
        <f>"20190312161141338"</f>
        <v>20190312161141338</v>
      </c>
      <c r="B6134" t="str">
        <f>"1552378301333773"</f>
        <v>1552378301333773</v>
      </c>
      <c r="C6134" t="s">
        <v>40</v>
      </c>
      <c r="D6134">
        <v>5.8837529999999996</v>
      </c>
      <c r="E6134">
        <v>0.52839910000000001</v>
      </c>
      <c r="F6134" t="s">
        <v>42</v>
      </c>
      <c r="G6134">
        <v>-257.50740000000002</v>
      </c>
      <c r="H6134">
        <v>0.99079050000000002</v>
      </c>
      <c r="I6134">
        <v>-63.920430000000003</v>
      </c>
      <c r="J6134">
        <v>-258.24130000000002</v>
      </c>
      <c r="K6134">
        <v>1.1106049999999901</v>
      </c>
      <c r="L6134">
        <v>-63.845579999999998</v>
      </c>
      <c r="M6134">
        <v>0.99983699999999998</v>
      </c>
      <c r="N6134">
        <v>0</v>
      </c>
      <c r="O6134">
        <v>-1.179587E-2</v>
      </c>
      <c r="P6134">
        <v>0.99865559999999998</v>
      </c>
      <c r="Q6134">
        <v>-3.0772299999999999E-2</v>
      </c>
      <c r="R6134">
        <v>-4.172153E-2</v>
      </c>
      <c r="S6134">
        <v>2.978561</v>
      </c>
      <c r="T6134">
        <v>-0.44643060000000001</v>
      </c>
      <c r="U6134">
        <v>-0.27990720000000002</v>
      </c>
      <c r="V6134">
        <v>2.9946879999999999E-2</v>
      </c>
      <c r="W6134">
        <v>-1.7087829999999998E-2</v>
      </c>
      <c r="X6134">
        <v>0.9994054</v>
      </c>
      <c r="Y6134">
        <v>8.1043499999999893E-2</v>
      </c>
      <c r="Z6134">
        <v>-4.2724109999999899E-3</v>
      </c>
      <c r="AA6134">
        <v>0.99670139999999996</v>
      </c>
      <c r="AB6134">
        <v>13</v>
      </c>
      <c r="AC6134">
        <v>0.73390000000000499</v>
      </c>
      <c r="AD6134">
        <v>-0.11981449999999901</v>
      </c>
      <c r="AE6134">
        <v>-7.4849999999997793E-2</v>
      </c>
      <c r="AF6134">
        <v>6.4485948063070994E-2</v>
      </c>
      <c r="AG6134">
        <v>-0.11981449999999901</v>
      </c>
      <c r="AH6134">
        <v>0.71584888080100495</v>
      </c>
      <c r="AI6134">
        <v>99.464124707556607</v>
      </c>
      <c r="AJ6134">
        <v>84.852507551833995</v>
      </c>
      <c r="AK6134">
        <v>0.72866561058684098</v>
      </c>
      <c r="AL6134">
        <v>90.9791082109857</v>
      </c>
      <c r="AM6134">
        <v>88.283662894075405</v>
      </c>
      <c r="AN6134">
        <v>0.99999998155250103</v>
      </c>
    </row>
    <row r="6135" spans="1:40" x14ac:dyDescent="0.25">
      <c r="A6135" t="str">
        <f>"20190312161141349"</f>
        <v>20190312161141349</v>
      </c>
      <c r="B6135" t="str">
        <f>"1552378301343129"</f>
        <v>1552378301343129</v>
      </c>
      <c r="C6135" t="s">
        <v>40</v>
      </c>
      <c r="D6135">
        <v>5.6809750000000001</v>
      </c>
      <c r="E6135">
        <v>0.52969239999999995</v>
      </c>
      <c r="F6135" t="s">
        <v>42</v>
      </c>
      <c r="G6135">
        <v>-257.50850000000003</v>
      </c>
      <c r="H6135">
        <v>0.98857519999999999</v>
      </c>
      <c r="I6135">
        <v>-63.927779999999998</v>
      </c>
      <c r="J6135">
        <v>-258.17680000000001</v>
      </c>
      <c r="K6135">
        <v>1.1105969999999901</v>
      </c>
      <c r="L6135">
        <v>-63.845950000000002</v>
      </c>
      <c r="M6135">
        <v>0.99984150000000005</v>
      </c>
      <c r="N6135">
        <v>0</v>
      </c>
      <c r="O6135">
        <v>-1.14459E-2</v>
      </c>
      <c r="P6135">
        <v>0.99867830000000002</v>
      </c>
      <c r="Q6135">
        <v>-3.045107E-2</v>
      </c>
      <c r="R6135">
        <v>-4.1406579999999998E-2</v>
      </c>
      <c r="S6135">
        <v>2.9748230000000002</v>
      </c>
      <c r="T6135">
        <v>-0.49546210000000002</v>
      </c>
      <c r="U6135">
        <v>-0.333374</v>
      </c>
      <c r="V6135">
        <v>2.998112E-2</v>
      </c>
      <c r="W6135">
        <v>-1.6805190000000001E-2</v>
      </c>
      <c r="X6135">
        <v>0.9994092</v>
      </c>
      <c r="Y6135">
        <v>9.8796960000000003E-2</v>
      </c>
      <c r="Z6135">
        <v>-6.2587930000000003E-3</v>
      </c>
      <c r="AA6135">
        <v>0.99508790000000003</v>
      </c>
      <c r="AB6135">
        <v>13</v>
      </c>
      <c r="AC6135">
        <v>0.66829999999998702</v>
      </c>
      <c r="AD6135">
        <v>-0.122021799999999</v>
      </c>
      <c r="AE6135">
        <v>-8.1830000000003594E-2</v>
      </c>
      <c r="AF6135">
        <v>7.1815842498023794E-2</v>
      </c>
      <c r="AG6135">
        <v>-0.122021799999999</v>
      </c>
      <c r="AH6135">
        <v>0.64791225504677796</v>
      </c>
      <c r="AI6135">
        <v>100.602185379555</v>
      </c>
      <c r="AJ6135">
        <v>83.675043763631393</v>
      </c>
      <c r="AK6135">
        <v>0.66320217516888602</v>
      </c>
      <c r="AL6135">
        <v>90.962911772971196</v>
      </c>
      <c r="AM6135">
        <v>88.281708211829894</v>
      </c>
      <c r="AN6135">
        <v>1.00000001550601</v>
      </c>
    </row>
    <row r="6136" spans="1:40" x14ac:dyDescent="0.25">
      <c r="A6136" t="str">
        <f>"20190312161141362"</f>
        <v>20190312161141362</v>
      </c>
      <c r="B6136" t="str">
        <f>"1552378301353850"</f>
        <v>1552378301353850</v>
      </c>
      <c r="C6136" t="s">
        <v>40</v>
      </c>
      <c r="D6136">
        <v>5.9424330000000003</v>
      </c>
      <c r="E6136">
        <v>0.53012459999999995</v>
      </c>
      <c r="F6136" t="s">
        <v>42</v>
      </c>
      <c r="G6136">
        <v>-257.399</v>
      </c>
      <c r="H6136">
        <v>0.97864850000000003</v>
      </c>
      <c r="I6136">
        <v>-63.935670000000002</v>
      </c>
      <c r="J6136">
        <v>-258.10059999999999</v>
      </c>
      <c r="K6136">
        <v>1.1105879999999999</v>
      </c>
      <c r="L6136">
        <v>-63.846339999999998</v>
      </c>
      <c r="M6136">
        <v>0.99984689999999998</v>
      </c>
      <c r="N6136">
        <v>0</v>
      </c>
      <c r="O6136">
        <v>-1.1034159999999999E-2</v>
      </c>
      <c r="P6136">
        <v>0.99868619999999997</v>
      </c>
      <c r="Q6136">
        <v>-3.0617289999999998E-2</v>
      </c>
      <c r="R6136">
        <v>-4.1093449999999997E-2</v>
      </c>
      <c r="S6136">
        <v>2.9743650000000001</v>
      </c>
      <c r="T6136">
        <v>-0.50463690000000005</v>
      </c>
      <c r="U6136">
        <v>-0.34228520000000001</v>
      </c>
      <c r="V6136">
        <v>3.0079419999999999E-2</v>
      </c>
      <c r="W6136">
        <v>-1.70172E-2</v>
      </c>
      <c r="X6136">
        <v>0.99940260000000003</v>
      </c>
      <c r="Y6136">
        <v>0.10207040000000001</v>
      </c>
      <c r="Z6136">
        <v>-6.7169630000000003E-3</v>
      </c>
      <c r="AA6136">
        <v>0.99475449999999999</v>
      </c>
      <c r="AB6136">
        <v>13</v>
      </c>
      <c r="AC6136">
        <v>0.70159999999998401</v>
      </c>
      <c r="AD6136">
        <v>-0.13193949999999899</v>
      </c>
      <c r="AE6136">
        <v>-8.9329999999989695E-2</v>
      </c>
      <c r="AF6136">
        <v>7.8838649143152806E-2</v>
      </c>
      <c r="AG6136">
        <v>-0.13193949999999899</v>
      </c>
      <c r="AH6136">
        <v>0.67891636675162204</v>
      </c>
      <c r="AI6136">
        <v>100.926047612025</v>
      </c>
      <c r="AJ6136">
        <v>83.376238119059707</v>
      </c>
      <c r="AK6136">
        <v>0.69609697406481397</v>
      </c>
      <c r="AL6136">
        <v>90.975060845684794</v>
      </c>
      <c r="AM6136">
        <v>88.276066413049193</v>
      </c>
      <c r="AN6136">
        <v>0.99999995674506703</v>
      </c>
    </row>
    <row r="6137" spans="1:40" x14ac:dyDescent="0.25">
      <c r="A6137" t="str">
        <f>"20190312161141374"</f>
        <v>20190312161141374</v>
      </c>
      <c r="B6137" t="str">
        <f>"1552378301363608"</f>
        <v>1552378301363608</v>
      </c>
      <c r="C6137" t="s">
        <v>40</v>
      </c>
      <c r="D6137">
        <v>5.897958</v>
      </c>
      <c r="E6137">
        <v>0.53053030000000001</v>
      </c>
      <c r="F6137" t="s">
        <v>42</v>
      </c>
      <c r="G6137">
        <v>-257.39389999999997</v>
      </c>
      <c r="H6137">
        <v>0.98889450000000001</v>
      </c>
      <c r="I6137">
        <v>-63.928449999999998</v>
      </c>
      <c r="J6137">
        <v>-258.03640000000001</v>
      </c>
      <c r="K6137">
        <v>1.1105780000000001</v>
      </c>
      <c r="L6137">
        <v>-63.846620000000001</v>
      </c>
      <c r="M6137">
        <v>0.99985109999999999</v>
      </c>
      <c r="N6137">
        <v>0</v>
      </c>
      <c r="O6137">
        <v>-1.069147E-2</v>
      </c>
      <c r="P6137">
        <v>0.99870389999999998</v>
      </c>
      <c r="Q6137">
        <v>-3.0694539999999999E-2</v>
      </c>
      <c r="R6137">
        <v>-4.060275E-2</v>
      </c>
      <c r="S6137">
        <v>2.9740600000000001</v>
      </c>
      <c r="T6137">
        <v>-0.51224269999999905</v>
      </c>
      <c r="U6137">
        <v>-0.34463500000000002</v>
      </c>
      <c r="V6137">
        <v>2.9930910000000002E-2</v>
      </c>
      <c r="W6137">
        <v>-1.7134409999999999E-2</v>
      </c>
      <c r="X6137">
        <v>0.99940510000000005</v>
      </c>
      <c r="Y6137">
        <v>0.1031392</v>
      </c>
      <c r="Z6137">
        <v>-6.9665940000000004E-3</v>
      </c>
      <c r="AA6137">
        <v>0.99464260000000004</v>
      </c>
      <c r="AB6137">
        <v>13</v>
      </c>
      <c r="AC6137">
        <v>0.64250000000004004</v>
      </c>
      <c r="AD6137">
        <v>-0.1216835</v>
      </c>
      <c r="AE6137">
        <v>-8.1830000000003594E-2</v>
      </c>
      <c r="AF6137">
        <v>7.2399972685460903E-2</v>
      </c>
      <c r="AG6137">
        <v>-0.1216835</v>
      </c>
      <c r="AH6137">
        <v>0.62140495097390602</v>
      </c>
      <c r="AI6137">
        <v>101.00684324895001</v>
      </c>
      <c r="AJ6137">
        <v>83.354423469545196</v>
      </c>
      <c r="AK6137">
        <v>0.63733252177492705</v>
      </c>
      <c r="AL6137">
        <v>90.981777420491596</v>
      </c>
      <c r="AM6137">
        <v>88.284577116550594</v>
      </c>
      <c r="AN6137">
        <v>1.0000000006427401</v>
      </c>
    </row>
    <row r="6138" spans="1:40" x14ac:dyDescent="0.25">
      <c r="A6138" t="str">
        <f>"20190312161141385"</f>
        <v>20190312161141385</v>
      </c>
      <c r="B6138" t="str">
        <f>"1552378301373369"</f>
        <v>1552378301373369</v>
      </c>
      <c r="C6138" t="s">
        <v>40</v>
      </c>
      <c r="D6138">
        <v>5.867197</v>
      </c>
      <c r="E6138">
        <v>0.53053030000000001</v>
      </c>
      <c r="F6138" t="s">
        <v>42</v>
      </c>
      <c r="G6138">
        <v>-257.28440000000001</v>
      </c>
      <c r="H6138">
        <v>0.97948979999999997</v>
      </c>
      <c r="I6138">
        <v>-63.934350000000002</v>
      </c>
      <c r="J6138">
        <v>-257.97489999999999</v>
      </c>
      <c r="K6138">
        <v>1.110568</v>
      </c>
      <c r="L6138">
        <v>-63.846890000000002</v>
      </c>
      <c r="M6138">
        <v>0.99985500000000005</v>
      </c>
      <c r="N6138">
        <v>0</v>
      </c>
      <c r="O6138">
        <v>-1.036369E-2</v>
      </c>
      <c r="P6138">
        <v>0.99872740000000004</v>
      </c>
      <c r="Q6138">
        <v>-3.0769310000000001E-2</v>
      </c>
      <c r="R6138">
        <v>-3.9963699999999901E-2</v>
      </c>
      <c r="S6138">
        <v>2.9738769999999999</v>
      </c>
      <c r="T6138">
        <v>-0.51843809999999901</v>
      </c>
      <c r="U6138">
        <v>-0.34622190000000003</v>
      </c>
      <c r="V6138">
        <v>2.961927E-2</v>
      </c>
      <c r="W6138">
        <v>-1.724792E-2</v>
      </c>
      <c r="X6138">
        <v>0.99941239999999998</v>
      </c>
      <c r="Y6138">
        <v>0.1039465</v>
      </c>
      <c r="Z6138">
        <v>-7.1759629999999996E-3</v>
      </c>
      <c r="AA6138">
        <v>0.99455700000000002</v>
      </c>
      <c r="AB6138">
        <v>13</v>
      </c>
      <c r="AC6138">
        <v>0.69049999999998501</v>
      </c>
      <c r="AD6138">
        <v>-0.13107819999999901</v>
      </c>
      <c r="AE6138">
        <v>-8.7460000000000093E-2</v>
      </c>
      <c r="AF6138">
        <v>7.7548140377478494E-2</v>
      </c>
      <c r="AG6138">
        <v>-0.13107819999999901</v>
      </c>
      <c r="AH6138">
        <v>0.66768865500867203</v>
      </c>
      <c r="AI6138">
        <v>101.034512379687</v>
      </c>
      <c r="AJ6138">
        <v>83.3751119414801</v>
      </c>
      <c r="AK6138">
        <v>0.68483819155953496</v>
      </c>
      <c r="AL6138">
        <v>90.988282057351</v>
      </c>
      <c r="AM6138">
        <v>88.302439949835602</v>
      </c>
      <c r="AN6138">
        <v>0.99999996858670903</v>
      </c>
    </row>
    <row r="6139" spans="1:40" x14ac:dyDescent="0.25">
      <c r="A6139" t="str">
        <f>"20190312161141395"</f>
        <v>20190312161141395</v>
      </c>
      <c r="B6139" t="str">
        <f>"1552378301383130"</f>
        <v>1552378301383130</v>
      </c>
      <c r="C6139" t="s">
        <v>40</v>
      </c>
      <c r="D6139">
        <v>5.9515580000000003</v>
      </c>
      <c r="E6139">
        <v>0.53354239999999997</v>
      </c>
      <c r="F6139" t="s">
        <v>42</v>
      </c>
      <c r="G6139">
        <v>-257.17430000000002</v>
      </c>
      <c r="H6139">
        <v>0.97098019999999996</v>
      </c>
      <c r="I6139">
        <v>-63.939860000000003</v>
      </c>
      <c r="J6139">
        <v>-257.91320000000002</v>
      </c>
      <c r="K6139">
        <v>1.1105579999999999</v>
      </c>
      <c r="L6139">
        <v>-63.847140000000003</v>
      </c>
      <c r="M6139">
        <v>0.99985880000000005</v>
      </c>
      <c r="N6139">
        <v>0</v>
      </c>
      <c r="O6139">
        <v>-1.0039950000000001E-2</v>
      </c>
      <c r="P6139">
        <v>0.99874099999999999</v>
      </c>
      <c r="Q6139">
        <v>-3.0945770000000001E-2</v>
      </c>
      <c r="R6139">
        <v>-3.9483089999999998E-2</v>
      </c>
      <c r="S6139">
        <v>2.974075</v>
      </c>
      <c r="T6139">
        <v>-0.51867059999999998</v>
      </c>
      <c r="U6139">
        <v>-0.34420780000000001</v>
      </c>
      <c r="V6139">
        <v>2.9461919999999999E-2</v>
      </c>
      <c r="W6139">
        <v>-1.746559E-2</v>
      </c>
      <c r="X6139">
        <v>0.99941329999999995</v>
      </c>
      <c r="Y6139">
        <v>0.10359549999999999</v>
      </c>
      <c r="Z6139">
        <v>-7.2044960000000003E-3</v>
      </c>
      <c r="AA6139">
        <v>0.99459339999999996</v>
      </c>
      <c r="AB6139">
        <v>13</v>
      </c>
      <c r="AC6139">
        <v>0.738900000000001</v>
      </c>
      <c r="AD6139">
        <v>-0.139577799999999</v>
      </c>
      <c r="AE6139">
        <v>-9.2719999999992794E-2</v>
      </c>
      <c r="AF6139">
        <v>8.2401385811354005E-2</v>
      </c>
      <c r="AG6139">
        <v>-0.139577799999999</v>
      </c>
      <c r="AH6139">
        <v>0.71468690417890501</v>
      </c>
      <c r="AI6139">
        <v>100.97977081440401</v>
      </c>
      <c r="AJ6139">
        <v>83.422999158867697</v>
      </c>
      <c r="AK6139">
        <v>0.73283649038601995</v>
      </c>
      <c r="AL6139">
        <v>91.000755479763697</v>
      </c>
      <c r="AM6139">
        <v>88.311454386700703</v>
      </c>
      <c r="AN6139">
        <v>0.99999999789051197</v>
      </c>
    </row>
    <row r="6140" spans="1:40" x14ac:dyDescent="0.25">
      <c r="A6140" t="str">
        <f>"20190312161141405"</f>
        <v>20190312161141405</v>
      </c>
      <c r="B6140" t="str">
        <f>"1552378301393865"</f>
        <v>1552378301393865</v>
      </c>
      <c r="C6140" t="s">
        <v>40</v>
      </c>
      <c r="D6140">
        <v>5.9494119999999997</v>
      </c>
      <c r="E6140">
        <v>0.5335181</v>
      </c>
      <c r="F6140" t="s">
        <v>42</v>
      </c>
      <c r="G6140">
        <v>-257.17779999999999</v>
      </c>
      <c r="H6140">
        <v>0.96398459999999997</v>
      </c>
      <c r="I6140">
        <v>-63.937420000000003</v>
      </c>
      <c r="J6140">
        <v>-257.85770000000002</v>
      </c>
      <c r="K6140">
        <v>1.110549</v>
      </c>
      <c r="L6140">
        <v>-63.847380000000001</v>
      </c>
      <c r="M6140">
        <v>0.99986229999999998</v>
      </c>
      <c r="N6140">
        <v>0</v>
      </c>
      <c r="O6140">
        <v>-9.7496089999999994E-3</v>
      </c>
      <c r="P6140">
        <v>0.99874560000000001</v>
      </c>
      <c r="Q6140">
        <v>-3.1040499999999999E-2</v>
      </c>
      <c r="R6140">
        <v>-3.9293359999999999E-2</v>
      </c>
      <c r="S6140">
        <v>2.9710390000000002</v>
      </c>
      <c r="T6140">
        <v>-0.59222200000000003</v>
      </c>
      <c r="U6140">
        <v>-0.36343379999999997</v>
      </c>
      <c r="V6140">
        <v>2.9562189999999999E-2</v>
      </c>
      <c r="W6140">
        <v>-1.759784E-2</v>
      </c>
      <c r="X6140">
        <v>0.99940799999999996</v>
      </c>
      <c r="Y6140">
        <v>0.1097974</v>
      </c>
      <c r="Z6140">
        <v>-8.8799699999999992E-3</v>
      </c>
      <c r="AA6140">
        <v>0.99391430000000003</v>
      </c>
      <c r="AB6140">
        <v>13</v>
      </c>
      <c r="AC6140">
        <v>0.67990000000003104</v>
      </c>
      <c r="AD6140">
        <v>-0.14656440000000001</v>
      </c>
      <c r="AE6140">
        <v>-9.0039999999994694E-2</v>
      </c>
      <c r="AF6140">
        <v>7.9763679380564306E-2</v>
      </c>
      <c r="AG6140">
        <v>-0.14656440000000001</v>
      </c>
      <c r="AH6140">
        <v>0.65101477870582902</v>
      </c>
      <c r="AI6140">
        <v>102.596437650422</v>
      </c>
      <c r="AJ6140">
        <v>83.014816625740195</v>
      </c>
      <c r="AK6140">
        <v>0.672059231012479</v>
      </c>
      <c r="AL6140">
        <v>91.008334030682803</v>
      </c>
      <c r="AM6140">
        <v>88.305701994646697</v>
      </c>
      <c r="AN6140">
        <v>0.99999997875712998</v>
      </c>
    </row>
    <row r="6141" spans="1:40" x14ac:dyDescent="0.25">
      <c r="A6141" t="str">
        <f>"20190312161141416"</f>
        <v>20190312161141416</v>
      </c>
      <c r="B6141" t="str">
        <f>"1552378301403624"</f>
        <v>1552378301403624</v>
      </c>
      <c r="C6141" t="s">
        <v>40</v>
      </c>
      <c r="D6141">
        <v>5.8956379999999999</v>
      </c>
      <c r="E6141">
        <v>0.53334459999999995</v>
      </c>
      <c r="F6141" t="s">
        <v>42</v>
      </c>
      <c r="G6141">
        <v>-257.06939999999997</v>
      </c>
      <c r="H6141">
        <v>0.95244110000000004</v>
      </c>
      <c r="I6141">
        <v>-63.943629999999999</v>
      </c>
      <c r="J6141">
        <v>-257.7978</v>
      </c>
      <c r="K6141">
        <v>1.1105370000000001</v>
      </c>
      <c r="L6141">
        <v>-63.8476</v>
      </c>
      <c r="M6141">
        <v>0.99986580000000003</v>
      </c>
      <c r="N6141">
        <v>0</v>
      </c>
      <c r="O6141">
        <v>-9.4405229999999993E-3</v>
      </c>
      <c r="P6141">
        <v>0.99875899999999995</v>
      </c>
      <c r="Q6141">
        <v>-3.1139429999999999E-2</v>
      </c>
      <c r="R6141">
        <v>-3.8870429999999997E-2</v>
      </c>
      <c r="S6141">
        <v>2.970993</v>
      </c>
      <c r="T6141">
        <v>-0.5959276</v>
      </c>
      <c r="U6141">
        <v>-0.36227419999999999</v>
      </c>
      <c r="V6141">
        <v>2.9447890000000001E-2</v>
      </c>
      <c r="W6141">
        <v>-1.7739870000000001E-2</v>
      </c>
      <c r="X6141">
        <v>0.99940890000000004</v>
      </c>
      <c r="Y6141">
        <v>0.1096959</v>
      </c>
      <c r="Z6141">
        <v>-8.9859019999999901E-3</v>
      </c>
      <c r="AA6141">
        <v>0.99392460000000005</v>
      </c>
      <c r="AB6141">
        <v>13</v>
      </c>
      <c r="AC6141">
        <v>0.72840000000002103</v>
      </c>
      <c r="AD6141">
        <v>-0.15809590000000001</v>
      </c>
      <c r="AE6141">
        <v>-9.6030000000005999E-2</v>
      </c>
      <c r="AF6141">
        <v>8.5203376435423306E-2</v>
      </c>
      <c r="AG6141">
        <v>-0.15809590000000001</v>
      </c>
      <c r="AH6141">
        <v>0.69700034334555006</v>
      </c>
      <c r="AI6141">
        <v>102.688415482388</v>
      </c>
      <c r="AJ6141">
        <v>83.030573263708902</v>
      </c>
      <c r="AK6141">
        <v>0.71976621730713497</v>
      </c>
      <c r="AL6141">
        <v>91.016472983820407</v>
      </c>
      <c r="AM6141">
        <v>88.312250594184803</v>
      </c>
      <c r="AN6141">
        <v>1.0000000153061299</v>
      </c>
    </row>
    <row r="6142" spans="1:40" x14ac:dyDescent="0.25">
      <c r="A6142" t="str">
        <f>"20190312161141429"</f>
        <v>20190312161141429</v>
      </c>
      <c r="B6142" t="str">
        <f>"1552378301423145"</f>
        <v>1552378301423145</v>
      </c>
      <c r="C6142" t="s">
        <v>40</v>
      </c>
      <c r="D6142">
        <v>5.9005679999999998</v>
      </c>
      <c r="E6142">
        <v>0.53337230000000002</v>
      </c>
      <c r="F6142" t="s">
        <v>42</v>
      </c>
      <c r="G6142">
        <v>-257.06380000000001</v>
      </c>
      <c r="H6142">
        <v>0.96402619999999895</v>
      </c>
      <c r="I6142">
        <v>-63.936570000000003</v>
      </c>
      <c r="J6142">
        <v>-257.72460000000001</v>
      </c>
      <c r="K6142">
        <v>1.1105229999999999</v>
      </c>
      <c r="L6142">
        <v>-63.847810000000003</v>
      </c>
      <c r="M6142">
        <v>0.99987000000000004</v>
      </c>
      <c r="N6142">
        <v>0</v>
      </c>
      <c r="O6142">
        <v>-9.0670060000000007E-3</v>
      </c>
      <c r="P6142">
        <v>0.99878140000000004</v>
      </c>
      <c r="Q6142">
        <v>-3.098207E-2</v>
      </c>
      <c r="R6142">
        <v>-3.8416579999999999E-2</v>
      </c>
      <c r="S6142">
        <v>2.9712369999999999</v>
      </c>
      <c r="T6142">
        <v>-0.59310099999999999</v>
      </c>
      <c r="U6142">
        <v>-0.35964970000000002</v>
      </c>
      <c r="V6142">
        <v>2.9367040000000001E-2</v>
      </c>
      <c r="W6142">
        <v>-1.763632E-2</v>
      </c>
      <c r="X6142">
        <v>0.99941310000000005</v>
      </c>
      <c r="Y6142">
        <v>0.1092127</v>
      </c>
      <c r="Z6142">
        <v>-8.9698130000000001E-3</v>
      </c>
      <c r="AA6142">
        <v>0.99397789999999997</v>
      </c>
      <c r="AB6142">
        <v>13</v>
      </c>
      <c r="AC6142">
        <v>0.66079999999999395</v>
      </c>
      <c r="AD6142">
        <v>-0.14649680000000001</v>
      </c>
      <c r="AE6142">
        <v>-8.8760000000000602E-2</v>
      </c>
      <c r="AF6142">
        <v>7.8952654928636998E-2</v>
      </c>
      <c r="AG6142">
        <v>-0.14649680000000001</v>
      </c>
      <c r="AH6142">
        <v>0.63110893896562104</v>
      </c>
      <c r="AI6142">
        <v>102.970754975939</v>
      </c>
      <c r="AJ6142">
        <v>82.869259458273305</v>
      </c>
      <c r="AK6142">
        <v>0.65268164289554798</v>
      </c>
      <c r="AL6142">
        <v>91.0105390893943</v>
      </c>
      <c r="AM6142">
        <v>88.316888757241102</v>
      </c>
      <c r="AN6142">
        <v>1.00000000363655</v>
      </c>
    </row>
    <row r="6143" spans="1:40" x14ac:dyDescent="0.25">
      <c r="A6143" t="str">
        <f>"20190312161141441"</f>
        <v>20190312161141441</v>
      </c>
      <c r="B6143" t="str">
        <f>"1552378301432904"</f>
        <v>1552378301432904</v>
      </c>
      <c r="C6143" t="s">
        <v>40</v>
      </c>
      <c r="D6143">
        <v>5.9352479999999996</v>
      </c>
      <c r="E6143">
        <v>0.53335399999999999</v>
      </c>
      <c r="F6143" t="s">
        <v>42</v>
      </c>
      <c r="G6143">
        <v>-256.95240000000001</v>
      </c>
      <c r="H6143">
        <v>0.9586768</v>
      </c>
      <c r="I6143">
        <v>-63.941339999999997</v>
      </c>
      <c r="J6143">
        <v>-257.64859999999999</v>
      </c>
      <c r="K6143">
        <v>1.1105100000000001</v>
      </c>
      <c r="L6143">
        <v>-63.848050000000001</v>
      </c>
      <c r="M6143">
        <v>0.99987409999999999</v>
      </c>
      <c r="N6143">
        <v>0</v>
      </c>
      <c r="O6143">
        <v>-8.6840459999999904E-3</v>
      </c>
      <c r="P6143">
        <v>0.9987975</v>
      </c>
      <c r="Q6143">
        <v>-3.1081069999999999E-2</v>
      </c>
      <c r="R6143">
        <v>-3.7915509999999999E-2</v>
      </c>
      <c r="S6143">
        <v>2.9717560000000001</v>
      </c>
      <c r="T6143">
        <v>-0.58442320000000003</v>
      </c>
      <c r="U6143">
        <v>-0.35910029999999998</v>
      </c>
      <c r="V6143">
        <v>2.9248440000000001E-2</v>
      </c>
      <c r="W6143">
        <v>-1.77935E-2</v>
      </c>
      <c r="X6143">
        <v>0.99941380000000002</v>
      </c>
      <c r="Y6143">
        <v>0.1094367</v>
      </c>
      <c r="Z6143">
        <v>-8.935686E-3</v>
      </c>
      <c r="AA6143">
        <v>0.99395359999999999</v>
      </c>
      <c r="AB6143">
        <v>13</v>
      </c>
      <c r="AC6143">
        <v>0.69619999999997595</v>
      </c>
      <c r="AD6143">
        <v>-0.1518332</v>
      </c>
      <c r="AE6143">
        <v>-9.3290000000003204E-2</v>
      </c>
      <c r="AF6143">
        <v>8.3345892961798798E-2</v>
      </c>
      <c r="AG6143">
        <v>-0.1518332</v>
      </c>
      <c r="AH6143">
        <v>0.66587199310865497</v>
      </c>
      <c r="AI6143">
        <v>102.74886696542499</v>
      </c>
      <c r="AJ6143">
        <v>82.865503928512197</v>
      </c>
      <c r="AK6143">
        <v>0.68803006453376103</v>
      </c>
      <c r="AL6143">
        <v>91.0195462451303</v>
      </c>
      <c r="AM6143">
        <v>88.323683358588895</v>
      </c>
      <c r="AN6143">
        <v>1.00000001175756</v>
      </c>
    </row>
    <row r="6144" spans="1:40" x14ac:dyDescent="0.25">
      <c r="A6144" t="str">
        <f>"20190312161141455"</f>
        <v>20190312161141455</v>
      </c>
      <c r="B6144" t="str">
        <f>"1552378301443310"</f>
        <v>1552378301443310</v>
      </c>
      <c r="C6144" t="s">
        <v>40</v>
      </c>
      <c r="D6144">
        <v>5.9154770000000001</v>
      </c>
      <c r="E6144">
        <v>0.53334769999999998</v>
      </c>
      <c r="F6144" t="s">
        <v>42</v>
      </c>
      <c r="G6144">
        <v>-256.94540000000001</v>
      </c>
      <c r="H6144">
        <v>0.97280440000000001</v>
      </c>
      <c r="I6144">
        <v>-63.932870000000001</v>
      </c>
      <c r="J6144">
        <v>-257.58</v>
      </c>
      <c r="K6144">
        <v>1.110487</v>
      </c>
      <c r="L6144">
        <v>-63.848210000000002</v>
      </c>
      <c r="M6144">
        <v>0.99987780000000004</v>
      </c>
      <c r="N6144">
        <v>0</v>
      </c>
      <c r="O6144">
        <v>-8.3441439999999995E-3</v>
      </c>
      <c r="P6144">
        <v>0.99881010000000003</v>
      </c>
      <c r="Q6144">
        <v>-3.108472E-2</v>
      </c>
      <c r="R6144">
        <v>-3.7579939999999999E-2</v>
      </c>
      <c r="S6144">
        <v>2.971924</v>
      </c>
      <c r="T6144">
        <v>-0.58209840000000002</v>
      </c>
      <c r="U6144">
        <v>-0.35757450000000002</v>
      </c>
      <c r="V6144">
        <v>2.9252230000000001E-2</v>
      </c>
      <c r="W6144">
        <v>-1.785192E-2</v>
      </c>
      <c r="X6144">
        <v>0.99941270000000004</v>
      </c>
      <c r="Y6144">
        <v>0.1092765</v>
      </c>
      <c r="Z6144">
        <v>-8.9507860000000005E-3</v>
      </c>
      <c r="AA6144">
        <v>0.9939711</v>
      </c>
      <c r="AB6144">
        <v>13</v>
      </c>
      <c r="AC6144">
        <v>0.63459999999997696</v>
      </c>
      <c r="AD6144">
        <v>-0.13768259999999999</v>
      </c>
      <c r="AE6144">
        <v>-8.46599999999995E-2</v>
      </c>
      <c r="AF6144">
        <v>7.5853302337838796E-2</v>
      </c>
      <c r="AG6144">
        <v>-0.13768259999999999</v>
      </c>
      <c r="AH6144">
        <v>0.60720225234751801</v>
      </c>
      <c r="AI6144">
        <v>102.680400716089</v>
      </c>
      <c r="AJ6144">
        <v>82.879348464472599</v>
      </c>
      <c r="AK6144">
        <v>0.62721989531121702</v>
      </c>
      <c r="AL6144">
        <v>91.022893942358394</v>
      </c>
      <c r="AM6144">
        <v>88.323464421956501</v>
      </c>
      <c r="AN6144">
        <v>1.00000006446447</v>
      </c>
    </row>
    <row r="6145" spans="1:40" x14ac:dyDescent="0.25">
      <c r="A6145" t="str">
        <f>"20190312161141466"</f>
        <v>20190312161141466</v>
      </c>
      <c r="B6145" t="str">
        <f>"1552378301453057"</f>
        <v>1552378301453057</v>
      </c>
      <c r="C6145" t="s">
        <v>40</v>
      </c>
      <c r="D6145">
        <v>5.891534</v>
      </c>
      <c r="E6145">
        <v>0.53327159999999996</v>
      </c>
      <c r="F6145" t="s">
        <v>42</v>
      </c>
      <c r="G6145">
        <v>-256.83519999999999</v>
      </c>
      <c r="H6145">
        <v>0.96529690000000001</v>
      </c>
      <c r="I6145">
        <v>-63.937769999999901</v>
      </c>
      <c r="J6145">
        <v>-257.51240000000001</v>
      </c>
      <c r="K6145">
        <v>1.110473</v>
      </c>
      <c r="L6145">
        <v>-63.848390000000002</v>
      </c>
      <c r="M6145">
        <v>0.99988129999999997</v>
      </c>
      <c r="N6145">
        <v>0</v>
      </c>
      <c r="O6145">
        <v>-8.0093669999999999E-3</v>
      </c>
      <c r="P6145">
        <v>0.99882820000000005</v>
      </c>
      <c r="Q6145">
        <v>-3.1031179999999998E-2</v>
      </c>
      <c r="R6145">
        <v>-3.7144120000000003E-2</v>
      </c>
      <c r="S6145">
        <v>2.9721220000000002</v>
      </c>
      <c r="T6145">
        <v>-0.57935119999999996</v>
      </c>
      <c r="U6145">
        <v>-0.3568115</v>
      </c>
      <c r="V6145">
        <v>2.9150530000000001E-2</v>
      </c>
      <c r="W6145">
        <v>-1.78537E-2</v>
      </c>
      <c r="X6145">
        <v>0.99941559999999896</v>
      </c>
      <c r="Y6145">
        <v>0.1093599</v>
      </c>
      <c r="Z6145">
        <v>-8.9813080000000003E-3</v>
      </c>
      <c r="AA6145">
        <v>0.9939616</v>
      </c>
      <c r="AB6145">
        <v>13</v>
      </c>
      <c r="AC6145">
        <v>0.677200000000027</v>
      </c>
      <c r="AD6145">
        <v>-0.145176099999999</v>
      </c>
      <c r="AE6145">
        <v>-8.93799999999913E-2</v>
      </c>
      <c r="AF6145">
        <v>8.0324415309389705E-2</v>
      </c>
      <c r="AG6145">
        <v>-0.145176099999999</v>
      </c>
      <c r="AH6145">
        <v>0.64859669552176802</v>
      </c>
      <c r="AI6145">
        <v>102.52399660828399</v>
      </c>
      <c r="AJ6145">
        <v>82.940242107005801</v>
      </c>
      <c r="AK6145">
        <v>0.6694817287632</v>
      </c>
      <c r="AL6145">
        <v>91.022995985714502</v>
      </c>
      <c r="AM6145">
        <v>88.3292946987644</v>
      </c>
      <c r="AN6145">
        <v>1.00000002476316</v>
      </c>
    </row>
    <row r="6146" spans="1:40" x14ac:dyDescent="0.25">
      <c r="A6146" t="str">
        <f>"20190312161141478"</f>
        <v>20190312161141478</v>
      </c>
      <c r="B6146" t="str">
        <f>"1552378301473553"</f>
        <v>1552378301473553</v>
      </c>
      <c r="C6146" t="s">
        <v>40</v>
      </c>
      <c r="D6146">
        <v>5.3741159999999999</v>
      </c>
      <c r="E6146">
        <v>0.53314079999999997</v>
      </c>
      <c r="F6146" t="s">
        <v>42</v>
      </c>
      <c r="G6146">
        <v>-256.72489999999999</v>
      </c>
      <c r="H6146">
        <v>0.957812</v>
      </c>
      <c r="I6146">
        <v>-63.94265</v>
      </c>
      <c r="J6146">
        <v>-257.4409</v>
      </c>
      <c r="K6146">
        <v>1.1104560000000001</v>
      </c>
      <c r="L6146">
        <v>-63.848509999999997</v>
      </c>
      <c r="M6146">
        <v>0.99988469999999996</v>
      </c>
      <c r="N6146">
        <v>0</v>
      </c>
      <c r="O6146">
        <v>-7.656319E-3</v>
      </c>
      <c r="P6146">
        <v>0.9988416</v>
      </c>
      <c r="Q6146">
        <v>-3.0952230000000001E-2</v>
      </c>
      <c r="R6146">
        <v>-3.684639E-2</v>
      </c>
      <c r="S6146">
        <v>2.9723820000000001</v>
      </c>
      <c r="T6146">
        <v>-0.57625090000000001</v>
      </c>
      <c r="U6146">
        <v>-0.35516360000000002</v>
      </c>
      <c r="V6146">
        <v>2.920522E-2</v>
      </c>
      <c r="W6146">
        <v>-1.7837140000000001E-2</v>
      </c>
      <c r="X6146">
        <v>0.99941429999999998</v>
      </c>
      <c r="Y6146">
        <v>0.1091742</v>
      </c>
      <c r="Z6146">
        <v>-8.983441E-3</v>
      </c>
      <c r="AA6146">
        <v>0.99398200000000003</v>
      </c>
      <c r="AB6146">
        <v>13</v>
      </c>
      <c r="AC6146">
        <v>0.71600000000000796</v>
      </c>
      <c r="AD6146">
        <v>-0.152643999999999</v>
      </c>
      <c r="AE6146">
        <v>-9.4140000000002999E-2</v>
      </c>
      <c r="AF6146">
        <v>8.4863353032871E-2</v>
      </c>
      <c r="AG6146">
        <v>-0.152643999999999</v>
      </c>
      <c r="AH6146">
        <v>0.68604881960909703</v>
      </c>
      <c r="AI6146">
        <v>102.451913953602</v>
      </c>
      <c r="AJ6146">
        <v>82.9484068206242</v>
      </c>
      <c r="AK6146">
        <v>0.707930054674201</v>
      </c>
      <c r="AL6146">
        <v>91.022047015513294</v>
      </c>
      <c r="AM6146">
        <v>88.326159854377806</v>
      </c>
      <c r="AN6146">
        <v>1.00000002574155</v>
      </c>
    </row>
    <row r="6147" spans="1:40" x14ac:dyDescent="0.25">
      <c r="A6147" t="str">
        <f>"20190312161141490"</f>
        <v>20190312161141490</v>
      </c>
      <c r="B6147" t="str">
        <f>"1552378301483313"</f>
        <v>1552378301483313</v>
      </c>
      <c r="C6147" t="s">
        <v>40</v>
      </c>
      <c r="D6147">
        <v>6.0271869999999996</v>
      </c>
      <c r="E6147">
        <v>0.53330859999999902</v>
      </c>
      <c r="F6147" t="s">
        <v>42</v>
      </c>
      <c r="G6147">
        <v>-256.71850000000001</v>
      </c>
      <c r="H6147">
        <v>0.97089230000000004</v>
      </c>
      <c r="I6147">
        <v>-63.934570000000001</v>
      </c>
      <c r="J6147">
        <v>-257.37439999999998</v>
      </c>
      <c r="K6147">
        <v>1.110444</v>
      </c>
      <c r="L6147">
        <v>-63.84863</v>
      </c>
      <c r="M6147">
        <v>0.99988809999999995</v>
      </c>
      <c r="N6147">
        <v>0</v>
      </c>
      <c r="O6147">
        <v>-7.3287959999999899E-3</v>
      </c>
      <c r="P6147">
        <v>0.99885199999999996</v>
      </c>
      <c r="Q6147">
        <v>-3.1098359999999999E-2</v>
      </c>
      <c r="R6147">
        <v>-3.6441559999999998E-2</v>
      </c>
      <c r="S6147">
        <v>2.9726409999999999</v>
      </c>
      <c r="T6147">
        <v>-0.57430719999999902</v>
      </c>
      <c r="U6147">
        <v>-0.35339359999999997</v>
      </c>
      <c r="V6147">
        <v>2.9127500000000001E-2</v>
      </c>
      <c r="W6147">
        <v>-1.8044230000000001E-2</v>
      </c>
      <c r="X6147">
        <v>0.99941279999999999</v>
      </c>
      <c r="Y6147">
        <v>0.10891720000000001</v>
      </c>
      <c r="Z6147">
        <v>-8.9911939999999992E-3</v>
      </c>
      <c r="AA6147">
        <v>0.99401019999999896</v>
      </c>
      <c r="AB6147">
        <v>13</v>
      </c>
      <c r="AC6147">
        <v>0.65589999999997395</v>
      </c>
      <c r="AD6147">
        <v>-0.139551699999999</v>
      </c>
      <c r="AE6147">
        <v>-8.5939999999986499E-2</v>
      </c>
      <c r="AF6147">
        <v>7.7673516729740905E-2</v>
      </c>
      <c r="AG6147">
        <v>-0.139551699999999</v>
      </c>
      <c r="AH6147">
        <v>0.62853953408670404</v>
      </c>
      <c r="AI6147">
        <v>102.42650013968399</v>
      </c>
      <c r="AJ6147">
        <v>82.955231517003995</v>
      </c>
      <c r="AK6147">
        <v>0.64851352960750697</v>
      </c>
      <c r="AL6147">
        <v>91.033914360528897</v>
      </c>
      <c r="AM6147">
        <v>88.330609196369196</v>
      </c>
      <c r="AN6147">
        <v>0.99999997514819094</v>
      </c>
    </row>
    <row r="6148" spans="1:40" x14ac:dyDescent="0.25">
      <c r="A6148" t="str">
        <f>"20190312161141506"</f>
        <v>20190312161141506</v>
      </c>
      <c r="B6148" t="str">
        <f>"1552378301493073"</f>
        <v>1552378301493073</v>
      </c>
      <c r="C6148" t="s">
        <v>40</v>
      </c>
      <c r="D6148">
        <v>5.9787179999999998</v>
      </c>
      <c r="E6148">
        <v>0.53365940000000001</v>
      </c>
      <c r="F6148" t="s">
        <v>42</v>
      </c>
      <c r="G6148">
        <v>-256.6087</v>
      </c>
      <c r="H6148">
        <v>0.96260919999999905</v>
      </c>
      <c r="I6148">
        <v>-63.939729999999997</v>
      </c>
      <c r="J6148">
        <v>-257.28519999999997</v>
      </c>
      <c r="K6148">
        <v>1.110422</v>
      </c>
      <c r="L6148">
        <v>-63.848820000000003</v>
      </c>
      <c r="M6148">
        <v>0.99989220000000001</v>
      </c>
      <c r="N6148">
        <v>0</v>
      </c>
      <c r="O6148">
        <v>-6.8913710000000003E-3</v>
      </c>
      <c r="P6148">
        <v>0.99885559999999995</v>
      </c>
      <c r="Q6148">
        <v>-3.1253570000000001E-2</v>
      </c>
      <c r="R6148">
        <v>-3.6207040000000003E-2</v>
      </c>
      <c r="S6148">
        <v>2.9726870000000001</v>
      </c>
      <c r="T6148">
        <v>-0.57394559999999994</v>
      </c>
      <c r="U6148">
        <v>-0.35360720000000001</v>
      </c>
      <c r="V6148">
        <v>2.9329859999999999E-2</v>
      </c>
      <c r="W6148">
        <v>-1.828488E-2</v>
      </c>
      <c r="X6148">
        <v>0.99940249999999997</v>
      </c>
      <c r="Y6148">
        <v>0.10940610000000001</v>
      </c>
      <c r="Z6148">
        <v>-9.1154549999999997E-3</v>
      </c>
      <c r="AA6148">
        <v>0.99395529999999999</v>
      </c>
      <c r="AB6148">
        <v>13</v>
      </c>
      <c r="AC6148">
        <v>0.67649999999997501</v>
      </c>
      <c r="AD6148">
        <v>-0.14781279999999999</v>
      </c>
      <c r="AE6148">
        <v>-9.0910000000007998E-2</v>
      </c>
      <c r="AF6148">
        <v>8.2382219290972697E-2</v>
      </c>
      <c r="AG6148">
        <v>-0.14781279999999999</v>
      </c>
      <c r="AH6148">
        <v>0.64678047122390103</v>
      </c>
      <c r="AI6148">
        <v>102.77331338308301</v>
      </c>
      <c r="AJ6148">
        <v>82.7411648806291</v>
      </c>
      <c r="AK6148">
        <v>0.66855099420744102</v>
      </c>
      <c r="AL6148">
        <v>91.047704873788206</v>
      </c>
      <c r="AM6148">
        <v>88.319000609968896</v>
      </c>
      <c r="AN6148">
        <v>0.99999996726524099</v>
      </c>
    </row>
    <row r="6149" spans="1:40" x14ac:dyDescent="0.25">
      <c r="A6149" t="str">
        <f>"20190312161141516"</f>
        <v>20190312161141516</v>
      </c>
      <c r="B6149" t="str">
        <f>"1552378301513569"</f>
        <v>1552378301513569</v>
      </c>
      <c r="C6149" t="s">
        <v>40</v>
      </c>
      <c r="D6149">
        <v>5.9799499999999997</v>
      </c>
      <c r="E6149">
        <v>0.53404370000000001</v>
      </c>
      <c r="F6149" t="s">
        <v>42</v>
      </c>
      <c r="G6149">
        <v>-256.49689999999998</v>
      </c>
      <c r="H6149">
        <v>0.95830000000000004</v>
      </c>
      <c r="I6149">
        <v>-63.943420000000003</v>
      </c>
      <c r="J6149">
        <v>-257.22340000000003</v>
      </c>
      <c r="K6149">
        <v>1.110406</v>
      </c>
      <c r="L6149">
        <v>-63.848880000000001</v>
      </c>
      <c r="M6149">
        <v>0.99989510000000004</v>
      </c>
      <c r="N6149">
        <v>0</v>
      </c>
      <c r="O6149">
        <v>-6.5935330000000004E-3</v>
      </c>
      <c r="P6149">
        <v>0.99887099999999995</v>
      </c>
      <c r="Q6149">
        <v>-3.1020320000000001E-2</v>
      </c>
      <c r="R6149">
        <v>-3.5979999999999998E-2</v>
      </c>
      <c r="S6149">
        <v>2.9725950000000001</v>
      </c>
      <c r="T6149">
        <v>-0.57370869999999996</v>
      </c>
      <c r="U6149">
        <v>-0.35562129999999997</v>
      </c>
      <c r="V6149">
        <v>2.940017E-2</v>
      </c>
      <c r="W6149">
        <v>-1.811399E-2</v>
      </c>
      <c r="X6149">
        <v>0.99940359999999995</v>
      </c>
      <c r="Y6149">
        <v>0.11034869999999999</v>
      </c>
      <c r="Z6149">
        <v>-9.2582480000000002E-3</v>
      </c>
      <c r="AA6149">
        <v>0.99384980000000001</v>
      </c>
      <c r="AB6149">
        <v>13</v>
      </c>
      <c r="AC6149">
        <v>0.726500000000044</v>
      </c>
      <c r="AD6149">
        <v>-0.15210599999999899</v>
      </c>
      <c r="AE6149">
        <v>-9.4539999999994906E-2</v>
      </c>
      <c r="AF6149">
        <v>8.6038640095433105E-2</v>
      </c>
      <c r="AG6149">
        <v>-0.15210599999999899</v>
      </c>
      <c r="AH6149">
        <v>0.69706073521280199</v>
      </c>
      <c r="AI6149">
        <v>102.21967165999401</v>
      </c>
      <c r="AJ6149">
        <v>82.963536057483793</v>
      </c>
      <c r="AK6149">
        <v>0.71863241744363504</v>
      </c>
      <c r="AL6149">
        <v>91.037911919815798</v>
      </c>
      <c r="AM6149">
        <v>88.314975065826999</v>
      </c>
      <c r="AN6149">
        <v>1.00000002116135</v>
      </c>
    </row>
    <row r="6150" spans="1:40" x14ac:dyDescent="0.25">
      <c r="A6150" t="str">
        <f>"20190312161141529"</f>
        <v>20190312161141529</v>
      </c>
      <c r="B6150" t="str">
        <f>"1552378301523331"</f>
        <v>1552378301523331</v>
      </c>
      <c r="C6150" t="s">
        <v>40</v>
      </c>
      <c r="D6150">
        <v>5.9516460000000002</v>
      </c>
      <c r="E6150">
        <v>0.53404370000000001</v>
      </c>
      <c r="F6150" t="s">
        <v>42</v>
      </c>
      <c r="G6150">
        <v>-256.49130000000002</v>
      </c>
      <c r="H6150">
        <v>0.96980540000000004</v>
      </c>
      <c r="I6150">
        <v>-63.9373199999999</v>
      </c>
      <c r="J6150">
        <v>-257.15660000000003</v>
      </c>
      <c r="K6150">
        <v>1.11039</v>
      </c>
      <c r="L6150">
        <v>-63.848939999999999</v>
      </c>
      <c r="M6150">
        <v>0.99989790000000001</v>
      </c>
      <c r="N6150">
        <v>0</v>
      </c>
      <c r="O6150">
        <v>-6.2743199999999999E-3</v>
      </c>
      <c r="P6150">
        <v>0.99887170000000003</v>
      </c>
      <c r="Q6150">
        <v>-3.107095E-2</v>
      </c>
      <c r="R6150">
        <v>-3.5917909999999997E-2</v>
      </c>
      <c r="S6150">
        <v>2.972763</v>
      </c>
      <c r="T6150">
        <v>-0.57094739999999999</v>
      </c>
      <c r="U6150">
        <v>-0.35797119999999999</v>
      </c>
      <c r="V6150">
        <v>2.9656740000000001E-2</v>
      </c>
      <c r="W6150">
        <v>-1.8232979999999999E-2</v>
      </c>
      <c r="X6150">
        <v>0.9993938</v>
      </c>
      <c r="Y6150">
        <v>0.1114269</v>
      </c>
      <c r="Z6150">
        <v>-9.3763300000000004E-3</v>
      </c>
      <c r="AA6150">
        <v>0.99372839999999996</v>
      </c>
      <c r="AB6150">
        <v>13</v>
      </c>
      <c r="AC6150">
        <v>0.665300000000002</v>
      </c>
      <c r="AD6150">
        <v>-0.140584599999999</v>
      </c>
      <c r="AE6150">
        <v>-8.8379999999993603E-2</v>
      </c>
      <c r="AF6150">
        <v>8.0664253832026606E-2</v>
      </c>
      <c r="AG6150">
        <v>-0.140584599999999</v>
      </c>
      <c r="AH6150">
        <v>0.63785394656634897</v>
      </c>
      <c r="AI6150">
        <v>102.33421783982</v>
      </c>
      <c r="AJ6150">
        <v>82.792523656459693</v>
      </c>
      <c r="AK6150">
        <v>0.65812491880622803</v>
      </c>
      <c r="AL6150">
        <v>91.044730728624899</v>
      </c>
      <c r="AM6150">
        <v>88.300262087082103</v>
      </c>
      <c r="AN6150">
        <v>0.99999996563277305</v>
      </c>
    </row>
    <row r="6151" spans="1:40" x14ac:dyDescent="0.25">
      <c r="A6151" t="str">
        <f>"20190312161141539"</f>
        <v>20190312161141539</v>
      </c>
      <c r="B6151" t="str">
        <f>"1552378301533090"</f>
        <v>1552378301533090</v>
      </c>
      <c r="C6151" t="s">
        <v>40</v>
      </c>
      <c r="D6151">
        <v>5.8123839999999998</v>
      </c>
      <c r="E6151">
        <v>0.55623369999999905</v>
      </c>
      <c r="F6151" t="s">
        <v>42</v>
      </c>
      <c r="G6151">
        <v>-256.38139999999999</v>
      </c>
      <c r="H6151">
        <v>0.96146489999999996</v>
      </c>
      <c r="I6151">
        <v>-63.942279999999997</v>
      </c>
      <c r="J6151">
        <v>-257.09309999999999</v>
      </c>
      <c r="K6151">
        <v>1.110374</v>
      </c>
      <c r="L6151">
        <v>-63.848999999999997</v>
      </c>
      <c r="M6151">
        <v>0.99990069999999998</v>
      </c>
      <c r="N6151">
        <v>0</v>
      </c>
      <c r="O6151">
        <v>-5.9753719999999996E-3</v>
      </c>
      <c r="P6151">
        <v>0.99888829999999995</v>
      </c>
      <c r="Q6151">
        <v>-3.0773470000000001E-2</v>
      </c>
      <c r="R6151">
        <v>-3.5714200000000002E-2</v>
      </c>
      <c r="S6151">
        <v>2.9727939999999999</v>
      </c>
      <c r="T6151">
        <v>-0.57111389999999995</v>
      </c>
      <c r="U6151">
        <v>-0.3577881</v>
      </c>
      <c r="V6151">
        <v>2.9751509999999998E-2</v>
      </c>
      <c r="W6151">
        <v>-1.8001489999999998E-2</v>
      </c>
      <c r="X6151">
        <v>0.99939520000000004</v>
      </c>
      <c r="Y6151">
        <v>0.1116519</v>
      </c>
      <c r="Z6151">
        <v>-9.4570039999999998E-3</v>
      </c>
      <c r="AA6151">
        <v>0.99370239999999999</v>
      </c>
      <c r="AB6151">
        <v>13</v>
      </c>
      <c r="AC6151">
        <v>0.71170000000000699</v>
      </c>
      <c r="AD6151">
        <v>-0.14890909999999999</v>
      </c>
      <c r="AE6151">
        <v>-9.3280000000007093E-2</v>
      </c>
      <c r="AF6151">
        <v>8.5351944482492101E-2</v>
      </c>
      <c r="AG6151">
        <v>-0.14890909999999999</v>
      </c>
      <c r="AH6151">
        <v>0.68285600882572395</v>
      </c>
      <c r="AI6151">
        <v>102.209670450961</v>
      </c>
      <c r="AJ6151">
        <v>82.875401405361202</v>
      </c>
      <c r="AK6151">
        <v>0.704096018508236</v>
      </c>
      <c r="AL6151">
        <v>91.031465129959898</v>
      </c>
      <c r="AM6151">
        <v>88.294836055211107</v>
      </c>
      <c r="AN6151">
        <v>0.99999998588627004</v>
      </c>
    </row>
    <row r="6152" spans="1:40" x14ac:dyDescent="0.25">
      <c r="A6152" t="str">
        <f>"20190312161141551"</f>
        <v>20190312161141551</v>
      </c>
      <c r="B6152" t="str">
        <f>"1552378301543825"</f>
        <v>1552378301543825</v>
      </c>
      <c r="C6152" t="s">
        <v>40</v>
      </c>
      <c r="D6152">
        <v>5.9158489999999997</v>
      </c>
      <c r="E6152">
        <v>0.55623369999999905</v>
      </c>
      <c r="F6152" t="s">
        <v>42</v>
      </c>
      <c r="G6152">
        <v>-256.40589999999997</v>
      </c>
      <c r="H6152">
        <v>0.90776310000000004</v>
      </c>
      <c r="I6152">
        <v>-63.97</v>
      </c>
      <c r="J6152">
        <v>-257.02390000000003</v>
      </c>
      <c r="K6152">
        <v>1.110355</v>
      </c>
      <c r="L6152">
        <v>-63.849029999999999</v>
      </c>
      <c r="M6152">
        <v>0.9999034</v>
      </c>
      <c r="N6152">
        <v>0</v>
      </c>
      <c r="O6152">
        <v>-5.6530069999999998E-3</v>
      </c>
      <c r="P6152">
        <v>0.99889620000000001</v>
      </c>
      <c r="Q6152">
        <v>-3.0614769999999999E-2</v>
      </c>
      <c r="R6152">
        <v>-3.5625820000000002E-2</v>
      </c>
      <c r="S6152">
        <v>2.9578859999999998</v>
      </c>
      <c r="T6152">
        <v>-0.87203809999999904</v>
      </c>
      <c r="U6152">
        <v>-0.52056880000000005</v>
      </c>
      <c r="V6152">
        <v>2.9985020000000001E-2</v>
      </c>
      <c r="W6152">
        <v>-1.7915420000000001E-2</v>
      </c>
      <c r="X6152">
        <v>0.99938979999999999</v>
      </c>
      <c r="Y6152">
        <v>0.16133120000000001</v>
      </c>
      <c r="Z6152">
        <v>-2.1499150000000002E-2</v>
      </c>
      <c r="AA6152">
        <v>0.98666609999999999</v>
      </c>
      <c r="AB6152">
        <v>13</v>
      </c>
      <c r="AC6152">
        <v>0.61800000000005095</v>
      </c>
      <c r="AD6152">
        <v>-0.20259189999999999</v>
      </c>
      <c r="AE6152">
        <v>-0.120969999999992</v>
      </c>
      <c r="AF6152">
        <v>0.10645608828596601</v>
      </c>
      <c r="AG6152">
        <v>-0.20259189999999999</v>
      </c>
      <c r="AH6152">
        <v>0.56064737120202002</v>
      </c>
      <c r="AI6152">
        <v>109.545386387417</v>
      </c>
      <c r="AJ6152">
        <v>79.248632946878601</v>
      </c>
      <c r="AK6152">
        <v>0.60555912305446702</v>
      </c>
      <c r="AL6152">
        <v>91.026532853751704</v>
      </c>
      <c r="AM6152">
        <v>88.281451487706207</v>
      </c>
      <c r="AN6152">
        <v>1.0000000180210999</v>
      </c>
    </row>
    <row r="6153" spans="1:40" x14ac:dyDescent="0.25">
      <c r="A6153" t="str">
        <f>"20190312161141562"</f>
        <v>20190312161141562</v>
      </c>
      <c r="B6153" t="str">
        <f>"1552378301553585"</f>
        <v>1552378301553585</v>
      </c>
      <c r="C6153" t="s">
        <v>40</v>
      </c>
      <c r="D6153">
        <v>5.9171839999999998</v>
      </c>
      <c r="E6153">
        <v>0.54791999999999996</v>
      </c>
      <c r="F6153" t="s">
        <v>42</v>
      </c>
      <c r="G6153">
        <v>-256.29669999999999</v>
      </c>
      <c r="H6153">
        <v>0.89605409999999996</v>
      </c>
      <c r="I6153">
        <v>-63.9771199999999</v>
      </c>
      <c r="J6153">
        <v>-256.95999999999998</v>
      </c>
      <c r="K6153">
        <v>1.1103419999999999</v>
      </c>
      <c r="L6153">
        <v>-63.849060000000001</v>
      </c>
      <c r="M6153">
        <v>0.99990590000000001</v>
      </c>
      <c r="N6153">
        <v>0</v>
      </c>
      <c r="O6153">
        <v>-5.3577219999999997E-3</v>
      </c>
      <c r="P6153">
        <v>0.99888670000000002</v>
      </c>
      <c r="Q6153">
        <v>-3.0790689999999999E-2</v>
      </c>
      <c r="R6153">
        <v>-3.5739390000000003E-2</v>
      </c>
      <c r="S6153">
        <v>2.9580540000000002</v>
      </c>
      <c r="T6153">
        <v>-0.87177590000000005</v>
      </c>
      <c r="U6153">
        <v>-0.51983639999999998</v>
      </c>
      <c r="V6153">
        <v>3.0393659999999999E-2</v>
      </c>
      <c r="W6153">
        <v>-1.8158799999999999E-2</v>
      </c>
      <c r="X6153">
        <v>0.99937299999999996</v>
      </c>
      <c r="Y6153">
        <v>0.16136619999999999</v>
      </c>
      <c r="Z6153">
        <v>-2.1581820000000002E-2</v>
      </c>
      <c r="AA6153">
        <v>0.98665860000000005</v>
      </c>
      <c r="AB6153">
        <v>13</v>
      </c>
      <c r="AC6153">
        <v>0.66329999999999201</v>
      </c>
      <c r="AD6153">
        <v>-0.2142879</v>
      </c>
      <c r="AE6153">
        <v>-0.12805999999999701</v>
      </c>
      <c r="AF6153">
        <v>0.113121847497638</v>
      </c>
      <c r="AG6153">
        <v>-0.2142879</v>
      </c>
      <c r="AH6153">
        <v>0.60327542446312299</v>
      </c>
      <c r="AI6153">
        <v>109.245252637641</v>
      </c>
      <c r="AJ6153">
        <v>79.379637762150907</v>
      </c>
      <c r="AK6153">
        <v>0.65012083048372704</v>
      </c>
      <c r="AL6153">
        <v>91.040479834991302</v>
      </c>
      <c r="AM6153">
        <v>88.258015938441602</v>
      </c>
      <c r="AN6153">
        <v>0.99999995485731596</v>
      </c>
    </row>
    <row r="6154" spans="1:40" x14ac:dyDescent="0.25">
      <c r="A6154" t="str">
        <f>"20190312161141573"</f>
        <v>20190312161141573</v>
      </c>
      <c r="B6154" t="str">
        <f>"1552378301563345"</f>
        <v>1552378301563345</v>
      </c>
      <c r="C6154" t="s">
        <v>40</v>
      </c>
      <c r="D6154">
        <v>5.5355829999999999</v>
      </c>
      <c r="E6154">
        <v>0.544267099999999</v>
      </c>
      <c r="F6154" t="s">
        <v>42</v>
      </c>
      <c r="G6154">
        <v>-256.26799999999997</v>
      </c>
      <c r="H6154">
        <v>0.9597253</v>
      </c>
      <c r="I6154">
        <v>-63.957599999999999</v>
      </c>
      <c r="J6154">
        <v>-256.90159999999997</v>
      </c>
      <c r="K6154">
        <v>1.1103320000000001</v>
      </c>
      <c r="L6154">
        <v>-63.849060000000001</v>
      </c>
      <c r="M6154">
        <v>0.99990809999999997</v>
      </c>
      <c r="N6154">
        <v>0</v>
      </c>
      <c r="O6154">
        <v>-5.0914080000000004E-3</v>
      </c>
      <c r="P6154">
        <v>0.99889530000000004</v>
      </c>
      <c r="Q6154">
        <v>-3.0752020000000001E-2</v>
      </c>
      <c r="R6154">
        <v>-3.5535629999999999E-2</v>
      </c>
      <c r="S6154">
        <v>2.9668269999999999</v>
      </c>
      <c r="T6154">
        <v>-0.64578259999999998</v>
      </c>
      <c r="U6154">
        <v>-0.4641113</v>
      </c>
      <c r="V6154">
        <v>3.0455889999999999E-2</v>
      </c>
      <c r="W6154">
        <v>-1.818235E-2</v>
      </c>
      <c r="X6154">
        <v>0.99937069999999995</v>
      </c>
      <c r="Y6154">
        <v>0.1462937</v>
      </c>
      <c r="Z6154">
        <v>-1.455656E-2</v>
      </c>
      <c r="AA6154">
        <v>0.98913410000000002</v>
      </c>
      <c r="AB6154">
        <v>13</v>
      </c>
      <c r="AC6154">
        <v>0.63360000000000105</v>
      </c>
      <c r="AD6154">
        <v>-0.15060669999999901</v>
      </c>
      <c r="AE6154">
        <v>-0.10854000000000399</v>
      </c>
      <c r="AF6154">
        <v>9.98325668471301E-2</v>
      </c>
      <c r="AG6154">
        <v>-0.15060669999999901</v>
      </c>
      <c r="AH6154">
        <v>0.601147205905321</v>
      </c>
      <c r="AI6154">
        <v>103.882305004758</v>
      </c>
      <c r="AJ6154">
        <v>80.570938858480304</v>
      </c>
      <c r="AK6154">
        <v>0.62771560650978797</v>
      </c>
      <c r="AL6154">
        <v>91.041829349819096</v>
      </c>
      <c r="AM6154">
        <v>88.254447473932601</v>
      </c>
      <c r="AN6154">
        <v>0.99999997755285197</v>
      </c>
    </row>
    <row r="6155" spans="1:40" x14ac:dyDescent="0.25">
      <c r="A6155" t="str">
        <f>"20190312161141584"</f>
        <v>20190312161141584</v>
      </c>
      <c r="B6155" t="str">
        <f>"1552378301573106"</f>
        <v>1552378301573106</v>
      </c>
      <c r="C6155" t="s">
        <v>40</v>
      </c>
      <c r="D6155">
        <v>5.8918419999999996</v>
      </c>
      <c r="E6155">
        <v>0.54285410000000001</v>
      </c>
      <c r="F6155" t="s">
        <v>42</v>
      </c>
      <c r="G6155">
        <v>-256.15629999999999</v>
      </c>
      <c r="H6155">
        <v>0.95486749999999998</v>
      </c>
      <c r="I6155">
        <v>-63.958480000000002</v>
      </c>
      <c r="J6155">
        <v>-256.84050000000002</v>
      </c>
      <c r="K6155">
        <v>1.110328</v>
      </c>
      <c r="L6155">
        <v>-63.849060000000001</v>
      </c>
      <c r="M6155">
        <v>0.99991030000000003</v>
      </c>
      <c r="N6155">
        <v>0</v>
      </c>
      <c r="O6155">
        <v>-4.8138720000000003E-3</v>
      </c>
      <c r="P6155">
        <v>0.99890239999999997</v>
      </c>
      <c r="Q6155">
        <v>-3.049371E-2</v>
      </c>
      <c r="R6155">
        <v>-3.5553399999999999E-2</v>
      </c>
      <c r="S6155">
        <v>2.9687960000000002</v>
      </c>
      <c r="T6155">
        <v>-0.61932589999999998</v>
      </c>
      <c r="U6155">
        <v>-0.43551640000000003</v>
      </c>
      <c r="V6155">
        <v>3.0750739999999999E-2</v>
      </c>
      <c r="W6155">
        <v>-1.7988959999999998E-2</v>
      </c>
      <c r="X6155">
        <v>0.99936519999999995</v>
      </c>
      <c r="Y6155">
        <v>0.1375815</v>
      </c>
      <c r="Z6155">
        <v>-1.3136119999999999E-2</v>
      </c>
      <c r="AA6155">
        <v>0.99040340000000004</v>
      </c>
      <c r="AB6155">
        <v>13</v>
      </c>
      <c r="AC6155">
        <v>0.684200000000032</v>
      </c>
      <c r="AD6155">
        <v>-0.1554605</v>
      </c>
      <c r="AE6155">
        <v>-0.109420000000007</v>
      </c>
      <c r="AF6155">
        <v>0.101038620652904</v>
      </c>
      <c r="AG6155">
        <v>-0.1554605</v>
      </c>
      <c r="AH6155">
        <v>0.65190259442377196</v>
      </c>
      <c r="AI6155">
        <v>103.260288744839</v>
      </c>
      <c r="AJ6155">
        <v>81.189806142366095</v>
      </c>
      <c r="AK6155">
        <v>0.67775641829505096</v>
      </c>
      <c r="AL6155">
        <v>91.030747075971703</v>
      </c>
      <c r="AM6155">
        <v>88.237549319157296</v>
      </c>
      <c r="AN6155">
        <v>1.0000000068317301</v>
      </c>
    </row>
    <row r="6156" spans="1:40" x14ac:dyDescent="0.25">
      <c r="A6156" t="str">
        <f>"20190312161141595"</f>
        <v>20190312161141595</v>
      </c>
      <c r="B6156" t="str">
        <f>"1552378301583842"</f>
        <v>1552378301583842</v>
      </c>
      <c r="C6156" t="s">
        <v>40</v>
      </c>
      <c r="D6156">
        <v>5.7201209999999998</v>
      </c>
      <c r="E6156">
        <v>0.54285410000000001</v>
      </c>
      <c r="F6156" t="s">
        <v>42</v>
      </c>
      <c r="G6156">
        <v>-256.0453</v>
      </c>
      <c r="H6156">
        <v>0.94807520000000001</v>
      </c>
      <c r="I6156">
        <v>-63.963120000000004</v>
      </c>
      <c r="J6156">
        <v>-256.7749</v>
      </c>
      <c r="K6156">
        <v>1.11032</v>
      </c>
      <c r="L6156">
        <v>-63.849060000000001</v>
      </c>
      <c r="M6156">
        <v>0.99991260000000004</v>
      </c>
      <c r="N6156">
        <v>0</v>
      </c>
      <c r="O6156">
        <v>-4.5189970000000003E-3</v>
      </c>
      <c r="P6156">
        <v>0.99891439999999998</v>
      </c>
      <c r="Q6156">
        <v>-3.0326970000000002E-2</v>
      </c>
      <c r="R6156">
        <v>-3.536475E-2</v>
      </c>
      <c r="S6156">
        <v>2.9696349999999998</v>
      </c>
      <c r="T6156">
        <v>-0.60595639999999995</v>
      </c>
      <c r="U6156">
        <v>-0.4252319</v>
      </c>
      <c r="V6156">
        <v>3.0856930000000001E-2</v>
      </c>
      <c r="W6156">
        <v>-1.7892749999999999E-2</v>
      </c>
      <c r="X6156">
        <v>0.99936369999999997</v>
      </c>
      <c r="Y6156">
        <v>0.13464470000000001</v>
      </c>
      <c r="Z6156">
        <v>-1.262195E-2</v>
      </c>
      <c r="AA6156">
        <v>0.99081359999999996</v>
      </c>
      <c r="AB6156">
        <v>13</v>
      </c>
      <c r="AC6156">
        <v>0.72960000000000402</v>
      </c>
      <c r="AD6156">
        <v>-0.162244799999999</v>
      </c>
      <c r="AE6156">
        <v>-0.11406000000000199</v>
      </c>
      <c r="AF6156">
        <v>0.105661160033702</v>
      </c>
      <c r="AG6156">
        <v>-0.162244799999999</v>
      </c>
      <c r="AH6156">
        <v>0.69648791949426103</v>
      </c>
      <c r="AI6156">
        <v>102.969733248286</v>
      </c>
      <c r="AJ6156">
        <v>81.373681700776402</v>
      </c>
      <c r="AK6156">
        <v>0.72289907861896796</v>
      </c>
      <c r="AL6156">
        <v>91.025233714605207</v>
      </c>
      <c r="AM6156">
        <v>88.231464341513401</v>
      </c>
      <c r="AN6156">
        <v>1.00000005275463</v>
      </c>
    </row>
    <row r="6157" spans="1:40" x14ac:dyDescent="0.25">
      <c r="A6157" t="str">
        <f>"20190312161141606"</f>
        <v>20190312161141606</v>
      </c>
      <c r="B6157" t="str">
        <f>"1552378301593601"</f>
        <v>1552378301593601</v>
      </c>
      <c r="C6157" t="s">
        <v>40</v>
      </c>
      <c r="D6157">
        <v>5.7868190000000004</v>
      </c>
      <c r="E6157">
        <v>0.54206200000000004</v>
      </c>
      <c r="F6157" t="s">
        <v>42</v>
      </c>
      <c r="G6157">
        <v>-256.03949999999998</v>
      </c>
      <c r="H6157">
        <v>0.96045329999999995</v>
      </c>
      <c r="I6157">
        <v>-63.954479999999997</v>
      </c>
      <c r="J6157">
        <v>-256.71640000000002</v>
      </c>
      <c r="K6157">
        <v>1.1103099999999999</v>
      </c>
      <c r="L6157">
        <v>-63.848999999999997</v>
      </c>
      <c r="M6157">
        <v>0.99991450000000004</v>
      </c>
      <c r="N6157">
        <v>0</v>
      </c>
      <c r="O6157">
        <v>-4.2559970000000001E-3</v>
      </c>
      <c r="P6157">
        <v>0.99893869999999896</v>
      </c>
      <c r="Q6157">
        <v>-3.0023299999999999E-2</v>
      </c>
      <c r="R6157">
        <v>-3.4932570000000003E-2</v>
      </c>
      <c r="S6157">
        <v>2.9698329999999999</v>
      </c>
      <c r="T6157">
        <v>-0.60529290000000002</v>
      </c>
      <c r="U6157">
        <v>-0.42495729999999998</v>
      </c>
      <c r="V6157">
        <v>3.068705E-2</v>
      </c>
      <c r="W6157">
        <v>-1.7652089999999999E-2</v>
      </c>
      <c r="X6157">
        <v>0.99937310000000001</v>
      </c>
      <c r="Y6157">
        <v>0.1348037</v>
      </c>
      <c r="Z6157">
        <v>-1.2676410000000001E-2</v>
      </c>
      <c r="AA6157">
        <v>0.99079130000000004</v>
      </c>
      <c r="AB6157">
        <v>13</v>
      </c>
      <c r="AC6157">
        <v>0.67690000000004602</v>
      </c>
      <c r="AD6157">
        <v>-0.14985669999999901</v>
      </c>
      <c r="AE6157">
        <v>-0.105480000000007</v>
      </c>
      <c r="AF6157">
        <v>9.79127948149498E-2</v>
      </c>
      <c r="AG6157">
        <v>-0.14985669999999901</v>
      </c>
      <c r="AH6157">
        <v>0.64641189798621002</v>
      </c>
      <c r="AI6157">
        <v>102.90998111584101</v>
      </c>
      <c r="AJ6157">
        <v>81.386812780792695</v>
      </c>
      <c r="AK6157">
        <v>0.67074010449763499</v>
      </c>
      <c r="AL6157">
        <v>91.011442846698301</v>
      </c>
      <c r="AM6157">
        <v>88.241211252992301</v>
      </c>
      <c r="AN6157">
        <v>0.99999994216133803</v>
      </c>
    </row>
    <row r="6158" spans="1:40" x14ac:dyDescent="0.25">
      <c r="A6158" t="str">
        <f>"20190312161141618"</f>
        <v>20190312161141618</v>
      </c>
      <c r="B6158" t="str">
        <f>"1552378301613124"</f>
        <v>1552378301613124</v>
      </c>
      <c r="C6158" t="s">
        <v>40</v>
      </c>
      <c r="D6158">
        <v>5.6599740000000001</v>
      </c>
      <c r="E6158">
        <v>0.54115550000000001</v>
      </c>
      <c r="F6158" t="s">
        <v>42</v>
      </c>
      <c r="G6158">
        <v>-255.93</v>
      </c>
      <c r="H6158">
        <v>0.95038809999999996</v>
      </c>
      <c r="I6158">
        <v>-63.95966</v>
      </c>
      <c r="J6158">
        <v>-256.64839999999998</v>
      </c>
      <c r="K6158">
        <v>1.1102989999999999</v>
      </c>
      <c r="L6158">
        <v>-63.848939999999999</v>
      </c>
      <c r="M6158">
        <v>0.99991669999999999</v>
      </c>
      <c r="N6158">
        <v>0</v>
      </c>
      <c r="O6158">
        <v>-3.9529880000000002E-3</v>
      </c>
      <c r="P6158">
        <v>0.99896160000000001</v>
      </c>
      <c r="Q6158">
        <v>-2.9746539999999998E-2</v>
      </c>
      <c r="R6158">
        <v>-3.4509919999999999E-2</v>
      </c>
      <c r="S6158">
        <v>2.9704280000000001</v>
      </c>
      <c r="T6158">
        <v>-0.60411890000000001</v>
      </c>
      <c r="U6158">
        <v>-0.4177246</v>
      </c>
      <c r="V6158">
        <v>3.056714E-2</v>
      </c>
      <c r="W6158">
        <v>-1.7449159999999998E-2</v>
      </c>
      <c r="X6158">
        <v>0.99938039999999995</v>
      </c>
      <c r="Y6158">
        <v>0.13275580000000001</v>
      </c>
      <c r="Z6158">
        <v>-1.25075E-2</v>
      </c>
      <c r="AA6158">
        <v>0.99106989999999995</v>
      </c>
      <c r="AB6158">
        <v>13</v>
      </c>
      <c r="AC6158">
        <v>0.71839999999997395</v>
      </c>
      <c r="AD6158">
        <v>-0.159910899999999</v>
      </c>
      <c r="AE6158">
        <v>-0.11072</v>
      </c>
      <c r="AF6158">
        <v>0.102898979173059</v>
      </c>
      <c r="AG6158">
        <v>-0.159910899999999</v>
      </c>
      <c r="AH6158">
        <v>0.68564803472579094</v>
      </c>
      <c r="AI6158">
        <v>102.987752207082</v>
      </c>
      <c r="AJ6158">
        <v>81.465003179007795</v>
      </c>
      <c r="AK6158">
        <v>0.71152858226286797</v>
      </c>
      <c r="AL6158">
        <v>90.999813960948302</v>
      </c>
      <c r="AM6158">
        <v>88.248092238012603</v>
      </c>
      <c r="AN6158">
        <v>1.0000000035683201</v>
      </c>
    </row>
    <row r="6159" spans="1:40" x14ac:dyDescent="0.25">
      <c r="A6159" t="str">
        <f>"20190312161141629"</f>
        <v>20190312161141629</v>
      </c>
      <c r="B6159" t="str">
        <f>"1552378301623858"</f>
        <v>1552378301623858</v>
      </c>
      <c r="C6159" t="s">
        <v>40</v>
      </c>
      <c r="D6159">
        <v>5.1380679999999996</v>
      </c>
      <c r="E6159">
        <v>0.54050500000000001</v>
      </c>
      <c r="F6159" t="s">
        <v>42</v>
      </c>
      <c r="G6159">
        <v>-255.92349999999999</v>
      </c>
      <c r="H6159">
        <v>0.96423239999999999</v>
      </c>
      <c r="I6159">
        <v>-63.948909999999998</v>
      </c>
      <c r="J6159">
        <v>-256.58499999999998</v>
      </c>
      <c r="K6159">
        <v>1.1102909999999999</v>
      </c>
      <c r="L6159">
        <v>-63.848880000000001</v>
      </c>
      <c r="M6159">
        <v>0.99991859999999999</v>
      </c>
      <c r="N6159">
        <v>0</v>
      </c>
      <c r="O6159">
        <v>-3.6712239999999998E-3</v>
      </c>
      <c r="P6159">
        <v>0.99896759999999996</v>
      </c>
      <c r="Q6159">
        <v>-3.0006049999999999E-2</v>
      </c>
      <c r="R6159">
        <v>-3.4108449999999998E-2</v>
      </c>
      <c r="S6159">
        <v>2.9711460000000001</v>
      </c>
      <c r="T6159">
        <v>-0.59870049999999997</v>
      </c>
      <c r="U6159">
        <v>-0.40945429999999999</v>
      </c>
      <c r="V6159">
        <v>3.0447419999999999E-2</v>
      </c>
      <c r="W6159">
        <v>-1.777873E-2</v>
      </c>
      <c r="X6159">
        <v>0.99937830000000005</v>
      </c>
      <c r="Y6159">
        <v>0.13038230000000001</v>
      </c>
      <c r="Z6159">
        <v>-1.2217179999999999E-2</v>
      </c>
      <c r="AA6159">
        <v>0.99138850000000001</v>
      </c>
      <c r="AB6159">
        <v>13</v>
      </c>
      <c r="AC6159">
        <v>0.66149999999998899</v>
      </c>
      <c r="AD6159">
        <v>-0.14605859999999901</v>
      </c>
      <c r="AE6159">
        <v>-0.100029999999996</v>
      </c>
      <c r="AF6159">
        <v>9.3160385489742301E-2</v>
      </c>
      <c r="AG6159">
        <v>-0.14605859999999901</v>
      </c>
      <c r="AH6159">
        <v>0.63175200666365505</v>
      </c>
      <c r="AI6159">
        <v>102.883234402073</v>
      </c>
      <c r="AJ6159">
        <v>81.611417681579695</v>
      </c>
      <c r="AK6159">
        <v>0.65507447666819696</v>
      </c>
      <c r="AL6159">
        <v>91.018699805917805</v>
      </c>
      <c r="AM6159">
        <v>88.254945886882496</v>
      </c>
      <c r="AN6159">
        <v>1.0000000575679699</v>
      </c>
    </row>
    <row r="6160" spans="1:40" x14ac:dyDescent="0.25">
      <c r="A6160" t="str">
        <f>"20190312161141640"</f>
        <v>20190312161141640</v>
      </c>
      <c r="B6160" t="str">
        <f>"1552378301633617"</f>
        <v>1552378301633617</v>
      </c>
      <c r="C6160" t="s">
        <v>40</v>
      </c>
      <c r="D6160">
        <v>5.6416130000000004</v>
      </c>
      <c r="E6160">
        <v>0.54051729999999998</v>
      </c>
      <c r="F6160" t="s">
        <v>42</v>
      </c>
      <c r="G6160">
        <v>-255.81309999999999</v>
      </c>
      <c r="H6160">
        <v>0.95579429999999999</v>
      </c>
      <c r="I6160">
        <v>-63.95373</v>
      </c>
      <c r="J6160">
        <v>-256.51609999999999</v>
      </c>
      <c r="K6160">
        <v>1.110285</v>
      </c>
      <c r="L6160">
        <v>-63.848790000000001</v>
      </c>
      <c r="M6160">
        <v>0.9999207</v>
      </c>
      <c r="N6160">
        <v>0</v>
      </c>
      <c r="O6160">
        <v>-3.3660500000000002E-3</v>
      </c>
      <c r="P6160">
        <v>0.99896989999999997</v>
      </c>
      <c r="Q6160">
        <v>-3.0200640000000001E-2</v>
      </c>
      <c r="R6160">
        <v>-3.3875160000000001E-2</v>
      </c>
      <c r="S6160">
        <v>2.9714809999999998</v>
      </c>
      <c r="T6160">
        <v>-0.59475459999999902</v>
      </c>
      <c r="U6160">
        <v>-0.40286250000000001</v>
      </c>
      <c r="V6160">
        <v>3.0519299999999999E-2</v>
      </c>
      <c r="W6160">
        <v>-1.8050819999999999E-2</v>
      </c>
      <c r="X6160">
        <v>0.99937120000000002</v>
      </c>
      <c r="Y6160">
        <v>0.12857199999999999</v>
      </c>
      <c r="Z6160">
        <v>-1.202025E-2</v>
      </c>
      <c r="AA6160">
        <v>0.99162729999999999</v>
      </c>
      <c r="AB6160">
        <v>13</v>
      </c>
      <c r="AC6160">
        <v>0.70300000000000296</v>
      </c>
      <c r="AD6160">
        <v>-0.15449069999999901</v>
      </c>
      <c r="AE6160">
        <v>-0.104940000000006</v>
      </c>
      <c r="AF6160">
        <v>9.79457993839455E-2</v>
      </c>
      <c r="AG6160">
        <v>-0.15449069999999901</v>
      </c>
      <c r="AH6160">
        <v>0.67162094895122204</v>
      </c>
      <c r="AI6160">
        <v>102.82312359999899</v>
      </c>
      <c r="AJ6160">
        <v>81.702765009673101</v>
      </c>
      <c r="AK6160">
        <v>0.69608581013664605</v>
      </c>
      <c r="AL6160">
        <v>91.034291946993505</v>
      </c>
      <c r="AM6160">
        <v>88.250816315592203</v>
      </c>
      <c r="AN6160">
        <v>1.0000000275823</v>
      </c>
    </row>
    <row r="6161" spans="1:40" x14ac:dyDescent="0.25">
      <c r="A6161" t="str">
        <f>"20190312161141653"</f>
        <v>20190312161141653</v>
      </c>
      <c r="B6161" t="str">
        <f>"1552378301643377"</f>
        <v>1552378301643377</v>
      </c>
      <c r="C6161" t="s">
        <v>40</v>
      </c>
      <c r="D6161">
        <v>5.5315000000000003</v>
      </c>
      <c r="E6161">
        <v>0.54031779999999996</v>
      </c>
      <c r="F6161" t="s">
        <v>42</v>
      </c>
      <c r="G6161">
        <v>-255.80770000000001</v>
      </c>
      <c r="H6161">
        <v>0.96718000000000004</v>
      </c>
      <c r="I6161">
        <v>-63.944710000000001</v>
      </c>
      <c r="J6161">
        <v>-256.45010000000002</v>
      </c>
      <c r="K6161">
        <v>1.110279</v>
      </c>
      <c r="L6161">
        <v>-63.848660000000002</v>
      </c>
      <c r="M6161">
        <v>0.99992250000000005</v>
      </c>
      <c r="N6161">
        <v>0</v>
      </c>
      <c r="O6161">
        <v>-3.0743599999999999E-3</v>
      </c>
      <c r="P6161">
        <v>0.99896989999999997</v>
      </c>
      <c r="Q6161">
        <v>-3.0332419999999999E-2</v>
      </c>
      <c r="R6161">
        <v>-3.3755819999999999E-2</v>
      </c>
      <c r="S6161">
        <v>2.9713289999999999</v>
      </c>
      <c r="T6161">
        <v>-0.60028289999999995</v>
      </c>
      <c r="U6161">
        <v>-0.40151979999999998</v>
      </c>
      <c r="V6161">
        <v>3.0691510000000002E-2</v>
      </c>
      <c r="W6161">
        <v>-1.8259089999999999E-2</v>
      </c>
      <c r="X6161">
        <v>0.99936210000000003</v>
      </c>
      <c r="Y6161">
        <v>0.12838039999999901</v>
      </c>
      <c r="Z6161">
        <v>-1.216977E-2</v>
      </c>
      <c r="AA6161">
        <v>0.99165029999999998</v>
      </c>
      <c r="AB6161">
        <v>13</v>
      </c>
      <c r="AC6161">
        <v>0.64240000000000896</v>
      </c>
      <c r="AD6161">
        <v>-0.143099</v>
      </c>
      <c r="AE6161">
        <v>-9.6050000000005298E-2</v>
      </c>
      <c r="AF6161">
        <v>8.9719829576998603E-2</v>
      </c>
      <c r="AG6161">
        <v>-0.143099</v>
      </c>
      <c r="AH6161">
        <v>0.61294274659884396</v>
      </c>
      <c r="AI6161">
        <v>103.007207251716</v>
      </c>
      <c r="AJ6161">
        <v>81.672437799851807</v>
      </c>
      <c r="AK6161">
        <v>0.63578752915456005</v>
      </c>
      <c r="AL6161">
        <v>91.046226950261598</v>
      </c>
      <c r="AM6161">
        <v>88.240936444745799</v>
      </c>
      <c r="AN6161">
        <v>0.99999998503505805</v>
      </c>
    </row>
    <row r="6162" spans="1:40" x14ac:dyDescent="0.25">
      <c r="A6162" t="str">
        <f>"20190312161141665"</f>
        <v>20190312161141665</v>
      </c>
      <c r="B6162" t="str">
        <f>"1552378301653138"</f>
        <v>1552378301653138</v>
      </c>
      <c r="C6162" t="s">
        <v>40</v>
      </c>
      <c r="D6162">
        <v>5.695392</v>
      </c>
      <c r="E6162">
        <v>0.5412382</v>
      </c>
      <c r="F6162" t="s">
        <v>42</v>
      </c>
      <c r="G6162">
        <v>-255.69730000000001</v>
      </c>
      <c r="H6162">
        <v>0.95841120000000002</v>
      </c>
      <c r="I6162">
        <v>-63.949840000000002</v>
      </c>
      <c r="J6162">
        <v>-256.37819999999999</v>
      </c>
      <c r="K6162">
        <v>1.1102700000000001</v>
      </c>
      <c r="L6162">
        <v>-63.848509999999997</v>
      </c>
      <c r="M6162">
        <v>0.99992440000000005</v>
      </c>
      <c r="N6162">
        <v>0</v>
      </c>
      <c r="O6162">
        <v>-2.757238E-3</v>
      </c>
      <c r="P6162">
        <v>0.99897519999999995</v>
      </c>
      <c r="Q6162">
        <v>-3.0226059999999999E-2</v>
      </c>
      <c r="R6162">
        <v>-3.3688000000000003E-2</v>
      </c>
      <c r="S6162">
        <v>2.9714049999999999</v>
      </c>
      <c r="T6162">
        <v>-0.59952209999999995</v>
      </c>
      <c r="U6162">
        <v>-0.39916990000000002</v>
      </c>
      <c r="V6162">
        <v>3.0940639999999998E-2</v>
      </c>
      <c r="W6162">
        <v>-1.8236990000000002E-2</v>
      </c>
      <c r="X6162">
        <v>0.99935479999999999</v>
      </c>
      <c r="Y6162">
        <v>0.12792990000000001</v>
      </c>
      <c r="Z6162">
        <v>-1.217323E-2</v>
      </c>
      <c r="AA6162">
        <v>0.99170849999999999</v>
      </c>
      <c r="AB6162">
        <v>13</v>
      </c>
      <c r="AC6162">
        <v>0.68089999999997897</v>
      </c>
      <c r="AD6162">
        <v>-0.15185879999999999</v>
      </c>
      <c r="AE6162">
        <v>-0.101330000000004</v>
      </c>
      <c r="AF6162">
        <v>9.4837011022661205E-2</v>
      </c>
      <c r="AG6162">
        <v>-0.15185879999999999</v>
      </c>
      <c r="AH6162">
        <v>0.64956686691823695</v>
      </c>
      <c r="AI6162">
        <v>103.02523553955101</v>
      </c>
      <c r="AJ6162">
        <v>81.693483357670303</v>
      </c>
      <c r="AK6162">
        <v>0.67378948373741099</v>
      </c>
      <c r="AL6162">
        <v>91.044960524993797</v>
      </c>
      <c r="AM6162">
        <v>88.226653858781802</v>
      </c>
      <c r="AN6162">
        <v>0.99999996364545396</v>
      </c>
    </row>
    <row r="6163" spans="1:40" x14ac:dyDescent="0.25">
      <c r="A6163" t="str">
        <f>"20190312161141677"</f>
        <v>20190312161141677</v>
      </c>
      <c r="B6163" t="str">
        <f>"1552378301673635"</f>
        <v>1552378301673635</v>
      </c>
      <c r="C6163" t="s">
        <v>40</v>
      </c>
      <c r="D6163">
        <v>5.7192949999999998</v>
      </c>
      <c r="E6163">
        <v>0.54185380000000005</v>
      </c>
      <c r="F6163" t="s">
        <v>42</v>
      </c>
      <c r="G6163">
        <v>-255.5873</v>
      </c>
      <c r="H6163">
        <v>0.94807960000000002</v>
      </c>
      <c r="I6163">
        <v>-63.956780000000002</v>
      </c>
      <c r="J6163">
        <v>-256.3066</v>
      </c>
      <c r="K6163">
        <v>1.1102590000000001</v>
      </c>
      <c r="L6163">
        <v>-63.848329999999997</v>
      </c>
      <c r="M6163">
        <v>0.99992630000000005</v>
      </c>
      <c r="N6163">
        <v>0</v>
      </c>
      <c r="O6163">
        <v>-2.4434629999999999E-3</v>
      </c>
      <c r="P6163">
        <v>0.99899320000000003</v>
      </c>
      <c r="Q6163">
        <v>-2.9890900000000001E-2</v>
      </c>
      <c r="R6163">
        <v>-3.3454499999999998E-2</v>
      </c>
      <c r="S6163">
        <v>2.9709469999999998</v>
      </c>
      <c r="T6163">
        <v>-0.60932919999999902</v>
      </c>
      <c r="U6163">
        <v>-0.40594479999999999</v>
      </c>
      <c r="V6163">
        <v>3.102069E-2</v>
      </c>
      <c r="W6163">
        <v>-1.7987630000000001E-2</v>
      </c>
      <c r="X6163">
        <v>0.99935689999999999</v>
      </c>
      <c r="Y6163">
        <v>0.13034490000000001</v>
      </c>
      <c r="Z6163">
        <v>-1.2675820000000001E-2</v>
      </c>
      <c r="AA6163">
        <v>0.99138769999999998</v>
      </c>
      <c r="AB6163">
        <v>13</v>
      </c>
      <c r="AC6163">
        <v>0.71930000000000405</v>
      </c>
      <c r="AD6163">
        <v>-0.1621794</v>
      </c>
      <c r="AE6163">
        <v>-0.10844999999999699</v>
      </c>
      <c r="AF6163">
        <v>0.101639851885317</v>
      </c>
      <c r="AG6163">
        <v>-0.1621794</v>
      </c>
      <c r="AH6163">
        <v>0.68548986109732701</v>
      </c>
      <c r="AI6163">
        <v>103.171896866955</v>
      </c>
      <c r="AJ6163">
        <v>81.566013774464594</v>
      </c>
      <c r="AK6163">
        <v>0.71170862503054</v>
      </c>
      <c r="AL6163">
        <v>91.030670840691798</v>
      </c>
      <c r="AM6163">
        <v>88.222072510609905</v>
      </c>
      <c r="AN6163">
        <v>1.00000002580935</v>
      </c>
    </row>
    <row r="6164" spans="1:40" x14ac:dyDescent="0.25">
      <c r="A6164" t="str">
        <f>"20190312161141690"</f>
        <v>20190312161141690</v>
      </c>
      <c r="B6164" t="str">
        <f>"1552378301683394"</f>
        <v>1552378301683394</v>
      </c>
      <c r="C6164" t="s">
        <v>40</v>
      </c>
      <c r="D6164">
        <v>5.4582230000000003</v>
      </c>
      <c r="E6164">
        <v>0.54227919999999996</v>
      </c>
      <c r="F6164" t="s">
        <v>42</v>
      </c>
      <c r="G6164">
        <v>-255.5812</v>
      </c>
      <c r="H6164">
        <v>0.96118340000000002</v>
      </c>
      <c r="I6164">
        <v>-63.948680000000003</v>
      </c>
      <c r="J6164">
        <v>-256.23759999999999</v>
      </c>
      <c r="K6164">
        <v>1.1102449999999999</v>
      </c>
      <c r="L6164">
        <v>-63.848179999999999</v>
      </c>
      <c r="M6164">
        <v>0.99992789999999998</v>
      </c>
      <c r="N6164">
        <v>0</v>
      </c>
      <c r="O6164">
        <v>-2.141394E-3</v>
      </c>
      <c r="P6164">
        <v>0.99901220000000002</v>
      </c>
      <c r="Q6164">
        <v>-2.9613819999999999E-2</v>
      </c>
      <c r="R6164">
        <v>-3.3132549999999997E-2</v>
      </c>
      <c r="S6164">
        <v>2.970993</v>
      </c>
      <c r="T6164">
        <v>-0.61054540000000002</v>
      </c>
      <c r="U6164">
        <v>-0.41012569999999998</v>
      </c>
      <c r="V6164">
        <v>3.1000369999999999E-2</v>
      </c>
      <c r="W6164">
        <v>-1.7793529999999998E-2</v>
      </c>
      <c r="X6164">
        <v>0.99936100000000005</v>
      </c>
      <c r="Y6164">
        <v>0.13196240000000001</v>
      </c>
      <c r="Z6164">
        <v>-1.2924120000000001E-2</v>
      </c>
      <c r="AA6164">
        <v>0.99117049999999995</v>
      </c>
      <c r="AB6164">
        <v>13</v>
      </c>
      <c r="AC6164">
        <v>0.65639999999998999</v>
      </c>
      <c r="AD6164">
        <v>-0.14906159999999999</v>
      </c>
      <c r="AE6164">
        <v>-0.100499999999996</v>
      </c>
      <c r="AF6164">
        <v>9.4340392384129099E-2</v>
      </c>
      <c r="AG6164">
        <v>-0.14906159999999999</v>
      </c>
      <c r="AH6164">
        <v>0.62511512533748204</v>
      </c>
      <c r="AI6164">
        <v>103.26714811680399</v>
      </c>
      <c r="AJ6164">
        <v>81.417866815028702</v>
      </c>
      <c r="AK6164">
        <v>0.64952936050300902</v>
      </c>
      <c r="AL6164">
        <v>91.019547955376296</v>
      </c>
      <c r="AM6164">
        <v>88.223243674088707</v>
      </c>
      <c r="AN6164">
        <v>1.00000002048549</v>
      </c>
    </row>
    <row r="6165" spans="1:40" x14ac:dyDescent="0.25">
      <c r="A6165" t="str">
        <f>"20190312161141699"</f>
        <v>20190312161141699</v>
      </c>
      <c r="B6165" t="str">
        <f>"1552378301693155"</f>
        <v>1552378301693155</v>
      </c>
      <c r="C6165" t="s">
        <v>40</v>
      </c>
      <c r="D6165">
        <v>5.1026829999999999</v>
      </c>
      <c r="E6165">
        <v>0.54193340000000001</v>
      </c>
      <c r="F6165" t="s">
        <v>42</v>
      </c>
      <c r="G6165">
        <v>-255.47069999999999</v>
      </c>
      <c r="H6165">
        <v>0.95166649999999997</v>
      </c>
      <c r="I6165">
        <v>-63.954669999999901</v>
      </c>
      <c r="J6165">
        <v>-256.17489999999998</v>
      </c>
      <c r="K6165">
        <v>1.1102339999999999</v>
      </c>
      <c r="L6165">
        <v>-63.847990000000003</v>
      </c>
      <c r="M6165">
        <v>0.99992939999999997</v>
      </c>
      <c r="N6165">
        <v>0</v>
      </c>
      <c r="O6165">
        <v>-1.8678659999999999E-3</v>
      </c>
      <c r="P6165">
        <v>0.99902469999999999</v>
      </c>
      <c r="Q6165">
        <v>-2.9621399999999999E-2</v>
      </c>
      <c r="R6165">
        <v>-3.2745040000000003E-2</v>
      </c>
      <c r="S6165">
        <v>2.971069</v>
      </c>
      <c r="T6165">
        <v>-0.61434339999999998</v>
      </c>
      <c r="U6165">
        <v>-0.4126282</v>
      </c>
      <c r="V6165">
        <v>3.0886050000000002E-2</v>
      </c>
      <c r="W6165">
        <v>-1.7876759999999998E-2</v>
      </c>
      <c r="X6165">
        <v>0.999363</v>
      </c>
      <c r="Y6165">
        <v>0.13298960000000001</v>
      </c>
      <c r="Z6165">
        <v>-1.3162149999999999E-2</v>
      </c>
      <c r="AA6165">
        <v>0.99102999999999997</v>
      </c>
      <c r="AB6165">
        <v>13</v>
      </c>
      <c r="AC6165">
        <v>0.70419999999998595</v>
      </c>
      <c r="AD6165">
        <v>-0.158567499999999</v>
      </c>
      <c r="AE6165">
        <v>-0.10667999999999001</v>
      </c>
      <c r="AF6165">
        <v>0.10038853421977</v>
      </c>
      <c r="AG6165">
        <v>-0.158567499999999</v>
      </c>
      <c r="AH6165">
        <v>0.67113281526539903</v>
      </c>
      <c r="AI6165">
        <v>103.152249186763</v>
      </c>
      <c r="AJ6165">
        <v>81.492729809947306</v>
      </c>
      <c r="AK6165">
        <v>0.69687930489081396</v>
      </c>
      <c r="AL6165">
        <v>91.024317497248504</v>
      </c>
      <c r="AM6165">
        <v>88.229795178595793</v>
      </c>
      <c r="AN6165">
        <v>0.99999996620084897</v>
      </c>
    </row>
    <row r="6166" spans="1:40" x14ac:dyDescent="0.25">
      <c r="A6166" t="str">
        <f>"20190312161141710"</f>
        <v>20190312161141710</v>
      </c>
      <c r="B6166" t="str">
        <f>"1552378301703890"</f>
        <v>1552378301703890</v>
      </c>
      <c r="C6166" t="s">
        <v>40</v>
      </c>
      <c r="D6166">
        <v>5.4840489999999997</v>
      </c>
      <c r="E6166">
        <v>0.54195380000000004</v>
      </c>
      <c r="F6166" t="s">
        <v>42</v>
      </c>
      <c r="G6166">
        <v>-255.4648</v>
      </c>
      <c r="H6166">
        <v>0.96421179999999995</v>
      </c>
      <c r="I6166">
        <v>-63.945709999999998</v>
      </c>
      <c r="J6166">
        <v>-256.11290000000002</v>
      </c>
      <c r="K6166">
        <v>1.110222</v>
      </c>
      <c r="L6166">
        <v>-63.84778</v>
      </c>
      <c r="M6166">
        <v>0.99993069999999895</v>
      </c>
      <c r="N6166">
        <v>0</v>
      </c>
      <c r="O6166">
        <v>-1.5996070000000001E-3</v>
      </c>
      <c r="P6166">
        <v>0.99903920000000002</v>
      </c>
      <c r="Q6166">
        <v>-2.9621169999999999E-2</v>
      </c>
      <c r="R6166">
        <v>-3.2301000000000003E-2</v>
      </c>
      <c r="S6166">
        <v>2.9714049999999999</v>
      </c>
      <c r="T6166">
        <v>-0.61107840000000002</v>
      </c>
      <c r="U6166">
        <v>-0.40902709999999998</v>
      </c>
      <c r="V6166">
        <v>3.0710009999999999E-2</v>
      </c>
      <c r="W6166">
        <v>-1.794979E-2</v>
      </c>
      <c r="X6166">
        <v>0.99936720000000001</v>
      </c>
      <c r="Y6166">
        <v>0.1321029</v>
      </c>
      <c r="Z6166">
        <v>-1.305775E-2</v>
      </c>
      <c r="AA6166">
        <v>0.99114999999999998</v>
      </c>
      <c r="AB6166">
        <v>13</v>
      </c>
      <c r="AC6166">
        <v>0.64810000000002699</v>
      </c>
      <c r="AD6166">
        <v>-0.14601019999999901</v>
      </c>
      <c r="AE6166">
        <v>-9.7929999999990899E-2</v>
      </c>
      <c r="AF6166">
        <v>9.2312337067210606E-2</v>
      </c>
      <c r="AG6166">
        <v>-0.14601019999999901</v>
      </c>
      <c r="AH6166">
        <v>0.61760859609271002</v>
      </c>
      <c r="AI6166">
        <v>103.16018362500699</v>
      </c>
      <c r="AJ6166">
        <v>81.499082227332394</v>
      </c>
      <c r="AK6166">
        <v>0.64131187736269102</v>
      </c>
      <c r="AL6166">
        <v>91.028502393418506</v>
      </c>
      <c r="AM6166">
        <v>88.239885772932396</v>
      </c>
      <c r="AN6166">
        <v>1.0000000500555399</v>
      </c>
    </row>
    <row r="6167" spans="1:40" x14ac:dyDescent="0.25">
      <c r="A6167" t="str">
        <f>"20190312161141721"</f>
        <v>20190312161141721</v>
      </c>
      <c r="B6167" t="str">
        <f>"1552378301713650"</f>
        <v>1552378301713650</v>
      </c>
      <c r="C6167" t="s">
        <v>40</v>
      </c>
      <c r="D6167">
        <v>5.5057150000000004</v>
      </c>
      <c r="E6167">
        <v>0.54199730000000002</v>
      </c>
      <c r="F6167" t="s">
        <v>42</v>
      </c>
      <c r="G6167">
        <v>-255.35419999999999</v>
      </c>
      <c r="H6167">
        <v>0.95438619999999996</v>
      </c>
      <c r="I6167">
        <v>-63.95223</v>
      </c>
      <c r="J6167">
        <v>-256.05349999999999</v>
      </c>
      <c r="K6167">
        <v>1.110215</v>
      </c>
      <c r="L6167">
        <v>-63.847560000000001</v>
      </c>
      <c r="M6167">
        <v>0.99993200000000004</v>
      </c>
      <c r="N6167">
        <v>0</v>
      </c>
      <c r="O6167">
        <v>-1.3434149999999999E-3</v>
      </c>
      <c r="P6167">
        <v>0.99904009999999999</v>
      </c>
      <c r="Q6167">
        <v>-2.9892499999999999E-2</v>
      </c>
      <c r="R6167">
        <v>-3.2024480000000001E-2</v>
      </c>
      <c r="S6167">
        <v>2.9715880000000001</v>
      </c>
      <c r="T6167">
        <v>-0.61044449999999995</v>
      </c>
      <c r="U6167">
        <v>-0.40811160000000002</v>
      </c>
      <c r="V6167">
        <v>3.0689569999999999E-2</v>
      </c>
      <c r="W6167">
        <v>-1.8290730000000002E-2</v>
      </c>
      <c r="X6167">
        <v>0.99936159999999996</v>
      </c>
      <c r="Y6167">
        <v>0.13205029999999901</v>
      </c>
      <c r="Z6167">
        <v>-1.309049E-2</v>
      </c>
      <c r="AA6167">
        <v>0.99115660000000005</v>
      </c>
      <c r="AB6167">
        <v>13</v>
      </c>
      <c r="AC6167">
        <v>0.69929999999999304</v>
      </c>
      <c r="AD6167">
        <v>-0.15582879999999999</v>
      </c>
      <c r="AE6167">
        <v>-0.104670000000012</v>
      </c>
      <c r="AF6167">
        <v>9.8925809943726198E-2</v>
      </c>
      <c r="AG6167">
        <v>-0.15582879999999999</v>
      </c>
      <c r="AH6167">
        <v>0.66704334456268</v>
      </c>
      <c r="AI6167">
        <v>103.011725575184</v>
      </c>
      <c r="AJ6167">
        <v>81.564241715025602</v>
      </c>
      <c r="AK6167">
        <v>0.69210964038064704</v>
      </c>
      <c r="AL6167">
        <v>91.048040071634901</v>
      </c>
      <c r="AM6167">
        <v>88.241046685224504</v>
      </c>
      <c r="AN6167">
        <v>1.00000000403263</v>
      </c>
    </row>
    <row r="6168" spans="1:40" x14ac:dyDescent="0.25">
      <c r="A6168" t="str">
        <f>"20190312161141732"</f>
        <v>20190312161141732</v>
      </c>
      <c r="B6168" t="str">
        <f>"1552378301723409"</f>
        <v>1552378301723409</v>
      </c>
      <c r="C6168" t="s">
        <v>40</v>
      </c>
      <c r="D6168">
        <v>5.2894569999999996</v>
      </c>
      <c r="E6168">
        <v>0.54197830000000002</v>
      </c>
      <c r="F6168" t="s">
        <v>42</v>
      </c>
      <c r="G6168">
        <v>-255.34899999999999</v>
      </c>
      <c r="H6168">
        <v>0.96548129999999999</v>
      </c>
      <c r="I6168">
        <v>-63.944540000000003</v>
      </c>
      <c r="J6168">
        <v>-255.9913</v>
      </c>
      <c r="K6168">
        <v>1.110204</v>
      </c>
      <c r="L6168">
        <v>-63.847349999999999</v>
      </c>
      <c r="M6168">
        <v>0.99993299999999996</v>
      </c>
      <c r="N6168">
        <v>0</v>
      </c>
      <c r="O6168">
        <v>-1.0784080000000001E-3</v>
      </c>
      <c r="P6168">
        <v>0.99904749999999998</v>
      </c>
      <c r="Q6168">
        <v>-2.9923580000000002E-2</v>
      </c>
      <c r="R6168">
        <v>-3.1767360000000001E-2</v>
      </c>
      <c r="S6168">
        <v>2.9715419999999999</v>
      </c>
      <c r="T6168">
        <v>-0.6105003</v>
      </c>
      <c r="U6168">
        <v>-0.40792850000000003</v>
      </c>
      <c r="V6168">
        <v>3.0697039999999998E-2</v>
      </c>
      <c r="W6168">
        <v>-1.8392559999999999E-2</v>
      </c>
      <c r="X6168">
        <v>0.99935949999999996</v>
      </c>
      <c r="Y6168">
        <v>0.132245</v>
      </c>
      <c r="Z6168">
        <v>-1.316526E-2</v>
      </c>
      <c r="AA6168">
        <v>0.99112960000000006</v>
      </c>
      <c r="AB6168">
        <v>13</v>
      </c>
      <c r="AC6168">
        <v>0.642299999999977</v>
      </c>
      <c r="AD6168">
        <v>-0.14472270000000001</v>
      </c>
      <c r="AE6168">
        <v>-9.7190000000004703E-2</v>
      </c>
      <c r="AF6168">
        <v>9.1934309899830993E-2</v>
      </c>
      <c r="AG6168">
        <v>-0.14472270000000001</v>
      </c>
      <c r="AH6168">
        <v>0.61202798823799298</v>
      </c>
      <c r="AI6168">
        <v>103.16158992592599</v>
      </c>
      <c r="AJ6168">
        <v>81.457322224681207</v>
      </c>
      <c r="AK6168">
        <v>0.63559014751543597</v>
      </c>
      <c r="AL6168">
        <v>91.053875484224406</v>
      </c>
      <c r="AM6168">
        <v>88.240615121199099</v>
      </c>
      <c r="AN6168">
        <v>1.00000000238418</v>
      </c>
    </row>
    <row r="6169" spans="1:40" x14ac:dyDescent="0.25">
      <c r="A6169" t="str">
        <f>"20190312161141742"</f>
        <v>20190312161141742</v>
      </c>
      <c r="B6169" t="str">
        <f>"1552378301733170"</f>
        <v>1552378301733170</v>
      </c>
      <c r="C6169" t="s">
        <v>40</v>
      </c>
      <c r="D6169">
        <v>5.5082000000000004</v>
      </c>
      <c r="E6169">
        <v>0.54183990000000004</v>
      </c>
      <c r="F6169" t="s">
        <v>42</v>
      </c>
      <c r="G6169">
        <v>-255.2381</v>
      </c>
      <c r="H6169">
        <v>0.95596729999999996</v>
      </c>
      <c r="I6169">
        <v>-63.950699999999998</v>
      </c>
      <c r="J6169">
        <v>-255.92670000000001</v>
      </c>
      <c r="K6169">
        <v>1.110193</v>
      </c>
      <c r="L6169">
        <v>-63.847079999999998</v>
      </c>
      <c r="M6169">
        <v>0.99993430000000005</v>
      </c>
      <c r="N6169">
        <v>0</v>
      </c>
      <c r="O6169">
        <v>-8.0409630000000001E-4</v>
      </c>
      <c r="P6169">
        <v>0.99905920000000004</v>
      </c>
      <c r="Q6169">
        <v>-3.0014329999999999E-2</v>
      </c>
      <c r="R6169">
        <v>-3.131084E-2</v>
      </c>
      <c r="S6169">
        <v>2.971695</v>
      </c>
      <c r="T6169">
        <v>-0.60849540000000002</v>
      </c>
      <c r="U6169">
        <v>-0.40707399999999999</v>
      </c>
      <c r="V6169">
        <v>3.0514599999999999E-2</v>
      </c>
      <c r="W6169">
        <v>-1.855623E-2</v>
      </c>
      <c r="X6169">
        <v>0.99936210000000003</v>
      </c>
      <c r="Y6169">
        <v>0.1322422</v>
      </c>
      <c r="Z6169">
        <v>-1.317755E-2</v>
      </c>
      <c r="AA6169">
        <v>0.99112979999999995</v>
      </c>
      <c r="AB6169">
        <v>13</v>
      </c>
      <c r="AC6169">
        <v>0.68860000000000798</v>
      </c>
      <c r="AD6169">
        <v>-0.15422569999999899</v>
      </c>
      <c r="AE6169">
        <v>-0.103619999999992</v>
      </c>
      <c r="AF6169">
        <v>9.8247035215583797E-2</v>
      </c>
      <c r="AG6169">
        <v>-0.15422569999999899</v>
      </c>
      <c r="AH6169">
        <v>0.656481500995169</v>
      </c>
      <c r="AI6169">
        <v>103.080048226361</v>
      </c>
      <c r="AJ6169">
        <v>81.488456791138006</v>
      </c>
      <c r="AK6169">
        <v>0.68147340932571498</v>
      </c>
      <c r="AL6169">
        <v>91.063254644413107</v>
      </c>
      <c r="AM6169">
        <v>88.251069608776703</v>
      </c>
      <c r="AN6169">
        <v>1.0000000407006899</v>
      </c>
    </row>
    <row r="6170" spans="1:40" x14ac:dyDescent="0.25">
      <c r="A6170" t="str">
        <f>"20190312161141753"</f>
        <v>20190312161141753</v>
      </c>
      <c r="B6170" t="str">
        <f>"1552378301743905"</f>
        <v>1552378301743905</v>
      </c>
      <c r="C6170" t="s">
        <v>40</v>
      </c>
      <c r="D6170">
        <v>5.349183</v>
      </c>
      <c r="E6170">
        <v>0.54150209999999999</v>
      </c>
      <c r="F6170" t="s">
        <v>42</v>
      </c>
      <c r="G6170">
        <v>-255.2321</v>
      </c>
      <c r="H6170">
        <v>0.96859689999999998</v>
      </c>
      <c r="I6170">
        <v>-63.9418199999999</v>
      </c>
      <c r="J6170">
        <v>-255.86859999999999</v>
      </c>
      <c r="K6170">
        <v>1.1101780000000001</v>
      </c>
      <c r="L6170">
        <v>-63.84686</v>
      </c>
      <c r="M6170">
        <v>0.99993509999999997</v>
      </c>
      <c r="N6170">
        <v>0</v>
      </c>
      <c r="O6170">
        <v>-5.6203649999999998E-4</v>
      </c>
      <c r="P6170">
        <v>0.99906289999999998</v>
      </c>
      <c r="Q6170">
        <v>-3.016135E-2</v>
      </c>
      <c r="R6170">
        <v>-3.1049380000000001E-2</v>
      </c>
      <c r="S6170">
        <v>2.9719389999999999</v>
      </c>
      <c r="T6170">
        <v>-0.60587119999999905</v>
      </c>
      <c r="U6170">
        <v>-0.4046631</v>
      </c>
      <c r="V6170">
        <v>3.049514E-2</v>
      </c>
      <c r="W6170">
        <v>-1.876568E-2</v>
      </c>
      <c r="X6170">
        <v>0.99935870000000004</v>
      </c>
      <c r="Y6170">
        <v>0.13171050000000001</v>
      </c>
      <c r="Z6170">
        <v>-1.311673E-2</v>
      </c>
      <c r="AA6170">
        <v>0.99120149999999996</v>
      </c>
      <c r="AB6170">
        <v>13</v>
      </c>
      <c r="AC6170">
        <v>0.63649999999998297</v>
      </c>
      <c r="AD6170">
        <v>-0.14158109999999999</v>
      </c>
      <c r="AE6170">
        <v>-9.4959999999993203E-2</v>
      </c>
      <c r="AF6170">
        <v>9.0234782655597201E-2</v>
      </c>
      <c r="AG6170">
        <v>-0.14158109999999999</v>
      </c>
      <c r="AH6170">
        <v>0.60716590916617696</v>
      </c>
      <c r="AI6170">
        <v>102.98814650780901</v>
      </c>
      <c r="AJ6170">
        <v>81.546782772064404</v>
      </c>
      <c r="AK6170">
        <v>0.62995076405359096</v>
      </c>
      <c r="AL6170">
        <v>91.075257424166793</v>
      </c>
      <c r="AM6170">
        <v>88.252178315086496</v>
      </c>
      <c r="AN6170">
        <v>0.99999995778758499</v>
      </c>
    </row>
    <row r="6171" spans="1:40" x14ac:dyDescent="0.25">
      <c r="A6171" t="str">
        <f>"20190312161141763"</f>
        <v>20190312161141763</v>
      </c>
      <c r="B6171" t="str">
        <f>"1552378301753666"</f>
        <v>1552378301753666</v>
      </c>
      <c r="C6171" t="s">
        <v>40</v>
      </c>
      <c r="D6171">
        <v>5.2415129999999897</v>
      </c>
      <c r="E6171">
        <v>0.54132910000000001</v>
      </c>
      <c r="F6171" t="s">
        <v>42</v>
      </c>
      <c r="G6171">
        <v>-255.12129999999999</v>
      </c>
      <c r="H6171">
        <v>0.95844700000000005</v>
      </c>
      <c r="I6171">
        <v>-63.947859999999999</v>
      </c>
      <c r="J6171">
        <v>-255.80959999999999</v>
      </c>
      <c r="K6171">
        <v>1.110169</v>
      </c>
      <c r="L6171">
        <v>-63.846620000000001</v>
      </c>
      <c r="M6171">
        <v>0.99993569999999998</v>
      </c>
      <c r="N6171">
        <v>0</v>
      </c>
      <c r="O6171">
        <v>-3.1639899999999998E-4</v>
      </c>
      <c r="P6171">
        <v>0.99906819999999996</v>
      </c>
      <c r="Q6171">
        <v>-3.0267289999999999E-2</v>
      </c>
      <c r="R6171">
        <v>-3.0768219999999999E-2</v>
      </c>
      <c r="S6171">
        <v>2.9721220000000002</v>
      </c>
      <c r="T6171">
        <v>-0.60348550000000001</v>
      </c>
      <c r="U6171">
        <v>-0.40118409999999999</v>
      </c>
      <c r="V6171">
        <v>3.0459420000000001E-2</v>
      </c>
      <c r="W6171">
        <v>-1.893479E-2</v>
      </c>
      <c r="X6171">
        <v>0.99935660000000004</v>
      </c>
      <c r="Y6171">
        <v>0.13083939999999999</v>
      </c>
      <c r="Z6171">
        <v>-1.3028299999999901E-2</v>
      </c>
      <c r="AA6171">
        <v>0.99131800000000003</v>
      </c>
      <c r="AB6171">
        <v>13</v>
      </c>
      <c r="AC6171">
        <v>0.68829999999999802</v>
      </c>
      <c r="AD6171">
        <v>-0.151722</v>
      </c>
      <c r="AE6171">
        <v>-0.10124000000000399</v>
      </c>
      <c r="AF6171">
        <v>9.6435678868499006E-2</v>
      </c>
      <c r="AG6171">
        <v>-0.151722</v>
      </c>
      <c r="AH6171">
        <v>0.65708093257405897</v>
      </c>
      <c r="AI6171">
        <v>102.868702478692</v>
      </c>
      <c r="AJ6171">
        <v>81.650661697784699</v>
      </c>
      <c r="AK6171">
        <v>0.68123032624452595</v>
      </c>
      <c r="AL6171">
        <v>91.084948435270903</v>
      </c>
      <c r="AM6171">
        <v>88.254220664530195</v>
      </c>
      <c r="AN6171">
        <v>0.99999995825131904</v>
      </c>
    </row>
    <row r="6172" spans="1:40" x14ac:dyDescent="0.25">
      <c r="A6172" t="str">
        <f>"20190312161141774"</f>
        <v>20190312161141774</v>
      </c>
      <c r="B6172" t="str">
        <f>"1552378301763426"</f>
        <v>1552378301763426</v>
      </c>
      <c r="C6172" t="s">
        <v>40</v>
      </c>
      <c r="D6172">
        <v>5.486764</v>
      </c>
      <c r="E6172">
        <v>0.54118630000000001</v>
      </c>
      <c r="F6172" t="s">
        <v>42</v>
      </c>
      <c r="G6172">
        <v>-255.11590000000001</v>
      </c>
      <c r="H6172">
        <v>0.96978489999999995</v>
      </c>
      <c r="I6172">
        <v>-63.939920000000001</v>
      </c>
      <c r="J6172">
        <v>-255.74690000000001</v>
      </c>
      <c r="K6172">
        <v>1.1101589999999999</v>
      </c>
      <c r="L6172">
        <v>-63.846339999999998</v>
      </c>
      <c r="M6172">
        <v>0.99993659999999995</v>
      </c>
      <c r="N6172">
        <v>0</v>
      </c>
      <c r="O6172" s="1">
        <v>-6.1833190000000002E-5</v>
      </c>
      <c r="P6172">
        <v>0.99909009999999998</v>
      </c>
      <c r="Q6172">
        <v>-3.015458E-2</v>
      </c>
      <c r="R6172">
        <v>-3.0163249999999999E-2</v>
      </c>
      <c r="S6172">
        <v>2.9722599999999999</v>
      </c>
      <c r="T6172">
        <v>-0.60151149999999998</v>
      </c>
      <c r="U6172">
        <v>-0.399231</v>
      </c>
      <c r="V6172">
        <v>3.0108739999999998E-2</v>
      </c>
      <c r="W6172">
        <v>-1.8884370000000001E-2</v>
      </c>
      <c r="X6172">
        <v>0.99936829999999999</v>
      </c>
      <c r="Y6172">
        <v>0.130465</v>
      </c>
      <c r="Z6172">
        <v>-1.299993E-2</v>
      </c>
      <c r="AA6172">
        <v>0.99136769999999996</v>
      </c>
      <c r="AB6172">
        <v>13</v>
      </c>
      <c r="AC6172">
        <v>0.63100000000000001</v>
      </c>
      <c r="AD6172">
        <v>-0.1403741</v>
      </c>
      <c r="AE6172">
        <v>-9.3579999999988603E-2</v>
      </c>
      <c r="AF6172">
        <v>8.9220505405552097E-2</v>
      </c>
      <c r="AG6172">
        <v>-0.1403741</v>
      </c>
      <c r="AH6172">
        <v>0.601860860697365</v>
      </c>
      <c r="AI6172">
        <v>102.99151716599199</v>
      </c>
      <c r="AJ6172">
        <v>81.567820668745298</v>
      </c>
      <c r="AK6172">
        <v>0.62442107761910504</v>
      </c>
      <c r="AL6172">
        <v>91.082058936434606</v>
      </c>
      <c r="AM6172">
        <v>88.274327829254304</v>
      </c>
      <c r="AN6172">
        <v>1.0000000773497799</v>
      </c>
    </row>
    <row r="6173" spans="1:40" x14ac:dyDescent="0.25">
      <c r="A6173" t="str">
        <f>"20190312161141796"</f>
        <v>20190312161141796</v>
      </c>
      <c r="B6173" t="str">
        <f>"1552378301783921"</f>
        <v>1552378301783921</v>
      </c>
      <c r="C6173" t="s">
        <v>40</v>
      </c>
      <c r="D6173">
        <v>5.4639249999999997</v>
      </c>
      <c r="E6173">
        <v>0.54109980000000002</v>
      </c>
      <c r="F6173" t="s">
        <v>42</v>
      </c>
      <c r="G6173">
        <v>-255.0044</v>
      </c>
      <c r="H6173">
        <v>0.96051410000000004</v>
      </c>
      <c r="I6173">
        <v>-63.945480000000003</v>
      </c>
      <c r="J6173">
        <v>-255.62299999999999</v>
      </c>
      <c r="K6173">
        <v>1.110147</v>
      </c>
      <c r="L6173">
        <v>-63.845790000000001</v>
      </c>
      <c r="M6173">
        <v>0.99993779999999999</v>
      </c>
      <c r="N6173">
        <v>0</v>
      </c>
      <c r="O6173">
        <v>4.3485419999999999E-4</v>
      </c>
      <c r="P6173">
        <v>0.99912020000000001</v>
      </c>
      <c r="Q6173">
        <v>-2.9933580000000001E-2</v>
      </c>
      <c r="R6173">
        <v>-2.9379140000000002E-2</v>
      </c>
      <c r="S6173">
        <v>2.9726720000000002</v>
      </c>
      <c r="T6173">
        <v>-0.59918009999999999</v>
      </c>
      <c r="U6173">
        <v>-0.39645390000000003</v>
      </c>
      <c r="V6173">
        <v>2.982044E-2</v>
      </c>
      <c r="W6173">
        <v>-1.8780129999999999E-2</v>
      </c>
      <c r="X6173">
        <v>0.99937889999999996</v>
      </c>
      <c r="Y6173">
        <v>0.130048</v>
      </c>
      <c r="Z6173">
        <v>-1.300683E-2</v>
      </c>
      <c r="AA6173">
        <v>0.99142240000000004</v>
      </c>
      <c r="AB6173">
        <v>13</v>
      </c>
      <c r="AC6173">
        <v>0.61859999999998605</v>
      </c>
      <c r="AD6173">
        <v>-0.14963290000000001</v>
      </c>
      <c r="AE6173">
        <v>-9.9690000000002499E-2</v>
      </c>
      <c r="AF6173">
        <v>9.4565960625660195E-2</v>
      </c>
      <c r="AG6173">
        <v>-0.14963290000000001</v>
      </c>
      <c r="AH6173">
        <v>0.58518385768905201</v>
      </c>
      <c r="AI6173">
        <v>104.16707674787099</v>
      </c>
      <c r="AJ6173">
        <v>80.820336685421196</v>
      </c>
      <c r="AK6173">
        <v>0.61136966965274298</v>
      </c>
      <c r="AL6173">
        <v>91.076085374622394</v>
      </c>
      <c r="AM6173">
        <v>88.290859914952804</v>
      </c>
      <c r="AN6173">
        <v>1.0000000688449</v>
      </c>
    </row>
    <row r="6174" spans="1:40" x14ac:dyDescent="0.25">
      <c r="A6174" t="str">
        <f>"20190312161141807"</f>
        <v>20190312161141807</v>
      </c>
      <c r="B6174" t="str">
        <f>"1552378301803442"</f>
        <v>1552378301803442</v>
      </c>
      <c r="C6174" t="s">
        <v>40</v>
      </c>
      <c r="D6174">
        <v>5.5206179999999998</v>
      </c>
      <c r="E6174">
        <v>0.54121140000000001</v>
      </c>
      <c r="F6174" t="s">
        <v>42</v>
      </c>
      <c r="G6174">
        <v>-254.88720000000001</v>
      </c>
      <c r="H6174">
        <v>0.96282840000000003</v>
      </c>
      <c r="I6174">
        <v>-63.94341</v>
      </c>
      <c r="J6174">
        <v>-255.5565</v>
      </c>
      <c r="K6174">
        <v>1.1101379999999901</v>
      </c>
      <c r="L6174">
        <v>-63.84543</v>
      </c>
      <c r="M6174">
        <v>0.99993829999999995</v>
      </c>
      <c r="N6174">
        <v>0</v>
      </c>
      <c r="O6174">
        <v>6.9702199999999897E-4</v>
      </c>
      <c r="P6174">
        <v>0.99914499999999995</v>
      </c>
      <c r="Q6174">
        <v>-2.981992E-2</v>
      </c>
      <c r="R6174">
        <v>-2.8642020000000001E-2</v>
      </c>
      <c r="S6174">
        <v>2.973236</v>
      </c>
      <c r="T6174">
        <v>-0.59524319999999997</v>
      </c>
      <c r="U6174">
        <v>-0.39382929999999999</v>
      </c>
      <c r="V6174">
        <v>2.934498E-2</v>
      </c>
      <c r="W6174">
        <v>-1.872468E-2</v>
      </c>
      <c r="X6174">
        <v>0.99939389999999995</v>
      </c>
      <c r="Y6174">
        <v>0.12946340000000001</v>
      </c>
      <c r="Z6174">
        <v>-1.291541E-2</v>
      </c>
      <c r="AA6174">
        <v>0.9915001</v>
      </c>
      <c r="AB6174">
        <v>13</v>
      </c>
      <c r="AC6174">
        <v>0.66929999999999201</v>
      </c>
      <c r="AD6174">
        <v>-0.14730959999999901</v>
      </c>
      <c r="AE6174">
        <v>-9.7979999999992601E-2</v>
      </c>
      <c r="AF6174">
        <v>9.3989047299765399E-2</v>
      </c>
      <c r="AG6174">
        <v>-0.14730959999999901</v>
      </c>
      <c r="AH6174">
        <v>0.63892998645473498</v>
      </c>
      <c r="AI6174">
        <v>102.849433535522</v>
      </c>
      <c r="AJ6174">
        <v>81.631589869374395</v>
      </c>
      <c r="AK6174">
        <v>0.66239383062912505</v>
      </c>
      <c r="AL6174">
        <v>91.072907887886799</v>
      </c>
      <c r="AM6174">
        <v>88.318120061665297</v>
      </c>
      <c r="AN6174">
        <v>0.99999995442475498</v>
      </c>
    </row>
    <row r="6175" spans="1:40" x14ac:dyDescent="0.25">
      <c r="A6175" t="str">
        <f>"20190312161141818"</f>
        <v>20190312161141818</v>
      </c>
      <c r="B6175" t="str">
        <f>"1552378301813202"</f>
        <v>1552378301813202</v>
      </c>
      <c r="C6175" t="s">
        <v>40</v>
      </c>
      <c r="D6175">
        <v>5.5128539999999999</v>
      </c>
      <c r="E6175">
        <v>0.54129159999999998</v>
      </c>
      <c r="F6175" t="s">
        <v>42</v>
      </c>
      <c r="G6175">
        <v>-254.7749</v>
      </c>
      <c r="H6175">
        <v>0.95431239999999995</v>
      </c>
      <c r="I6175">
        <v>-63.948749999999997</v>
      </c>
      <c r="J6175">
        <v>-255.49260000000001</v>
      </c>
      <c r="K6175">
        <v>1.1101319999999999</v>
      </c>
      <c r="L6175">
        <v>-63.845089999999999</v>
      </c>
      <c r="M6175">
        <v>0.99993860000000001</v>
      </c>
      <c r="N6175">
        <v>0</v>
      </c>
      <c r="O6175">
        <v>9.4425939999999995E-4</v>
      </c>
      <c r="P6175">
        <v>0.99915299999999996</v>
      </c>
      <c r="Q6175">
        <v>-2.9898580000000001E-2</v>
      </c>
      <c r="R6175">
        <v>-2.8279559999999999E-2</v>
      </c>
      <c r="S6175">
        <v>2.9736180000000001</v>
      </c>
      <c r="T6175">
        <v>-0.59280749999999904</v>
      </c>
      <c r="U6175">
        <v>-0.39276119999999998</v>
      </c>
      <c r="V6175">
        <v>2.9229390000000001E-2</v>
      </c>
      <c r="W6175">
        <v>-1.8855E-2</v>
      </c>
      <c r="X6175">
        <v>0.99939489999999997</v>
      </c>
      <c r="Y6175">
        <v>0.12936019999999901</v>
      </c>
      <c r="Z6175">
        <v>-1.2900729999999999E-2</v>
      </c>
      <c r="AA6175">
        <v>0.99151369999999905</v>
      </c>
      <c r="AB6175">
        <v>13</v>
      </c>
      <c r="AC6175">
        <v>0.717700000000007</v>
      </c>
      <c r="AD6175">
        <v>-0.155819599999999</v>
      </c>
      <c r="AE6175">
        <v>-0.103659999999997</v>
      </c>
      <c r="AF6175">
        <v>9.9732694772775396E-2</v>
      </c>
      <c r="AG6175">
        <v>-0.155819599999999</v>
      </c>
      <c r="AH6175">
        <v>0.68593008391083798</v>
      </c>
      <c r="AI6175">
        <v>102.66956567459501</v>
      </c>
      <c r="AJ6175">
        <v>81.727293596827906</v>
      </c>
      <c r="AK6175">
        <v>0.71044101666832904</v>
      </c>
      <c r="AL6175">
        <v>91.080375924837696</v>
      </c>
      <c r="AM6175">
        <v>88.324742886544698</v>
      </c>
      <c r="AN6175">
        <v>1.00000001720539</v>
      </c>
    </row>
    <row r="6176" spans="1:40" x14ac:dyDescent="0.25">
      <c r="A6176" t="str">
        <f>"20190312161141829"</f>
        <v>20190312161141829</v>
      </c>
      <c r="B6176" t="str">
        <f>"1552378301823938"</f>
        <v>1552378301823938</v>
      </c>
      <c r="C6176" t="s">
        <v>40</v>
      </c>
      <c r="D6176">
        <v>5.553655</v>
      </c>
      <c r="E6176">
        <v>0.54146890000000003</v>
      </c>
      <c r="F6176" t="s">
        <v>42</v>
      </c>
      <c r="G6176">
        <v>-254.76939999999999</v>
      </c>
      <c r="H6176">
        <v>0.96592440000000002</v>
      </c>
      <c r="I6176">
        <v>-63.94059</v>
      </c>
      <c r="J6176">
        <v>-255.4255</v>
      </c>
      <c r="K6176">
        <v>1.1101259999999999</v>
      </c>
      <c r="L6176">
        <v>-63.844729999999998</v>
      </c>
      <c r="M6176">
        <v>0.99993889999999996</v>
      </c>
      <c r="N6176">
        <v>0</v>
      </c>
      <c r="O6176">
        <v>1.2012710000000001E-3</v>
      </c>
      <c r="P6176">
        <v>0.99917350000000005</v>
      </c>
      <c r="Q6176">
        <v>-2.9648009999999999E-2</v>
      </c>
      <c r="R6176">
        <v>-2.7811490000000001E-2</v>
      </c>
      <c r="S6176">
        <v>2.9736940000000001</v>
      </c>
      <c r="T6176">
        <v>-0.59291969999999905</v>
      </c>
      <c r="U6176">
        <v>-0.39233400000000002</v>
      </c>
      <c r="V6176">
        <v>2.901828E-2</v>
      </c>
      <c r="W6176">
        <v>-1.865559E-2</v>
      </c>
      <c r="X6176">
        <v>0.99940479999999998</v>
      </c>
      <c r="Y6176">
        <v>0.12946379999999999</v>
      </c>
      <c r="Z6176">
        <v>-1.296364E-2</v>
      </c>
      <c r="AA6176">
        <v>0.99149940000000003</v>
      </c>
      <c r="AB6176">
        <v>13</v>
      </c>
      <c r="AC6176">
        <v>0.65610000000000901</v>
      </c>
      <c r="AD6176">
        <v>-0.14420159999999899</v>
      </c>
      <c r="AE6176">
        <v>-9.5859999999994699E-2</v>
      </c>
      <c r="AF6176">
        <v>9.2283469274670502E-2</v>
      </c>
      <c r="AG6176">
        <v>-0.14420159999999899</v>
      </c>
      <c r="AH6176">
        <v>0.62635988517524299</v>
      </c>
      <c r="AI6176">
        <v>102.830967893805</v>
      </c>
      <c r="AJ6176">
        <v>81.618738914249803</v>
      </c>
      <c r="AK6176">
        <v>0.64933584985019299</v>
      </c>
      <c r="AL6176">
        <v>91.068948557467095</v>
      </c>
      <c r="AM6176">
        <v>88.336852118458197</v>
      </c>
      <c r="AN6176">
        <v>1.0000000229377199</v>
      </c>
    </row>
    <row r="6177" spans="1:40" x14ac:dyDescent="0.25">
      <c r="A6177" t="str">
        <f>"20190312161141841"</f>
        <v>20190312161141841</v>
      </c>
      <c r="B6177" t="str">
        <f>"1552378301833698"</f>
        <v>1552378301833698</v>
      </c>
      <c r="C6177" t="s">
        <v>40</v>
      </c>
      <c r="D6177">
        <v>5.3178929999999998</v>
      </c>
      <c r="E6177">
        <v>0.5414099</v>
      </c>
      <c r="F6177" t="s">
        <v>42</v>
      </c>
      <c r="G6177">
        <v>-254.65700000000001</v>
      </c>
      <c r="H6177">
        <v>0.95716179999999995</v>
      </c>
      <c r="I6177">
        <v>-63.946260000000002</v>
      </c>
      <c r="J6177">
        <v>-255.3578</v>
      </c>
      <c r="K6177">
        <v>1.1101190000000001</v>
      </c>
      <c r="L6177">
        <v>-63.844360000000002</v>
      </c>
      <c r="M6177">
        <v>0.99993909999999997</v>
      </c>
      <c r="N6177">
        <v>0</v>
      </c>
      <c r="O6177">
        <v>1.457615E-3</v>
      </c>
      <c r="P6177">
        <v>0.99920050000000005</v>
      </c>
      <c r="Q6177">
        <v>-2.9244920000000001E-2</v>
      </c>
      <c r="R6177">
        <v>-2.7263160000000002E-2</v>
      </c>
      <c r="S6177">
        <v>2.9740139999999999</v>
      </c>
      <c r="T6177">
        <v>-0.59194539999999995</v>
      </c>
      <c r="U6177">
        <v>-0.39227289999999998</v>
      </c>
      <c r="V6177">
        <v>2.8725770000000001E-2</v>
      </c>
      <c r="W6177">
        <v>-1.8301120000000001E-2</v>
      </c>
      <c r="X6177">
        <v>0.99941979999999997</v>
      </c>
      <c r="Y6177">
        <v>0.12968360000000001</v>
      </c>
      <c r="Z6177">
        <v>-1.301329E-2</v>
      </c>
      <c r="AA6177">
        <v>0.99146999999999996</v>
      </c>
      <c r="AB6177">
        <v>13</v>
      </c>
      <c r="AC6177">
        <v>0.70079999999998599</v>
      </c>
      <c r="AD6177">
        <v>-0.15295719999999999</v>
      </c>
      <c r="AE6177">
        <v>-0.1019</v>
      </c>
      <c r="AF6177">
        <v>9.8334023763535894E-2</v>
      </c>
      <c r="AG6177">
        <v>-0.15295719999999999</v>
      </c>
      <c r="AH6177">
        <v>0.66942123803957498</v>
      </c>
      <c r="AI6177">
        <v>102.738488830406</v>
      </c>
      <c r="AJ6177">
        <v>81.643352816621501</v>
      </c>
      <c r="AK6177">
        <v>0.69367880117515901</v>
      </c>
      <c r="AL6177">
        <v>91.048635459014605</v>
      </c>
      <c r="AM6177">
        <v>88.3536324006797</v>
      </c>
      <c r="AN6177">
        <v>1.0000000187436899</v>
      </c>
    </row>
    <row r="6178" spans="1:40" x14ac:dyDescent="0.25">
      <c r="A6178" t="str">
        <f>"20190312161141853"</f>
        <v>20190312161141853</v>
      </c>
      <c r="B6178" t="str">
        <f>"1552378301843458"</f>
        <v>1552378301843458</v>
      </c>
      <c r="C6178" t="s">
        <v>40</v>
      </c>
      <c r="D6178">
        <v>5.4101679999999996</v>
      </c>
      <c r="E6178">
        <v>0.5415295</v>
      </c>
      <c r="F6178" t="s">
        <v>42</v>
      </c>
      <c r="G6178">
        <v>-254.65090000000001</v>
      </c>
      <c r="H6178">
        <v>0.97006150000000002</v>
      </c>
      <c r="I6178">
        <v>-63.937260000000002</v>
      </c>
      <c r="J6178">
        <v>-255.28970000000001</v>
      </c>
      <c r="K6178">
        <v>1.1101129999999999</v>
      </c>
      <c r="L6178">
        <v>-63.843989999999998</v>
      </c>
      <c r="M6178">
        <v>0.99993929999999998</v>
      </c>
      <c r="N6178">
        <v>0</v>
      </c>
      <c r="O6178">
        <v>1.71012799999999E-3</v>
      </c>
      <c r="P6178">
        <v>0.99921020000000005</v>
      </c>
      <c r="Q6178">
        <v>-2.9337140000000001E-2</v>
      </c>
      <c r="R6178">
        <v>-2.6804370000000001E-2</v>
      </c>
      <c r="S6178">
        <v>2.9744869999999999</v>
      </c>
      <c r="T6178">
        <v>-0.58939189999999997</v>
      </c>
      <c r="U6178">
        <v>-0.39022829999999997</v>
      </c>
      <c r="V6178">
        <v>2.8519349999999999E-2</v>
      </c>
      <c r="W6178">
        <v>-1.8438030000000001E-2</v>
      </c>
      <c r="X6178">
        <v>0.99942319999999996</v>
      </c>
      <c r="Y6178">
        <v>0.12926869999999999</v>
      </c>
      <c r="Z6178">
        <v>-1.2965580000000001E-2</v>
      </c>
      <c r="AA6178">
        <v>0.99152479999999998</v>
      </c>
      <c r="AB6178">
        <v>13</v>
      </c>
      <c r="AC6178">
        <v>0.63880000000000303</v>
      </c>
      <c r="AD6178">
        <v>-0.140051499999999</v>
      </c>
      <c r="AE6178">
        <v>-9.3269999999989694E-2</v>
      </c>
      <c r="AF6178">
        <v>9.0120947485950703E-2</v>
      </c>
      <c r="AG6178">
        <v>-0.140051499999999</v>
      </c>
      <c r="AH6178">
        <v>0.60993390544749804</v>
      </c>
      <c r="AI6178">
        <v>102.79765299812701</v>
      </c>
      <c r="AJ6178">
        <v>81.595059178254004</v>
      </c>
      <c r="AK6178">
        <v>0.63226226903275995</v>
      </c>
      <c r="AL6178">
        <v>91.056481142876905</v>
      </c>
      <c r="AM6178">
        <v>88.365462120882597</v>
      </c>
      <c r="AN6178">
        <v>1.0000000234864701</v>
      </c>
    </row>
    <row r="6179" spans="1:40" x14ac:dyDescent="0.25">
      <c r="A6179" t="str">
        <f>"20190312161141864"</f>
        <v>20190312161141864</v>
      </c>
      <c r="B6179" t="str">
        <f>"1552378301853218"</f>
        <v>1552378301853218</v>
      </c>
      <c r="C6179" t="s">
        <v>40</v>
      </c>
      <c r="D6179">
        <v>5.6421780000000004</v>
      </c>
      <c r="E6179">
        <v>0.54194540000000002</v>
      </c>
      <c r="F6179" t="s">
        <v>42</v>
      </c>
      <c r="G6179">
        <v>-254.53809999999999</v>
      </c>
      <c r="H6179">
        <v>0.96150100000000005</v>
      </c>
      <c r="I6179">
        <v>-63.942790000000002</v>
      </c>
      <c r="J6179">
        <v>-255.22190000000001</v>
      </c>
      <c r="K6179">
        <v>1.110109</v>
      </c>
      <c r="L6179">
        <v>-63.8435699999999</v>
      </c>
      <c r="M6179">
        <v>0.99993909999999997</v>
      </c>
      <c r="N6179">
        <v>0</v>
      </c>
      <c r="O6179">
        <v>1.9604879999999998E-3</v>
      </c>
      <c r="P6179">
        <v>0.99924080000000004</v>
      </c>
      <c r="Q6179">
        <v>-2.8813209999999999E-2</v>
      </c>
      <c r="R6179">
        <v>-2.6226329999999999E-2</v>
      </c>
      <c r="S6179">
        <v>2.97464</v>
      </c>
      <c r="T6179">
        <v>-0.58818409999999999</v>
      </c>
      <c r="U6179">
        <v>-0.3901367</v>
      </c>
      <c r="V6179">
        <v>2.819118E-2</v>
      </c>
      <c r="W6179">
        <v>-1.7957150000000002E-2</v>
      </c>
      <c r="X6179">
        <v>0.99944129999999998</v>
      </c>
      <c r="Y6179">
        <v>0.12948180000000001</v>
      </c>
      <c r="Z6179">
        <v>-1.3008509999999999E-2</v>
      </c>
      <c r="AA6179">
        <v>0.99149640000000006</v>
      </c>
      <c r="AB6179">
        <v>13</v>
      </c>
      <c r="AC6179">
        <v>0.68380000000001895</v>
      </c>
      <c r="AD6179">
        <v>-0.14860799999999899</v>
      </c>
      <c r="AE6179">
        <v>-9.9220000000009606E-2</v>
      </c>
      <c r="AF6179">
        <v>9.61145025882508E-2</v>
      </c>
      <c r="AG6179">
        <v>-0.14860799999999899</v>
      </c>
      <c r="AH6179">
        <v>0.65338072952091797</v>
      </c>
      <c r="AI6179">
        <v>102.68164177316299</v>
      </c>
      <c r="AJ6179">
        <v>81.631615992445305</v>
      </c>
      <c r="AK6179">
        <v>0.67692592872564294</v>
      </c>
      <c r="AL6179">
        <v>91.028924151161206</v>
      </c>
      <c r="AM6179">
        <v>88.3842898422659</v>
      </c>
      <c r="AN6179">
        <v>1.0000000570058001</v>
      </c>
    </row>
    <row r="6180" spans="1:40" x14ac:dyDescent="0.25">
      <c r="A6180" t="str">
        <f>"20190312161141876"</f>
        <v>20190312161141876</v>
      </c>
      <c r="B6180" t="str">
        <f>"1552378301863953"</f>
        <v>1552378301863953</v>
      </c>
      <c r="C6180" t="s">
        <v>40</v>
      </c>
      <c r="D6180">
        <v>6.020594</v>
      </c>
      <c r="E6180">
        <v>0.54194540000000002</v>
      </c>
      <c r="F6180" t="s">
        <v>42</v>
      </c>
      <c r="G6180">
        <v>-254.42519999999999</v>
      </c>
      <c r="H6180">
        <v>0.95257150000000002</v>
      </c>
      <c r="I6180">
        <v>-63.948720000000002</v>
      </c>
      <c r="J6180">
        <v>-255.1523</v>
      </c>
      <c r="K6180">
        <v>1.1101030000000001</v>
      </c>
      <c r="L6180">
        <v>-63.843169999999901</v>
      </c>
      <c r="M6180">
        <v>0.99993920000000003</v>
      </c>
      <c r="N6180">
        <v>0</v>
      </c>
      <c r="O6180">
        <v>2.2108980000000002E-3</v>
      </c>
      <c r="P6180">
        <v>0.99926309999999996</v>
      </c>
      <c r="Q6180">
        <v>-2.8433650000000001E-2</v>
      </c>
      <c r="R6180">
        <v>-2.5794899999999999E-2</v>
      </c>
      <c r="S6180">
        <v>2.9750369999999999</v>
      </c>
      <c r="T6180">
        <v>-0.58829259999999906</v>
      </c>
      <c r="U6180">
        <v>-0.3917542</v>
      </c>
      <c r="V6180">
        <v>2.8009719999999998E-2</v>
      </c>
      <c r="W6180">
        <v>-1.761911E-2</v>
      </c>
      <c r="X6180">
        <v>0.99945240000000002</v>
      </c>
      <c r="Y6180">
        <v>0.1302239</v>
      </c>
      <c r="Z6180">
        <v>-1.312994E-2</v>
      </c>
      <c r="AA6180">
        <v>0.99139770000000005</v>
      </c>
      <c r="AB6180">
        <v>13</v>
      </c>
      <c r="AC6180">
        <v>0.72710000000000696</v>
      </c>
      <c r="AD6180">
        <v>-0.15753149999999999</v>
      </c>
      <c r="AE6180">
        <v>-0.10555</v>
      </c>
      <c r="AF6180">
        <v>0.10244769447306799</v>
      </c>
      <c r="AG6180">
        <v>-0.15753149999999999</v>
      </c>
      <c r="AH6180">
        <v>0.694918335331976</v>
      </c>
      <c r="AI6180">
        <v>102.640385398003</v>
      </c>
      <c r="AJ6180">
        <v>81.613630450992304</v>
      </c>
      <c r="AK6180">
        <v>0.71987720923478504</v>
      </c>
      <c r="AL6180">
        <v>91.009552840433997</v>
      </c>
      <c r="AM6180">
        <v>88.394702148783793</v>
      </c>
      <c r="AN6180">
        <v>1.00000003865871</v>
      </c>
    </row>
    <row r="6181" spans="1:40" x14ac:dyDescent="0.25">
      <c r="A6181" t="str">
        <f>"20190312161141897"</f>
        <v>20190312161141897</v>
      </c>
      <c r="B6181" t="str">
        <f>"1552378301883473"</f>
        <v>1552378301883473</v>
      </c>
      <c r="C6181" t="s">
        <v>40</v>
      </c>
      <c r="D6181">
        <v>5.6041569999999998</v>
      </c>
      <c r="E6181">
        <v>0.54246079999999997</v>
      </c>
      <c r="F6181" t="s">
        <v>42</v>
      </c>
      <c r="G6181">
        <v>-254.41919999999999</v>
      </c>
      <c r="H6181">
        <v>0.96545650000000005</v>
      </c>
      <c r="I6181">
        <v>-63.939630000000001</v>
      </c>
      <c r="J6181">
        <v>-255.03489999999999</v>
      </c>
      <c r="K6181">
        <v>1.110101</v>
      </c>
      <c r="L6181">
        <v>-63.842410000000001</v>
      </c>
      <c r="M6181">
        <v>0.99993880000000002</v>
      </c>
      <c r="N6181">
        <v>0</v>
      </c>
      <c r="O6181">
        <v>2.6274879999999999E-3</v>
      </c>
      <c r="P6181">
        <v>0.99928220000000001</v>
      </c>
      <c r="Q6181">
        <v>-2.8366599999999999E-2</v>
      </c>
      <c r="R6181">
        <v>-2.510915E-2</v>
      </c>
      <c r="S6181">
        <v>2.9754330000000002</v>
      </c>
      <c r="T6181">
        <v>-0.58712039999999999</v>
      </c>
      <c r="U6181">
        <v>-0.39056400000000002</v>
      </c>
      <c r="V6181">
        <v>2.774039E-2</v>
      </c>
      <c r="W6181">
        <v>-1.7620199999999999E-2</v>
      </c>
      <c r="X6181">
        <v>0.99945989999999996</v>
      </c>
      <c r="Y6181">
        <v>0.1302323</v>
      </c>
      <c r="Z6181">
        <v>-1.3184799999999899E-2</v>
      </c>
      <c r="AA6181">
        <v>0.99139580000000005</v>
      </c>
      <c r="AB6181">
        <v>13</v>
      </c>
      <c r="AC6181">
        <v>0.61570000000000302</v>
      </c>
      <c r="AD6181">
        <v>-0.14464449999999901</v>
      </c>
      <c r="AE6181">
        <v>-9.7220000000007203E-2</v>
      </c>
      <c r="AF6181">
        <v>9.3787240693515003E-2</v>
      </c>
      <c r="AG6181">
        <v>-0.14464449999999901</v>
      </c>
      <c r="AH6181">
        <v>0.58399539320839</v>
      </c>
      <c r="AI6181">
        <v>103.741834644096</v>
      </c>
      <c r="AJ6181">
        <v>80.8764382529111</v>
      </c>
      <c r="AK6181">
        <v>0.60890779038026399</v>
      </c>
      <c r="AL6181">
        <v>91.0096152949165</v>
      </c>
      <c r="AM6181">
        <v>88.410141999309303</v>
      </c>
      <c r="AN6181">
        <v>1.0000000461967</v>
      </c>
    </row>
    <row r="6182" spans="1:40" x14ac:dyDescent="0.25">
      <c r="A6182" t="str">
        <f>"20190312161141909"</f>
        <v>20190312161141909</v>
      </c>
      <c r="B6182" t="str">
        <f>"1552378301903969"</f>
        <v>1552378301903969</v>
      </c>
      <c r="C6182" t="s">
        <v>40</v>
      </c>
      <c r="D6182">
        <v>5.6885180000000002</v>
      </c>
      <c r="E6182">
        <v>0.54292910000000005</v>
      </c>
      <c r="F6182" t="s">
        <v>42</v>
      </c>
      <c r="G6182">
        <v>-254.3021</v>
      </c>
      <c r="H6182">
        <v>0.96508369999999999</v>
      </c>
      <c r="I6182">
        <v>-63.939120000000003</v>
      </c>
      <c r="J6182">
        <v>-254.96459999999999</v>
      </c>
      <c r="K6182">
        <v>1.1100939999999999</v>
      </c>
      <c r="L6182">
        <v>-63.841920000000002</v>
      </c>
      <c r="M6182">
        <v>0.99993869999999896</v>
      </c>
      <c r="N6182">
        <v>0</v>
      </c>
      <c r="O6182">
        <v>2.87258E-3</v>
      </c>
      <c r="P6182">
        <v>0.99928550000000005</v>
      </c>
      <c r="Q6182">
        <v>-2.8253219999999999E-2</v>
      </c>
      <c r="R6182">
        <v>-2.511145E-2</v>
      </c>
      <c r="S6182">
        <v>2.9755859999999998</v>
      </c>
      <c r="T6182">
        <v>-0.58883790000000003</v>
      </c>
      <c r="U6182">
        <v>-0.39215090000000002</v>
      </c>
      <c r="V6182">
        <v>2.7987439999999999E-2</v>
      </c>
      <c r="W6182">
        <v>-1.7545970000000001E-2</v>
      </c>
      <c r="X6182">
        <v>0.99945430000000002</v>
      </c>
      <c r="Y6182">
        <v>0.13095570000000001</v>
      </c>
      <c r="Z6182">
        <v>-1.333998E-2</v>
      </c>
      <c r="AA6182">
        <v>0.99129840000000002</v>
      </c>
      <c r="AB6182">
        <v>13</v>
      </c>
      <c r="AC6182">
        <v>0.66249999999999398</v>
      </c>
      <c r="AD6182">
        <v>-0.14501030000000001</v>
      </c>
      <c r="AE6182">
        <v>-9.72000000000008E-2</v>
      </c>
      <c r="AF6182">
        <v>9.4663056565544301E-2</v>
      </c>
      <c r="AG6182">
        <v>-0.14501030000000001</v>
      </c>
      <c r="AH6182">
        <v>0.63255113306779798</v>
      </c>
      <c r="AI6182">
        <v>102.774257562321</v>
      </c>
      <c r="AJ6182">
        <v>81.488689989037397</v>
      </c>
      <c r="AK6182">
        <v>0.65582773449266096</v>
      </c>
      <c r="AL6182">
        <v>91.005361590269501</v>
      </c>
      <c r="AM6182">
        <v>88.395981444311701</v>
      </c>
      <c r="AN6182">
        <v>1.0000000278247401</v>
      </c>
    </row>
    <row r="6183" spans="1:40" x14ac:dyDescent="0.25">
      <c r="A6183" t="str">
        <f>"20190312161141919"</f>
        <v>20190312161141919</v>
      </c>
      <c r="B6183" t="str">
        <f>"1552378301913729"</f>
        <v>1552378301913729</v>
      </c>
      <c r="C6183" t="s">
        <v>40</v>
      </c>
      <c r="D6183">
        <v>5.7026979999999998</v>
      </c>
      <c r="E6183">
        <v>0.54323379999999999</v>
      </c>
      <c r="F6183" t="s">
        <v>42</v>
      </c>
      <c r="G6183">
        <v>-254.1885</v>
      </c>
      <c r="H6183">
        <v>0.95640559999999997</v>
      </c>
      <c r="I6183">
        <v>-63.945349999999998</v>
      </c>
      <c r="J6183">
        <v>-254.89789999999999</v>
      </c>
      <c r="K6183">
        <v>1.1100890000000001</v>
      </c>
      <c r="L6183">
        <v>-63.84149</v>
      </c>
      <c r="M6183">
        <v>0.99993840000000001</v>
      </c>
      <c r="N6183">
        <v>0</v>
      </c>
      <c r="O6183">
        <v>3.1018590000000002E-3</v>
      </c>
      <c r="P6183">
        <v>0.99928819999999996</v>
      </c>
      <c r="Q6183">
        <v>-2.8153870000000001E-2</v>
      </c>
      <c r="R6183">
        <v>-2.5115769999999999E-2</v>
      </c>
      <c r="S6183">
        <v>2.9755250000000002</v>
      </c>
      <c r="T6183">
        <v>-0.58929319999999996</v>
      </c>
      <c r="U6183">
        <v>-0.3955688</v>
      </c>
      <c r="V6183">
        <v>2.8220849999999999E-2</v>
      </c>
      <c r="W6183">
        <v>-1.7482319999999999E-2</v>
      </c>
      <c r="X6183">
        <v>0.99944880000000003</v>
      </c>
      <c r="Y6183">
        <v>0.13227149999999999</v>
      </c>
      <c r="Z6183">
        <v>-1.3522670000000001E-2</v>
      </c>
      <c r="AA6183">
        <v>0.99112129999999998</v>
      </c>
      <c r="AB6183">
        <v>13</v>
      </c>
      <c r="AC6183">
        <v>0.70939999999998704</v>
      </c>
      <c r="AD6183">
        <v>-0.153683399999999</v>
      </c>
      <c r="AE6183">
        <v>-0.103859999999997</v>
      </c>
      <c r="AF6183">
        <v>0.10140097226686499</v>
      </c>
      <c r="AG6183">
        <v>-0.153683399999999</v>
      </c>
      <c r="AH6183">
        <v>0.67792549083449005</v>
      </c>
      <c r="AI6183">
        <v>102.636881686303</v>
      </c>
      <c r="AJ6183">
        <v>81.493028675235607</v>
      </c>
      <c r="AK6183">
        <v>0.70248396119442402</v>
      </c>
      <c r="AL6183">
        <v>91.001714206609407</v>
      </c>
      <c r="AM6183">
        <v>88.382602410651003</v>
      </c>
      <c r="AN6183">
        <v>0.99999997585437195</v>
      </c>
    </row>
    <row r="6184" spans="1:40" x14ac:dyDescent="0.25">
      <c r="A6184" t="str">
        <f>"20190312161141932"</f>
        <v>20190312161141932</v>
      </c>
      <c r="B6184" t="str">
        <f>"1552378301923489"</f>
        <v>1552378301923489</v>
      </c>
      <c r="C6184" t="s">
        <v>40</v>
      </c>
      <c r="D6184">
        <v>5.6168760000000004</v>
      </c>
      <c r="E6184">
        <v>0.54323379999999999</v>
      </c>
      <c r="F6184" t="s">
        <v>42</v>
      </c>
      <c r="G6184">
        <v>-254.1831</v>
      </c>
      <c r="H6184">
        <v>0.96813320000000003</v>
      </c>
      <c r="I6184">
        <v>-63.937350000000002</v>
      </c>
      <c r="J6184">
        <v>-254.8272</v>
      </c>
      <c r="K6184">
        <v>1.1100840000000001</v>
      </c>
      <c r="L6184">
        <v>-63.840969999999999</v>
      </c>
      <c r="M6184">
        <v>0.99993790000000005</v>
      </c>
      <c r="N6184">
        <v>0</v>
      </c>
      <c r="O6184">
        <v>3.3421700000000002E-3</v>
      </c>
      <c r="P6184">
        <v>0.99928519999999998</v>
      </c>
      <c r="Q6184">
        <v>-2.8117920000000001E-2</v>
      </c>
      <c r="R6184">
        <v>-2.526923E-2</v>
      </c>
      <c r="S6184">
        <v>2.9755099999999999</v>
      </c>
      <c r="T6184">
        <v>-0.59085690000000002</v>
      </c>
      <c r="U6184">
        <v>-0.39791870000000001</v>
      </c>
      <c r="V6184">
        <v>2.8614489999999999E-2</v>
      </c>
      <c r="W6184">
        <v>-1.748326E-2</v>
      </c>
      <c r="X6184">
        <v>0.99943760000000004</v>
      </c>
      <c r="Y6184">
        <v>0.13324269999999999</v>
      </c>
      <c r="Z6184">
        <v>-1.36994E-2</v>
      </c>
      <c r="AA6184">
        <v>0.99098869999999895</v>
      </c>
      <c r="AB6184">
        <v>13</v>
      </c>
      <c r="AC6184">
        <v>0.644100000000008</v>
      </c>
      <c r="AD6184">
        <v>-0.14195079999999999</v>
      </c>
      <c r="AE6184">
        <v>-9.6380000000003394E-2</v>
      </c>
      <c r="AF6184">
        <v>9.4063648778990802E-2</v>
      </c>
      <c r="AG6184">
        <v>-0.14195079999999999</v>
      </c>
      <c r="AH6184">
        <v>0.61457787728981705</v>
      </c>
      <c r="AI6184">
        <v>102.860990721223</v>
      </c>
      <c r="AJ6184">
        <v>81.298176445699099</v>
      </c>
      <c r="AK6184">
        <v>0.63773346069993397</v>
      </c>
      <c r="AL6184">
        <v>91.001768063857696</v>
      </c>
      <c r="AM6184">
        <v>88.360035923169804</v>
      </c>
      <c r="AN6184">
        <v>0.99999998485597297</v>
      </c>
    </row>
    <row r="6185" spans="1:40" x14ac:dyDescent="0.25">
      <c r="A6185" t="str">
        <f>"20190312161141945"</f>
        <v>20190312161141945</v>
      </c>
      <c r="B6185" t="str">
        <f>"1552378301933250"</f>
        <v>1552378301933250</v>
      </c>
      <c r="C6185" t="s">
        <v>40</v>
      </c>
      <c r="D6185">
        <v>5.8857480000000004</v>
      </c>
      <c r="E6185">
        <v>0.54345509999999997</v>
      </c>
      <c r="F6185" t="s">
        <v>42</v>
      </c>
      <c r="G6185">
        <v>-254.0693</v>
      </c>
      <c r="H6185">
        <v>0.95959380000000005</v>
      </c>
      <c r="I6185">
        <v>-63.942549999999997</v>
      </c>
      <c r="J6185">
        <v>-254.74930000000001</v>
      </c>
      <c r="K6185">
        <v>1.110074</v>
      </c>
      <c r="L6185">
        <v>-63.840420000000002</v>
      </c>
      <c r="M6185">
        <v>0.99993750000000003</v>
      </c>
      <c r="N6185">
        <v>0</v>
      </c>
      <c r="O6185">
        <v>3.604548E-3</v>
      </c>
      <c r="P6185">
        <v>0.99928689999999998</v>
      </c>
      <c r="Q6185">
        <v>-2.794081E-2</v>
      </c>
      <c r="R6185">
        <v>-2.5401449999999999E-2</v>
      </c>
      <c r="S6185">
        <v>2.9754640000000001</v>
      </c>
      <c r="T6185">
        <v>-0.59075929999999999</v>
      </c>
      <c r="U6185">
        <v>-0.39840700000000001</v>
      </c>
      <c r="V6185">
        <v>2.9008699999999998E-2</v>
      </c>
      <c r="W6185">
        <v>-1.7346110000000001E-2</v>
      </c>
      <c r="X6185">
        <v>0.9994286</v>
      </c>
      <c r="Y6185">
        <v>0.1336523</v>
      </c>
      <c r="Z6185">
        <v>-1.3788709999999999E-2</v>
      </c>
      <c r="AA6185">
        <v>0.99093229999999999</v>
      </c>
      <c r="AB6185">
        <v>13</v>
      </c>
      <c r="AC6185">
        <v>0.68000000000000604</v>
      </c>
      <c r="AD6185">
        <v>-0.15048019999999901</v>
      </c>
      <c r="AE6185">
        <v>-0.102130000000002</v>
      </c>
      <c r="AF6185">
        <v>9.9801004208086394E-2</v>
      </c>
      <c r="AG6185">
        <v>-0.15048019999999901</v>
      </c>
      <c r="AH6185">
        <v>0.648566958889637</v>
      </c>
      <c r="AI6185">
        <v>102.91577683775699</v>
      </c>
      <c r="AJ6185">
        <v>81.2519847170812</v>
      </c>
      <c r="AK6185">
        <v>0.67323371216564498</v>
      </c>
      <c r="AL6185">
        <v>90.993908781081004</v>
      </c>
      <c r="AM6185">
        <v>88.337440446697997</v>
      </c>
      <c r="AN6185">
        <v>0.99999995935288999</v>
      </c>
    </row>
    <row r="6186" spans="1:40" x14ac:dyDescent="0.25">
      <c r="A6186" t="str">
        <f>"20190312161141957"</f>
        <v>20190312161141957</v>
      </c>
      <c r="B6186" t="str">
        <f>"1552378301953745"</f>
        <v>1552378301953745</v>
      </c>
      <c r="C6186" t="s">
        <v>40</v>
      </c>
      <c r="D6186">
        <v>5.6727030000000003</v>
      </c>
      <c r="E6186">
        <v>0.5436839</v>
      </c>
      <c r="F6186" t="s">
        <v>42</v>
      </c>
      <c r="G6186">
        <v>-253.9545</v>
      </c>
      <c r="H6186">
        <v>0.9522197</v>
      </c>
      <c r="I6186">
        <v>-63.947650000000003</v>
      </c>
      <c r="J6186">
        <v>-254.6772</v>
      </c>
      <c r="K6186">
        <v>1.110066</v>
      </c>
      <c r="L6186">
        <v>-63.8399</v>
      </c>
      <c r="M6186">
        <v>0.99993679999999996</v>
      </c>
      <c r="N6186">
        <v>0</v>
      </c>
      <c r="O6186">
        <v>3.8441999999999999E-3</v>
      </c>
      <c r="P6186">
        <v>0.99928340000000004</v>
      </c>
      <c r="Q6186">
        <v>-2.7941110000000002E-2</v>
      </c>
      <c r="R6186">
        <v>-2.5537529999999999E-2</v>
      </c>
      <c r="S6186">
        <v>2.9754330000000002</v>
      </c>
      <c r="T6186">
        <v>-0.59093899999999999</v>
      </c>
      <c r="U6186">
        <v>-0.40072629999999998</v>
      </c>
      <c r="V6186">
        <v>2.9383989999999999E-2</v>
      </c>
      <c r="W6186">
        <v>-1.7382390000000001E-2</v>
      </c>
      <c r="X6186">
        <v>0.99941709999999995</v>
      </c>
      <c r="Y6186">
        <v>0.1346252</v>
      </c>
      <c r="Z6186">
        <v>-1.3934469999999999E-2</v>
      </c>
      <c r="AA6186">
        <v>0.99079859999999997</v>
      </c>
      <c r="AB6186">
        <v>13</v>
      </c>
      <c r="AC6186">
        <v>0.72270000000000301</v>
      </c>
      <c r="AD6186">
        <v>-0.15784629999999999</v>
      </c>
      <c r="AE6186">
        <v>-0.107750000000002</v>
      </c>
      <c r="AF6186">
        <v>0.105599605992966</v>
      </c>
      <c r="AG6186">
        <v>-0.15784629999999999</v>
      </c>
      <c r="AH6186">
        <v>0.69007699687976698</v>
      </c>
      <c r="AI6186">
        <v>102.740641566123</v>
      </c>
      <c r="AJ6186">
        <v>81.299757689205506</v>
      </c>
      <c r="AK6186">
        <v>0.71573248691962998</v>
      </c>
      <c r="AL6186">
        <v>90.995987692155893</v>
      </c>
      <c r="AM6186">
        <v>88.3159245986337</v>
      </c>
      <c r="AN6186">
        <v>1.0000000530614099</v>
      </c>
    </row>
    <row r="6187" spans="1:40" x14ac:dyDescent="0.25">
      <c r="A6187" t="str">
        <f>"20190312161141969"</f>
        <v>20190312161141969</v>
      </c>
      <c r="B6187" t="str">
        <f>"1552378301963506"</f>
        <v>1552378301963506</v>
      </c>
      <c r="C6187" t="s">
        <v>40</v>
      </c>
      <c r="D6187">
        <v>5.8237930000000002</v>
      </c>
      <c r="E6187">
        <v>0.54357419999999901</v>
      </c>
      <c r="F6187" t="s">
        <v>42</v>
      </c>
      <c r="G6187">
        <v>-253.94829999999999</v>
      </c>
      <c r="H6187">
        <v>0.96567550000000002</v>
      </c>
      <c r="I6187">
        <v>-63.938789999999997</v>
      </c>
      <c r="J6187">
        <v>-254.60980000000001</v>
      </c>
      <c r="K6187">
        <v>1.1100589999999999</v>
      </c>
      <c r="L6187">
        <v>-63.839359999999999</v>
      </c>
      <c r="M6187">
        <v>0.99993650000000001</v>
      </c>
      <c r="N6187">
        <v>0</v>
      </c>
      <c r="O6187">
        <v>4.0656049999999999E-3</v>
      </c>
      <c r="P6187">
        <v>0.99928019999999995</v>
      </c>
      <c r="Q6187">
        <v>-2.800648E-2</v>
      </c>
      <c r="R6187">
        <v>-2.559055E-2</v>
      </c>
      <c r="S6187">
        <v>2.9753720000000001</v>
      </c>
      <c r="T6187">
        <v>-0.58947399999999905</v>
      </c>
      <c r="U6187">
        <v>-0.40295409999999998</v>
      </c>
      <c r="V6187">
        <v>2.9658440000000001E-2</v>
      </c>
      <c r="W6187">
        <v>-1.748137E-2</v>
      </c>
      <c r="X6187">
        <v>0.99940720000000005</v>
      </c>
      <c r="Y6187">
        <v>0.13556670000000001</v>
      </c>
      <c r="Z6187">
        <v>-1.4035399999999899E-2</v>
      </c>
      <c r="AA6187">
        <v>0.99066880000000002</v>
      </c>
      <c r="AB6187">
        <v>13</v>
      </c>
      <c r="AC6187">
        <v>0.66150000000001796</v>
      </c>
      <c r="AD6187">
        <v>-0.1443835</v>
      </c>
      <c r="AE6187">
        <v>-9.9430000000005195E-2</v>
      </c>
      <c r="AF6187">
        <v>9.7573008560138397E-2</v>
      </c>
      <c r="AG6187">
        <v>-0.1443835</v>
      </c>
      <c r="AH6187">
        <v>0.63166247558971</v>
      </c>
      <c r="AI6187">
        <v>102.72933493950499</v>
      </c>
      <c r="AJ6187">
        <v>81.218914321773795</v>
      </c>
      <c r="AK6187">
        <v>0.655259162576036</v>
      </c>
      <c r="AL6187">
        <v>91.001659756747898</v>
      </c>
      <c r="AM6187">
        <v>88.300187488861496</v>
      </c>
      <c r="AN6187">
        <v>0.99999998638607501</v>
      </c>
    </row>
    <row r="6188" spans="1:40" x14ac:dyDescent="0.25">
      <c r="A6188" t="str">
        <f>"20190312161141986"</f>
        <v>20190312161141986</v>
      </c>
      <c r="B6188" t="str">
        <f>"1552378301973266"</f>
        <v>1552378301973266</v>
      </c>
      <c r="C6188" t="s">
        <v>40</v>
      </c>
      <c r="D6188">
        <v>5.6691630000000002</v>
      </c>
      <c r="E6188">
        <v>0.54356990000000005</v>
      </c>
      <c r="F6188" t="s">
        <v>42</v>
      </c>
      <c r="G6188">
        <v>-253.834</v>
      </c>
      <c r="H6188">
        <v>0.95688510000000004</v>
      </c>
      <c r="I6188">
        <v>-63.94444</v>
      </c>
      <c r="J6188">
        <v>-254.5035</v>
      </c>
      <c r="K6188">
        <v>1.110055</v>
      </c>
      <c r="L6188">
        <v>-63.838560000000001</v>
      </c>
      <c r="M6188">
        <v>0.99993560000000004</v>
      </c>
      <c r="N6188">
        <v>0</v>
      </c>
      <c r="O6188">
        <v>4.411379E-3</v>
      </c>
      <c r="P6188">
        <v>0.99927220000000005</v>
      </c>
      <c r="Q6188">
        <v>-2.8120889999999999E-2</v>
      </c>
      <c r="R6188">
        <v>-2.577873E-2</v>
      </c>
      <c r="S6188">
        <v>2.9753880000000001</v>
      </c>
      <c r="T6188">
        <v>-0.58749030000000002</v>
      </c>
      <c r="U6188">
        <v>-0.4024353</v>
      </c>
      <c r="V6188">
        <v>3.0192150000000001E-2</v>
      </c>
      <c r="W6188">
        <v>-1.764897E-2</v>
      </c>
      <c r="X6188">
        <v>0.99938830000000001</v>
      </c>
      <c r="Y6188">
        <v>0.1357466</v>
      </c>
      <c r="Z6188">
        <v>-1.407398E-2</v>
      </c>
      <c r="AA6188">
        <v>0.99064359999999996</v>
      </c>
      <c r="AB6188">
        <v>13</v>
      </c>
      <c r="AC6188">
        <v>0.66949999999999898</v>
      </c>
      <c r="AD6188">
        <v>-0.153169899999999</v>
      </c>
      <c r="AE6188">
        <v>-0.105879999999999</v>
      </c>
      <c r="AF6188">
        <v>0.10354509298712899</v>
      </c>
      <c r="AG6188">
        <v>-0.153169899999999</v>
      </c>
      <c r="AH6188">
        <v>0.63652279946679402</v>
      </c>
      <c r="AI6188">
        <v>103.360939307948</v>
      </c>
      <c r="AJ6188">
        <v>80.760455139027002</v>
      </c>
      <c r="AK6188">
        <v>0.662830203588195</v>
      </c>
      <c r="AL6188">
        <v>91.011263984237701</v>
      </c>
      <c r="AM6188">
        <v>88.2695847252552</v>
      </c>
      <c r="AN6188">
        <v>1.00000001312028</v>
      </c>
    </row>
    <row r="6189" spans="1:40" x14ac:dyDescent="0.25">
      <c r="A6189" t="str">
        <f>"20190312161141998"</f>
        <v>20190312161141998</v>
      </c>
      <c r="B6189" t="str">
        <f>"1552378301993762"</f>
        <v>1552378301993762</v>
      </c>
      <c r="C6189" t="s">
        <v>40</v>
      </c>
      <c r="D6189">
        <v>5.7481429999999998</v>
      </c>
      <c r="E6189">
        <v>0.5434793</v>
      </c>
      <c r="F6189" t="s">
        <v>42</v>
      </c>
      <c r="G6189">
        <v>-253.71619999999999</v>
      </c>
      <c r="H6189">
        <v>0.95491429999999999</v>
      </c>
      <c r="I6189">
        <v>-63.945349999999998</v>
      </c>
      <c r="J6189">
        <v>-254.4306</v>
      </c>
      <c r="K6189">
        <v>1.1100490000000001</v>
      </c>
      <c r="L6189">
        <v>-63.837949999999999</v>
      </c>
      <c r="M6189">
        <v>0.99993480000000001</v>
      </c>
      <c r="N6189">
        <v>0</v>
      </c>
      <c r="O6189">
        <v>4.645499E-3</v>
      </c>
      <c r="P6189">
        <v>0.99927310000000003</v>
      </c>
      <c r="Q6189">
        <v>-2.8112020000000001E-2</v>
      </c>
      <c r="R6189">
        <v>-2.575061E-2</v>
      </c>
      <c r="S6189">
        <v>2.9752960000000002</v>
      </c>
      <c r="T6189">
        <v>-0.58637379999999995</v>
      </c>
      <c r="U6189">
        <v>-0.4028931</v>
      </c>
      <c r="V6189">
        <v>3.0397839999999999E-2</v>
      </c>
      <c r="W6189">
        <v>-1.767643E-2</v>
      </c>
      <c r="X6189">
        <v>0.99938150000000003</v>
      </c>
      <c r="Y6189">
        <v>0.13613039999999901</v>
      </c>
      <c r="Z6189">
        <v>-1.4130820000000001E-2</v>
      </c>
      <c r="AA6189">
        <v>0.99059019999999998</v>
      </c>
      <c r="AB6189">
        <v>13</v>
      </c>
      <c r="AC6189">
        <v>0.71440000000001103</v>
      </c>
      <c r="AD6189">
        <v>-0.15513469999999999</v>
      </c>
      <c r="AE6189">
        <v>-0.107399999999998</v>
      </c>
      <c r="AF6189">
        <v>0.105837232372989</v>
      </c>
      <c r="AG6189">
        <v>-0.15513469999999999</v>
      </c>
      <c r="AH6189">
        <v>0.68242430883239202</v>
      </c>
      <c r="AI6189">
        <v>102.660923445745</v>
      </c>
      <c r="AJ6189">
        <v>81.184227646364604</v>
      </c>
      <c r="AK6189">
        <v>0.70779321287070296</v>
      </c>
      <c r="AL6189">
        <v>91.012837652248507</v>
      </c>
      <c r="AM6189">
        <v>88.257791322240095</v>
      </c>
      <c r="AN6189">
        <v>0.99999993369822804</v>
      </c>
    </row>
    <row r="6190" spans="1:40" x14ac:dyDescent="0.25">
      <c r="A6190" t="str">
        <f>"20190312161142010"</f>
        <v>20190312161142010</v>
      </c>
      <c r="B6190" t="str">
        <f>"1552378302003522"</f>
        <v>1552378302003522</v>
      </c>
      <c r="C6190" t="s">
        <v>40</v>
      </c>
      <c r="D6190">
        <v>5.715166</v>
      </c>
      <c r="E6190">
        <v>0.54340119999999903</v>
      </c>
      <c r="F6190" t="s">
        <v>42</v>
      </c>
      <c r="G6190">
        <v>-253.7099</v>
      </c>
      <c r="H6190">
        <v>0.96879570000000004</v>
      </c>
      <c r="I6190">
        <v>-63.935589999999998</v>
      </c>
      <c r="J6190">
        <v>-254.3655</v>
      </c>
      <c r="K6190">
        <v>1.110044</v>
      </c>
      <c r="L6190">
        <v>-63.837400000000002</v>
      </c>
      <c r="M6190">
        <v>0.99993410000000005</v>
      </c>
      <c r="N6190">
        <v>0</v>
      </c>
      <c r="O6190">
        <v>4.8527170000000003E-3</v>
      </c>
      <c r="P6190">
        <v>0.99926550000000003</v>
      </c>
      <c r="Q6190">
        <v>-2.8400519999999999E-2</v>
      </c>
      <c r="R6190">
        <v>-2.5730639999999999E-2</v>
      </c>
      <c r="S6190">
        <v>2.9754179999999999</v>
      </c>
      <c r="T6190">
        <v>-0.58315069999999902</v>
      </c>
      <c r="U6190">
        <v>-0.40228269999999999</v>
      </c>
      <c r="V6190">
        <v>3.0584859999999998E-2</v>
      </c>
      <c r="W6190">
        <v>-1.799663E-2</v>
      </c>
      <c r="X6190">
        <v>0.99937019999999999</v>
      </c>
      <c r="Y6190">
        <v>0.13615529999999901</v>
      </c>
      <c r="Z6190">
        <v>-1.409668E-2</v>
      </c>
      <c r="AA6190">
        <v>0.9905872</v>
      </c>
      <c r="AB6190">
        <v>13</v>
      </c>
      <c r="AC6190">
        <v>0.65559999999999197</v>
      </c>
      <c r="AD6190">
        <v>-0.14124829999999999</v>
      </c>
      <c r="AE6190">
        <v>-9.81900000000024E-2</v>
      </c>
      <c r="AF6190">
        <v>9.6968119460715804E-2</v>
      </c>
      <c r="AG6190">
        <v>-0.14124829999999999</v>
      </c>
      <c r="AH6190">
        <v>0.62666525911492899</v>
      </c>
      <c r="AI6190">
        <v>102.557394444921</v>
      </c>
      <c r="AJ6190">
        <v>81.203999172564394</v>
      </c>
      <c r="AK6190">
        <v>0.64966394807332395</v>
      </c>
      <c r="AL6190">
        <v>91.031186556589702</v>
      </c>
      <c r="AM6190">
        <v>88.247059397479305</v>
      </c>
      <c r="AN6190">
        <v>1.0000000545003001</v>
      </c>
    </row>
    <row r="6191" spans="1:40" x14ac:dyDescent="0.25">
      <c r="A6191" t="str">
        <f>"20190312161142021"</f>
        <v>20190312161142021</v>
      </c>
      <c r="B6191" t="str">
        <f>"1552378302013282"</f>
        <v>1552378302013282</v>
      </c>
      <c r="C6191" t="s">
        <v>40</v>
      </c>
      <c r="D6191">
        <v>5.7671989999999997</v>
      </c>
      <c r="E6191">
        <v>0.54340119999999903</v>
      </c>
      <c r="F6191" t="s">
        <v>42</v>
      </c>
      <c r="G6191">
        <v>-253.59540000000001</v>
      </c>
      <c r="H6191">
        <v>0.95927609999999996</v>
      </c>
      <c r="I6191">
        <v>-63.941490000000002</v>
      </c>
      <c r="J6191">
        <v>-254.2978</v>
      </c>
      <c r="K6191">
        <v>1.1100410000000001</v>
      </c>
      <c r="L6191">
        <v>-63.836849999999998</v>
      </c>
      <c r="M6191">
        <v>0.99993350000000003</v>
      </c>
      <c r="N6191">
        <v>0</v>
      </c>
      <c r="O6191">
        <v>5.0669139999999996E-3</v>
      </c>
      <c r="P6191">
        <v>0.99926749999999998</v>
      </c>
      <c r="Q6191">
        <v>-2.8702970000000001E-2</v>
      </c>
      <c r="R6191">
        <v>-2.5318790000000001E-2</v>
      </c>
      <c r="S6191">
        <v>2.975311</v>
      </c>
      <c r="T6191">
        <v>-0.58243199999999995</v>
      </c>
      <c r="U6191">
        <v>-0.40148929999999999</v>
      </c>
      <c r="V6191">
        <v>3.038718E-2</v>
      </c>
      <c r="W6191">
        <v>-1.8331400000000001E-2</v>
      </c>
      <c r="X6191">
        <v>0.99937010000000004</v>
      </c>
      <c r="Y6191">
        <v>0.1361156</v>
      </c>
      <c r="Z6191">
        <v>-1.4117879999999999E-2</v>
      </c>
      <c r="AA6191">
        <v>0.99059240000000004</v>
      </c>
      <c r="AB6191">
        <v>13</v>
      </c>
      <c r="AC6191">
        <v>0.70239999999998204</v>
      </c>
      <c r="AD6191">
        <v>-0.15076489999999901</v>
      </c>
      <c r="AE6191">
        <v>-0.10464000000000299</v>
      </c>
      <c r="AF6191">
        <v>0.103531564401009</v>
      </c>
      <c r="AG6191">
        <v>-0.15076489999999901</v>
      </c>
      <c r="AH6191">
        <v>0.67159137636826605</v>
      </c>
      <c r="AI6191">
        <v>102.509475788361</v>
      </c>
      <c r="AJ6191">
        <v>81.236352458033295</v>
      </c>
      <c r="AK6191">
        <v>0.69604871719697403</v>
      </c>
      <c r="AL6191">
        <v>91.050370676667399</v>
      </c>
      <c r="AM6191">
        <v>88.258382054049804</v>
      </c>
      <c r="AN6191">
        <v>1.0000000088541601</v>
      </c>
    </row>
    <row r="6192" spans="1:40" x14ac:dyDescent="0.25">
      <c r="A6192" t="str">
        <f>"20190312161142030"</f>
        <v>20190312161142030</v>
      </c>
      <c r="B6192" t="str">
        <f>"1552378302023041"</f>
        <v>1552378302023041</v>
      </c>
      <c r="C6192" t="s">
        <v>40</v>
      </c>
      <c r="D6192">
        <v>5.8588420000000001</v>
      </c>
      <c r="E6192">
        <v>0.54349780000000003</v>
      </c>
      <c r="F6192" t="s">
        <v>42</v>
      </c>
      <c r="G6192">
        <v>-253.5898</v>
      </c>
      <c r="H6192">
        <v>0.97123320000000002</v>
      </c>
      <c r="I6192">
        <v>-63.932259999999999</v>
      </c>
      <c r="J6192">
        <v>-254.23939999999999</v>
      </c>
      <c r="K6192">
        <v>1.1100369999999999</v>
      </c>
      <c r="L6192">
        <v>-63.836329999999997</v>
      </c>
      <c r="M6192">
        <v>0.99993290000000001</v>
      </c>
      <c r="N6192">
        <v>0</v>
      </c>
      <c r="O6192">
        <v>5.2500339999999998E-3</v>
      </c>
      <c r="P6192">
        <v>0.99926729999999997</v>
      </c>
      <c r="Q6192">
        <v>-2.8707440000000001E-2</v>
      </c>
      <c r="R6192">
        <v>-2.5320329999999999E-2</v>
      </c>
      <c r="S6192">
        <v>2.9752809999999998</v>
      </c>
      <c r="T6192">
        <v>-0.58331</v>
      </c>
      <c r="U6192">
        <v>-0.40026859999999997</v>
      </c>
      <c r="V6192">
        <v>3.0571660000000001E-2</v>
      </c>
      <c r="W6192">
        <v>-1.836316E-2</v>
      </c>
      <c r="X6192">
        <v>0.99936389999999997</v>
      </c>
      <c r="Y6192">
        <v>0.13589179999999901</v>
      </c>
      <c r="Z6192">
        <v>-1.415307E-2</v>
      </c>
      <c r="AA6192">
        <v>0.99062260000000002</v>
      </c>
      <c r="AB6192">
        <v>13</v>
      </c>
      <c r="AC6192">
        <v>0.64959999999999196</v>
      </c>
      <c r="AD6192">
        <v>-0.1388038</v>
      </c>
      <c r="AE6192">
        <v>-9.5929999999995602E-2</v>
      </c>
      <c r="AF6192">
        <v>9.5090368244630005E-2</v>
      </c>
      <c r="AG6192">
        <v>-0.1388038</v>
      </c>
      <c r="AH6192">
        <v>0.621324790035792</v>
      </c>
      <c r="AI6192">
        <v>102.45268994356501</v>
      </c>
      <c r="AJ6192">
        <v>81.298710139302798</v>
      </c>
      <c r="AK6192">
        <v>0.64370270136170904</v>
      </c>
      <c r="AL6192">
        <v>91.052190686991096</v>
      </c>
      <c r="AM6192">
        <v>88.247804431643999</v>
      </c>
      <c r="AN6192">
        <v>1.0000000183317701</v>
      </c>
    </row>
    <row r="6193" spans="1:40" x14ac:dyDescent="0.25">
      <c r="A6193" t="str">
        <f>"20190312161142042"</f>
        <v>20190312161142042</v>
      </c>
      <c r="B6193" t="str">
        <f>"1552378302033778"</f>
        <v>1552378302033778</v>
      </c>
      <c r="C6193" t="s">
        <v>40</v>
      </c>
      <c r="D6193">
        <v>5.91181</v>
      </c>
      <c r="E6193">
        <v>0.54372159999999903</v>
      </c>
      <c r="F6193" t="s">
        <v>42</v>
      </c>
      <c r="G6193">
        <v>-253.47579999999999</v>
      </c>
      <c r="H6193">
        <v>0.96003190000000005</v>
      </c>
      <c r="I6193">
        <v>-63.939439999999998</v>
      </c>
      <c r="J6193">
        <v>-254.17339999999999</v>
      </c>
      <c r="K6193">
        <v>1.110034</v>
      </c>
      <c r="L6193">
        <v>-63.835749999999997</v>
      </c>
      <c r="M6193">
        <v>0.99993209999999999</v>
      </c>
      <c r="N6193">
        <v>0</v>
      </c>
      <c r="O6193">
        <v>5.4564779999999998E-3</v>
      </c>
      <c r="P6193">
        <v>0.99927379999999999</v>
      </c>
      <c r="Q6193">
        <v>-2.8862820000000001E-2</v>
      </c>
      <c r="R6193">
        <v>-2.487868E-2</v>
      </c>
      <c r="S6193">
        <v>2.9752350000000001</v>
      </c>
      <c r="T6193">
        <v>-0.58447799999999905</v>
      </c>
      <c r="U6193">
        <v>-0.40106199999999997</v>
      </c>
      <c r="V6193">
        <v>3.0336459999999999E-2</v>
      </c>
      <c r="W6193">
        <v>-1.854921E-2</v>
      </c>
      <c r="X6193">
        <v>0.99936760000000002</v>
      </c>
      <c r="Y6193">
        <v>0.13633509999999999</v>
      </c>
      <c r="Z6193">
        <v>-1.42638E-2</v>
      </c>
      <c r="AA6193">
        <v>0.99056010000000005</v>
      </c>
      <c r="AB6193">
        <v>13</v>
      </c>
      <c r="AC6193">
        <v>0.697599999999994</v>
      </c>
      <c r="AD6193">
        <v>-0.1500021</v>
      </c>
      <c r="AE6193">
        <v>-0.103690000000007</v>
      </c>
      <c r="AF6193">
        <v>0.102842824183772</v>
      </c>
      <c r="AG6193">
        <v>-0.1500021</v>
      </c>
      <c r="AH6193">
        <v>0.66685735663050505</v>
      </c>
      <c r="AI6193">
        <v>102.53363538566801</v>
      </c>
      <c r="AJ6193">
        <v>81.232907427042903</v>
      </c>
      <c r="AK6193">
        <v>0.69121343345071695</v>
      </c>
      <c r="AL6193">
        <v>91.062852415938707</v>
      </c>
      <c r="AM6193">
        <v>88.261282899293306</v>
      </c>
      <c r="AN6193">
        <v>0.99999998696335701</v>
      </c>
    </row>
    <row r="6194" spans="1:40" x14ac:dyDescent="0.25">
      <c r="A6194" t="str">
        <f>"20190312161142054"</f>
        <v>20190312161142054</v>
      </c>
      <c r="B6194" t="str">
        <f>"1552378302043537"</f>
        <v>1552378302043537</v>
      </c>
      <c r="C6194" t="s">
        <v>40</v>
      </c>
      <c r="D6194">
        <v>5.9178350000000002</v>
      </c>
      <c r="E6194">
        <v>0.54387220000000003</v>
      </c>
      <c r="F6194" t="s">
        <v>42</v>
      </c>
      <c r="G6194">
        <v>-253.47040000000001</v>
      </c>
      <c r="H6194">
        <v>0.97162630000000005</v>
      </c>
      <c r="I6194">
        <v>-63.930759999999999</v>
      </c>
      <c r="J6194">
        <v>-254.10380000000001</v>
      </c>
      <c r="K6194">
        <v>1.1100239999999999</v>
      </c>
      <c r="L6194">
        <v>-63.83511</v>
      </c>
      <c r="M6194">
        <v>0.99993120000000002</v>
      </c>
      <c r="N6194">
        <v>0</v>
      </c>
      <c r="O6194">
        <v>5.6726540000000001E-3</v>
      </c>
      <c r="P6194">
        <v>0.99928229999999996</v>
      </c>
      <c r="Q6194">
        <v>-2.88455E-2</v>
      </c>
      <c r="R6194">
        <v>-2.4554090000000001E-2</v>
      </c>
      <c r="S6194">
        <v>2.9752809999999998</v>
      </c>
      <c r="T6194">
        <v>-0.58579349999999997</v>
      </c>
      <c r="U6194">
        <v>-0.40136719999999998</v>
      </c>
      <c r="V6194">
        <v>3.0228120000000001E-2</v>
      </c>
      <c r="W6194">
        <v>-1.8565399999999999E-2</v>
      </c>
      <c r="X6194">
        <v>0.9993706</v>
      </c>
      <c r="Y6194">
        <v>0.13662550000000001</v>
      </c>
      <c r="Z6194">
        <v>-1.436518E-2</v>
      </c>
      <c r="AA6194">
        <v>0.99051860000000003</v>
      </c>
      <c r="AB6194">
        <v>13</v>
      </c>
      <c r="AC6194">
        <v>0.63339999999999397</v>
      </c>
      <c r="AD6194">
        <v>-0.13839769999999901</v>
      </c>
      <c r="AE6194">
        <v>-9.5649999999999097E-2</v>
      </c>
      <c r="AF6194">
        <v>9.4815923159857193E-2</v>
      </c>
      <c r="AG6194">
        <v>-0.13839769999999901</v>
      </c>
      <c r="AH6194">
        <v>0.60462471816545404</v>
      </c>
      <c r="AI6194">
        <v>102.742258387947</v>
      </c>
      <c r="AJ6194">
        <v>81.0875859166174</v>
      </c>
      <c r="AK6194">
        <v>0.627467156484386</v>
      </c>
      <c r="AL6194">
        <v>91.063780175483998</v>
      </c>
      <c r="AM6194">
        <v>88.2674937518413</v>
      </c>
      <c r="AN6194">
        <v>1.0000000047301201</v>
      </c>
    </row>
    <row r="6195" spans="1:40" x14ac:dyDescent="0.25">
      <c r="A6195" t="str">
        <f>"20190312161142066"</f>
        <v>20190312161142066</v>
      </c>
      <c r="B6195" t="str">
        <f>"1552378302053298"</f>
        <v>1552378302053298</v>
      </c>
      <c r="C6195" t="s">
        <v>40</v>
      </c>
      <c r="D6195">
        <v>5.9778000000000002</v>
      </c>
      <c r="E6195">
        <v>0.54399390000000003</v>
      </c>
      <c r="F6195" t="s">
        <v>42</v>
      </c>
      <c r="G6195">
        <v>-253.35509999999999</v>
      </c>
      <c r="H6195">
        <v>0.96268629999999999</v>
      </c>
      <c r="I6195">
        <v>-63.936269999999901</v>
      </c>
      <c r="J6195">
        <v>-254.02979999999999</v>
      </c>
      <c r="K6195">
        <v>1.1100190000000001</v>
      </c>
      <c r="L6195">
        <v>-63.834440000000001</v>
      </c>
      <c r="M6195">
        <v>0.99993010000000004</v>
      </c>
      <c r="N6195">
        <v>0</v>
      </c>
      <c r="O6195">
        <v>5.9019579999999997E-3</v>
      </c>
      <c r="P6195">
        <v>0.99929000000000001</v>
      </c>
      <c r="Q6195">
        <v>-2.883556E-2</v>
      </c>
      <c r="R6195">
        <v>-2.4247919999999999E-2</v>
      </c>
      <c r="S6195">
        <v>2.9753880000000001</v>
      </c>
      <c r="T6195">
        <v>-0.58557590000000004</v>
      </c>
      <c r="U6195">
        <v>-0.40167239999999999</v>
      </c>
      <c r="V6195">
        <v>3.015118E-2</v>
      </c>
      <c r="W6195">
        <v>-1.8591960000000001E-2</v>
      </c>
      <c r="X6195">
        <v>0.99937240000000005</v>
      </c>
      <c r="Y6195">
        <v>0.13693959999999999</v>
      </c>
      <c r="Z6195">
        <v>-1.443434E-2</v>
      </c>
      <c r="AA6195">
        <v>0.99047419999999997</v>
      </c>
      <c r="AB6195">
        <v>13</v>
      </c>
      <c r="AC6195">
        <v>0.67470000000000097</v>
      </c>
      <c r="AD6195">
        <v>-0.14733269999999901</v>
      </c>
      <c r="AE6195">
        <v>-0.101829999999992</v>
      </c>
      <c r="AF6195">
        <v>0.101097091343529</v>
      </c>
      <c r="AG6195">
        <v>-0.14733269999999901</v>
      </c>
      <c r="AH6195">
        <v>0.64405957854497597</v>
      </c>
      <c r="AI6195">
        <v>102.734316673943</v>
      </c>
      <c r="AJ6195">
        <v>81.079157139173802</v>
      </c>
      <c r="AK6195">
        <v>0.66838633071221898</v>
      </c>
      <c r="AL6195">
        <v>91.065302246549294</v>
      </c>
      <c r="AM6195">
        <v>88.271903954363907</v>
      </c>
      <c r="AN6195">
        <v>0.99999997425689602</v>
      </c>
    </row>
    <row r="6196" spans="1:40" x14ac:dyDescent="0.25">
      <c r="A6196" t="str">
        <f>"20190312161142078"</f>
        <v>20190312161142078</v>
      </c>
      <c r="B6196" t="str">
        <f>"1552378302063057"</f>
        <v>1552378302063057</v>
      </c>
      <c r="C6196" t="s">
        <v>40</v>
      </c>
      <c r="D6196">
        <v>5.817634</v>
      </c>
      <c r="E6196">
        <v>0.54391480000000003</v>
      </c>
      <c r="F6196" t="s">
        <v>42</v>
      </c>
      <c r="G6196">
        <v>-253.239</v>
      </c>
      <c r="H6196">
        <v>0.95432329999999999</v>
      </c>
      <c r="I6196">
        <v>-63.941389999999998</v>
      </c>
      <c r="J6196">
        <v>-253.95859999999999</v>
      </c>
      <c r="K6196">
        <v>1.1100110000000001</v>
      </c>
      <c r="L6196">
        <v>-63.833770000000001</v>
      </c>
      <c r="M6196">
        <v>0.99992919999999996</v>
      </c>
      <c r="N6196">
        <v>0</v>
      </c>
      <c r="O6196">
        <v>6.120838E-3</v>
      </c>
      <c r="P6196">
        <v>0.99930240000000004</v>
      </c>
      <c r="Q6196">
        <v>-2.860275E-2</v>
      </c>
      <c r="R6196">
        <v>-2.401437E-2</v>
      </c>
      <c r="S6196">
        <v>2.9754640000000001</v>
      </c>
      <c r="T6196">
        <v>-0.58584259999999999</v>
      </c>
      <c r="U6196">
        <v>-0.40185549999999998</v>
      </c>
      <c r="V6196">
        <v>3.0136300000000001E-2</v>
      </c>
      <c r="W6196">
        <v>-1.8396900000000001E-2</v>
      </c>
      <c r="X6196">
        <v>0.9993765</v>
      </c>
      <c r="Y6196">
        <v>0.1372015</v>
      </c>
      <c r="Z6196">
        <v>-1.45083E-2</v>
      </c>
      <c r="AA6196">
        <v>0.99043689999999995</v>
      </c>
      <c r="AB6196">
        <v>13</v>
      </c>
      <c r="AC6196">
        <v>0.71959999999998503</v>
      </c>
      <c r="AD6196">
        <v>-0.15568770000000001</v>
      </c>
      <c r="AE6196">
        <v>-0.107620000000011</v>
      </c>
      <c r="AF6196">
        <v>0.107118393792177</v>
      </c>
      <c r="AG6196">
        <v>-0.15568770000000001</v>
      </c>
      <c r="AH6196">
        <v>0.68745298964045598</v>
      </c>
      <c r="AI6196">
        <v>102.613292574821</v>
      </c>
      <c r="AJ6196">
        <v>81.143435663371704</v>
      </c>
      <c r="AK6196">
        <v>0.71295485353948296</v>
      </c>
      <c r="AL6196">
        <v>91.054124176023194</v>
      </c>
      <c r="AM6196">
        <v>88.2727633573612</v>
      </c>
      <c r="AN6196">
        <v>1.0000000156297699</v>
      </c>
    </row>
    <row r="6197" spans="1:40" x14ac:dyDescent="0.25">
      <c r="A6197" t="str">
        <f>"20190312161142090"</f>
        <v>20190312161142090</v>
      </c>
      <c r="B6197" t="str">
        <f>"1552378302083553"</f>
        <v>1552378302083553</v>
      </c>
      <c r="C6197" t="s">
        <v>40</v>
      </c>
      <c r="D6197">
        <v>5.2831299999999999</v>
      </c>
      <c r="E6197">
        <v>0.5437227</v>
      </c>
      <c r="F6197" t="s">
        <v>42</v>
      </c>
      <c r="G6197">
        <v>-253.2329</v>
      </c>
      <c r="H6197">
        <v>0.96771410000000002</v>
      </c>
      <c r="I6197">
        <v>-63.931570000000001</v>
      </c>
      <c r="J6197">
        <v>-253.88810000000001</v>
      </c>
      <c r="K6197">
        <v>1.1100049999999999</v>
      </c>
      <c r="L6197">
        <v>-63.833100000000002</v>
      </c>
      <c r="M6197">
        <v>0.99992840000000005</v>
      </c>
      <c r="N6197">
        <v>0</v>
      </c>
      <c r="O6197">
        <v>6.3369809999999898E-3</v>
      </c>
      <c r="P6197">
        <v>0.99929710000000005</v>
      </c>
      <c r="Q6197">
        <v>-2.9038580000000001E-2</v>
      </c>
      <c r="R6197">
        <v>-2.3711119999999999E-2</v>
      </c>
      <c r="S6197">
        <v>2.975784</v>
      </c>
      <c r="T6197">
        <v>-0.58345749999999996</v>
      </c>
      <c r="U6197">
        <v>-0.40039059999999999</v>
      </c>
      <c r="V6197">
        <v>3.0049200000000002E-2</v>
      </c>
      <c r="W6197">
        <v>-1.8871309999999999E-2</v>
      </c>
      <c r="X6197">
        <v>0.99937030000000004</v>
      </c>
      <c r="Y6197">
        <v>0.13694539999999999</v>
      </c>
      <c r="Z6197">
        <v>-1.446631E-2</v>
      </c>
      <c r="AA6197">
        <v>0.99047300000000005</v>
      </c>
      <c r="AB6197">
        <v>13</v>
      </c>
      <c r="AC6197">
        <v>0.655200000000007</v>
      </c>
      <c r="AD6197">
        <v>-0.1422909</v>
      </c>
      <c r="AE6197">
        <v>-9.84699999999918E-2</v>
      </c>
      <c r="AF6197">
        <v>9.80958692189495E-2</v>
      </c>
      <c r="AG6197">
        <v>-0.1422909</v>
      </c>
      <c r="AH6197">
        <v>0.62570420887351996</v>
      </c>
      <c r="AI6197">
        <v>102.662110601726</v>
      </c>
      <c r="AJ6197">
        <v>81.089882214538903</v>
      </c>
      <c r="AK6197">
        <v>0.64913423633534295</v>
      </c>
      <c r="AL6197">
        <v>91.0813105621028</v>
      </c>
      <c r="AM6197">
        <v>88.277741731426701</v>
      </c>
      <c r="AN6197">
        <v>1.0000000386419201</v>
      </c>
    </row>
    <row r="6198" spans="1:40" x14ac:dyDescent="0.25">
      <c r="A6198" t="str">
        <f>"20190312161142109"</f>
        <v>20190312161142109</v>
      </c>
      <c r="B6198" t="str">
        <f>"1552378302103073"</f>
        <v>1552378302103073</v>
      </c>
      <c r="C6198" t="s">
        <v>40</v>
      </c>
      <c r="D6198">
        <v>5.942596</v>
      </c>
      <c r="E6198">
        <v>0.54394469999999995</v>
      </c>
      <c r="F6198" t="s">
        <v>42</v>
      </c>
      <c r="G6198">
        <v>-253.11660000000001</v>
      </c>
      <c r="H6198">
        <v>0.95917390000000002</v>
      </c>
      <c r="I6198">
        <v>-63.936259999999997</v>
      </c>
      <c r="J6198">
        <v>-253.7723</v>
      </c>
      <c r="K6198">
        <v>1.1099939999999999</v>
      </c>
      <c r="L6198">
        <v>-63.831940000000003</v>
      </c>
      <c r="M6198">
        <v>0.9999266</v>
      </c>
      <c r="N6198">
        <v>0</v>
      </c>
      <c r="O6198">
        <v>6.6907080000000001E-3</v>
      </c>
      <c r="P6198">
        <v>0.99929210000000002</v>
      </c>
      <c r="Q6198">
        <v>-2.9089520000000001E-2</v>
      </c>
      <c r="R6198">
        <v>-2.3852310000000002E-2</v>
      </c>
      <c r="S6198">
        <v>2.9757690000000001</v>
      </c>
      <c r="T6198">
        <v>-0.58177800000000002</v>
      </c>
      <c r="U6198">
        <v>-0.3979492</v>
      </c>
      <c r="V6198">
        <v>3.0543899999999999E-2</v>
      </c>
      <c r="W6198">
        <v>-1.8987319999999999E-2</v>
      </c>
      <c r="X6198">
        <v>0.99935309999999999</v>
      </c>
      <c r="Y6198">
        <v>0.13651440000000001</v>
      </c>
      <c r="Z6198">
        <v>-1.4452939999999999E-2</v>
      </c>
      <c r="AA6198">
        <v>0.99053259999999999</v>
      </c>
      <c r="AB6198">
        <v>13</v>
      </c>
      <c r="AC6198">
        <v>0.65569999999999595</v>
      </c>
      <c r="AD6198">
        <v>-0.15082010000000001</v>
      </c>
      <c r="AE6198">
        <v>-0.104319999999994</v>
      </c>
      <c r="AF6198">
        <v>0.103371012343266</v>
      </c>
      <c r="AG6198">
        <v>-0.15082010000000001</v>
      </c>
      <c r="AH6198">
        <v>0.62284816991828595</v>
      </c>
      <c r="AI6198">
        <v>103.434950483723</v>
      </c>
      <c r="AJ6198">
        <v>80.576796804173696</v>
      </c>
      <c r="AK6198">
        <v>0.649131813676883</v>
      </c>
      <c r="AL6198">
        <v>91.087958642200604</v>
      </c>
      <c r="AM6198">
        <v>88.249375581207602</v>
      </c>
      <c r="AN6198">
        <v>1.0000000333137999</v>
      </c>
    </row>
    <row r="6199" spans="1:40" x14ac:dyDescent="0.25">
      <c r="A6199" t="str">
        <f>"20190312161142120"</f>
        <v>20190312161142120</v>
      </c>
      <c r="B6199" t="str">
        <f>"1552378302113810"</f>
        <v>1552378302113810</v>
      </c>
      <c r="C6199" t="s">
        <v>40</v>
      </c>
      <c r="D6199">
        <v>5.9918389999999997</v>
      </c>
      <c r="E6199">
        <v>0.54391599999999996</v>
      </c>
      <c r="F6199" t="s">
        <v>42</v>
      </c>
      <c r="G6199">
        <v>-252.9967</v>
      </c>
      <c r="H6199">
        <v>0.95767820000000003</v>
      </c>
      <c r="I6199">
        <v>-63.936320000000002</v>
      </c>
      <c r="J6199">
        <v>-253.702</v>
      </c>
      <c r="K6199">
        <v>1.1099810000000001</v>
      </c>
      <c r="L6199">
        <v>-63.831240000000001</v>
      </c>
      <c r="M6199">
        <v>0.99992559999999997</v>
      </c>
      <c r="N6199">
        <v>0</v>
      </c>
      <c r="O6199">
        <v>6.904594E-3</v>
      </c>
      <c r="P6199">
        <v>0.99928720000000004</v>
      </c>
      <c r="Q6199">
        <v>-2.9335670000000001E-2</v>
      </c>
      <c r="R6199">
        <v>-2.3759490000000001E-2</v>
      </c>
      <c r="S6199">
        <v>2.975571</v>
      </c>
      <c r="T6199">
        <v>-0.58433659999999998</v>
      </c>
      <c r="U6199">
        <v>-0.3998718</v>
      </c>
      <c r="V6199">
        <v>3.0664790000000001E-2</v>
      </c>
      <c r="W6199">
        <v>-1.927365E-2</v>
      </c>
      <c r="X6199">
        <v>0.99934389999999995</v>
      </c>
      <c r="Y6199">
        <v>0.137321</v>
      </c>
      <c r="Z6199">
        <v>-1.4635220000000001E-2</v>
      </c>
      <c r="AA6199">
        <v>0.99041849999999998</v>
      </c>
      <c r="AB6199">
        <v>13</v>
      </c>
      <c r="AC6199">
        <v>0.70529999999999404</v>
      </c>
      <c r="AD6199">
        <v>-0.15230279999999899</v>
      </c>
      <c r="AE6199">
        <v>-0.105079999999993</v>
      </c>
      <c r="AF6199">
        <v>0.105150812435174</v>
      </c>
      <c r="AG6199">
        <v>-0.15230279999999899</v>
      </c>
      <c r="AH6199">
        <v>0.673819513783674</v>
      </c>
      <c r="AI6199">
        <v>102.589069579661</v>
      </c>
      <c r="AJ6199">
        <v>81.130421220039196</v>
      </c>
      <c r="AK6199">
        <v>0.69877433653453802</v>
      </c>
      <c r="AL6199">
        <v>91.104367163438894</v>
      </c>
      <c r="AM6199">
        <v>88.242434934911799</v>
      </c>
      <c r="AN6199">
        <v>1.00000001669863</v>
      </c>
    </row>
    <row r="6200" spans="1:40" x14ac:dyDescent="0.25">
      <c r="A6200" t="str">
        <f>"20190312161142131"</f>
        <v>20190312161142131</v>
      </c>
      <c r="B6200" t="str">
        <f>"1552378302123570"</f>
        <v>1552378302123570</v>
      </c>
      <c r="C6200" t="s">
        <v>40</v>
      </c>
      <c r="D6200">
        <v>6.042497</v>
      </c>
      <c r="E6200">
        <v>0.54380839999999997</v>
      </c>
      <c r="F6200" t="s">
        <v>42</v>
      </c>
      <c r="G6200">
        <v>-252.99080000000001</v>
      </c>
      <c r="H6200">
        <v>0.97048630000000002</v>
      </c>
      <c r="I6200">
        <v>-63.926900000000003</v>
      </c>
      <c r="J6200">
        <v>-253.637</v>
      </c>
      <c r="K6200">
        <v>1.1099749999999999</v>
      </c>
      <c r="L6200">
        <v>-63.830570000000002</v>
      </c>
      <c r="M6200">
        <v>0.9999247</v>
      </c>
      <c r="N6200">
        <v>0</v>
      </c>
      <c r="O6200">
        <v>7.1013609999999996E-3</v>
      </c>
      <c r="P6200">
        <v>0.99928779999999995</v>
      </c>
      <c r="Q6200">
        <v>-2.9369240000000001E-2</v>
      </c>
      <c r="R6200">
        <v>-2.369514E-2</v>
      </c>
      <c r="S6200">
        <v>2.9755250000000002</v>
      </c>
      <c r="T6200">
        <v>-0.58361359999999995</v>
      </c>
      <c r="U6200">
        <v>-0.39953610000000001</v>
      </c>
      <c r="V6200">
        <v>3.0797149999999999E-2</v>
      </c>
      <c r="W6200">
        <v>-1.9345330000000001E-2</v>
      </c>
      <c r="X6200">
        <v>0.99933839999999996</v>
      </c>
      <c r="Y6200">
        <v>0.13740929999999901</v>
      </c>
      <c r="Z6200">
        <v>-1.4664379999999999E-2</v>
      </c>
      <c r="AA6200">
        <v>0.9904058</v>
      </c>
      <c r="AB6200">
        <v>13</v>
      </c>
      <c r="AC6200">
        <v>0.646199999999993</v>
      </c>
      <c r="AD6200">
        <v>-0.13948869999999899</v>
      </c>
      <c r="AE6200">
        <v>-9.6330000000008895E-2</v>
      </c>
      <c r="AF6200">
        <v>9.6517198337679994E-2</v>
      </c>
      <c r="AG6200">
        <v>-0.13948869999999899</v>
      </c>
      <c r="AH6200">
        <v>0.61735879660830795</v>
      </c>
      <c r="AI6200">
        <v>102.58396516180299</v>
      </c>
      <c r="AJ6200">
        <v>81.114368426553895</v>
      </c>
      <c r="AK6200">
        <v>0.64023788606447096</v>
      </c>
      <c r="AL6200">
        <v>91.108474940292496</v>
      </c>
      <c r="AM6200">
        <v>88.234843747343305</v>
      </c>
      <c r="AN6200">
        <v>0.99999997197774504</v>
      </c>
    </row>
    <row r="6201" spans="1:40" x14ac:dyDescent="0.25">
      <c r="A6201" t="str">
        <f>"20190312161142143"</f>
        <v>20190312161142143</v>
      </c>
      <c r="B6201" t="str">
        <f>"1552378302133330"</f>
        <v>1552378302133330</v>
      </c>
      <c r="C6201" t="s">
        <v>40</v>
      </c>
      <c r="D6201">
        <v>6.0014710000000004</v>
      </c>
      <c r="E6201">
        <v>0.54378729999999997</v>
      </c>
      <c r="F6201" t="s">
        <v>42</v>
      </c>
      <c r="G6201">
        <v>-252.87430000000001</v>
      </c>
      <c r="H6201">
        <v>0.96082330000000005</v>
      </c>
      <c r="I6201">
        <v>-63.93271</v>
      </c>
      <c r="J6201">
        <v>-253.56909999999999</v>
      </c>
      <c r="K6201">
        <v>1.109969</v>
      </c>
      <c r="L6201">
        <v>-63.829830000000001</v>
      </c>
      <c r="M6201">
        <v>0.99992349999999997</v>
      </c>
      <c r="N6201">
        <v>0</v>
      </c>
      <c r="O6201">
        <v>7.3066609999999999E-3</v>
      </c>
      <c r="P6201">
        <v>0.99928539999999999</v>
      </c>
      <c r="Q6201">
        <v>-2.950523E-2</v>
      </c>
      <c r="R6201">
        <v>-2.3627849999999999E-2</v>
      </c>
      <c r="S6201">
        <v>2.9755859999999998</v>
      </c>
      <c r="T6201">
        <v>-0.58191119999999996</v>
      </c>
      <c r="U6201">
        <v>-0.3985901</v>
      </c>
      <c r="V6201">
        <v>3.0934980000000001E-2</v>
      </c>
      <c r="W6201">
        <v>-1.952154E-2</v>
      </c>
      <c r="X6201">
        <v>0.99933079999999996</v>
      </c>
      <c r="Y6201">
        <v>0.13731409999999999</v>
      </c>
      <c r="Z6201">
        <v>-1.465282E-2</v>
      </c>
      <c r="AA6201">
        <v>0.9904191</v>
      </c>
      <c r="AB6201">
        <v>14</v>
      </c>
      <c r="AC6201">
        <v>0.69479999999998598</v>
      </c>
      <c r="AD6201">
        <v>-0.14914569999999899</v>
      </c>
      <c r="AE6201">
        <v>-0.102879999999998</v>
      </c>
      <c r="AF6201">
        <v>0.103296507623862</v>
      </c>
      <c r="AG6201">
        <v>-0.14914569999999899</v>
      </c>
      <c r="AH6201">
        <v>0.664085896421717</v>
      </c>
      <c r="AI6201">
        <v>102.512270429225</v>
      </c>
      <c r="AJ6201">
        <v>81.158669220790003</v>
      </c>
      <c r="AK6201">
        <v>0.68842188092913803</v>
      </c>
      <c r="AL6201">
        <v>91.118572843245303</v>
      </c>
      <c r="AM6201">
        <v>88.226935497719595</v>
      </c>
      <c r="AN6201">
        <v>1.0000000556701001</v>
      </c>
    </row>
    <row r="6202" spans="1:40" x14ac:dyDescent="0.25">
      <c r="A6202" t="str">
        <f>"20190312161142153"</f>
        <v>20190312161142153</v>
      </c>
      <c r="B6202" t="str">
        <f>"1552378302143090"</f>
        <v>1552378302143090</v>
      </c>
      <c r="C6202" t="s">
        <v>40</v>
      </c>
      <c r="D6202">
        <v>5.8957800000000002</v>
      </c>
      <c r="E6202">
        <v>0.54376809999999998</v>
      </c>
      <c r="F6202" t="s">
        <v>42</v>
      </c>
      <c r="G6202">
        <v>-252.86859999999999</v>
      </c>
      <c r="H6202">
        <v>0.97321619999999998</v>
      </c>
      <c r="I6202">
        <v>-63.9236199999999</v>
      </c>
      <c r="J6202">
        <v>-253.5061</v>
      </c>
      <c r="K6202">
        <v>1.1099669999999999</v>
      </c>
      <c r="L6202">
        <v>-63.829160000000002</v>
      </c>
      <c r="M6202">
        <v>0.99992259999999999</v>
      </c>
      <c r="N6202">
        <v>0</v>
      </c>
      <c r="O6202">
        <v>7.4954409999999898E-3</v>
      </c>
      <c r="P6202">
        <v>0.99928729999999999</v>
      </c>
      <c r="Q6202">
        <v>-2.9606790000000001E-2</v>
      </c>
      <c r="R6202">
        <v>-2.3416909999999999E-2</v>
      </c>
      <c r="S6202">
        <v>2.9755549999999999</v>
      </c>
      <c r="T6202">
        <v>-0.58088280000000003</v>
      </c>
      <c r="U6202">
        <v>-0.3984375</v>
      </c>
      <c r="V6202">
        <v>3.0912820000000001E-2</v>
      </c>
      <c r="W6202">
        <v>-1.9662579999999999E-2</v>
      </c>
      <c r="X6202">
        <v>0.99932869999999996</v>
      </c>
      <c r="Y6202">
        <v>0.13745560000000001</v>
      </c>
      <c r="Z6202">
        <v>-1.4677590000000001E-2</v>
      </c>
      <c r="AA6202">
        <v>0.99039920000000004</v>
      </c>
      <c r="AB6202">
        <v>14</v>
      </c>
      <c r="AC6202">
        <v>0.63750000000001705</v>
      </c>
      <c r="AD6202">
        <v>-0.13675079999999901</v>
      </c>
      <c r="AE6202">
        <v>-9.4459999999998004E-2</v>
      </c>
      <c r="AF6202">
        <v>9.4960206021917501E-2</v>
      </c>
      <c r="AG6202">
        <v>-0.13675079999999901</v>
      </c>
      <c r="AH6202">
        <v>0.60933773052835605</v>
      </c>
      <c r="AI6202">
        <v>102.502950249805</v>
      </c>
      <c r="AJ6202">
        <v>81.142180608693806</v>
      </c>
      <c r="AK6202">
        <v>0.63167293109156797</v>
      </c>
      <c r="AL6202">
        <v>91.126655414145901</v>
      </c>
      <c r="AM6202">
        <v>88.228201086081597</v>
      </c>
      <c r="AN6202">
        <v>1.0000000350681399</v>
      </c>
    </row>
    <row r="6203" spans="1:40" x14ac:dyDescent="0.25">
      <c r="A6203" t="str">
        <f>"20190312161142165"</f>
        <v>20190312161142165</v>
      </c>
      <c r="B6203" t="str">
        <f>"1552378302153826"</f>
        <v>1552378302153826</v>
      </c>
      <c r="C6203" t="s">
        <v>40</v>
      </c>
      <c r="D6203">
        <v>5.8550529999999998</v>
      </c>
      <c r="E6203">
        <v>0.54371789999999998</v>
      </c>
      <c r="F6203" t="s">
        <v>42</v>
      </c>
      <c r="G6203">
        <v>-252.75200000000001</v>
      </c>
      <c r="H6203">
        <v>0.9629683</v>
      </c>
      <c r="I6203">
        <v>-63.930129999999998</v>
      </c>
      <c r="J6203">
        <v>-253.4374</v>
      </c>
      <c r="K6203">
        <v>1.109958</v>
      </c>
      <c r="L6203">
        <v>-63.828429999999997</v>
      </c>
      <c r="M6203">
        <v>0.99992139999999996</v>
      </c>
      <c r="N6203">
        <v>0</v>
      </c>
      <c r="O6203">
        <v>7.7010469999999999E-3</v>
      </c>
      <c r="P6203">
        <v>0.99929449999999997</v>
      </c>
      <c r="Q6203">
        <v>-2.9459920000000001E-2</v>
      </c>
      <c r="R6203">
        <v>-2.3301240000000001E-2</v>
      </c>
      <c r="S6203">
        <v>2.9756469999999999</v>
      </c>
      <c r="T6203">
        <v>-0.58003209999999905</v>
      </c>
      <c r="U6203">
        <v>-0.39776610000000001</v>
      </c>
      <c r="V6203">
        <v>3.100257E-2</v>
      </c>
      <c r="W6203">
        <v>-1.9559159999999999E-2</v>
      </c>
      <c r="X6203">
        <v>0.99932790000000005</v>
      </c>
      <c r="Y6203">
        <v>0.13744000000000001</v>
      </c>
      <c r="Z6203">
        <v>-1.46943E-2</v>
      </c>
      <c r="AA6203">
        <v>0.99040110000000003</v>
      </c>
      <c r="AB6203">
        <v>14</v>
      </c>
      <c r="AC6203">
        <v>0.68539999999998702</v>
      </c>
      <c r="AD6203">
        <v>-0.146989699999999</v>
      </c>
      <c r="AE6203">
        <v>-0.1017</v>
      </c>
      <c r="AF6203">
        <v>0.10236878476299199</v>
      </c>
      <c r="AG6203">
        <v>-0.146989699999999</v>
      </c>
      <c r="AH6203">
        <v>0.65511523041499098</v>
      </c>
      <c r="AI6203">
        <v>102.499316824293</v>
      </c>
      <c r="AJ6203">
        <v>81.118740665116107</v>
      </c>
      <c r="AK6203">
        <v>0.67916220825486795</v>
      </c>
      <c r="AL6203">
        <v>91.120728800175101</v>
      </c>
      <c r="AM6203">
        <v>88.223058847407501</v>
      </c>
      <c r="AN6203">
        <v>0.99999998590245998</v>
      </c>
    </row>
    <row r="6204" spans="1:40" x14ac:dyDescent="0.25">
      <c r="A6204" t="str">
        <f>"20190312161142175"</f>
        <v>20190312161142175</v>
      </c>
      <c r="B6204" t="str">
        <f>"1552378302163586"</f>
        <v>1552378302163586</v>
      </c>
      <c r="C6204" t="s">
        <v>40</v>
      </c>
      <c r="D6204">
        <v>5.9370409999999998</v>
      </c>
      <c r="E6204">
        <v>0.54363209999999995</v>
      </c>
      <c r="F6204" t="s">
        <v>42</v>
      </c>
      <c r="G6204">
        <v>-252.6343</v>
      </c>
      <c r="H6204">
        <v>0.95386740000000003</v>
      </c>
      <c r="I6204">
        <v>-63.935679999999998</v>
      </c>
      <c r="J6204">
        <v>-253.3708</v>
      </c>
      <c r="K6204">
        <v>1.1099479999999999</v>
      </c>
      <c r="L6204">
        <v>-63.827669999999998</v>
      </c>
      <c r="M6204">
        <v>0.99992020000000004</v>
      </c>
      <c r="N6204">
        <v>0</v>
      </c>
      <c r="O6204">
        <v>7.8975920000000002E-3</v>
      </c>
      <c r="P6204">
        <v>0.99929679999999999</v>
      </c>
      <c r="Q6204">
        <v>-2.9629220000000001E-2</v>
      </c>
      <c r="R6204">
        <v>-2.2978930000000002E-2</v>
      </c>
      <c r="S6204">
        <v>2.9758</v>
      </c>
      <c r="T6204">
        <v>-0.57843480000000003</v>
      </c>
      <c r="U6204">
        <v>-0.39721679999999998</v>
      </c>
      <c r="V6204">
        <v>3.0876710000000002E-2</v>
      </c>
      <c r="W6204">
        <v>-1.9773519999999999E-2</v>
      </c>
      <c r="X6204">
        <v>0.99932759999999998</v>
      </c>
      <c r="Y6204">
        <v>0.1374592</v>
      </c>
      <c r="Z6204">
        <v>-1.469355E-2</v>
      </c>
      <c r="AA6204">
        <v>0.99039849999999996</v>
      </c>
      <c r="AB6204">
        <v>14</v>
      </c>
      <c r="AC6204">
        <v>0.73650000000000604</v>
      </c>
      <c r="AD6204">
        <v>-0.15608059999999899</v>
      </c>
      <c r="AE6204">
        <v>-0.108010000000007</v>
      </c>
      <c r="AF6204">
        <v>0.109029946196966</v>
      </c>
      <c r="AG6204">
        <v>-0.15608059999999899</v>
      </c>
      <c r="AH6204">
        <v>0.70464401821262101</v>
      </c>
      <c r="AI6204">
        <v>102.347173556396</v>
      </c>
      <c r="AJ6204">
        <v>81.204344589567697</v>
      </c>
      <c r="AK6204">
        <v>0.72991223805804395</v>
      </c>
      <c r="AL6204">
        <v>91.133013074745904</v>
      </c>
      <c r="AM6204">
        <v>88.230267502846104</v>
      </c>
      <c r="AN6204">
        <v>1.0000000077176801</v>
      </c>
    </row>
    <row r="6205" spans="1:40" x14ac:dyDescent="0.25">
      <c r="A6205" t="str">
        <f>"20190312161142187"</f>
        <v>20190312161142187</v>
      </c>
      <c r="B6205" t="str">
        <f>"1552378302173345"</f>
        <v>1552378302173345</v>
      </c>
      <c r="C6205" t="s">
        <v>40</v>
      </c>
      <c r="D6205">
        <v>5.2897540000000003</v>
      </c>
      <c r="E6205">
        <v>0.54355469999999995</v>
      </c>
      <c r="F6205" t="s">
        <v>42</v>
      </c>
      <c r="G6205">
        <v>-252.62880000000001</v>
      </c>
      <c r="H6205">
        <v>0.96595359999999997</v>
      </c>
      <c r="I6205">
        <v>-63.926409999999997</v>
      </c>
      <c r="J6205">
        <v>-253.30080000000001</v>
      </c>
      <c r="K6205">
        <v>1.109939</v>
      </c>
      <c r="L6205">
        <v>-63.826900000000002</v>
      </c>
      <c r="M6205">
        <v>0.99991920000000001</v>
      </c>
      <c r="N6205">
        <v>0</v>
      </c>
      <c r="O6205">
        <v>8.1033249999999998E-3</v>
      </c>
      <c r="P6205">
        <v>0.99930280000000005</v>
      </c>
      <c r="Q6205">
        <v>-2.9822100000000001E-2</v>
      </c>
      <c r="R6205">
        <v>-2.2471000000000001E-2</v>
      </c>
      <c r="S6205">
        <v>2.975876</v>
      </c>
      <c r="T6205">
        <v>-0.57751580000000002</v>
      </c>
      <c r="U6205">
        <v>-0.39578249999999998</v>
      </c>
      <c r="V6205">
        <v>3.057433E-2</v>
      </c>
      <c r="W6205">
        <v>-2.0014170000000001E-2</v>
      </c>
      <c r="X6205">
        <v>0.99933209999999995</v>
      </c>
      <c r="Y6205">
        <v>0.13719979999999901</v>
      </c>
      <c r="Z6205">
        <v>-1.468528E-2</v>
      </c>
      <c r="AA6205">
        <v>0.9904345</v>
      </c>
      <c r="AB6205">
        <v>14</v>
      </c>
      <c r="AC6205">
        <v>0.67199999999999704</v>
      </c>
      <c r="AD6205">
        <v>-0.14398540000000001</v>
      </c>
      <c r="AE6205">
        <v>-9.9509999999995102E-2</v>
      </c>
      <c r="AF6205">
        <v>0.100440252919428</v>
      </c>
      <c r="AG6205">
        <v>-0.14398540000000001</v>
      </c>
      <c r="AH6205">
        <v>0.64231614090462696</v>
      </c>
      <c r="AI6205">
        <v>102.48797716006899</v>
      </c>
      <c r="AJ6205">
        <v>81.112518061072393</v>
      </c>
      <c r="AK6205">
        <v>0.66587541228543001</v>
      </c>
      <c r="AL6205">
        <v>91.146804040549497</v>
      </c>
      <c r="AM6205">
        <v>88.247595770513399</v>
      </c>
      <c r="AN6205">
        <v>1.0000000013730701</v>
      </c>
    </row>
    <row r="6206" spans="1:40" x14ac:dyDescent="0.25">
      <c r="A6206" t="str">
        <f>"20190312161142197"</f>
        <v>20190312161142197</v>
      </c>
      <c r="B6206" t="str">
        <f>"1552378302193842"</f>
        <v>1552378302193842</v>
      </c>
      <c r="C6206" t="s">
        <v>40</v>
      </c>
      <c r="D6206">
        <v>5.7540430000000002</v>
      </c>
      <c r="E6206">
        <v>0.54351149999999904</v>
      </c>
      <c r="F6206" t="s">
        <v>42</v>
      </c>
      <c r="G6206">
        <v>-252.51079999999999</v>
      </c>
      <c r="H6206">
        <v>0.95677129999999999</v>
      </c>
      <c r="I6206">
        <v>-63.931690000000003</v>
      </c>
      <c r="J6206">
        <v>-253.233</v>
      </c>
      <c r="K6206">
        <v>1.109931</v>
      </c>
      <c r="L6206">
        <v>-63.82611</v>
      </c>
      <c r="M6206">
        <v>0.99991799999999997</v>
      </c>
      <c r="N6206">
        <v>0</v>
      </c>
      <c r="O6206">
        <v>8.300109E-3</v>
      </c>
      <c r="P6206">
        <v>0.99929259999999998</v>
      </c>
      <c r="Q6206">
        <v>-3.0168560000000001E-2</v>
      </c>
      <c r="R6206">
        <v>-2.2451749999999999E-2</v>
      </c>
      <c r="S6206">
        <v>2.9760279999999999</v>
      </c>
      <c r="T6206">
        <v>-0.57699319999999998</v>
      </c>
      <c r="U6206">
        <v>-0.39361570000000001</v>
      </c>
      <c r="V6206">
        <v>3.0751870000000001E-2</v>
      </c>
      <c r="W6206">
        <v>-2.040776E-2</v>
      </c>
      <c r="X6206">
        <v>0.9993187</v>
      </c>
      <c r="Y6206">
        <v>0.136689899999999</v>
      </c>
      <c r="Z6206">
        <v>-1.466106E-2</v>
      </c>
      <c r="AA6206">
        <v>0.99050539999999998</v>
      </c>
      <c r="AB6206">
        <v>14</v>
      </c>
      <c r="AC6206">
        <v>0.72220000000001505</v>
      </c>
      <c r="AD6206">
        <v>-0.15315970000000001</v>
      </c>
      <c r="AE6206">
        <v>-0.105580000000003</v>
      </c>
      <c r="AF6206">
        <v>0.106865261144598</v>
      </c>
      <c r="AG6206">
        <v>-0.15315970000000001</v>
      </c>
      <c r="AH6206">
        <v>0.69087656203552195</v>
      </c>
      <c r="AI6206">
        <v>102.357323405252</v>
      </c>
      <c r="AJ6206">
        <v>81.207133940614597</v>
      </c>
      <c r="AK6206">
        <v>0.71567346025517498</v>
      </c>
      <c r="AL6206">
        <v>91.169359684672699</v>
      </c>
      <c r="AM6206">
        <v>88.237402633974597</v>
      </c>
      <c r="AN6206">
        <v>1.0000000091732</v>
      </c>
    </row>
    <row r="6207" spans="1:40" x14ac:dyDescent="0.25">
      <c r="A6207" t="str">
        <f>"20190312161142210"</f>
        <v>20190312161142210</v>
      </c>
      <c r="B6207" t="str">
        <f>"1552378302203602"</f>
        <v>1552378302203602</v>
      </c>
      <c r="C6207" t="s">
        <v>40</v>
      </c>
      <c r="D6207">
        <v>6.1004339999999999</v>
      </c>
      <c r="E6207">
        <v>0.54350220000000005</v>
      </c>
      <c r="F6207" t="s">
        <v>42</v>
      </c>
      <c r="G6207">
        <v>-252.5052</v>
      </c>
      <c r="H6207">
        <v>0.96900520000000001</v>
      </c>
      <c r="I6207">
        <v>-63.922600000000003</v>
      </c>
      <c r="J6207">
        <v>-253.16159999999999</v>
      </c>
      <c r="K6207">
        <v>1.1099209999999999</v>
      </c>
      <c r="L6207">
        <v>-63.825290000000003</v>
      </c>
      <c r="M6207">
        <v>0.99991669999999999</v>
      </c>
      <c r="N6207">
        <v>0</v>
      </c>
      <c r="O6207">
        <v>8.5053079999999996E-3</v>
      </c>
      <c r="P6207">
        <v>0.9993109</v>
      </c>
      <c r="Q6207">
        <v>-2.9993499999999999E-2</v>
      </c>
      <c r="R6207">
        <v>-2.1863649999999998E-2</v>
      </c>
      <c r="S6207">
        <v>2.9758909999999998</v>
      </c>
      <c r="T6207">
        <v>-0.57624299999999995</v>
      </c>
      <c r="U6207">
        <v>-0.39324949999999997</v>
      </c>
      <c r="V6207">
        <v>3.0368989999999998E-2</v>
      </c>
      <c r="W6207">
        <v>-2.0283220000000001E-2</v>
      </c>
      <c r="X6207">
        <v>0.99933300000000003</v>
      </c>
      <c r="Y6207">
        <v>0.1367804</v>
      </c>
      <c r="Z6207">
        <v>-1.4690969999999999E-2</v>
      </c>
      <c r="AA6207">
        <v>0.9904925</v>
      </c>
      <c r="AB6207">
        <v>14</v>
      </c>
      <c r="AC6207">
        <v>0.65639999999998999</v>
      </c>
      <c r="AD6207">
        <v>-0.14091579999999901</v>
      </c>
      <c r="AE6207">
        <v>-9.7310000000000202E-2</v>
      </c>
      <c r="AF6207">
        <v>9.8449900899075599E-2</v>
      </c>
      <c r="AG6207">
        <v>-0.14091579999999901</v>
      </c>
      <c r="AH6207">
        <v>0.62726139651778101</v>
      </c>
      <c r="AI6207">
        <v>102.513151601548</v>
      </c>
      <c r="AJ6207">
        <v>81.080084650151704</v>
      </c>
      <c r="AK6207">
        <v>0.65038950271211704</v>
      </c>
      <c r="AL6207">
        <v>91.162222526463495</v>
      </c>
      <c r="AM6207">
        <v>88.259359379749597</v>
      </c>
      <c r="AN6207">
        <v>1.00000006472809</v>
      </c>
    </row>
    <row r="6208" spans="1:40" x14ac:dyDescent="0.25">
      <c r="A6208" t="str">
        <f>"20190312161142221"</f>
        <v>20190312161142221</v>
      </c>
      <c r="B6208" t="str">
        <f>"1552378302213362"</f>
        <v>1552378302213362</v>
      </c>
      <c r="C6208" t="s">
        <v>40</v>
      </c>
      <c r="D6208">
        <v>6.0349329999999997</v>
      </c>
      <c r="E6208">
        <v>0.54344989999999904</v>
      </c>
      <c r="F6208" t="s">
        <v>42</v>
      </c>
      <c r="G6208">
        <v>-252.38650000000001</v>
      </c>
      <c r="H6208">
        <v>0.96027180000000001</v>
      </c>
      <c r="I6208">
        <v>-63.927390000000003</v>
      </c>
      <c r="J6208">
        <v>-253.09180000000001</v>
      </c>
      <c r="K6208">
        <v>1.1099129999999999</v>
      </c>
      <c r="L6208">
        <v>-63.824460000000002</v>
      </c>
      <c r="M6208">
        <v>0.99991549999999996</v>
      </c>
      <c r="N6208">
        <v>0</v>
      </c>
      <c r="O6208">
        <v>8.7041240000000006E-3</v>
      </c>
      <c r="P6208">
        <v>0.99932259999999995</v>
      </c>
      <c r="Q6208">
        <v>-2.9886940000000001E-2</v>
      </c>
      <c r="R6208">
        <v>-2.146911E-2</v>
      </c>
      <c r="S6208">
        <v>2.9762569999999999</v>
      </c>
      <c r="T6208">
        <v>-0.57462009999999997</v>
      </c>
      <c r="U6208">
        <v>-0.39147949999999998</v>
      </c>
      <c r="V6208">
        <v>3.017305E-2</v>
      </c>
      <c r="W6208">
        <v>-2.022709E-2</v>
      </c>
      <c r="X6208">
        <v>0.99934000000000001</v>
      </c>
      <c r="Y6208">
        <v>0.13640079999999999</v>
      </c>
      <c r="Z6208">
        <v>-1.465087E-2</v>
      </c>
      <c r="AA6208">
        <v>0.99054540000000002</v>
      </c>
      <c r="AB6208">
        <v>14</v>
      </c>
      <c r="AC6208">
        <v>0.70529999999999404</v>
      </c>
      <c r="AD6208">
        <v>-0.149641199999999</v>
      </c>
      <c r="AE6208">
        <v>-0.102930000000007</v>
      </c>
      <c r="AF6208">
        <v>0.104461174641673</v>
      </c>
      <c r="AG6208">
        <v>-0.149641199999999</v>
      </c>
      <c r="AH6208">
        <v>0.67464181020403502</v>
      </c>
      <c r="AI6208">
        <v>102.363487786996</v>
      </c>
      <c r="AJ6208">
        <v>81.198249605436203</v>
      </c>
      <c r="AK6208">
        <v>0.69888926005507901</v>
      </c>
      <c r="AL6208">
        <v>91.159005939113797</v>
      </c>
      <c r="AM6208">
        <v>88.270595215979498</v>
      </c>
      <c r="AN6208">
        <v>0.99999999185808497</v>
      </c>
    </row>
    <row r="6209" spans="1:40" x14ac:dyDescent="0.25">
      <c r="A6209" t="str">
        <f>"20190312161142232"</f>
        <v>20190312161142232</v>
      </c>
      <c r="B6209" t="str">
        <f>"1552378302223122"</f>
        <v>1552378302223122</v>
      </c>
      <c r="C6209" t="s">
        <v>40</v>
      </c>
      <c r="D6209">
        <v>6.0257100000000001</v>
      </c>
      <c r="E6209">
        <v>0.5433924</v>
      </c>
      <c r="F6209" t="s">
        <v>42</v>
      </c>
      <c r="G6209">
        <v>-252.38079999999999</v>
      </c>
      <c r="H6209">
        <v>0.97288739999999996</v>
      </c>
      <c r="I6209">
        <v>-63.917720000000003</v>
      </c>
      <c r="J6209">
        <v>-253.02289999999999</v>
      </c>
      <c r="K6209">
        <v>1.1099030000000001</v>
      </c>
      <c r="L6209">
        <v>-63.823639999999997</v>
      </c>
      <c r="M6209">
        <v>0.99991439999999998</v>
      </c>
      <c r="N6209">
        <v>0</v>
      </c>
      <c r="O6209">
        <v>8.8953079999999993E-3</v>
      </c>
      <c r="P6209">
        <v>0.99934429999999996</v>
      </c>
      <c r="Q6209">
        <v>-2.9448220000000001E-2</v>
      </c>
      <c r="R6209">
        <v>-2.107498E-2</v>
      </c>
      <c r="S6209">
        <v>2.9765169999999999</v>
      </c>
      <c r="T6209">
        <v>-0.57365639999999996</v>
      </c>
      <c r="U6209">
        <v>-0.38973999999999998</v>
      </c>
      <c r="V6209">
        <v>2.9969610000000001E-2</v>
      </c>
      <c r="W6209">
        <v>-1.9840429999999999E-2</v>
      </c>
      <c r="X6209">
        <v>0.99935390000000002</v>
      </c>
      <c r="Y6209">
        <v>0.13602229999999901</v>
      </c>
      <c r="Z6209">
        <v>-1.4626399999999999E-2</v>
      </c>
      <c r="AA6209">
        <v>0.99059779999999997</v>
      </c>
      <c r="AB6209">
        <v>14</v>
      </c>
      <c r="AC6209">
        <v>0.642099999999999</v>
      </c>
      <c r="AD6209">
        <v>-0.13701559999999999</v>
      </c>
      <c r="AE6209">
        <v>-9.4079999999991004E-2</v>
      </c>
      <c r="AF6209">
        <v>9.5529794476647598E-2</v>
      </c>
      <c r="AG6209">
        <v>-0.13701559999999999</v>
      </c>
      <c r="AH6209">
        <v>0.61387311680555501</v>
      </c>
      <c r="AI6209">
        <v>102.437149642515</v>
      </c>
      <c r="AJ6209">
        <v>81.154684198709703</v>
      </c>
      <c r="AK6209">
        <v>0.63619133899533498</v>
      </c>
      <c r="AL6209">
        <v>91.136847474930903</v>
      </c>
      <c r="AM6209">
        <v>88.282272493481699</v>
      </c>
      <c r="AN6209">
        <v>1.0000000188156699</v>
      </c>
    </row>
    <row r="6210" spans="1:40" x14ac:dyDescent="0.25">
      <c r="A6210" t="str">
        <f>"20190312161142243"</f>
        <v>20190312161142243</v>
      </c>
      <c r="B6210" t="str">
        <f>"1552378302233858"</f>
        <v>1552378302233858</v>
      </c>
      <c r="C6210" t="s">
        <v>40</v>
      </c>
      <c r="D6210">
        <v>5.6579009999999998</v>
      </c>
      <c r="E6210">
        <v>0.54335869999999997</v>
      </c>
      <c r="F6210" t="s">
        <v>42</v>
      </c>
      <c r="G6210">
        <v>-252.26179999999999</v>
      </c>
      <c r="H6210">
        <v>0.96386830000000001</v>
      </c>
      <c r="I6210">
        <v>-63.923160000000003</v>
      </c>
      <c r="J6210">
        <v>-252.9547</v>
      </c>
      <c r="K6210">
        <v>1.1098920000000001</v>
      </c>
      <c r="L6210">
        <v>-63.822809999999997</v>
      </c>
      <c r="M6210">
        <v>0.99991319999999995</v>
      </c>
      <c r="N6210">
        <v>0</v>
      </c>
      <c r="O6210">
        <v>9.083331E-3</v>
      </c>
      <c r="P6210">
        <v>0.99936510000000001</v>
      </c>
      <c r="Q6210">
        <v>-2.9181140000000001E-2</v>
      </c>
      <c r="R6210">
        <v>-2.0448729999999998E-2</v>
      </c>
      <c r="S6210">
        <v>2.9769290000000002</v>
      </c>
      <c r="T6210">
        <v>-0.57120249999999995</v>
      </c>
      <c r="U6210">
        <v>-0.3883972</v>
      </c>
      <c r="V6210">
        <v>2.95313E-2</v>
      </c>
      <c r="W6210">
        <v>-1.9625670000000001E-2</v>
      </c>
      <c r="X6210">
        <v>0.99937120000000002</v>
      </c>
      <c r="Y6210">
        <v>0.13577529999999999</v>
      </c>
      <c r="Z6210">
        <v>-1.4575619999999999E-2</v>
      </c>
      <c r="AA6210">
        <v>0.99063239999999997</v>
      </c>
      <c r="AB6210">
        <v>14</v>
      </c>
      <c r="AC6210">
        <v>0.69290000000000795</v>
      </c>
      <c r="AD6210">
        <v>-0.14602369999999901</v>
      </c>
      <c r="AE6210">
        <v>-0.100349999999998</v>
      </c>
      <c r="AF6210">
        <v>0.102194511094769</v>
      </c>
      <c r="AG6210">
        <v>-0.14602369999999901</v>
      </c>
      <c r="AH6210">
        <v>0.66311429496109697</v>
      </c>
      <c r="AI6210">
        <v>102.278354895381</v>
      </c>
      <c r="AJ6210">
        <v>81.238904562327903</v>
      </c>
      <c r="AK6210">
        <v>0.68664926071564403</v>
      </c>
      <c r="AL6210">
        <v>91.1245402245452</v>
      </c>
      <c r="AM6210">
        <v>88.307409075159597</v>
      </c>
      <c r="AN6210">
        <v>1.0000000299960301</v>
      </c>
    </row>
    <row r="6211" spans="1:40" x14ac:dyDescent="0.25">
      <c r="A6211" t="str">
        <f>"20190312161142267"</f>
        <v>20190312161142267</v>
      </c>
      <c r="B6211" t="str">
        <f>"1552378302253377"</f>
        <v>1552378302253377</v>
      </c>
      <c r="C6211" t="s">
        <v>40</v>
      </c>
      <c r="D6211">
        <v>6.1587489999999896</v>
      </c>
      <c r="E6211">
        <v>0.54326680000000005</v>
      </c>
      <c r="F6211" t="s">
        <v>42</v>
      </c>
      <c r="G6211">
        <v>-252.256</v>
      </c>
      <c r="H6211">
        <v>0.97634889999999996</v>
      </c>
      <c r="I6211">
        <v>-63.913710000000002</v>
      </c>
      <c r="J6211">
        <v>-252.8168</v>
      </c>
      <c r="K6211">
        <v>1.1098600000000001</v>
      </c>
      <c r="L6211">
        <v>-63.821109999999997</v>
      </c>
      <c r="M6211">
        <v>0.99991090000000005</v>
      </c>
      <c r="N6211">
        <v>0</v>
      </c>
      <c r="O6211">
        <v>9.4467030000000007E-3</v>
      </c>
      <c r="P6211">
        <v>0.9993708</v>
      </c>
      <c r="Q6211">
        <v>-2.95506E-2</v>
      </c>
      <c r="R6211">
        <v>-1.9630450000000001E-2</v>
      </c>
      <c r="S6211">
        <v>2.9773860000000001</v>
      </c>
      <c r="T6211">
        <v>-0.56911849999999997</v>
      </c>
      <c r="U6211">
        <v>-0.38641360000000002</v>
      </c>
      <c r="V6211">
        <v>2.907597E-2</v>
      </c>
      <c r="W6211">
        <v>-2.0112040000000001E-2</v>
      </c>
      <c r="X6211">
        <v>0.99937489999999995</v>
      </c>
      <c r="Y6211">
        <v>0.13548460000000001</v>
      </c>
      <c r="Z6211">
        <v>-1.456296E-2</v>
      </c>
      <c r="AA6211">
        <v>0.99067240000000001</v>
      </c>
      <c r="AB6211">
        <v>14</v>
      </c>
      <c r="AC6211">
        <v>0.56080000000002805</v>
      </c>
      <c r="AD6211">
        <v>-0.13351109999999999</v>
      </c>
      <c r="AE6211">
        <v>-9.2599999999997296E-2</v>
      </c>
      <c r="AF6211">
        <v>9.27750244103379E-2</v>
      </c>
      <c r="AG6211">
        <v>-0.13351109999999999</v>
      </c>
      <c r="AH6211">
        <v>0.53062343437789505</v>
      </c>
      <c r="AI6211">
        <v>103.92034899530201</v>
      </c>
      <c r="AJ6211">
        <v>80.082563407655499</v>
      </c>
      <c r="AK6211">
        <v>0.55497175431596601</v>
      </c>
      <c r="AL6211">
        <v>91.152412653142704</v>
      </c>
      <c r="AM6211">
        <v>88.333497717922498</v>
      </c>
      <c r="AN6211">
        <v>1.0000000484672</v>
      </c>
    </row>
    <row r="6212" spans="1:40" x14ac:dyDescent="0.25">
      <c r="A6212" t="str">
        <f>"20190312161142278"</f>
        <v>20190312161142278</v>
      </c>
      <c r="B6212" t="str">
        <f>"1552378302273874"</f>
        <v>1552378302273874</v>
      </c>
      <c r="C6212" t="s">
        <v>40</v>
      </c>
      <c r="D6212">
        <v>6.1529800000000003</v>
      </c>
      <c r="E6212">
        <v>0.54329130000000003</v>
      </c>
      <c r="F6212" t="s">
        <v>42</v>
      </c>
      <c r="G6212">
        <v>-252.01689999999999</v>
      </c>
      <c r="H6212">
        <v>0.95729299999999995</v>
      </c>
      <c r="I6212">
        <v>-63.92436</v>
      </c>
      <c r="J6212">
        <v>-252.7346</v>
      </c>
      <c r="K6212">
        <v>1.1098410000000001</v>
      </c>
      <c r="L6212">
        <v>-63.820099999999996</v>
      </c>
      <c r="M6212">
        <v>0.99990959999999995</v>
      </c>
      <c r="N6212">
        <v>0</v>
      </c>
      <c r="O6212">
        <v>9.6530179999999993E-3</v>
      </c>
      <c r="P6212">
        <v>0.99936840000000005</v>
      </c>
      <c r="Q6212">
        <v>-2.9851289999999999E-2</v>
      </c>
      <c r="R6212">
        <v>-1.9297470000000001E-2</v>
      </c>
      <c r="S6212">
        <v>2.9775390000000002</v>
      </c>
      <c r="T6212">
        <v>-0.56793269999999996</v>
      </c>
      <c r="U6212">
        <v>-0.383606</v>
      </c>
      <c r="V6212">
        <v>2.8948809999999998E-2</v>
      </c>
      <c r="W6212">
        <v>-2.048606E-2</v>
      </c>
      <c r="X6212">
        <v>0.99937089999999995</v>
      </c>
      <c r="Y6212">
        <v>0.13478299999999999</v>
      </c>
      <c r="Z6212">
        <v>-1.4506079999999999E-2</v>
      </c>
      <c r="AA6212">
        <v>0.99076900000000001</v>
      </c>
      <c r="AB6212">
        <v>14</v>
      </c>
      <c r="AC6212">
        <v>0.717700000000007</v>
      </c>
      <c r="AD6212">
        <v>-0.15254799999999999</v>
      </c>
      <c r="AE6212">
        <v>-0.104260000000003</v>
      </c>
      <c r="AF6212">
        <v>0.106472608769931</v>
      </c>
      <c r="AG6212">
        <v>-0.15254799999999999</v>
      </c>
      <c r="AH6212">
        <v>0.68629541952418305</v>
      </c>
      <c r="AI6212">
        <v>102.38827978405899</v>
      </c>
      <c r="AJ6212">
        <v>81.181373849782005</v>
      </c>
      <c r="AK6212">
        <v>0.71106167916865604</v>
      </c>
      <c r="AL6212">
        <v>91.173846947022994</v>
      </c>
      <c r="AM6212">
        <v>88.340775230178807</v>
      </c>
      <c r="AN6212">
        <v>0.99999995401077302</v>
      </c>
    </row>
    <row r="6213" spans="1:40" x14ac:dyDescent="0.25">
      <c r="A6213" t="str">
        <f>"20190312161142292"</f>
        <v>20190312161142292</v>
      </c>
      <c r="B6213" t="str">
        <f>"1552378302283636"</f>
        <v>1552378302283636</v>
      </c>
      <c r="C6213" t="s">
        <v>40</v>
      </c>
      <c r="D6213">
        <v>6.0251390000000002</v>
      </c>
      <c r="E6213">
        <v>0.54329130000000003</v>
      </c>
      <c r="F6213" t="s">
        <v>42</v>
      </c>
      <c r="G6213">
        <v>-252.01050000000001</v>
      </c>
      <c r="H6213">
        <v>0.97146560000000004</v>
      </c>
      <c r="I6213">
        <v>-63.91339</v>
      </c>
      <c r="J6213">
        <v>-252.65119999999999</v>
      </c>
      <c r="K6213">
        <v>1.1098209999999999</v>
      </c>
      <c r="L6213">
        <v>-63.81906</v>
      </c>
      <c r="M6213">
        <v>0.99990840000000003</v>
      </c>
      <c r="N6213">
        <v>0</v>
      </c>
      <c r="O6213">
        <v>9.8565920000000008E-3</v>
      </c>
      <c r="P6213">
        <v>0.99936380000000002</v>
      </c>
      <c r="Q6213">
        <v>-3.002529E-2</v>
      </c>
      <c r="R6213">
        <v>-1.9252080000000001E-2</v>
      </c>
      <c r="S6213">
        <v>2.977509</v>
      </c>
      <c r="T6213">
        <v>-0.56892919999999902</v>
      </c>
      <c r="U6213">
        <v>-0.38272089999999998</v>
      </c>
      <c r="V6213">
        <v>2.9106670000000001E-2</v>
      </c>
      <c r="W6213">
        <v>-2.0733789999999998E-2</v>
      </c>
      <c r="X6213">
        <v>0.99936130000000001</v>
      </c>
      <c r="Y6213">
        <v>0.1346852</v>
      </c>
      <c r="Z6213">
        <v>-1.4560679999999999E-2</v>
      </c>
      <c r="AA6213">
        <v>0.99078140000000003</v>
      </c>
      <c r="AB6213">
        <v>14</v>
      </c>
      <c r="AC6213">
        <v>0.64069999999998095</v>
      </c>
      <c r="AD6213">
        <v>-0.13835539999999999</v>
      </c>
      <c r="AE6213">
        <v>-9.4329999999999303E-2</v>
      </c>
      <c r="AF6213">
        <v>9.6247817201090796E-2</v>
      </c>
      <c r="AG6213">
        <v>-0.13835539999999999</v>
      </c>
      <c r="AH6213">
        <v>0.61181433041022104</v>
      </c>
      <c r="AI6213">
        <v>102.59266913806</v>
      </c>
      <c r="AJ6213">
        <v>81.059762318170399</v>
      </c>
      <c r="AK6213">
        <v>0.63460431287570096</v>
      </c>
      <c r="AL6213">
        <v>91.188043734880495</v>
      </c>
      <c r="AM6213">
        <v>88.331716437412595</v>
      </c>
      <c r="AN6213">
        <v>1.00000004811197</v>
      </c>
    </row>
    <row r="6214" spans="1:40" x14ac:dyDescent="0.25">
      <c r="A6214" t="str">
        <f>"20190312161142304"</f>
        <v>20190312161142304</v>
      </c>
      <c r="B6214" t="str">
        <f>"1552378302293394"</f>
        <v>1552378302293394</v>
      </c>
      <c r="C6214" t="s">
        <v>40</v>
      </c>
      <c r="D6214">
        <v>5.9367130000000001</v>
      </c>
      <c r="E6214">
        <v>0.55408049999999998</v>
      </c>
      <c r="F6214" t="s">
        <v>42</v>
      </c>
      <c r="G6214">
        <v>-251.88919999999999</v>
      </c>
      <c r="H6214">
        <v>0.96404060000000003</v>
      </c>
      <c r="I6214">
        <v>-63.917180000000002</v>
      </c>
      <c r="J6214">
        <v>-252.57689999999999</v>
      </c>
      <c r="K6214">
        <v>1.1098049999999999</v>
      </c>
      <c r="L6214">
        <v>-63.818150000000003</v>
      </c>
      <c r="M6214">
        <v>0.99990710000000005</v>
      </c>
      <c r="N6214">
        <v>0</v>
      </c>
      <c r="O6214">
        <v>1.00345E-2</v>
      </c>
      <c r="P6214">
        <v>0.99935099999999999</v>
      </c>
      <c r="Q6214">
        <v>-3.0349040000000001E-2</v>
      </c>
      <c r="R6214">
        <v>-1.9409570000000001E-2</v>
      </c>
      <c r="S6214">
        <v>2.977417</v>
      </c>
      <c r="T6214">
        <v>-0.5695791</v>
      </c>
      <c r="U6214">
        <v>-0.38241579999999997</v>
      </c>
      <c r="V6214">
        <v>2.9441539999999999E-2</v>
      </c>
      <c r="W6214">
        <v>-2.112259E-2</v>
      </c>
      <c r="X6214">
        <v>0.99934330000000005</v>
      </c>
      <c r="Y6214">
        <v>0.13475490000000001</v>
      </c>
      <c r="Z6214">
        <v>-1.4617740000000001E-2</v>
      </c>
      <c r="AA6214">
        <v>0.99077110000000002</v>
      </c>
      <c r="AB6214">
        <v>14</v>
      </c>
      <c r="AC6214">
        <v>0.68770000000000597</v>
      </c>
      <c r="AD6214">
        <v>-0.14576439999999999</v>
      </c>
      <c r="AE6214">
        <v>-9.9029999999998994E-2</v>
      </c>
      <c r="AF6214">
        <v>0.10146035288508</v>
      </c>
      <c r="AG6214">
        <v>-0.14576439999999999</v>
      </c>
      <c r="AH6214">
        <v>0.65772258580938103</v>
      </c>
      <c r="AI6214">
        <v>102.35435132125799</v>
      </c>
      <c r="AJ6214">
        <v>81.230670103587798</v>
      </c>
      <c r="AK6214">
        <v>0.68127855052005204</v>
      </c>
      <c r="AL6214">
        <v>91.210325271719398</v>
      </c>
      <c r="AM6214">
        <v>88.312503620650602</v>
      </c>
      <c r="AN6214">
        <v>0.999999999670384</v>
      </c>
    </row>
    <row r="6215" spans="1:40" x14ac:dyDescent="0.25">
      <c r="A6215" t="str">
        <f>"20190312161142314"</f>
        <v>20190312161142314</v>
      </c>
      <c r="B6215" t="str">
        <f>"1552378302303155"</f>
        <v>1552378302303155</v>
      </c>
      <c r="C6215" t="s">
        <v>40</v>
      </c>
      <c r="D6215">
        <v>5.9897869999999998</v>
      </c>
      <c r="E6215">
        <v>0.55408049999999998</v>
      </c>
      <c r="F6215" t="s">
        <v>42</v>
      </c>
      <c r="G6215">
        <v>-251.7987</v>
      </c>
      <c r="H6215">
        <v>0.88444210000000001</v>
      </c>
      <c r="I6215">
        <v>-63.937950000000001</v>
      </c>
      <c r="J6215">
        <v>-252.5078</v>
      </c>
      <c r="K6215">
        <v>1.109791</v>
      </c>
      <c r="L6215">
        <v>-63.817230000000002</v>
      </c>
      <c r="M6215">
        <v>0.99990610000000002</v>
      </c>
      <c r="N6215">
        <v>0</v>
      </c>
      <c r="O6215">
        <v>1.0190319999999999E-2</v>
      </c>
      <c r="P6215">
        <v>0.99935189999999996</v>
      </c>
      <c r="Q6215">
        <v>-3.0314839999999999E-2</v>
      </c>
      <c r="R6215">
        <v>-1.9416329999999999E-2</v>
      </c>
      <c r="S6215">
        <v>2.96698</v>
      </c>
      <c r="T6215">
        <v>-0.85927749999999903</v>
      </c>
      <c r="U6215">
        <v>-0.45642090000000002</v>
      </c>
      <c r="V6215">
        <v>2.9603770000000001E-2</v>
      </c>
      <c r="W6215">
        <v>-2.1144779999999998E-2</v>
      </c>
      <c r="X6215">
        <v>0.99933799999999995</v>
      </c>
      <c r="Y6215">
        <v>0.15545410000000001</v>
      </c>
      <c r="Z6215">
        <v>-2.481264E-2</v>
      </c>
      <c r="AA6215">
        <v>0.98753139999999995</v>
      </c>
      <c r="AB6215">
        <v>14</v>
      </c>
      <c r="AC6215">
        <v>0.70910000000000595</v>
      </c>
      <c r="AD6215">
        <v>-0.22534889999999999</v>
      </c>
      <c r="AE6215">
        <v>-0.120719999999998</v>
      </c>
      <c r="AF6215">
        <v>0.116505084820026</v>
      </c>
      <c r="AG6215">
        <v>-0.22534889999999999</v>
      </c>
      <c r="AH6215">
        <v>0.64456889249693305</v>
      </c>
      <c r="AI6215">
        <v>108.9851182333</v>
      </c>
      <c r="AJ6215">
        <v>79.754472398785197</v>
      </c>
      <c r="AK6215">
        <v>0.69269374090925195</v>
      </c>
      <c r="AL6215">
        <v>91.211596995240299</v>
      </c>
      <c r="AM6215">
        <v>88.303201534968395</v>
      </c>
      <c r="AN6215">
        <v>0.99999996158172899</v>
      </c>
    </row>
    <row r="6216" spans="1:40" x14ac:dyDescent="0.25">
      <c r="A6216" t="str">
        <f>"20190312161142326"</f>
        <v>20190312161142326</v>
      </c>
      <c r="B6216" t="str">
        <f>"1552378302323650"</f>
        <v>1552378302323650</v>
      </c>
      <c r="C6216" t="s">
        <v>40</v>
      </c>
      <c r="D6216">
        <v>6.0251669999999997</v>
      </c>
      <c r="E6216">
        <v>0.55459539999999996</v>
      </c>
      <c r="F6216" t="s">
        <v>42</v>
      </c>
      <c r="G6216">
        <v>-251.79169999999999</v>
      </c>
      <c r="H6216">
        <v>0.90238629999999997</v>
      </c>
      <c r="I6216">
        <v>-63.9274699999999</v>
      </c>
      <c r="J6216">
        <v>-252.44059999999999</v>
      </c>
      <c r="K6216">
        <v>1.1097779999999999</v>
      </c>
      <c r="L6216">
        <v>-63.816380000000002</v>
      </c>
      <c r="M6216">
        <v>0.99990500000000004</v>
      </c>
      <c r="N6216">
        <v>0</v>
      </c>
      <c r="O6216">
        <v>1.034011E-2</v>
      </c>
      <c r="P6216">
        <v>0.99934679999999998</v>
      </c>
      <c r="Q6216">
        <v>-3.032311E-2</v>
      </c>
      <c r="R6216">
        <v>-1.9657810000000001E-2</v>
      </c>
      <c r="S6216">
        <v>2.9670260000000002</v>
      </c>
      <c r="T6216">
        <v>-0.8593113</v>
      </c>
      <c r="U6216">
        <v>-0.45635989999999999</v>
      </c>
      <c r="V6216">
        <v>2.9994710000000001E-2</v>
      </c>
      <c r="W6216">
        <v>-2.1206869999999999E-2</v>
      </c>
      <c r="X6216">
        <v>0.99932500000000002</v>
      </c>
      <c r="Y6216">
        <v>0.1555687</v>
      </c>
      <c r="Z6216">
        <v>-2.487172E-2</v>
      </c>
      <c r="AA6216">
        <v>0.9875119</v>
      </c>
      <c r="AB6216">
        <v>14</v>
      </c>
      <c r="AC6216">
        <v>0.64889999999999703</v>
      </c>
      <c r="AD6216">
        <v>-0.20739170000000001</v>
      </c>
      <c r="AE6216">
        <v>-0.11108999999999</v>
      </c>
      <c r="AF6216">
        <v>0.10715963994555799</v>
      </c>
      <c r="AG6216">
        <v>-0.20739170000000001</v>
      </c>
      <c r="AH6216">
        <v>0.589240992484519</v>
      </c>
      <c r="AI6216">
        <v>109.100169017593</v>
      </c>
      <c r="AJ6216">
        <v>79.692808514478301</v>
      </c>
      <c r="AK6216">
        <v>0.63379764348433298</v>
      </c>
      <c r="AL6216">
        <v>91.215155320769995</v>
      </c>
      <c r="AM6216">
        <v>88.280785046161299</v>
      </c>
      <c r="AN6216">
        <v>0.999999934794088</v>
      </c>
    </row>
    <row r="6217" spans="1:40" x14ac:dyDescent="0.25">
      <c r="A6217" t="str">
        <f>"20190312161142337"</f>
        <v>20190312161142337</v>
      </c>
      <c r="B6217" t="str">
        <f>"1552378302333410"</f>
        <v>1552378302333410</v>
      </c>
      <c r="C6217" t="s">
        <v>40</v>
      </c>
      <c r="D6217">
        <v>6.0156749999999999</v>
      </c>
      <c r="E6217">
        <v>0.55473430000000001</v>
      </c>
      <c r="F6217" t="s">
        <v>42</v>
      </c>
      <c r="G6217">
        <v>-251.67250000000001</v>
      </c>
      <c r="H6217">
        <v>0.88560209999999995</v>
      </c>
      <c r="I6217">
        <v>-63.935830000000003</v>
      </c>
      <c r="J6217">
        <v>-252.37139999999999</v>
      </c>
      <c r="K6217">
        <v>1.1097669999999999</v>
      </c>
      <c r="L6217">
        <v>-63.8155199999999</v>
      </c>
      <c r="M6217">
        <v>0.99990400000000002</v>
      </c>
      <c r="N6217">
        <v>0</v>
      </c>
      <c r="O6217">
        <v>1.0486189999999999E-2</v>
      </c>
      <c r="P6217">
        <v>0.9993417</v>
      </c>
      <c r="Q6217">
        <v>-3.0342930000000001E-2</v>
      </c>
      <c r="R6217">
        <v>-1.989817E-2</v>
      </c>
      <c r="S6217">
        <v>2.9666290000000002</v>
      </c>
      <c r="T6217">
        <v>-0.86580679999999999</v>
      </c>
      <c r="U6217">
        <v>-0.46105960000000001</v>
      </c>
      <c r="V6217">
        <v>3.0380480000000001E-2</v>
      </c>
      <c r="W6217">
        <v>-2.1277750000000002E-2</v>
      </c>
      <c r="X6217">
        <v>0.99931190000000003</v>
      </c>
      <c r="Y6217">
        <v>0.15709319999999999</v>
      </c>
      <c r="Z6217">
        <v>-2.5310929999999999E-2</v>
      </c>
      <c r="AA6217">
        <v>0.98725940000000001</v>
      </c>
      <c r="AB6217">
        <v>14</v>
      </c>
      <c r="AC6217">
        <v>0.69889999999997998</v>
      </c>
      <c r="AD6217">
        <v>-0.224164899999999</v>
      </c>
      <c r="AE6217">
        <v>-0.12031000000001001</v>
      </c>
      <c r="AF6217">
        <v>0.11603868970257</v>
      </c>
      <c r="AG6217">
        <v>-0.224164899999999</v>
      </c>
      <c r="AH6217">
        <v>0.63423181196095801</v>
      </c>
      <c r="AI6217">
        <v>109.171134564772</v>
      </c>
      <c r="AJ6217">
        <v>79.631870098721805</v>
      </c>
      <c r="AK6217">
        <v>0.68261619611841895</v>
      </c>
      <c r="AL6217">
        <v>91.2192172892331</v>
      </c>
      <c r="AM6217">
        <v>88.258664475822599</v>
      </c>
      <c r="AN6217">
        <v>0.999999994845851</v>
      </c>
    </row>
    <row r="6218" spans="1:40" x14ac:dyDescent="0.25">
      <c r="A6218" t="str">
        <f>"20190312161142347"</f>
        <v>20190312161142347</v>
      </c>
      <c r="B6218" t="str">
        <f>"1552378302343170"</f>
        <v>1552378302343170</v>
      </c>
      <c r="C6218" t="s">
        <v>40</v>
      </c>
      <c r="D6218">
        <v>5.9573640000000001</v>
      </c>
      <c r="E6218">
        <v>0.55402839999999998</v>
      </c>
      <c r="F6218" t="s">
        <v>42</v>
      </c>
      <c r="G6218">
        <v>-251.66499999999999</v>
      </c>
      <c r="H6218">
        <v>0.90440909999999997</v>
      </c>
      <c r="I6218">
        <v>-63.925890000000003</v>
      </c>
      <c r="J6218">
        <v>-252.30869999999999</v>
      </c>
      <c r="K6218">
        <v>1.1097570000000001</v>
      </c>
      <c r="L6218">
        <v>-63.814729999999997</v>
      </c>
      <c r="M6218">
        <v>0.99990310000000004</v>
      </c>
      <c r="N6218">
        <v>0</v>
      </c>
      <c r="O6218">
        <v>1.0615980000000001E-2</v>
      </c>
      <c r="P6218">
        <v>0.99933870000000002</v>
      </c>
      <c r="Q6218">
        <v>-3.0260869999999999E-2</v>
      </c>
      <c r="R6218">
        <v>-2.0171069999999999E-2</v>
      </c>
      <c r="S6218">
        <v>2.966583</v>
      </c>
      <c r="T6218">
        <v>-0.86237359999999896</v>
      </c>
      <c r="U6218">
        <v>-0.4631653</v>
      </c>
      <c r="V6218">
        <v>3.0782879999999999E-2</v>
      </c>
      <c r="W6218">
        <v>-2.1240470000000001E-2</v>
      </c>
      <c r="X6218">
        <v>0.99930039999999998</v>
      </c>
      <c r="Y6218">
        <v>0.1579226</v>
      </c>
      <c r="Z6218">
        <v>-2.5367779999999999E-2</v>
      </c>
      <c r="AA6218">
        <v>0.98712560000000005</v>
      </c>
      <c r="AB6218">
        <v>14</v>
      </c>
      <c r="AC6218">
        <v>0.64369999999999505</v>
      </c>
      <c r="AD6218">
        <v>-0.205347899999999</v>
      </c>
      <c r="AE6218">
        <v>-0.111159999999998</v>
      </c>
      <c r="AF6218">
        <v>0.107376417786507</v>
      </c>
      <c r="AG6218">
        <v>-0.205347899999999</v>
      </c>
      <c r="AH6218">
        <v>0.58470242006964401</v>
      </c>
      <c r="AI6218">
        <v>109.056158046325</v>
      </c>
      <c r="AJ6218">
        <v>79.593985903187601</v>
      </c>
      <c r="AK6218">
        <v>0.62894703685316</v>
      </c>
      <c r="AL6218">
        <v>91.217080793538202</v>
      </c>
      <c r="AM6218">
        <v>88.235594074079401</v>
      </c>
      <c r="AN6218">
        <v>1.0000000163535301</v>
      </c>
    </row>
    <row r="6219" spans="1:40" x14ac:dyDescent="0.25">
      <c r="A6219" t="str">
        <f>"20190312161142356"</f>
        <v>20190312161142356</v>
      </c>
      <c r="B6219" t="str">
        <f>"1552378302353906"</f>
        <v>1552378302353906</v>
      </c>
      <c r="C6219" t="s">
        <v>40</v>
      </c>
      <c r="D6219">
        <v>6.0776050000000001</v>
      </c>
      <c r="E6219">
        <v>0.55402839999999998</v>
      </c>
      <c r="F6219" t="s">
        <v>42</v>
      </c>
      <c r="G6219">
        <v>-251.54480000000001</v>
      </c>
      <c r="H6219">
        <v>0.88908359999999997</v>
      </c>
      <c r="I6219">
        <v>-63.93318</v>
      </c>
      <c r="J6219">
        <v>-252.24299999999999</v>
      </c>
      <c r="K6219">
        <v>1.109745</v>
      </c>
      <c r="L6219">
        <v>-63.813870000000001</v>
      </c>
      <c r="M6219">
        <v>0.99990199999999996</v>
      </c>
      <c r="N6219">
        <v>0</v>
      </c>
      <c r="O6219">
        <v>1.074523E-2</v>
      </c>
      <c r="P6219">
        <v>0.99933079999999996</v>
      </c>
      <c r="Q6219">
        <v>-3.0272179999999999E-2</v>
      </c>
      <c r="R6219">
        <v>-2.053613E-2</v>
      </c>
      <c r="S6219">
        <v>2.9667819999999998</v>
      </c>
      <c r="T6219">
        <v>-0.85696399999999995</v>
      </c>
      <c r="U6219">
        <v>-0.45877079999999998</v>
      </c>
      <c r="V6219">
        <v>3.127659E-2</v>
      </c>
      <c r="W6219">
        <v>-2.129547E-2</v>
      </c>
      <c r="X6219">
        <v>0.9992839</v>
      </c>
      <c r="Y6219">
        <v>0.15673699999999999</v>
      </c>
      <c r="Z6219">
        <v>-2.5085429999999999E-2</v>
      </c>
      <c r="AA6219">
        <v>0.98732169999999997</v>
      </c>
      <c r="AB6219">
        <v>14</v>
      </c>
      <c r="AC6219">
        <v>0.69819999999998505</v>
      </c>
      <c r="AD6219">
        <v>-0.22066140000000001</v>
      </c>
      <c r="AE6219">
        <v>-0.119310000000012</v>
      </c>
      <c r="AF6219">
        <v>0.115587985885044</v>
      </c>
      <c r="AG6219">
        <v>-0.22066140000000001</v>
      </c>
      <c r="AH6219">
        <v>0.63522901446048796</v>
      </c>
      <c r="AI6219">
        <v>108.868434157579</v>
      </c>
      <c r="AJ6219">
        <v>79.687138483800695</v>
      </c>
      <c r="AK6219">
        <v>0.68232538919738595</v>
      </c>
      <c r="AL6219">
        <v>91.220232772950496</v>
      </c>
      <c r="AM6219">
        <v>88.207284457773795</v>
      </c>
      <c r="AN6219">
        <v>1.0000000174618699</v>
      </c>
    </row>
    <row r="6220" spans="1:40" x14ac:dyDescent="0.25">
      <c r="A6220" t="str">
        <f>"20190312161142368"</f>
        <v>20190312161142368</v>
      </c>
      <c r="B6220" t="str">
        <f>"1552378302363666"</f>
        <v>1552378302363666</v>
      </c>
      <c r="C6220" t="s">
        <v>40</v>
      </c>
      <c r="D6220">
        <v>6.0766589999999896</v>
      </c>
      <c r="E6220">
        <v>0.538995</v>
      </c>
      <c r="F6220" t="s">
        <v>42</v>
      </c>
      <c r="G6220">
        <v>-251.53809999999999</v>
      </c>
      <c r="H6220">
        <v>0.90608580000000005</v>
      </c>
      <c r="I6220">
        <v>-63.923389999999998</v>
      </c>
      <c r="J6220">
        <v>-252.17939999999999</v>
      </c>
      <c r="K6220">
        <v>1.109737</v>
      </c>
      <c r="L6220">
        <v>-63.813020000000002</v>
      </c>
      <c r="M6220">
        <v>0.99990109999999999</v>
      </c>
      <c r="N6220">
        <v>0</v>
      </c>
      <c r="O6220">
        <v>1.086707E-2</v>
      </c>
      <c r="P6220">
        <v>0.99933300000000003</v>
      </c>
      <c r="Q6220">
        <v>-3.0204330000000001E-2</v>
      </c>
      <c r="R6220">
        <v>-2.053118E-2</v>
      </c>
      <c r="S6220">
        <v>2.9666139999999999</v>
      </c>
      <c r="T6220">
        <v>-0.85708839999999997</v>
      </c>
      <c r="U6220">
        <v>-0.45956419999999998</v>
      </c>
      <c r="V6220">
        <v>3.1393369999999997E-2</v>
      </c>
      <c r="W6220">
        <v>-2.1268200000000001E-2</v>
      </c>
      <c r="X6220">
        <v>0.99928079999999997</v>
      </c>
      <c r="Y6220">
        <v>0.15710180000000001</v>
      </c>
      <c r="Z6220">
        <v>-2.5175449999999999E-2</v>
      </c>
      <c r="AA6220">
        <v>0.98726150000000001</v>
      </c>
      <c r="AB6220">
        <v>14</v>
      </c>
      <c r="AC6220">
        <v>0.64130000000000098</v>
      </c>
      <c r="AD6220">
        <v>-0.20365119999999901</v>
      </c>
      <c r="AE6220">
        <v>-0.11037000000001</v>
      </c>
      <c r="AF6220">
        <v>0.106866004761173</v>
      </c>
      <c r="AG6220">
        <v>-0.20365119999999901</v>
      </c>
      <c r="AH6220">
        <v>0.58296516159946898</v>
      </c>
      <c r="AI6220">
        <v>108.963292082072</v>
      </c>
      <c r="AJ6220">
        <v>79.612182589563204</v>
      </c>
      <c r="AK6220">
        <v>0.62669173751833496</v>
      </c>
      <c r="AL6220">
        <v>91.218669986072598</v>
      </c>
      <c r="AM6220">
        <v>88.200589660723907</v>
      </c>
      <c r="AN6220">
        <v>0.99999999862991795</v>
      </c>
    </row>
    <row r="6221" spans="1:40" x14ac:dyDescent="0.25">
      <c r="A6221" t="str">
        <f>"20190312161142379"</f>
        <v>20190312161142379</v>
      </c>
      <c r="B6221" t="str">
        <f>"1552378302373425"</f>
        <v>1552378302373425</v>
      </c>
      <c r="C6221" t="s">
        <v>40</v>
      </c>
      <c r="D6221">
        <v>6.0327440000000001</v>
      </c>
      <c r="E6221">
        <v>0.54014289999999998</v>
      </c>
      <c r="F6221" t="s">
        <v>42</v>
      </c>
      <c r="G6221">
        <v>-251.38040000000001</v>
      </c>
      <c r="H6221">
        <v>0.97374680000000002</v>
      </c>
      <c r="I6221">
        <v>-63.908110000000001</v>
      </c>
      <c r="J6221">
        <v>-252.10560000000001</v>
      </c>
      <c r="K6221">
        <v>1.109726</v>
      </c>
      <c r="L6221">
        <v>-63.812069999999999</v>
      </c>
      <c r="M6221">
        <v>0.99990000000000001</v>
      </c>
      <c r="N6221">
        <v>0</v>
      </c>
      <c r="O6221">
        <v>1.100252E-2</v>
      </c>
      <c r="P6221">
        <v>0.99933430000000001</v>
      </c>
      <c r="Q6221">
        <v>-2.9970090000000001E-2</v>
      </c>
      <c r="R6221">
        <v>-2.0808E-2</v>
      </c>
      <c r="S6221">
        <v>2.9794010000000002</v>
      </c>
      <c r="T6221">
        <v>-0.50709340000000003</v>
      </c>
      <c r="U6221">
        <v>-0.35485840000000002</v>
      </c>
      <c r="V6221">
        <v>3.1805260000000002E-2</v>
      </c>
      <c r="W6221">
        <v>-2.1078039999999999E-2</v>
      </c>
      <c r="X6221">
        <v>0.99927180000000004</v>
      </c>
      <c r="Y6221">
        <v>0.1272258</v>
      </c>
      <c r="Z6221">
        <v>-1.2565750000000001E-2</v>
      </c>
      <c r="AA6221">
        <v>0.99179419999999996</v>
      </c>
      <c r="AB6221">
        <v>14</v>
      </c>
      <c r="AC6221">
        <v>0.72520000000000095</v>
      </c>
      <c r="AD6221">
        <v>-0.135979199999999</v>
      </c>
      <c r="AE6221">
        <v>-9.6040000000002096E-2</v>
      </c>
      <c r="AF6221">
        <v>0.100539639917733</v>
      </c>
      <c r="AG6221">
        <v>-0.135979199999999</v>
      </c>
      <c r="AH6221">
        <v>0.69991559275370296</v>
      </c>
      <c r="AI6221">
        <v>100.885408195338</v>
      </c>
      <c r="AJ6221">
        <v>81.825643239948903</v>
      </c>
      <c r="AK6221">
        <v>0.72005583047927202</v>
      </c>
      <c r="AL6221">
        <v>91.2077721828107</v>
      </c>
      <c r="AM6221">
        <v>88.176980301386493</v>
      </c>
      <c r="AN6221">
        <v>0.99999999430457398</v>
      </c>
    </row>
    <row r="6222" spans="1:40" x14ac:dyDescent="0.25">
      <c r="A6222" t="str">
        <f>"20190312161142390"</f>
        <v>20190312161142390</v>
      </c>
      <c r="B6222" t="str">
        <f>"1552378302383186"</f>
        <v>1552378302383186</v>
      </c>
      <c r="C6222" t="s">
        <v>40</v>
      </c>
      <c r="D6222">
        <v>6.0841599999999998</v>
      </c>
      <c r="E6222">
        <v>0.53961990000000004</v>
      </c>
      <c r="F6222" t="s">
        <v>42</v>
      </c>
      <c r="G6222">
        <v>-251.37530000000001</v>
      </c>
      <c r="H6222">
        <v>0.98467269999999896</v>
      </c>
      <c r="I6222">
        <v>-63.901420000000002</v>
      </c>
      <c r="J6222">
        <v>-252.0369</v>
      </c>
      <c r="K6222">
        <v>1.1097189999999999</v>
      </c>
      <c r="L6222">
        <v>-63.811160000000001</v>
      </c>
      <c r="M6222">
        <v>0.99989899999999998</v>
      </c>
      <c r="N6222">
        <v>0</v>
      </c>
      <c r="O6222">
        <v>1.11237E-2</v>
      </c>
      <c r="P6222">
        <v>0.99933649999999996</v>
      </c>
      <c r="Q6222">
        <v>-3.0091719999999999E-2</v>
      </c>
      <c r="R6222">
        <v>-2.053023E-2</v>
      </c>
      <c r="S6222">
        <v>2.979095</v>
      </c>
      <c r="T6222">
        <v>-0.51015569999999999</v>
      </c>
      <c r="U6222">
        <v>-0.36477660000000001</v>
      </c>
      <c r="V6222">
        <v>3.1648349999999999E-2</v>
      </c>
      <c r="W6222">
        <v>-2.1238150000000001E-2</v>
      </c>
      <c r="X6222">
        <v>0.99927339999999998</v>
      </c>
      <c r="Y6222">
        <v>0.1305393</v>
      </c>
      <c r="Z6222">
        <v>-1.294054E-2</v>
      </c>
      <c r="AA6222">
        <v>0.99135870000000004</v>
      </c>
      <c r="AB6222">
        <v>14</v>
      </c>
      <c r="AC6222">
        <v>0.66159999999999197</v>
      </c>
      <c r="AD6222">
        <v>-0.1250463</v>
      </c>
      <c r="AE6222">
        <v>-9.0259999999993498E-2</v>
      </c>
      <c r="AF6222">
        <v>9.43067591236805E-2</v>
      </c>
      <c r="AG6222">
        <v>-0.1250463</v>
      </c>
      <c r="AH6222">
        <v>0.63817392887218904</v>
      </c>
      <c r="AI6222">
        <v>100.97010303994399</v>
      </c>
      <c r="AJ6222">
        <v>81.593899446179094</v>
      </c>
      <c r="AK6222">
        <v>0.65711209504335499</v>
      </c>
      <c r="AL6222">
        <v>91.216947854188604</v>
      </c>
      <c r="AM6222">
        <v>88.185970976052303</v>
      </c>
      <c r="AN6222">
        <v>1.0000000025103499</v>
      </c>
    </row>
    <row r="6223" spans="1:40" x14ac:dyDescent="0.25">
      <c r="A6223" t="str">
        <f>"20190312161142400"</f>
        <v>20190312161142400</v>
      </c>
      <c r="B6223" t="str">
        <f>"1552378302393921"</f>
        <v>1552378302393921</v>
      </c>
      <c r="C6223" t="s">
        <v>40</v>
      </c>
      <c r="D6223">
        <v>5.8710279999999999</v>
      </c>
      <c r="E6223">
        <v>0.53965459999999998</v>
      </c>
      <c r="F6223" t="s">
        <v>42</v>
      </c>
      <c r="G6223">
        <v>-251.2526</v>
      </c>
      <c r="H6223">
        <v>0.97478900000000002</v>
      </c>
      <c r="I6223">
        <v>-63.906140000000001</v>
      </c>
      <c r="J6223">
        <v>-251.96610000000001</v>
      </c>
      <c r="K6223">
        <v>1.109712</v>
      </c>
      <c r="L6223">
        <v>-63.810270000000003</v>
      </c>
      <c r="M6223">
        <v>0.99989779999999995</v>
      </c>
      <c r="N6223">
        <v>0</v>
      </c>
      <c r="O6223">
        <v>1.124519E-2</v>
      </c>
      <c r="P6223">
        <v>0.99934420000000002</v>
      </c>
      <c r="Q6223">
        <v>-3.0103390000000001E-2</v>
      </c>
      <c r="R6223">
        <v>-2.01222E-2</v>
      </c>
      <c r="S6223">
        <v>2.9791560000000001</v>
      </c>
      <c r="T6223">
        <v>-0.5124727</v>
      </c>
      <c r="U6223">
        <v>-0.36004639999999999</v>
      </c>
      <c r="V6223">
        <v>3.1361720000000003E-2</v>
      </c>
      <c r="W6223">
        <v>-2.1287469999999999E-2</v>
      </c>
      <c r="X6223">
        <v>0.99928139999999999</v>
      </c>
      <c r="Y6223">
        <v>0.12910630000000001</v>
      </c>
      <c r="Z6223">
        <v>-1.289818E-2</v>
      </c>
      <c r="AA6223">
        <v>0.99154690000000001</v>
      </c>
      <c r="AB6223">
        <v>14</v>
      </c>
      <c r="AC6223">
        <v>0.71350000000001002</v>
      </c>
      <c r="AD6223">
        <v>-0.13492299999999999</v>
      </c>
      <c r="AE6223">
        <v>-9.5870000000005007E-2</v>
      </c>
      <c r="AF6223">
        <v>0.100362487072635</v>
      </c>
      <c r="AG6223">
        <v>-0.13492299999999999</v>
      </c>
      <c r="AH6223">
        <v>0.68820378409594596</v>
      </c>
      <c r="AI6223">
        <v>100.978940749152</v>
      </c>
      <c r="AJ6223">
        <v>81.702901070808196</v>
      </c>
      <c r="AK6223">
        <v>0.70844992284873898</v>
      </c>
      <c r="AL6223">
        <v>91.219774305645402</v>
      </c>
      <c r="AM6223">
        <v>88.202403668425305</v>
      </c>
      <c r="AN6223">
        <v>1.0000000151231501</v>
      </c>
    </row>
    <row r="6224" spans="1:40" x14ac:dyDescent="0.25">
      <c r="A6224" t="str">
        <f>"20190312161142411"</f>
        <v>20190312161142411</v>
      </c>
      <c r="B6224" t="str">
        <f>"1552378302403684"</f>
        <v>1552378302403684</v>
      </c>
      <c r="C6224" t="s">
        <v>40</v>
      </c>
      <c r="D6224">
        <v>6.1533150000000001</v>
      </c>
      <c r="E6224">
        <v>0.53958240000000002</v>
      </c>
      <c r="F6224" t="s">
        <v>42</v>
      </c>
      <c r="G6224">
        <v>-251.24719999999999</v>
      </c>
      <c r="H6224">
        <v>0.98638840000000005</v>
      </c>
      <c r="I6224">
        <v>-63.89716</v>
      </c>
      <c r="J6224">
        <v>-251.90360000000001</v>
      </c>
      <c r="K6224">
        <v>1.1097049999999999</v>
      </c>
      <c r="L6224">
        <v>-63.809449999999998</v>
      </c>
      <c r="M6224">
        <v>0.99989709999999998</v>
      </c>
      <c r="N6224">
        <v>0</v>
      </c>
      <c r="O6224">
        <v>1.134757E-2</v>
      </c>
      <c r="P6224">
        <v>0.99935110000000005</v>
      </c>
      <c r="Q6224">
        <v>-3.0055220000000001E-2</v>
      </c>
      <c r="R6224">
        <v>-1.986038E-2</v>
      </c>
      <c r="S6224">
        <v>2.979355</v>
      </c>
      <c r="T6224">
        <v>-0.51104719999999904</v>
      </c>
      <c r="U6224">
        <v>-0.35928339999999998</v>
      </c>
      <c r="V6224">
        <v>3.1202069999999998E-2</v>
      </c>
      <c r="W6224">
        <v>-2.1269730000000001E-2</v>
      </c>
      <c r="X6224">
        <v>0.99928680000000003</v>
      </c>
      <c r="Y6224">
        <v>0.12896160000000001</v>
      </c>
      <c r="Z6224">
        <v>-1.286727E-2</v>
      </c>
      <c r="AA6224">
        <v>0.99156610000000001</v>
      </c>
      <c r="AB6224">
        <v>14</v>
      </c>
      <c r="AC6224">
        <v>0.65640000000001897</v>
      </c>
      <c r="AD6224">
        <v>-0.123316599999999</v>
      </c>
      <c r="AE6224">
        <v>-8.7710000000001204E-2</v>
      </c>
      <c r="AF6224">
        <v>9.1964296187843103E-2</v>
      </c>
      <c r="AG6224">
        <v>-0.123316599999999</v>
      </c>
      <c r="AH6224">
        <v>0.63339910747166095</v>
      </c>
      <c r="AI6224">
        <v>100.905543562304</v>
      </c>
      <c r="AJ6224">
        <v>81.738855372648302</v>
      </c>
      <c r="AK6224">
        <v>0.65181197055192397</v>
      </c>
      <c r="AL6224">
        <v>91.218757618485</v>
      </c>
      <c r="AM6224">
        <v>88.211558214147004</v>
      </c>
      <c r="AN6224">
        <v>1.0000000396203901</v>
      </c>
    </row>
    <row r="6225" spans="1:40" x14ac:dyDescent="0.25">
      <c r="A6225" t="str">
        <f>"20190312161142422"</f>
        <v>20190312161142422</v>
      </c>
      <c r="B6225" t="str">
        <f>"1552378302413442"</f>
        <v>1552378302413442</v>
      </c>
      <c r="C6225" t="s">
        <v>40</v>
      </c>
      <c r="D6225">
        <v>6.2209079999999997</v>
      </c>
      <c r="E6225">
        <v>0.53955399999999998</v>
      </c>
      <c r="F6225" t="s">
        <v>42</v>
      </c>
      <c r="G6225">
        <v>-251.12440000000001</v>
      </c>
      <c r="H6225">
        <v>0.97545090000000001</v>
      </c>
      <c r="I6225">
        <v>-63.903109999999998</v>
      </c>
      <c r="J6225">
        <v>-251.83240000000001</v>
      </c>
      <c r="K6225">
        <v>1.1096969999999999</v>
      </c>
      <c r="L6225">
        <v>-63.808500000000002</v>
      </c>
      <c r="M6225">
        <v>0.99989589999999995</v>
      </c>
      <c r="N6225">
        <v>0</v>
      </c>
      <c r="O6225">
        <v>1.1462669999999999E-2</v>
      </c>
      <c r="P6225">
        <v>0.99935289999999999</v>
      </c>
      <c r="Q6225">
        <v>-3.0193230000000001E-2</v>
      </c>
      <c r="R6225">
        <v>-1.9549859999999999E-2</v>
      </c>
      <c r="S6225">
        <v>2.9794160000000001</v>
      </c>
      <c r="T6225">
        <v>-0.5133915</v>
      </c>
      <c r="U6225">
        <v>-0.3577881</v>
      </c>
      <c r="V6225">
        <v>3.1006679999999998E-2</v>
      </c>
      <c r="W6225">
        <v>-2.144122E-2</v>
      </c>
      <c r="X6225">
        <v>0.99928919999999999</v>
      </c>
      <c r="Y6225">
        <v>0.1285683</v>
      </c>
      <c r="Z6225">
        <v>-1.291167E-2</v>
      </c>
      <c r="AA6225">
        <v>0.99161659999999996</v>
      </c>
      <c r="AB6225">
        <v>14</v>
      </c>
      <c r="AC6225">
        <v>0.70799999999999796</v>
      </c>
      <c r="AD6225">
        <v>-0.13424609999999901</v>
      </c>
      <c r="AE6225">
        <v>-9.4609999999995795E-2</v>
      </c>
      <c r="AF6225">
        <v>9.9215149517277307E-2</v>
      </c>
      <c r="AG6225">
        <v>-0.13424609999999901</v>
      </c>
      <c r="AH6225">
        <v>0.682752506277297</v>
      </c>
      <c r="AI6225">
        <v>101.011085114323</v>
      </c>
      <c r="AJ6225">
        <v>81.731857399446397</v>
      </c>
      <c r="AK6225">
        <v>0.70286317735877801</v>
      </c>
      <c r="AL6225">
        <v>91.228585533446605</v>
      </c>
      <c r="AM6225">
        <v>88.222754648469405</v>
      </c>
      <c r="AN6225">
        <v>1.00000002267817</v>
      </c>
    </row>
    <row r="6226" spans="1:40" x14ac:dyDescent="0.25">
      <c r="A6226" t="str">
        <f>"20190312161142432"</f>
        <v>20190312161142432</v>
      </c>
      <c r="B6226" t="str">
        <f>"1552378302423202"</f>
        <v>1552378302423202</v>
      </c>
      <c r="C6226" t="s">
        <v>40</v>
      </c>
      <c r="D6226">
        <v>6.2226239999999997</v>
      </c>
      <c r="E6226">
        <v>0.53949449999999999</v>
      </c>
      <c r="F6226" t="s">
        <v>42</v>
      </c>
      <c r="G6226">
        <v>-251.11940000000001</v>
      </c>
      <c r="H6226">
        <v>0.98638179999999998</v>
      </c>
      <c r="I6226">
        <v>-63.893819999999998</v>
      </c>
      <c r="J6226">
        <v>-251.76169999999999</v>
      </c>
      <c r="K6226">
        <v>1.109693</v>
      </c>
      <c r="L6226">
        <v>-63.807560000000002</v>
      </c>
      <c r="M6226">
        <v>0.99989510000000004</v>
      </c>
      <c r="N6226">
        <v>0</v>
      </c>
      <c r="O6226">
        <v>1.1572399999999899E-2</v>
      </c>
      <c r="P6226">
        <v>0.99934840000000003</v>
      </c>
      <c r="Q6226">
        <v>-3.0506149999999999E-2</v>
      </c>
      <c r="R6226">
        <v>-1.929873E-2</v>
      </c>
      <c r="S6226">
        <v>2.9794010000000002</v>
      </c>
      <c r="T6226">
        <v>-0.51529499999999995</v>
      </c>
      <c r="U6226">
        <v>-0.35610960000000003</v>
      </c>
      <c r="V6226">
        <v>3.086498E-2</v>
      </c>
      <c r="W6226">
        <v>-2.178397E-2</v>
      </c>
      <c r="X6226">
        <v>0.99928620000000001</v>
      </c>
      <c r="Y6226">
        <v>0.1281167</v>
      </c>
      <c r="Z6226">
        <v>-1.293949E-2</v>
      </c>
      <c r="AA6226">
        <v>0.99167470000000002</v>
      </c>
      <c r="AB6226">
        <v>14</v>
      </c>
      <c r="AC6226">
        <v>0.642299999999977</v>
      </c>
      <c r="AD6226">
        <v>-0.123311199999999</v>
      </c>
      <c r="AE6226">
        <v>-8.6260000000002807E-2</v>
      </c>
      <c r="AF6226">
        <v>9.0414036775991205E-2</v>
      </c>
      <c r="AG6226">
        <v>-0.123311199999999</v>
      </c>
      <c r="AH6226">
        <v>0.61885326202137603</v>
      </c>
      <c r="AI6226">
        <v>101.15363104917</v>
      </c>
      <c r="AJ6226">
        <v>81.687933408368394</v>
      </c>
      <c r="AK6226">
        <v>0.63746349699890104</v>
      </c>
      <c r="AL6226">
        <v>91.2482282168924</v>
      </c>
      <c r="AM6226">
        <v>88.230866148520093</v>
      </c>
      <c r="AN6226">
        <v>1.0000000489248899</v>
      </c>
    </row>
    <row r="6227" spans="1:40" x14ac:dyDescent="0.25">
      <c r="A6227" t="str">
        <f>"20190312161142442"</f>
        <v>20190312161142442</v>
      </c>
      <c r="B6227" t="str">
        <f>"1552378302433939"</f>
        <v>1552378302433939</v>
      </c>
      <c r="C6227" t="s">
        <v>40</v>
      </c>
      <c r="D6227">
        <v>6.1347589999999999</v>
      </c>
      <c r="E6227">
        <v>0.53930349999999905</v>
      </c>
      <c r="F6227" t="s">
        <v>42</v>
      </c>
      <c r="G6227">
        <v>-250.9957</v>
      </c>
      <c r="H6227">
        <v>0.97640740000000004</v>
      </c>
      <c r="I6227">
        <v>-63.898850000000003</v>
      </c>
      <c r="J6227">
        <v>-251.69560000000001</v>
      </c>
      <c r="K6227">
        <v>1.1096889999999999</v>
      </c>
      <c r="L6227">
        <v>-63.806699999999999</v>
      </c>
      <c r="M6227">
        <v>0.99989410000000001</v>
      </c>
      <c r="N6227">
        <v>0</v>
      </c>
      <c r="O6227">
        <v>1.1674550000000001E-2</v>
      </c>
      <c r="P6227">
        <v>0.99935469999999904</v>
      </c>
      <c r="Q6227">
        <v>-3.0375559999999999E-2</v>
      </c>
      <c r="R6227">
        <v>-1.9174859999999998E-2</v>
      </c>
      <c r="S6227">
        <v>2.9792939999999999</v>
      </c>
      <c r="T6227">
        <v>-0.51832939999999905</v>
      </c>
      <c r="U6227">
        <v>-0.35433959999999998</v>
      </c>
      <c r="V6227">
        <v>3.0843229999999999E-2</v>
      </c>
      <c r="W6227">
        <v>-2.1680609999999999E-2</v>
      </c>
      <c r="X6227">
        <v>0.99928910000000004</v>
      </c>
      <c r="Y6227">
        <v>0.12762280000000001</v>
      </c>
      <c r="Z6227">
        <v>-1.299056E-2</v>
      </c>
      <c r="AA6227">
        <v>0.99173770000000006</v>
      </c>
      <c r="AB6227">
        <v>14</v>
      </c>
      <c r="AC6227">
        <v>0.69990000000001296</v>
      </c>
      <c r="AD6227">
        <v>-0.133281599999999</v>
      </c>
      <c r="AE6227">
        <v>-9.2150000000003701E-2</v>
      </c>
      <c r="AF6227">
        <v>9.6862340544189698E-2</v>
      </c>
      <c r="AG6227">
        <v>-0.133281599999999</v>
      </c>
      <c r="AH6227">
        <v>0.67472553014505599</v>
      </c>
      <c r="AI6227">
        <v>101.063459715935</v>
      </c>
      <c r="AJ6227">
        <v>81.830540751292105</v>
      </c>
      <c r="AK6227">
        <v>0.69455081811468999</v>
      </c>
      <c r="AL6227">
        <v>91.242304750528803</v>
      </c>
      <c r="AM6227">
        <v>88.232117161404105</v>
      </c>
      <c r="AN6227">
        <v>1.0000000295328</v>
      </c>
    </row>
    <row r="6228" spans="1:40" x14ac:dyDescent="0.25">
      <c r="A6228" t="str">
        <f>"20190312161142456"</f>
        <v>20190312161142456</v>
      </c>
      <c r="B6228" t="str">
        <f>"1552378302443699"</f>
        <v>1552378302443699</v>
      </c>
      <c r="C6228" t="s">
        <v>40</v>
      </c>
      <c r="D6228">
        <v>6.029725</v>
      </c>
      <c r="E6228">
        <v>0.53904390000000002</v>
      </c>
      <c r="F6228" t="s">
        <v>42</v>
      </c>
      <c r="G6228">
        <v>-250.99080000000001</v>
      </c>
      <c r="H6228">
        <v>0.98687659999999999</v>
      </c>
      <c r="I6228">
        <v>-63.890189999999997</v>
      </c>
      <c r="J6228">
        <v>-251.61750000000001</v>
      </c>
      <c r="K6228">
        <v>1.1096969999999999</v>
      </c>
      <c r="L6228">
        <v>-63.805630000000001</v>
      </c>
      <c r="M6228">
        <v>0.99989289999999997</v>
      </c>
      <c r="N6228">
        <v>0</v>
      </c>
      <c r="O6228">
        <v>1.17915E-2</v>
      </c>
      <c r="P6228">
        <v>0.999363</v>
      </c>
      <c r="Q6228">
        <v>-3.0068770000000002E-2</v>
      </c>
      <c r="R6228">
        <v>-1.92248E-2</v>
      </c>
      <c r="S6228">
        <v>2.9794160000000001</v>
      </c>
      <c r="T6228">
        <v>-0.51908449999999995</v>
      </c>
      <c r="U6228">
        <v>-0.3522034</v>
      </c>
      <c r="V6228">
        <v>3.1010039999999999E-2</v>
      </c>
      <c r="W6228">
        <v>-2.1402060000000001E-2</v>
      </c>
      <c r="X6228">
        <v>0.99928989999999995</v>
      </c>
      <c r="Y6228">
        <v>0.1270338</v>
      </c>
      <c r="Z6228">
        <v>-1.297862E-2</v>
      </c>
      <c r="AA6228">
        <v>0.99181350000000001</v>
      </c>
      <c r="AB6228">
        <v>14</v>
      </c>
      <c r="AC6228">
        <v>0.62669999999999904</v>
      </c>
      <c r="AD6228">
        <v>-0.122820399999999</v>
      </c>
      <c r="AE6228">
        <v>-8.4559999999996194E-2</v>
      </c>
      <c r="AF6228">
        <v>8.8601955231876195E-2</v>
      </c>
      <c r="AG6228">
        <v>-0.122820399999999</v>
      </c>
      <c r="AH6228">
        <v>0.60291653670364997</v>
      </c>
      <c r="AI6228">
        <v>101.395067928578</v>
      </c>
      <c r="AJ6228">
        <v>81.639903612145801</v>
      </c>
      <c r="AK6228">
        <v>0.62164580538904501</v>
      </c>
      <c r="AL6228">
        <v>91.226341358941795</v>
      </c>
      <c r="AM6228">
        <v>88.222563427328396</v>
      </c>
      <c r="AN6228">
        <v>0.99999998749752705</v>
      </c>
    </row>
    <row r="6229" spans="1:40" x14ac:dyDescent="0.25">
      <c r="A6229" t="str">
        <f>"20190312161142468"</f>
        <v>20190312161142468</v>
      </c>
      <c r="B6229" t="str">
        <f>"1552378302463218"</f>
        <v>1552378302463218</v>
      </c>
      <c r="C6229" t="s">
        <v>40</v>
      </c>
      <c r="D6229">
        <v>6.0779500000000004</v>
      </c>
      <c r="E6229">
        <v>0.53870709999999999</v>
      </c>
      <c r="F6229" t="s">
        <v>42</v>
      </c>
      <c r="G6229">
        <v>-250.86539999999999</v>
      </c>
      <c r="H6229">
        <v>0.97918000000000005</v>
      </c>
      <c r="I6229">
        <v>-63.894199999999998</v>
      </c>
      <c r="J6229">
        <v>-251.54230000000001</v>
      </c>
      <c r="K6229">
        <v>1.109699</v>
      </c>
      <c r="L6229">
        <v>-63.804630000000003</v>
      </c>
      <c r="M6229">
        <v>0.99989189999999994</v>
      </c>
      <c r="N6229">
        <v>0</v>
      </c>
      <c r="O6229">
        <v>1.190344E-2</v>
      </c>
      <c r="P6229">
        <v>0.99936689999999995</v>
      </c>
      <c r="Q6229">
        <v>-2.992189E-2</v>
      </c>
      <c r="R6229">
        <v>-1.924909E-2</v>
      </c>
      <c r="S6229">
        <v>2.9796140000000002</v>
      </c>
      <c r="T6229">
        <v>-0.51719159999999997</v>
      </c>
      <c r="U6229">
        <v>-0.3502808</v>
      </c>
      <c r="V6229">
        <v>3.114631E-2</v>
      </c>
      <c r="W6229">
        <v>-2.1281330000000001E-2</v>
      </c>
      <c r="X6229">
        <v>0.99928830000000002</v>
      </c>
      <c r="Y6229">
        <v>0.12652669999999999</v>
      </c>
      <c r="Z6229">
        <v>-1.290731E-2</v>
      </c>
      <c r="AA6229">
        <v>0.99187919999999996</v>
      </c>
      <c r="AB6229">
        <v>14</v>
      </c>
      <c r="AC6229">
        <v>0.67690000000001704</v>
      </c>
      <c r="AD6229">
        <v>-0.130519</v>
      </c>
      <c r="AE6229">
        <v>-8.9569999999994807E-2</v>
      </c>
      <c r="AF6229">
        <v>9.4180118982089001E-2</v>
      </c>
      <c r="AG6229">
        <v>-0.130519</v>
      </c>
      <c r="AH6229">
        <v>0.65196353303278698</v>
      </c>
      <c r="AI6229">
        <v>101.20726290731901</v>
      </c>
      <c r="AJ6229">
        <v>81.780135755267395</v>
      </c>
      <c r="AK6229">
        <v>0.67153670977622204</v>
      </c>
      <c r="AL6229">
        <v>91.2194223908824</v>
      </c>
      <c r="AM6229">
        <v>88.214754876580699</v>
      </c>
      <c r="AN6229">
        <v>1.0000000470750301</v>
      </c>
    </row>
    <row r="6230" spans="1:40" x14ac:dyDescent="0.25">
      <c r="A6230" t="str">
        <f>"20190312161142479"</f>
        <v>20190312161142479</v>
      </c>
      <c r="B6230" t="str">
        <f>"1552378302473954"</f>
        <v>1552378302473954</v>
      </c>
      <c r="C6230" t="s">
        <v>40</v>
      </c>
      <c r="D6230">
        <v>5.9906290000000002</v>
      </c>
      <c r="E6230">
        <v>0.53870709999999999</v>
      </c>
      <c r="F6230" t="s">
        <v>42</v>
      </c>
      <c r="G6230">
        <v>-250.73990000000001</v>
      </c>
      <c r="H6230">
        <v>0.97070310000000004</v>
      </c>
      <c r="I6230">
        <v>-63.898470000000003</v>
      </c>
      <c r="J6230">
        <v>-251.46029999999999</v>
      </c>
      <c r="K6230">
        <v>1.1096980000000001</v>
      </c>
      <c r="L6230">
        <v>-63.803530000000002</v>
      </c>
      <c r="M6230">
        <v>0.99989059999999996</v>
      </c>
      <c r="N6230">
        <v>0</v>
      </c>
      <c r="O6230">
        <v>1.202403E-2</v>
      </c>
      <c r="P6230">
        <v>0.99937200000000004</v>
      </c>
      <c r="Q6230">
        <v>-2.9684220000000001E-2</v>
      </c>
      <c r="R6230">
        <v>-1.9362830000000001E-2</v>
      </c>
      <c r="S6230">
        <v>2.979752</v>
      </c>
      <c r="T6230">
        <v>-0.51615869999999997</v>
      </c>
      <c r="U6230">
        <v>-0.3479004</v>
      </c>
      <c r="V6230">
        <v>3.1380640000000001E-2</v>
      </c>
      <c r="W6230">
        <v>-2.106953E-2</v>
      </c>
      <c r="X6230">
        <v>0.99928539999999999</v>
      </c>
      <c r="Y6230">
        <v>0.12587519999999999</v>
      </c>
      <c r="Z6230">
        <v>-1.2846750000000001E-2</v>
      </c>
      <c r="AA6230">
        <v>0.99196289999999998</v>
      </c>
      <c r="AB6230">
        <v>14</v>
      </c>
      <c r="AC6230">
        <v>0.72039999999998305</v>
      </c>
      <c r="AD6230">
        <v>-0.13899489999999901</v>
      </c>
      <c r="AE6230">
        <v>-9.4939999999994001E-2</v>
      </c>
      <c r="AF6230">
        <v>9.9938728065386895E-2</v>
      </c>
      <c r="AG6230">
        <v>-0.13899489999999901</v>
      </c>
      <c r="AH6230">
        <v>0.69381890601327201</v>
      </c>
      <c r="AI6230">
        <v>101.215509405058</v>
      </c>
      <c r="AJ6230">
        <v>81.8034062279539</v>
      </c>
      <c r="AK6230">
        <v>0.71462717967818101</v>
      </c>
      <c r="AL6230">
        <v>91.207284492426197</v>
      </c>
      <c r="AM6230">
        <v>88.201327115970102</v>
      </c>
      <c r="AN6230">
        <v>0.99999999015719498</v>
      </c>
    </row>
    <row r="6231" spans="1:40" x14ac:dyDescent="0.25">
      <c r="A6231" t="str">
        <f>"20190312161142492"</f>
        <v>20190312161142492</v>
      </c>
      <c r="B6231" t="str">
        <f>"1552378302483714"</f>
        <v>1552378302483714</v>
      </c>
      <c r="C6231" t="s">
        <v>40</v>
      </c>
      <c r="D6231">
        <v>5.9928470000000003</v>
      </c>
      <c r="E6231">
        <v>0.55186020000000002</v>
      </c>
      <c r="F6231" t="s">
        <v>42</v>
      </c>
      <c r="G6231">
        <v>-250.7338</v>
      </c>
      <c r="H6231">
        <v>0.98402699999999999</v>
      </c>
      <c r="I6231">
        <v>-63.888629999999999</v>
      </c>
      <c r="J6231">
        <v>-251.3819</v>
      </c>
      <c r="K6231">
        <v>1.1096980000000001</v>
      </c>
      <c r="L6231">
        <v>-63.802430000000001</v>
      </c>
      <c r="M6231">
        <v>0.99988940000000004</v>
      </c>
      <c r="N6231">
        <v>0</v>
      </c>
      <c r="O6231">
        <v>1.213943E-2</v>
      </c>
      <c r="P6231">
        <v>0.99936440000000004</v>
      </c>
      <c r="Q6231">
        <v>-2.9966409999999999E-2</v>
      </c>
      <c r="R6231">
        <v>-1.9319929999999999E-2</v>
      </c>
      <c r="S6231">
        <v>2.9798279999999999</v>
      </c>
      <c r="T6231">
        <v>-0.51538430000000002</v>
      </c>
      <c r="U6231">
        <v>-0.34835820000000001</v>
      </c>
      <c r="V6231">
        <v>3.1452999999999898E-2</v>
      </c>
      <c r="W6231">
        <v>-2.1374529999999999E-2</v>
      </c>
      <c r="X6231">
        <v>0.99927659999999996</v>
      </c>
      <c r="Y6231">
        <v>0.12613769999999999</v>
      </c>
      <c r="Z6231">
        <v>-1.286954E-2</v>
      </c>
      <c r="AA6231">
        <v>0.99192930000000001</v>
      </c>
      <c r="AB6231">
        <v>14</v>
      </c>
      <c r="AC6231">
        <v>0.64809999999999901</v>
      </c>
      <c r="AD6231">
        <v>-0.12567099999999901</v>
      </c>
      <c r="AE6231">
        <v>-8.6199999999998E-2</v>
      </c>
      <c r="AF6231">
        <v>9.0710103281090498E-2</v>
      </c>
      <c r="AG6231">
        <v>-0.12567099999999901</v>
      </c>
      <c r="AH6231">
        <v>0.62395304842223998</v>
      </c>
      <c r="AI6231">
        <v>101.272228386713</v>
      </c>
      <c r="AJ6231">
        <v>81.728307031706805</v>
      </c>
      <c r="AK6231">
        <v>0.64291440310018899</v>
      </c>
      <c r="AL6231">
        <v>91.224763700290495</v>
      </c>
      <c r="AM6231">
        <v>88.197166459597995</v>
      </c>
      <c r="AN6231">
        <v>0.99999994252463797</v>
      </c>
    </row>
    <row r="6232" spans="1:40" x14ac:dyDescent="0.25">
      <c r="A6232" t="str">
        <f>"20190312161142503"</f>
        <v>20190312161142503</v>
      </c>
      <c r="B6232" t="str">
        <f>"1552378302493474"</f>
        <v>1552378302493474</v>
      </c>
      <c r="C6232" t="s">
        <v>40</v>
      </c>
      <c r="D6232">
        <v>6.2301739999999999</v>
      </c>
      <c r="E6232">
        <v>0.5558864</v>
      </c>
      <c r="F6232" t="s">
        <v>42</v>
      </c>
      <c r="G6232">
        <v>-250.64400000000001</v>
      </c>
      <c r="H6232">
        <v>0.89478489999999999</v>
      </c>
      <c r="I6232">
        <v>-63.911430000000003</v>
      </c>
      <c r="J6232">
        <v>-251.30779999999999</v>
      </c>
      <c r="K6232">
        <v>1.1096999999999999</v>
      </c>
      <c r="L6232">
        <v>-63.801419999999901</v>
      </c>
      <c r="M6232">
        <v>0.99988829999999995</v>
      </c>
      <c r="N6232">
        <v>0</v>
      </c>
      <c r="O6232">
        <v>1.224833E-2</v>
      </c>
      <c r="P6232">
        <v>0.99935180000000001</v>
      </c>
      <c r="Q6232">
        <v>-3.0236229999999999E-2</v>
      </c>
      <c r="R6232">
        <v>-1.9538360000000001E-2</v>
      </c>
      <c r="S6232">
        <v>2.967514</v>
      </c>
      <c r="T6232">
        <v>-0.86433719999999903</v>
      </c>
      <c r="U6232">
        <v>-0.43820189999999998</v>
      </c>
      <c r="V6232">
        <v>3.1780530000000001E-2</v>
      </c>
      <c r="W6232">
        <v>-2.1664940000000001E-2</v>
      </c>
      <c r="X6232">
        <v>0.99926009999999998</v>
      </c>
      <c r="Y6232">
        <v>0.1515225</v>
      </c>
      <c r="Z6232">
        <v>-2.4985819999999999E-2</v>
      </c>
      <c r="AA6232">
        <v>0.98813799999999996</v>
      </c>
      <c r="AB6232">
        <v>14</v>
      </c>
      <c r="AC6232">
        <v>0.66379999999997996</v>
      </c>
      <c r="AD6232">
        <v>-0.214915099999999</v>
      </c>
      <c r="AE6232">
        <v>-0.110010000000009</v>
      </c>
      <c r="AF6232">
        <v>0.107196164563636</v>
      </c>
      <c r="AG6232">
        <v>-0.214915099999999</v>
      </c>
      <c r="AH6232">
        <v>0.60107962027551898</v>
      </c>
      <c r="AI6232">
        <v>109.391798425532</v>
      </c>
      <c r="AJ6232">
        <v>79.888213613968603</v>
      </c>
      <c r="AK6232">
        <v>0.64728373053532395</v>
      </c>
      <c r="AL6232">
        <v>91.241406677448495</v>
      </c>
      <c r="AM6232">
        <v>88.178375510509298</v>
      </c>
      <c r="AN6232">
        <v>1.0000000595821401</v>
      </c>
    </row>
    <row r="6233" spans="1:40" x14ac:dyDescent="0.25">
      <c r="A6233" t="str">
        <f>"20190312161142513"</f>
        <v>20190312161142513</v>
      </c>
      <c r="B6233" t="str">
        <f>"1552378302503234"</f>
        <v>1552378302503234</v>
      </c>
      <c r="C6233" t="s">
        <v>40</v>
      </c>
      <c r="D6233">
        <v>6.1366589999999999</v>
      </c>
      <c r="E6233">
        <v>0.5558864</v>
      </c>
      <c r="F6233" t="s">
        <v>42</v>
      </c>
      <c r="G6233">
        <v>-250.6362</v>
      </c>
      <c r="H6233">
        <v>0.91359500000000005</v>
      </c>
      <c r="I6233">
        <v>-63.908119999999997</v>
      </c>
      <c r="J6233">
        <v>-251.2372</v>
      </c>
      <c r="K6233">
        <v>1.109701</v>
      </c>
      <c r="L6233">
        <v>-63.800420000000003</v>
      </c>
      <c r="M6233">
        <v>0.99988699999999997</v>
      </c>
      <c r="N6233">
        <v>0</v>
      </c>
      <c r="O6233">
        <v>1.235262E-2</v>
      </c>
      <c r="P6233">
        <v>0.99933760000000005</v>
      </c>
      <c r="Q6233">
        <v>-3.0625590000000001E-2</v>
      </c>
      <c r="R6233">
        <v>-1.965246E-2</v>
      </c>
      <c r="S6233">
        <v>2.9665370000000002</v>
      </c>
      <c r="T6233">
        <v>-0.86612199999999995</v>
      </c>
      <c r="U6233">
        <v>-0.47103879999999998</v>
      </c>
      <c r="V6233">
        <v>3.1998850000000002E-2</v>
      </c>
      <c r="W6233">
        <v>-2.207172E-2</v>
      </c>
      <c r="X6233">
        <v>0.99924420000000003</v>
      </c>
      <c r="Y6233">
        <v>0.161904399999999</v>
      </c>
      <c r="Z6233">
        <v>-2.6529179999999999E-2</v>
      </c>
      <c r="AA6233">
        <v>0.98644980000000004</v>
      </c>
      <c r="AB6233">
        <v>14</v>
      </c>
      <c r="AC6233">
        <v>0.60099999999999898</v>
      </c>
      <c r="AD6233">
        <v>-0.196106</v>
      </c>
      <c r="AE6233">
        <v>-0.107700000000001</v>
      </c>
      <c r="AF6233">
        <v>0.104351248612837</v>
      </c>
      <c r="AG6233">
        <v>-0.196106</v>
      </c>
      <c r="AH6233">
        <v>0.54355167594864195</v>
      </c>
      <c r="AI6233">
        <v>109.510048994022</v>
      </c>
      <c r="AJ6233">
        <v>79.132559722881695</v>
      </c>
      <c r="AK6233">
        <v>0.58719261809872603</v>
      </c>
      <c r="AL6233">
        <v>91.264719066732198</v>
      </c>
      <c r="AM6233">
        <v>88.165841005237894</v>
      </c>
      <c r="AN6233">
        <v>1.00000002922936</v>
      </c>
    </row>
    <row r="6234" spans="1:40" x14ac:dyDescent="0.25">
      <c r="A6234" t="str">
        <f>"20190312161142525"</f>
        <v>20190312161142525</v>
      </c>
      <c r="B6234" t="str">
        <f>"1552378302513970"</f>
        <v>1552378302513970</v>
      </c>
      <c r="C6234" t="s">
        <v>40</v>
      </c>
      <c r="D6234">
        <v>6.1426860000000003</v>
      </c>
      <c r="E6234">
        <v>0.54173590000000005</v>
      </c>
      <c r="F6234" t="s">
        <v>42</v>
      </c>
      <c r="G6234">
        <v>-250.5119</v>
      </c>
      <c r="H6234">
        <v>0.89761869999999999</v>
      </c>
      <c r="I6234">
        <v>-63.916020000000003</v>
      </c>
      <c r="J6234">
        <v>-251.1628</v>
      </c>
      <c r="K6234">
        <v>1.109694</v>
      </c>
      <c r="L6234">
        <v>-63.799379999999999</v>
      </c>
      <c r="M6234">
        <v>0.99988600000000005</v>
      </c>
      <c r="N6234">
        <v>0</v>
      </c>
      <c r="O6234">
        <v>1.246246E-2</v>
      </c>
      <c r="P6234">
        <v>0.99933939999999999</v>
      </c>
      <c r="Q6234">
        <v>-3.05332E-2</v>
      </c>
      <c r="R6234">
        <v>-1.9720100000000001E-2</v>
      </c>
      <c r="S6234">
        <v>2.9661409999999999</v>
      </c>
      <c r="T6234">
        <v>-0.86727080000000001</v>
      </c>
      <c r="U6234">
        <v>-0.47155760000000002</v>
      </c>
      <c r="V6234">
        <v>3.2176250000000003E-2</v>
      </c>
      <c r="W6234">
        <v>-2.1997059999999999E-2</v>
      </c>
      <c r="X6234">
        <v>0.99924009999999996</v>
      </c>
      <c r="Y6234">
        <v>0.162166</v>
      </c>
      <c r="Z6234">
        <v>-2.6634540000000002E-2</v>
      </c>
      <c r="AA6234">
        <v>0.9864039</v>
      </c>
      <c r="AB6234">
        <v>15</v>
      </c>
      <c r="AC6234">
        <v>0.65090000000000703</v>
      </c>
      <c r="AD6234">
        <v>-0.21207529999999999</v>
      </c>
      <c r="AE6234">
        <v>-0.116639999999989</v>
      </c>
      <c r="AF6234">
        <v>0.11310921784534</v>
      </c>
      <c r="AG6234">
        <v>-0.21207529999999999</v>
      </c>
      <c r="AH6234">
        <v>0.58883158108187705</v>
      </c>
      <c r="AI6234">
        <v>109.47850960769701</v>
      </c>
      <c r="AJ6234">
        <v>79.126448959467098</v>
      </c>
      <c r="AK6234">
        <v>0.63599705888554103</v>
      </c>
      <c r="AL6234">
        <v>91.260440387726305</v>
      </c>
      <c r="AM6234">
        <v>88.155671961978101</v>
      </c>
      <c r="AN6234">
        <v>0.99999997958035702</v>
      </c>
    </row>
    <row r="6235" spans="1:40" x14ac:dyDescent="0.25">
      <c r="A6235" t="str">
        <f>"20190312161142537"</f>
        <v>20190312161142537</v>
      </c>
      <c r="B6235" t="str">
        <f>"1552378302523730"</f>
        <v>1552378302523730</v>
      </c>
      <c r="C6235" t="s">
        <v>40</v>
      </c>
      <c r="D6235">
        <v>6.0768550000000001</v>
      </c>
      <c r="E6235">
        <v>0.54074469999999997</v>
      </c>
      <c r="F6235" t="s">
        <v>42</v>
      </c>
      <c r="G6235">
        <v>-250.3502</v>
      </c>
      <c r="H6235">
        <v>0.96650420000000004</v>
      </c>
      <c r="I6235">
        <v>-63.901409999999998</v>
      </c>
      <c r="J6235">
        <v>-251.0882</v>
      </c>
      <c r="K6235">
        <v>1.109694</v>
      </c>
      <c r="L6235">
        <v>-63.798369999999998</v>
      </c>
      <c r="M6235">
        <v>0.99988469999999996</v>
      </c>
      <c r="N6235">
        <v>0</v>
      </c>
      <c r="O6235">
        <v>1.2574139999999999E-2</v>
      </c>
      <c r="P6235">
        <v>0.9993358</v>
      </c>
      <c r="Q6235">
        <v>-3.0696339999999999E-2</v>
      </c>
      <c r="R6235">
        <v>-1.9646199999999999E-2</v>
      </c>
      <c r="S6235">
        <v>2.9785919999999999</v>
      </c>
      <c r="T6235">
        <v>-0.52489640000000004</v>
      </c>
      <c r="U6235">
        <v>-0.37362669999999998</v>
      </c>
      <c r="V6235">
        <v>3.221425E-2</v>
      </c>
      <c r="W6235">
        <v>-2.2175960000000002E-2</v>
      </c>
      <c r="X6235">
        <v>0.99923490000000004</v>
      </c>
      <c r="Y6235">
        <v>0.134693799999999</v>
      </c>
      <c r="Z6235">
        <v>-1.3923390000000001E-2</v>
      </c>
      <c r="AA6235">
        <v>0.99078949999999999</v>
      </c>
      <c r="AB6235">
        <v>15</v>
      </c>
      <c r="AC6235">
        <v>0.73799999999999899</v>
      </c>
      <c r="AD6235">
        <v>-0.14318980000000001</v>
      </c>
      <c r="AE6235">
        <v>-0.10304000000000001</v>
      </c>
      <c r="AF6235">
        <v>0.10831241112790201</v>
      </c>
      <c r="AG6235">
        <v>-0.14318980000000001</v>
      </c>
      <c r="AH6235">
        <v>0.71041356347297402</v>
      </c>
      <c r="AI6235">
        <v>101.26892708608899</v>
      </c>
      <c r="AJ6235">
        <v>81.331220821817595</v>
      </c>
      <c r="AK6235">
        <v>0.73274984025569601</v>
      </c>
      <c r="AL6235">
        <v>91.270693131037802</v>
      </c>
      <c r="AM6235">
        <v>88.153485723680205</v>
      </c>
      <c r="AN6235">
        <v>0.99999995824149601</v>
      </c>
    </row>
    <row r="6236" spans="1:40" x14ac:dyDescent="0.25">
      <c r="A6236" t="str">
        <f>"20190312161142548"</f>
        <v>20190312161142548</v>
      </c>
      <c r="B6236" t="str">
        <f>"1552378302543250"</f>
        <v>1552378302543250</v>
      </c>
      <c r="C6236" t="s">
        <v>40</v>
      </c>
      <c r="D6236">
        <v>5.3842790000000003</v>
      </c>
      <c r="E6236">
        <v>0.54055359999999997</v>
      </c>
      <c r="F6236" t="s">
        <v>42</v>
      </c>
      <c r="G6236">
        <v>-250.34469999999999</v>
      </c>
      <c r="H6236">
        <v>0.97890900000000003</v>
      </c>
      <c r="I6236">
        <v>-63.889699999999998</v>
      </c>
      <c r="J6236">
        <v>-251.01570000000001</v>
      </c>
      <c r="K6236">
        <v>1.1096950000000001</v>
      </c>
      <c r="L6236">
        <v>-63.7973</v>
      </c>
      <c r="M6236">
        <v>0.99988339999999998</v>
      </c>
      <c r="N6236">
        <v>0</v>
      </c>
      <c r="O6236">
        <v>1.268331E-2</v>
      </c>
      <c r="P6236">
        <v>0.99934080000000003</v>
      </c>
      <c r="Q6236">
        <v>-3.08346E-2</v>
      </c>
      <c r="R6236">
        <v>-1.9166900000000001E-2</v>
      </c>
      <c r="S6236">
        <v>2.9786990000000002</v>
      </c>
      <c r="T6236">
        <v>-0.52397329999999998</v>
      </c>
      <c r="U6236">
        <v>-0.36547849999999998</v>
      </c>
      <c r="V6236">
        <v>3.1844329999999997E-2</v>
      </c>
      <c r="W6236">
        <v>-2.2328710000000002E-2</v>
      </c>
      <c r="X6236">
        <v>0.9992434</v>
      </c>
      <c r="Y6236">
        <v>0.1321715</v>
      </c>
      <c r="Z6236">
        <v>-1.37007E-2</v>
      </c>
      <c r="AA6236">
        <v>0.99113220000000002</v>
      </c>
      <c r="AB6236">
        <v>15</v>
      </c>
      <c r="AC6236">
        <v>0.67100000000002002</v>
      </c>
      <c r="AD6236">
        <v>-0.13078600000000001</v>
      </c>
      <c r="AE6236">
        <v>-9.2399999999997803E-2</v>
      </c>
      <c r="AF6236">
        <v>9.7276544669819595E-2</v>
      </c>
      <c r="AG6236">
        <v>-0.13078600000000001</v>
      </c>
      <c r="AH6236">
        <v>0.64569994841495704</v>
      </c>
      <c r="AI6236">
        <v>101.325854941313</v>
      </c>
      <c r="AJ6236">
        <v>81.432654829248094</v>
      </c>
      <c r="AK6236">
        <v>0.66595504902506597</v>
      </c>
      <c r="AL6236">
        <v>91.279447172677195</v>
      </c>
      <c r="AM6236">
        <v>88.174690552407299</v>
      </c>
      <c r="AN6236">
        <v>1.0000000025434801</v>
      </c>
    </row>
    <row r="6237" spans="1:40" x14ac:dyDescent="0.25">
      <c r="A6237" t="str">
        <f>"20190312161142558"</f>
        <v>20190312161142558</v>
      </c>
      <c r="B6237" t="str">
        <f>"1552378302553986"</f>
        <v>1552378302553986</v>
      </c>
      <c r="C6237" t="s">
        <v>40</v>
      </c>
      <c r="D6237">
        <v>6.2247560000000002</v>
      </c>
      <c r="E6237">
        <v>0.5404369</v>
      </c>
      <c r="F6237" t="s">
        <v>42</v>
      </c>
      <c r="G6237">
        <v>-250.2175</v>
      </c>
      <c r="H6237">
        <v>0.96931730000000005</v>
      </c>
      <c r="I6237">
        <v>-63.894629999999999</v>
      </c>
      <c r="J6237">
        <v>-250.94149999999999</v>
      </c>
      <c r="K6237">
        <v>1.109691</v>
      </c>
      <c r="L6237">
        <v>-63.796230000000001</v>
      </c>
      <c r="M6237">
        <v>0.99988200000000005</v>
      </c>
      <c r="N6237">
        <v>0</v>
      </c>
      <c r="O6237">
        <v>1.279593E-2</v>
      </c>
      <c r="P6237">
        <v>0.99935189999999996</v>
      </c>
      <c r="Q6237">
        <v>-3.061525E-2</v>
      </c>
      <c r="R6237">
        <v>-1.89385E-2</v>
      </c>
      <c r="S6237">
        <v>2.9788670000000002</v>
      </c>
      <c r="T6237">
        <v>-0.52388179999999995</v>
      </c>
      <c r="U6237">
        <v>-0.36236570000000001</v>
      </c>
      <c r="V6237">
        <v>3.1728590000000001E-2</v>
      </c>
      <c r="W6237">
        <v>-2.212283E-2</v>
      </c>
      <c r="X6237">
        <v>0.99925169999999996</v>
      </c>
      <c r="Y6237">
        <v>0.13126840000000001</v>
      </c>
      <c r="Z6237">
        <v>-1.3639500000000001E-2</v>
      </c>
      <c r="AA6237">
        <v>0.99125300000000005</v>
      </c>
      <c r="AB6237">
        <v>15</v>
      </c>
      <c r="AC6237">
        <v>0.72399999999998899</v>
      </c>
      <c r="AD6237">
        <v>-0.14037369999999899</v>
      </c>
      <c r="AE6237">
        <v>-9.8400000000005095E-2</v>
      </c>
      <c r="AF6237">
        <v>0.10382436312297701</v>
      </c>
      <c r="AG6237">
        <v>-0.14037369999999899</v>
      </c>
      <c r="AH6237">
        <v>0.69695680680997196</v>
      </c>
      <c r="AI6237">
        <v>101.266469176645</v>
      </c>
      <c r="AJ6237">
        <v>81.527063073365994</v>
      </c>
      <c r="AK6237">
        <v>0.71849360789664196</v>
      </c>
      <c r="AL6237">
        <v>91.267648153603304</v>
      </c>
      <c r="AM6237">
        <v>88.181335374564398</v>
      </c>
      <c r="AN6237">
        <v>1.00000004149174</v>
      </c>
    </row>
    <row r="6238" spans="1:40" x14ac:dyDescent="0.25">
      <c r="A6238" t="str">
        <f>"20190312161142570"</f>
        <v>20190312161142570</v>
      </c>
      <c r="B6238" t="str">
        <f>"1552378302563746"</f>
        <v>1552378302563746</v>
      </c>
      <c r="C6238" t="s">
        <v>40</v>
      </c>
      <c r="D6238">
        <v>6.0523689999999997</v>
      </c>
      <c r="E6238">
        <v>0.54029609999999995</v>
      </c>
      <c r="F6238" t="s">
        <v>42</v>
      </c>
      <c r="G6238">
        <v>-250.21190000000001</v>
      </c>
      <c r="H6238">
        <v>0.98157950000000005</v>
      </c>
      <c r="I6238">
        <v>-63.88485</v>
      </c>
      <c r="J6238">
        <v>-250.86770000000001</v>
      </c>
      <c r="K6238">
        <v>1.1096900000000001</v>
      </c>
      <c r="L6238">
        <v>-63.795169999999999</v>
      </c>
      <c r="M6238">
        <v>0.99988069999999896</v>
      </c>
      <c r="N6238">
        <v>0</v>
      </c>
      <c r="O6238">
        <v>1.290907E-2</v>
      </c>
      <c r="P6238">
        <v>0.9993552</v>
      </c>
      <c r="Q6238">
        <v>-3.08171E-2</v>
      </c>
      <c r="R6238">
        <v>-1.8426270000000002E-2</v>
      </c>
      <c r="S6238">
        <v>2.9790649999999999</v>
      </c>
      <c r="T6238">
        <v>-0.52307380000000003</v>
      </c>
      <c r="U6238">
        <v>-0.36087039999999998</v>
      </c>
      <c r="V6238">
        <v>3.1329790000000003E-2</v>
      </c>
      <c r="W6238">
        <v>-2.2337030000000001E-2</v>
      </c>
      <c r="X6238">
        <v>0.99925949999999997</v>
      </c>
      <c r="Y6238">
        <v>0.13089310000000001</v>
      </c>
      <c r="Z6238">
        <v>-1.360535E-2</v>
      </c>
      <c r="AA6238">
        <v>0.99130309999999999</v>
      </c>
      <c r="AB6238">
        <v>15</v>
      </c>
      <c r="AC6238">
        <v>0.65579999999999905</v>
      </c>
      <c r="AD6238">
        <v>-0.12811049999999999</v>
      </c>
      <c r="AE6238">
        <v>-8.96800000000013E-2</v>
      </c>
      <c r="AF6238">
        <v>9.4594970503653703E-2</v>
      </c>
      <c r="AG6238">
        <v>-0.12811049999999999</v>
      </c>
      <c r="AH6238">
        <v>0.63095150461754701</v>
      </c>
      <c r="AI6238">
        <v>101.353953525923</v>
      </c>
      <c r="AJ6238">
        <v>81.473475589778403</v>
      </c>
      <c r="AK6238">
        <v>0.650738280596726</v>
      </c>
      <c r="AL6238">
        <v>91.279923965663599</v>
      </c>
      <c r="AM6238">
        <v>88.204193307925394</v>
      </c>
      <c r="AN6238">
        <v>1.00000002349545</v>
      </c>
    </row>
    <row r="6239" spans="1:40" x14ac:dyDescent="0.25">
      <c r="A6239" t="str">
        <f>"20190312161142581"</f>
        <v>20190312161142581</v>
      </c>
      <c r="B6239" t="str">
        <f>"1552378302573507"</f>
        <v>1552378302573507</v>
      </c>
      <c r="C6239" t="s">
        <v>40</v>
      </c>
      <c r="D6239">
        <v>6.030983</v>
      </c>
      <c r="E6239">
        <v>0.54029609999999995</v>
      </c>
      <c r="F6239" t="s">
        <v>42</v>
      </c>
      <c r="G6239">
        <v>-250.08430000000001</v>
      </c>
      <c r="H6239">
        <v>0.97192129999999999</v>
      </c>
      <c r="I6239">
        <v>-63.889470000000003</v>
      </c>
      <c r="J6239">
        <v>-250.79679999999999</v>
      </c>
      <c r="K6239">
        <v>1.1096889999999999</v>
      </c>
      <c r="L6239">
        <v>-63.794130000000003</v>
      </c>
      <c r="M6239">
        <v>0.99987950000000003</v>
      </c>
      <c r="N6239">
        <v>0</v>
      </c>
      <c r="O6239">
        <v>1.301852E-2</v>
      </c>
      <c r="P6239">
        <v>0.99936570000000002</v>
      </c>
      <c r="Q6239">
        <v>-3.0730480000000001E-2</v>
      </c>
      <c r="R6239">
        <v>-1.80027E-2</v>
      </c>
      <c r="S6239">
        <v>2.979187</v>
      </c>
      <c r="T6239">
        <v>-0.5239277</v>
      </c>
      <c r="U6239">
        <v>-0.35821530000000001</v>
      </c>
      <c r="V6239">
        <v>3.10157E-2</v>
      </c>
      <c r="W6239">
        <v>-2.226144E-2</v>
      </c>
      <c r="X6239">
        <v>0.99927100000000002</v>
      </c>
      <c r="Y6239">
        <v>0.13012870000000001</v>
      </c>
      <c r="Z6239">
        <v>-1.357996E-2</v>
      </c>
      <c r="AA6239">
        <v>0.99140410000000001</v>
      </c>
      <c r="AB6239">
        <v>15</v>
      </c>
      <c r="AC6239">
        <v>0.71249999999997704</v>
      </c>
      <c r="AD6239">
        <v>-0.13776769999999899</v>
      </c>
      <c r="AE6239">
        <v>-9.5339999999993097E-2</v>
      </c>
      <c r="AF6239">
        <v>0.100901849456455</v>
      </c>
      <c r="AG6239">
        <v>-0.13776769999999899</v>
      </c>
      <c r="AH6239">
        <v>0.686001727735564</v>
      </c>
      <c r="AI6239">
        <v>101.23770341577401</v>
      </c>
      <c r="AJ6239">
        <v>81.6325407493905</v>
      </c>
      <c r="AK6239">
        <v>0.70693669648929802</v>
      </c>
      <c r="AL6239">
        <v>91.275591881570406</v>
      </c>
      <c r="AM6239">
        <v>88.2222056124277</v>
      </c>
      <c r="AN6239">
        <v>1.0000000383991801</v>
      </c>
    </row>
    <row r="6240" spans="1:40" x14ac:dyDescent="0.25">
      <c r="A6240" t="str">
        <f>"20190312161142592"</f>
        <v>20190312161142592</v>
      </c>
      <c r="B6240" t="str">
        <f>"1552378302583266"</f>
        <v>1552378302583266</v>
      </c>
      <c r="C6240" t="s">
        <v>40</v>
      </c>
      <c r="D6240">
        <v>5.3721829999999997</v>
      </c>
      <c r="E6240">
        <v>0.53999779999999997</v>
      </c>
      <c r="F6240" t="s">
        <v>42</v>
      </c>
      <c r="G6240">
        <v>-250.07900000000001</v>
      </c>
      <c r="H6240">
        <v>0.9835024</v>
      </c>
      <c r="I6240">
        <v>-63.880249999999997</v>
      </c>
      <c r="J6240">
        <v>-250.72669999999999</v>
      </c>
      <c r="K6240">
        <v>1.109699</v>
      </c>
      <c r="L6240">
        <v>-63.793120000000002</v>
      </c>
      <c r="M6240">
        <v>0.99987820000000005</v>
      </c>
      <c r="N6240">
        <v>0</v>
      </c>
      <c r="O6240">
        <v>1.312759E-2</v>
      </c>
      <c r="P6240">
        <v>0.99936530000000001</v>
      </c>
      <c r="Q6240">
        <v>-3.087639E-2</v>
      </c>
      <c r="R6240">
        <v>-1.7768659999999999E-2</v>
      </c>
      <c r="S6240">
        <v>2.9793850000000002</v>
      </c>
      <c r="T6240">
        <v>-0.52370909999999904</v>
      </c>
      <c r="U6240">
        <v>-0.35696409999999901</v>
      </c>
      <c r="V6240">
        <v>3.0890939999999999E-2</v>
      </c>
      <c r="W6240">
        <v>-2.2417200000000002E-2</v>
      </c>
      <c r="X6240">
        <v>0.99927129999999997</v>
      </c>
      <c r="Y6240">
        <v>0.12982340000000001</v>
      </c>
      <c r="Z6240">
        <v>-1.356626E-2</v>
      </c>
      <c r="AA6240">
        <v>0.99144429999999995</v>
      </c>
      <c r="AB6240">
        <v>15</v>
      </c>
      <c r="AC6240">
        <v>0.64769999999998595</v>
      </c>
      <c r="AD6240">
        <v>-0.12619659999999999</v>
      </c>
      <c r="AE6240">
        <v>-8.71300000000019E-2</v>
      </c>
      <c r="AF6240">
        <v>9.2188106573110606E-2</v>
      </c>
      <c r="AG6240">
        <v>-0.12619659999999999</v>
      </c>
      <c r="AH6240">
        <v>0.62326074536156795</v>
      </c>
      <c r="AI6240">
        <v>101.32639252205701</v>
      </c>
      <c r="AJ6240">
        <v>81.586238466047305</v>
      </c>
      <c r="AK6240">
        <v>0.64255597853708601</v>
      </c>
      <c r="AL6240">
        <v>91.2845186053639</v>
      </c>
      <c r="AM6240">
        <v>88.229352722780007</v>
      </c>
      <c r="AN6240">
        <v>0.99999995601680502</v>
      </c>
    </row>
    <row r="6241" spans="1:40" x14ac:dyDescent="0.25">
      <c r="A6241" t="str">
        <f>"20190312161142602"</f>
        <v>20190312161142602</v>
      </c>
      <c r="B6241" t="str">
        <f>"1552378302594003"</f>
        <v>1552378302594003</v>
      </c>
      <c r="C6241" t="s">
        <v>40</v>
      </c>
      <c r="D6241">
        <v>6.3596380000000003</v>
      </c>
      <c r="E6241">
        <v>0.54016839999999999</v>
      </c>
      <c r="F6241" t="s">
        <v>42</v>
      </c>
      <c r="G6241">
        <v>-249.9512</v>
      </c>
      <c r="H6241">
        <v>0.97329200000000005</v>
      </c>
      <c r="I6241">
        <v>-63.885399999999997</v>
      </c>
      <c r="J6241">
        <v>-250.65170000000001</v>
      </c>
      <c r="K6241">
        <v>1.109699</v>
      </c>
      <c r="L6241">
        <v>-63.791989999999998</v>
      </c>
      <c r="M6241">
        <v>0.99987669999999995</v>
      </c>
      <c r="N6241">
        <v>0</v>
      </c>
      <c r="O6241">
        <v>1.3245069999999999E-2</v>
      </c>
      <c r="P6241">
        <v>0.99937089999999995</v>
      </c>
      <c r="Q6241">
        <v>-3.090621E-2</v>
      </c>
      <c r="R6241">
        <v>-1.740564E-2</v>
      </c>
      <c r="S6241">
        <v>2.9794309999999999</v>
      </c>
      <c r="T6241">
        <v>-0.52405310000000005</v>
      </c>
      <c r="U6241">
        <v>-0.3537903</v>
      </c>
      <c r="V6241">
        <v>3.0645349999999998E-2</v>
      </c>
      <c r="W6241">
        <v>-2.2457089999999999E-2</v>
      </c>
      <c r="X6241">
        <v>0.999278</v>
      </c>
      <c r="Y6241">
        <v>0.12890579999999999</v>
      </c>
      <c r="Z6241">
        <v>-1.351629E-2</v>
      </c>
      <c r="AA6241">
        <v>0.99156480000000002</v>
      </c>
      <c r="AB6241">
        <v>15</v>
      </c>
      <c r="AC6241">
        <v>0.70050000000000501</v>
      </c>
      <c r="AD6241">
        <v>-0.136406999999999</v>
      </c>
      <c r="AE6241">
        <v>-9.34099999999915E-2</v>
      </c>
      <c r="AF6241">
        <v>9.8992200872489805E-2</v>
      </c>
      <c r="AG6241">
        <v>-0.136406999999999</v>
      </c>
      <c r="AH6241">
        <v>0.67408713190589897</v>
      </c>
      <c r="AI6241">
        <v>101.32154292307899</v>
      </c>
      <c r="AJ6241">
        <v>81.645617189710194</v>
      </c>
      <c r="AK6241">
        <v>0.69483795728479003</v>
      </c>
      <c r="AL6241">
        <v>91.286804666110399</v>
      </c>
      <c r="AM6241">
        <v>88.243432687125605</v>
      </c>
      <c r="AN6241">
        <v>0.99999998982594496</v>
      </c>
    </row>
    <row r="6242" spans="1:40" x14ac:dyDescent="0.25">
      <c r="A6242" t="str">
        <f>"20190312161142615"</f>
        <v>20190312161142615</v>
      </c>
      <c r="B6242" t="str">
        <f>"1552378302603762"</f>
        <v>1552378302603762</v>
      </c>
      <c r="C6242" t="s">
        <v>40</v>
      </c>
      <c r="D6242">
        <v>6.1591820000000004</v>
      </c>
      <c r="E6242">
        <v>0.54016839999999999</v>
      </c>
      <c r="F6242" t="s">
        <v>42</v>
      </c>
      <c r="G6242">
        <v>-249.94560000000001</v>
      </c>
      <c r="H6242">
        <v>0.9853748</v>
      </c>
      <c r="I6242">
        <v>-63.876069999999999</v>
      </c>
      <c r="J6242">
        <v>-250.5727</v>
      </c>
      <c r="K6242">
        <v>1.1096999999999999</v>
      </c>
      <c r="L6242">
        <v>-63.790799999999997</v>
      </c>
      <c r="M6242">
        <v>0.99987510000000002</v>
      </c>
      <c r="N6242">
        <v>0</v>
      </c>
      <c r="O6242">
        <v>1.337005E-2</v>
      </c>
      <c r="P6242">
        <v>0.99937410000000004</v>
      </c>
      <c r="Q6242">
        <v>-3.0978200000000001E-2</v>
      </c>
      <c r="R6242">
        <v>-1.7099199999999998E-2</v>
      </c>
      <c r="S6242">
        <v>2.9795379999999998</v>
      </c>
      <c r="T6242">
        <v>-0.52458909999999903</v>
      </c>
      <c r="U6242">
        <v>-0.35397339999999999</v>
      </c>
      <c r="V6242">
        <v>3.0463730000000001E-2</v>
      </c>
      <c r="W6242">
        <v>-2.25384E-2</v>
      </c>
      <c r="X6242">
        <v>0.99928170000000005</v>
      </c>
      <c r="Y6242">
        <v>0.12907689999999999</v>
      </c>
      <c r="Z6242">
        <v>-1.356606E-2</v>
      </c>
      <c r="AA6242">
        <v>0.99154180000000003</v>
      </c>
      <c r="AB6242">
        <v>15</v>
      </c>
      <c r="AC6242">
        <v>0.627099999999984</v>
      </c>
      <c r="AD6242">
        <v>-0.124325199999999</v>
      </c>
      <c r="AE6242">
        <v>-8.5270000000001206E-2</v>
      </c>
      <c r="AF6242">
        <v>9.0167366949692795E-2</v>
      </c>
      <c r="AG6242">
        <v>-0.124325199999999</v>
      </c>
      <c r="AH6242">
        <v>0.60264696919886196</v>
      </c>
      <c r="AI6242">
        <v>101.53164500163</v>
      </c>
      <c r="AJ6242">
        <v>81.490591417792402</v>
      </c>
      <c r="AK6242">
        <v>0.62190857760787899</v>
      </c>
      <c r="AL6242">
        <v>91.291464594747495</v>
      </c>
      <c r="AM6242">
        <v>88.253842999754895</v>
      </c>
      <c r="AN6242">
        <v>0.99999996713748096</v>
      </c>
    </row>
    <row r="6243" spans="1:40" x14ac:dyDescent="0.25">
      <c r="A6243" t="str">
        <f>"20190312161142625"</f>
        <v>20190312161142625</v>
      </c>
      <c r="B6243" t="str">
        <f>"1552378302613522"</f>
        <v>1552378302613522</v>
      </c>
      <c r="C6243" t="s">
        <v>40</v>
      </c>
      <c r="D6243">
        <v>6.069007</v>
      </c>
      <c r="E6243">
        <v>0.54011600000000004</v>
      </c>
      <c r="F6243" t="s">
        <v>42</v>
      </c>
      <c r="G6243">
        <v>-249.8167</v>
      </c>
      <c r="H6243">
        <v>0.97654240000000003</v>
      </c>
      <c r="I6243">
        <v>-63.880560000000003</v>
      </c>
      <c r="J6243">
        <v>-250.50489999999999</v>
      </c>
      <c r="K6243">
        <v>1.1096999999999999</v>
      </c>
      <c r="L6243">
        <v>-63.789760000000001</v>
      </c>
      <c r="M6243">
        <v>0.99987380000000003</v>
      </c>
      <c r="N6243">
        <v>0</v>
      </c>
      <c r="O6243">
        <v>1.347726E-2</v>
      </c>
      <c r="P6243">
        <v>0.99937120000000002</v>
      </c>
      <c r="Q6243">
        <v>-3.1171830000000001E-2</v>
      </c>
      <c r="R6243">
        <v>-1.6894429999999998E-2</v>
      </c>
      <c r="S6243">
        <v>2.9795530000000001</v>
      </c>
      <c r="T6243">
        <v>-0.52478499999999995</v>
      </c>
      <c r="U6243">
        <v>-0.35305789999999998</v>
      </c>
      <c r="V6243">
        <v>3.0366540000000001E-2</v>
      </c>
      <c r="W6243">
        <v>-2.2739829999999999E-2</v>
      </c>
      <c r="X6243">
        <v>0.99928019999999995</v>
      </c>
      <c r="Y6243">
        <v>0.12888179999999999</v>
      </c>
      <c r="Z6243">
        <v>-1.3572910000000001E-2</v>
      </c>
      <c r="AA6243">
        <v>0.99156710000000003</v>
      </c>
      <c r="AB6243">
        <v>15</v>
      </c>
      <c r="AC6243">
        <v>0.68819999999999404</v>
      </c>
      <c r="AD6243">
        <v>-0.13315759999999899</v>
      </c>
      <c r="AE6243">
        <v>-9.0799999999994399E-2</v>
      </c>
      <c r="AF6243">
        <v>9.6515683394120894E-2</v>
      </c>
      <c r="AG6243">
        <v>-0.13315759999999899</v>
      </c>
      <c r="AH6243">
        <v>0.66253469713379398</v>
      </c>
      <c r="AI6243">
        <v>101.248373052245</v>
      </c>
      <c r="AJ6243">
        <v>81.711658427252402</v>
      </c>
      <c r="AK6243">
        <v>0.68264079022935797</v>
      </c>
      <c r="AL6243">
        <v>91.303008505588295</v>
      </c>
      <c r="AM6243">
        <v>88.259407810467494</v>
      </c>
      <c r="AN6243">
        <v>1.0000000723660101</v>
      </c>
    </row>
    <row r="6244" spans="1:40" x14ac:dyDescent="0.25">
      <c r="A6244" t="str">
        <f>"20190312161142635"</f>
        <v>20190312161142635</v>
      </c>
      <c r="B6244" t="str">
        <f>"1552378302623283"</f>
        <v>1552378302623283</v>
      </c>
      <c r="C6244" t="s">
        <v>40</v>
      </c>
      <c r="D6244">
        <v>6.0321899999999999</v>
      </c>
      <c r="E6244">
        <v>0.54025290000000004</v>
      </c>
      <c r="F6244" t="s">
        <v>42</v>
      </c>
      <c r="G6244">
        <v>-249.68819999999999</v>
      </c>
      <c r="H6244">
        <v>0.96539370000000002</v>
      </c>
      <c r="I6244">
        <v>-63.886479999999999</v>
      </c>
      <c r="J6244">
        <v>-250.43119999999999</v>
      </c>
      <c r="K6244">
        <v>1.1096999999999999</v>
      </c>
      <c r="L6244">
        <v>-63.788640000000001</v>
      </c>
      <c r="M6244">
        <v>0.99987219999999999</v>
      </c>
      <c r="N6244">
        <v>0</v>
      </c>
      <c r="O6244">
        <v>1.359431E-2</v>
      </c>
      <c r="P6244">
        <v>0.99938629999999995</v>
      </c>
      <c r="Q6244">
        <v>-3.072298E-2</v>
      </c>
      <c r="R6244">
        <v>-1.6837339999999999E-2</v>
      </c>
      <c r="S6244">
        <v>2.9795069999999999</v>
      </c>
      <c r="T6244">
        <v>-0.52649950000000001</v>
      </c>
      <c r="U6244">
        <v>-0.35211179999999997</v>
      </c>
      <c r="V6244">
        <v>3.0426479999999999E-2</v>
      </c>
      <c r="W6244">
        <v>-2.2298189999999999E-2</v>
      </c>
      <c r="X6244">
        <v>0.99928830000000002</v>
      </c>
      <c r="Y6244">
        <v>0.12867629999999999</v>
      </c>
      <c r="Z6244">
        <v>-1.3619529999999999E-2</v>
      </c>
      <c r="AA6244">
        <v>0.99159310000000001</v>
      </c>
      <c r="AB6244">
        <v>15</v>
      </c>
      <c r="AC6244">
        <v>0.742999999999994</v>
      </c>
      <c r="AD6244">
        <v>-0.144306299999999</v>
      </c>
      <c r="AE6244">
        <v>-9.7840000000005006E-2</v>
      </c>
      <c r="AF6244">
        <v>0.10407297753488</v>
      </c>
      <c r="AG6244">
        <v>-0.144306299999999</v>
      </c>
      <c r="AH6244">
        <v>0.71508660456763395</v>
      </c>
      <c r="AI6244">
        <v>101.293330279066</v>
      </c>
      <c r="AJ6244">
        <v>81.719369522740493</v>
      </c>
      <c r="AK6244">
        <v>0.73688828522696204</v>
      </c>
      <c r="AL6244">
        <v>91.277698018000095</v>
      </c>
      <c r="AM6244">
        <v>88.255988332632498</v>
      </c>
      <c r="AN6244">
        <v>1.0000000432396701</v>
      </c>
    </row>
    <row r="6245" spans="1:40" x14ac:dyDescent="0.25">
      <c r="A6245" t="str">
        <f>"20190312161142648"</f>
        <v>20190312161142648</v>
      </c>
      <c r="B6245" t="str">
        <f>"1552378302643778"</f>
        <v>1552378302643778</v>
      </c>
      <c r="C6245" t="s">
        <v>40</v>
      </c>
      <c r="D6245">
        <v>6.0261019999999998</v>
      </c>
      <c r="E6245">
        <v>0.54022720000000002</v>
      </c>
      <c r="F6245" t="s">
        <v>42</v>
      </c>
      <c r="G6245">
        <v>-249.68260000000001</v>
      </c>
      <c r="H6245">
        <v>0.97765820000000003</v>
      </c>
      <c r="I6245">
        <v>-63.877549999999999</v>
      </c>
      <c r="J6245">
        <v>-250.3621</v>
      </c>
      <c r="K6245">
        <v>1.1097030000000001</v>
      </c>
      <c r="L6245">
        <v>-63.787570000000002</v>
      </c>
      <c r="M6245">
        <v>0.9998707</v>
      </c>
      <c r="N6245">
        <v>0</v>
      </c>
      <c r="O6245">
        <v>1.370437E-2</v>
      </c>
      <c r="P6245">
        <v>0.99938340000000003</v>
      </c>
      <c r="Q6245">
        <v>-3.085887E-2</v>
      </c>
      <c r="R6245">
        <v>-1.6763099999999899E-2</v>
      </c>
      <c r="S6245">
        <v>2.9797060000000002</v>
      </c>
      <c r="T6245">
        <v>-0.52559690000000003</v>
      </c>
      <c r="U6245">
        <v>-0.35308840000000002</v>
      </c>
      <c r="V6245">
        <v>3.046215E-2</v>
      </c>
      <c r="W6245">
        <v>-2.2440709999999999E-2</v>
      </c>
      <c r="X6245">
        <v>0.99928399999999995</v>
      </c>
      <c r="Y6245">
        <v>0.12909789999999999</v>
      </c>
      <c r="Z6245">
        <v>-1.3651379999999999E-2</v>
      </c>
      <c r="AA6245">
        <v>0.99153789999999997</v>
      </c>
      <c r="AB6245">
        <v>15</v>
      </c>
      <c r="AC6245">
        <v>0.67949999999999</v>
      </c>
      <c r="AD6245">
        <v>-0.13204479999999999</v>
      </c>
      <c r="AE6245">
        <v>-8.9980000000004098E-2</v>
      </c>
      <c r="AF6245">
        <v>9.5731222559110193E-2</v>
      </c>
      <c r="AG6245">
        <v>-0.13204479999999999</v>
      </c>
      <c r="AH6245">
        <v>0.65393422318077699</v>
      </c>
      <c r="AI6245">
        <v>101.298590983721</v>
      </c>
      <c r="AJ6245">
        <v>81.6714733708625</v>
      </c>
      <c r="AK6245">
        <v>0.67396607067919101</v>
      </c>
      <c r="AL6245">
        <v>91.285865885402799</v>
      </c>
      <c r="AM6245">
        <v>88.253937524390096</v>
      </c>
      <c r="AN6245">
        <v>1.0000000203519599</v>
      </c>
    </row>
    <row r="6246" spans="1:40" x14ac:dyDescent="0.25">
      <c r="A6246" t="str">
        <f>"20190312161142659"</f>
        <v>20190312161142659</v>
      </c>
      <c r="B6246" t="str">
        <f>"1552378302653538"</f>
        <v>1552378302653538</v>
      </c>
      <c r="C6246" t="s">
        <v>40</v>
      </c>
      <c r="D6246">
        <v>6.1338249999999999</v>
      </c>
      <c r="E6246">
        <v>0.54016629999999999</v>
      </c>
      <c r="F6246" t="s">
        <v>42</v>
      </c>
      <c r="G6246">
        <v>-249.55330000000001</v>
      </c>
      <c r="H6246">
        <v>0.96719679999999997</v>
      </c>
      <c r="I6246">
        <v>-63.883540000000004</v>
      </c>
      <c r="J6246">
        <v>-250.27539999999999</v>
      </c>
      <c r="K6246">
        <v>1.109701</v>
      </c>
      <c r="L6246">
        <v>-63.786250000000003</v>
      </c>
      <c r="M6246">
        <v>0.9998688</v>
      </c>
      <c r="N6246">
        <v>0</v>
      </c>
      <c r="O6246">
        <v>1.3842510000000001E-2</v>
      </c>
      <c r="P6246">
        <v>0.99938930000000004</v>
      </c>
      <c r="Q6246">
        <v>-3.0841170000000001E-2</v>
      </c>
      <c r="R6246">
        <v>-1.6420110000000002E-2</v>
      </c>
      <c r="S6246">
        <v>2.9797210000000001</v>
      </c>
      <c r="T6246">
        <v>-0.52503319999999998</v>
      </c>
      <c r="U6246">
        <v>-0.3529968</v>
      </c>
      <c r="V6246">
        <v>3.0257490000000001E-2</v>
      </c>
      <c r="W6246">
        <v>-2.24303E-2</v>
      </c>
      <c r="X6246">
        <v>0.99929040000000002</v>
      </c>
      <c r="Y6246">
        <v>0.12920509999999999</v>
      </c>
      <c r="Z6246">
        <v>-1.367034E-2</v>
      </c>
      <c r="AA6246">
        <v>0.99152370000000001</v>
      </c>
      <c r="AB6246">
        <v>15</v>
      </c>
      <c r="AC6246">
        <v>0.72209999999998298</v>
      </c>
      <c r="AD6246">
        <v>-0.142504199999999</v>
      </c>
      <c r="AE6246">
        <v>-9.7290000000001001E-2</v>
      </c>
      <c r="AF6246">
        <v>0.103324401502265</v>
      </c>
      <c r="AG6246">
        <v>-0.142504199999999</v>
      </c>
      <c r="AH6246">
        <v>0.69413246214167801</v>
      </c>
      <c r="AI6246">
        <v>101.478466470624</v>
      </c>
      <c r="AJ6246">
        <v>81.533460617228101</v>
      </c>
      <c r="AK6246">
        <v>0.716102823596101</v>
      </c>
      <c r="AL6246">
        <v>91.285269352456496</v>
      </c>
      <c r="AM6246">
        <v>88.265672359916806</v>
      </c>
      <c r="AN6246">
        <v>0.99999996879567399</v>
      </c>
    </row>
    <row r="6247" spans="1:40" x14ac:dyDescent="0.25">
      <c r="A6247" t="str">
        <f>"20190312161142671"</f>
        <v>20190312161142671</v>
      </c>
      <c r="B6247" t="str">
        <f>"1552378302663298"</f>
        <v>1552378302663298</v>
      </c>
      <c r="C6247" t="s">
        <v>40</v>
      </c>
      <c r="D6247">
        <v>6.1834499999999997</v>
      </c>
      <c r="E6247">
        <v>0.54024380000000005</v>
      </c>
      <c r="F6247" t="s">
        <v>42</v>
      </c>
      <c r="G6247">
        <v>-249.54689999999999</v>
      </c>
      <c r="H6247">
        <v>0.98117010000000004</v>
      </c>
      <c r="I6247">
        <v>-63.87236</v>
      </c>
      <c r="J6247">
        <v>-250.1987</v>
      </c>
      <c r="K6247">
        <v>1.1097030000000001</v>
      </c>
      <c r="L6247">
        <v>-63.785029999999999</v>
      </c>
      <c r="M6247">
        <v>0.99986730000000001</v>
      </c>
      <c r="N6247">
        <v>0</v>
      </c>
      <c r="O6247">
        <v>1.396444E-2</v>
      </c>
      <c r="P6247">
        <v>0.99939619999999996</v>
      </c>
      <c r="Q6247">
        <v>-3.064329E-2</v>
      </c>
      <c r="R6247">
        <v>-1.6379049999999999E-2</v>
      </c>
      <c r="S6247">
        <v>2.9798279999999999</v>
      </c>
      <c r="T6247">
        <v>-0.52572669999999999</v>
      </c>
      <c r="U6247">
        <v>-0.3515625</v>
      </c>
      <c r="V6247">
        <v>3.0338219999999999E-2</v>
      </c>
      <c r="W6247">
        <v>-2.2238190000000001E-2</v>
      </c>
      <c r="X6247">
        <v>0.99929230000000002</v>
      </c>
      <c r="Y6247">
        <v>0.12884899999999999</v>
      </c>
      <c r="Z6247">
        <v>-1.367823E-2</v>
      </c>
      <c r="AA6247">
        <v>0.9915699</v>
      </c>
      <c r="AB6247">
        <v>15</v>
      </c>
      <c r="AC6247">
        <v>0.65180000000000804</v>
      </c>
      <c r="AD6247">
        <v>-0.12853290000000001</v>
      </c>
      <c r="AE6247">
        <v>-8.7329999999994301E-2</v>
      </c>
      <c r="AF6247">
        <v>9.2875889798413297E-2</v>
      </c>
      <c r="AG6247">
        <v>-0.12853290000000001</v>
      </c>
      <c r="AH6247">
        <v>0.62658096639424998</v>
      </c>
      <c r="AI6247">
        <v>101.470529406281</v>
      </c>
      <c r="AJ6247">
        <v>81.568639447271906</v>
      </c>
      <c r="AK6247">
        <v>0.64633609270704395</v>
      </c>
      <c r="AL6247">
        <v>91.274259444815399</v>
      </c>
      <c r="AM6247">
        <v>88.261051142538093</v>
      </c>
      <c r="AN6247">
        <v>1.0000000227632599</v>
      </c>
    </row>
    <row r="6248" spans="1:40" x14ac:dyDescent="0.25">
      <c r="A6248" t="str">
        <f>"20190312161142681"</f>
        <v>20190312161142681</v>
      </c>
      <c r="B6248" t="str">
        <f>"1552378302673060"</f>
        <v>1552378302673060</v>
      </c>
      <c r="C6248" t="s">
        <v>40</v>
      </c>
      <c r="D6248">
        <v>6.0777979999999996</v>
      </c>
      <c r="E6248">
        <v>0.54013650000000002</v>
      </c>
      <c r="F6248" t="s">
        <v>42</v>
      </c>
      <c r="G6248">
        <v>-249.41659999999999</v>
      </c>
      <c r="H6248">
        <v>0.97178039999999999</v>
      </c>
      <c r="I6248">
        <v>-63.877760000000002</v>
      </c>
      <c r="J6248">
        <v>-250.12090000000001</v>
      </c>
      <c r="K6248">
        <v>1.109704</v>
      </c>
      <c r="L6248">
        <v>-63.783810000000003</v>
      </c>
      <c r="M6248">
        <v>0.99986540000000002</v>
      </c>
      <c r="N6248">
        <v>0</v>
      </c>
      <c r="O6248">
        <v>1.408832E-2</v>
      </c>
      <c r="P6248">
        <v>0.99939940000000005</v>
      </c>
      <c r="Q6248">
        <v>-3.0635030000000001E-2</v>
      </c>
      <c r="R6248">
        <v>-1.6196260000000001E-2</v>
      </c>
      <c r="S6248">
        <v>2.9799349999999998</v>
      </c>
      <c r="T6248">
        <v>-0.52540450000000005</v>
      </c>
      <c r="U6248">
        <v>-0.35211179999999997</v>
      </c>
      <c r="V6248">
        <v>3.027962E-2</v>
      </c>
      <c r="W6248">
        <v>-2.2235410000000001E-2</v>
      </c>
      <c r="X6248">
        <v>0.99929409999999996</v>
      </c>
      <c r="Y6248">
        <v>0.12914439999999999</v>
      </c>
      <c r="Z6248">
        <v>-1.371672E-2</v>
      </c>
      <c r="AA6248">
        <v>0.99153089999999999</v>
      </c>
      <c r="AB6248">
        <v>15</v>
      </c>
      <c r="AC6248">
        <v>0.70430000000001702</v>
      </c>
      <c r="AD6248">
        <v>-0.13792360000000001</v>
      </c>
      <c r="AE6248">
        <v>-9.3949999999999506E-2</v>
      </c>
      <c r="AF6248">
        <v>0.100092040472911</v>
      </c>
      <c r="AG6248">
        <v>-0.13792360000000001</v>
      </c>
      <c r="AH6248">
        <v>0.67738318665243902</v>
      </c>
      <c r="AI6248">
        <v>101.388433936768</v>
      </c>
      <c r="AJ6248">
        <v>81.594636488217006</v>
      </c>
      <c r="AK6248">
        <v>0.69849074264617395</v>
      </c>
      <c r="AL6248">
        <v>91.274100173101104</v>
      </c>
      <c r="AM6248">
        <v>88.264411089336505</v>
      </c>
      <c r="AN6248">
        <v>0.99999998357001096</v>
      </c>
    </row>
    <row r="6249" spans="1:40" x14ac:dyDescent="0.25">
      <c r="A6249" t="str">
        <f>"20190312161142695"</f>
        <v>20190312161142695</v>
      </c>
      <c r="B6249" t="str">
        <f>"1552378302683794"</f>
        <v>1552378302683794</v>
      </c>
      <c r="C6249" t="s">
        <v>40</v>
      </c>
      <c r="D6249">
        <v>6.0651769999999896</v>
      </c>
      <c r="E6249">
        <v>0.54013650000000002</v>
      </c>
      <c r="F6249" t="s">
        <v>42</v>
      </c>
      <c r="G6249">
        <v>-249.41069999999999</v>
      </c>
      <c r="H6249">
        <v>0.98448630000000004</v>
      </c>
      <c r="I6249">
        <v>-63.867660000000001</v>
      </c>
      <c r="J6249">
        <v>-250.03649999999999</v>
      </c>
      <c r="K6249">
        <v>1.109702</v>
      </c>
      <c r="L6249">
        <v>-63.782440000000001</v>
      </c>
      <c r="M6249">
        <v>0.99986359999999996</v>
      </c>
      <c r="N6249">
        <v>0</v>
      </c>
      <c r="O6249">
        <v>1.42224E-2</v>
      </c>
      <c r="P6249">
        <v>0.99940609999999996</v>
      </c>
      <c r="Q6249">
        <v>-3.0496869999999999E-2</v>
      </c>
      <c r="R6249">
        <v>-1.60451E-2</v>
      </c>
      <c r="S6249">
        <v>2.9799959999999999</v>
      </c>
      <c r="T6249">
        <v>-0.52538359999999995</v>
      </c>
      <c r="U6249">
        <v>-0.35055540000000002</v>
      </c>
      <c r="V6249">
        <v>3.026247E-2</v>
      </c>
      <c r="W6249">
        <v>-2.210235E-2</v>
      </c>
      <c r="X6249">
        <v>0.99929760000000001</v>
      </c>
      <c r="Y6249">
        <v>0.12876799999999999</v>
      </c>
      <c r="Z6249">
        <v>-1.3706879999999999E-2</v>
      </c>
      <c r="AA6249">
        <v>0.99158000000000002</v>
      </c>
      <c r="AB6249">
        <v>15</v>
      </c>
      <c r="AC6249">
        <v>0.62579999999999802</v>
      </c>
      <c r="AD6249">
        <v>-0.12521569999999899</v>
      </c>
      <c r="AE6249">
        <v>-8.5219999999999602E-2</v>
      </c>
      <c r="AF6249">
        <v>9.0552742805927594E-2</v>
      </c>
      <c r="AG6249">
        <v>-0.12521569999999899</v>
      </c>
      <c r="AH6249">
        <v>0.60090503474722701</v>
      </c>
      <c r="AI6249">
        <v>101.642962184561</v>
      </c>
      <c r="AJ6249">
        <v>81.430353846148094</v>
      </c>
      <c r="AK6249">
        <v>0.62045598678772695</v>
      </c>
      <c r="AL6249">
        <v>91.266474486247802</v>
      </c>
      <c r="AM6249">
        <v>88.265399576261999</v>
      </c>
      <c r="AN6249">
        <v>1.0000000121658901</v>
      </c>
    </row>
    <row r="6250" spans="1:40" x14ac:dyDescent="0.25">
      <c r="A6250" t="str">
        <f>"20190312161142708"</f>
        <v>20190312161142708</v>
      </c>
      <c r="B6250" t="str">
        <f>"1552378302703314"</f>
        <v>1552378302703314</v>
      </c>
      <c r="C6250" t="s">
        <v>40</v>
      </c>
      <c r="D6250">
        <v>6.2801920000000004</v>
      </c>
      <c r="E6250">
        <v>0.55752369999999996</v>
      </c>
      <c r="F6250" t="s">
        <v>42</v>
      </c>
      <c r="G6250">
        <v>-249.27940000000001</v>
      </c>
      <c r="H6250">
        <v>0.97628870000000001</v>
      </c>
      <c r="I6250">
        <v>-63.87135</v>
      </c>
      <c r="J6250">
        <v>-249.95269999999999</v>
      </c>
      <c r="K6250">
        <v>1.109702</v>
      </c>
      <c r="L6250">
        <v>-63.781129999999997</v>
      </c>
      <c r="M6250">
        <v>0.99986180000000002</v>
      </c>
      <c r="N6250">
        <v>0</v>
      </c>
      <c r="O6250">
        <v>1.4355339999999999E-2</v>
      </c>
      <c r="P6250">
        <v>0.99941610000000003</v>
      </c>
      <c r="Q6250">
        <v>-3.018639E-2</v>
      </c>
      <c r="R6250">
        <v>-1.601605E-2</v>
      </c>
      <c r="S6250">
        <v>2.9801329999999999</v>
      </c>
      <c r="T6250">
        <v>-0.52519700000000002</v>
      </c>
      <c r="U6250">
        <v>-0.34985349999999998</v>
      </c>
      <c r="V6250">
        <v>3.0366310000000001E-2</v>
      </c>
      <c r="W6250">
        <v>-2.1796570000000001E-2</v>
      </c>
      <c r="X6250">
        <v>0.99930110000000005</v>
      </c>
      <c r="Y6250">
        <v>0.12866530000000001</v>
      </c>
      <c r="Z6250">
        <v>-1.371589E-2</v>
      </c>
      <c r="AA6250">
        <v>0.99159319999999895</v>
      </c>
      <c r="AB6250">
        <v>15</v>
      </c>
      <c r="AC6250">
        <v>0.67329999999998302</v>
      </c>
      <c r="AD6250">
        <v>-0.13341330000000001</v>
      </c>
      <c r="AE6250">
        <v>-9.0219999999994999E-2</v>
      </c>
      <c r="AF6250">
        <v>9.6167296845600006E-2</v>
      </c>
      <c r="AG6250">
        <v>-0.13341330000000001</v>
      </c>
      <c r="AH6250">
        <v>0.64698120845880602</v>
      </c>
      <c r="AI6250">
        <v>101.528371042863</v>
      </c>
      <c r="AJ6250">
        <v>81.545456273548098</v>
      </c>
      <c r="AK6250">
        <v>0.667556695493571</v>
      </c>
      <c r="AL6250">
        <v>91.248950443881995</v>
      </c>
      <c r="AM6250">
        <v>88.259457366973805</v>
      </c>
      <c r="AN6250">
        <v>0.99999994585399399</v>
      </c>
    </row>
    <row r="6251" spans="1:40" x14ac:dyDescent="0.25">
      <c r="A6251" t="str">
        <f>"20190312161142719"</f>
        <v>20190312161142719</v>
      </c>
      <c r="B6251" t="str">
        <f>"1552378302714052"</f>
        <v>1552378302714052</v>
      </c>
      <c r="C6251" t="s">
        <v>40</v>
      </c>
      <c r="D6251">
        <v>6.1791419999999997</v>
      </c>
      <c r="E6251">
        <v>0.54381829999999998</v>
      </c>
      <c r="F6251" t="s">
        <v>42</v>
      </c>
      <c r="G6251">
        <v>-249.18620000000001</v>
      </c>
      <c r="H6251">
        <v>0.87874589999999997</v>
      </c>
      <c r="I6251">
        <v>-63.90343</v>
      </c>
      <c r="J6251">
        <v>-249.87010000000001</v>
      </c>
      <c r="K6251">
        <v>1.109704</v>
      </c>
      <c r="L6251">
        <v>-63.779789999999998</v>
      </c>
      <c r="M6251">
        <v>0.99985999999999997</v>
      </c>
      <c r="N6251">
        <v>0</v>
      </c>
      <c r="O6251">
        <v>1.4486260000000001E-2</v>
      </c>
      <c r="P6251">
        <v>0.99941959999999996</v>
      </c>
      <c r="Q6251">
        <v>-3.001624E-2</v>
      </c>
      <c r="R6251">
        <v>-1.6122790000000001E-2</v>
      </c>
      <c r="S6251">
        <v>2.9671940000000001</v>
      </c>
      <c r="T6251">
        <v>-0.89409530000000004</v>
      </c>
      <c r="U6251">
        <v>-0.47222900000000001</v>
      </c>
      <c r="V6251">
        <v>3.0603729999999999E-2</v>
      </c>
      <c r="W6251">
        <v>-2.1630469999999999E-2</v>
      </c>
      <c r="X6251">
        <v>0.99929749999999995</v>
      </c>
      <c r="Y6251">
        <v>0.16373389999999999</v>
      </c>
      <c r="Z6251">
        <v>-2.82378E-2</v>
      </c>
      <c r="AA6251">
        <v>0.98610030000000004</v>
      </c>
      <c r="AB6251">
        <v>15</v>
      </c>
      <c r="AC6251">
        <v>0.68389999999999396</v>
      </c>
      <c r="AD6251">
        <v>-0.230958099999999</v>
      </c>
      <c r="AE6251">
        <v>-0.123640000000001</v>
      </c>
      <c r="AF6251">
        <v>0.120254053096672</v>
      </c>
      <c r="AG6251">
        <v>-0.230958099999999</v>
      </c>
      <c r="AH6251">
        <v>0.61420612858080104</v>
      </c>
      <c r="AI6251">
        <v>110.25510582562001</v>
      </c>
      <c r="AJ6251">
        <v>78.922314527151798</v>
      </c>
      <c r="AK6251">
        <v>0.66712206501359494</v>
      </c>
      <c r="AL6251">
        <v>91.239431328375701</v>
      </c>
      <c r="AM6251">
        <v>88.245851030440804</v>
      </c>
      <c r="AN6251">
        <v>0.99999997951429098</v>
      </c>
    </row>
    <row r="6252" spans="1:40" x14ac:dyDescent="0.25">
      <c r="A6252" t="str">
        <f>"20190312161142734"</f>
        <v>20190312161142734</v>
      </c>
      <c r="B6252" t="str">
        <f>"1552378302723810"</f>
        <v>1552378302723810</v>
      </c>
      <c r="C6252" t="s">
        <v>40</v>
      </c>
      <c r="D6252">
        <v>6.0998130000000002</v>
      </c>
      <c r="E6252">
        <v>0.54333679999999995</v>
      </c>
      <c r="F6252" t="s">
        <v>42</v>
      </c>
      <c r="G6252">
        <v>-249.1542</v>
      </c>
      <c r="H6252">
        <v>0.95471050000000002</v>
      </c>
      <c r="I6252">
        <v>-63.870010000000001</v>
      </c>
      <c r="J6252">
        <v>-249.77170000000001</v>
      </c>
      <c r="K6252">
        <v>1.1097060000000001</v>
      </c>
      <c r="L6252">
        <v>-63.778199999999998</v>
      </c>
      <c r="M6252">
        <v>0.99985769999999996</v>
      </c>
      <c r="N6252">
        <v>0</v>
      </c>
      <c r="O6252">
        <v>1.4641909999999999E-2</v>
      </c>
      <c r="P6252">
        <v>0.9994265</v>
      </c>
      <c r="Q6252">
        <v>-2.9795200000000001E-2</v>
      </c>
      <c r="R6252">
        <v>-1.610207E-2</v>
      </c>
      <c r="S6252">
        <v>2.9763790000000001</v>
      </c>
      <c r="T6252">
        <v>-0.64438869999999904</v>
      </c>
      <c r="U6252">
        <v>-0.37380980000000003</v>
      </c>
      <c r="V6252">
        <v>3.0738720000000001E-2</v>
      </c>
      <c r="W6252">
        <v>-2.1413660000000001E-2</v>
      </c>
      <c r="X6252">
        <v>0.99929800000000002</v>
      </c>
      <c r="Y6252">
        <v>0.13569700000000001</v>
      </c>
      <c r="Z6252">
        <v>-1.7588699999999999E-2</v>
      </c>
      <c r="AA6252">
        <v>0.99059430000000004</v>
      </c>
      <c r="AB6252">
        <v>15</v>
      </c>
      <c r="AC6252">
        <v>0.61750000000000604</v>
      </c>
      <c r="AD6252">
        <v>-0.15499549999999901</v>
      </c>
      <c r="AE6252">
        <v>-9.1810000000002404E-2</v>
      </c>
      <c r="AF6252">
        <v>9.4986790539344598E-2</v>
      </c>
      <c r="AG6252">
        <v>-0.15499549999999901</v>
      </c>
      <c r="AH6252">
        <v>0.58031819031589105</v>
      </c>
      <c r="AI6252">
        <v>104.766158091581</v>
      </c>
      <c r="AJ6252">
        <v>80.704226712808193</v>
      </c>
      <c r="AK6252">
        <v>0.60812440948273605</v>
      </c>
      <c r="AL6252">
        <v>91.227006184344106</v>
      </c>
      <c r="AM6252">
        <v>88.238119401363505</v>
      </c>
      <c r="AN6252">
        <v>0.99999995327291602</v>
      </c>
    </row>
    <row r="6253" spans="1:40" x14ac:dyDescent="0.25">
      <c r="A6253" t="str">
        <f>"20190312161142746"</f>
        <v>20190312161142746</v>
      </c>
      <c r="B6253" t="str">
        <f>"1552378302733570"</f>
        <v>1552378302733570</v>
      </c>
      <c r="C6253" t="s">
        <v>40</v>
      </c>
      <c r="D6253">
        <v>6.1773439999999997</v>
      </c>
      <c r="E6253">
        <v>0.54240059999999901</v>
      </c>
      <c r="F6253" t="s">
        <v>42</v>
      </c>
      <c r="G6253">
        <v>-249.01730000000001</v>
      </c>
      <c r="H6253">
        <v>0.95566180000000001</v>
      </c>
      <c r="I6253">
        <v>-63.872570000000003</v>
      </c>
      <c r="J6253">
        <v>-249.69370000000001</v>
      </c>
      <c r="K6253">
        <v>1.1097049999999999</v>
      </c>
      <c r="L6253">
        <v>-63.776890000000002</v>
      </c>
      <c r="M6253">
        <v>0.99985610000000003</v>
      </c>
      <c r="N6253">
        <v>0</v>
      </c>
      <c r="O6253">
        <v>1.4765250000000001E-2</v>
      </c>
      <c r="P6253">
        <v>0.99942600000000004</v>
      </c>
      <c r="Q6253">
        <v>-2.9797830000000001E-2</v>
      </c>
      <c r="R6253">
        <v>-1.6127200000000001E-2</v>
      </c>
      <c r="S6253">
        <v>2.9775999999999998</v>
      </c>
      <c r="T6253">
        <v>-0.60800169999999998</v>
      </c>
      <c r="U6253">
        <v>-0.3718262</v>
      </c>
      <c r="V6253">
        <v>3.0887209999999998E-2</v>
      </c>
      <c r="W6253">
        <v>-2.1419669999999998E-2</v>
      </c>
      <c r="X6253">
        <v>0.99929330000000005</v>
      </c>
      <c r="Y6253">
        <v>0.1354957</v>
      </c>
      <c r="Z6253">
        <v>-1.6614569999999999E-2</v>
      </c>
      <c r="AA6253">
        <v>0.99063860000000004</v>
      </c>
      <c r="AB6253">
        <v>15</v>
      </c>
      <c r="AC6253">
        <v>0.676400000000001</v>
      </c>
      <c r="AD6253">
        <v>-0.15404319999999899</v>
      </c>
      <c r="AE6253">
        <v>-9.5679999999994395E-2</v>
      </c>
      <c r="AF6253">
        <v>0.100544640991873</v>
      </c>
      <c r="AG6253">
        <v>-0.15404319999999899</v>
      </c>
      <c r="AH6253">
        <v>0.64225605032134403</v>
      </c>
      <c r="AI6253">
        <v>103.330977094101</v>
      </c>
      <c r="AJ6253">
        <v>81.102609871624907</v>
      </c>
      <c r="AK6253">
        <v>0.66808035929280096</v>
      </c>
      <c r="AL6253">
        <v>91.227350601858802</v>
      </c>
      <c r="AM6253">
        <v>88.2296053400012</v>
      </c>
      <c r="AN6253">
        <v>0.99999996071468999</v>
      </c>
    </row>
    <row r="6254" spans="1:40" x14ac:dyDescent="0.25">
      <c r="A6254" t="str">
        <f>"20190312161142756"</f>
        <v>20190312161142756</v>
      </c>
      <c r="B6254" t="str">
        <f>"1552378302743331"</f>
        <v>1552378302743331</v>
      </c>
      <c r="C6254" t="s">
        <v>40</v>
      </c>
      <c r="D6254">
        <v>6.1304349999999896</v>
      </c>
      <c r="E6254">
        <v>0.54184089999999996</v>
      </c>
      <c r="F6254" t="s">
        <v>42</v>
      </c>
      <c r="G6254">
        <v>-248.88319999999999</v>
      </c>
      <c r="H6254">
        <v>0.94982290000000003</v>
      </c>
      <c r="I6254">
        <v>-63.876480000000001</v>
      </c>
      <c r="J6254">
        <v>-249.62039999999999</v>
      </c>
      <c r="K6254">
        <v>1.109699</v>
      </c>
      <c r="L6254">
        <v>-63.775700000000001</v>
      </c>
      <c r="M6254">
        <v>0.99985429999999997</v>
      </c>
      <c r="N6254">
        <v>0</v>
      </c>
      <c r="O6254">
        <v>1.488072E-2</v>
      </c>
      <c r="P6254">
        <v>0.9994265</v>
      </c>
      <c r="Q6254">
        <v>-2.9841409999999999E-2</v>
      </c>
      <c r="R6254">
        <v>-1.6004029999999999E-2</v>
      </c>
      <c r="S6254">
        <v>2.9783170000000001</v>
      </c>
      <c r="T6254">
        <v>-0.58749499999999999</v>
      </c>
      <c r="U6254">
        <v>-0.36532589999999998</v>
      </c>
      <c r="V6254">
        <v>3.0879500000000001E-2</v>
      </c>
      <c r="W6254">
        <v>-2.1467420000000001E-2</v>
      </c>
      <c r="X6254">
        <v>0.99929259999999998</v>
      </c>
      <c r="Y6254">
        <v>0.13368440000000001</v>
      </c>
      <c r="Z6254">
        <v>-1.5909349999999999E-2</v>
      </c>
      <c r="AA6254">
        <v>0.9908962</v>
      </c>
      <c r="AB6254">
        <v>15</v>
      </c>
      <c r="AC6254">
        <v>0.73720000000000097</v>
      </c>
      <c r="AD6254">
        <v>-0.15987609999999999</v>
      </c>
      <c r="AE6254">
        <v>-0.100780000000007</v>
      </c>
      <c r="AF6254">
        <v>0.106808020304149</v>
      </c>
      <c r="AG6254">
        <v>-0.15987609999999999</v>
      </c>
      <c r="AH6254">
        <v>0.703154366745805</v>
      </c>
      <c r="AI6254">
        <v>102.669002409445</v>
      </c>
      <c r="AJ6254">
        <v>81.362887535613694</v>
      </c>
      <c r="AK6254">
        <v>0.72896802675165095</v>
      </c>
      <c r="AL6254">
        <v>91.2300869984782</v>
      </c>
      <c r="AM6254">
        <v>88.230045741986402</v>
      </c>
      <c r="AN6254">
        <v>1.00000004702823</v>
      </c>
    </row>
    <row r="6255" spans="1:40" x14ac:dyDescent="0.25">
      <c r="A6255" t="str">
        <f>"20190312161142768"</f>
        <v>20190312161142768</v>
      </c>
      <c r="B6255" t="str">
        <f>"1552378302763395"</f>
        <v>1552378302763395</v>
      </c>
      <c r="C6255" t="s">
        <v>40</v>
      </c>
      <c r="D6255">
        <v>6.07456</v>
      </c>
      <c r="E6255">
        <v>0.54142239999999997</v>
      </c>
      <c r="F6255" t="s">
        <v>42</v>
      </c>
      <c r="G6255">
        <v>-248.876</v>
      </c>
      <c r="H6255">
        <v>0.9657346</v>
      </c>
      <c r="I6255">
        <v>-63.866120000000002</v>
      </c>
      <c r="J6255">
        <v>-249.5419</v>
      </c>
      <c r="K6255">
        <v>1.1096950000000001</v>
      </c>
      <c r="L6255">
        <v>-63.774410000000003</v>
      </c>
      <c r="M6255">
        <v>0.99985250000000003</v>
      </c>
      <c r="N6255">
        <v>0</v>
      </c>
      <c r="O6255">
        <v>1.5004419999999999E-2</v>
      </c>
      <c r="P6255">
        <v>0.99942989999999998</v>
      </c>
      <c r="Q6255">
        <v>-2.9724770000000001E-2</v>
      </c>
      <c r="R6255">
        <v>-1.6019269999999999E-2</v>
      </c>
      <c r="S6255">
        <v>2.978745</v>
      </c>
      <c r="T6255">
        <v>-0.57602779999999998</v>
      </c>
      <c r="U6255">
        <v>-0.3611145</v>
      </c>
      <c r="V6255">
        <v>3.101829E-2</v>
      </c>
      <c r="W6255">
        <v>-2.1355909999999999E-2</v>
      </c>
      <c r="X6255">
        <v>0.99929060000000003</v>
      </c>
      <c r="Y6255">
        <v>0.1325363</v>
      </c>
      <c r="Z6255">
        <v>-1.551759E-2</v>
      </c>
      <c r="AA6255">
        <v>0.99105670000000001</v>
      </c>
      <c r="AB6255">
        <v>15</v>
      </c>
      <c r="AC6255">
        <v>0.66590000000002103</v>
      </c>
      <c r="AD6255">
        <v>-0.14396039999999999</v>
      </c>
      <c r="AE6255">
        <v>-9.1709999999999001E-2</v>
      </c>
      <c r="AF6255">
        <v>9.7231667666003899E-2</v>
      </c>
      <c r="AG6255">
        <v>-0.14396039999999999</v>
      </c>
      <c r="AH6255">
        <v>0.63530873411879696</v>
      </c>
      <c r="AI6255">
        <v>102.625346580927</v>
      </c>
      <c r="AJ6255">
        <v>81.298610288946193</v>
      </c>
      <c r="AK6255">
        <v>0.65863174962409798</v>
      </c>
      <c r="AL6255">
        <v>91.223696592467306</v>
      </c>
      <c r="AM6255">
        <v>88.222092101074196</v>
      </c>
      <c r="AN6255">
        <v>0.99999995622740501</v>
      </c>
    </row>
    <row r="6256" spans="1:40" x14ac:dyDescent="0.25">
      <c r="A6256" t="str">
        <f>"20190312161142779"</f>
        <v>20190312161142779</v>
      </c>
      <c r="B6256" t="str">
        <f>"1552378302773155"</f>
        <v>1552378302773155</v>
      </c>
      <c r="C6256" t="s">
        <v>40</v>
      </c>
      <c r="D6256">
        <v>6.0195699999999999</v>
      </c>
      <c r="E6256">
        <v>0.54154409999999997</v>
      </c>
      <c r="F6256" t="s">
        <v>42</v>
      </c>
      <c r="G6256">
        <v>-248.74180000000001</v>
      </c>
      <c r="H6256">
        <v>0.95894049999999997</v>
      </c>
      <c r="I6256">
        <v>-63.870800000000003</v>
      </c>
      <c r="J6256">
        <v>-249.45869999999999</v>
      </c>
      <c r="K6256">
        <v>1.1096919999999999</v>
      </c>
      <c r="L6256">
        <v>-63.772979999999997</v>
      </c>
      <c r="M6256">
        <v>0.99985060000000003</v>
      </c>
      <c r="N6256">
        <v>0</v>
      </c>
      <c r="O6256">
        <v>1.513565E-2</v>
      </c>
      <c r="P6256">
        <v>0.99942629999999999</v>
      </c>
      <c r="Q6256">
        <v>-2.983328E-2</v>
      </c>
      <c r="R6256">
        <v>-1.6028359999999998E-2</v>
      </c>
      <c r="S6256">
        <v>2.979279</v>
      </c>
      <c r="T6256">
        <v>-0.56129300000000004</v>
      </c>
      <c r="U6256">
        <v>-0.35830689999999998</v>
      </c>
      <c r="V6256">
        <v>3.115853E-2</v>
      </c>
      <c r="W6256">
        <v>-2.147143E-2</v>
      </c>
      <c r="X6256">
        <v>0.99928380000000006</v>
      </c>
      <c r="Y6256">
        <v>0.13186929999999999</v>
      </c>
      <c r="Z6256">
        <v>-1.508808E-2</v>
      </c>
      <c r="AA6256">
        <v>0.99115229999999999</v>
      </c>
      <c r="AB6256">
        <v>15</v>
      </c>
      <c r="AC6256">
        <v>0.716899999999981</v>
      </c>
      <c r="AD6256">
        <v>-0.15075149999999901</v>
      </c>
      <c r="AE6256">
        <v>-9.7819999999998603E-2</v>
      </c>
      <c r="AF6256">
        <v>0.10413918642306499</v>
      </c>
      <c r="AG6256">
        <v>-0.15075149999999901</v>
      </c>
      <c r="AH6256">
        <v>0.68557605976821501</v>
      </c>
      <c r="AI6256">
        <v>102.265057771719</v>
      </c>
      <c r="AJ6256">
        <v>81.362782749900106</v>
      </c>
      <c r="AK6256">
        <v>0.70963759668468696</v>
      </c>
      <c r="AL6256">
        <v>91.230316872001396</v>
      </c>
      <c r="AM6256">
        <v>88.214046866468607</v>
      </c>
      <c r="AN6256">
        <v>0.99999999462022204</v>
      </c>
    </row>
    <row r="6257" spans="1:40" x14ac:dyDescent="0.25">
      <c r="A6257" t="str">
        <f>"20190312161142791"</f>
        <v>20190312161142791</v>
      </c>
      <c r="B6257" t="str">
        <f>"1552378302783892"</f>
        <v>1552378302783892</v>
      </c>
      <c r="C6257" t="s">
        <v>40</v>
      </c>
      <c r="D6257">
        <v>6.2291169999999996</v>
      </c>
      <c r="E6257">
        <v>0.54154409999999997</v>
      </c>
      <c r="F6257" t="s">
        <v>42</v>
      </c>
      <c r="G6257">
        <v>-248.7346</v>
      </c>
      <c r="H6257">
        <v>0.9746243</v>
      </c>
      <c r="I6257">
        <v>-63.860529999999997</v>
      </c>
      <c r="J6257">
        <v>-249.38040000000001</v>
      </c>
      <c r="K6257">
        <v>1.1096950000000001</v>
      </c>
      <c r="L6257">
        <v>-63.771669999999901</v>
      </c>
      <c r="M6257">
        <v>0.99984879999999998</v>
      </c>
      <c r="N6257">
        <v>0</v>
      </c>
      <c r="O6257">
        <v>1.525876E-2</v>
      </c>
      <c r="P6257">
        <v>0.99943380000000004</v>
      </c>
      <c r="Q6257">
        <v>-2.9693879999999999E-2</v>
      </c>
      <c r="R6257">
        <v>-1.5838399999999999E-2</v>
      </c>
      <c r="S6257">
        <v>2.9793699999999999</v>
      </c>
      <c r="T6257">
        <v>-0.55575419999999998</v>
      </c>
      <c r="U6257">
        <v>-0.35958859999999998</v>
      </c>
      <c r="V6257">
        <v>3.1091580000000001E-2</v>
      </c>
      <c r="W6257">
        <v>-2.1339230000000001E-2</v>
      </c>
      <c r="X6257">
        <v>0.99928870000000003</v>
      </c>
      <c r="Y6257">
        <v>0.13244610000000001</v>
      </c>
      <c r="Z6257">
        <v>-1.5016720000000001E-2</v>
      </c>
      <c r="AA6257">
        <v>0.99107650000000003</v>
      </c>
      <c r="AB6257">
        <v>15</v>
      </c>
      <c r="AC6257">
        <v>0.64580000000000803</v>
      </c>
      <c r="AD6257">
        <v>-0.13507069999999999</v>
      </c>
      <c r="AE6257">
        <v>-8.8860000000011E-2</v>
      </c>
      <c r="AF6257">
        <v>9.46409817559907E-2</v>
      </c>
      <c r="AG6257">
        <v>-0.13507069999999999</v>
      </c>
      <c r="AH6257">
        <v>0.61784363516066898</v>
      </c>
      <c r="AI6257">
        <v>102.19387654747899</v>
      </c>
      <c r="AJ6257">
        <v>81.291154528255305</v>
      </c>
      <c r="AK6257">
        <v>0.639477729819247</v>
      </c>
      <c r="AL6257">
        <v>91.222740654950798</v>
      </c>
      <c r="AM6257">
        <v>88.217890580605001</v>
      </c>
      <c r="AN6257">
        <v>0.99999997751578895</v>
      </c>
    </row>
    <row r="6258" spans="1:40" x14ac:dyDescent="0.25">
      <c r="A6258" t="str">
        <f>"20190312161142801"</f>
        <v>20190312161142801</v>
      </c>
      <c r="B6258" t="str">
        <f>"1552378302793651"</f>
        <v>1552378302793651</v>
      </c>
      <c r="C6258" t="s">
        <v>40</v>
      </c>
      <c r="D6258">
        <v>6.1188630000000002</v>
      </c>
      <c r="E6258">
        <v>0.51971599999999996</v>
      </c>
      <c r="F6258" t="s">
        <v>42</v>
      </c>
      <c r="G6258">
        <v>-248.60149999999999</v>
      </c>
      <c r="H6258">
        <v>0.96448959999999995</v>
      </c>
      <c r="I6258">
        <v>-63.865769999999998</v>
      </c>
      <c r="J6258">
        <v>-249.3091</v>
      </c>
      <c r="K6258">
        <v>1.109693</v>
      </c>
      <c r="L6258">
        <v>-63.770449999999997</v>
      </c>
      <c r="M6258">
        <v>0.99984709999999999</v>
      </c>
      <c r="N6258">
        <v>0</v>
      </c>
      <c r="O6258">
        <v>1.537091E-2</v>
      </c>
      <c r="P6258">
        <v>0.9994402</v>
      </c>
      <c r="Q6258">
        <v>-2.9626059999999999E-2</v>
      </c>
      <c r="R6258">
        <v>-1.5545399999999999E-2</v>
      </c>
      <c r="S6258">
        <v>2.979492</v>
      </c>
      <c r="T6258">
        <v>-0.55541370000000001</v>
      </c>
      <c r="U6258">
        <v>-0.35891719999999999</v>
      </c>
      <c r="V6258">
        <v>3.0910989999999999E-2</v>
      </c>
      <c r="W6258">
        <v>-2.1278350000000001E-2</v>
      </c>
      <c r="X6258">
        <v>0.99929570000000001</v>
      </c>
      <c r="Y6258">
        <v>0.13233539999999999</v>
      </c>
      <c r="Z6258">
        <v>-1.501774E-2</v>
      </c>
      <c r="AA6258">
        <v>0.99109130000000001</v>
      </c>
      <c r="AB6258">
        <v>15</v>
      </c>
      <c r="AC6258">
        <v>0.707600000000013</v>
      </c>
      <c r="AD6258">
        <v>-0.14520339999999901</v>
      </c>
      <c r="AE6258">
        <v>-9.5320000000000904E-2</v>
      </c>
      <c r="AF6258">
        <v>0.101968288699101</v>
      </c>
      <c r="AG6258">
        <v>-0.14520339999999901</v>
      </c>
      <c r="AH6258">
        <v>0.67800954885155496</v>
      </c>
      <c r="AI6258">
        <v>101.957403286199</v>
      </c>
      <c r="AJ6258">
        <v>81.447180968189599</v>
      </c>
      <c r="AK6258">
        <v>0.70084128560300496</v>
      </c>
      <c r="AL6258">
        <v>91.219251574596896</v>
      </c>
      <c r="AM6258">
        <v>88.228247437673801</v>
      </c>
      <c r="AN6258">
        <v>1.0000000767599899</v>
      </c>
    </row>
    <row r="6259" spans="1:40" x14ac:dyDescent="0.25">
      <c r="A6259" t="str">
        <f>"20190312161142812"</f>
        <v>20190312161142812</v>
      </c>
      <c r="B6259" t="str">
        <f>"1552378302803412"</f>
        <v>1552378302803412</v>
      </c>
      <c r="C6259" t="s">
        <v>40</v>
      </c>
      <c r="D6259">
        <v>5.9739019999999998</v>
      </c>
      <c r="E6259">
        <v>0.51971599999999996</v>
      </c>
      <c r="F6259" t="s">
        <v>42</v>
      </c>
      <c r="G6259">
        <v>-248.5977</v>
      </c>
      <c r="H6259">
        <v>0.97467729999999997</v>
      </c>
      <c r="I6259">
        <v>-63.814459999999997</v>
      </c>
      <c r="J6259">
        <v>-249.2338</v>
      </c>
      <c r="K6259">
        <v>1.109691</v>
      </c>
      <c r="L6259">
        <v>-63.769129999999997</v>
      </c>
      <c r="M6259">
        <v>0.99984519999999999</v>
      </c>
      <c r="N6259">
        <v>0</v>
      </c>
      <c r="O6259">
        <v>1.5489380000000001E-2</v>
      </c>
      <c r="P6259">
        <v>0.9994518</v>
      </c>
      <c r="Q6259">
        <v>-2.942846E-2</v>
      </c>
      <c r="R6259">
        <v>-1.5170869999999999E-2</v>
      </c>
      <c r="S6259">
        <v>2.9820709999999999</v>
      </c>
      <c r="T6259">
        <v>-0.56593509999999903</v>
      </c>
      <c r="U6259">
        <v>-0.18331910000000001</v>
      </c>
      <c r="V6259">
        <v>3.065505E-2</v>
      </c>
      <c r="W6259">
        <v>-2.1087950000000001E-2</v>
      </c>
      <c r="X6259">
        <v>0.99930759999999996</v>
      </c>
      <c r="Y6259">
        <v>7.5198290000000001E-2</v>
      </c>
      <c r="Z6259">
        <v>-9.9771670000000003E-3</v>
      </c>
      <c r="AA6259">
        <v>0.99711870000000002</v>
      </c>
      <c r="AB6259">
        <v>15</v>
      </c>
      <c r="AC6259">
        <v>0.636099999999999</v>
      </c>
      <c r="AD6259">
        <v>-0.13501369999999899</v>
      </c>
      <c r="AE6259">
        <v>-4.5329999999992703E-2</v>
      </c>
      <c r="AF6259">
        <v>5.2810549874793597E-2</v>
      </c>
      <c r="AG6259">
        <v>-0.13501369999999899</v>
      </c>
      <c r="AH6259">
        <v>0.60806593127601505</v>
      </c>
      <c r="AI6259">
        <v>102.47326840778</v>
      </c>
      <c r="AJ6259">
        <v>85.036314550151801</v>
      </c>
      <c r="AK6259">
        <v>0.62510945453123201</v>
      </c>
      <c r="AL6259">
        <v>91.208340034971698</v>
      </c>
      <c r="AM6259">
        <v>88.242929053509698</v>
      </c>
      <c r="AN6259">
        <v>1.00000005657173</v>
      </c>
    </row>
    <row r="6260" spans="1:40" x14ac:dyDescent="0.25">
      <c r="A6260" t="str">
        <f>"20190312161142822"</f>
        <v>20190312161142822</v>
      </c>
      <c r="B6260" t="str">
        <f>"1552378302813173"</f>
        <v>1552378302813173</v>
      </c>
      <c r="C6260" t="s">
        <v>40</v>
      </c>
      <c r="D6260">
        <v>5.9520960000000001</v>
      </c>
      <c r="E6260">
        <v>0.47799469999999999</v>
      </c>
      <c r="F6260" t="s">
        <v>42</v>
      </c>
      <c r="G6260">
        <v>-248.46469999999999</v>
      </c>
      <c r="H6260">
        <v>0.96390019999999998</v>
      </c>
      <c r="I6260">
        <v>-63.8161699999999</v>
      </c>
      <c r="J6260">
        <v>-249.15719999999999</v>
      </c>
      <c r="K6260">
        <v>1.109686</v>
      </c>
      <c r="L6260">
        <v>-63.767850000000003</v>
      </c>
      <c r="M6260">
        <v>0.9998435</v>
      </c>
      <c r="N6260">
        <v>0</v>
      </c>
      <c r="O6260">
        <v>1.560951E-2</v>
      </c>
      <c r="P6260">
        <v>0.99946000000000002</v>
      </c>
      <c r="Q6260">
        <v>-2.9390059999999999E-2</v>
      </c>
      <c r="R6260">
        <v>-1.4695359999999999E-2</v>
      </c>
      <c r="S6260">
        <v>2.9822389999999999</v>
      </c>
      <c r="T6260">
        <v>-0.56530499999999995</v>
      </c>
      <c r="U6260">
        <v>-0.18222050000000001</v>
      </c>
      <c r="V6260">
        <v>3.029981E-2</v>
      </c>
      <c r="W6260">
        <v>-2.105688E-2</v>
      </c>
      <c r="X6260">
        <v>0.99931899999999996</v>
      </c>
      <c r="Y6260">
        <v>7.4954580000000007E-2</v>
      </c>
      <c r="Z6260">
        <v>-9.9654909999999999E-3</v>
      </c>
      <c r="AA6260">
        <v>0.9971371</v>
      </c>
      <c r="AB6260">
        <v>15</v>
      </c>
      <c r="AC6260">
        <v>0.69249999999999501</v>
      </c>
      <c r="AD6260">
        <v>-0.14578579999999899</v>
      </c>
      <c r="AE6260">
        <v>-4.8319999999989698E-2</v>
      </c>
      <c r="AF6260">
        <v>5.6626592940083403E-2</v>
      </c>
      <c r="AG6260">
        <v>-0.14578579999999899</v>
      </c>
      <c r="AH6260">
        <v>0.66244464512129497</v>
      </c>
      <c r="AI6260">
        <v>102.36766863722301</v>
      </c>
      <c r="AJ6260">
        <v>85.114162681382993</v>
      </c>
      <c r="AK6260">
        <v>0.68065628503637599</v>
      </c>
      <c r="AL6260">
        <v>91.206559567652405</v>
      </c>
      <c r="AM6260">
        <v>88.263297780917199</v>
      </c>
      <c r="AN6260">
        <v>0.99999996722118401</v>
      </c>
    </row>
    <row r="6261" spans="1:40" x14ac:dyDescent="0.25">
      <c r="A6261" t="str">
        <f>"20190312161142834"</f>
        <v>20190312161142834</v>
      </c>
      <c r="B6261" t="str">
        <f>"1552378302823907"</f>
        <v>1552378302823907</v>
      </c>
      <c r="C6261" t="s">
        <v>40</v>
      </c>
      <c r="D6261">
        <v>5.9480130000000004</v>
      </c>
      <c r="E6261">
        <v>0.47359289999999998</v>
      </c>
      <c r="F6261" t="s">
        <v>42</v>
      </c>
      <c r="G6261">
        <v>-248.43039999999999</v>
      </c>
      <c r="H6261">
        <v>1.029088</v>
      </c>
      <c r="I6261">
        <v>-63.73339</v>
      </c>
      <c r="J6261">
        <v>-249.08269999999999</v>
      </c>
      <c r="K6261">
        <v>1.1096870000000001</v>
      </c>
      <c r="L6261">
        <v>-63.766539999999999</v>
      </c>
      <c r="M6261">
        <v>0.99984170000000006</v>
      </c>
      <c r="N6261">
        <v>0</v>
      </c>
      <c r="O6261">
        <v>1.5726259999999999E-2</v>
      </c>
      <c r="P6261">
        <v>0.99946060000000003</v>
      </c>
      <c r="Q6261">
        <v>-2.958477E-2</v>
      </c>
      <c r="R6261">
        <v>-1.4258949999999999E-2</v>
      </c>
      <c r="S6261">
        <v>2.9939580000000001</v>
      </c>
      <c r="T6261">
        <v>-0.33194079999999998</v>
      </c>
      <c r="U6261">
        <v>0.14212040000000001</v>
      </c>
      <c r="V6261">
        <v>2.9980260000000002E-2</v>
      </c>
      <c r="W6261">
        <v>-2.1259739999999999E-2</v>
      </c>
      <c r="X6261">
        <v>0.9993244</v>
      </c>
      <c r="Y6261">
        <v>-3.1603649999999997E-2</v>
      </c>
      <c r="Z6261" s="1">
        <v>8.5032080000000004E-6</v>
      </c>
      <c r="AA6261">
        <v>0.99950050000000001</v>
      </c>
      <c r="AB6261">
        <v>15</v>
      </c>
      <c r="AC6261">
        <v>0.65229999999999599</v>
      </c>
      <c r="AD6261">
        <v>-8.0599000000000004E-2</v>
      </c>
      <c r="AE6261">
        <v>3.3149999999999097E-2</v>
      </c>
      <c r="AF6261">
        <v>-2.2544004287593299E-2</v>
      </c>
      <c r="AG6261">
        <v>-8.0599000000000004E-2</v>
      </c>
      <c r="AH6261">
        <v>0.64294979824197196</v>
      </c>
      <c r="AI6261">
        <v>97.1408775268211</v>
      </c>
      <c r="AJ6261">
        <v>92.008161983581999</v>
      </c>
      <c r="AK6261">
        <v>0.64837402322248505</v>
      </c>
      <c r="AL6261">
        <v>91.218185122653907</v>
      </c>
      <c r="AM6261">
        <v>88.281611752942098</v>
      </c>
      <c r="AN6261">
        <v>1.0000000244849401</v>
      </c>
    </row>
    <row r="6262" spans="1:40" x14ac:dyDescent="0.25">
      <c r="A6262" t="str">
        <f>"20190312161142847"</f>
        <v>20190312161142847</v>
      </c>
      <c r="B6262" t="str">
        <f>"1552378302843427"</f>
        <v>1552378302843427</v>
      </c>
      <c r="C6262" t="s">
        <v>40</v>
      </c>
      <c r="D6262">
        <v>6.0080519999999904</v>
      </c>
      <c r="E6262">
        <v>0.4689642</v>
      </c>
      <c r="F6262" t="s">
        <v>107</v>
      </c>
      <c r="G6262">
        <v>-237.83</v>
      </c>
      <c r="H6262" s="1">
        <v>-3.0207979999999999E-6</v>
      </c>
      <c r="I6262">
        <v>-63.101779999999998</v>
      </c>
      <c r="J6262">
        <v>-248.99799999999999</v>
      </c>
      <c r="K6262">
        <v>1.1096839999999999</v>
      </c>
      <c r="L6262">
        <v>-63.765050000000002</v>
      </c>
      <c r="M6262">
        <v>0.9998397</v>
      </c>
      <c r="N6262">
        <v>0</v>
      </c>
      <c r="O6262">
        <v>1.5859100000000001E-2</v>
      </c>
      <c r="P6262">
        <v>0.9994634</v>
      </c>
      <c r="Q6262">
        <v>-2.9615720000000002E-2</v>
      </c>
      <c r="R6262">
        <v>-1.4012749999999999E-2</v>
      </c>
      <c r="S6262">
        <v>2.995422</v>
      </c>
      <c r="T6262">
        <v>-0.29539539999999997</v>
      </c>
      <c r="U6262">
        <v>0.17694089999999901</v>
      </c>
      <c r="V6262">
        <v>2.986664E-2</v>
      </c>
      <c r="W6262">
        <v>-2.1300329999999999E-2</v>
      </c>
      <c r="X6262">
        <v>0.99932690000000002</v>
      </c>
      <c r="Y6262">
        <v>-4.2997029999999999E-2</v>
      </c>
      <c r="Z6262">
        <v>5.544864E-4</v>
      </c>
      <c r="AA6262">
        <v>0.99907509999999999</v>
      </c>
      <c r="AB6262">
        <v>15</v>
      </c>
      <c r="AC6262">
        <v>11.1679999999999</v>
      </c>
      <c r="AD6262">
        <v>-1.1096870207979901</v>
      </c>
      <c r="AE6262">
        <v>0.66326999999999703</v>
      </c>
      <c r="AF6262">
        <v>-0.48133054879007497</v>
      </c>
      <c r="AG6262">
        <v>-1.1096870207979901</v>
      </c>
      <c r="AH6262">
        <v>11.0682218691859</v>
      </c>
      <c r="AI6262">
        <v>95.719905821557802</v>
      </c>
      <c r="AJ6262">
        <v>92.490087746019</v>
      </c>
      <c r="AK6262">
        <v>11.1341196206458</v>
      </c>
      <c r="AL6262">
        <v>91.220511331217693</v>
      </c>
      <c r="AM6262">
        <v>88.288124544842603</v>
      </c>
      <c r="AN6262">
        <v>0.99999998665330403</v>
      </c>
    </row>
    <row r="6263" spans="1:40" x14ac:dyDescent="0.25">
      <c r="A6263" t="str">
        <f>"20190312161142859"</f>
        <v>20190312161142859</v>
      </c>
      <c r="B6263" t="str">
        <f>"1552378302853754"</f>
        <v>1552378302853754</v>
      </c>
      <c r="C6263" t="s">
        <v>40</v>
      </c>
      <c r="D6263">
        <v>5.9403969999999999</v>
      </c>
      <c r="E6263">
        <v>0.46836040000000001</v>
      </c>
      <c r="F6263" t="s">
        <v>107</v>
      </c>
      <c r="G6263">
        <v>-236.76410000000001</v>
      </c>
      <c r="H6263" s="1">
        <v>-2.556576E-6</v>
      </c>
      <c r="I6263">
        <v>-62.892960000000002</v>
      </c>
      <c r="J6263">
        <v>-248.9091</v>
      </c>
      <c r="K6263">
        <v>1.1096870000000001</v>
      </c>
      <c r="L6263">
        <v>-63.763460000000002</v>
      </c>
      <c r="M6263">
        <v>0.99983759999999999</v>
      </c>
      <c r="N6263">
        <v>0</v>
      </c>
      <c r="O6263">
        <v>1.5998499999999999E-2</v>
      </c>
      <c r="P6263">
        <v>0.99946670000000004</v>
      </c>
      <c r="Q6263">
        <v>-2.969546E-2</v>
      </c>
      <c r="R6263">
        <v>-1.359516E-2</v>
      </c>
      <c r="S6263">
        <v>2.9965519999999999</v>
      </c>
      <c r="T6263">
        <v>-0.27180480000000001</v>
      </c>
      <c r="U6263">
        <v>0.21359249999999999</v>
      </c>
      <c r="V6263">
        <v>2.958856E-2</v>
      </c>
      <c r="W6263">
        <v>-2.1391719999999999E-2</v>
      </c>
      <c r="X6263">
        <v>0.99933329999999998</v>
      </c>
      <c r="Y6263">
        <v>-5.4972239999999999E-2</v>
      </c>
      <c r="Z6263">
        <v>1.038752E-3</v>
      </c>
      <c r="AA6263">
        <v>0.99848740000000002</v>
      </c>
      <c r="AB6263">
        <v>16</v>
      </c>
      <c r="AC6263">
        <v>12.1449999999999</v>
      </c>
      <c r="AD6263">
        <v>-1.1096895565760001</v>
      </c>
      <c r="AE6263">
        <v>0.87049999999999905</v>
      </c>
      <c r="AF6263">
        <v>-0.67051096954045897</v>
      </c>
      <c r="AG6263">
        <v>-1.1096895565760001</v>
      </c>
      <c r="AH6263">
        <v>12.0572275332473</v>
      </c>
      <c r="AI6263">
        <v>95.250349027035597</v>
      </c>
      <c r="AJ6263">
        <v>93.182980436347904</v>
      </c>
      <c r="AK6263">
        <v>12.126736232834601</v>
      </c>
      <c r="AL6263">
        <v>91.225748688024098</v>
      </c>
      <c r="AM6263">
        <v>88.304064845355796</v>
      </c>
      <c r="AN6263">
        <v>1.0000000665281501</v>
      </c>
    </row>
    <row r="6264" spans="1:40" x14ac:dyDescent="0.25">
      <c r="A6264" t="str">
        <f>"20190312161142871"</f>
        <v>20190312161142871</v>
      </c>
      <c r="B6264" t="str">
        <f>"1552378302863514"</f>
        <v>1552378302863514</v>
      </c>
      <c r="C6264" t="s">
        <v>40</v>
      </c>
      <c r="D6264">
        <v>5.9403100000000002</v>
      </c>
      <c r="E6264">
        <v>0.46807199999999999</v>
      </c>
      <c r="F6264" t="s">
        <v>107</v>
      </c>
      <c r="G6264">
        <v>-236.25980000000001</v>
      </c>
      <c r="H6264" s="1">
        <v>-2.3256100000000001E-6</v>
      </c>
      <c r="I6264">
        <v>-62.838000000000001</v>
      </c>
      <c r="J6264">
        <v>-248.83029999999999</v>
      </c>
      <c r="K6264">
        <v>1.109685</v>
      </c>
      <c r="L6264">
        <v>-63.762079999999997</v>
      </c>
      <c r="M6264">
        <v>0.99983569999999999</v>
      </c>
      <c r="N6264">
        <v>0</v>
      </c>
      <c r="O6264">
        <v>1.6122109999999999E-2</v>
      </c>
      <c r="P6264">
        <v>0.99947019999999998</v>
      </c>
      <c r="Q6264">
        <v>-2.966533E-2</v>
      </c>
      <c r="R6264">
        <v>-1.33881E-2</v>
      </c>
      <c r="S6264">
        <v>2.9967959999999998</v>
      </c>
      <c r="T6264">
        <v>-0.26289940000000001</v>
      </c>
      <c r="U6264">
        <v>0.2192383</v>
      </c>
      <c r="V6264">
        <v>2.9505259999999998E-2</v>
      </c>
      <c r="W6264">
        <v>-2.137238E-2</v>
      </c>
      <c r="X6264">
        <v>0.99933609999999995</v>
      </c>
      <c r="Y6264">
        <v>-5.6718369999999997E-2</v>
      </c>
      <c r="Z6264">
        <v>1.0702450000000001E-3</v>
      </c>
      <c r="AA6264">
        <v>0.99838970000000005</v>
      </c>
      <c r="AB6264">
        <v>16</v>
      </c>
      <c r="AC6264">
        <v>12.5704999999999</v>
      </c>
      <c r="AD6264">
        <v>-1.1096873256099999</v>
      </c>
      <c r="AE6264">
        <v>0.92408000000000301</v>
      </c>
      <c r="AF6264">
        <v>-0.71574225856426299</v>
      </c>
      <c r="AG6264">
        <v>-1.1096873256099999</v>
      </c>
      <c r="AH6264">
        <v>12.486978651969499</v>
      </c>
      <c r="AI6264">
        <v>95.070116820290707</v>
      </c>
      <c r="AJ6264">
        <v>93.280552381817103</v>
      </c>
      <c r="AK6264">
        <v>12.556604986860799</v>
      </c>
      <c r="AL6264">
        <v>91.224640428209895</v>
      </c>
      <c r="AM6264">
        <v>88.3088413321519</v>
      </c>
      <c r="AN6264">
        <v>0.99999998987887095</v>
      </c>
    </row>
    <row r="6265" spans="1:40" x14ac:dyDescent="0.25">
      <c r="A6265" t="str">
        <f>"20190312161142883"</f>
        <v>20190312161142883</v>
      </c>
      <c r="B6265" t="str">
        <f>"1552378302873274"</f>
        <v>1552378302873274</v>
      </c>
      <c r="C6265" t="s">
        <v>40</v>
      </c>
      <c r="D6265">
        <v>5.7732219999999996</v>
      </c>
      <c r="E6265">
        <v>0.46781210000000001</v>
      </c>
      <c r="F6265" t="s">
        <v>107</v>
      </c>
      <c r="G6265">
        <v>-235.73269999999999</v>
      </c>
      <c r="H6265" s="1">
        <v>-2.0874729999999998E-6</v>
      </c>
      <c r="I6265">
        <v>-62.792839999999998</v>
      </c>
      <c r="J6265">
        <v>-248.74350000000001</v>
      </c>
      <c r="K6265">
        <v>1.1096820000000001</v>
      </c>
      <c r="L6265">
        <v>-63.760530000000003</v>
      </c>
      <c r="M6265">
        <v>0.99983350000000004</v>
      </c>
      <c r="N6265">
        <v>0</v>
      </c>
      <c r="O6265">
        <v>1.6258419999999999E-2</v>
      </c>
      <c r="P6265">
        <v>0.99947019999999998</v>
      </c>
      <c r="Q6265">
        <v>-2.9730989999999999E-2</v>
      </c>
      <c r="R6265">
        <v>-1.3245099999999999E-2</v>
      </c>
      <c r="S6265">
        <v>2.9970400000000001</v>
      </c>
      <c r="T6265">
        <v>-0.25392229999999999</v>
      </c>
      <c r="U6265">
        <v>0.2217712</v>
      </c>
      <c r="V6265">
        <v>2.9498529999999999E-2</v>
      </c>
      <c r="W6265">
        <v>-2.1450299999999999E-2</v>
      </c>
      <c r="X6265">
        <v>0.99933459999999996</v>
      </c>
      <c r="Y6265">
        <v>-5.7423969999999998E-2</v>
      </c>
      <c r="Z6265">
        <v>1.0520079999999999E-3</v>
      </c>
      <c r="AA6265">
        <v>0.9983493</v>
      </c>
      <c r="AB6265">
        <v>16</v>
      </c>
      <c r="AC6265">
        <v>13.0108</v>
      </c>
      <c r="AD6265">
        <v>-1.1096840874730001</v>
      </c>
      <c r="AE6265">
        <v>0.96768999999999705</v>
      </c>
      <c r="AF6265">
        <v>-0.75058980241314199</v>
      </c>
      <c r="AG6265">
        <v>-1.1096840874730001</v>
      </c>
      <c r="AH6265">
        <v>12.931265496234399</v>
      </c>
      <c r="AI6265">
        <v>94.8965644354316</v>
      </c>
      <c r="AJ6265">
        <v>93.321981707171403</v>
      </c>
      <c r="AK6265">
        <v>13.0004773435278</v>
      </c>
      <c r="AL6265">
        <v>91.229105974979703</v>
      </c>
      <c r="AM6265">
        <v>88.309224316554406</v>
      </c>
      <c r="AN6265">
        <v>0.99999996069970398</v>
      </c>
    </row>
    <row r="6266" spans="1:40" x14ac:dyDescent="0.25">
      <c r="A6266" t="str">
        <f>"20190312161142895"</f>
        <v>20190312161142895</v>
      </c>
      <c r="B6266" t="str">
        <f>"1552378302884009"</f>
        <v>1552378302884009</v>
      </c>
      <c r="C6266" t="s">
        <v>40</v>
      </c>
      <c r="D6266">
        <v>5.6796540000000002</v>
      </c>
      <c r="E6266">
        <v>0.46761999999999998</v>
      </c>
      <c r="F6266" t="s">
        <v>107</v>
      </c>
      <c r="G6266">
        <v>-235.0976</v>
      </c>
      <c r="H6266" s="1">
        <v>-1.801368E-6</v>
      </c>
      <c r="I6266">
        <v>-62.741500000000002</v>
      </c>
      <c r="J6266">
        <v>-248.6566</v>
      </c>
      <c r="K6266">
        <v>1.109674</v>
      </c>
      <c r="L6266">
        <v>-63.758940000000003</v>
      </c>
      <c r="M6266">
        <v>0.99983140000000004</v>
      </c>
      <c r="N6266">
        <v>0</v>
      </c>
      <c r="O6266">
        <v>1.6394789999999999E-2</v>
      </c>
      <c r="P6266">
        <v>0.99947269999999999</v>
      </c>
      <c r="Q6266">
        <v>-2.9721709999999998E-2</v>
      </c>
      <c r="R6266">
        <v>-1.307665E-2</v>
      </c>
      <c r="S6266">
        <v>2.9973139999999998</v>
      </c>
      <c r="T6266">
        <v>-0.2437425</v>
      </c>
      <c r="U6266">
        <v>0.22381590000000001</v>
      </c>
      <c r="V6266">
        <v>2.9466200000000001E-2</v>
      </c>
      <c r="W6266">
        <v>-2.1454870000000001E-2</v>
      </c>
      <c r="X6266">
        <v>0.99933550000000004</v>
      </c>
      <c r="Y6266">
        <v>-5.7968560000000002E-2</v>
      </c>
      <c r="Z6266">
        <v>1.0208820000000001E-3</v>
      </c>
      <c r="AA6266">
        <v>0.99831789999999998</v>
      </c>
      <c r="AB6266">
        <v>16</v>
      </c>
      <c r="AC6266">
        <v>13.5589999999999</v>
      </c>
      <c r="AD6266">
        <v>-1.1096758013679999</v>
      </c>
      <c r="AE6266">
        <v>1.0174399999999999</v>
      </c>
      <c r="AF6266">
        <v>-0.78973873190983801</v>
      </c>
      <c r="AG6266">
        <v>-1.1096758013679999</v>
      </c>
      <c r="AH6266">
        <v>13.484050013820401</v>
      </c>
      <c r="AI6266">
        <v>94.6965675155502</v>
      </c>
      <c r="AJ6266">
        <v>93.351890884011297</v>
      </c>
      <c r="AK6266">
        <v>13.5526629274113</v>
      </c>
      <c r="AL6266">
        <v>91.229367822536105</v>
      </c>
      <c r="AM6266">
        <v>88.311077830740501</v>
      </c>
      <c r="AN6266">
        <v>1.0000000049747</v>
      </c>
    </row>
    <row r="6267" spans="1:40" x14ac:dyDescent="0.25">
      <c r="A6267" t="str">
        <f>"20190312161142909"</f>
        <v>20190312161142909</v>
      </c>
      <c r="B6267" t="str">
        <f>"1552378302903530"</f>
        <v>1552378302903530</v>
      </c>
      <c r="C6267" t="s">
        <v>40</v>
      </c>
      <c r="D6267">
        <v>5.625807</v>
      </c>
      <c r="E6267">
        <v>0.46765380000000001</v>
      </c>
      <c r="F6267" t="s">
        <v>107</v>
      </c>
      <c r="G6267">
        <v>-234.53290000000001</v>
      </c>
      <c r="H6267" s="1">
        <v>-1.547139E-6</v>
      </c>
      <c r="I6267">
        <v>-62.696539999999999</v>
      </c>
      <c r="J6267">
        <v>-248.56200000000001</v>
      </c>
      <c r="K6267">
        <v>1.109669</v>
      </c>
      <c r="L6267">
        <v>-63.75723</v>
      </c>
      <c r="M6267">
        <v>0.99982910000000003</v>
      </c>
      <c r="N6267">
        <v>0</v>
      </c>
      <c r="O6267">
        <v>1.654315E-2</v>
      </c>
      <c r="P6267">
        <v>0.99947839999999999</v>
      </c>
      <c r="Q6267">
        <v>-2.958125E-2</v>
      </c>
      <c r="R6267">
        <v>-1.2968240000000001E-2</v>
      </c>
      <c r="S6267">
        <v>2.9975130000000001</v>
      </c>
      <c r="T6267">
        <v>-0.23550960000000001</v>
      </c>
      <c r="U6267">
        <v>0.22546389999999999</v>
      </c>
      <c r="V6267">
        <v>2.9506279999999999E-2</v>
      </c>
      <c r="W6267">
        <v>-2.1330189999999999E-2</v>
      </c>
      <c r="X6267">
        <v>0.99933700000000003</v>
      </c>
      <c r="Y6267">
        <v>-5.8369600000000001E-2</v>
      </c>
      <c r="Z6267">
        <v>9.9051419999999992E-4</v>
      </c>
      <c r="AA6267">
        <v>0.99829449999999997</v>
      </c>
      <c r="AB6267">
        <v>16</v>
      </c>
      <c r="AC6267">
        <v>14.0291</v>
      </c>
      <c r="AD6267">
        <v>-1.109670547139</v>
      </c>
      <c r="AE6267">
        <v>1.0606899999999999</v>
      </c>
      <c r="AF6267">
        <v>-0.82332958125729505</v>
      </c>
      <c r="AG6267">
        <v>-1.109670547139</v>
      </c>
      <c r="AH6267">
        <v>13.957897139290999</v>
      </c>
      <c r="AI6267">
        <v>94.537672357424498</v>
      </c>
      <c r="AJ6267">
        <v>93.375774418312801</v>
      </c>
      <c r="AK6267">
        <v>14.026123230372299</v>
      </c>
      <c r="AL6267">
        <v>91.222222532992404</v>
      </c>
      <c r="AM6267">
        <v>88.308784424788001</v>
      </c>
      <c r="AN6267">
        <v>1.00000001856693</v>
      </c>
    </row>
    <row r="6268" spans="1:40" x14ac:dyDescent="0.25">
      <c r="A6268" t="str">
        <f>"20190312161142925"</f>
        <v>20190312161142925</v>
      </c>
      <c r="B6268" t="str">
        <f>"1552378302913290"</f>
        <v>1552378302913290</v>
      </c>
      <c r="C6268" t="s">
        <v>40</v>
      </c>
      <c r="D6268">
        <v>5.7158530000000001</v>
      </c>
      <c r="E6268">
        <v>0.46757840000000001</v>
      </c>
      <c r="F6268" t="s">
        <v>107</v>
      </c>
      <c r="G6268">
        <v>-233.76410000000001</v>
      </c>
      <c r="H6268" s="1">
        <v>-1.2039320000000001E-6</v>
      </c>
      <c r="I6268">
        <v>-62.646189999999997</v>
      </c>
      <c r="J6268">
        <v>-248.44919999999999</v>
      </c>
      <c r="K6268">
        <v>1.1096600000000001</v>
      </c>
      <c r="L6268">
        <v>-63.755130000000001</v>
      </c>
      <c r="M6268">
        <v>0.99982629999999995</v>
      </c>
      <c r="N6268">
        <v>0</v>
      </c>
      <c r="O6268">
        <v>1.672044E-2</v>
      </c>
      <c r="P6268">
        <v>0.99947710000000001</v>
      </c>
      <c r="Q6268">
        <v>-2.973868E-2</v>
      </c>
      <c r="R6268">
        <v>-1.2698350000000001E-2</v>
      </c>
      <c r="S6268">
        <v>2.997833</v>
      </c>
      <c r="T6268">
        <v>-0.22480249999999999</v>
      </c>
      <c r="U6268">
        <v>0.22506709999999999</v>
      </c>
      <c r="V6268">
        <v>2.941351E-2</v>
      </c>
      <c r="W6268">
        <v>-2.1507780000000001E-2</v>
      </c>
      <c r="X6268">
        <v>0.99933590000000005</v>
      </c>
      <c r="Y6268">
        <v>-5.8065980000000003E-2</v>
      </c>
      <c r="Z6268">
        <v>9.2090990000000001E-4</v>
      </c>
      <c r="AA6268">
        <v>0.99831230000000004</v>
      </c>
      <c r="AB6268">
        <v>16</v>
      </c>
      <c r="AC6268">
        <v>14.685099999999901</v>
      </c>
      <c r="AD6268">
        <v>-1.109661203932</v>
      </c>
      <c r="AE6268">
        <v>1.10893999999999</v>
      </c>
      <c r="AF6268">
        <v>-0.85836195271071902</v>
      </c>
      <c r="AG6268">
        <v>-1.109661203932</v>
      </c>
      <c r="AH6268">
        <v>14.6185924090229</v>
      </c>
      <c r="AI6268">
        <v>94.333421213105893</v>
      </c>
      <c r="AJ6268">
        <v>93.360386041858405</v>
      </c>
      <c r="AK6268">
        <v>14.685754228180301</v>
      </c>
      <c r="AL6268">
        <v>91.232400060235406</v>
      </c>
      <c r="AM6268">
        <v>88.314096807727097</v>
      </c>
      <c r="AN6268">
        <v>0.99999999009992901</v>
      </c>
    </row>
    <row r="6269" spans="1:40" x14ac:dyDescent="0.25">
      <c r="A6269" t="str">
        <f>"20190312161142938"</f>
        <v>20190312161142938</v>
      </c>
      <c r="B6269" t="str">
        <f>"1552378302933786"</f>
        <v>1552378302933786</v>
      </c>
      <c r="C6269" t="s">
        <v>40</v>
      </c>
      <c r="D6269">
        <v>5.9176500000000001</v>
      </c>
      <c r="E6269">
        <v>0.4676382</v>
      </c>
      <c r="F6269" t="s">
        <v>107</v>
      </c>
      <c r="G6269">
        <v>-233.4128</v>
      </c>
      <c r="H6269" s="1">
        <v>-1.046322E-6</v>
      </c>
      <c r="I6269">
        <v>-62.620229999999999</v>
      </c>
      <c r="J6269">
        <v>-248.34909999999999</v>
      </c>
      <c r="K6269">
        <v>1.1096549999999901</v>
      </c>
      <c r="L6269">
        <v>-63.753300000000003</v>
      </c>
      <c r="M6269">
        <v>0.99982389999999999</v>
      </c>
      <c r="N6269">
        <v>0</v>
      </c>
      <c r="O6269">
        <v>1.687781E-2</v>
      </c>
      <c r="P6269">
        <v>0.99948090000000001</v>
      </c>
      <c r="Q6269">
        <v>-2.9674389999999998E-2</v>
      </c>
      <c r="R6269">
        <v>-1.25443E-2</v>
      </c>
      <c r="S6269">
        <v>2.9978639999999999</v>
      </c>
      <c r="T6269">
        <v>-0.2212375</v>
      </c>
      <c r="U6269">
        <v>0.22625729999999999</v>
      </c>
      <c r="V6269">
        <v>2.9416899999999999E-2</v>
      </c>
      <c r="W6269">
        <v>-2.1461640000000001E-2</v>
      </c>
      <c r="X6269">
        <v>0.99933680000000003</v>
      </c>
      <c r="Y6269">
        <v>-5.8305599999999999E-2</v>
      </c>
      <c r="Z6269">
        <v>9.0356430000000003E-4</v>
      </c>
      <c r="AA6269">
        <v>0.99829829999999997</v>
      </c>
      <c r="AB6269">
        <v>16</v>
      </c>
      <c r="AC6269">
        <v>14.9362999999999</v>
      </c>
      <c r="AD6269">
        <v>-1.10965604632199</v>
      </c>
      <c r="AE6269">
        <v>1.13306999999999</v>
      </c>
      <c r="AF6269">
        <v>-0.87600075561687196</v>
      </c>
      <c r="AG6269">
        <v>-1.10965604632199</v>
      </c>
      <c r="AH6269">
        <v>14.871683818241801</v>
      </c>
      <c r="AI6269">
        <v>94.259881191931299</v>
      </c>
      <c r="AJ6269">
        <v>93.371051881935799</v>
      </c>
      <c r="AK6269">
        <v>14.93873132012</v>
      </c>
      <c r="AL6269">
        <v>91.229755812978397</v>
      </c>
      <c r="AM6269">
        <v>88.3139041318273</v>
      </c>
      <c r="AN6269">
        <v>0.99999999791566896</v>
      </c>
    </row>
    <row r="6270" spans="1:40" x14ac:dyDescent="0.25">
      <c r="A6270" t="str">
        <f>"20190312161142950"</f>
        <v>20190312161142950</v>
      </c>
      <c r="B6270" t="str">
        <f>"1552378302943546"</f>
        <v>1552378302943546</v>
      </c>
      <c r="C6270" t="s">
        <v>40</v>
      </c>
      <c r="D6270">
        <v>5.8688580000000004</v>
      </c>
      <c r="E6270">
        <v>0.4678157</v>
      </c>
      <c r="F6270" t="s">
        <v>107</v>
      </c>
      <c r="G6270">
        <v>-233.12020000000001</v>
      </c>
      <c r="H6270" s="1">
        <v>-9.1667700000000005E-7</v>
      </c>
      <c r="I6270">
        <v>-62.604669999999999</v>
      </c>
      <c r="J6270">
        <v>-248.2714</v>
      </c>
      <c r="K6270">
        <v>1.109653</v>
      </c>
      <c r="L6270">
        <v>-63.751860000000001</v>
      </c>
      <c r="M6270">
        <v>0.99982199999999999</v>
      </c>
      <c r="N6270">
        <v>0</v>
      </c>
      <c r="O6270">
        <v>1.6999879999999998E-2</v>
      </c>
      <c r="P6270">
        <v>0.99948979999999998</v>
      </c>
      <c r="Q6270">
        <v>-2.9488319999999998E-2</v>
      </c>
      <c r="R6270">
        <v>-1.227758E-2</v>
      </c>
      <c r="S6270">
        <v>2.9979100000000001</v>
      </c>
      <c r="T6270">
        <v>-0.21844430000000001</v>
      </c>
      <c r="U6270">
        <v>0.22610469999999999</v>
      </c>
      <c r="V6270">
        <v>2.927225E-2</v>
      </c>
      <c r="W6270">
        <v>-2.1289200000000001E-2</v>
      </c>
      <c r="X6270">
        <v>0.99934480000000003</v>
      </c>
      <c r="Y6270">
        <v>-5.8135619999999999E-2</v>
      </c>
      <c r="Z6270">
        <v>8.7713289999999996E-4</v>
      </c>
      <c r="AA6270">
        <v>0.99830830000000004</v>
      </c>
      <c r="AB6270">
        <v>16</v>
      </c>
      <c r="AC6270">
        <v>15.1511999999999</v>
      </c>
      <c r="AD6270">
        <v>-1.1096539166769901</v>
      </c>
      <c r="AE6270">
        <v>1.1471899999999999</v>
      </c>
      <c r="AF6270">
        <v>-0.88472845516512699</v>
      </c>
      <c r="AG6270">
        <v>-1.1096539166769901</v>
      </c>
      <c r="AH6270">
        <v>15.088043623675601</v>
      </c>
      <c r="AI6270">
        <v>94.199072548062901</v>
      </c>
      <c r="AJ6270">
        <v>93.355851079606495</v>
      </c>
      <c r="AK6270">
        <v>15.1546407626216</v>
      </c>
      <c r="AL6270">
        <v>91.219873392652602</v>
      </c>
      <c r="AM6270">
        <v>88.322203745314098</v>
      </c>
      <c r="AN6270">
        <v>1.0000000619718601</v>
      </c>
    </row>
    <row r="6271" spans="1:40" x14ac:dyDescent="0.25">
      <c r="A6271" t="str">
        <f>"20190312161142961"</f>
        <v>20190312161142961</v>
      </c>
      <c r="B6271" t="str">
        <f>"1552378302953156"</f>
        <v>1552378302953156</v>
      </c>
      <c r="C6271" t="s">
        <v>40</v>
      </c>
      <c r="D6271">
        <v>6.270149</v>
      </c>
      <c r="E6271">
        <v>0.46787319999999999</v>
      </c>
      <c r="F6271" t="s">
        <v>107</v>
      </c>
      <c r="G6271">
        <v>-233.14420000000001</v>
      </c>
      <c r="H6271" s="1">
        <v>-9.2929439999999995E-7</v>
      </c>
      <c r="I6271">
        <v>-62.613480000000003</v>
      </c>
      <c r="J6271">
        <v>-248.1857</v>
      </c>
      <c r="K6271">
        <v>1.1096490000000001</v>
      </c>
      <c r="L6271">
        <v>-63.750210000000003</v>
      </c>
      <c r="M6271">
        <v>0.99981969999999998</v>
      </c>
      <c r="N6271">
        <v>0</v>
      </c>
      <c r="O6271">
        <v>1.7134650000000001E-2</v>
      </c>
      <c r="P6271">
        <v>0.99949730000000003</v>
      </c>
      <c r="Q6271">
        <v>-2.9307739999999999E-2</v>
      </c>
      <c r="R6271">
        <v>-1.210698E-2</v>
      </c>
      <c r="S6271">
        <v>2.9978180000000001</v>
      </c>
      <c r="T6271">
        <v>-0.21990489999999999</v>
      </c>
      <c r="U6271">
        <v>0.22558590000000001</v>
      </c>
      <c r="V6271">
        <v>2.9236430000000001E-2</v>
      </c>
      <c r="W6271">
        <v>-2.1123280000000001E-2</v>
      </c>
      <c r="X6271">
        <v>0.9993493</v>
      </c>
      <c r="Y6271">
        <v>-5.7831260000000002E-2</v>
      </c>
      <c r="Z6271">
        <v>8.6202619999999996E-4</v>
      </c>
      <c r="AA6271">
        <v>0.99832600000000005</v>
      </c>
      <c r="AB6271">
        <v>16</v>
      </c>
      <c r="AC6271">
        <v>15.0414999999999</v>
      </c>
      <c r="AD6271">
        <v>-1.1096499292944</v>
      </c>
      <c r="AE6271">
        <v>1.13672999999999</v>
      </c>
      <c r="AF6271">
        <v>-0.87409349520825896</v>
      </c>
      <c r="AG6271">
        <v>-1.1096499292944</v>
      </c>
      <c r="AH6271">
        <v>14.977718069279099</v>
      </c>
      <c r="AI6271">
        <v>94.229944166914095</v>
      </c>
      <c r="AJ6271">
        <v>93.3399698723005</v>
      </c>
      <c r="AK6271">
        <v>15.0441816316726</v>
      </c>
      <c r="AL6271">
        <v>91.210364823184307</v>
      </c>
      <c r="AM6271">
        <v>88.324263208792601</v>
      </c>
      <c r="AN6271">
        <v>0.99999999260379602</v>
      </c>
    </row>
    <row r="6272" spans="1:40" x14ac:dyDescent="0.25">
      <c r="A6272" t="str">
        <f>"20190312161142987"</f>
        <v>20190312161142987</v>
      </c>
      <c r="B6272" t="str">
        <f>"1552378302973641"</f>
        <v>1552378302973641</v>
      </c>
      <c r="C6272" t="s">
        <v>40</v>
      </c>
      <c r="D6272">
        <v>5.9001979999999996</v>
      </c>
      <c r="E6272">
        <v>0.46796860000000001</v>
      </c>
      <c r="F6272" t="s">
        <v>107</v>
      </c>
      <c r="G6272">
        <v>-232.839</v>
      </c>
      <c r="H6272" s="1">
        <v>-7.9365069999999896E-7</v>
      </c>
      <c r="I6272">
        <v>-62.59581</v>
      </c>
      <c r="J6272">
        <v>-248.01159999999999</v>
      </c>
      <c r="K6272">
        <v>1.1096459999999999</v>
      </c>
      <c r="L6272">
        <v>-63.746920000000003</v>
      </c>
      <c r="M6272">
        <v>0.99981529999999996</v>
      </c>
      <c r="N6272">
        <v>0</v>
      </c>
      <c r="O6272">
        <v>1.7408170000000001E-2</v>
      </c>
      <c r="P6272">
        <v>0.9994961</v>
      </c>
      <c r="Q6272">
        <v>-2.95681E-2</v>
      </c>
      <c r="R6272">
        <v>-1.1561180000000001E-2</v>
      </c>
      <c r="S6272">
        <v>2.9978940000000001</v>
      </c>
      <c r="T6272">
        <v>-0.21676339999999999</v>
      </c>
      <c r="U6272">
        <v>0.22549440000000001</v>
      </c>
      <c r="V6272">
        <v>2.8964279999999998E-2</v>
      </c>
      <c r="W6272">
        <v>-2.1410499999999999E-2</v>
      </c>
      <c r="X6272">
        <v>0.99935110000000005</v>
      </c>
      <c r="Y6272">
        <v>-5.7530520000000002E-2</v>
      </c>
      <c r="Z6272">
        <v>8.1916499999999995E-4</v>
      </c>
      <c r="AA6272">
        <v>0.99834339999999999</v>
      </c>
      <c r="AB6272">
        <v>16</v>
      </c>
      <c r="AC6272">
        <v>15.1725999999999</v>
      </c>
      <c r="AD6272">
        <v>-1.1096467936507</v>
      </c>
      <c r="AE6272">
        <v>1.1511099999999901</v>
      </c>
      <c r="AF6272">
        <v>-0.88210845180244501</v>
      </c>
      <c r="AG6272">
        <v>-1.1096467936507</v>
      </c>
      <c r="AH6272">
        <v>15.109983589815799</v>
      </c>
      <c r="AI6272">
        <v>94.193033346044601</v>
      </c>
      <c r="AJ6272">
        <v>93.341088449174507</v>
      </c>
      <c r="AK6272">
        <v>15.1763314213912</v>
      </c>
      <c r="AL6272">
        <v>91.226825055299201</v>
      </c>
      <c r="AM6272">
        <v>88.339856177353099</v>
      </c>
      <c r="AN6272">
        <v>0.99999998004868895</v>
      </c>
    </row>
    <row r="6273" spans="1:40" x14ac:dyDescent="0.25">
      <c r="A6273" t="str">
        <f>"20190312161143002"</f>
        <v>20190312161143002</v>
      </c>
      <c r="B6273" t="str">
        <f>"1552378302993161"</f>
        <v>1552378302993161</v>
      </c>
      <c r="C6273" t="s">
        <v>40</v>
      </c>
      <c r="D6273">
        <v>5.8769739999999997</v>
      </c>
      <c r="E6273">
        <v>0.46807149999999997</v>
      </c>
      <c r="F6273" t="s">
        <v>107</v>
      </c>
      <c r="G6273">
        <v>-232.59639999999999</v>
      </c>
      <c r="H6273" s="1">
        <v>-6.861803E-7</v>
      </c>
      <c r="I6273">
        <v>-62.582909999999998</v>
      </c>
      <c r="J6273">
        <v>-247.89089999999999</v>
      </c>
      <c r="K6273">
        <v>1.1096520000000001</v>
      </c>
      <c r="L6273">
        <v>-63.744599999999998</v>
      </c>
      <c r="M6273">
        <v>0.99981200000000003</v>
      </c>
      <c r="N6273">
        <v>0</v>
      </c>
      <c r="O6273">
        <v>1.75979E-2</v>
      </c>
      <c r="P6273">
        <v>0.99951020000000002</v>
      </c>
      <c r="Q6273">
        <v>-2.9270270000000001E-2</v>
      </c>
      <c r="R6273">
        <v>-1.106965E-2</v>
      </c>
      <c r="S6273">
        <v>2.9977420000000001</v>
      </c>
      <c r="T6273">
        <v>-0.2157897</v>
      </c>
      <c r="U6273">
        <v>0.22634889999999999</v>
      </c>
      <c r="V6273">
        <v>2.8662690000000001E-2</v>
      </c>
      <c r="W6273">
        <v>-2.1128919999999999E-2</v>
      </c>
      <c r="X6273">
        <v>0.99936579999999997</v>
      </c>
      <c r="Y6273">
        <v>-5.7628989999999998E-2</v>
      </c>
      <c r="Z6273">
        <v>8.054475E-4</v>
      </c>
      <c r="AA6273">
        <v>0.99833769999999999</v>
      </c>
      <c r="AB6273">
        <v>16</v>
      </c>
      <c r="AC6273">
        <v>15.294499999999999</v>
      </c>
      <c r="AD6273">
        <v>-1.1096526861803</v>
      </c>
      <c r="AE6273">
        <v>1.1616899999999999</v>
      </c>
      <c r="AF6273">
        <v>-0.88770415385868995</v>
      </c>
      <c r="AG6273">
        <v>-1.1096526861803</v>
      </c>
      <c r="AH6273">
        <v>15.232851870322801</v>
      </c>
      <c r="AI6273">
        <v>94.159378445710004</v>
      </c>
      <c r="AJ6273">
        <v>93.335176016128898</v>
      </c>
      <c r="AK6273">
        <v>15.2989909422786</v>
      </c>
      <c r="AL6273">
        <v>91.210688044694095</v>
      </c>
      <c r="AM6273">
        <v>88.357157021725499</v>
      </c>
      <c r="AN6273">
        <v>0.99999999163402098</v>
      </c>
    </row>
    <row r="6274" spans="1:40" x14ac:dyDescent="0.25">
      <c r="A6274" t="str">
        <f>"20190312161143015"</f>
        <v>20190312161143015</v>
      </c>
      <c r="B6274" t="str">
        <f>"1552378303003897"</f>
        <v>1552378303003897</v>
      </c>
      <c r="C6274" t="s">
        <v>40</v>
      </c>
      <c r="D6274">
        <v>5.8498900000000003</v>
      </c>
      <c r="E6274">
        <v>0.46820640000000002</v>
      </c>
      <c r="F6274" t="s">
        <v>107</v>
      </c>
      <c r="G6274">
        <v>-232.2824</v>
      </c>
      <c r="H6274" s="1">
        <v>-5.4614240000000002E-7</v>
      </c>
      <c r="I6274">
        <v>-62.5629699999999</v>
      </c>
      <c r="J6274">
        <v>-247.80189999999999</v>
      </c>
      <c r="K6274">
        <v>1.1096520000000001</v>
      </c>
      <c r="L6274">
        <v>-63.74286</v>
      </c>
      <c r="M6274">
        <v>0.99980959999999997</v>
      </c>
      <c r="N6274">
        <v>0</v>
      </c>
      <c r="O6274">
        <v>1.7737659999999999E-2</v>
      </c>
      <c r="P6274">
        <v>0.99951190000000001</v>
      </c>
      <c r="Q6274">
        <v>-2.9343319999999999E-2</v>
      </c>
      <c r="R6274">
        <v>-1.072683E-2</v>
      </c>
      <c r="S6274">
        <v>2.9977420000000001</v>
      </c>
      <c r="T6274">
        <v>-0.21311740000000001</v>
      </c>
      <c r="U6274">
        <v>0.22692870000000001</v>
      </c>
      <c r="V6274">
        <v>2.845953E-2</v>
      </c>
      <c r="W6274">
        <v>-2.1212600000000002E-2</v>
      </c>
      <c r="X6274">
        <v>0.99936990000000003</v>
      </c>
      <c r="Y6274">
        <v>-5.7684190000000003E-2</v>
      </c>
      <c r="Z6274">
        <v>7.8754550000000002E-4</v>
      </c>
      <c r="AA6274">
        <v>0.99833459999999996</v>
      </c>
      <c r="AB6274">
        <v>16</v>
      </c>
      <c r="AC6274">
        <v>15.519499999999899</v>
      </c>
      <c r="AD6274">
        <v>-1.1096525461423901</v>
      </c>
      <c r="AE6274">
        <v>1.1798900000000001</v>
      </c>
      <c r="AF6274">
        <v>-0.89984179553832</v>
      </c>
      <c r="AG6274">
        <v>-1.1096525461423901</v>
      </c>
      <c r="AH6274">
        <v>15.4594080658674</v>
      </c>
      <c r="AI6274">
        <v>94.098648228715305</v>
      </c>
      <c r="AJ6274">
        <v>93.331242007988706</v>
      </c>
      <c r="AK6274">
        <v>15.5252807310259</v>
      </c>
      <c r="AL6274">
        <v>91.215483549534497</v>
      </c>
      <c r="AM6274">
        <v>88.368801802023697</v>
      </c>
      <c r="AN6274">
        <v>1.00000005813629</v>
      </c>
    </row>
    <row r="6275" spans="1:40" x14ac:dyDescent="0.25">
      <c r="A6275" t="str">
        <f>"20190312161143028"</f>
        <v>20190312161143028</v>
      </c>
      <c r="B6275" t="str">
        <f>"1552378303023416"</f>
        <v>1552378303023416</v>
      </c>
      <c r="C6275" t="s">
        <v>40</v>
      </c>
      <c r="D6275">
        <v>5.8873389999999999</v>
      </c>
      <c r="E6275">
        <v>0.46841179999999899</v>
      </c>
      <c r="F6275" t="s">
        <v>107</v>
      </c>
      <c r="G6275">
        <v>-232.1182</v>
      </c>
      <c r="H6275" s="1">
        <v>-4.7392359999999998E-7</v>
      </c>
      <c r="I6275">
        <v>-62.556310000000003</v>
      </c>
      <c r="J6275">
        <v>-247.71369999999999</v>
      </c>
      <c r="K6275">
        <v>1.109653</v>
      </c>
      <c r="L6275">
        <v>-63.741149999999998</v>
      </c>
      <c r="M6275">
        <v>0.99980729999999995</v>
      </c>
      <c r="N6275">
        <v>0</v>
      </c>
      <c r="O6275">
        <v>1.787586E-2</v>
      </c>
      <c r="P6275">
        <v>0.99952470000000004</v>
      </c>
      <c r="Q6275">
        <v>-2.9042180000000001E-2</v>
      </c>
      <c r="R6275">
        <v>-1.0360380000000001E-2</v>
      </c>
      <c r="S6275">
        <v>2.997681</v>
      </c>
      <c r="T6275">
        <v>-0.21209069999999999</v>
      </c>
      <c r="U6275">
        <v>0.22677610000000001</v>
      </c>
      <c r="V6275">
        <v>2.8231450000000002E-2</v>
      </c>
      <c r="W6275">
        <v>-2.0921410000000001E-2</v>
      </c>
      <c r="X6275">
        <v>0.9993824</v>
      </c>
      <c r="Y6275">
        <v>-5.749895E-2</v>
      </c>
      <c r="Z6275">
        <v>7.6749459999999995E-4</v>
      </c>
      <c r="AA6275">
        <v>0.99834529999999999</v>
      </c>
      <c r="AB6275">
        <v>16</v>
      </c>
      <c r="AC6275">
        <v>15.5954999999999</v>
      </c>
      <c r="AD6275">
        <v>-1.1096534739235999</v>
      </c>
      <c r="AE6275">
        <v>1.1848399999999999</v>
      </c>
      <c r="AF6275">
        <v>-0.901321646312497</v>
      </c>
      <c r="AG6275">
        <v>-1.1096534739235999</v>
      </c>
      <c r="AH6275">
        <v>15.535987052052899</v>
      </c>
      <c r="AI6275">
        <v>94.078562297850794</v>
      </c>
      <c r="AJ6275">
        <v>93.320297894353899</v>
      </c>
      <c r="AK6275">
        <v>15.601621877992599</v>
      </c>
      <c r="AL6275">
        <v>91.1987960175464</v>
      </c>
      <c r="AM6275">
        <v>88.381887779967897</v>
      </c>
      <c r="AN6275">
        <v>0.99999995079762405</v>
      </c>
    </row>
    <row r="6276" spans="1:40" x14ac:dyDescent="0.25">
      <c r="A6276" t="str">
        <f>"20190312161143040"</f>
        <v>20190312161143040</v>
      </c>
      <c r="B6276" t="str">
        <f>"1552378303033177"</f>
        <v>1552378303033177</v>
      </c>
      <c r="C6276" t="s">
        <v>40</v>
      </c>
      <c r="D6276">
        <v>5.8166229999999999</v>
      </c>
      <c r="E6276">
        <v>0.46848659999999998</v>
      </c>
      <c r="F6276" t="s">
        <v>107</v>
      </c>
      <c r="G6276">
        <v>-231.84200000000001</v>
      </c>
      <c r="H6276" s="1">
        <v>-3.5204109999999999E-7</v>
      </c>
      <c r="I6276">
        <v>-62.5434699999999</v>
      </c>
      <c r="J6276">
        <v>-247.62729999999999</v>
      </c>
      <c r="K6276">
        <v>1.1096509999999999</v>
      </c>
      <c r="L6276">
        <v>-63.739469999999997</v>
      </c>
      <c r="M6276">
        <v>0.99980500000000005</v>
      </c>
      <c r="N6276">
        <v>0</v>
      </c>
      <c r="O6276">
        <v>1.8011079999999999E-2</v>
      </c>
      <c r="P6276">
        <v>0.999529</v>
      </c>
      <c r="Q6276">
        <v>-2.8974050000000001E-2</v>
      </c>
      <c r="R6276">
        <v>-1.013727E-2</v>
      </c>
      <c r="S6276">
        <v>2.9976959999999999</v>
      </c>
      <c r="T6276">
        <v>-0.20958160000000001</v>
      </c>
      <c r="U6276">
        <v>0.22619629999999999</v>
      </c>
      <c r="V6276">
        <v>2.8143649999999999E-2</v>
      </c>
      <c r="W6276">
        <v>-2.0862060000000002E-2</v>
      </c>
      <c r="X6276">
        <v>0.9993862</v>
      </c>
      <c r="Y6276">
        <v>-5.7174969999999999E-2</v>
      </c>
      <c r="Z6276">
        <v>7.3771779999999999E-4</v>
      </c>
      <c r="AA6276">
        <v>0.99836389999999997</v>
      </c>
      <c r="AB6276">
        <v>16</v>
      </c>
      <c r="AC6276">
        <v>15.7852999999999</v>
      </c>
      <c r="AD6276">
        <v>-1.1096513520411</v>
      </c>
      <c r="AE6276">
        <v>1.196</v>
      </c>
      <c r="AF6276">
        <v>-0.90702976624044596</v>
      </c>
      <c r="AG6276">
        <v>-1.1096513520411</v>
      </c>
      <c r="AH6276">
        <v>15.7270082543921</v>
      </c>
      <c r="AI6276">
        <v>94.029259421957903</v>
      </c>
      <c r="AJ6276">
        <v>93.300784949826493</v>
      </c>
      <c r="AK6276">
        <v>15.792175839752099</v>
      </c>
      <c r="AL6276">
        <v>91.195394671445996</v>
      </c>
      <c r="AM6276">
        <v>88.386923587233298</v>
      </c>
      <c r="AN6276">
        <v>1.0000000336666</v>
      </c>
    </row>
    <row r="6277" spans="1:40" x14ac:dyDescent="0.25">
      <c r="A6277" t="str">
        <f>"20190312161143051"</f>
        <v>20190312161143051</v>
      </c>
      <c r="B6277" t="str">
        <f>"1552378303043912"</f>
        <v>1552378303043912</v>
      </c>
      <c r="C6277" t="s">
        <v>40</v>
      </c>
      <c r="D6277">
        <v>5.9710349999999996</v>
      </c>
      <c r="E6277">
        <v>0.46858090000000002</v>
      </c>
      <c r="F6277" t="s">
        <v>107</v>
      </c>
      <c r="G6277">
        <v>-231.79519999999999</v>
      </c>
      <c r="H6277" s="1">
        <v>-3.3223009999999899E-7</v>
      </c>
      <c r="I6277">
        <v>-62.544569999999901</v>
      </c>
      <c r="J6277">
        <v>-247.541</v>
      </c>
      <c r="K6277">
        <v>1.1096520000000001</v>
      </c>
      <c r="L6277">
        <v>-63.737729999999999</v>
      </c>
      <c r="M6277">
        <v>0.99980250000000004</v>
      </c>
      <c r="N6277">
        <v>0</v>
      </c>
      <c r="O6277">
        <v>1.8145580000000001E-2</v>
      </c>
      <c r="P6277">
        <v>0.99953380000000003</v>
      </c>
      <c r="Q6277">
        <v>-2.8899680000000001E-2</v>
      </c>
      <c r="R6277">
        <v>-9.8482129999999998E-3</v>
      </c>
      <c r="S6277">
        <v>2.99762</v>
      </c>
      <c r="T6277">
        <v>-0.21009829999999999</v>
      </c>
      <c r="U6277">
        <v>0.22622680000000001</v>
      </c>
      <c r="V6277">
        <v>2.7989199999999999E-2</v>
      </c>
      <c r="W6277">
        <v>-2.0795560000000001E-2</v>
      </c>
      <c r="X6277">
        <v>0.9993919</v>
      </c>
      <c r="Y6277">
        <v>-5.7052829999999999E-2</v>
      </c>
      <c r="Z6277">
        <v>7.258834E-4</v>
      </c>
      <c r="AA6277">
        <v>0.99837089999999995</v>
      </c>
      <c r="AB6277">
        <v>16</v>
      </c>
      <c r="AC6277">
        <v>15.745799999999999</v>
      </c>
      <c r="AD6277">
        <v>-1.1096523322301</v>
      </c>
      <c r="AE6277">
        <v>1.19316000000001</v>
      </c>
      <c r="AF6277">
        <v>-0.90277948621344795</v>
      </c>
      <c r="AG6277">
        <v>-1.1096523322301</v>
      </c>
      <c r="AH6277">
        <v>15.6873931181069</v>
      </c>
      <c r="AI6277">
        <v>94.039433331081597</v>
      </c>
      <c r="AJ6277">
        <v>93.293629862338506</v>
      </c>
      <c r="AK6277">
        <v>15.7524805012157</v>
      </c>
      <c r="AL6277">
        <v>91.191583703422097</v>
      </c>
      <c r="AM6277">
        <v>88.395780522121996</v>
      </c>
      <c r="AN6277">
        <v>1.0000000102089801</v>
      </c>
    </row>
    <row r="6278" spans="1:40" x14ac:dyDescent="0.25">
      <c r="A6278" t="str">
        <f>"20190312161143062"</f>
        <v>20190312161143062</v>
      </c>
      <c r="B6278" t="str">
        <f>"1552378303053728"</f>
        <v>1552378303053728</v>
      </c>
      <c r="C6278" t="s">
        <v>40</v>
      </c>
      <c r="D6278">
        <v>5.7645900000000001</v>
      </c>
      <c r="E6278">
        <v>0.46864329999999998</v>
      </c>
      <c r="F6278" t="s">
        <v>107</v>
      </c>
      <c r="G6278">
        <v>-231.61060000000001</v>
      </c>
      <c r="H6278" s="1">
        <v>-2.5041669999999998E-7</v>
      </c>
      <c r="I6278">
        <v>-62.534610000000001</v>
      </c>
      <c r="J6278">
        <v>-247.4597</v>
      </c>
      <c r="K6278">
        <v>1.1096520000000001</v>
      </c>
      <c r="L6278">
        <v>-63.736109999999996</v>
      </c>
      <c r="M6278">
        <v>0.99980029999999998</v>
      </c>
      <c r="N6278">
        <v>0</v>
      </c>
      <c r="O6278">
        <v>1.8271909999999999E-2</v>
      </c>
      <c r="P6278">
        <v>0.99953139999999996</v>
      </c>
      <c r="Q6278">
        <v>-2.9009489999999999E-2</v>
      </c>
      <c r="R6278">
        <v>-9.7682689999999996E-3</v>
      </c>
      <c r="S6278">
        <v>2.9976039999999999</v>
      </c>
      <c r="T6278">
        <v>-0.2088025</v>
      </c>
      <c r="U6278">
        <v>0.22637940000000001</v>
      </c>
      <c r="V6278">
        <v>2.803545E-2</v>
      </c>
      <c r="W6278">
        <v>-2.091235E-2</v>
      </c>
      <c r="X6278">
        <v>0.99938819999999995</v>
      </c>
      <c r="Y6278">
        <v>-5.6979250000000002E-2</v>
      </c>
      <c r="Z6278">
        <v>7.100912E-4</v>
      </c>
      <c r="AA6278">
        <v>0.99837509999999996</v>
      </c>
      <c r="AB6278">
        <v>16</v>
      </c>
      <c r="AC6278">
        <v>15.8490999999999</v>
      </c>
      <c r="AD6278">
        <v>-1.1096522504166999</v>
      </c>
      <c r="AE6278">
        <v>1.20149999999999</v>
      </c>
      <c r="AF6278">
        <v>-0.90727463094638205</v>
      </c>
      <c r="AG6278">
        <v>-1.1096522504166999</v>
      </c>
      <c r="AH6278">
        <v>15.7914425356891</v>
      </c>
      <c r="AI6278">
        <v>94.012926221778599</v>
      </c>
      <c r="AJ6278">
        <v>93.288231775040302</v>
      </c>
      <c r="AK6278">
        <v>15.8563593782048</v>
      </c>
      <c r="AL6278">
        <v>91.198276692981693</v>
      </c>
      <c r="AM6278">
        <v>88.393125115518401</v>
      </c>
      <c r="AN6278">
        <v>1.00000004356923</v>
      </c>
    </row>
    <row r="6279" spans="1:40" x14ac:dyDescent="0.25">
      <c r="A6279" t="str">
        <f>"20190312161143075"</f>
        <v>20190312161143075</v>
      </c>
      <c r="B6279" t="str">
        <f>"1552378303063472"</f>
        <v>1552378303063472</v>
      </c>
      <c r="C6279" t="s">
        <v>40</v>
      </c>
      <c r="D6279">
        <v>5.7341340000000001</v>
      </c>
      <c r="E6279">
        <v>0.46854430000000002</v>
      </c>
      <c r="F6279" t="s">
        <v>107</v>
      </c>
      <c r="G6279">
        <v>-231.4307</v>
      </c>
      <c r="H6279" s="1">
        <v>-1.7139290000000001E-7</v>
      </c>
      <c r="I6279">
        <v>-62.527669999999901</v>
      </c>
      <c r="J6279">
        <v>-247.37540000000001</v>
      </c>
      <c r="K6279">
        <v>1.1096490000000001</v>
      </c>
      <c r="L6279">
        <v>-63.734409999999997</v>
      </c>
      <c r="M6279">
        <v>0.99979799999999996</v>
      </c>
      <c r="N6279">
        <v>0</v>
      </c>
      <c r="O6279">
        <v>1.8400489999999999E-2</v>
      </c>
      <c r="P6279">
        <v>0.99954120000000002</v>
      </c>
      <c r="Q6279">
        <v>-2.881802E-2</v>
      </c>
      <c r="R6279">
        <v>-9.3350499999999993E-3</v>
      </c>
      <c r="S6279">
        <v>2.9976039999999999</v>
      </c>
      <c r="T6279">
        <v>-0.2075176</v>
      </c>
      <c r="U6279">
        <v>0.22598270000000001</v>
      </c>
      <c r="V6279">
        <v>2.7730879999999999E-2</v>
      </c>
      <c r="W6279">
        <v>-2.072705E-2</v>
      </c>
      <c r="X6279">
        <v>0.99940050000000002</v>
      </c>
      <c r="Y6279">
        <v>-5.6721519999999997E-2</v>
      </c>
      <c r="Z6279">
        <v>6.8796320000000005E-4</v>
      </c>
      <c r="AA6279">
        <v>0.99838979999999999</v>
      </c>
      <c r="AB6279">
        <v>16</v>
      </c>
      <c r="AC6279">
        <v>15.944699999999999</v>
      </c>
      <c r="AD6279">
        <v>-1.1096491713929</v>
      </c>
      <c r="AE6279">
        <v>1.2067399999999999</v>
      </c>
      <c r="AF6279">
        <v>-0.90875949639980402</v>
      </c>
      <c r="AG6279">
        <v>-1.1096491713929</v>
      </c>
      <c r="AH6279">
        <v>15.8876955082027</v>
      </c>
      <c r="AI6279">
        <v>93.988740092537398</v>
      </c>
      <c r="AJ6279">
        <v>93.273691320265698</v>
      </c>
      <c r="AK6279">
        <v>15.952304964087</v>
      </c>
      <c r="AL6279">
        <v>91.187657552291398</v>
      </c>
      <c r="AM6279">
        <v>88.410592343721703</v>
      </c>
      <c r="AN6279">
        <v>0.99999998585376304</v>
      </c>
    </row>
    <row r="6280" spans="1:40" x14ac:dyDescent="0.25">
      <c r="A6280" t="str">
        <f>"20190312161143101"</f>
        <v>20190312161143101</v>
      </c>
      <c r="B6280" t="str">
        <f>"1552378303093729"</f>
        <v>1552378303093729</v>
      </c>
      <c r="C6280" t="s">
        <v>40</v>
      </c>
      <c r="D6280">
        <v>5.6817260000000003</v>
      </c>
      <c r="E6280">
        <v>0.44893119999999997</v>
      </c>
      <c r="F6280" t="s">
        <v>107</v>
      </c>
      <c r="G6280">
        <v>-231.35140000000001</v>
      </c>
      <c r="H6280" s="1">
        <v>-1.3395060000000001E-7</v>
      </c>
      <c r="I6280">
        <v>-62.514879999999998</v>
      </c>
      <c r="J6280">
        <v>-247.18109999999999</v>
      </c>
      <c r="K6280">
        <v>1.1096440000000001</v>
      </c>
      <c r="L6280">
        <v>-63.730499999999999</v>
      </c>
      <c r="M6280">
        <v>0.99979280000000004</v>
      </c>
      <c r="N6280">
        <v>0</v>
      </c>
      <c r="O6280">
        <v>1.8690769999999999E-2</v>
      </c>
      <c r="P6280">
        <v>0.99954670000000001</v>
      </c>
      <c r="Q6280">
        <v>-2.8898429999999999E-2</v>
      </c>
      <c r="R6280">
        <v>-8.4739619999999998E-3</v>
      </c>
      <c r="S6280">
        <v>2.9975429999999998</v>
      </c>
      <c r="T6280">
        <v>-0.20757680000000001</v>
      </c>
      <c r="U6280">
        <v>0.22811890000000001</v>
      </c>
      <c r="V6280">
        <v>2.715998E-2</v>
      </c>
      <c r="W6280">
        <v>-2.0820020000000002E-2</v>
      </c>
      <c r="X6280">
        <v>0.99941429999999998</v>
      </c>
      <c r="Y6280">
        <v>-5.7140259999999998E-2</v>
      </c>
      <c r="Z6280">
        <v>6.8257759999999995E-4</v>
      </c>
      <c r="AA6280">
        <v>0.99836590000000003</v>
      </c>
      <c r="AB6280">
        <v>16</v>
      </c>
      <c r="AC6280">
        <v>15.8296999999999</v>
      </c>
      <c r="AD6280">
        <v>-1.1096441339506</v>
      </c>
      <c r="AE6280">
        <v>1.2156199999999899</v>
      </c>
      <c r="AF6280">
        <v>-0.915058631077311</v>
      </c>
      <c r="AG6280">
        <v>-1.1096441339506</v>
      </c>
      <c r="AH6280">
        <v>15.772606308349999</v>
      </c>
      <c r="AI6280">
        <v>94.017544100564706</v>
      </c>
      <c r="AJ6280">
        <v>93.320332280943404</v>
      </c>
      <c r="AK6280">
        <v>15.838047612017199</v>
      </c>
      <c r="AL6280">
        <v>91.192985425645901</v>
      </c>
      <c r="AM6280">
        <v>88.443318944625304</v>
      </c>
      <c r="AN6280">
        <v>1.0000000403954401</v>
      </c>
    </row>
    <row r="6281" spans="1:40" x14ac:dyDescent="0.25">
      <c r="A6281" t="str">
        <f>"20190312161143114"</f>
        <v>20190312161143114</v>
      </c>
      <c r="B6281" t="str">
        <f>"1552378303103489"</f>
        <v>1552378303103489</v>
      </c>
      <c r="C6281" t="s">
        <v>40</v>
      </c>
      <c r="D6281">
        <v>5.6932320000000001</v>
      </c>
      <c r="E6281">
        <v>0.44878849999999998</v>
      </c>
      <c r="F6281" t="s">
        <v>106</v>
      </c>
      <c r="G6281">
        <v>-222.26249999999999</v>
      </c>
      <c r="H6281" s="1">
        <v>-1.2352629999999999E-7</v>
      </c>
      <c r="I6281">
        <v>-60.54045</v>
      </c>
      <c r="J6281">
        <v>-247.083</v>
      </c>
      <c r="K6281">
        <v>1.109639</v>
      </c>
      <c r="L6281">
        <v>-63.728490000000001</v>
      </c>
      <c r="M6281">
        <v>0.99979019999999996</v>
      </c>
      <c r="N6281">
        <v>0</v>
      </c>
      <c r="O6281">
        <v>1.8830710000000001E-2</v>
      </c>
      <c r="P6281">
        <v>0.99956599999999995</v>
      </c>
      <c r="Q6281">
        <v>-2.8426940000000001E-2</v>
      </c>
      <c r="R6281">
        <v>-7.7544780000000004E-3</v>
      </c>
      <c r="S6281">
        <v>3.0007630000000001</v>
      </c>
      <c r="T6281">
        <v>-0.13362660000000001</v>
      </c>
      <c r="U6281">
        <v>0.38415529999999998</v>
      </c>
      <c r="V6281">
        <v>2.658042E-2</v>
      </c>
      <c r="W6281">
        <v>-2.0353489999999998E-2</v>
      </c>
      <c r="X6281">
        <v>0.99943950000000004</v>
      </c>
      <c r="Y6281">
        <v>-0.1081944</v>
      </c>
      <c r="Z6281">
        <v>1.563561E-3</v>
      </c>
      <c r="AA6281">
        <v>0.99412849999999997</v>
      </c>
      <c r="AB6281">
        <v>16</v>
      </c>
      <c r="AC6281">
        <v>24.820499999999999</v>
      </c>
      <c r="AD6281">
        <v>-1.1096391235262999</v>
      </c>
      <c r="AE6281">
        <v>3.18804</v>
      </c>
      <c r="AF6281">
        <v>-2.7147340490536598</v>
      </c>
      <c r="AG6281">
        <v>-1.1096391235262999</v>
      </c>
      <c r="AH6281">
        <v>24.827317302730801</v>
      </c>
      <c r="AI6281">
        <v>92.543947892422295</v>
      </c>
      <c r="AJ6281">
        <v>96.240195351584802</v>
      </c>
      <c r="AK6281">
        <v>24.999935287756799</v>
      </c>
      <c r="AL6281">
        <v>91.166249550631704</v>
      </c>
      <c r="AM6281">
        <v>88.476559141069899</v>
      </c>
      <c r="AN6281">
        <v>1.0000000487214</v>
      </c>
    </row>
    <row r="6282" spans="1:40" x14ac:dyDescent="0.25">
      <c r="A6282" t="str">
        <f>"20190312161143147"</f>
        <v>20190312161143147</v>
      </c>
      <c r="B6282" t="str">
        <f>"1552378303143504"</f>
        <v>1552378303143504</v>
      </c>
      <c r="C6282" t="s">
        <v>40</v>
      </c>
      <c r="D6282">
        <v>5.4878099999999996</v>
      </c>
      <c r="E6282">
        <v>0.44911230000000002</v>
      </c>
      <c r="F6282" t="s">
        <v>110</v>
      </c>
      <c r="G6282">
        <v>-218.6078</v>
      </c>
      <c r="H6282" s="1">
        <v>-2.7193820000000001E-6</v>
      </c>
      <c r="I6282">
        <v>-60.0586699999999</v>
      </c>
      <c r="J6282">
        <v>-246.84139999999999</v>
      </c>
      <c r="K6282">
        <v>1.1096170000000001</v>
      </c>
      <c r="L6282">
        <v>-63.72354</v>
      </c>
      <c r="M6282">
        <v>0.99978400000000001</v>
      </c>
      <c r="N6282">
        <v>0</v>
      </c>
      <c r="O6282">
        <v>1.9152220000000001E-2</v>
      </c>
      <c r="P6282">
        <v>0.99955930000000004</v>
      </c>
      <c r="Q6282">
        <v>-2.9016670000000001E-2</v>
      </c>
      <c r="R6282">
        <v>-6.2571789999999999E-3</v>
      </c>
      <c r="S6282">
        <v>3.0009610000000002</v>
      </c>
      <c r="T6282">
        <v>-0.11694350000000001</v>
      </c>
      <c r="U6282">
        <v>0.38674930000000002</v>
      </c>
      <c r="V6282">
        <v>2.540423E-2</v>
      </c>
      <c r="W6282">
        <v>-2.095342E-2</v>
      </c>
      <c r="X6282">
        <v>0.9994577</v>
      </c>
      <c r="Y6282">
        <v>-0.108732</v>
      </c>
      <c r="Z6282">
        <v>1.366309E-3</v>
      </c>
      <c r="AA6282">
        <v>0.99407020000000001</v>
      </c>
      <c r="AB6282">
        <v>16</v>
      </c>
      <c r="AC6282">
        <v>28.233599999999999</v>
      </c>
      <c r="AD6282">
        <v>-1.1096197193819901</v>
      </c>
      <c r="AE6282">
        <v>3.6648700000000001</v>
      </c>
      <c r="AF6282">
        <v>-3.1187066800398102</v>
      </c>
      <c r="AG6282">
        <v>-1.1096197193819901</v>
      </c>
      <c r="AH6282">
        <v>28.255693185383201</v>
      </c>
      <c r="AI6282">
        <v>92.235326642258997</v>
      </c>
      <c r="AJ6282">
        <v>96.2984957068564</v>
      </c>
      <c r="AK6282">
        <v>28.4489329266368</v>
      </c>
      <c r="AL6282">
        <v>91.200630329660399</v>
      </c>
      <c r="AM6282">
        <v>88.543968578072196</v>
      </c>
      <c r="AN6282">
        <v>1.00000005740043</v>
      </c>
    </row>
    <row r="6283" spans="1:40" x14ac:dyDescent="0.25">
      <c r="A6283" t="str">
        <f>"20190312161143159"</f>
        <v>20190312161143159</v>
      </c>
      <c r="B6283" t="str">
        <f>"1552378303153264"</f>
        <v>1552378303153264</v>
      </c>
      <c r="C6283" t="s">
        <v>40</v>
      </c>
      <c r="D6283">
        <v>5.527158</v>
      </c>
      <c r="E6283">
        <v>0.44928590000000002</v>
      </c>
      <c r="F6283" t="s">
        <v>106</v>
      </c>
      <c r="G6283">
        <v>-221.64660000000001</v>
      </c>
      <c r="H6283" s="1">
        <v>1.5966240000000001E-7</v>
      </c>
      <c r="I6283">
        <v>-60.455199999999998</v>
      </c>
      <c r="J6283">
        <v>-246.75200000000001</v>
      </c>
      <c r="K6283">
        <v>1.10961</v>
      </c>
      <c r="L6283">
        <v>-63.721710000000002</v>
      </c>
      <c r="M6283">
        <v>0.99978199999999995</v>
      </c>
      <c r="N6283">
        <v>0</v>
      </c>
      <c r="O6283">
        <v>1.925897E-2</v>
      </c>
      <c r="P6283">
        <v>0.99955179999999999</v>
      </c>
      <c r="Q6283">
        <v>-2.930377E-2</v>
      </c>
      <c r="R6283">
        <v>-6.1682809999999899E-3</v>
      </c>
      <c r="S6283">
        <v>2.9999389999999999</v>
      </c>
      <c r="T6283">
        <v>-0.13212170000000001</v>
      </c>
      <c r="U6283">
        <v>0.38916020000000001</v>
      </c>
      <c r="V6283">
        <v>2.5421450000000002E-2</v>
      </c>
      <c r="W6283">
        <v>-2.124349E-2</v>
      </c>
      <c r="X6283">
        <v>0.99945110000000004</v>
      </c>
      <c r="Y6283">
        <v>-0.1094355</v>
      </c>
      <c r="Z6283">
        <v>1.55467E-3</v>
      </c>
      <c r="AA6283">
        <v>0.99399269999999995</v>
      </c>
      <c r="AB6283">
        <v>16</v>
      </c>
      <c r="AC6283">
        <v>25.105399999999999</v>
      </c>
      <c r="AD6283">
        <v>-1.1096098403376</v>
      </c>
      <c r="AE6283">
        <v>3.26650999999999</v>
      </c>
      <c r="AF6283">
        <v>-2.77704967795585</v>
      </c>
      <c r="AG6283">
        <v>-1.1096098403376</v>
      </c>
      <c r="AH6283">
        <v>25.115409634543902</v>
      </c>
      <c r="AI6283">
        <v>92.514403574088107</v>
      </c>
      <c r="AJ6283">
        <v>96.309652160456693</v>
      </c>
      <c r="AK6283">
        <v>25.292825860756398</v>
      </c>
      <c r="AL6283">
        <v>91.217253863058005</v>
      </c>
      <c r="AM6283">
        <v>88.542972429760596</v>
      </c>
      <c r="AN6283">
        <v>1.0000000186393401</v>
      </c>
    </row>
    <row r="6284" spans="1:40" x14ac:dyDescent="0.25">
      <c r="A6284" t="str">
        <f>"20190312161143171"</f>
        <v>20190312161143171</v>
      </c>
      <c r="B6284" t="str">
        <f>"1552378303164000"</f>
        <v>1552378303164000</v>
      </c>
      <c r="C6284" t="s">
        <v>40</v>
      </c>
      <c r="D6284">
        <v>5.4477539999999998</v>
      </c>
      <c r="E6284">
        <v>0.44949329999999998</v>
      </c>
      <c r="F6284" t="s">
        <v>106</v>
      </c>
      <c r="G6284">
        <v>-220.63820000000001</v>
      </c>
      <c r="H6284" s="1">
        <v>5.9970750000000005E-7</v>
      </c>
      <c r="I6284">
        <v>-60.345359999999999</v>
      </c>
      <c r="J6284">
        <v>-246.66370000000001</v>
      </c>
      <c r="K6284">
        <v>1.1095999999999999</v>
      </c>
      <c r="L6284">
        <v>-63.719850000000001</v>
      </c>
      <c r="M6284">
        <v>0.99978020000000001</v>
      </c>
      <c r="N6284">
        <v>0</v>
      </c>
      <c r="O6284">
        <v>1.935659E-2</v>
      </c>
      <c r="P6284">
        <v>0.99954430000000005</v>
      </c>
      <c r="Q6284">
        <v>-2.9559430000000001E-2</v>
      </c>
      <c r="R6284">
        <v>-6.1241330000000004E-3</v>
      </c>
      <c r="S6284">
        <v>2.9999850000000001</v>
      </c>
      <c r="T6284">
        <v>-0.12747339999999999</v>
      </c>
      <c r="U6284">
        <v>0.38787840000000001</v>
      </c>
      <c r="V6284">
        <v>2.5474320000000002E-2</v>
      </c>
      <c r="W6284">
        <v>-2.1501679999999999E-2</v>
      </c>
      <c r="X6284">
        <v>0.9994442</v>
      </c>
      <c r="Y6284">
        <v>-0.1089252</v>
      </c>
      <c r="Z6284">
        <v>1.485124E-3</v>
      </c>
      <c r="AA6284">
        <v>0.99404879999999995</v>
      </c>
      <c r="AB6284">
        <v>16</v>
      </c>
      <c r="AC6284">
        <v>26.025499999999901</v>
      </c>
      <c r="AD6284">
        <v>-1.10959940029249</v>
      </c>
      <c r="AE6284">
        <v>3.3744900000000002</v>
      </c>
      <c r="AF6284">
        <v>-2.86495478474678</v>
      </c>
      <c r="AG6284">
        <v>-1.10959940029249</v>
      </c>
      <c r="AH6284">
        <v>26.039393864306799</v>
      </c>
      <c r="AI6284">
        <v>92.425412525900001</v>
      </c>
      <c r="AJ6284">
        <v>96.278649566789298</v>
      </c>
      <c r="AK6284">
        <v>26.220015437986898</v>
      </c>
      <c r="AL6284">
        <v>91.232050480102501</v>
      </c>
      <c r="AM6284">
        <v>88.539933426286296</v>
      </c>
      <c r="AN6284">
        <v>0.99999998606796203</v>
      </c>
    </row>
    <row r="6285" spans="1:40" x14ac:dyDescent="0.25">
      <c r="A6285" t="str">
        <f>"20190312161143182"</f>
        <v>20190312161143182</v>
      </c>
      <c r="B6285" t="str">
        <f>"1552378303173761"</f>
        <v>1552378303173761</v>
      </c>
      <c r="C6285" t="s">
        <v>40</v>
      </c>
      <c r="D6285">
        <v>5.4040160000000004</v>
      </c>
      <c r="E6285">
        <v>0.44972570000000001</v>
      </c>
      <c r="F6285" t="s">
        <v>110</v>
      </c>
      <c r="G6285">
        <v>-219.2</v>
      </c>
      <c r="H6285" s="1">
        <v>-2.9509469999999998E-6</v>
      </c>
      <c r="I6285">
        <v>-60.185589999999998</v>
      </c>
      <c r="J6285">
        <v>-246.5795</v>
      </c>
      <c r="K6285">
        <v>1.109588</v>
      </c>
      <c r="L6285">
        <v>-63.718139999999998</v>
      </c>
      <c r="M6285">
        <v>0.99977839999999996</v>
      </c>
      <c r="N6285">
        <v>0</v>
      </c>
      <c r="O6285">
        <v>1.944514E-2</v>
      </c>
      <c r="P6285">
        <v>0.99953150000000002</v>
      </c>
      <c r="Q6285">
        <v>-2.9928280000000002E-2</v>
      </c>
      <c r="R6285">
        <v>-6.3908200000000002E-3</v>
      </c>
      <c r="S6285">
        <v>3.0001530000000001</v>
      </c>
      <c r="T6285">
        <v>-0.1212138</v>
      </c>
      <c r="U6285">
        <v>0.38607789999999997</v>
      </c>
      <c r="V6285">
        <v>2.5829000000000001E-2</v>
      </c>
      <c r="W6285">
        <v>-2.1872760000000002E-2</v>
      </c>
      <c r="X6285">
        <v>0.99942710000000001</v>
      </c>
      <c r="Y6285">
        <v>-0.1082515</v>
      </c>
      <c r="Z6285">
        <v>1.3951250000000001E-3</v>
      </c>
      <c r="AA6285">
        <v>0.99412259999999997</v>
      </c>
      <c r="AB6285">
        <v>17</v>
      </c>
      <c r="AC6285">
        <v>27.3795</v>
      </c>
      <c r="AD6285">
        <v>-1.1095909509469899</v>
      </c>
      <c r="AE6285">
        <v>3.5325500000000001</v>
      </c>
      <c r="AF6285">
        <v>-2.99462871835498</v>
      </c>
      <c r="AG6285">
        <v>-1.1095909509469899</v>
      </c>
      <c r="AH6285">
        <v>27.398753594832701</v>
      </c>
      <c r="AI6285">
        <v>92.305375078711705</v>
      </c>
      <c r="AJ6285">
        <v>96.2375541689253</v>
      </c>
      <c r="AK6285">
        <v>27.584247167352199</v>
      </c>
      <c r="AL6285">
        <v>91.253316730585198</v>
      </c>
      <c r="AM6285">
        <v>88.519588525830898</v>
      </c>
      <c r="AN6285">
        <v>1.0000000415427099</v>
      </c>
    </row>
    <row r="6286" spans="1:40" x14ac:dyDescent="0.25">
      <c r="A6286" t="str">
        <f>"20190312161143193"</f>
        <v>20190312161143193</v>
      </c>
      <c r="B6286" t="str">
        <f>"1552378303183521"</f>
        <v>1552378303183521</v>
      </c>
      <c r="C6286" t="s">
        <v>40</v>
      </c>
      <c r="D6286">
        <v>5.4161679999999999</v>
      </c>
      <c r="E6286">
        <v>0.44988210000000001</v>
      </c>
      <c r="F6286" t="s">
        <v>110</v>
      </c>
      <c r="G6286">
        <v>-218.36760000000001</v>
      </c>
      <c r="H6286" s="1">
        <v>-2.606518E-6</v>
      </c>
      <c r="I6286">
        <v>-60.11421</v>
      </c>
      <c r="J6286">
        <v>-246.5</v>
      </c>
      <c r="K6286">
        <v>1.1095790000000001</v>
      </c>
      <c r="L6286">
        <v>-63.71649</v>
      </c>
      <c r="M6286">
        <v>0.99977709999999997</v>
      </c>
      <c r="N6286">
        <v>0</v>
      </c>
      <c r="O6286">
        <v>1.951688E-2</v>
      </c>
      <c r="P6286">
        <v>0.99952969999999997</v>
      </c>
      <c r="Q6286">
        <v>-2.9926439999999999E-2</v>
      </c>
      <c r="R6286">
        <v>-6.6911619999999996E-3</v>
      </c>
      <c r="S6286">
        <v>3.0003199999999999</v>
      </c>
      <c r="T6286">
        <v>-0.1180046</v>
      </c>
      <c r="U6286">
        <v>0.38327030000000001</v>
      </c>
      <c r="V6286">
        <v>2.620047E-2</v>
      </c>
      <c r="W6286">
        <v>-2.187248E-2</v>
      </c>
      <c r="X6286">
        <v>0.99941740000000001</v>
      </c>
      <c r="Y6286">
        <v>-0.10726239999999999</v>
      </c>
      <c r="Z6286">
        <v>1.336046E-3</v>
      </c>
      <c r="AA6286">
        <v>0.9942299</v>
      </c>
      <c r="AB6286">
        <v>17</v>
      </c>
      <c r="AC6286">
        <v>28.132399999999901</v>
      </c>
      <c r="AD6286">
        <v>-1.109581606518</v>
      </c>
      <c r="AE6286">
        <v>3.6022799999999999</v>
      </c>
      <c r="AF6286">
        <v>-3.0478545101405699</v>
      </c>
      <c r="AG6286">
        <v>-1.109581606518</v>
      </c>
      <c r="AH6286">
        <v>28.1542578073242</v>
      </c>
      <c r="AI6286">
        <v>92.243807992634999</v>
      </c>
      <c r="AJ6286">
        <v>96.178524860615795</v>
      </c>
      <c r="AK6286">
        <v>28.340480255948101</v>
      </c>
      <c r="AL6286">
        <v>91.2533007300908</v>
      </c>
      <c r="AM6286">
        <v>88.498292513304307</v>
      </c>
      <c r="AN6286">
        <v>1.0000000047161599</v>
      </c>
    </row>
    <row r="6287" spans="1:40" x14ac:dyDescent="0.25">
      <c r="A6287" t="str">
        <f>"20190312161143203"</f>
        <v>20190312161143203</v>
      </c>
      <c r="B6287" t="str">
        <f>"1552378303193281"</f>
        <v>1552378303193281</v>
      </c>
      <c r="C6287" t="s">
        <v>40</v>
      </c>
      <c r="D6287">
        <v>5.4533480000000001</v>
      </c>
      <c r="E6287">
        <v>0.45012150000000001</v>
      </c>
      <c r="F6287" t="s">
        <v>110</v>
      </c>
      <c r="G6287">
        <v>-219.16380000000001</v>
      </c>
      <c r="H6287" s="1">
        <v>-2.9252259999999998E-6</v>
      </c>
      <c r="I6287">
        <v>-60.243049999999997</v>
      </c>
      <c r="J6287">
        <v>-246.42230000000001</v>
      </c>
      <c r="K6287">
        <v>1.1095699999999999</v>
      </c>
      <c r="L6287">
        <v>-63.7149</v>
      </c>
      <c r="M6287">
        <v>0.99977579999999999</v>
      </c>
      <c r="N6287">
        <v>0</v>
      </c>
      <c r="O6287">
        <v>1.9585700000000001E-2</v>
      </c>
      <c r="P6287">
        <v>0.99953230000000004</v>
      </c>
      <c r="Q6287">
        <v>-2.98251E-2</v>
      </c>
      <c r="R6287">
        <v>-6.7680049999999997E-3</v>
      </c>
      <c r="S6287">
        <v>3.0003199999999999</v>
      </c>
      <c r="T6287">
        <v>-0.12178360000000001</v>
      </c>
      <c r="U6287">
        <v>0.3812256</v>
      </c>
      <c r="V6287">
        <v>2.6345489999999999E-2</v>
      </c>
      <c r="W6287">
        <v>-2.1772570000000002E-2</v>
      </c>
      <c r="X6287">
        <v>0.99941579999999997</v>
      </c>
      <c r="Y6287">
        <v>-0.10652349999999999</v>
      </c>
      <c r="Z6287">
        <v>1.361148E-3</v>
      </c>
      <c r="AA6287">
        <v>0.9943092</v>
      </c>
      <c r="AB6287">
        <v>17</v>
      </c>
      <c r="AC6287">
        <v>27.258500000000002</v>
      </c>
      <c r="AD6287">
        <v>-1.109572925226</v>
      </c>
      <c r="AE6287">
        <v>3.4718499999999999</v>
      </c>
      <c r="AF6287">
        <v>-2.9325084691689201</v>
      </c>
      <c r="AG6287">
        <v>-1.109572925226</v>
      </c>
      <c r="AH6287">
        <v>27.276797166963199</v>
      </c>
      <c r="AI6287">
        <v>92.316077149261403</v>
      </c>
      <c r="AJ6287">
        <v>96.136258233104797</v>
      </c>
      <c r="AK6287">
        <v>27.4564094827746</v>
      </c>
      <c r="AL6287">
        <v>91.247574906875698</v>
      </c>
      <c r="AM6287">
        <v>88.489981960931601</v>
      </c>
      <c r="AN6287">
        <v>1.00000003546869</v>
      </c>
    </row>
    <row r="6288" spans="1:40" x14ac:dyDescent="0.25">
      <c r="A6288" t="str">
        <f>"20190312161143214"</f>
        <v>20190312161143214</v>
      </c>
      <c r="B6288" t="str">
        <f>"1552378303203041"</f>
        <v>1552378303203041</v>
      </c>
      <c r="C6288" t="s">
        <v>40</v>
      </c>
      <c r="D6288">
        <v>5.4161149999999996</v>
      </c>
      <c r="E6288">
        <v>0.45037840000000001</v>
      </c>
      <c r="F6288" t="s">
        <v>110</v>
      </c>
      <c r="G6288">
        <v>-218.54750000000001</v>
      </c>
      <c r="H6288" s="1">
        <v>-2.6694939999999999E-6</v>
      </c>
      <c r="I6288">
        <v>-60.194090000000003</v>
      </c>
      <c r="J6288">
        <v>-246.34360000000001</v>
      </c>
      <c r="K6288">
        <v>1.1095619999999999</v>
      </c>
      <c r="L6288">
        <v>-63.713290000000001</v>
      </c>
      <c r="M6288">
        <v>0.99977470000000002</v>
      </c>
      <c r="N6288">
        <v>0</v>
      </c>
      <c r="O6288">
        <v>1.964188E-2</v>
      </c>
      <c r="P6288">
        <v>0.99953590000000003</v>
      </c>
      <c r="Q6288">
        <v>-2.965653E-2</v>
      </c>
      <c r="R6288">
        <v>-6.9649869999999997E-3</v>
      </c>
      <c r="S6288">
        <v>3.000397</v>
      </c>
      <c r="T6288">
        <v>-0.1194326</v>
      </c>
      <c r="U6288">
        <v>0.37896730000000001</v>
      </c>
      <c r="V6288">
        <v>2.6598190000000001E-2</v>
      </c>
      <c r="W6288">
        <v>-2.1604970000000001E-2</v>
      </c>
      <c r="X6288">
        <v>0.99941270000000004</v>
      </c>
      <c r="Y6288">
        <v>-0.105731199999999</v>
      </c>
      <c r="Z6288">
        <v>1.3169939999999999E-3</v>
      </c>
      <c r="AA6288">
        <v>0.99439390000000005</v>
      </c>
      <c r="AB6288">
        <v>17</v>
      </c>
      <c r="AC6288">
        <v>27.796099999999999</v>
      </c>
      <c r="AD6288">
        <v>-1.109564669494</v>
      </c>
      <c r="AE6288">
        <v>3.5191999999999899</v>
      </c>
      <c r="AF6288">
        <v>-2.9678811447977398</v>
      </c>
      <c r="AG6288">
        <v>-1.109564669494</v>
      </c>
      <c r="AH6288">
        <v>27.816238749130498</v>
      </c>
      <c r="AI6288">
        <v>92.271387370085193</v>
      </c>
      <c r="AJ6288">
        <v>96.090189378761906</v>
      </c>
      <c r="AK6288">
        <v>27.996117416421601</v>
      </c>
      <c r="AL6288">
        <v>91.237969929393103</v>
      </c>
      <c r="AM6288">
        <v>88.475500284384296</v>
      </c>
      <c r="AN6288">
        <v>0.99999999168063303</v>
      </c>
    </row>
    <row r="6289" spans="1:40" x14ac:dyDescent="0.25">
      <c r="A6289" t="str">
        <f>"20190312161143225"</f>
        <v>20190312161143225</v>
      </c>
      <c r="B6289" t="str">
        <f>"1552378303213777"</f>
        <v>1552378303213777</v>
      </c>
      <c r="C6289" t="s">
        <v>40</v>
      </c>
      <c r="D6289">
        <v>5.372242</v>
      </c>
      <c r="E6289">
        <v>0.45047320000000002</v>
      </c>
      <c r="F6289" t="s">
        <v>110</v>
      </c>
      <c r="G6289">
        <v>-217.66319999999999</v>
      </c>
      <c r="H6289" s="1">
        <v>-2.3037250000000001E-6</v>
      </c>
      <c r="I6289">
        <v>-60.117469999999997</v>
      </c>
      <c r="J6289">
        <v>-246.25989999999999</v>
      </c>
      <c r="K6289">
        <v>1.1095539999999999</v>
      </c>
      <c r="L6289">
        <v>-63.711550000000003</v>
      </c>
      <c r="M6289">
        <v>0.99977360000000004</v>
      </c>
      <c r="N6289">
        <v>0</v>
      </c>
      <c r="O6289">
        <v>1.9699910000000001E-2</v>
      </c>
      <c r="P6289">
        <v>0.99954399999999999</v>
      </c>
      <c r="Q6289">
        <v>-2.9373139999999999E-2</v>
      </c>
      <c r="R6289">
        <v>-7.0450080000000002E-3</v>
      </c>
      <c r="S6289">
        <v>3.0005649999999999</v>
      </c>
      <c r="T6289">
        <v>-0.1160834</v>
      </c>
      <c r="U6289">
        <v>0.37619019999999997</v>
      </c>
      <c r="V6289">
        <v>2.673559E-2</v>
      </c>
      <c r="W6289">
        <v>-2.1322500000000001E-2</v>
      </c>
      <c r="X6289">
        <v>0.9994151</v>
      </c>
      <c r="Y6289">
        <v>-0.104765</v>
      </c>
      <c r="Z6289">
        <v>1.259247E-3</v>
      </c>
      <c r="AA6289">
        <v>0.99449620000000005</v>
      </c>
      <c r="AB6289">
        <v>17</v>
      </c>
      <c r="AC6289">
        <v>28.596699999999998</v>
      </c>
      <c r="AD6289">
        <v>-1.109556303725</v>
      </c>
      <c r="AE6289">
        <v>3.5940799999999999</v>
      </c>
      <c r="AF6289">
        <v>-3.0255278909926901</v>
      </c>
      <c r="AG6289">
        <v>-1.109556303725</v>
      </c>
      <c r="AH6289">
        <v>28.619540098166901</v>
      </c>
      <c r="AI6289">
        <v>92.207907916818996</v>
      </c>
      <c r="AJ6289">
        <v>96.034635838737898</v>
      </c>
      <c r="AK6289">
        <v>28.8003994701618</v>
      </c>
      <c r="AL6289">
        <v>91.221781861369607</v>
      </c>
      <c r="AM6289">
        <v>88.467632500337899</v>
      </c>
      <c r="AN6289">
        <v>0.99999999144345397</v>
      </c>
    </row>
    <row r="6290" spans="1:40" x14ac:dyDescent="0.25">
      <c r="A6290" t="str">
        <f>"20190312161143237"</f>
        <v>20190312161143237</v>
      </c>
      <c r="B6290" t="str">
        <f>"1552378303233296"</f>
        <v>1552378303233296</v>
      </c>
      <c r="C6290" t="s">
        <v>40</v>
      </c>
      <c r="D6290">
        <v>5.4198170000000001</v>
      </c>
      <c r="E6290">
        <v>0.45070080000000001</v>
      </c>
      <c r="F6290" t="s">
        <v>110</v>
      </c>
      <c r="G6290">
        <v>-216.53899999999999</v>
      </c>
      <c r="H6290" s="1">
        <v>-1.8429989999999999E-6</v>
      </c>
      <c r="I6290">
        <v>-59.996070000000003</v>
      </c>
      <c r="J6290">
        <v>-246.17449999999999</v>
      </c>
      <c r="K6290">
        <v>1.109545</v>
      </c>
      <c r="L6290">
        <v>-63.709870000000002</v>
      </c>
      <c r="M6290">
        <v>0.99977260000000001</v>
      </c>
      <c r="N6290">
        <v>0</v>
      </c>
      <c r="O6290">
        <v>1.974768E-2</v>
      </c>
      <c r="P6290">
        <v>0.99954569999999998</v>
      </c>
      <c r="Q6290">
        <v>-2.9263819999999999E-2</v>
      </c>
      <c r="R6290">
        <v>-7.2322530000000001E-3</v>
      </c>
      <c r="S6290">
        <v>3.0007320000000002</v>
      </c>
      <c r="T6290">
        <v>-0.112025</v>
      </c>
      <c r="U6290">
        <v>0.37512210000000001</v>
      </c>
      <c r="V6290">
        <v>2.6970310000000001E-2</v>
      </c>
      <c r="W6290">
        <v>-2.1213650000000001E-2</v>
      </c>
      <c r="X6290">
        <v>0.9994111</v>
      </c>
      <c r="Y6290">
        <v>-0.10436670000000001</v>
      </c>
      <c r="Z6290">
        <v>1.2060339999999999E-3</v>
      </c>
      <c r="AA6290">
        <v>0.99453809999999998</v>
      </c>
      <c r="AB6290">
        <v>17</v>
      </c>
      <c r="AC6290">
        <v>29.635499999999901</v>
      </c>
      <c r="AD6290">
        <v>-1.1095468429989901</v>
      </c>
      <c r="AE6290">
        <v>3.7137999999999902</v>
      </c>
      <c r="AF6290">
        <v>-3.1235137667861901</v>
      </c>
      <c r="AG6290">
        <v>-1.1095468429989901</v>
      </c>
      <c r="AH6290">
        <v>29.6621262159799</v>
      </c>
      <c r="AI6290">
        <v>92.130448997859602</v>
      </c>
      <c r="AJ6290">
        <v>96.011269236674494</v>
      </c>
      <c r="AK6290">
        <v>29.846761367036699</v>
      </c>
      <c r="AL6290">
        <v>91.215543816583306</v>
      </c>
      <c r="AM6290">
        <v>88.454179687982901</v>
      </c>
      <c r="AN6290">
        <v>0.99999998168551396</v>
      </c>
    </row>
    <row r="6291" spans="1:40" x14ac:dyDescent="0.25">
      <c r="A6291" t="str">
        <f>"20190312161143249"</f>
        <v>20190312161143249</v>
      </c>
      <c r="B6291" t="str">
        <f>"1552378303243057"</f>
        <v>1552378303243057</v>
      </c>
      <c r="C6291" t="s">
        <v>40</v>
      </c>
      <c r="D6291">
        <v>5.3671819999999997</v>
      </c>
      <c r="E6291">
        <v>0.45068520000000001</v>
      </c>
      <c r="F6291" t="s">
        <v>110</v>
      </c>
      <c r="G6291">
        <v>-215.0795</v>
      </c>
      <c r="H6291" s="1">
        <v>-1.2428739999999999E-6</v>
      </c>
      <c r="I6291">
        <v>-59.849400000000003</v>
      </c>
      <c r="J6291">
        <v>-246.07820000000001</v>
      </c>
      <c r="K6291">
        <v>1.10954</v>
      </c>
      <c r="L6291">
        <v>-63.707889999999999</v>
      </c>
      <c r="M6291">
        <v>0.99977150000000004</v>
      </c>
      <c r="N6291">
        <v>0</v>
      </c>
      <c r="O6291">
        <v>1.979653E-2</v>
      </c>
      <c r="P6291">
        <v>0.99954229999999999</v>
      </c>
      <c r="Q6291">
        <v>-2.9369719999999998E-2</v>
      </c>
      <c r="R6291">
        <v>-7.2683000000000001E-3</v>
      </c>
      <c r="S6291">
        <v>3.0009160000000001</v>
      </c>
      <c r="T6291">
        <v>-0.1070797</v>
      </c>
      <c r="U6291">
        <v>0.37255860000000002</v>
      </c>
      <c r="V6291">
        <v>2.7054600000000002E-2</v>
      </c>
      <c r="W6291">
        <v>-2.1319769999999998E-2</v>
      </c>
      <c r="X6291">
        <v>0.99940660000000003</v>
      </c>
      <c r="Y6291">
        <v>-0.1034796</v>
      </c>
      <c r="Z6291">
        <v>1.135322E-3</v>
      </c>
      <c r="AA6291">
        <v>0.99463089999999998</v>
      </c>
      <c r="AB6291">
        <v>17</v>
      </c>
      <c r="AC6291">
        <v>30.998699999999999</v>
      </c>
      <c r="AD6291">
        <v>-1.1095412428739999</v>
      </c>
      <c r="AE6291">
        <v>3.85848999999999</v>
      </c>
      <c r="AF6291">
        <v>-3.2399596033374398</v>
      </c>
      <c r="AG6291">
        <v>-1.1095412428739999</v>
      </c>
      <c r="AH6291">
        <v>31.029864591786499</v>
      </c>
      <c r="AI6291">
        <v>92.036801030786194</v>
      </c>
      <c r="AJ6291">
        <v>95.960895109998205</v>
      </c>
      <c r="AK6291">
        <v>31.2182785653774</v>
      </c>
      <c r="AL6291">
        <v>91.221625375818405</v>
      </c>
      <c r="AM6291">
        <v>88.449343929912004</v>
      </c>
      <c r="AN6291">
        <v>1.00000001804878</v>
      </c>
    </row>
    <row r="6292" spans="1:40" x14ac:dyDescent="0.25">
      <c r="A6292" t="str">
        <f>"20190312161143261"</f>
        <v>20190312161143261</v>
      </c>
      <c r="B6292" t="str">
        <f>"1552378303253794"</f>
        <v>1552378303253794</v>
      </c>
      <c r="C6292" t="s">
        <v>40</v>
      </c>
      <c r="D6292">
        <v>5.4288109999999996</v>
      </c>
      <c r="E6292">
        <v>0.45069989999999999</v>
      </c>
      <c r="F6292" t="s">
        <v>110</v>
      </c>
      <c r="G6292">
        <v>-214.44820000000001</v>
      </c>
      <c r="H6292" s="1">
        <v>-9.8396069999999998E-7</v>
      </c>
      <c r="I6292">
        <v>-59.782429999999998</v>
      </c>
      <c r="J6292">
        <v>-245.98740000000001</v>
      </c>
      <c r="K6292">
        <v>1.109532</v>
      </c>
      <c r="L6292">
        <v>-63.706020000000002</v>
      </c>
      <c r="M6292">
        <v>0.99977079999999996</v>
      </c>
      <c r="N6292">
        <v>0</v>
      </c>
      <c r="O6292">
        <v>1.9836340000000001E-2</v>
      </c>
      <c r="P6292">
        <v>0.99955309999999997</v>
      </c>
      <c r="Q6292">
        <v>-2.89856E-2</v>
      </c>
      <c r="R6292">
        <v>-7.3137990000000002E-3</v>
      </c>
      <c r="S6292">
        <v>3.001007</v>
      </c>
      <c r="T6292">
        <v>-0.1052718</v>
      </c>
      <c r="U6292">
        <v>0.3724365</v>
      </c>
      <c r="V6292">
        <v>2.7139969999999999E-2</v>
      </c>
      <c r="W6292">
        <v>-2.093544E-2</v>
      </c>
      <c r="X6292">
        <v>0.99941239999999998</v>
      </c>
      <c r="Y6292">
        <v>-0.1033983</v>
      </c>
      <c r="Z6292">
        <v>1.113324E-3</v>
      </c>
      <c r="AA6292">
        <v>0.99463939999999995</v>
      </c>
      <c r="AB6292">
        <v>17</v>
      </c>
      <c r="AC6292">
        <v>31.539199999999902</v>
      </c>
      <c r="AD6292">
        <v>-1.1095329839607</v>
      </c>
      <c r="AE6292">
        <v>3.9235899999999901</v>
      </c>
      <c r="AF6292">
        <v>-3.29316186752708</v>
      </c>
      <c r="AG6292">
        <v>-1.1095329839607</v>
      </c>
      <c r="AH6292">
        <v>31.5723478201269</v>
      </c>
      <c r="AI6292">
        <v>92.001840590966395</v>
      </c>
      <c r="AJ6292">
        <v>95.954718371557405</v>
      </c>
      <c r="AK6292">
        <v>31.763015055301398</v>
      </c>
      <c r="AL6292">
        <v>91.199599984909298</v>
      </c>
      <c r="AM6292">
        <v>88.444462303301194</v>
      </c>
      <c r="AN6292">
        <v>1.00000000794667</v>
      </c>
    </row>
    <row r="6293" spans="1:40" x14ac:dyDescent="0.25">
      <c r="A6293" t="str">
        <f>"20190312161143274"</f>
        <v>20190312161143274</v>
      </c>
      <c r="B6293" t="str">
        <f>"1552378303263553"</f>
        <v>1552378303263553</v>
      </c>
      <c r="C6293" t="s">
        <v>40</v>
      </c>
      <c r="D6293">
        <v>5.4116460000000002</v>
      </c>
      <c r="E6293">
        <v>0.45071460000000002</v>
      </c>
      <c r="F6293" t="s">
        <v>110</v>
      </c>
      <c r="G6293">
        <v>-213.56039999999999</v>
      </c>
      <c r="H6293" s="1">
        <v>-6.2041699999999996E-7</v>
      </c>
      <c r="I6293">
        <v>-59.684719999999999</v>
      </c>
      <c r="J6293">
        <v>-245.89189999999999</v>
      </c>
      <c r="K6293">
        <v>1.1095280000000001</v>
      </c>
      <c r="L6293">
        <v>-63.704099999999997</v>
      </c>
      <c r="M6293">
        <v>0.99977020000000005</v>
      </c>
      <c r="N6293">
        <v>0</v>
      </c>
      <c r="O6293">
        <v>1.987152E-2</v>
      </c>
      <c r="P6293">
        <v>0.9995522</v>
      </c>
      <c r="Q6293">
        <v>-2.902412E-2</v>
      </c>
      <c r="R6293">
        <v>-7.2993290000000002E-3</v>
      </c>
      <c r="S6293">
        <v>3.0010829999999999</v>
      </c>
      <c r="T6293">
        <v>-0.10268620000000001</v>
      </c>
      <c r="U6293">
        <v>0.37216189999999999</v>
      </c>
      <c r="V6293">
        <v>2.7160219999999999E-2</v>
      </c>
      <c r="W6293">
        <v>-2.0973229999999999E-2</v>
      </c>
      <c r="X6293">
        <v>0.99941100000000005</v>
      </c>
      <c r="Y6293">
        <v>-0.10327310000000001</v>
      </c>
      <c r="Z6293">
        <v>1.082642E-3</v>
      </c>
      <c r="AA6293">
        <v>0.99465250000000005</v>
      </c>
      <c r="AB6293">
        <v>17</v>
      </c>
      <c r="AC6293">
        <v>32.331499999999998</v>
      </c>
      <c r="AD6293">
        <v>-1.1095286204170001</v>
      </c>
      <c r="AE6293">
        <v>4.0193799999999902</v>
      </c>
      <c r="AF6293">
        <v>-3.3721785783312002</v>
      </c>
      <c r="AG6293">
        <v>-1.1095286204170001</v>
      </c>
      <c r="AH6293">
        <v>32.367451065603298</v>
      </c>
      <c r="AI6293">
        <v>91.952720797827496</v>
      </c>
      <c r="AJ6293">
        <v>95.947859626853997</v>
      </c>
      <c r="AK6293">
        <v>32.561549880309798</v>
      </c>
      <c r="AL6293">
        <v>91.201765737049598</v>
      </c>
      <c r="AM6293">
        <v>88.443300058142398</v>
      </c>
      <c r="AN6293">
        <v>0.999999950424039</v>
      </c>
    </row>
    <row r="6294" spans="1:40" x14ac:dyDescent="0.25">
      <c r="A6294" t="str">
        <f>"20190312161143286"</f>
        <v>20190312161143286</v>
      </c>
      <c r="B6294" t="str">
        <f>"1552378303273312"</f>
        <v>1552378303273312</v>
      </c>
      <c r="C6294" t="s">
        <v>40</v>
      </c>
      <c r="D6294">
        <v>5.4098110000000004</v>
      </c>
      <c r="E6294">
        <v>0.4506849</v>
      </c>
      <c r="F6294" t="s">
        <v>110</v>
      </c>
      <c r="G6294">
        <v>-212.99950000000001</v>
      </c>
      <c r="H6294" s="1">
        <v>-3.9000989999999999E-7</v>
      </c>
      <c r="I6294">
        <v>-59.627110000000002</v>
      </c>
      <c r="J6294">
        <v>-245.80510000000001</v>
      </c>
      <c r="K6294">
        <v>1.1095219999999999</v>
      </c>
      <c r="L6294">
        <v>-63.702330000000003</v>
      </c>
      <c r="M6294">
        <v>0.99976969999999998</v>
      </c>
      <c r="N6294">
        <v>0</v>
      </c>
      <c r="O6294">
        <v>1.9901530000000001E-2</v>
      </c>
      <c r="P6294">
        <v>0.99955090000000002</v>
      </c>
      <c r="Q6294">
        <v>-2.911161E-2</v>
      </c>
      <c r="R6294">
        <v>-7.1278259999999899E-3</v>
      </c>
      <c r="S6294">
        <v>3.001099</v>
      </c>
      <c r="T6294">
        <v>-0.1012332</v>
      </c>
      <c r="U6294">
        <v>0.3719788</v>
      </c>
      <c r="V6294">
        <v>2.7018750000000001E-2</v>
      </c>
      <c r="W6294">
        <v>-2.1059850000000001E-2</v>
      </c>
      <c r="X6294">
        <v>0.99941310000000005</v>
      </c>
      <c r="Y6294">
        <v>-0.10318430000000001</v>
      </c>
      <c r="Z6294">
        <v>1.0648319999999999E-3</v>
      </c>
      <c r="AA6294">
        <v>0.99466169999999998</v>
      </c>
      <c r="AB6294">
        <v>17</v>
      </c>
      <c r="AC6294">
        <v>32.805599999999998</v>
      </c>
      <c r="AD6294">
        <v>-1.1095223900098901</v>
      </c>
      <c r="AE6294">
        <v>4.0752199999999998</v>
      </c>
      <c r="AF6294">
        <v>-3.4176602044584099</v>
      </c>
      <c r="AG6294">
        <v>-1.1095223900098901</v>
      </c>
      <c r="AH6294">
        <v>32.843210596303301</v>
      </c>
      <c r="AI6294">
        <v>91.924469378166805</v>
      </c>
      <c r="AJ6294">
        <v>95.9408096362788</v>
      </c>
      <c r="AK6294">
        <v>33.039187694012703</v>
      </c>
      <c r="AL6294">
        <v>91.206729689297006</v>
      </c>
      <c r="AM6294">
        <v>88.451407767076304</v>
      </c>
      <c r="AN6294">
        <v>1.0000000372925899</v>
      </c>
    </row>
    <row r="6295" spans="1:40" x14ac:dyDescent="0.25">
      <c r="A6295" t="str">
        <f>"20190312161143298"</f>
        <v>20190312161143298</v>
      </c>
      <c r="B6295" t="str">
        <f>"1552378303293808"</f>
        <v>1552378303293808</v>
      </c>
      <c r="C6295" t="s">
        <v>40</v>
      </c>
      <c r="D6295">
        <v>5.4134209999999996</v>
      </c>
      <c r="E6295">
        <v>0.45072469999999998</v>
      </c>
      <c r="F6295" t="s">
        <v>110</v>
      </c>
      <c r="G6295">
        <v>-212.71129999999999</v>
      </c>
      <c r="H6295" s="1">
        <v>-2.7258799999999998E-7</v>
      </c>
      <c r="I6295">
        <v>-59.59196</v>
      </c>
      <c r="J6295">
        <v>-245.70830000000001</v>
      </c>
      <c r="K6295">
        <v>1.109523</v>
      </c>
      <c r="L6295">
        <v>-63.700380000000003</v>
      </c>
      <c r="M6295">
        <v>0.99976900000000002</v>
      </c>
      <c r="N6295">
        <v>0</v>
      </c>
      <c r="O6295">
        <v>1.993091E-2</v>
      </c>
      <c r="P6295">
        <v>0.99955050000000001</v>
      </c>
      <c r="Q6295">
        <v>-2.918695E-2</v>
      </c>
      <c r="R6295">
        <v>-6.8790669999999896E-3</v>
      </c>
      <c r="S6295">
        <v>3.001099</v>
      </c>
      <c r="T6295">
        <v>-0.1006166</v>
      </c>
      <c r="U6295">
        <v>0.37274170000000001</v>
      </c>
      <c r="V6295">
        <v>2.6799280000000002E-2</v>
      </c>
      <c r="W6295">
        <v>-2.113367E-2</v>
      </c>
      <c r="X6295">
        <v>0.99941740000000001</v>
      </c>
      <c r="Y6295">
        <v>-0.1034045</v>
      </c>
      <c r="Z6295">
        <v>1.0610299999999999E-3</v>
      </c>
      <c r="AA6295">
        <v>0.99463880000000005</v>
      </c>
      <c r="AB6295">
        <v>17</v>
      </c>
      <c r="AC6295">
        <v>32.997</v>
      </c>
      <c r="AD6295">
        <v>-1.109523272588</v>
      </c>
      <c r="AE6295">
        <v>4.1084199999999997</v>
      </c>
      <c r="AF6295">
        <v>-3.4460855354478501</v>
      </c>
      <c r="AG6295">
        <v>-1.109523272588</v>
      </c>
      <c r="AH6295">
        <v>33.035551158503502</v>
      </c>
      <c r="AI6295">
        <v>91.913224382506598</v>
      </c>
      <c r="AJ6295">
        <v>95.955239716060504</v>
      </c>
      <c r="AK6295">
        <v>33.233329471422799</v>
      </c>
      <c r="AL6295">
        <v>91.210960266747804</v>
      </c>
      <c r="AM6295">
        <v>88.463987347026105</v>
      </c>
      <c r="AN6295">
        <v>0.99999998641947296</v>
      </c>
    </row>
    <row r="6296" spans="1:40" x14ac:dyDescent="0.25">
      <c r="A6296" t="str">
        <f>"20190312161143312"</f>
        <v>20190312161143312</v>
      </c>
      <c r="B6296" t="str">
        <f>"1552378303303569"</f>
        <v>1552378303303569</v>
      </c>
      <c r="C6296" t="s">
        <v>40</v>
      </c>
      <c r="D6296">
        <v>5.4165020000000004</v>
      </c>
      <c r="E6296">
        <v>0.45075120000000002</v>
      </c>
      <c r="F6296" t="s">
        <v>110</v>
      </c>
      <c r="G6296">
        <v>-212.2568</v>
      </c>
      <c r="H6296" s="1">
        <v>-8.6587989999999998E-8</v>
      </c>
      <c r="I6296">
        <v>-59.54139</v>
      </c>
      <c r="J6296">
        <v>-245.60849999999999</v>
      </c>
      <c r="K6296">
        <v>1.1095250000000001</v>
      </c>
      <c r="L6296">
        <v>-63.698360000000001</v>
      </c>
      <c r="M6296">
        <v>0.9997684</v>
      </c>
      <c r="N6296">
        <v>0</v>
      </c>
      <c r="O6296">
        <v>1.995941E-2</v>
      </c>
      <c r="P6296">
        <v>0.99955620000000001</v>
      </c>
      <c r="Q6296">
        <v>-2.8967699999999999E-2</v>
      </c>
      <c r="R6296">
        <v>-6.9628980000000004E-3</v>
      </c>
      <c r="S6296">
        <v>3.0010219999999999</v>
      </c>
      <c r="T6296">
        <v>-9.9538089999999996E-2</v>
      </c>
      <c r="U6296">
        <v>0.37310789999999999</v>
      </c>
      <c r="V6296">
        <v>2.6911870000000001E-2</v>
      </c>
      <c r="W6296">
        <v>-2.0912569999999998E-2</v>
      </c>
      <c r="X6296">
        <v>0.99941899999999995</v>
      </c>
      <c r="Y6296">
        <v>-0.1034997</v>
      </c>
      <c r="Z6296">
        <v>1.0503139999999999E-3</v>
      </c>
      <c r="AA6296">
        <v>0.99462890000000004</v>
      </c>
      <c r="AB6296">
        <v>17</v>
      </c>
      <c r="AC6296">
        <v>33.351699999999902</v>
      </c>
      <c r="AD6296">
        <v>-1.10952508658799</v>
      </c>
      <c r="AE6296">
        <v>4.1569700000000003</v>
      </c>
      <c r="AF6296">
        <v>-3.4866403180323</v>
      </c>
      <c r="AG6296">
        <v>-1.10952508658799</v>
      </c>
      <c r="AH6296">
        <v>33.391639055861098</v>
      </c>
      <c r="AI6296">
        <v>91.892819862762806</v>
      </c>
      <c r="AJ6296">
        <v>95.961027230476006</v>
      </c>
      <c r="AK6296">
        <v>33.591505852849203</v>
      </c>
      <c r="AL6296">
        <v>91.198289399830898</v>
      </c>
      <c r="AM6296">
        <v>88.457539780227606</v>
      </c>
      <c r="AN6296">
        <v>0.99999996094595001</v>
      </c>
    </row>
    <row r="6297" spans="1:40" x14ac:dyDescent="0.25">
      <c r="A6297" t="str">
        <f>"20190312161143326"</f>
        <v>20190312161143326</v>
      </c>
      <c r="B6297" t="str">
        <f>"1552378303313328"</f>
        <v>1552378303313328</v>
      </c>
      <c r="C6297" t="s">
        <v>40</v>
      </c>
      <c r="D6297">
        <v>5.401885</v>
      </c>
      <c r="E6297">
        <v>0.45073800000000003</v>
      </c>
      <c r="F6297" t="s">
        <v>110</v>
      </c>
      <c r="G6297">
        <v>-211.5119</v>
      </c>
      <c r="H6297" s="1">
        <v>2.193187E-7</v>
      </c>
      <c r="I6297">
        <v>-59.464480000000002</v>
      </c>
      <c r="J6297">
        <v>-245.49760000000001</v>
      </c>
      <c r="K6297">
        <v>1.1095299999999999</v>
      </c>
      <c r="L6297">
        <v>-63.696109999999997</v>
      </c>
      <c r="M6297">
        <v>0.99976770000000004</v>
      </c>
      <c r="N6297">
        <v>0</v>
      </c>
      <c r="O6297">
        <v>1.9990310000000001E-2</v>
      </c>
      <c r="P6297">
        <v>0.99956800000000001</v>
      </c>
      <c r="Q6297">
        <v>-2.85715E-2</v>
      </c>
      <c r="R6297">
        <v>-6.9243519999999999E-3</v>
      </c>
      <c r="S6297">
        <v>3.001099</v>
      </c>
      <c r="T6297">
        <v>-9.7657560000000004E-2</v>
      </c>
      <c r="U6297">
        <v>0.37265009999999998</v>
      </c>
      <c r="V6297">
        <v>2.6904480000000001E-2</v>
      </c>
      <c r="W6297">
        <v>-2.0513920000000001E-2</v>
      </c>
      <c r="X6297">
        <v>0.99942750000000002</v>
      </c>
      <c r="Y6297">
        <v>-0.1033183</v>
      </c>
      <c r="Z6297">
        <v>1.026524E-3</v>
      </c>
      <c r="AA6297">
        <v>0.99464779999999997</v>
      </c>
      <c r="AB6297">
        <v>17</v>
      </c>
      <c r="AC6297">
        <v>33.985700000000001</v>
      </c>
      <c r="AD6297">
        <v>-1.10952978068129</v>
      </c>
      <c r="AE6297">
        <v>4.2316299999999902</v>
      </c>
      <c r="AF6297">
        <v>-3.5476541681179401</v>
      </c>
      <c r="AG6297">
        <v>-1.10952978068129</v>
      </c>
      <c r="AH6297">
        <v>34.027788716568601</v>
      </c>
      <c r="AI6297">
        <v>91.857496927336896</v>
      </c>
      <c r="AJ6297">
        <v>95.952014815645498</v>
      </c>
      <c r="AK6297">
        <v>34.230210507243697</v>
      </c>
      <c r="AL6297">
        <v>91.1754434891361</v>
      </c>
      <c r="AM6297">
        <v>88.457976243788593</v>
      </c>
      <c r="AN6297">
        <v>0.99999999985704302</v>
      </c>
    </row>
    <row r="6298" spans="1:40" x14ac:dyDescent="0.25">
      <c r="A6298" t="str">
        <f>"20190312161143336"</f>
        <v>20190312161143336</v>
      </c>
      <c r="B6298" t="str">
        <f>"1552378303323089"</f>
        <v>1552378303323089</v>
      </c>
      <c r="C6298" t="s">
        <v>40</v>
      </c>
      <c r="D6298">
        <v>5.3443239999999896</v>
      </c>
      <c r="E6298">
        <v>0.45076759999999999</v>
      </c>
      <c r="F6298" t="s">
        <v>110</v>
      </c>
      <c r="G6298">
        <v>-210.92449999999999</v>
      </c>
      <c r="H6298" s="1">
        <v>4.5114670000000001E-7</v>
      </c>
      <c r="I6298">
        <v>-59.401029999999999</v>
      </c>
      <c r="J6298">
        <v>-245.41399999999999</v>
      </c>
      <c r="K6298">
        <v>1.1095349999999999</v>
      </c>
      <c r="L6298">
        <v>-63.694400000000002</v>
      </c>
      <c r="M6298">
        <v>0.99976730000000003</v>
      </c>
      <c r="N6298">
        <v>0</v>
      </c>
      <c r="O6298">
        <v>2.001358E-2</v>
      </c>
      <c r="P6298">
        <v>0.99957010000000002</v>
      </c>
      <c r="Q6298">
        <v>-2.848558E-2</v>
      </c>
      <c r="R6298">
        <v>-6.9892859999999999E-3</v>
      </c>
      <c r="S6298">
        <v>3.001144</v>
      </c>
      <c r="T6298">
        <v>-9.6313709999999997E-2</v>
      </c>
      <c r="U6298">
        <v>0.37283329999999998</v>
      </c>
      <c r="V6298">
        <v>2.6992680000000002E-2</v>
      </c>
      <c r="W6298">
        <v>-2.04259E-2</v>
      </c>
      <c r="X6298">
        <v>0.99942690000000001</v>
      </c>
      <c r="Y6298">
        <v>-0.10335419999999999</v>
      </c>
      <c r="Z6298">
        <v>1.0122180000000001E-3</v>
      </c>
      <c r="AA6298">
        <v>0.99464410000000003</v>
      </c>
      <c r="AB6298">
        <v>17</v>
      </c>
      <c r="AC6298">
        <v>34.4895</v>
      </c>
      <c r="AD6298">
        <v>-1.1095345488532999</v>
      </c>
      <c r="AE6298">
        <v>4.2933699999999897</v>
      </c>
      <c r="AF6298">
        <v>-3.5985618814926101</v>
      </c>
      <c r="AG6298">
        <v>-1.1095345488532999</v>
      </c>
      <c r="AH6298">
        <v>34.533326128619201</v>
      </c>
      <c r="AI6298">
        <v>91.830341127067896</v>
      </c>
      <c r="AJ6298">
        <v>95.949063106516903</v>
      </c>
      <c r="AK6298">
        <v>34.738038632536501</v>
      </c>
      <c r="AL6298">
        <v>91.170399286441196</v>
      </c>
      <c r="AM6298">
        <v>88.452922606546494</v>
      </c>
      <c r="AN6298">
        <v>0.99999997530400098</v>
      </c>
    </row>
    <row r="6299" spans="1:40" x14ac:dyDescent="0.25">
      <c r="A6299" t="str">
        <f>"20190312161143349"</f>
        <v>20190312161143349</v>
      </c>
      <c r="B6299" t="str">
        <f>"1552378303343588"</f>
        <v>1552378303343588</v>
      </c>
      <c r="C6299" t="s">
        <v>40</v>
      </c>
      <c r="D6299">
        <v>5.4027649999999996</v>
      </c>
      <c r="E6299">
        <v>0.4509107</v>
      </c>
      <c r="F6299" t="s">
        <v>110</v>
      </c>
      <c r="G6299">
        <v>-211.30520000000001</v>
      </c>
      <c r="H6299" s="1">
        <v>3.073285E-7</v>
      </c>
      <c r="I6299">
        <v>-59.460740000000001</v>
      </c>
      <c r="J6299">
        <v>-245.32380000000001</v>
      </c>
      <c r="K6299">
        <v>1.1095389999999901</v>
      </c>
      <c r="L6299">
        <v>-63.692540000000001</v>
      </c>
      <c r="M6299">
        <v>0.99976659999999995</v>
      </c>
      <c r="N6299">
        <v>0</v>
      </c>
      <c r="O6299">
        <v>2.0039479999999998E-2</v>
      </c>
      <c r="P6299">
        <v>0.99956420000000001</v>
      </c>
      <c r="Q6299">
        <v>-2.8608829999999998E-2</v>
      </c>
      <c r="R6299">
        <v>-7.2758290000000002E-3</v>
      </c>
      <c r="S6299">
        <v>3.001099</v>
      </c>
      <c r="T6299">
        <v>-9.7623589999999996E-2</v>
      </c>
      <c r="U6299">
        <v>0.37249759999999998</v>
      </c>
      <c r="V6299">
        <v>2.7305570000000001E-2</v>
      </c>
      <c r="W6299">
        <v>-2.0546910000000002E-2</v>
      </c>
      <c r="X6299">
        <v>0.99941590000000002</v>
      </c>
      <c r="Y6299">
        <v>-0.103219699999999</v>
      </c>
      <c r="Z6299">
        <v>1.0229810000000001E-3</v>
      </c>
      <c r="AA6299">
        <v>0.99465809999999999</v>
      </c>
      <c r="AB6299">
        <v>17</v>
      </c>
      <c r="AC6299">
        <v>34.0185999999999</v>
      </c>
      <c r="AD6299">
        <v>-1.1095386926714901</v>
      </c>
      <c r="AE6299">
        <v>4.2317999999999998</v>
      </c>
      <c r="AF6299">
        <v>-3.54549872962613</v>
      </c>
      <c r="AG6299">
        <v>-1.1095386926714901</v>
      </c>
      <c r="AH6299">
        <v>34.060892930969501</v>
      </c>
      <c r="AI6299">
        <v>91.855739219293994</v>
      </c>
      <c r="AJ6299">
        <v>95.942684547581095</v>
      </c>
      <c r="AK6299">
        <v>34.262896325431797</v>
      </c>
      <c r="AL6299">
        <v>91.177334127710395</v>
      </c>
      <c r="AM6299">
        <v>88.4349810604444</v>
      </c>
      <c r="AN6299">
        <v>0.99999995541818998</v>
      </c>
    </row>
    <row r="6300" spans="1:40" x14ac:dyDescent="0.25">
      <c r="A6300" t="str">
        <f>"20190312161143360"</f>
        <v>20190312161143360</v>
      </c>
      <c r="B6300" t="str">
        <f>"1552378303353344"</f>
        <v>1552378303353344</v>
      </c>
      <c r="C6300" t="s">
        <v>40</v>
      </c>
      <c r="D6300">
        <v>5.3685589999999896</v>
      </c>
      <c r="E6300">
        <v>0.45096239999999999</v>
      </c>
      <c r="F6300" t="s">
        <v>110</v>
      </c>
      <c r="G6300">
        <v>-212.0067</v>
      </c>
      <c r="H6300" s="1">
        <v>2.728711E-8</v>
      </c>
      <c r="I6300">
        <v>-59.578530000000001</v>
      </c>
      <c r="J6300">
        <v>-245.2346</v>
      </c>
      <c r="K6300">
        <v>1.1095410000000001</v>
      </c>
      <c r="L6300">
        <v>-63.690730000000002</v>
      </c>
      <c r="M6300">
        <v>0.99976609999999999</v>
      </c>
      <c r="N6300">
        <v>0</v>
      </c>
      <c r="O6300">
        <v>2.0066210000000001E-2</v>
      </c>
      <c r="P6300">
        <v>0.99956520000000004</v>
      </c>
      <c r="Q6300">
        <v>-2.8606690000000001E-2</v>
      </c>
      <c r="R6300">
        <v>-7.1515679999999996E-3</v>
      </c>
      <c r="S6300">
        <v>3.0011290000000002</v>
      </c>
      <c r="T6300">
        <v>-9.994459E-2</v>
      </c>
      <c r="U6300">
        <v>0.37057499999999999</v>
      </c>
      <c r="V6300">
        <v>2.7208059999999999E-2</v>
      </c>
      <c r="W6300">
        <v>-2.0542250000000001E-2</v>
      </c>
      <c r="X6300">
        <v>0.99941869999999999</v>
      </c>
      <c r="Y6300">
        <v>-0.1025625</v>
      </c>
      <c r="Z6300">
        <v>1.035535E-3</v>
      </c>
      <c r="AA6300">
        <v>0.994726</v>
      </c>
      <c r="AB6300">
        <v>17</v>
      </c>
      <c r="AC6300">
        <v>33.227899999999998</v>
      </c>
      <c r="AD6300">
        <v>-1.10954097271289</v>
      </c>
      <c r="AE6300">
        <v>4.1121999999999899</v>
      </c>
      <c r="AF6300">
        <v>-3.4408135611558999</v>
      </c>
      <c r="AG6300">
        <v>-1.10954097271289</v>
      </c>
      <c r="AH6300">
        <v>33.267194304903697</v>
      </c>
      <c r="AI6300">
        <v>91.9001151130919</v>
      </c>
      <c r="AJ6300">
        <v>95.905084031326993</v>
      </c>
      <c r="AK6300">
        <v>33.463061665857403</v>
      </c>
      <c r="AL6300">
        <v>91.177067020238894</v>
      </c>
      <c r="AM6300">
        <v>88.440571449019401</v>
      </c>
      <c r="AN6300">
        <v>1.0000000002368501</v>
      </c>
    </row>
    <row r="6301" spans="1:40" x14ac:dyDescent="0.25">
      <c r="A6301" t="str">
        <f>"20190312161143371"</f>
        <v>20190312161143371</v>
      </c>
      <c r="B6301" t="str">
        <f>"1552378303363105"</f>
        <v>1552378303363105</v>
      </c>
      <c r="C6301" t="s">
        <v>40</v>
      </c>
      <c r="D6301">
        <v>5.4074229999999996</v>
      </c>
      <c r="E6301">
        <v>0.45097989999999999</v>
      </c>
      <c r="F6301" t="s">
        <v>110</v>
      </c>
      <c r="G6301">
        <v>-212.59569999999999</v>
      </c>
      <c r="H6301" s="1">
        <v>-2.1100250000000001E-7</v>
      </c>
      <c r="I6301">
        <v>-59.659680000000002</v>
      </c>
      <c r="J6301">
        <v>-245.14689999999999</v>
      </c>
      <c r="K6301">
        <v>1.1095440000000001</v>
      </c>
      <c r="L6301">
        <v>-63.688929999999999</v>
      </c>
      <c r="M6301">
        <v>0.99976560000000003</v>
      </c>
      <c r="N6301">
        <v>0</v>
      </c>
      <c r="O6301">
        <v>2.0094609999999999E-2</v>
      </c>
      <c r="P6301">
        <v>0.99955799999999995</v>
      </c>
      <c r="Q6301">
        <v>-2.8816350000000001E-2</v>
      </c>
      <c r="R6301">
        <v>-7.3196819999999897E-3</v>
      </c>
      <c r="S6301">
        <v>3.0010379999999999</v>
      </c>
      <c r="T6301">
        <v>-0.1020184</v>
      </c>
      <c r="U6301">
        <v>0.37063600000000002</v>
      </c>
      <c r="V6301">
        <v>2.7404689999999999E-2</v>
      </c>
      <c r="W6301">
        <v>-2.0749409999999999E-2</v>
      </c>
      <c r="X6301">
        <v>0.99940899999999999</v>
      </c>
      <c r="Y6301">
        <v>-0.10255599999999999</v>
      </c>
      <c r="Z6301">
        <v>1.055968E-3</v>
      </c>
      <c r="AA6301">
        <v>0.99472669999999996</v>
      </c>
      <c r="AB6301">
        <v>17</v>
      </c>
      <c r="AC6301">
        <v>32.551199999999902</v>
      </c>
      <c r="AD6301">
        <v>-1.1095442110025</v>
      </c>
      <c r="AE6301">
        <v>4.0292500000000002</v>
      </c>
      <c r="AF6301">
        <v>-3.3704545465869802</v>
      </c>
      <c r="AG6301">
        <v>-1.1095442110025</v>
      </c>
      <c r="AH6301">
        <v>32.588303980352499</v>
      </c>
      <c r="AI6301">
        <v>91.939675529542399</v>
      </c>
      <c r="AJ6301">
        <v>95.904837639407901</v>
      </c>
      <c r="AK6301">
        <v>32.780918359964097</v>
      </c>
      <c r="AL6301">
        <v>91.188939001579001</v>
      </c>
      <c r="AM6301">
        <v>88.429291998861999</v>
      </c>
      <c r="AN6301">
        <v>0.99999995216517101</v>
      </c>
    </row>
    <row r="6302" spans="1:40" x14ac:dyDescent="0.25">
      <c r="A6302" t="str">
        <f>"20190312161143381"</f>
        <v>20190312161143381</v>
      </c>
      <c r="B6302" t="str">
        <f>"1552378303373841"</f>
        <v>1552378303373841</v>
      </c>
      <c r="C6302" t="s">
        <v>40</v>
      </c>
      <c r="D6302">
        <v>5.3540970000000003</v>
      </c>
      <c r="E6302">
        <v>0.4509727</v>
      </c>
      <c r="F6302" t="s">
        <v>110</v>
      </c>
      <c r="G6302">
        <v>-212.6293</v>
      </c>
      <c r="H6302" s="1">
        <v>-2.2176949999999999E-7</v>
      </c>
      <c r="I6302">
        <v>-59.680199999999999</v>
      </c>
      <c r="J6302">
        <v>-245.06809999999999</v>
      </c>
      <c r="K6302">
        <v>1.109545</v>
      </c>
      <c r="L6302">
        <v>-63.687350000000002</v>
      </c>
      <c r="M6302">
        <v>0.99976500000000001</v>
      </c>
      <c r="N6302">
        <v>0</v>
      </c>
      <c r="O6302">
        <v>2.0120800000000001E-2</v>
      </c>
      <c r="P6302">
        <v>0.99955640000000001</v>
      </c>
      <c r="Q6302">
        <v>-2.882179E-2</v>
      </c>
      <c r="R6302">
        <v>-7.5270739999999999E-3</v>
      </c>
      <c r="S6302">
        <v>3.0010829999999999</v>
      </c>
      <c r="T6302">
        <v>-0.10240100000000001</v>
      </c>
      <c r="U6302">
        <v>0.36996459999999998</v>
      </c>
      <c r="V6302">
        <v>2.7638340000000001E-2</v>
      </c>
      <c r="W6302">
        <v>-2.075254E-2</v>
      </c>
      <c r="X6302">
        <v>0.99940249999999997</v>
      </c>
      <c r="Y6302">
        <v>-0.1023087</v>
      </c>
      <c r="Z6302">
        <v>1.0548339999999999E-3</v>
      </c>
      <c r="AA6302">
        <v>0.99475219999999998</v>
      </c>
      <c r="AB6302">
        <v>17</v>
      </c>
      <c r="AC6302">
        <v>32.438799999999901</v>
      </c>
      <c r="AD6302">
        <v>-1.1095452217694901</v>
      </c>
      <c r="AE6302">
        <v>4.0071500000000002</v>
      </c>
      <c r="AF6302">
        <v>-3.3497627819067199</v>
      </c>
      <c r="AG6302">
        <v>-1.1095452217694901</v>
      </c>
      <c r="AH6302">
        <v>32.4754392436977</v>
      </c>
      <c r="AI6302">
        <v>91.946468448148096</v>
      </c>
      <c r="AJ6302">
        <v>95.889094082462904</v>
      </c>
      <c r="AK6302">
        <v>32.666590813326401</v>
      </c>
      <c r="AL6302">
        <v>91.189118376934601</v>
      </c>
      <c r="AM6302">
        <v>88.415896776228095</v>
      </c>
      <c r="AN6302">
        <v>0.99999995138032705</v>
      </c>
    </row>
    <row r="6303" spans="1:40" x14ac:dyDescent="0.25">
      <c r="A6303" t="str">
        <f>"20190312161143393"</f>
        <v>20190312161143393</v>
      </c>
      <c r="B6303" t="str">
        <f>"1552378303383601"</f>
        <v>1552378303383601</v>
      </c>
      <c r="C6303" t="s">
        <v>40</v>
      </c>
      <c r="D6303">
        <v>5.4248770000000004</v>
      </c>
      <c r="E6303">
        <v>0.45098939999999998</v>
      </c>
      <c r="F6303" t="s">
        <v>110</v>
      </c>
      <c r="G6303">
        <v>-212.28819999999999</v>
      </c>
      <c r="H6303" s="1">
        <v>-8.03058799999999E-8</v>
      </c>
      <c r="I6303">
        <v>-59.652729999999998</v>
      </c>
      <c r="J6303">
        <v>-244.98410000000001</v>
      </c>
      <c r="K6303">
        <v>1.1095459999999999</v>
      </c>
      <c r="L6303">
        <v>-63.685580000000002</v>
      </c>
      <c r="M6303">
        <v>0.99976430000000005</v>
      </c>
      <c r="N6303">
        <v>0</v>
      </c>
      <c r="O6303">
        <v>2.015169E-2</v>
      </c>
      <c r="P6303">
        <v>0.99954580000000004</v>
      </c>
      <c r="Q6303">
        <v>-2.9153470000000001E-2</v>
      </c>
      <c r="R6303">
        <v>-7.6556910000000001E-3</v>
      </c>
      <c r="S6303">
        <v>3.0011749999999999</v>
      </c>
      <c r="T6303">
        <v>-0.1015846</v>
      </c>
      <c r="U6303">
        <v>0.36938480000000001</v>
      </c>
      <c r="V6303">
        <v>2.779761E-2</v>
      </c>
      <c r="W6303">
        <v>-2.1081679999999998E-2</v>
      </c>
      <c r="X6303">
        <v>0.99939129999999998</v>
      </c>
      <c r="Y6303">
        <v>-0.1020858</v>
      </c>
      <c r="Z6303">
        <v>1.0416119999999999E-3</v>
      </c>
      <c r="AA6303">
        <v>0.99477510000000002</v>
      </c>
      <c r="AB6303">
        <v>17</v>
      </c>
      <c r="AC6303">
        <v>32.695900000000002</v>
      </c>
      <c r="AD6303">
        <v>-1.1095460803058801</v>
      </c>
      <c r="AE6303">
        <v>4.0328499999999901</v>
      </c>
      <c r="AF6303">
        <v>-3.3693099005145899</v>
      </c>
      <c r="AG6303">
        <v>-1.1095460803058801</v>
      </c>
      <c r="AH6303">
        <v>32.733400447483397</v>
      </c>
      <c r="AI6303">
        <v>91.931184562328596</v>
      </c>
      <c r="AJ6303">
        <v>95.876864596573498</v>
      </c>
      <c r="AK6303">
        <v>32.925048922747798</v>
      </c>
      <c r="AL6303">
        <v>91.207980709530901</v>
      </c>
      <c r="AM6303">
        <v>88.4067549940672</v>
      </c>
      <c r="AN6303">
        <v>1.00000005743451</v>
      </c>
    </row>
    <row r="6304" spans="1:40" x14ac:dyDescent="0.25">
      <c r="A6304" t="str">
        <f>"20190312161143403"</f>
        <v>20190312161143403</v>
      </c>
      <c r="B6304" t="str">
        <f>"1552378303393361"</f>
        <v>1552378303393361</v>
      </c>
      <c r="C6304" t="s">
        <v>40</v>
      </c>
      <c r="D6304">
        <v>5.4239259999999998</v>
      </c>
      <c r="E6304">
        <v>0.45096930000000002</v>
      </c>
      <c r="F6304" t="s">
        <v>110</v>
      </c>
      <c r="G6304">
        <v>-212.5147</v>
      </c>
      <c r="H6304" s="1">
        <v>-1.7000850000000001E-7</v>
      </c>
      <c r="I6304">
        <v>-59.694809999999997</v>
      </c>
      <c r="J6304">
        <v>-244.9014</v>
      </c>
      <c r="K6304">
        <v>1.109548</v>
      </c>
      <c r="L6304">
        <v>-63.683869999999999</v>
      </c>
      <c r="M6304">
        <v>0.99976379999999998</v>
      </c>
      <c r="N6304">
        <v>0</v>
      </c>
      <c r="O6304">
        <v>2.0182579999999999E-2</v>
      </c>
      <c r="P6304">
        <v>0.99953559999999997</v>
      </c>
      <c r="Q6304">
        <v>-2.9497059999999999E-2</v>
      </c>
      <c r="R6304">
        <v>-7.676909E-3</v>
      </c>
      <c r="S6304">
        <v>3.0011899999999998</v>
      </c>
      <c r="T6304">
        <v>-0.1025568</v>
      </c>
      <c r="U6304">
        <v>0.36886600000000003</v>
      </c>
      <c r="V6304">
        <v>2.7849639999999998E-2</v>
      </c>
      <c r="W6304">
        <v>-2.1422750000000001E-2</v>
      </c>
      <c r="X6304">
        <v>0.99938260000000001</v>
      </c>
      <c r="Y6304">
        <v>-0.1018844</v>
      </c>
      <c r="Z6304">
        <v>1.0471020000000001E-3</v>
      </c>
      <c r="AA6304">
        <v>0.99479569999999995</v>
      </c>
      <c r="AB6304">
        <v>17</v>
      </c>
      <c r="AC6304">
        <v>32.386699999999898</v>
      </c>
      <c r="AD6304">
        <v>-1.1095481700084999</v>
      </c>
      <c r="AE6304">
        <v>3.9890599999999998</v>
      </c>
      <c r="AF6304">
        <v>-3.3307281374033901</v>
      </c>
      <c r="AG6304">
        <v>-1.1095481700084999</v>
      </c>
      <c r="AH6304">
        <v>32.423128409307601</v>
      </c>
      <c r="AI6304">
        <v>91.949695068916995</v>
      </c>
      <c r="AJ6304">
        <v>95.865245106916007</v>
      </c>
      <c r="AK6304">
        <v>32.612637165879498</v>
      </c>
      <c r="AL6304">
        <v>91.227526992795703</v>
      </c>
      <c r="AM6304">
        <v>88.403760500665499</v>
      </c>
      <c r="AN6304">
        <v>1.0000000589242199</v>
      </c>
    </row>
    <row r="6305" spans="1:40" x14ac:dyDescent="0.25">
      <c r="A6305" t="str">
        <f>"20190312161143415"</f>
        <v>20190312161143415</v>
      </c>
      <c r="B6305" t="str">
        <f>"1552378303403121"</f>
        <v>1552378303403121</v>
      </c>
      <c r="C6305" t="s">
        <v>40</v>
      </c>
      <c r="D6305">
        <v>5.421049</v>
      </c>
      <c r="E6305">
        <v>0.45095030000000003</v>
      </c>
      <c r="F6305" t="s">
        <v>110</v>
      </c>
      <c r="G6305">
        <v>-212.66390000000001</v>
      </c>
      <c r="H6305" s="1">
        <v>-2.294098E-7</v>
      </c>
      <c r="I6305">
        <v>-59.720939999999999</v>
      </c>
      <c r="J6305">
        <v>-244.81370000000001</v>
      </c>
      <c r="K6305">
        <v>1.109548</v>
      </c>
      <c r="L6305">
        <v>-63.682070000000003</v>
      </c>
      <c r="M6305">
        <v>0.99976299999999996</v>
      </c>
      <c r="N6305">
        <v>0</v>
      </c>
      <c r="O6305">
        <v>2.021829E-2</v>
      </c>
      <c r="P6305">
        <v>0.99953639999999999</v>
      </c>
      <c r="Q6305">
        <v>-2.9451990000000001E-2</v>
      </c>
      <c r="R6305">
        <v>-7.7204719999999999E-3</v>
      </c>
      <c r="S6305">
        <v>3.0011749999999999</v>
      </c>
      <c r="T6305">
        <v>-0.10329439999999999</v>
      </c>
      <c r="U6305">
        <v>0.368927</v>
      </c>
      <c r="V6305">
        <v>2.7929160000000001E-2</v>
      </c>
      <c r="W6305">
        <v>-2.1374810000000001E-2</v>
      </c>
      <c r="X6305">
        <v>0.99938139999999998</v>
      </c>
      <c r="Y6305">
        <v>-0.10186870000000001</v>
      </c>
      <c r="Z6305">
        <v>1.0531399999999999E-3</v>
      </c>
      <c r="AA6305">
        <v>0.9947973</v>
      </c>
      <c r="AB6305">
        <v>17</v>
      </c>
      <c r="AC6305">
        <v>32.149799999999999</v>
      </c>
      <c r="AD6305">
        <v>-1.1095482294098</v>
      </c>
      <c r="AE6305">
        <v>3.96112999999999</v>
      </c>
      <c r="AF6305">
        <v>-3.3064058317796201</v>
      </c>
      <c r="AG6305">
        <v>-1.1095482294098</v>
      </c>
      <c r="AH6305">
        <v>32.185555817046101</v>
      </c>
      <c r="AI6305">
        <v>91.964074796510701</v>
      </c>
      <c r="AJ6305">
        <v>95.865390957316293</v>
      </c>
      <c r="AK6305">
        <v>32.373962069076498</v>
      </c>
      <c r="AL6305">
        <v>91.224779613194698</v>
      </c>
      <c r="AM6305">
        <v>88.399203152102601</v>
      </c>
      <c r="AN6305">
        <v>1.00000005157339</v>
      </c>
    </row>
    <row r="6306" spans="1:40" x14ac:dyDescent="0.25">
      <c r="A6306" t="str">
        <f>"20190312161143426"</f>
        <v>20190312161143426</v>
      </c>
      <c r="B6306" t="str">
        <f>"1552378303423617"</f>
        <v>1552378303423617</v>
      </c>
      <c r="C6306" t="s">
        <v>40</v>
      </c>
      <c r="D6306">
        <v>5.3397259999999998</v>
      </c>
      <c r="E6306">
        <v>0.45086860000000001</v>
      </c>
      <c r="F6306" t="s">
        <v>110</v>
      </c>
      <c r="G6306">
        <v>-212.4246</v>
      </c>
      <c r="H6306" s="1">
        <v>-1.302955E-7</v>
      </c>
      <c r="I6306">
        <v>-59.700859999999999</v>
      </c>
      <c r="J6306">
        <v>-244.72749999999999</v>
      </c>
      <c r="K6306">
        <v>1.1095520000000001</v>
      </c>
      <c r="L6306">
        <v>-63.680300000000003</v>
      </c>
      <c r="M6306">
        <v>0.99976220000000005</v>
      </c>
      <c r="N6306">
        <v>0</v>
      </c>
      <c r="O6306">
        <v>2.025418E-2</v>
      </c>
      <c r="P6306">
        <v>0.99951420000000002</v>
      </c>
      <c r="Q6306">
        <v>-3.013302E-2</v>
      </c>
      <c r="R6306">
        <v>-7.9549930000000005E-3</v>
      </c>
      <c r="S6306">
        <v>3.0012050000000001</v>
      </c>
      <c r="T6306">
        <v>-0.10281170000000001</v>
      </c>
      <c r="U6306">
        <v>0.36889650000000002</v>
      </c>
      <c r="V6306">
        <v>2.8199249999999999E-2</v>
      </c>
      <c r="W6306">
        <v>-2.205319E-2</v>
      </c>
      <c r="X6306">
        <v>0.999359</v>
      </c>
      <c r="Y6306">
        <v>-0.1018223</v>
      </c>
      <c r="Z6306">
        <v>1.046197E-3</v>
      </c>
      <c r="AA6306">
        <v>0.99480210000000002</v>
      </c>
      <c r="AB6306">
        <v>17</v>
      </c>
      <c r="AC6306">
        <v>32.302899999999902</v>
      </c>
      <c r="AD6306">
        <v>-1.1095521302955</v>
      </c>
      <c r="AE6306">
        <v>3.9794399999999999</v>
      </c>
      <c r="AF6306">
        <v>-3.32047453085704</v>
      </c>
      <c r="AG6306">
        <v>-1.1095521302955</v>
      </c>
      <c r="AH6306">
        <v>32.339292104013701</v>
      </c>
      <c r="AI6306">
        <v>91.954762584518505</v>
      </c>
      <c r="AJ6306">
        <v>95.862367446958103</v>
      </c>
      <c r="AK6306">
        <v>32.528241127190299</v>
      </c>
      <c r="AL6306">
        <v>91.263657184903906</v>
      </c>
      <c r="AM6306">
        <v>88.3836945490429</v>
      </c>
      <c r="AN6306">
        <v>0.99999997588536804</v>
      </c>
    </row>
    <row r="6307" spans="1:40" x14ac:dyDescent="0.25">
      <c r="A6307" t="str">
        <f>"20190312161143439"</f>
        <v>20190312161143439</v>
      </c>
      <c r="B6307" t="str">
        <f>"1552378303433379"</f>
        <v>1552378303433379</v>
      </c>
      <c r="C6307" t="s">
        <v>40</v>
      </c>
      <c r="D6307">
        <v>5.3394649999999997</v>
      </c>
      <c r="E6307">
        <v>0.45083719999999999</v>
      </c>
      <c r="F6307" t="s">
        <v>110</v>
      </c>
      <c r="G6307">
        <v>-213.69669999999999</v>
      </c>
      <c r="H6307" s="1">
        <v>-6.4678839999999995E-7</v>
      </c>
      <c r="I6307">
        <v>-59.865699999999997</v>
      </c>
      <c r="J6307">
        <v>-244.62970000000001</v>
      </c>
      <c r="K6307">
        <v>1.109553</v>
      </c>
      <c r="L6307">
        <v>-63.678280000000001</v>
      </c>
      <c r="M6307">
        <v>0.99976129999999996</v>
      </c>
      <c r="N6307">
        <v>0</v>
      </c>
      <c r="O6307">
        <v>2.0296729999999999E-2</v>
      </c>
      <c r="P6307">
        <v>0.9995136</v>
      </c>
      <c r="Q6307">
        <v>-3.0178179999999999E-2</v>
      </c>
      <c r="R6307">
        <v>-7.8719830000000008E-3</v>
      </c>
      <c r="S6307">
        <v>3.0011749999999999</v>
      </c>
      <c r="T6307">
        <v>-0.10731159999999999</v>
      </c>
      <c r="U6307">
        <v>0.368927</v>
      </c>
      <c r="V6307">
        <v>2.8158720000000002E-2</v>
      </c>
      <c r="W6307">
        <v>-2.209504E-2</v>
      </c>
      <c r="X6307">
        <v>0.99935929999999995</v>
      </c>
      <c r="Y6307">
        <v>-0.101787</v>
      </c>
      <c r="Z6307">
        <v>1.089825E-3</v>
      </c>
      <c r="AA6307">
        <v>0.99480559999999996</v>
      </c>
      <c r="AB6307">
        <v>17</v>
      </c>
      <c r="AC6307">
        <v>30.933</v>
      </c>
      <c r="AD6307">
        <v>-1.1095536467884</v>
      </c>
      <c r="AE6307">
        <v>3.8125800000000098</v>
      </c>
      <c r="AF6307">
        <v>-3.1799051539594401</v>
      </c>
      <c r="AG6307">
        <v>-1.1095536467884</v>
      </c>
      <c r="AH6307">
        <v>30.964768896392201</v>
      </c>
      <c r="AI6307">
        <v>92.041461481968895</v>
      </c>
      <c r="AJ6307">
        <v>95.863395390080399</v>
      </c>
      <c r="AK6307">
        <v>31.147388636774298</v>
      </c>
      <c r="AL6307">
        <v>91.266055494519406</v>
      </c>
      <c r="AM6307">
        <v>88.386016874683094</v>
      </c>
      <c r="AN6307">
        <v>1.0000000574005601</v>
      </c>
    </row>
    <row r="6308" spans="1:40" x14ac:dyDescent="0.25">
      <c r="A6308" t="str">
        <f>"20190312161143449"</f>
        <v>20190312161143449</v>
      </c>
      <c r="B6308" t="str">
        <f>"1552378303443137"</f>
        <v>1552378303443137</v>
      </c>
      <c r="C6308" t="s">
        <v>40</v>
      </c>
      <c r="D6308">
        <v>5.3536929999999998</v>
      </c>
      <c r="E6308">
        <v>0.4508125</v>
      </c>
      <c r="F6308" t="s">
        <v>110</v>
      </c>
      <c r="G6308">
        <v>-213.94909999999999</v>
      </c>
      <c r="H6308" s="1">
        <v>-7.4883359999999899E-7</v>
      </c>
      <c r="I6308">
        <v>-59.900700000000001</v>
      </c>
      <c r="J6308">
        <v>-244.54820000000001</v>
      </c>
      <c r="K6308">
        <v>1.109553</v>
      </c>
      <c r="L6308">
        <v>-63.676569999999998</v>
      </c>
      <c r="M6308">
        <v>0.99976050000000005</v>
      </c>
      <c r="N6308">
        <v>0</v>
      </c>
      <c r="O6308">
        <v>2.0332969999999999E-2</v>
      </c>
      <c r="P6308">
        <v>0.99951489999999998</v>
      </c>
      <c r="Q6308">
        <v>-3.015872E-2</v>
      </c>
      <c r="R6308">
        <v>-7.7781509999999996E-3</v>
      </c>
      <c r="S6308">
        <v>3.001099</v>
      </c>
      <c r="T6308">
        <v>-0.10853359999999999</v>
      </c>
      <c r="U6308">
        <v>0.36950680000000002</v>
      </c>
      <c r="V6308">
        <v>2.8101040000000001E-2</v>
      </c>
      <c r="W6308">
        <v>-2.2072749999999999E-2</v>
      </c>
      <c r="X6308">
        <v>0.99936130000000001</v>
      </c>
      <c r="Y6308">
        <v>-0.10194209999999999</v>
      </c>
      <c r="Z6308">
        <v>1.1037320000000001E-3</v>
      </c>
      <c r="AA6308">
        <v>0.9947897</v>
      </c>
      <c r="AB6308">
        <v>17</v>
      </c>
      <c r="AC6308">
        <v>30.5991</v>
      </c>
      <c r="AD6308">
        <v>-1.1095537488336</v>
      </c>
      <c r="AE6308">
        <v>3.7758699999999901</v>
      </c>
      <c r="AF6308">
        <v>-3.1488202183076899</v>
      </c>
      <c r="AG6308">
        <v>-1.1095537488336</v>
      </c>
      <c r="AH6308">
        <v>30.629880874425499</v>
      </c>
      <c r="AI6308">
        <v>92.063739913203307</v>
      </c>
      <c r="AJ6308">
        <v>95.869515222310596</v>
      </c>
      <c r="AK6308">
        <v>30.811293070403099</v>
      </c>
      <c r="AL6308">
        <v>91.264778206943205</v>
      </c>
      <c r="AM6308">
        <v>88.3893244176884</v>
      </c>
      <c r="AN6308">
        <v>0.99999994133966497</v>
      </c>
    </row>
    <row r="6309" spans="1:40" x14ac:dyDescent="0.25">
      <c r="A6309" t="str">
        <f>"20190312161143464"</f>
        <v>20190312161143464</v>
      </c>
      <c r="B6309" t="str">
        <f>"1552378303453873"</f>
        <v>1552378303453873</v>
      </c>
      <c r="C6309" t="s">
        <v>40</v>
      </c>
      <c r="D6309">
        <v>5.3365210000000003</v>
      </c>
      <c r="E6309">
        <v>0.45083459999999997</v>
      </c>
      <c r="F6309" t="s">
        <v>110</v>
      </c>
      <c r="G6309">
        <v>-214.22909999999999</v>
      </c>
      <c r="H6309" s="1">
        <v>-8.6237659999999897E-7</v>
      </c>
      <c r="I6309">
        <v>-59.937869999999997</v>
      </c>
      <c r="J6309">
        <v>-244.43299999999999</v>
      </c>
      <c r="K6309">
        <v>1.109556</v>
      </c>
      <c r="L6309">
        <v>-63.674190000000003</v>
      </c>
      <c r="M6309">
        <v>0.99975939999999996</v>
      </c>
      <c r="N6309">
        <v>0</v>
      </c>
      <c r="O6309">
        <v>2.0384820000000001E-2</v>
      </c>
      <c r="P6309">
        <v>0.99952260000000004</v>
      </c>
      <c r="Q6309">
        <v>-2.995024E-2</v>
      </c>
      <c r="R6309">
        <v>-7.5917900000000002E-3</v>
      </c>
      <c r="S6309">
        <v>3.0010219999999999</v>
      </c>
      <c r="T6309">
        <v>-0.10982500000000001</v>
      </c>
      <c r="U6309">
        <v>0.3700562</v>
      </c>
      <c r="V6309">
        <v>2.7966769999999998E-2</v>
      </c>
      <c r="W6309">
        <v>-2.186016E-2</v>
      </c>
      <c r="X6309">
        <v>0.99936979999999997</v>
      </c>
      <c r="Y6309">
        <v>-0.1020716</v>
      </c>
      <c r="Z6309">
        <v>1.1173439999999999E-3</v>
      </c>
      <c r="AA6309">
        <v>0.99477640000000001</v>
      </c>
      <c r="AB6309">
        <v>17</v>
      </c>
      <c r="AC6309">
        <v>30.203900000000001</v>
      </c>
      <c r="AD6309">
        <v>-1.1095568623765999</v>
      </c>
      <c r="AE6309">
        <v>3.7363200000000001</v>
      </c>
      <c r="AF6309">
        <v>-3.11568106823146</v>
      </c>
      <c r="AG6309">
        <v>-1.1095568623765999</v>
      </c>
      <c r="AH6309">
        <v>30.233604835390999</v>
      </c>
      <c r="AI6309">
        <v>92.090718175474194</v>
      </c>
      <c r="AJ6309">
        <v>95.883764976082801</v>
      </c>
      <c r="AK6309">
        <v>30.413967947184499</v>
      </c>
      <c r="AL6309">
        <v>91.252594680696305</v>
      </c>
      <c r="AM6309">
        <v>88.397030012711696</v>
      </c>
      <c r="AN6309">
        <v>1.00000000198574</v>
      </c>
    </row>
    <row r="6310" spans="1:40" x14ac:dyDescent="0.25">
      <c r="A6310" t="str">
        <f>"20190312161143477"</f>
        <v>20190312161143477</v>
      </c>
      <c r="B6310" t="str">
        <f>"1552378303473393"</f>
        <v>1552378303473393</v>
      </c>
      <c r="C6310" t="s">
        <v>40</v>
      </c>
      <c r="D6310">
        <v>5.3554139999999997</v>
      </c>
      <c r="E6310">
        <v>0.45075369999999998</v>
      </c>
      <c r="F6310" t="s">
        <v>110</v>
      </c>
      <c r="G6310">
        <v>-214.2937</v>
      </c>
      <c r="H6310" s="1">
        <v>-8.873989E-7</v>
      </c>
      <c r="I6310">
        <v>-59.952979999999997</v>
      </c>
      <c r="J6310">
        <v>-244.32990000000001</v>
      </c>
      <c r="K6310">
        <v>1.109558</v>
      </c>
      <c r="L6310">
        <v>-63.672029999999999</v>
      </c>
      <c r="M6310">
        <v>0.99975840000000005</v>
      </c>
      <c r="N6310">
        <v>0</v>
      </c>
      <c r="O6310">
        <v>2.0432200000000001E-2</v>
      </c>
      <c r="P6310">
        <v>0.99953170000000002</v>
      </c>
      <c r="Q6310">
        <v>-2.96481E-2</v>
      </c>
      <c r="R6310">
        <v>-7.56835199999999E-3</v>
      </c>
      <c r="S6310">
        <v>3.0009610000000002</v>
      </c>
      <c r="T6310">
        <v>-0.1104782</v>
      </c>
      <c r="U6310">
        <v>0.37051390000000001</v>
      </c>
      <c r="V6310">
        <v>2.7990930000000001E-2</v>
      </c>
      <c r="W6310">
        <v>-2.1554239999999999E-2</v>
      </c>
      <c r="X6310">
        <v>0.99937580000000004</v>
      </c>
      <c r="Y6310">
        <v>-0.10217569999999999</v>
      </c>
      <c r="Z6310">
        <v>1.1241700000000001E-3</v>
      </c>
      <c r="AA6310">
        <v>0.99476580000000003</v>
      </c>
      <c r="AB6310">
        <v>17</v>
      </c>
      <c r="AC6310">
        <v>30.036200000000001</v>
      </c>
      <c r="AD6310">
        <v>-1.1095588873989</v>
      </c>
      <c r="AE6310">
        <v>3.7190500000000002</v>
      </c>
      <c r="AF6310">
        <v>-3.1003808184809101</v>
      </c>
      <c r="AG6310">
        <v>-1.1095588873989</v>
      </c>
      <c r="AH6310">
        <v>30.065511725494101</v>
      </c>
      <c r="AI6310">
        <v>92.102386121855901</v>
      </c>
      <c r="AJ6310">
        <v>95.887578431269603</v>
      </c>
      <c r="AK6310">
        <v>30.245305048222502</v>
      </c>
      <c r="AL6310">
        <v>91.235062585773903</v>
      </c>
      <c r="AM6310">
        <v>88.395655585693504</v>
      </c>
      <c r="AN6310">
        <v>1.0000000335249399</v>
      </c>
    </row>
    <row r="6311" spans="1:40" x14ac:dyDescent="0.25">
      <c r="A6311" t="str">
        <f>"20190312161143494"</f>
        <v>20190312161143494</v>
      </c>
      <c r="B6311" t="str">
        <f>"1552378303483153"</f>
        <v>1552378303483153</v>
      </c>
      <c r="C6311" t="s">
        <v>40</v>
      </c>
      <c r="D6311">
        <v>5.3940299999999999</v>
      </c>
      <c r="E6311">
        <v>0.45074340000000002</v>
      </c>
      <c r="F6311" t="s">
        <v>110</v>
      </c>
      <c r="G6311">
        <v>-214.3914</v>
      </c>
      <c r="H6311" s="1">
        <v>-9.2660230000000003E-7</v>
      </c>
      <c r="I6311">
        <v>-59.968240000000002</v>
      </c>
      <c r="J6311">
        <v>-244.19479999999999</v>
      </c>
      <c r="K6311">
        <v>1.1095600000000001</v>
      </c>
      <c r="L6311">
        <v>-63.669220000000003</v>
      </c>
      <c r="M6311">
        <v>0.99975729999999996</v>
      </c>
      <c r="N6311">
        <v>0</v>
      </c>
      <c r="O6311">
        <v>2.0494120000000001E-2</v>
      </c>
      <c r="P6311">
        <v>0.99955059999999996</v>
      </c>
      <c r="Q6311">
        <v>-2.908639E-2</v>
      </c>
      <c r="R6311">
        <v>-7.2597540000000002E-3</v>
      </c>
      <c r="S6311">
        <v>3.0009160000000001</v>
      </c>
      <c r="T6311">
        <v>-0.1112177</v>
      </c>
      <c r="U6311">
        <v>0.37124629999999997</v>
      </c>
      <c r="V6311">
        <v>2.77448E-2</v>
      </c>
      <c r="W6311">
        <v>-2.098742E-2</v>
      </c>
      <c r="X6311">
        <v>0.99939469999999997</v>
      </c>
      <c r="Y6311">
        <v>-0.10235420000000001</v>
      </c>
      <c r="Z6311">
        <v>1.132702E-3</v>
      </c>
      <c r="AA6311">
        <v>0.9947473</v>
      </c>
      <c r="AB6311">
        <v>17</v>
      </c>
      <c r="AC6311">
        <v>29.8033999999999</v>
      </c>
      <c r="AD6311">
        <v>-1.1095609266023001</v>
      </c>
      <c r="AE6311">
        <v>3.7009799999999902</v>
      </c>
      <c r="AF6311">
        <v>-3.0851770463331301</v>
      </c>
      <c r="AG6311">
        <v>-1.1095609266023001</v>
      </c>
      <c r="AH6311">
        <v>29.832270587746098</v>
      </c>
      <c r="AI6311">
        <v>92.1187482664632</v>
      </c>
      <c r="AJ6311">
        <v>95.9043930366647</v>
      </c>
      <c r="AK6311">
        <v>30.011894496641901</v>
      </c>
      <c r="AL6311">
        <v>91.202578876284605</v>
      </c>
      <c r="AM6311">
        <v>88.409785698274106</v>
      </c>
      <c r="AN6311">
        <v>1.00000000605669</v>
      </c>
    </row>
    <row r="6312" spans="1:40" x14ac:dyDescent="0.25">
      <c r="A6312" t="str">
        <f>"20190312161143507"</f>
        <v>20190312161143507</v>
      </c>
      <c r="B6312" t="str">
        <f>"1552378303503648"</f>
        <v>1552378303503648</v>
      </c>
      <c r="C6312" t="s">
        <v>40</v>
      </c>
      <c r="D6312">
        <v>5.4648110000000001</v>
      </c>
      <c r="E6312">
        <v>0.45074760000000003</v>
      </c>
      <c r="F6312" t="s">
        <v>110</v>
      </c>
      <c r="G6312">
        <v>-214.25489999999999</v>
      </c>
      <c r="H6312" s="1">
        <v>-8.7051330000000004E-7</v>
      </c>
      <c r="I6312">
        <v>-59.954500000000003</v>
      </c>
      <c r="J6312">
        <v>-244.09520000000001</v>
      </c>
      <c r="K6312">
        <v>1.1095649999999999</v>
      </c>
      <c r="L6312">
        <v>-63.667110000000001</v>
      </c>
      <c r="M6312">
        <v>0.99975619999999998</v>
      </c>
      <c r="N6312">
        <v>0</v>
      </c>
      <c r="O6312">
        <v>2.053982E-2</v>
      </c>
      <c r="P6312">
        <v>0.99954500000000002</v>
      </c>
      <c r="Q6312">
        <v>-2.9286960000000001E-2</v>
      </c>
      <c r="R6312">
        <v>-7.2145129999999997E-3</v>
      </c>
      <c r="S6312">
        <v>3.0008240000000002</v>
      </c>
      <c r="T6312">
        <v>-0.1112095</v>
      </c>
      <c r="U6312">
        <v>0.37231449999999999</v>
      </c>
      <c r="V6312">
        <v>2.7745220000000001E-2</v>
      </c>
      <c r="W6312">
        <v>-2.118432E-2</v>
      </c>
      <c r="X6312">
        <v>0.99939049999999996</v>
      </c>
      <c r="Y6312">
        <v>-0.102661</v>
      </c>
      <c r="Z6312">
        <v>1.136604E-3</v>
      </c>
      <c r="AA6312">
        <v>0.99471580000000004</v>
      </c>
      <c r="AB6312">
        <v>18</v>
      </c>
      <c r="AC6312">
        <v>29.840299999999999</v>
      </c>
      <c r="AD6312">
        <v>-1.1095658705133</v>
      </c>
      <c r="AE6312">
        <v>3.71260999999999</v>
      </c>
      <c r="AF6312">
        <v>-3.0946786951106402</v>
      </c>
      <c r="AG6312">
        <v>-1.1095658705133</v>
      </c>
      <c r="AH6312">
        <v>29.869594701394099</v>
      </c>
      <c r="AI6312">
        <v>92.116071677380106</v>
      </c>
      <c r="AJ6312">
        <v>95.915100177399196</v>
      </c>
      <c r="AK6312">
        <v>30.049972716668599</v>
      </c>
      <c r="AL6312">
        <v>91.213862965285003</v>
      </c>
      <c r="AM6312">
        <v>88.409754958372702</v>
      </c>
      <c r="AN6312">
        <v>0.99999997206848001</v>
      </c>
    </row>
    <row r="6313" spans="1:40" x14ac:dyDescent="0.25">
      <c r="A6313" t="str">
        <f>"20190312161143519"</f>
        <v>20190312161143519</v>
      </c>
      <c r="B6313" t="str">
        <f>"1552378303513410"</f>
        <v>1552378303513410</v>
      </c>
      <c r="C6313" t="s">
        <v>40</v>
      </c>
      <c r="D6313">
        <v>5.4033499999999997</v>
      </c>
      <c r="E6313">
        <v>0.4507236</v>
      </c>
      <c r="F6313" t="s">
        <v>110</v>
      </c>
      <c r="G6313">
        <v>-214.4128</v>
      </c>
      <c r="H6313" s="1">
        <v>-9.3311200000000002E-7</v>
      </c>
      <c r="I6313">
        <v>-59.983359999999998</v>
      </c>
      <c r="J6313">
        <v>-243.99549999999999</v>
      </c>
      <c r="K6313">
        <v>1.1095660000000001</v>
      </c>
      <c r="L6313">
        <v>-63.665010000000002</v>
      </c>
      <c r="M6313">
        <v>0.99975530000000001</v>
      </c>
      <c r="N6313">
        <v>0</v>
      </c>
      <c r="O6313">
        <v>2.058517E-2</v>
      </c>
      <c r="P6313">
        <v>0.99954659999999995</v>
      </c>
      <c r="Q6313">
        <v>-2.9324900000000001E-2</v>
      </c>
      <c r="R6313">
        <v>-6.855781E-3</v>
      </c>
      <c r="S6313">
        <v>3.0007630000000001</v>
      </c>
      <c r="T6313">
        <v>-0.11217249999999999</v>
      </c>
      <c r="U6313">
        <v>0.37240600000000001</v>
      </c>
      <c r="V6313">
        <v>2.743193E-2</v>
      </c>
      <c r="W6313">
        <v>-2.1218420000000002E-2</v>
      </c>
      <c r="X6313">
        <v>0.99939849999999997</v>
      </c>
      <c r="Y6313">
        <v>-0.1026473</v>
      </c>
      <c r="Z6313">
        <v>1.1445190000000001E-3</v>
      </c>
      <c r="AA6313">
        <v>0.99471719999999997</v>
      </c>
      <c r="AB6313">
        <v>18</v>
      </c>
      <c r="AC6313">
        <v>29.5826999999999</v>
      </c>
      <c r="AD6313">
        <v>-1.1095669331119999</v>
      </c>
      <c r="AE6313">
        <v>3.6816499999999901</v>
      </c>
      <c r="AF6313">
        <v>-3.06763521932587</v>
      </c>
      <c r="AG6313">
        <v>-1.1095669331119999</v>
      </c>
      <c r="AH6313">
        <v>29.611199398509999</v>
      </c>
      <c r="AI6313">
        <v>92.134524132926003</v>
      </c>
      <c r="AJ6313">
        <v>95.914579291190506</v>
      </c>
      <c r="AK6313">
        <v>29.790344986861498</v>
      </c>
      <c r="AL6313">
        <v>91.215817099604806</v>
      </c>
      <c r="AM6313">
        <v>88.427715002927698</v>
      </c>
      <c r="AN6313">
        <v>1.00000004696653</v>
      </c>
    </row>
    <row r="6314" spans="1:40" x14ac:dyDescent="0.25">
      <c r="A6314" t="str">
        <f>"20190312161143530"</f>
        <v>20190312161143530</v>
      </c>
      <c r="B6314" t="str">
        <f>"1552378303523169"</f>
        <v>1552378303523169</v>
      </c>
      <c r="C6314" t="s">
        <v>40</v>
      </c>
      <c r="D6314">
        <v>5.4519970000000004</v>
      </c>
      <c r="E6314">
        <v>0.45072230000000002</v>
      </c>
      <c r="F6314" t="s">
        <v>110</v>
      </c>
      <c r="G6314">
        <v>-214.309</v>
      </c>
      <c r="H6314" s="1">
        <v>-8.9144019999999998E-7</v>
      </c>
      <c r="I6314">
        <v>-59.967300000000002</v>
      </c>
      <c r="J6314">
        <v>-243.91130000000001</v>
      </c>
      <c r="K6314">
        <v>1.1095660000000001</v>
      </c>
      <c r="L6314">
        <v>-63.663240000000002</v>
      </c>
      <c r="M6314">
        <v>0.99975440000000004</v>
      </c>
      <c r="N6314">
        <v>0</v>
      </c>
      <c r="O6314">
        <v>2.062319E-2</v>
      </c>
      <c r="P6314">
        <v>0.99956049999999996</v>
      </c>
      <c r="Q6314">
        <v>-2.8885350000000001E-2</v>
      </c>
      <c r="R6314">
        <v>-6.6956300000000002E-3</v>
      </c>
      <c r="S6314">
        <v>3.0006409999999999</v>
      </c>
      <c r="T6314">
        <v>-0.1121523</v>
      </c>
      <c r="U6314">
        <v>0.37374879999999999</v>
      </c>
      <c r="V6314">
        <v>2.730993E-2</v>
      </c>
      <c r="W6314">
        <v>-2.0775510000000001E-2</v>
      </c>
      <c r="X6314">
        <v>0.9994111</v>
      </c>
      <c r="Y6314">
        <v>-0.10305259999999999</v>
      </c>
      <c r="Z6314">
        <v>1.150456E-3</v>
      </c>
      <c r="AA6314">
        <v>0.99467519999999998</v>
      </c>
      <c r="AB6314">
        <v>18</v>
      </c>
      <c r="AC6314">
        <v>29.6022999999999</v>
      </c>
      <c r="AD6314">
        <v>-1.1095668914401999</v>
      </c>
      <c r="AE6314">
        <v>3.6959399999999998</v>
      </c>
      <c r="AF6314">
        <v>-3.08037863907931</v>
      </c>
      <c r="AG6314">
        <v>-1.1095668914401999</v>
      </c>
      <c r="AH6314">
        <v>29.631237365214201</v>
      </c>
      <c r="AI6314">
        <v>92.133003155895807</v>
      </c>
      <c r="AJ6314">
        <v>95.934986568665394</v>
      </c>
      <c r="AK6314">
        <v>29.811576594342402</v>
      </c>
      <c r="AL6314">
        <v>91.1904346864372</v>
      </c>
      <c r="AM6314">
        <v>88.434723777343507</v>
      </c>
      <c r="AN6314">
        <v>1.00000000044778</v>
      </c>
    </row>
    <row r="6315" spans="1:40" x14ac:dyDescent="0.25">
      <c r="A6315" t="str">
        <f>"20190312161143541"</f>
        <v>20190312161143541</v>
      </c>
      <c r="B6315" t="str">
        <f>"1552378303533904"</f>
        <v>1552378303533904</v>
      </c>
      <c r="C6315" t="s">
        <v>40</v>
      </c>
      <c r="D6315">
        <v>5.5798480000000001</v>
      </c>
      <c r="E6315">
        <v>0.45072230000000002</v>
      </c>
      <c r="F6315" t="s">
        <v>110</v>
      </c>
      <c r="G6315">
        <v>-213.9316</v>
      </c>
      <c r="H6315" s="1">
        <v>-7.3720540000000001E-7</v>
      </c>
      <c r="I6315">
        <v>-59.924059999999997</v>
      </c>
      <c r="J6315">
        <v>-243.81790000000001</v>
      </c>
      <c r="K6315">
        <v>1.109569</v>
      </c>
      <c r="L6315">
        <v>-63.661290000000001</v>
      </c>
      <c r="M6315">
        <v>0.99975360000000002</v>
      </c>
      <c r="N6315">
        <v>0</v>
      </c>
      <c r="O6315">
        <v>2.0665260000000001E-2</v>
      </c>
      <c r="P6315">
        <v>0.99956049999999996</v>
      </c>
      <c r="Q6315">
        <v>-2.8911180000000002E-2</v>
      </c>
      <c r="R6315">
        <v>-6.5720329999999997E-3</v>
      </c>
      <c r="S6315">
        <v>3.0005799999999998</v>
      </c>
      <c r="T6315">
        <v>-0.1110531</v>
      </c>
      <c r="U6315">
        <v>0.37423709999999999</v>
      </c>
      <c r="V6315">
        <v>2.7228550000000001E-2</v>
      </c>
      <c r="W6315">
        <v>-2.0797690000000001E-2</v>
      </c>
      <c r="X6315">
        <v>0.99941279999999999</v>
      </c>
      <c r="Y6315">
        <v>-0.1031736</v>
      </c>
      <c r="Z6315">
        <v>1.139882E-3</v>
      </c>
      <c r="AA6315">
        <v>0.99466270000000001</v>
      </c>
      <c r="AB6315">
        <v>18</v>
      </c>
      <c r="AC6315">
        <v>29.886299999999999</v>
      </c>
      <c r="AD6315">
        <v>-1.1095697372053901</v>
      </c>
      <c r="AE6315">
        <v>3.7372299999999998</v>
      </c>
      <c r="AF6315">
        <v>-3.11457648666295</v>
      </c>
      <c r="AG6315">
        <v>-1.1095697372053901</v>
      </c>
      <c r="AH6315">
        <v>29.916549642987601</v>
      </c>
      <c r="AI6315">
        <v>92.112651823614499</v>
      </c>
      <c r="AJ6315">
        <v>95.943583872028597</v>
      </c>
      <c r="AK6315">
        <v>30.098698879425601</v>
      </c>
      <c r="AL6315">
        <v>91.191705851933193</v>
      </c>
      <c r="AM6315">
        <v>88.439388437859293</v>
      </c>
      <c r="AN6315">
        <v>0.99999994132413705</v>
      </c>
    </row>
    <row r="6316" spans="1:40" x14ac:dyDescent="0.25">
      <c r="A6316" t="str">
        <f>"20190312161143552"</f>
        <v>20190312161143552</v>
      </c>
      <c r="B6316" t="str">
        <f>"1552378303543665"</f>
        <v>1552378303543665</v>
      </c>
      <c r="C6316" t="s">
        <v>40</v>
      </c>
      <c r="D6316">
        <v>5.5256819999999998</v>
      </c>
      <c r="E6316">
        <v>0.45118029999999998</v>
      </c>
      <c r="F6316" t="s">
        <v>110</v>
      </c>
      <c r="G6316">
        <v>-213.7998</v>
      </c>
      <c r="H6316" s="1">
        <v>-6.8241550000000003E-7</v>
      </c>
      <c r="I6316">
        <v>-59.914250000000003</v>
      </c>
      <c r="J6316">
        <v>-243.73249999999999</v>
      </c>
      <c r="K6316">
        <v>1.109561</v>
      </c>
      <c r="L6316">
        <v>-63.65945</v>
      </c>
      <c r="M6316">
        <v>0.99975270000000005</v>
      </c>
      <c r="N6316">
        <v>0</v>
      </c>
      <c r="O6316">
        <v>2.0702740000000001E-2</v>
      </c>
      <c r="P6316">
        <v>0.99956069999999997</v>
      </c>
      <c r="Q6316">
        <v>-2.8903249999999998E-2</v>
      </c>
      <c r="R6316">
        <v>-6.5679179999999998E-3</v>
      </c>
      <c r="S6316">
        <v>3.0005649999999999</v>
      </c>
      <c r="T6316">
        <v>-0.110911</v>
      </c>
      <c r="U6316">
        <v>0.37454219999999999</v>
      </c>
      <c r="V6316">
        <v>2.7262140000000001E-2</v>
      </c>
      <c r="W6316">
        <v>-2.0786410000000002E-2</v>
      </c>
      <c r="X6316">
        <v>0.99941219999999997</v>
      </c>
      <c r="Y6316">
        <v>-0.1032367</v>
      </c>
      <c r="Z6316">
        <v>1.138205E-3</v>
      </c>
      <c r="AA6316">
        <v>0.99465610000000004</v>
      </c>
      <c r="AB6316">
        <v>18</v>
      </c>
      <c r="AC6316">
        <v>29.932699999999901</v>
      </c>
      <c r="AD6316">
        <v>-1.1095616824154999</v>
      </c>
      <c r="AE6316">
        <v>3.7451999999999899</v>
      </c>
      <c r="AF6316">
        <v>-3.12046625160268</v>
      </c>
      <c r="AG6316">
        <v>-1.1095616824154999</v>
      </c>
      <c r="AH6316">
        <v>29.963285470986101</v>
      </c>
      <c r="AI6316">
        <v>92.109336833276103</v>
      </c>
      <c r="AJ6316">
        <v>95.945521252064296</v>
      </c>
      <c r="AK6316">
        <v>30.145761111146001</v>
      </c>
      <c r="AL6316">
        <v>91.1910593192801</v>
      </c>
      <c r="AM6316">
        <v>88.437463234327595</v>
      </c>
      <c r="AN6316">
        <v>1.00000002231345</v>
      </c>
    </row>
    <row r="6317" spans="1:40" x14ac:dyDescent="0.25">
      <c r="A6317" t="str">
        <f>"20190312161143564"</f>
        <v>20190312161143564</v>
      </c>
      <c r="B6317" t="str">
        <f>"1552378303553425"</f>
        <v>1552378303553425</v>
      </c>
      <c r="C6317" t="s">
        <v>40</v>
      </c>
      <c r="D6317">
        <v>5.7092599999999996</v>
      </c>
      <c r="E6317">
        <v>0.45118029999999998</v>
      </c>
      <c r="F6317" t="s">
        <v>110</v>
      </c>
      <c r="G6317">
        <v>-214.7937</v>
      </c>
      <c r="H6317" s="1">
        <v>-1.0794190000000001E-6</v>
      </c>
      <c r="I6317">
        <v>-60.079639999999998</v>
      </c>
      <c r="J6317">
        <v>-243.64330000000001</v>
      </c>
      <c r="K6317">
        <v>1.109561</v>
      </c>
      <c r="L6317">
        <v>-63.657589999999999</v>
      </c>
      <c r="M6317">
        <v>0.99975190000000003</v>
      </c>
      <c r="N6317">
        <v>0</v>
      </c>
      <c r="O6317">
        <v>2.074177E-2</v>
      </c>
      <c r="P6317">
        <v>0.99956829999999997</v>
      </c>
      <c r="Q6317">
        <v>-2.864444E-2</v>
      </c>
      <c r="R6317">
        <v>-6.5727629999999997E-3</v>
      </c>
      <c r="S6317">
        <v>3.0004430000000002</v>
      </c>
      <c r="T6317">
        <v>-0.11504159999999999</v>
      </c>
      <c r="U6317">
        <v>0.37115480000000001</v>
      </c>
      <c r="V6317">
        <v>2.7305719999999999E-2</v>
      </c>
      <c r="W6317">
        <v>-2.052404E-2</v>
      </c>
      <c r="X6317">
        <v>0.99941639999999998</v>
      </c>
      <c r="Y6317">
        <v>-0.1020935</v>
      </c>
      <c r="Z6317">
        <v>1.1573779999999999E-3</v>
      </c>
      <c r="AA6317">
        <v>0.99477409999999999</v>
      </c>
      <c r="AB6317">
        <v>18</v>
      </c>
      <c r="AC6317">
        <v>28.849599999999999</v>
      </c>
      <c r="AD6317">
        <v>-1.109562079419</v>
      </c>
      <c r="AE6317">
        <v>3.5779499999999902</v>
      </c>
      <c r="AF6317">
        <v>-2.9744356170017499</v>
      </c>
      <c r="AG6317">
        <v>-1.109562079419</v>
      </c>
      <c r="AH6317">
        <v>28.8755431659661</v>
      </c>
      <c r="AI6317">
        <v>92.188974653617393</v>
      </c>
      <c r="AJ6317">
        <v>95.881227607031207</v>
      </c>
      <c r="AK6317">
        <v>29.049533359029098</v>
      </c>
      <c r="AL6317">
        <v>91.176023456619305</v>
      </c>
      <c r="AM6317">
        <v>88.434973250050305</v>
      </c>
      <c r="AN6317">
        <v>0.99999998957579905</v>
      </c>
    </row>
    <row r="6318" spans="1:40" x14ac:dyDescent="0.25">
      <c r="A6318" t="str">
        <f>"20190312161143574"</f>
        <v>20190312161143574</v>
      </c>
      <c r="B6318" t="str">
        <f>"1552378303563185"</f>
        <v>1552378303563185</v>
      </c>
      <c r="C6318" t="s">
        <v>40</v>
      </c>
      <c r="D6318">
        <v>5.5984020000000001</v>
      </c>
      <c r="E6318">
        <v>0.51370979999999999</v>
      </c>
      <c r="F6318" t="s">
        <v>110</v>
      </c>
      <c r="G6318">
        <v>-214.4855</v>
      </c>
      <c r="H6318" s="1">
        <v>-9.5229640000000004E-7</v>
      </c>
      <c r="I6318">
        <v>-60.05104</v>
      </c>
      <c r="J6318">
        <v>-243.55950000000001</v>
      </c>
      <c r="K6318">
        <v>1.109559</v>
      </c>
      <c r="L6318">
        <v>-63.655819999999999</v>
      </c>
      <c r="M6318">
        <v>0.9997511</v>
      </c>
      <c r="N6318">
        <v>0</v>
      </c>
      <c r="O6318">
        <v>2.0776619999999999E-2</v>
      </c>
      <c r="P6318">
        <v>0.99957929999999995</v>
      </c>
      <c r="Q6318">
        <v>-2.8269539999999999E-2</v>
      </c>
      <c r="R6318">
        <v>-6.5008269999999998E-3</v>
      </c>
      <c r="S6318">
        <v>3.0004729999999999</v>
      </c>
      <c r="T6318">
        <v>-0.1141789</v>
      </c>
      <c r="U6318">
        <v>0.37112430000000002</v>
      </c>
      <c r="V6318">
        <v>2.7269020000000001E-2</v>
      </c>
      <c r="W6318">
        <v>-2.014577E-2</v>
      </c>
      <c r="X6318">
        <v>0.99942509999999996</v>
      </c>
      <c r="Y6318">
        <v>-0.1020486</v>
      </c>
      <c r="Z6318">
        <v>1.1465239999999999E-3</v>
      </c>
      <c r="AA6318">
        <v>0.99477879999999996</v>
      </c>
      <c r="AB6318">
        <v>18</v>
      </c>
      <c r="AC6318">
        <v>29.074000000000002</v>
      </c>
      <c r="AD6318">
        <v>-1.1095599522963999</v>
      </c>
      <c r="AE6318">
        <v>3.6047799999999901</v>
      </c>
      <c r="AF6318">
        <v>-2.9956255364661901</v>
      </c>
      <c r="AG6318">
        <v>-1.1095599522963999</v>
      </c>
      <c r="AH6318">
        <v>29.100879428778601</v>
      </c>
      <c r="AI6318">
        <v>92.172052308078804</v>
      </c>
      <c r="AJ6318">
        <v>95.877288906125997</v>
      </c>
      <c r="AK6318">
        <v>29.2756909255918</v>
      </c>
      <c r="AL6318">
        <v>91.154345697666599</v>
      </c>
      <c r="AM6318">
        <v>88.437089264269304</v>
      </c>
      <c r="AN6318">
        <v>0.99999999100533099</v>
      </c>
    </row>
    <row r="6319" spans="1:40" x14ac:dyDescent="0.25">
      <c r="A6319" t="str">
        <f>"20190312161143584"</f>
        <v>20190312161143584</v>
      </c>
      <c r="B6319" t="str">
        <f>"1552378303573920"</f>
        <v>1552378303573920</v>
      </c>
      <c r="C6319" t="s">
        <v>40</v>
      </c>
      <c r="D6319">
        <v>5.7689550000000001</v>
      </c>
      <c r="E6319">
        <v>0.51370979999999999</v>
      </c>
      <c r="F6319" t="s">
        <v>42</v>
      </c>
      <c r="G6319">
        <v>-242.78049999999999</v>
      </c>
      <c r="H6319">
        <v>0.99428640000000001</v>
      </c>
      <c r="I6319">
        <v>-63.685679999999998</v>
      </c>
      <c r="J6319">
        <v>-243.47810000000001</v>
      </c>
      <c r="K6319">
        <v>1.109561</v>
      </c>
      <c r="L6319">
        <v>-63.654049999999998</v>
      </c>
      <c r="M6319">
        <v>0.99975040000000004</v>
      </c>
      <c r="N6319">
        <v>0</v>
      </c>
      <c r="O6319">
        <v>2.0810160000000001E-2</v>
      </c>
      <c r="P6319">
        <v>0.99958029999999998</v>
      </c>
      <c r="Q6319">
        <v>-2.8228550000000002E-2</v>
      </c>
      <c r="R6319">
        <v>-6.5024660000000001E-3</v>
      </c>
      <c r="S6319">
        <v>2.9880369999999998</v>
      </c>
      <c r="T6319">
        <v>-0.44210199999999999</v>
      </c>
      <c r="U6319">
        <v>-0.1140747</v>
      </c>
      <c r="V6319">
        <v>2.7304209999999999E-2</v>
      </c>
      <c r="W6319">
        <v>-2.0101569999999999E-2</v>
      </c>
      <c r="X6319">
        <v>0.99942509999999996</v>
      </c>
      <c r="Y6319">
        <v>5.807905E-2</v>
      </c>
      <c r="Z6319">
        <v>-7.3333039999999997E-3</v>
      </c>
      <c r="AA6319">
        <v>0.99828510000000004</v>
      </c>
      <c r="AB6319">
        <v>18</v>
      </c>
      <c r="AC6319">
        <v>0.69760000000002198</v>
      </c>
      <c r="AD6319">
        <v>-0.1152746</v>
      </c>
      <c r="AE6319">
        <v>-3.1630000000006903E-2</v>
      </c>
      <c r="AF6319">
        <v>4.4916825285656298E-2</v>
      </c>
      <c r="AG6319">
        <v>-0.1152746</v>
      </c>
      <c r="AH6319">
        <v>0.67830698421209401</v>
      </c>
      <c r="AI6319">
        <v>99.624277084351405</v>
      </c>
      <c r="AJ6319">
        <v>86.211460570683698</v>
      </c>
      <c r="AK6319">
        <v>0.68949700465615404</v>
      </c>
      <c r="AL6319">
        <v>91.151812629754005</v>
      </c>
      <c r="AM6319">
        <v>88.435073368667403</v>
      </c>
      <c r="AN6319">
        <v>1.0000000617550899</v>
      </c>
    </row>
    <row r="6320" spans="1:40" x14ac:dyDescent="0.25">
      <c r="A6320" t="str">
        <f>"20190312161143597"</f>
        <v>20190312161143597</v>
      </c>
      <c r="B6320" t="str">
        <f>"1552378303583682"</f>
        <v>1552378303583682</v>
      </c>
      <c r="C6320" t="s">
        <v>40</v>
      </c>
      <c r="D6320">
        <v>5.7218390000000001</v>
      </c>
      <c r="E6320">
        <v>0.52149860000000003</v>
      </c>
      <c r="F6320" t="s">
        <v>42</v>
      </c>
      <c r="G6320">
        <v>-242.62569999999999</v>
      </c>
      <c r="H6320">
        <v>0.98347960000000001</v>
      </c>
      <c r="I6320">
        <v>-63.686779999999999</v>
      </c>
      <c r="J6320">
        <v>-243.38200000000001</v>
      </c>
      <c r="K6320">
        <v>1.109558</v>
      </c>
      <c r="L6320">
        <v>-63.652009999999997</v>
      </c>
      <c r="M6320">
        <v>0.99974969999999996</v>
      </c>
      <c r="N6320">
        <v>0</v>
      </c>
      <c r="O6320">
        <v>2.084714E-2</v>
      </c>
      <c r="P6320">
        <v>0.99958179999999996</v>
      </c>
      <c r="Q6320">
        <v>-2.8154470000000001E-2</v>
      </c>
      <c r="R6320">
        <v>-6.6146690000000001E-3</v>
      </c>
      <c r="S6320">
        <v>2.9880369999999998</v>
      </c>
      <c r="T6320">
        <v>-0.44193260000000001</v>
      </c>
      <c r="U6320">
        <v>-0.1142273</v>
      </c>
      <c r="V6320">
        <v>2.745334E-2</v>
      </c>
      <c r="W6320">
        <v>-2.0023659999999999E-2</v>
      </c>
      <c r="X6320">
        <v>0.99942249999999999</v>
      </c>
      <c r="Y6320">
        <v>5.8166179999999998E-2</v>
      </c>
      <c r="Z6320">
        <v>-7.3423630000000002E-3</v>
      </c>
      <c r="AA6320">
        <v>0.9982799</v>
      </c>
      <c r="AB6320">
        <v>18</v>
      </c>
      <c r="AC6320">
        <v>0.75630000000000996</v>
      </c>
      <c r="AD6320">
        <v>-0.12607840000000001</v>
      </c>
      <c r="AE6320">
        <v>-3.4770000000008801E-2</v>
      </c>
      <c r="AF6320">
        <v>4.9166193606616997E-2</v>
      </c>
      <c r="AG6320">
        <v>-0.12607840000000001</v>
      </c>
      <c r="AH6320">
        <v>0.73502720580685599</v>
      </c>
      <c r="AI6320">
        <v>99.711874083891701</v>
      </c>
      <c r="AJ6320">
        <v>86.173168548634195</v>
      </c>
      <c r="AK6320">
        <v>0.74738080709672805</v>
      </c>
      <c r="AL6320">
        <v>91.147347907368498</v>
      </c>
      <c r="AM6320">
        <v>88.426526253884106</v>
      </c>
      <c r="AN6320">
        <v>0.99999998317159999</v>
      </c>
    </row>
    <row r="6321" spans="1:40" x14ac:dyDescent="0.25">
      <c r="A6321" t="str">
        <f>"20190312161143607"</f>
        <v>20190312161143607</v>
      </c>
      <c r="B6321" t="str">
        <f>"1552378303593441"</f>
        <v>1552378303593441</v>
      </c>
      <c r="C6321" t="s">
        <v>40</v>
      </c>
      <c r="D6321">
        <v>5.6263030000000001</v>
      </c>
      <c r="E6321">
        <v>0.52572819999999998</v>
      </c>
      <c r="F6321" t="s">
        <v>42</v>
      </c>
      <c r="G6321">
        <v>-242.62549999999999</v>
      </c>
      <c r="H6321">
        <v>0.98349629999999999</v>
      </c>
      <c r="I6321">
        <v>-63.696359999999999</v>
      </c>
      <c r="J6321">
        <v>-243.30099999999999</v>
      </c>
      <c r="K6321">
        <v>1.1095569999999999</v>
      </c>
      <c r="L6321">
        <v>-63.650300000000001</v>
      </c>
      <c r="M6321">
        <v>0.99974909999999995</v>
      </c>
      <c r="N6321">
        <v>0</v>
      </c>
      <c r="O6321">
        <v>2.0877329999999999E-2</v>
      </c>
      <c r="P6321">
        <v>0.99957169999999895</v>
      </c>
      <c r="Q6321">
        <v>-2.85113E-2</v>
      </c>
      <c r="R6321">
        <v>-6.643426E-3</v>
      </c>
      <c r="S6321">
        <v>2.9860989999999998</v>
      </c>
      <c r="T6321">
        <v>-0.49753979999999998</v>
      </c>
      <c r="U6321">
        <v>-0.1744995</v>
      </c>
      <c r="V6321">
        <v>2.7511839999999999E-2</v>
      </c>
      <c r="W6321">
        <v>-2.0377869999999999E-2</v>
      </c>
      <c r="X6321">
        <v>0.99941369999999896</v>
      </c>
      <c r="Y6321">
        <v>7.7811199999999997E-2</v>
      </c>
      <c r="Z6321">
        <v>-9.8849449999999991E-3</v>
      </c>
      <c r="AA6321">
        <v>0.99691909999999895</v>
      </c>
      <c r="AB6321">
        <v>18</v>
      </c>
      <c r="AC6321">
        <v>0.67549999999999899</v>
      </c>
      <c r="AD6321">
        <v>-0.126060699999999</v>
      </c>
      <c r="AE6321">
        <v>-4.6059999999997103E-2</v>
      </c>
      <c r="AF6321">
        <v>5.8137703891922902E-2</v>
      </c>
      <c r="AG6321">
        <v>-0.126060699999999</v>
      </c>
      <c r="AH6321">
        <v>0.65179644102634404</v>
      </c>
      <c r="AI6321">
        <v>100.90389860325401</v>
      </c>
      <c r="AJ6321">
        <v>84.902928407169</v>
      </c>
      <c r="AK6321">
        <v>0.66641570602209199</v>
      </c>
      <c r="AL6321">
        <v>91.167646825168603</v>
      </c>
      <c r="AM6321">
        <v>88.4231611708759</v>
      </c>
      <c r="AN6321">
        <v>0.99999995133680397</v>
      </c>
    </row>
    <row r="6322" spans="1:40" x14ac:dyDescent="0.25">
      <c r="A6322" t="str">
        <f>"20190312161143617"</f>
        <v>20190312161143617</v>
      </c>
      <c r="B6322" t="str">
        <f>"1552378303613936"</f>
        <v>1552378303613936</v>
      </c>
      <c r="C6322" t="s">
        <v>40</v>
      </c>
      <c r="D6322">
        <v>5.4753420000000004</v>
      </c>
      <c r="E6322">
        <v>0.52748640000000002</v>
      </c>
      <c r="F6322" t="s">
        <v>42</v>
      </c>
      <c r="G6322">
        <v>-242.47290000000001</v>
      </c>
      <c r="H6322">
        <v>0.96680779999999999</v>
      </c>
      <c r="I6322">
        <v>-63.708039999999997</v>
      </c>
      <c r="J6322">
        <v>-243.2123</v>
      </c>
      <c r="K6322">
        <v>1.1095539999999999</v>
      </c>
      <c r="L6322">
        <v>-63.648409999999998</v>
      </c>
      <c r="M6322">
        <v>0.99974819999999998</v>
      </c>
      <c r="N6322">
        <v>0</v>
      </c>
      <c r="O6322">
        <v>2.0908469999999998E-2</v>
      </c>
      <c r="P6322">
        <v>0.99956140000000004</v>
      </c>
      <c r="Q6322">
        <v>-2.8849679999999999E-2</v>
      </c>
      <c r="R6322">
        <v>-6.7089709999999898E-3</v>
      </c>
      <c r="S6322">
        <v>2.9852289999999999</v>
      </c>
      <c r="T6322">
        <v>-0.5145729</v>
      </c>
      <c r="U6322">
        <v>-0.2076721</v>
      </c>
      <c r="V6322">
        <v>2.7608150000000001E-2</v>
      </c>
      <c r="W6322">
        <v>-2.0714690000000001E-2</v>
      </c>
      <c r="X6322">
        <v>0.99940419999999996</v>
      </c>
      <c r="Y6322">
        <v>8.8634099999999993E-2</v>
      </c>
      <c r="Z6322">
        <v>-1.114821E-2</v>
      </c>
      <c r="AA6322">
        <v>0.99600180000000005</v>
      </c>
      <c r="AB6322">
        <v>18</v>
      </c>
      <c r="AC6322">
        <v>0.73939999999998895</v>
      </c>
      <c r="AD6322">
        <v>-0.14274619999999999</v>
      </c>
      <c r="AE6322">
        <v>-5.9630000000005602E-2</v>
      </c>
      <c r="AF6322">
        <v>7.2396355822688496E-2</v>
      </c>
      <c r="AG6322">
        <v>-0.14274619999999999</v>
      </c>
      <c r="AH6322">
        <v>0.71163946456618299</v>
      </c>
      <c r="AI6322">
        <v>101.285569678153</v>
      </c>
      <c r="AJ6322">
        <v>84.191182020356607</v>
      </c>
      <c r="AK6322">
        <v>0.72941650480290698</v>
      </c>
      <c r="AL6322">
        <v>91.186949169999295</v>
      </c>
      <c r="AM6322">
        <v>88.417628938989793</v>
      </c>
      <c r="AN6322">
        <v>1.0000000316529201</v>
      </c>
    </row>
    <row r="6323" spans="1:40" x14ac:dyDescent="0.25">
      <c r="A6323" t="str">
        <f>"20190312161143628"</f>
        <v>20190312161143628</v>
      </c>
      <c r="B6323" t="str">
        <f>"1552378303613936"</f>
        <v>1552378303613936</v>
      </c>
      <c r="C6323" t="s">
        <v>40</v>
      </c>
      <c r="D6323">
        <v>5.4753420000000004</v>
      </c>
      <c r="E6323">
        <v>0.52748640000000002</v>
      </c>
      <c r="F6323" t="s">
        <v>42</v>
      </c>
      <c r="G6323">
        <v>-242.47</v>
      </c>
      <c r="H6323">
        <v>0.97288949999999996</v>
      </c>
      <c r="I6323">
        <v>-63.703360000000004</v>
      </c>
      <c r="J6323">
        <v>-243.12880000000001</v>
      </c>
      <c r="K6323">
        <v>1.1095489999999999</v>
      </c>
      <c r="L6323">
        <v>-63.646639999999998</v>
      </c>
      <c r="M6323">
        <v>0.99974770000000002</v>
      </c>
      <c r="N6323">
        <v>0</v>
      </c>
      <c r="O6323">
        <v>2.093598E-2</v>
      </c>
      <c r="P6323">
        <v>0.99955490000000002</v>
      </c>
      <c r="Q6323">
        <v>-2.907732E-2</v>
      </c>
      <c r="R6323">
        <v>-6.6773179999999998E-3</v>
      </c>
      <c r="S6323">
        <v>2.983978</v>
      </c>
      <c r="T6323">
        <v>-0.54936240000000003</v>
      </c>
      <c r="U6323">
        <v>-0.22039790000000001</v>
      </c>
      <c r="V6323">
        <v>2.760375E-2</v>
      </c>
      <c r="W6323">
        <v>-2.0941830000000002E-2</v>
      </c>
      <c r="X6323">
        <v>0.9993995</v>
      </c>
      <c r="Y6323">
        <v>9.2624529999999997E-2</v>
      </c>
      <c r="Z6323">
        <v>-1.2261859999999999E-2</v>
      </c>
      <c r="AA6323">
        <v>0.9956256</v>
      </c>
      <c r="AB6323">
        <v>18</v>
      </c>
      <c r="AC6323">
        <v>0.65880000000001304</v>
      </c>
      <c r="AD6323">
        <v>-0.13665949999999899</v>
      </c>
      <c r="AE6323">
        <v>-5.6719999999991402E-2</v>
      </c>
      <c r="AF6323">
        <v>6.7612673748006696E-2</v>
      </c>
      <c r="AG6323">
        <v>-0.13665949999999899</v>
      </c>
      <c r="AH6323">
        <v>0.63053568119606995</v>
      </c>
      <c r="AI6323">
        <v>102.161267332267</v>
      </c>
      <c r="AJ6323">
        <v>83.879530343451506</v>
      </c>
      <c r="AK6323">
        <v>0.64870836117087005</v>
      </c>
      <c r="AL6323">
        <v>91.199966262052499</v>
      </c>
      <c r="AM6323">
        <v>88.417873561744898</v>
      </c>
      <c r="AN6323">
        <v>0.99999994392902902</v>
      </c>
    </row>
    <row r="6324" spans="1:40" x14ac:dyDescent="0.25">
      <c r="A6324" t="str">
        <f>"20190312161143640"</f>
        <v>20190312161143640</v>
      </c>
      <c r="B6324" t="str">
        <f>"1552378303633457"</f>
        <v>1552378303633457</v>
      </c>
      <c r="C6324" t="s">
        <v>40</v>
      </c>
      <c r="D6324">
        <v>6.128571</v>
      </c>
      <c r="E6324">
        <v>0.53416909999999995</v>
      </c>
      <c r="F6324" t="s">
        <v>42</v>
      </c>
      <c r="G6324">
        <v>-242.3152</v>
      </c>
      <c r="H6324">
        <v>0.95957959999999998</v>
      </c>
      <c r="I6324">
        <v>-63.706800000000001</v>
      </c>
      <c r="J6324">
        <v>-243.035</v>
      </c>
      <c r="K6324">
        <v>1.1095429999999999</v>
      </c>
      <c r="L6324">
        <v>-63.644620000000003</v>
      </c>
      <c r="M6324">
        <v>0.99974700000000005</v>
      </c>
      <c r="N6324">
        <v>0</v>
      </c>
      <c r="O6324">
        <v>2.0964320000000002E-2</v>
      </c>
      <c r="P6324">
        <v>0.9995522</v>
      </c>
      <c r="Q6324">
        <v>-2.9174160000000001E-2</v>
      </c>
      <c r="R6324">
        <v>-6.6564140000000003E-3</v>
      </c>
      <c r="S6324">
        <v>2.9838559999999998</v>
      </c>
      <c r="T6324">
        <v>-0.55007539999999999</v>
      </c>
      <c r="U6324">
        <v>-0.2202759</v>
      </c>
      <c r="V6324">
        <v>2.76111E-2</v>
      </c>
      <c r="W6324">
        <v>-2.1039519999999999E-2</v>
      </c>
      <c r="X6324">
        <v>0.99939730000000004</v>
      </c>
      <c r="Y6324">
        <v>9.2609940000000002E-2</v>
      </c>
      <c r="Z6324">
        <v>-1.228187E-2</v>
      </c>
      <c r="AA6324">
        <v>0.99562669999999998</v>
      </c>
      <c r="AB6324">
        <v>18</v>
      </c>
      <c r="AC6324">
        <v>0.719799999999992</v>
      </c>
      <c r="AD6324">
        <v>-0.149963399999999</v>
      </c>
      <c r="AE6324">
        <v>-6.2180000000005002E-2</v>
      </c>
      <c r="AF6324">
        <v>7.4065882956652299E-2</v>
      </c>
      <c r="AG6324">
        <v>-0.149963399999999</v>
      </c>
      <c r="AH6324">
        <v>0.68866750211516303</v>
      </c>
      <c r="AI6324">
        <v>102.216560079549</v>
      </c>
      <c r="AJ6324">
        <v>83.861459855058101</v>
      </c>
      <c r="AK6324">
        <v>0.70868731103868798</v>
      </c>
      <c r="AL6324">
        <v>91.205564654473903</v>
      </c>
      <c r="AM6324">
        <v>88.417449024097806</v>
      </c>
      <c r="AN6324">
        <v>0.99999999874616496</v>
      </c>
    </row>
    <row r="6325" spans="1:40" x14ac:dyDescent="0.25">
      <c r="A6325" t="str">
        <f>"20190312161143651"</f>
        <v>20190312161143651</v>
      </c>
      <c r="B6325" t="str">
        <f>"1552378303643217"</f>
        <v>1552378303643217</v>
      </c>
      <c r="C6325" t="s">
        <v>40</v>
      </c>
      <c r="D6325">
        <v>5.6620990000000004</v>
      </c>
      <c r="E6325">
        <v>0.53469489999999997</v>
      </c>
      <c r="F6325" t="s">
        <v>42</v>
      </c>
      <c r="G6325">
        <v>-242.31049999999999</v>
      </c>
      <c r="H6325">
        <v>0.96900989999999998</v>
      </c>
      <c r="I6325">
        <v>-63.710880000000003</v>
      </c>
      <c r="J6325">
        <v>-242.94560000000001</v>
      </c>
      <c r="K6325">
        <v>1.109537</v>
      </c>
      <c r="L6325">
        <v>-63.64273</v>
      </c>
      <c r="M6325">
        <v>0.99974660000000004</v>
      </c>
      <c r="N6325">
        <v>0</v>
      </c>
      <c r="O6325">
        <v>2.0988139999999999E-2</v>
      </c>
      <c r="P6325">
        <v>0.99955260000000001</v>
      </c>
      <c r="Q6325">
        <v>-2.9198459999999999E-2</v>
      </c>
      <c r="R6325">
        <v>-6.5057409999999998E-3</v>
      </c>
      <c r="S6325">
        <v>2.982666</v>
      </c>
      <c r="T6325">
        <v>-0.57858730000000003</v>
      </c>
      <c r="U6325">
        <v>-0.27233889999999999</v>
      </c>
      <c r="V6325">
        <v>2.748397E-2</v>
      </c>
      <c r="W6325">
        <v>-2.106674E-2</v>
      </c>
      <c r="X6325">
        <v>0.99940030000000002</v>
      </c>
      <c r="Y6325">
        <v>0.109399</v>
      </c>
      <c r="Z6325">
        <v>-1.4518049999999999E-2</v>
      </c>
      <c r="AA6325">
        <v>0.99389190000000005</v>
      </c>
      <c r="AB6325">
        <v>18</v>
      </c>
      <c r="AC6325">
        <v>0.63510000000002198</v>
      </c>
      <c r="AD6325">
        <v>-0.14052709999999999</v>
      </c>
      <c r="AE6325">
        <v>-6.81499999999957E-2</v>
      </c>
      <c r="AF6325">
        <v>7.7703964823309907E-2</v>
      </c>
      <c r="AG6325">
        <v>-0.14052709999999999</v>
      </c>
      <c r="AH6325">
        <v>0.60428125037803704</v>
      </c>
      <c r="AI6325">
        <v>102.98831280251299</v>
      </c>
      <c r="AJ6325">
        <v>82.672598923365499</v>
      </c>
      <c r="AK6325">
        <v>0.62525322993337296</v>
      </c>
      <c r="AL6325">
        <v>91.207124507863</v>
      </c>
      <c r="AM6325">
        <v>88.424736622120193</v>
      </c>
      <c r="AN6325">
        <v>1.00000006789063</v>
      </c>
    </row>
    <row r="6326" spans="1:40" x14ac:dyDescent="0.25">
      <c r="A6326" t="str">
        <f>"20190312161143661"</f>
        <v>20190312161143661</v>
      </c>
      <c r="B6326" t="str">
        <f>"1552378303653952"</f>
        <v>1552378303653952</v>
      </c>
      <c r="C6326" t="s">
        <v>40</v>
      </c>
      <c r="D6326">
        <v>5.7056180000000003</v>
      </c>
      <c r="E6326">
        <v>0.53587439999999997</v>
      </c>
      <c r="F6326" t="s">
        <v>42</v>
      </c>
      <c r="G6326">
        <v>-242.155</v>
      </c>
      <c r="H6326">
        <v>0.95576349999999999</v>
      </c>
      <c r="I6326">
        <v>-63.71593</v>
      </c>
      <c r="J6326">
        <v>-242.8595</v>
      </c>
      <c r="K6326">
        <v>1.109531</v>
      </c>
      <c r="L6326">
        <v>-63.6408699999999</v>
      </c>
      <c r="M6326">
        <v>0.99974629999999998</v>
      </c>
      <c r="N6326">
        <v>0</v>
      </c>
      <c r="O6326">
        <v>2.1009449999999999E-2</v>
      </c>
      <c r="P6326">
        <v>0.99955059999999996</v>
      </c>
      <c r="Q6326">
        <v>-2.9272659999999999E-2</v>
      </c>
      <c r="R6326">
        <v>-6.4814180000000001E-3</v>
      </c>
      <c r="S6326">
        <v>2.9825900000000001</v>
      </c>
      <c r="T6326">
        <v>-0.58016109999999999</v>
      </c>
      <c r="U6326">
        <v>-0.27597050000000001</v>
      </c>
      <c r="V6326">
        <v>2.748078E-2</v>
      </c>
      <c r="W6326">
        <v>-2.1144880000000001E-2</v>
      </c>
      <c r="X6326">
        <v>0.99939860000000003</v>
      </c>
      <c r="Y6326">
        <v>0.11058709999999999</v>
      </c>
      <c r="Z6326">
        <v>-1.467475E-2</v>
      </c>
      <c r="AA6326">
        <v>0.99375809999999998</v>
      </c>
      <c r="AB6326">
        <v>18</v>
      </c>
      <c r="AC6326">
        <v>0.70449999999999502</v>
      </c>
      <c r="AD6326">
        <v>-0.1537675</v>
      </c>
      <c r="AE6326">
        <v>-7.5060000000014698E-2</v>
      </c>
      <c r="AF6326">
        <v>8.5803330103110004E-2</v>
      </c>
      <c r="AG6326">
        <v>-0.1537675</v>
      </c>
      <c r="AH6326">
        <v>0.67115295761029303</v>
      </c>
      <c r="AI6326">
        <v>102.803561923516</v>
      </c>
      <c r="AJ6326">
        <v>82.714560008755797</v>
      </c>
      <c r="AK6326">
        <v>0.69386810563829504</v>
      </c>
      <c r="AL6326">
        <v>91.211602763823706</v>
      </c>
      <c r="AM6326">
        <v>88.424916689243602</v>
      </c>
      <c r="AN6326">
        <v>0.99999993045078905</v>
      </c>
    </row>
    <row r="6327" spans="1:40" x14ac:dyDescent="0.25">
      <c r="A6327" t="str">
        <f>"20190312161143673"</f>
        <v>20190312161143673</v>
      </c>
      <c r="B6327" t="str">
        <f>"1552378303663714"</f>
        <v>1552378303663714</v>
      </c>
      <c r="C6327" t="s">
        <v>40</v>
      </c>
      <c r="D6327">
        <v>5.7424839999999904</v>
      </c>
      <c r="E6327">
        <v>0.53578970000000004</v>
      </c>
      <c r="F6327" t="s">
        <v>42</v>
      </c>
      <c r="G6327">
        <v>-242.14850000000001</v>
      </c>
      <c r="H6327">
        <v>0.96969470000000002</v>
      </c>
      <c r="I6327">
        <v>-63.708889999999997</v>
      </c>
      <c r="J6327">
        <v>-242.76570000000001</v>
      </c>
      <c r="K6327">
        <v>1.1095219999999999</v>
      </c>
      <c r="L6327">
        <v>-63.638919999999999</v>
      </c>
      <c r="M6327">
        <v>0.99974580000000002</v>
      </c>
      <c r="N6327">
        <v>0</v>
      </c>
      <c r="O6327">
        <v>2.102797E-2</v>
      </c>
      <c r="P6327">
        <v>0.99955760000000005</v>
      </c>
      <c r="Q6327">
        <v>-2.905928E-2</v>
      </c>
      <c r="R6327">
        <v>-6.3410280000000003E-3</v>
      </c>
      <c r="S6327">
        <v>2.9823300000000001</v>
      </c>
      <c r="T6327">
        <v>-0.58659110000000003</v>
      </c>
      <c r="U6327">
        <v>-0.28515629999999997</v>
      </c>
      <c r="V6327">
        <v>2.735887E-2</v>
      </c>
      <c r="W6327">
        <v>-2.0938040000000002E-2</v>
      </c>
      <c r="X6327">
        <v>0.99940640000000003</v>
      </c>
      <c r="Y6327">
        <v>0.113537</v>
      </c>
      <c r="Z6327">
        <v>-1.5123899999999999E-2</v>
      </c>
      <c r="AA6327">
        <v>0.99341860000000004</v>
      </c>
      <c r="AB6327">
        <v>18</v>
      </c>
      <c r="AC6327">
        <v>0.61719999999999597</v>
      </c>
      <c r="AD6327">
        <v>-0.13982729999999899</v>
      </c>
      <c r="AE6327">
        <v>-6.9970000000004903E-2</v>
      </c>
      <c r="AF6327">
        <v>7.8933533852839993E-2</v>
      </c>
      <c r="AG6327">
        <v>-0.13982729999999899</v>
      </c>
      <c r="AH6327">
        <v>0.58590208012619804</v>
      </c>
      <c r="AI6327">
        <v>103.30685435541101</v>
      </c>
      <c r="AJ6327">
        <v>82.327231108182005</v>
      </c>
      <c r="AK6327">
        <v>0.60750590457047704</v>
      </c>
      <c r="AL6327">
        <v>91.199748959144799</v>
      </c>
      <c r="AM6327">
        <v>88.431912796184093</v>
      </c>
      <c r="AN6327">
        <v>1.0000000308238299</v>
      </c>
    </row>
    <row r="6328" spans="1:40" x14ac:dyDescent="0.25">
      <c r="A6328" t="str">
        <f>"20190312161143686"</f>
        <v>20190312161143686</v>
      </c>
      <c r="B6328" t="str">
        <f>"1552378303673473"</f>
        <v>1552378303673473</v>
      </c>
      <c r="C6328" t="s">
        <v>40</v>
      </c>
      <c r="D6328">
        <v>5.6573849999999997</v>
      </c>
      <c r="E6328">
        <v>0.53548439999999997</v>
      </c>
      <c r="F6328" t="s">
        <v>42</v>
      </c>
      <c r="G6328">
        <v>-241.99160000000001</v>
      </c>
      <c r="H6328">
        <v>0.95818979999999998</v>
      </c>
      <c r="I6328">
        <v>-63.712949999999999</v>
      </c>
      <c r="J6328">
        <v>-242.66159999999999</v>
      </c>
      <c r="K6328">
        <v>1.1095170000000001</v>
      </c>
      <c r="L6328">
        <v>-63.636719999999997</v>
      </c>
      <c r="M6328">
        <v>0.99974569999999996</v>
      </c>
      <c r="N6328">
        <v>0</v>
      </c>
      <c r="O6328">
        <v>2.1046140000000001E-2</v>
      </c>
      <c r="P6328">
        <v>0.99955740000000004</v>
      </c>
      <c r="Q6328">
        <v>-2.9086589999999999E-2</v>
      </c>
      <c r="R6328">
        <v>-6.2444179999999998E-3</v>
      </c>
      <c r="S6328">
        <v>2.9825590000000002</v>
      </c>
      <c r="T6328">
        <v>-0.58300260000000004</v>
      </c>
      <c r="U6328">
        <v>-0.28414919999999999</v>
      </c>
      <c r="V6328">
        <v>2.7280410000000001E-2</v>
      </c>
      <c r="W6328">
        <v>-2.0973829999999999E-2</v>
      </c>
      <c r="X6328">
        <v>0.99940779999999996</v>
      </c>
      <c r="Y6328">
        <v>0.11325159999999999</v>
      </c>
      <c r="Z6328">
        <v>-1.500813E-2</v>
      </c>
      <c r="AA6328">
        <v>0.99345300000000003</v>
      </c>
      <c r="AB6328">
        <v>18</v>
      </c>
      <c r="AC6328">
        <v>0.66999999999998705</v>
      </c>
      <c r="AD6328">
        <v>-0.1513272</v>
      </c>
      <c r="AE6328">
        <v>-7.6230000000002393E-2</v>
      </c>
      <c r="AF6328">
        <v>8.5984198800351005E-2</v>
      </c>
      <c r="AG6328">
        <v>-0.1513272</v>
      </c>
      <c r="AH6328">
        <v>0.63620686701566198</v>
      </c>
      <c r="AI6328">
        <v>103.26339190705001</v>
      </c>
      <c r="AJ6328">
        <v>82.3030375038676</v>
      </c>
      <c r="AK6328">
        <v>0.65958500706206302</v>
      </c>
      <c r="AL6328">
        <v>91.201800018612104</v>
      </c>
      <c r="AM6328">
        <v>88.436409723660603</v>
      </c>
      <c r="AN6328">
        <v>1.00000003650773</v>
      </c>
    </row>
    <row r="6329" spans="1:40" x14ac:dyDescent="0.25">
      <c r="A6329" t="str">
        <f>"20190312161143697"</f>
        <v>20190312161143697</v>
      </c>
      <c r="B6329" t="str">
        <f>"1552378303683232"</f>
        <v>1552378303683232</v>
      </c>
      <c r="C6329" t="s">
        <v>40</v>
      </c>
      <c r="D6329">
        <v>5.7742870000000002</v>
      </c>
      <c r="E6329">
        <v>0.53523160000000003</v>
      </c>
      <c r="F6329" t="s">
        <v>42</v>
      </c>
      <c r="G6329">
        <v>-241.83330000000001</v>
      </c>
      <c r="H6329">
        <v>0.94830159999999997</v>
      </c>
      <c r="I6329">
        <v>-63.714950000000002</v>
      </c>
      <c r="J6329">
        <v>-242.56489999999999</v>
      </c>
      <c r="K6329">
        <v>1.1095090000000001</v>
      </c>
      <c r="L6329">
        <v>-63.634639999999997</v>
      </c>
      <c r="M6329">
        <v>0.99974549999999995</v>
      </c>
      <c r="N6329">
        <v>0</v>
      </c>
      <c r="O6329">
        <v>2.1057820000000001E-2</v>
      </c>
      <c r="P6329">
        <v>0.99954969999999999</v>
      </c>
      <c r="Q6329">
        <v>-2.9361080000000001E-2</v>
      </c>
      <c r="R6329">
        <v>-6.212296E-3</v>
      </c>
      <c r="S6329">
        <v>2.9826809999999999</v>
      </c>
      <c r="T6329">
        <v>-0.58052669999999995</v>
      </c>
      <c r="U6329">
        <v>-0.28146359999999998</v>
      </c>
      <c r="V6329">
        <v>2.7259309999999998E-2</v>
      </c>
      <c r="W6329">
        <v>-2.125873E-2</v>
      </c>
      <c r="X6329">
        <v>0.99940229999999997</v>
      </c>
      <c r="Y6329">
        <v>0.1124093</v>
      </c>
      <c r="Z6329">
        <v>-1.4866799999999999E-2</v>
      </c>
      <c r="AA6329">
        <v>0.99355079999999996</v>
      </c>
      <c r="AB6329">
        <v>18</v>
      </c>
      <c r="AC6329">
        <v>0.73159999999998604</v>
      </c>
      <c r="AD6329">
        <v>-0.1612074</v>
      </c>
      <c r="AE6329">
        <v>-8.0309999999997203E-2</v>
      </c>
      <c r="AF6329">
        <v>9.1317579751092504E-2</v>
      </c>
      <c r="AG6329">
        <v>-0.1612074</v>
      </c>
      <c r="AH6329">
        <v>0.69633925302439603</v>
      </c>
      <c r="AI6329">
        <v>102.92781822597399</v>
      </c>
      <c r="AJ6329">
        <v>82.528893887353604</v>
      </c>
      <c r="AK6329">
        <v>0.72056580649440405</v>
      </c>
      <c r="AL6329">
        <v>91.2181272945286</v>
      </c>
      <c r="AM6329">
        <v>88.437609887039201</v>
      </c>
      <c r="AN6329">
        <v>0.999999980414089</v>
      </c>
    </row>
    <row r="6330" spans="1:40" x14ac:dyDescent="0.25">
      <c r="A6330" t="str">
        <f>"20190312161143712"</f>
        <v>20190312161143712</v>
      </c>
      <c r="B6330" t="str">
        <f>"1552378303703729"</f>
        <v>1552378303703729</v>
      </c>
      <c r="C6330" t="s">
        <v>40</v>
      </c>
      <c r="D6330">
        <v>5.7672780000000001</v>
      </c>
      <c r="E6330">
        <v>0.53586199999999995</v>
      </c>
      <c r="F6330" t="s">
        <v>42</v>
      </c>
      <c r="G6330">
        <v>-241.8252</v>
      </c>
      <c r="H6330">
        <v>0.96591579999999999</v>
      </c>
      <c r="I6330">
        <v>-63.703999999999901</v>
      </c>
      <c r="J6330">
        <v>-242.4633</v>
      </c>
      <c r="K6330">
        <v>1.1095010000000001</v>
      </c>
      <c r="L6330">
        <v>-63.632480000000001</v>
      </c>
      <c r="M6330">
        <v>0.99974529999999995</v>
      </c>
      <c r="N6330">
        <v>0</v>
      </c>
      <c r="O6330">
        <v>2.1067300000000001E-2</v>
      </c>
      <c r="P6330">
        <v>0.99954589999999999</v>
      </c>
      <c r="Q6330">
        <v>-2.9467159999999999E-2</v>
      </c>
      <c r="R6330">
        <v>-6.3231600000000004E-3</v>
      </c>
      <c r="S6330">
        <v>2.982605</v>
      </c>
      <c r="T6330">
        <v>-0.57903519999999997</v>
      </c>
      <c r="U6330">
        <v>-0.27941890000000003</v>
      </c>
      <c r="V6330">
        <v>2.737939E-2</v>
      </c>
      <c r="W6330">
        <v>-2.137708E-2</v>
      </c>
      <c r="X6330">
        <v>0.99939650000000002</v>
      </c>
      <c r="Y6330">
        <v>0.11176989999999901</v>
      </c>
      <c r="Z6330">
        <v>-1.477058E-2</v>
      </c>
      <c r="AA6330">
        <v>0.99362430000000002</v>
      </c>
      <c r="AB6330">
        <v>18</v>
      </c>
      <c r="AC6330">
        <v>0.63810000000000799</v>
      </c>
      <c r="AD6330">
        <v>-0.143585199999999</v>
      </c>
      <c r="AE6330">
        <v>-7.1519999999985304E-2</v>
      </c>
      <c r="AF6330">
        <v>8.0902042344836403E-2</v>
      </c>
      <c r="AG6330">
        <v>-0.143585199999999</v>
      </c>
      <c r="AH6330">
        <v>0.60614104602845198</v>
      </c>
      <c r="AI6330">
        <v>103.21379671858</v>
      </c>
      <c r="AJ6330">
        <v>82.3976262585103</v>
      </c>
      <c r="AK6330">
        <v>0.62814713069078998</v>
      </c>
      <c r="AL6330">
        <v>91.224909782976297</v>
      </c>
      <c r="AM6330">
        <v>88.430721732760205</v>
      </c>
      <c r="AN6330">
        <v>0.99999998737917395</v>
      </c>
    </row>
    <row r="6331" spans="1:40" x14ac:dyDescent="0.25">
      <c r="A6331" t="str">
        <f>"20190312161143739"</f>
        <v>20190312161143739</v>
      </c>
      <c r="B6331" t="str">
        <f>"1552378303733997"</f>
        <v>1552378303733997</v>
      </c>
      <c r="C6331" t="s">
        <v>40</v>
      </c>
      <c r="D6331">
        <v>5.7139449999999998</v>
      </c>
      <c r="E6331">
        <v>0.53799200000000003</v>
      </c>
      <c r="F6331" t="s">
        <v>42</v>
      </c>
      <c r="G6331">
        <v>-241.6671</v>
      </c>
      <c r="H6331">
        <v>0.95429549999999996</v>
      </c>
      <c r="I6331">
        <v>-63.708579999999998</v>
      </c>
      <c r="J6331">
        <v>-242.2235</v>
      </c>
      <c r="K6331">
        <v>1.10948</v>
      </c>
      <c r="L6331">
        <v>-63.627409999999998</v>
      </c>
      <c r="M6331">
        <v>0.99974540000000001</v>
      </c>
      <c r="N6331">
        <v>0</v>
      </c>
      <c r="O6331">
        <v>2.1078380000000001E-2</v>
      </c>
      <c r="P6331">
        <v>0.9995366</v>
      </c>
      <c r="Q6331">
        <v>-2.9716550000000001E-2</v>
      </c>
      <c r="R6331">
        <v>-6.6277100000000002E-3</v>
      </c>
      <c r="S6331">
        <v>2.982437</v>
      </c>
      <c r="T6331">
        <v>-0.58139399999999997</v>
      </c>
      <c r="U6331">
        <v>-0.28463749999999999</v>
      </c>
      <c r="V6331">
        <v>2.7694179999999999E-2</v>
      </c>
      <c r="W6331">
        <v>-2.165924E-2</v>
      </c>
      <c r="X6331">
        <v>0.99938179999999999</v>
      </c>
      <c r="Y6331">
        <v>0.1134578</v>
      </c>
      <c r="Z6331">
        <v>-1.499405E-2</v>
      </c>
      <c r="AA6331">
        <v>0.99342969999999997</v>
      </c>
      <c r="AB6331">
        <v>18</v>
      </c>
      <c r="AC6331">
        <v>0.55639999999999601</v>
      </c>
      <c r="AD6331">
        <v>-0.1551845</v>
      </c>
      <c r="AE6331">
        <v>-8.1170000000007195E-2</v>
      </c>
      <c r="AF6331">
        <v>8.6306500013619197E-2</v>
      </c>
      <c r="AG6331">
        <v>-0.1551845</v>
      </c>
      <c r="AH6331">
        <v>0.51531453708364505</v>
      </c>
      <c r="AI6331">
        <v>106.541860652314</v>
      </c>
      <c r="AJ6331">
        <v>80.492167336182305</v>
      </c>
      <c r="AK6331">
        <v>0.54505056014518705</v>
      </c>
      <c r="AL6331">
        <v>91.241080043862993</v>
      </c>
      <c r="AM6331">
        <v>88.412665057865198</v>
      </c>
      <c r="AN6331">
        <v>1.0000000362272401</v>
      </c>
    </row>
    <row r="6332" spans="1:40" x14ac:dyDescent="0.25">
      <c r="A6332" t="str">
        <f>"20190312161143752"</f>
        <v>20190312161143752</v>
      </c>
      <c r="B6332" t="str">
        <f>"1552378303743745"</f>
        <v>1552378303743745</v>
      </c>
      <c r="C6332" t="s">
        <v>40</v>
      </c>
      <c r="D6332">
        <v>5.737006</v>
      </c>
      <c r="E6332">
        <v>0.53869549999999999</v>
      </c>
      <c r="F6332" t="s">
        <v>42</v>
      </c>
      <c r="G6332">
        <v>-241.49850000000001</v>
      </c>
      <c r="H6332">
        <v>0.96410660000000004</v>
      </c>
      <c r="I6332">
        <v>-63.700940000000003</v>
      </c>
      <c r="J6332">
        <v>-242.12049999999999</v>
      </c>
      <c r="K6332">
        <v>1.1094759999999999</v>
      </c>
      <c r="L6332">
        <v>-63.625210000000003</v>
      </c>
      <c r="M6332">
        <v>0.99974540000000001</v>
      </c>
      <c r="N6332">
        <v>0</v>
      </c>
      <c r="O6332">
        <v>2.1078889999999999E-2</v>
      </c>
      <c r="P6332">
        <v>0.99953069999999999</v>
      </c>
      <c r="Q6332">
        <v>-2.983715E-2</v>
      </c>
      <c r="R6332">
        <v>-6.9282579999999996E-3</v>
      </c>
      <c r="S6332">
        <v>2.9816129999999998</v>
      </c>
      <c r="T6332">
        <v>-0.59780809999999995</v>
      </c>
      <c r="U6332">
        <v>-0.30206300000000003</v>
      </c>
      <c r="V6332">
        <v>2.7994930000000001E-2</v>
      </c>
      <c r="W6332">
        <v>-2.179381E-2</v>
      </c>
      <c r="X6332">
        <v>0.99937050000000005</v>
      </c>
      <c r="Y6332">
        <v>0.11898160000000001</v>
      </c>
      <c r="Z6332">
        <v>-1.5956270000000002E-2</v>
      </c>
      <c r="AA6332">
        <v>0.99276819999999999</v>
      </c>
      <c r="AB6332">
        <v>18</v>
      </c>
      <c r="AC6332">
        <v>0.62199999999998501</v>
      </c>
      <c r="AD6332">
        <v>-0.14536940000000001</v>
      </c>
      <c r="AE6332">
        <v>-7.5730000000007097E-2</v>
      </c>
      <c r="AF6332">
        <v>8.4287965731222006E-2</v>
      </c>
      <c r="AG6332">
        <v>-0.14536940000000001</v>
      </c>
      <c r="AH6332">
        <v>0.58858550641849305</v>
      </c>
      <c r="AI6332">
        <v>103.738555953247</v>
      </c>
      <c r="AJ6332">
        <v>81.850406693411898</v>
      </c>
      <c r="AK6332">
        <v>0.61210262373999202</v>
      </c>
      <c r="AL6332">
        <v>91.248792150781298</v>
      </c>
      <c r="AM6332">
        <v>88.395417934066401</v>
      </c>
      <c r="AN6332">
        <v>1.00000004126513</v>
      </c>
    </row>
    <row r="6333" spans="1:40" x14ac:dyDescent="0.25">
      <c r="A6333" t="str">
        <f>"20190312161143762"</f>
        <v>20190312161143762</v>
      </c>
      <c r="B6333" t="str">
        <f>"1552378303753505"</f>
        <v>1552378303753505</v>
      </c>
      <c r="C6333" t="s">
        <v>40</v>
      </c>
      <c r="D6333">
        <v>5.7025079999999999</v>
      </c>
      <c r="E6333">
        <v>0.53947400000000001</v>
      </c>
      <c r="F6333" t="s">
        <v>42</v>
      </c>
      <c r="G6333">
        <v>-241.33940000000001</v>
      </c>
      <c r="H6333">
        <v>0.95176640000000001</v>
      </c>
      <c r="I6333">
        <v>-63.706169999999901</v>
      </c>
      <c r="J6333">
        <v>-242.03309999999999</v>
      </c>
      <c r="K6333">
        <v>1.1094729999999999</v>
      </c>
      <c r="L6333">
        <v>-63.623379999999997</v>
      </c>
      <c r="M6333">
        <v>0.99974549999999995</v>
      </c>
      <c r="N6333">
        <v>0</v>
      </c>
      <c r="O6333">
        <v>2.1078449999999999E-2</v>
      </c>
      <c r="P6333">
        <v>0.99953020000000004</v>
      </c>
      <c r="Q6333">
        <v>-2.9781820000000001E-2</v>
      </c>
      <c r="R6333">
        <v>-7.2407069999999999E-3</v>
      </c>
      <c r="S6333">
        <v>2.9813079999999998</v>
      </c>
      <c r="T6333">
        <v>-0.60193459999999999</v>
      </c>
      <c r="U6333">
        <v>-0.30838009999999999</v>
      </c>
      <c r="V6333">
        <v>2.8306830000000002E-2</v>
      </c>
      <c r="W6333">
        <v>-2.175011E-2</v>
      </c>
      <c r="X6333">
        <v>0.99936259999999999</v>
      </c>
      <c r="Y6333">
        <v>0.1209949</v>
      </c>
      <c r="Z6333">
        <v>-1.6264810000000001E-2</v>
      </c>
      <c r="AA6333">
        <v>0.99251990000000001</v>
      </c>
      <c r="AB6333">
        <v>18</v>
      </c>
      <c r="AC6333">
        <v>0.693699999999978</v>
      </c>
      <c r="AD6333">
        <v>-0.157706599999999</v>
      </c>
      <c r="AE6333">
        <v>-8.2789999999988595E-2</v>
      </c>
      <c r="AF6333">
        <v>9.2671808636965697E-2</v>
      </c>
      <c r="AG6333">
        <v>-0.157706599999999</v>
      </c>
      <c r="AH6333">
        <v>0.65825712029087302</v>
      </c>
      <c r="AI6333">
        <v>103.34625304885699</v>
      </c>
      <c r="AJ6333">
        <v>81.986360313987205</v>
      </c>
      <c r="AK6333">
        <v>0.68319973083516305</v>
      </c>
      <c r="AL6333">
        <v>91.246287814160198</v>
      </c>
      <c r="AM6333">
        <v>88.377537482752004</v>
      </c>
      <c r="AN6333">
        <v>0.99999997509421001</v>
      </c>
    </row>
    <row r="6334" spans="1:40" x14ac:dyDescent="0.25">
      <c r="A6334" t="str">
        <f>"20190312161143774"</f>
        <v>20190312161143774</v>
      </c>
      <c r="B6334" t="str">
        <f>"1552378303763265"</f>
        <v>1552378303763265</v>
      </c>
      <c r="C6334" t="s">
        <v>40</v>
      </c>
      <c r="D6334">
        <v>5.3400679999999996</v>
      </c>
      <c r="E6334">
        <v>0.53962359999999998</v>
      </c>
      <c r="F6334" t="s">
        <v>42</v>
      </c>
      <c r="G6334">
        <v>-241.33279999999999</v>
      </c>
      <c r="H6334">
        <v>0.96618409999999999</v>
      </c>
      <c r="I6334">
        <v>-63.697609999999997</v>
      </c>
      <c r="J6334">
        <v>-241.94239999999999</v>
      </c>
      <c r="K6334">
        <v>1.1094679999999999</v>
      </c>
      <c r="L6334">
        <v>-63.621459999999999</v>
      </c>
      <c r="M6334">
        <v>0.99974569999999996</v>
      </c>
      <c r="N6334">
        <v>0</v>
      </c>
      <c r="O6334">
        <v>2.1076339999999999E-2</v>
      </c>
      <c r="P6334">
        <v>0.99953619999999999</v>
      </c>
      <c r="Q6334">
        <v>-2.9575299999999999E-2</v>
      </c>
      <c r="R6334">
        <v>-7.2820139999999998E-3</v>
      </c>
      <c r="S6334">
        <v>2.9809420000000002</v>
      </c>
      <c r="T6334">
        <v>-0.60992219999999997</v>
      </c>
      <c r="U6334">
        <v>-0.31527709999999998</v>
      </c>
      <c r="V6334">
        <v>2.8346010000000001E-2</v>
      </c>
      <c r="W6334">
        <v>-2.155433E-2</v>
      </c>
      <c r="X6334">
        <v>0.99936570000000002</v>
      </c>
      <c r="Y6334">
        <v>0.1231573</v>
      </c>
      <c r="Z6334">
        <v>-1.6694339999999998E-2</v>
      </c>
      <c r="AA6334">
        <v>0.99224670000000004</v>
      </c>
      <c r="AB6334">
        <v>18</v>
      </c>
      <c r="AC6334">
        <v>0.60960000000000003</v>
      </c>
      <c r="AD6334">
        <v>-0.14328389999999999</v>
      </c>
      <c r="AE6334">
        <v>-7.6149999999998302E-2</v>
      </c>
      <c r="AF6334">
        <v>8.4390962494401103E-2</v>
      </c>
      <c r="AG6334">
        <v>-0.14328389999999999</v>
      </c>
      <c r="AH6334">
        <v>0.57649934741021502</v>
      </c>
      <c r="AI6334">
        <v>103.816039128357</v>
      </c>
      <c r="AJ6334">
        <v>81.671897255585193</v>
      </c>
      <c r="AK6334">
        <v>0.60000300675441998</v>
      </c>
      <c r="AL6334">
        <v>91.235067854326104</v>
      </c>
      <c r="AM6334">
        <v>88.375298042654293</v>
      </c>
      <c r="AN6334">
        <v>0.999999943880578</v>
      </c>
    </row>
    <row r="6335" spans="1:40" x14ac:dyDescent="0.25">
      <c r="A6335" t="str">
        <f>"20190312161143785"</f>
        <v>20190312161143785</v>
      </c>
      <c r="B6335" t="str">
        <f>"1552378303774001"</f>
        <v>1552378303774001</v>
      </c>
      <c r="C6335" t="s">
        <v>40</v>
      </c>
      <c r="D6335">
        <v>5.7318959999999999</v>
      </c>
      <c r="E6335">
        <v>0.54021269999999999</v>
      </c>
      <c r="F6335" t="s">
        <v>42</v>
      </c>
      <c r="G6335">
        <v>-241.1738</v>
      </c>
      <c r="H6335">
        <v>0.95262250000000004</v>
      </c>
      <c r="I6335">
        <v>-63.703130000000002</v>
      </c>
      <c r="J6335">
        <v>-241.85040000000001</v>
      </c>
      <c r="K6335">
        <v>1.109464</v>
      </c>
      <c r="L6335">
        <v>-63.619540000000001</v>
      </c>
      <c r="M6335">
        <v>0.99974580000000002</v>
      </c>
      <c r="N6335">
        <v>0</v>
      </c>
      <c r="O6335">
        <v>2.107388E-2</v>
      </c>
      <c r="P6335">
        <v>0.99953449999999999</v>
      </c>
      <c r="Q6335">
        <v>-2.9612090000000001E-2</v>
      </c>
      <c r="R6335">
        <v>-7.3501599999999997E-3</v>
      </c>
      <c r="S6335">
        <v>2.9810940000000001</v>
      </c>
      <c r="T6335">
        <v>-0.60834719999999998</v>
      </c>
      <c r="U6335">
        <v>-0.3166504</v>
      </c>
      <c r="V6335">
        <v>2.8411740000000001E-2</v>
      </c>
      <c r="W6335">
        <v>-2.1601789999999999E-2</v>
      </c>
      <c r="X6335">
        <v>0.99936290000000005</v>
      </c>
      <c r="Y6335">
        <v>0.123608</v>
      </c>
      <c r="Z6335">
        <v>-1.669578E-2</v>
      </c>
      <c r="AA6335">
        <v>0.99219069999999998</v>
      </c>
      <c r="AB6335">
        <v>18</v>
      </c>
      <c r="AC6335">
        <v>0.67660000000000697</v>
      </c>
      <c r="AD6335">
        <v>-0.156841499999999</v>
      </c>
      <c r="AE6335">
        <v>-8.35900000000009E-2</v>
      </c>
      <c r="AF6335">
        <v>9.29128579864687E-2</v>
      </c>
      <c r="AG6335">
        <v>-0.156841499999999</v>
      </c>
      <c r="AH6335">
        <v>0.64077371675555905</v>
      </c>
      <c r="AI6335">
        <v>103.61678824168</v>
      </c>
      <c r="AJ6335">
        <v>81.749554178252296</v>
      </c>
      <c r="AK6335">
        <v>0.66620042883969799</v>
      </c>
      <c r="AL6335">
        <v>91.2377876325301</v>
      </c>
      <c r="AM6335">
        <v>88.371528076946703</v>
      </c>
      <c r="AN6335">
        <v>1.0000000350987199</v>
      </c>
    </row>
    <row r="6336" spans="1:40" x14ac:dyDescent="0.25">
      <c r="A6336" t="str">
        <f>"20190312161143806"</f>
        <v>20190312161143806</v>
      </c>
      <c r="B6336" t="str">
        <f>"1552378303793521"</f>
        <v>1552378303793521</v>
      </c>
      <c r="C6336" t="s">
        <v>40</v>
      </c>
      <c r="D6336">
        <v>6.1152889999999998</v>
      </c>
      <c r="E6336">
        <v>0.54026960000000002</v>
      </c>
      <c r="F6336" t="s">
        <v>42</v>
      </c>
      <c r="G6336">
        <v>-241.01439999999999</v>
      </c>
      <c r="H6336">
        <v>0.93796290000000004</v>
      </c>
      <c r="I6336">
        <v>-63.709919999999997</v>
      </c>
      <c r="J6336">
        <v>-241.6737</v>
      </c>
      <c r="K6336">
        <v>1.1094649999999999</v>
      </c>
      <c r="L6336">
        <v>-63.615810000000003</v>
      </c>
      <c r="M6336">
        <v>0.99974609999999997</v>
      </c>
      <c r="N6336">
        <v>0</v>
      </c>
      <c r="O6336">
        <v>2.106777E-2</v>
      </c>
      <c r="P6336">
        <v>0.99953700000000001</v>
      </c>
      <c r="Q6336">
        <v>-2.9563510000000001E-2</v>
      </c>
      <c r="R6336">
        <v>-7.2201959999999999E-3</v>
      </c>
      <c r="S6336">
        <v>2.980896</v>
      </c>
      <c r="T6336">
        <v>-0.61152119999999999</v>
      </c>
      <c r="U6336">
        <v>-0.32135010000000003</v>
      </c>
      <c r="V6336">
        <v>2.827588E-2</v>
      </c>
      <c r="W6336">
        <v>-2.1570579999999999E-2</v>
      </c>
      <c r="X6336">
        <v>0.99936740000000002</v>
      </c>
      <c r="Y6336">
        <v>0.1250945</v>
      </c>
      <c r="Z6336">
        <v>-1.6930110000000002E-2</v>
      </c>
      <c r="AA6336">
        <v>0.9920004</v>
      </c>
      <c r="AB6336">
        <v>18</v>
      </c>
      <c r="AC6336">
        <v>0.659300000000001</v>
      </c>
      <c r="AD6336">
        <v>-0.17150209999999899</v>
      </c>
      <c r="AE6336">
        <v>-9.4110000000000499E-2</v>
      </c>
      <c r="AF6336">
        <v>0.10126418556321599</v>
      </c>
      <c r="AG6336">
        <v>-0.17150209999999899</v>
      </c>
      <c r="AH6336">
        <v>0.61630082500945205</v>
      </c>
      <c r="AI6336">
        <v>105.354653452525</v>
      </c>
      <c r="AJ6336">
        <v>80.669123837816997</v>
      </c>
      <c r="AK6336">
        <v>0.64768365155338203</v>
      </c>
      <c r="AL6336">
        <v>91.235999048362302</v>
      </c>
      <c r="AM6336">
        <v>88.379318277302403</v>
      </c>
      <c r="AN6336">
        <v>1.0000000077470299</v>
      </c>
    </row>
    <row r="6337" spans="1:40" x14ac:dyDescent="0.25">
      <c r="A6337" t="str">
        <f>"20190312161143817"</f>
        <v>20190312161143817</v>
      </c>
      <c r="B6337" t="str">
        <f>"1552378303803283"</f>
        <v>1552378303803283</v>
      </c>
      <c r="C6337" t="s">
        <v>40</v>
      </c>
      <c r="D6337">
        <v>5.7108819999999998</v>
      </c>
      <c r="E6337">
        <v>0.54012869999999902</v>
      </c>
      <c r="F6337" t="s">
        <v>42</v>
      </c>
      <c r="G6337">
        <v>-240.84700000000001</v>
      </c>
      <c r="H6337">
        <v>0.94026410000000005</v>
      </c>
      <c r="I6337">
        <v>-63.705010000000001</v>
      </c>
      <c r="J6337">
        <v>-241.5754</v>
      </c>
      <c r="K6337">
        <v>1.109469</v>
      </c>
      <c r="L6337">
        <v>-63.61374</v>
      </c>
      <c r="M6337">
        <v>0.99974629999999998</v>
      </c>
      <c r="N6337">
        <v>0</v>
      </c>
      <c r="O6337">
        <v>2.106448E-2</v>
      </c>
      <c r="P6337">
        <v>0.99954120000000002</v>
      </c>
      <c r="Q6337">
        <v>-2.9474589999999998E-2</v>
      </c>
      <c r="R6337">
        <v>-6.9655749999999999E-3</v>
      </c>
      <c r="S6337">
        <v>2.9810029999999998</v>
      </c>
      <c r="T6337">
        <v>-0.61016729999999997</v>
      </c>
      <c r="U6337">
        <v>-0.32162479999999999</v>
      </c>
      <c r="V6337">
        <v>2.8018299999999999E-2</v>
      </c>
      <c r="W6337">
        <v>-2.1489999999999999E-2</v>
      </c>
      <c r="X6337">
        <v>0.99937640000000005</v>
      </c>
      <c r="Y6337">
        <v>0.1251893</v>
      </c>
      <c r="Z6337">
        <v>-1.6901630000000001E-2</v>
      </c>
      <c r="AA6337">
        <v>0.99198889999999995</v>
      </c>
      <c r="AB6337">
        <v>19</v>
      </c>
      <c r="AC6337">
        <v>0.72839999999999305</v>
      </c>
      <c r="AD6337">
        <v>-0.16920489999999999</v>
      </c>
      <c r="AE6337">
        <v>-9.1269999999994397E-2</v>
      </c>
      <c r="AF6337">
        <v>0.101216226676496</v>
      </c>
      <c r="AG6337">
        <v>-0.16920489999999999</v>
      </c>
      <c r="AH6337">
        <v>0.68967497180652004</v>
      </c>
      <c r="AI6337">
        <v>103.644074811999</v>
      </c>
      <c r="AJ6337">
        <v>81.6509118910745</v>
      </c>
      <c r="AK6337">
        <v>0.71730508813402605</v>
      </c>
      <c r="AL6337">
        <v>91.231381072558506</v>
      </c>
      <c r="AM6337">
        <v>88.394088615581197</v>
      </c>
      <c r="AN6337">
        <v>1.00000001705592</v>
      </c>
    </row>
    <row r="6338" spans="1:40" x14ac:dyDescent="0.25">
      <c r="A6338" t="str">
        <f>"20190312161143829"</f>
        <v>20190312161143829</v>
      </c>
      <c r="B6338" t="str">
        <f>"1552378303823777"</f>
        <v>1552378303823777</v>
      </c>
      <c r="C6338" t="s">
        <v>40</v>
      </c>
      <c r="D6338">
        <v>5.6599219999999999</v>
      </c>
      <c r="E6338">
        <v>0.54043660000000004</v>
      </c>
      <c r="F6338" t="s">
        <v>42</v>
      </c>
      <c r="G6338">
        <v>-240.83860000000001</v>
      </c>
      <c r="H6338">
        <v>0.95927010000000001</v>
      </c>
      <c r="I6338">
        <v>-63.692790000000002</v>
      </c>
      <c r="J6338">
        <v>-241.4837</v>
      </c>
      <c r="K6338">
        <v>1.109469</v>
      </c>
      <c r="L6338">
        <v>-63.611789999999999</v>
      </c>
      <c r="M6338">
        <v>0.99974640000000004</v>
      </c>
      <c r="N6338">
        <v>0</v>
      </c>
      <c r="O6338">
        <v>2.1061719999999999E-2</v>
      </c>
      <c r="P6338">
        <v>0.99954370000000003</v>
      </c>
      <c r="Q6338">
        <v>-2.9429110000000001E-2</v>
      </c>
      <c r="R6338">
        <v>-6.8120339999999998E-3</v>
      </c>
      <c r="S6338">
        <v>2.9812319999999999</v>
      </c>
      <c r="T6338">
        <v>-0.60773480000000002</v>
      </c>
      <c r="U6338">
        <v>-0.3198242</v>
      </c>
      <c r="V6338">
        <v>2.786199E-2</v>
      </c>
      <c r="W6338">
        <v>-2.1451689999999999E-2</v>
      </c>
      <c r="X6338">
        <v>0.99938159999999998</v>
      </c>
      <c r="Y6338">
        <v>0.1246216</v>
      </c>
      <c r="Z6338">
        <v>-1.6777190000000001E-2</v>
      </c>
      <c r="AA6338">
        <v>0.99206249999999996</v>
      </c>
      <c r="AB6338">
        <v>19</v>
      </c>
      <c r="AC6338">
        <v>0.64509999999998502</v>
      </c>
      <c r="AD6338">
        <v>-0.1501989</v>
      </c>
      <c r="AE6338">
        <v>-8.1000000000003E-2</v>
      </c>
      <c r="AF6338">
        <v>8.9778049393358497E-2</v>
      </c>
      <c r="AG6338">
        <v>-0.1501989</v>
      </c>
      <c r="AH6338">
        <v>0.61066072954926198</v>
      </c>
      <c r="AI6338">
        <v>103.676837604798</v>
      </c>
      <c r="AJ6338">
        <v>81.636409797199093</v>
      </c>
      <c r="AK6338">
        <v>0.63523722681193895</v>
      </c>
      <c r="AL6338">
        <v>91.229185556681998</v>
      </c>
      <c r="AM6338">
        <v>88.403051413190099</v>
      </c>
      <c r="AN6338">
        <v>1.0000000239545801</v>
      </c>
    </row>
    <row r="6339" spans="1:40" x14ac:dyDescent="0.25">
      <c r="A6339" t="str">
        <f>"20190312161143841"</f>
        <v>20190312161143841</v>
      </c>
      <c r="B6339" t="str">
        <f>"1552378303833537"</f>
        <v>1552378303833537</v>
      </c>
      <c r="C6339" t="s">
        <v>40</v>
      </c>
      <c r="D6339">
        <v>5.0606939999999998</v>
      </c>
      <c r="E6339">
        <v>0.54038640000000004</v>
      </c>
      <c r="F6339" t="s">
        <v>42</v>
      </c>
      <c r="G6339">
        <v>-240.67789999999999</v>
      </c>
      <c r="H6339">
        <v>0.94512700000000005</v>
      </c>
      <c r="I6339">
        <v>-63.698900000000002</v>
      </c>
      <c r="J6339">
        <v>-241.38339999999999</v>
      </c>
      <c r="K6339">
        <v>1.10947</v>
      </c>
      <c r="L6339">
        <v>-63.609679999999997</v>
      </c>
      <c r="M6339">
        <v>0.99974640000000004</v>
      </c>
      <c r="N6339">
        <v>0</v>
      </c>
      <c r="O6339">
        <v>2.1059080000000001E-2</v>
      </c>
      <c r="P6339">
        <v>0.99954829999999995</v>
      </c>
      <c r="Q6339">
        <v>-2.936184E-2</v>
      </c>
      <c r="R6339">
        <v>-6.4159169999999897E-3</v>
      </c>
      <c r="S6339">
        <v>2.981293</v>
      </c>
      <c r="T6339">
        <v>-0.60803629999999997</v>
      </c>
      <c r="U6339">
        <v>-0.32183840000000002</v>
      </c>
      <c r="V6339">
        <v>2.7463459999999999E-2</v>
      </c>
      <c r="W6339">
        <v>-2.1391489999999999E-2</v>
      </c>
      <c r="X6339">
        <v>0.99939389999999995</v>
      </c>
      <c r="Y6339">
        <v>0.12526379999999901</v>
      </c>
      <c r="Z6339">
        <v>-1.6848539999999999E-2</v>
      </c>
      <c r="AA6339">
        <v>0.99198039999999998</v>
      </c>
      <c r="AB6339">
        <v>19</v>
      </c>
      <c r="AC6339">
        <v>0.70550000000000002</v>
      </c>
      <c r="AD6339">
        <v>-0.16434299999999999</v>
      </c>
      <c r="AE6339">
        <v>-8.9219999999997399E-2</v>
      </c>
      <c r="AF6339">
        <v>9.8781980623098606E-2</v>
      </c>
      <c r="AG6339">
        <v>-0.16434299999999999</v>
      </c>
      <c r="AH6339">
        <v>0.66779790037643705</v>
      </c>
      <c r="AI6339">
        <v>103.68237711310699</v>
      </c>
      <c r="AJ6339">
        <v>81.585712162604594</v>
      </c>
      <c r="AK6339">
        <v>0.69478092740949604</v>
      </c>
      <c r="AL6339">
        <v>91.225735585573105</v>
      </c>
      <c r="AM6339">
        <v>88.425901500580395</v>
      </c>
      <c r="AN6339">
        <v>1.0000000024183999</v>
      </c>
    </row>
    <row r="6340" spans="1:40" x14ac:dyDescent="0.25">
      <c r="A6340" t="str">
        <f>"20190312161143854"</f>
        <v>20190312161143854</v>
      </c>
      <c r="B6340" t="str">
        <f>"1552378303843297"</f>
        <v>1552378303843297</v>
      </c>
      <c r="C6340" t="s">
        <v>40</v>
      </c>
      <c r="D6340">
        <v>5.5146629999999996</v>
      </c>
      <c r="E6340">
        <v>0.54033549999999997</v>
      </c>
      <c r="F6340" t="s">
        <v>42</v>
      </c>
      <c r="G6340">
        <v>-240.66929999999999</v>
      </c>
      <c r="H6340">
        <v>0.96419750000000004</v>
      </c>
      <c r="I6340">
        <v>-63.686520000000002</v>
      </c>
      <c r="J6340">
        <v>-241.27189999999999</v>
      </c>
      <c r="K6340">
        <v>1.109472</v>
      </c>
      <c r="L6340">
        <v>-63.607329999999997</v>
      </c>
      <c r="M6340">
        <v>0.99974660000000004</v>
      </c>
      <c r="N6340">
        <v>0</v>
      </c>
      <c r="O6340">
        <v>2.1057099999999999E-2</v>
      </c>
      <c r="P6340">
        <v>0.99955039999999995</v>
      </c>
      <c r="Q6340">
        <v>-2.9361970000000001E-2</v>
      </c>
      <c r="R6340">
        <v>-6.0941719999999897E-3</v>
      </c>
      <c r="S6340">
        <v>2.9814609999999999</v>
      </c>
      <c r="T6340">
        <v>-0.60654269999999999</v>
      </c>
      <c r="U6340">
        <v>-0.32028200000000001</v>
      </c>
      <c r="V6340">
        <v>2.7140020000000001E-2</v>
      </c>
      <c r="W6340">
        <v>-2.139839E-2</v>
      </c>
      <c r="X6340">
        <v>0.99940260000000003</v>
      </c>
      <c r="Y6340">
        <v>0.1247687</v>
      </c>
      <c r="Z6340">
        <v>-1.675739E-2</v>
      </c>
      <c r="AA6340">
        <v>0.99204429999999999</v>
      </c>
      <c r="AB6340">
        <v>19</v>
      </c>
      <c r="AC6340">
        <v>0.60259999999999503</v>
      </c>
      <c r="AD6340">
        <v>-0.145274499999999</v>
      </c>
      <c r="AE6340">
        <v>-7.9189999999989796E-2</v>
      </c>
      <c r="AF6340">
        <v>8.6897183407831702E-2</v>
      </c>
      <c r="AG6340">
        <v>-0.145274499999999</v>
      </c>
      <c r="AH6340">
        <v>0.56832868498217104</v>
      </c>
      <c r="AI6340">
        <v>104.18069891439001</v>
      </c>
      <c r="AJ6340">
        <v>81.306829298057295</v>
      </c>
      <c r="AK6340">
        <v>0.59300362141223795</v>
      </c>
      <c r="AL6340">
        <v>91.226131002352503</v>
      </c>
      <c r="AM6340">
        <v>88.444444193024694</v>
      </c>
      <c r="AN6340">
        <v>1.00000001433347</v>
      </c>
    </row>
    <row r="6341" spans="1:40" x14ac:dyDescent="0.25">
      <c r="A6341" t="str">
        <f>"20190312161143865"</f>
        <v>20190312161143865</v>
      </c>
      <c r="B6341" t="str">
        <f>"1552378303854033"</f>
        <v>1552378303854033</v>
      </c>
      <c r="C6341" t="s">
        <v>40</v>
      </c>
      <c r="D6341">
        <v>5.5165110000000004</v>
      </c>
      <c r="E6341">
        <v>0.54033359999999997</v>
      </c>
      <c r="F6341" t="s">
        <v>42</v>
      </c>
      <c r="G6341">
        <v>-240.50640000000001</v>
      </c>
      <c r="H6341">
        <v>0.95407129999999996</v>
      </c>
      <c r="I6341">
        <v>-63.689369999999997</v>
      </c>
      <c r="J6341">
        <v>-241.18289999999999</v>
      </c>
      <c r="K6341">
        <v>1.109472</v>
      </c>
      <c r="L6341">
        <v>-63.605469999999997</v>
      </c>
      <c r="M6341">
        <v>0.99974660000000004</v>
      </c>
      <c r="N6341">
        <v>0</v>
      </c>
      <c r="O6341">
        <v>2.1056120000000001E-2</v>
      </c>
      <c r="P6341">
        <v>0.9995522</v>
      </c>
      <c r="Q6341">
        <v>-2.9336319999999999E-2</v>
      </c>
      <c r="R6341">
        <v>-5.9211960000000001E-3</v>
      </c>
      <c r="S6341">
        <v>2.9816280000000002</v>
      </c>
      <c r="T6341">
        <v>-0.60526539999999995</v>
      </c>
      <c r="U6341">
        <v>-0.3190308</v>
      </c>
      <c r="V6341">
        <v>2.6966029999999998E-2</v>
      </c>
      <c r="W6341">
        <v>-2.1377819999999999E-2</v>
      </c>
      <c r="X6341">
        <v>0.99940770000000001</v>
      </c>
      <c r="Y6341">
        <v>0.1243707</v>
      </c>
      <c r="Z6341">
        <v>-1.668217E-2</v>
      </c>
      <c r="AA6341">
        <v>0.99209559999999997</v>
      </c>
      <c r="AB6341">
        <v>19</v>
      </c>
      <c r="AC6341">
        <v>0.67649999999997501</v>
      </c>
      <c r="AD6341">
        <v>-0.1554007</v>
      </c>
      <c r="AE6341">
        <v>-8.3899999999999794E-2</v>
      </c>
      <c r="AF6341">
        <v>9.3278745940025498E-2</v>
      </c>
      <c r="AG6341">
        <v>-0.1554007</v>
      </c>
      <c r="AH6341">
        <v>0.64125804226343097</v>
      </c>
      <c r="AI6341">
        <v>103.485622760186</v>
      </c>
      <c r="AJ6341">
        <v>81.723682906599294</v>
      </c>
      <c r="AK6341">
        <v>0.66637990573858297</v>
      </c>
      <c r="AL6341">
        <v>91.224952219709294</v>
      </c>
      <c r="AM6341">
        <v>88.454419624364604</v>
      </c>
      <c r="AN6341">
        <v>0.99999996439060101</v>
      </c>
    </row>
    <row r="6342" spans="1:40" x14ac:dyDescent="0.25">
      <c r="A6342" t="str">
        <f>"20190312161143877"</f>
        <v>20190312161143877</v>
      </c>
      <c r="B6342" t="str">
        <f>"1552378303863794"</f>
        <v>1552378303863794</v>
      </c>
      <c r="C6342" t="s">
        <v>40</v>
      </c>
      <c r="D6342">
        <v>5.5441839999999996</v>
      </c>
      <c r="E6342">
        <v>0.54086040000000002</v>
      </c>
      <c r="F6342" t="s">
        <v>42</v>
      </c>
      <c r="G6342">
        <v>-240.34460000000001</v>
      </c>
      <c r="H6342">
        <v>0.93959190000000004</v>
      </c>
      <c r="I6342">
        <v>-63.695259999999998</v>
      </c>
      <c r="J6342">
        <v>-241.083</v>
      </c>
      <c r="K6342">
        <v>1.10947</v>
      </c>
      <c r="L6342">
        <v>-63.603360000000002</v>
      </c>
      <c r="M6342">
        <v>0.99974660000000004</v>
      </c>
      <c r="N6342">
        <v>0</v>
      </c>
      <c r="O6342">
        <v>2.105603E-2</v>
      </c>
      <c r="P6342">
        <v>0.999556</v>
      </c>
      <c r="Q6342">
        <v>-2.924589E-2</v>
      </c>
      <c r="R6342">
        <v>-5.7333059999999996E-3</v>
      </c>
      <c r="S6342">
        <v>2.9817200000000001</v>
      </c>
      <c r="T6342">
        <v>-0.60417580000000004</v>
      </c>
      <c r="U6342">
        <v>-0.31842039999999999</v>
      </c>
      <c r="V6342">
        <v>2.677829E-2</v>
      </c>
      <c r="W6342">
        <v>-2.129199E-2</v>
      </c>
      <c r="X6342">
        <v>0.99941460000000004</v>
      </c>
      <c r="Y6342">
        <v>0.124181</v>
      </c>
      <c r="Z6342">
        <v>-1.6633410000000001E-2</v>
      </c>
      <c r="AA6342">
        <v>0.99212009999999995</v>
      </c>
      <c r="AB6342">
        <v>19</v>
      </c>
      <c r="AC6342">
        <v>0.73839999999998396</v>
      </c>
      <c r="AD6342">
        <v>-0.1698781</v>
      </c>
      <c r="AE6342">
        <v>-9.1900000000002494E-2</v>
      </c>
      <c r="AF6342">
        <v>0.102105985670883</v>
      </c>
      <c r="AG6342">
        <v>-0.1698781</v>
      </c>
      <c r="AH6342">
        <v>0.69982531957530703</v>
      </c>
      <c r="AI6342">
        <v>103.506590280602</v>
      </c>
      <c r="AJ6342">
        <v>81.698996924308901</v>
      </c>
      <c r="AK6342">
        <v>0.72735113878244095</v>
      </c>
      <c r="AL6342">
        <v>91.220033379041396</v>
      </c>
      <c r="AM6342">
        <v>88.465185524624999</v>
      </c>
      <c r="AN6342">
        <v>0.99999998417332103</v>
      </c>
    </row>
    <row r="6343" spans="1:40" x14ac:dyDescent="0.25">
      <c r="A6343" t="str">
        <f>"20190312161143889"</f>
        <v>20190312161143889</v>
      </c>
      <c r="B6343" t="str">
        <f>"1552378303883313"</f>
        <v>1552378303883313</v>
      </c>
      <c r="C6343" t="s">
        <v>40</v>
      </c>
      <c r="D6343">
        <v>5.4834719999999999</v>
      </c>
      <c r="E6343">
        <v>0.54204439999999998</v>
      </c>
      <c r="F6343" t="s">
        <v>42</v>
      </c>
      <c r="G6343">
        <v>-240.3366</v>
      </c>
      <c r="H6343">
        <v>0.9576038</v>
      </c>
      <c r="I6343">
        <v>-63.684249999999999</v>
      </c>
      <c r="J6343">
        <v>-240.9855</v>
      </c>
      <c r="K6343">
        <v>1.1094679999999999</v>
      </c>
      <c r="L6343">
        <v>-63.601289999999999</v>
      </c>
      <c r="M6343">
        <v>0.99974680000000005</v>
      </c>
      <c r="N6343">
        <v>0</v>
      </c>
      <c r="O6343">
        <v>2.1056169999999999E-2</v>
      </c>
      <c r="P6343">
        <v>0.9995484</v>
      </c>
      <c r="Q6343">
        <v>-2.953503E-2</v>
      </c>
      <c r="R6343">
        <v>-5.5698429999999997E-3</v>
      </c>
      <c r="S6343">
        <v>2.9817200000000001</v>
      </c>
      <c r="T6343">
        <v>-0.60658120000000004</v>
      </c>
      <c r="U6343">
        <v>-0.322052</v>
      </c>
      <c r="V6343">
        <v>2.6614990000000002E-2</v>
      </c>
      <c r="W6343">
        <v>-2.1585239999999999E-2</v>
      </c>
      <c r="X6343">
        <v>0.99941270000000004</v>
      </c>
      <c r="Y6343">
        <v>0.12532969999999999</v>
      </c>
      <c r="Z6343">
        <v>-1.681264E-2</v>
      </c>
      <c r="AA6343">
        <v>0.99197270000000004</v>
      </c>
      <c r="AB6343">
        <v>19</v>
      </c>
      <c r="AC6343">
        <v>0.64889999999999703</v>
      </c>
      <c r="AD6343">
        <v>-0.1518642</v>
      </c>
      <c r="AE6343">
        <v>-8.2959999999992803E-2</v>
      </c>
      <c r="AF6343">
        <v>9.1665465205911401E-2</v>
      </c>
      <c r="AG6343">
        <v>-0.1518642</v>
      </c>
      <c r="AH6343">
        <v>0.61392440965096395</v>
      </c>
      <c r="AI6343">
        <v>103.74760800756999</v>
      </c>
      <c r="AJ6343">
        <v>81.507864867050898</v>
      </c>
      <c r="AK6343">
        <v>0.63903714564831104</v>
      </c>
      <c r="AL6343">
        <v>91.236839194092994</v>
      </c>
      <c r="AM6343">
        <v>88.474537831770903</v>
      </c>
      <c r="AN6343">
        <v>1.00000001259992</v>
      </c>
    </row>
    <row r="6344" spans="1:40" x14ac:dyDescent="0.25">
      <c r="A6344" t="str">
        <f>"20190312161143900"</f>
        <v>20190312161143900</v>
      </c>
      <c r="B6344" t="str">
        <f>"1552378303894049"</f>
        <v>1552378303894049</v>
      </c>
      <c r="C6344" t="s">
        <v>40</v>
      </c>
      <c r="D6344">
        <v>5.3435550000000003</v>
      </c>
      <c r="E6344">
        <v>0.54216299999999995</v>
      </c>
      <c r="F6344" t="s">
        <v>42</v>
      </c>
      <c r="G6344">
        <v>-240.1754</v>
      </c>
      <c r="H6344">
        <v>0.94079349999999995</v>
      </c>
      <c r="I6344">
        <v>-63.691090000000003</v>
      </c>
      <c r="J6344">
        <v>-240.88079999999999</v>
      </c>
      <c r="K6344">
        <v>1.1094660000000001</v>
      </c>
      <c r="L6344">
        <v>-63.599089999999997</v>
      </c>
      <c r="M6344">
        <v>0.99974669999999999</v>
      </c>
      <c r="N6344">
        <v>0</v>
      </c>
      <c r="O6344">
        <v>2.1057570000000001E-2</v>
      </c>
      <c r="P6344">
        <v>0.99955090000000002</v>
      </c>
      <c r="Q6344">
        <v>-2.9460099999999999E-2</v>
      </c>
      <c r="R6344">
        <v>-5.5182769999999898E-3</v>
      </c>
      <c r="S6344">
        <v>2.9811550000000002</v>
      </c>
      <c r="T6344">
        <v>-0.62068369999999995</v>
      </c>
      <c r="U6344">
        <v>-0.3303528</v>
      </c>
      <c r="V6344">
        <v>2.6564810000000001E-2</v>
      </c>
      <c r="W6344">
        <v>-2.151397E-2</v>
      </c>
      <c r="X6344">
        <v>0.99941559999999896</v>
      </c>
      <c r="Y6344">
        <v>0.12788769999999999</v>
      </c>
      <c r="Z6344">
        <v>-1.7459140000000001E-2</v>
      </c>
      <c r="AA6344">
        <v>0.99163500000000004</v>
      </c>
      <c r="AB6344">
        <v>19</v>
      </c>
      <c r="AC6344">
        <v>0.70539999999999703</v>
      </c>
      <c r="AD6344">
        <v>-0.1686725</v>
      </c>
      <c r="AE6344">
        <v>-9.1999999999998694E-2</v>
      </c>
      <c r="AF6344">
        <v>0.101147542195879</v>
      </c>
      <c r="AG6344">
        <v>-0.1686725</v>
      </c>
      <c r="AH6344">
        <v>0.66587082635317396</v>
      </c>
      <c r="AI6344">
        <v>104.059874536406</v>
      </c>
      <c r="AJ6344">
        <v>81.362649359321395</v>
      </c>
      <c r="AK6344">
        <v>0.69430914939728094</v>
      </c>
      <c r="AL6344">
        <v>91.232754740711499</v>
      </c>
      <c r="AM6344">
        <v>88.477417004623703</v>
      </c>
      <c r="AN6344">
        <v>1.0000000407794201</v>
      </c>
    </row>
    <row r="6345" spans="1:40" x14ac:dyDescent="0.25">
      <c r="A6345" t="str">
        <f>"20190312161143913"</f>
        <v>20190312161143913</v>
      </c>
      <c r="B6345" t="str">
        <f>"1552378303903810"</f>
        <v>1552378303903810</v>
      </c>
      <c r="C6345" t="s">
        <v>40</v>
      </c>
      <c r="D6345">
        <v>5.1675420000000001</v>
      </c>
      <c r="E6345">
        <v>0.54217530000000003</v>
      </c>
      <c r="F6345" t="s">
        <v>42</v>
      </c>
      <c r="G6345">
        <v>-240.16650000000001</v>
      </c>
      <c r="H6345">
        <v>0.9606806</v>
      </c>
      <c r="I6345">
        <v>-63.678420000000003</v>
      </c>
      <c r="J6345">
        <v>-240.7782</v>
      </c>
      <c r="K6345">
        <v>1.1094679999999999</v>
      </c>
      <c r="L6345">
        <v>-63.59695</v>
      </c>
      <c r="M6345">
        <v>0.99974669999999999</v>
      </c>
      <c r="N6345">
        <v>0</v>
      </c>
      <c r="O6345">
        <v>2.1059250000000002E-2</v>
      </c>
      <c r="P6345">
        <v>0.99954920000000003</v>
      </c>
      <c r="Q6345">
        <v>-2.9554159999999999E-2</v>
      </c>
      <c r="R6345">
        <v>-5.3139719999999897E-3</v>
      </c>
      <c r="S6345">
        <v>2.9811860000000001</v>
      </c>
      <c r="T6345">
        <v>-0.62096459999999998</v>
      </c>
      <c r="U6345">
        <v>-0.33102419999999999</v>
      </c>
      <c r="V6345">
        <v>2.636223E-2</v>
      </c>
      <c r="W6345">
        <v>-2.1610819999999999E-2</v>
      </c>
      <c r="X6345">
        <v>0.9994189</v>
      </c>
      <c r="Y6345">
        <v>0.12810160000000001</v>
      </c>
      <c r="Z6345">
        <v>-1.748881E-2</v>
      </c>
      <c r="AA6345">
        <v>0.99160680000000001</v>
      </c>
      <c r="AB6345">
        <v>19</v>
      </c>
      <c r="AC6345">
        <v>0.61169999999998403</v>
      </c>
      <c r="AD6345">
        <v>-0.14878739999999999</v>
      </c>
      <c r="AE6345">
        <v>-8.1469999999995907E-2</v>
      </c>
      <c r="AF6345">
        <v>8.9151669685108001E-2</v>
      </c>
      <c r="AG6345">
        <v>-0.14878739999999999</v>
      </c>
      <c r="AH6345">
        <v>0.57634424249572402</v>
      </c>
      <c r="AI6345">
        <v>104.312168931893</v>
      </c>
      <c r="AJ6345">
        <v>81.206906130692502</v>
      </c>
      <c r="AK6345">
        <v>0.601879054681563</v>
      </c>
      <c r="AL6345">
        <v>91.238305095696305</v>
      </c>
      <c r="AM6345">
        <v>88.489027620357007</v>
      </c>
      <c r="AN6345">
        <v>1.0000000661944199</v>
      </c>
    </row>
    <row r="6346" spans="1:40" x14ac:dyDescent="0.25">
      <c r="A6346" t="str">
        <f>"20190312161143941"</f>
        <v>20190312161143941</v>
      </c>
      <c r="B6346" t="str">
        <f>"1552378303934065"</f>
        <v>1552378303934065</v>
      </c>
      <c r="C6346" t="s">
        <v>40</v>
      </c>
      <c r="D6346">
        <v>5.5845409999999998</v>
      </c>
      <c r="E6346">
        <v>0.54170359999999995</v>
      </c>
      <c r="F6346" t="s">
        <v>42</v>
      </c>
      <c r="G6346">
        <v>-240.0027</v>
      </c>
      <c r="H6346">
        <v>0.94836940000000003</v>
      </c>
      <c r="I6346">
        <v>-63.683140000000002</v>
      </c>
      <c r="J6346">
        <v>-240.53530000000001</v>
      </c>
      <c r="K6346">
        <v>1.1094729999999999</v>
      </c>
      <c r="L6346">
        <v>-63.591830000000002</v>
      </c>
      <c r="M6346">
        <v>0.99974649999999998</v>
      </c>
      <c r="N6346">
        <v>0</v>
      </c>
      <c r="O6346">
        <v>2.1064940000000001E-2</v>
      </c>
      <c r="P6346">
        <v>0.99955499999999997</v>
      </c>
      <c r="Q6346">
        <v>-2.940019E-2</v>
      </c>
      <c r="R6346">
        <v>-5.0421290000000002E-3</v>
      </c>
      <c r="S6346">
        <v>2.981277</v>
      </c>
      <c r="T6346">
        <v>-0.61931230000000004</v>
      </c>
      <c r="U6346">
        <v>-0.33071899999999999</v>
      </c>
      <c r="V6346">
        <v>2.6096379999999999E-2</v>
      </c>
      <c r="W6346">
        <v>-2.1461529999999999E-2</v>
      </c>
      <c r="X6346">
        <v>0.99942900000000001</v>
      </c>
      <c r="Y6346">
        <v>0.128022</v>
      </c>
      <c r="Z6346">
        <v>-1.7435829999999999E-2</v>
      </c>
      <c r="AA6346">
        <v>0.991618</v>
      </c>
      <c r="AB6346">
        <v>19</v>
      </c>
      <c r="AC6346">
        <v>0.53260000000000196</v>
      </c>
      <c r="AD6346">
        <v>-0.16110360000000001</v>
      </c>
      <c r="AE6346">
        <v>-9.1310000000000002E-2</v>
      </c>
      <c r="AF6346">
        <v>9.4141533370707603E-2</v>
      </c>
      <c r="AG6346">
        <v>-0.16110360000000001</v>
      </c>
      <c r="AH6346">
        <v>0.48724928500607301</v>
      </c>
      <c r="AI6346">
        <v>107.985251753428</v>
      </c>
      <c r="AJ6346">
        <v>79.064615390391793</v>
      </c>
      <c r="AK6346">
        <v>0.52175555960361097</v>
      </c>
      <c r="AL6346">
        <v>91.229749540643894</v>
      </c>
      <c r="AM6346">
        <v>88.504273178140394</v>
      </c>
      <c r="AN6346">
        <v>0.99999997218002201</v>
      </c>
    </row>
    <row r="6347" spans="1:40" x14ac:dyDescent="0.25">
      <c r="A6347" t="str">
        <f>"20190312161143953"</f>
        <v>20190312161143953</v>
      </c>
      <c r="B6347" t="str">
        <f>"1552378303943825"</f>
        <v>1552378303943825</v>
      </c>
      <c r="C6347" t="s">
        <v>40</v>
      </c>
      <c r="D6347">
        <v>5.2633559999999999</v>
      </c>
      <c r="E6347">
        <v>0.48828100000000002</v>
      </c>
      <c r="F6347" t="s">
        <v>42</v>
      </c>
      <c r="G6347">
        <v>-239.8261</v>
      </c>
      <c r="H6347">
        <v>0.96320439999999996</v>
      </c>
      <c r="I6347">
        <v>-63.669580000000003</v>
      </c>
      <c r="J6347">
        <v>-240.44030000000001</v>
      </c>
      <c r="K6347">
        <v>1.1094729999999999</v>
      </c>
      <c r="L6347">
        <v>-63.58981</v>
      </c>
      <c r="M6347">
        <v>0.99974660000000004</v>
      </c>
      <c r="N6347">
        <v>0</v>
      </c>
      <c r="O6347">
        <v>2.1067280000000001E-2</v>
      </c>
      <c r="P6347">
        <v>0.99956149999999999</v>
      </c>
      <c r="Q6347">
        <v>-2.9202530000000001E-2</v>
      </c>
      <c r="R6347">
        <v>-4.9355800000000002E-3</v>
      </c>
      <c r="S6347">
        <v>2.9815830000000001</v>
      </c>
      <c r="T6347">
        <v>-0.61488900000000002</v>
      </c>
      <c r="U6347">
        <v>-0.3265381</v>
      </c>
      <c r="V6347">
        <v>2.599245E-2</v>
      </c>
      <c r="W6347">
        <v>-2.1264829999999998E-2</v>
      </c>
      <c r="X6347">
        <v>0.99943599999999999</v>
      </c>
      <c r="Y6347">
        <v>0.12671089999999999</v>
      </c>
      <c r="Z6347">
        <v>-1.718047E-2</v>
      </c>
      <c r="AA6347">
        <v>0.99179090000000003</v>
      </c>
      <c r="AB6347">
        <v>19</v>
      </c>
      <c r="AC6347">
        <v>0.61420000000001096</v>
      </c>
      <c r="AD6347">
        <v>-0.146268599999999</v>
      </c>
      <c r="AE6347">
        <v>-7.9770000000003394E-2</v>
      </c>
      <c r="AF6347">
        <v>8.7795664445392496E-2</v>
      </c>
      <c r="AG6347">
        <v>-0.146268599999999</v>
      </c>
      <c r="AH6347">
        <v>0.58003332939382601</v>
      </c>
      <c r="AI6347">
        <v>104.000254410925</v>
      </c>
      <c r="AJ6347">
        <v>81.392866321663604</v>
      </c>
      <c r="AK6347">
        <v>0.60460007050037201</v>
      </c>
      <c r="AL6347">
        <v>91.218476781712894</v>
      </c>
      <c r="AM6347">
        <v>88.510237716839498</v>
      </c>
      <c r="AN6347">
        <v>1.00000005927396</v>
      </c>
    </row>
    <row r="6348" spans="1:40" x14ac:dyDescent="0.25">
      <c r="A6348" t="str">
        <f>"20190312161143965"</f>
        <v>20190312161143965</v>
      </c>
      <c r="B6348" t="str">
        <f>"1552378303953586"</f>
        <v>1552378303953586</v>
      </c>
      <c r="C6348" t="s">
        <v>40</v>
      </c>
      <c r="D6348">
        <v>5.21638</v>
      </c>
      <c r="E6348">
        <v>0.48076000000000002</v>
      </c>
      <c r="F6348" t="s">
        <v>42</v>
      </c>
      <c r="G6348">
        <v>-239.62989999999999</v>
      </c>
      <c r="H6348">
        <v>1.0187090000000001</v>
      </c>
      <c r="I6348">
        <v>-63.565969999999901</v>
      </c>
      <c r="J6348">
        <v>-240.33320000000001</v>
      </c>
      <c r="K6348">
        <v>1.1094740000000001</v>
      </c>
      <c r="L6348">
        <v>-63.58755</v>
      </c>
      <c r="M6348">
        <v>0.99974649999999998</v>
      </c>
      <c r="N6348">
        <v>0</v>
      </c>
      <c r="O6348">
        <v>2.107026E-2</v>
      </c>
      <c r="P6348">
        <v>0.99956389999999995</v>
      </c>
      <c r="Q6348">
        <v>-2.9164329999999999E-2</v>
      </c>
      <c r="R6348">
        <v>-4.6144360000000004E-3</v>
      </c>
      <c r="S6348">
        <v>2.991959</v>
      </c>
      <c r="T6348">
        <v>-0.33505849999999998</v>
      </c>
      <c r="U6348">
        <v>8.8775629999999994E-2</v>
      </c>
      <c r="V6348">
        <v>2.5674539999999999E-2</v>
      </c>
      <c r="W6348">
        <v>-2.1227449999999998E-2</v>
      </c>
      <c r="X6348">
        <v>0.99944500000000003</v>
      </c>
      <c r="Y6348">
        <v>-8.6675529999999997E-3</v>
      </c>
      <c r="Z6348">
        <v>-1.8677710000000001E-3</v>
      </c>
      <c r="AA6348">
        <v>0.99996070000000004</v>
      </c>
      <c r="AB6348">
        <v>19</v>
      </c>
      <c r="AC6348">
        <v>0.70330000000001203</v>
      </c>
      <c r="AD6348">
        <v>-9.0764999999999901E-2</v>
      </c>
      <c r="AE6348">
        <v>2.1580000000007201E-2</v>
      </c>
      <c r="AF6348">
        <v>-6.6454497161938198E-3</v>
      </c>
      <c r="AG6348">
        <v>-9.0764999999999901E-2</v>
      </c>
      <c r="AH6348">
        <v>0.69208248425124197</v>
      </c>
      <c r="AI6348">
        <v>97.471225489786406</v>
      </c>
      <c r="AJ6348">
        <v>90.550143269120099</v>
      </c>
      <c r="AK6348">
        <v>0.69804055199845005</v>
      </c>
      <c r="AL6348">
        <v>91.216334596582499</v>
      </c>
      <c r="AM6348">
        <v>88.528463973894404</v>
      </c>
      <c r="AN6348">
        <v>1.00000004733135</v>
      </c>
    </row>
    <row r="6349" spans="1:40" x14ac:dyDescent="0.25">
      <c r="A6349" t="str">
        <f>"20190312161143977"</f>
        <v>20190312161143977</v>
      </c>
      <c r="B6349" t="str">
        <f>"1552378303973105"</f>
        <v>1552378303973105</v>
      </c>
      <c r="C6349" t="s">
        <v>40</v>
      </c>
      <c r="D6349">
        <v>5.152056</v>
      </c>
      <c r="E6349">
        <v>0.47466419999999998</v>
      </c>
      <c r="F6349" t="s">
        <v>42</v>
      </c>
      <c r="G6349">
        <v>-239.44030000000001</v>
      </c>
      <c r="H6349">
        <v>1.032883</v>
      </c>
      <c r="I6349">
        <v>-63.543759999999999</v>
      </c>
      <c r="J6349">
        <v>-240.2338</v>
      </c>
      <c r="K6349">
        <v>1.1094729999999999</v>
      </c>
      <c r="L6349">
        <v>-63.585450000000002</v>
      </c>
      <c r="M6349">
        <v>0.99974649999999998</v>
      </c>
      <c r="N6349">
        <v>0</v>
      </c>
      <c r="O6349">
        <v>2.107295E-2</v>
      </c>
      <c r="P6349">
        <v>0.99956920000000005</v>
      </c>
      <c r="Q6349">
        <v>-2.8965419999999999E-2</v>
      </c>
      <c r="R6349">
        <v>-4.7679819999999996E-3</v>
      </c>
      <c r="S6349">
        <v>2.9944760000000001</v>
      </c>
      <c r="T6349">
        <v>-0.25691930000000002</v>
      </c>
      <c r="U6349">
        <v>0.14663699999999999</v>
      </c>
      <c r="V6349">
        <v>2.5830479999999999E-2</v>
      </c>
      <c r="W6349">
        <v>-2.1028709999999999E-2</v>
      </c>
      <c r="X6349">
        <v>0.99944509999999998</v>
      </c>
      <c r="Y6349">
        <v>-2.782654E-2</v>
      </c>
      <c r="Z6349">
        <v>-6.1251699999999895E-4</v>
      </c>
      <c r="AA6349">
        <v>0.99961259999999996</v>
      </c>
      <c r="AB6349">
        <v>19</v>
      </c>
      <c r="AC6349">
        <v>0.79349999999999399</v>
      </c>
      <c r="AD6349">
        <v>-7.6589999999999894E-2</v>
      </c>
      <c r="AE6349">
        <v>4.16900000000026E-2</v>
      </c>
      <c r="AF6349">
        <v>-2.4729077399262101E-2</v>
      </c>
      <c r="AG6349">
        <v>-7.6589999999999894E-2</v>
      </c>
      <c r="AH6349">
        <v>0.78689149237739298</v>
      </c>
      <c r="AI6349">
        <v>95.5564959011935</v>
      </c>
      <c r="AJ6349">
        <v>91.8000011647691</v>
      </c>
      <c r="AK6349">
        <v>0.79099669793554706</v>
      </c>
      <c r="AL6349">
        <v>91.204945191755996</v>
      </c>
      <c r="AM6349">
        <v>88.519530387965006</v>
      </c>
      <c r="AN6349">
        <v>0.99999996412765102</v>
      </c>
    </row>
    <row r="6350" spans="1:40" x14ac:dyDescent="0.25">
      <c r="A6350" t="str">
        <f>"20190312161144009"</f>
        <v>20190312161144009</v>
      </c>
      <c r="B6350" t="str">
        <f>"1552378304003362"</f>
        <v>1552378304003362</v>
      </c>
      <c r="C6350" t="s">
        <v>40</v>
      </c>
      <c r="D6350">
        <v>5.1415249999999997</v>
      </c>
      <c r="E6350">
        <v>0.47128540000000002</v>
      </c>
      <c r="F6350" t="s">
        <v>106</v>
      </c>
      <c r="G6350">
        <v>-224.88409999999999</v>
      </c>
      <c r="H6350" s="1">
        <v>-1.7051749999999999E-6</v>
      </c>
      <c r="I6350">
        <v>-62.595709999999997</v>
      </c>
      <c r="J6350">
        <v>-239.96260000000001</v>
      </c>
      <c r="K6350">
        <v>1.1094679999999999</v>
      </c>
      <c r="L6350">
        <v>-63.579740000000001</v>
      </c>
      <c r="M6350">
        <v>0.99974640000000004</v>
      </c>
      <c r="N6350">
        <v>0</v>
      </c>
      <c r="O6350">
        <v>2.1080160000000001E-2</v>
      </c>
      <c r="P6350">
        <v>0.99956809999999996</v>
      </c>
      <c r="Q6350">
        <v>-2.9045749999999999E-2</v>
      </c>
      <c r="R6350">
        <v>-4.4912759999999998E-3</v>
      </c>
      <c r="S6350">
        <v>2.9959410000000002</v>
      </c>
      <c r="T6350">
        <v>-0.2165465</v>
      </c>
      <c r="U6350">
        <v>0.1931763</v>
      </c>
      <c r="V6350">
        <v>2.5561270000000001E-2</v>
      </c>
      <c r="W6350">
        <v>-2.1107899999999999E-2</v>
      </c>
      <c r="X6350">
        <v>0.99945039999999996</v>
      </c>
      <c r="Y6350">
        <v>-4.3236730000000001E-2</v>
      </c>
      <c r="Z6350" s="1">
        <v>3.9104489999999997E-5</v>
      </c>
      <c r="AA6350">
        <v>0.99906490000000003</v>
      </c>
      <c r="AB6350">
        <v>19</v>
      </c>
      <c r="AC6350">
        <v>15.0785</v>
      </c>
      <c r="AD6350">
        <v>-1.109469705175</v>
      </c>
      <c r="AE6350">
        <v>0.98403000000000396</v>
      </c>
      <c r="AF6350">
        <v>-0.66237330488582902</v>
      </c>
      <c r="AG6350">
        <v>-1.109469705175</v>
      </c>
      <c r="AH6350">
        <v>15.0149478321804</v>
      </c>
      <c r="AI6350">
        <v>94.221872107051695</v>
      </c>
      <c r="AJ6350">
        <v>92.525923195192405</v>
      </c>
      <c r="AK6350">
        <v>15.0704452430851</v>
      </c>
      <c r="AL6350">
        <v>91.2094833940927</v>
      </c>
      <c r="AM6350">
        <v>88.534961119410895</v>
      </c>
      <c r="AN6350">
        <v>1.0000000120132899</v>
      </c>
    </row>
    <row r="6351" spans="1:40" x14ac:dyDescent="0.25">
      <c r="A6351" t="str">
        <f>"20190312161144019"</f>
        <v>20190312161144019</v>
      </c>
      <c r="B6351" t="str">
        <f>"1552378304014098"</f>
        <v>1552378304014098</v>
      </c>
      <c r="C6351" t="s">
        <v>40</v>
      </c>
      <c r="D6351">
        <v>5.2008609999999997</v>
      </c>
      <c r="E6351">
        <v>0.47076319999999999</v>
      </c>
      <c r="F6351" t="s">
        <v>106</v>
      </c>
      <c r="G6351">
        <v>-220.75569999999999</v>
      </c>
      <c r="H6351" s="1">
        <v>1.5940429999999999E-7</v>
      </c>
      <c r="I6351">
        <v>-62.175199999999997</v>
      </c>
      <c r="J6351">
        <v>-239.86799999999999</v>
      </c>
      <c r="K6351">
        <v>1.1094729999999999</v>
      </c>
      <c r="L6351">
        <v>-63.577730000000003</v>
      </c>
      <c r="M6351">
        <v>0.99974620000000003</v>
      </c>
      <c r="N6351">
        <v>0</v>
      </c>
      <c r="O6351">
        <v>2.108266E-2</v>
      </c>
      <c r="P6351">
        <v>0.9995695</v>
      </c>
      <c r="Q6351">
        <v>-2.8979330000000001E-2</v>
      </c>
      <c r="R6351">
        <v>-4.5750499999999998E-3</v>
      </c>
      <c r="S6351">
        <v>2.9972379999999998</v>
      </c>
      <c r="T6351">
        <v>-0.1731317</v>
      </c>
      <c r="U6351">
        <v>0.21917719999999999</v>
      </c>
      <c r="V6351">
        <v>2.5647639999999999E-2</v>
      </c>
      <c r="W6351">
        <v>-2.1040530000000002E-2</v>
      </c>
      <c r="X6351">
        <v>0.99944960000000005</v>
      </c>
      <c r="Y6351">
        <v>-5.1837300000000003E-2</v>
      </c>
      <c r="Z6351">
        <v>2.7900350000000001E-4</v>
      </c>
      <c r="AA6351">
        <v>0.99865550000000003</v>
      </c>
      <c r="AB6351">
        <v>19</v>
      </c>
      <c r="AC6351">
        <v>19.112300000000001</v>
      </c>
      <c r="AD6351">
        <v>-1.1094728405956999</v>
      </c>
      <c r="AE6351">
        <v>1.4025300000000001</v>
      </c>
      <c r="AF6351">
        <v>-0.99592928929612601</v>
      </c>
      <c r="AG6351">
        <v>-1.1094728405956999</v>
      </c>
      <c r="AH6351">
        <v>19.073691013899701</v>
      </c>
      <c r="AI6351">
        <v>93.324494190158504</v>
      </c>
      <c r="AJ6351">
        <v>92.988974257730604</v>
      </c>
      <c r="AK6351">
        <v>19.131871158540999</v>
      </c>
      <c r="AL6351">
        <v>91.205622529520099</v>
      </c>
      <c r="AM6351">
        <v>88.5300118330412</v>
      </c>
      <c r="AN6351">
        <v>1.0000000041402</v>
      </c>
    </row>
    <row r="6352" spans="1:40" x14ac:dyDescent="0.25">
      <c r="A6352" t="str">
        <f>"20190312161144030"</f>
        <v>20190312161144030</v>
      </c>
      <c r="B6352" t="str">
        <f>"1552378304023858"</f>
        <v>1552378304023858</v>
      </c>
      <c r="C6352" t="s">
        <v>40</v>
      </c>
      <c r="D6352">
        <v>5.1896559999999896</v>
      </c>
      <c r="E6352">
        <v>0.46998119999999999</v>
      </c>
      <c r="F6352" t="s">
        <v>110</v>
      </c>
      <c r="G6352">
        <v>-219.1208</v>
      </c>
      <c r="H6352" s="1">
        <v>-3.256797E-6</v>
      </c>
      <c r="I6352">
        <v>-62.036850000000001</v>
      </c>
      <c r="J6352">
        <v>-239.7784</v>
      </c>
      <c r="K6352">
        <v>1.1094729999999999</v>
      </c>
      <c r="L6352">
        <v>-63.575839999999999</v>
      </c>
      <c r="M6352">
        <v>0.99974629999999998</v>
      </c>
      <c r="N6352">
        <v>0</v>
      </c>
      <c r="O6352">
        <v>2.108463E-2</v>
      </c>
      <c r="P6352">
        <v>0.99956500000000004</v>
      </c>
      <c r="Q6352">
        <v>-2.9142359999999999E-2</v>
      </c>
      <c r="R6352">
        <v>-4.6015259999999999E-3</v>
      </c>
      <c r="S6352">
        <v>2.9976500000000001</v>
      </c>
      <c r="T6352">
        <v>-0.16030239999999901</v>
      </c>
      <c r="U6352">
        <v>0.22262570000000001</v>
      </c>
      <c r="V6352">
        <v>2.5675699999999999E-2</v>
      </c>
      <c r="W6352">
        <v>-2.120242E-2</v>
      </c>
      <c r="X6352">
        <v>0.99944540000000004</v>
      </c>
      <c r="Y6352">
        <v>-5.2973640000000002E-2</v>
      </c>
      <c r="Z6352">
        <v>2.885322E-4</v>
      </c>
      <c r="AA6352">
        <v>0.99859589999999998</v>
      </c>
      <c r="AB6352">
        <v>19</v>
      </c>
      <c r="AC6352">
        <v>20.657599999999999</v>
      </c>
      <c r="AD6352">
        <v>-1.109476256797</v>
      </c>
      <c r="AE6352">
        <v>1.5389899999999901</v>
      </c>
      <c r="AF6352">
        <v>-1.0999210763834699</v>
      </c>
      <c r="AG6352">
        <v>-1.109476256797</v>
      </c>
      <c r="AH6352">
        <v>20.626288550503801</v>
      </c>
      <c r="AI6352">
        <v>93.074579982781202</v>
      </c>
      <c r="AJ6352">
        <v>93.052473545468501</v>
      </c>
      <c r="AK6352">
        <v>20.685370272424802</v>
      </c>
      <c r="AL6352">
        <v>91.214900283720496</v>
      </c>
      <c r="AM6352">
        <v>88.528398106448606</v>
      </c>
      <c r="AN6352">
        <v>0.99999994588275098</v>
      </c>
    </row>
    <row r="6353" spans="1:40" x14ac:dyDescent="0.25">
      <c r="A6353" t="str">
        <f>"20190312161144041"</f>
        <v>20190312161144041</v>
      </c>
      <c r="B6353" t="str">
        <f>"1552378304033618"</f>
        <v>1552378304033618</v>
      </c>
      <c r="C6353" t="s">
        <v>40</v>
      </c>
      <c r="D6353">
        <v>5.2366910000000004</v>
      </c>
      <c r="E6353">
        <v>0.47004940000000001</v>
      </c>
      <c r="F6353" t="s">
        <v>110</v>
      </c>
      <c r="G6353">
        <v>-217.6317</v>
      </c>
      <c r="H6353" s="1">
        <v>-2.6436419999999999E-6</v>
      </c>
      <c r="I6353">
        <v>-61.889479999999999</v>
      </c>
      <c r="J6353">
        <v>-239.6755</v>
      </c>
      <c r="K6353">
        <v>1.1094759999999999</v>
      </c>
      <c r="L6353">
        <v>-63.5736699999999</v>
      </c>
      <c r="M6353">
        <v>0.99974609999999997</v>
      </c>
      <c r="N6353">
        <v>0</v>
      </c>
      <c r="O6353">
        <v>2.1087129999999999E-2</v>
      </c>
      <c r="P6353">
        <v>0.99955959999999999</v>
      </c>
      <c r="Q6353">
        <v>-2.931346E-2</v>
      </c>
      <c r="R6353">
        <v>-4.6283560000000001E-3</v>
      </c>
      <c r="S6353">
        <v>2.997986</v>
      </c>
      <c r="T6353">
        <v>-0.150188299999999</v>
      </c>
      <c r="U6353">
        <v>0.22827149999999999</v>
      </c>
      <c r="V6353">
        <v>2.5705229999999999E-2</v>
      </c>
      <c r="W6353">
        <v>-2.137201E-2</v>
      </c>
      <c r="X6353">
        <v>0.99944109999999997</v>
      </c>
      <c r="Y6353">
        <v>-5.4835979999999999E-2</v>
      </c>
      <c r="Z6353">
        <v>3.1673420000000001E-4</v>
      </c>
      <c r="AA6353">
        <v>0.99849529999999997</v>
      </c>
      <c r="AB6353">
        <v>19</v>
      </c>
      <c r="AC6353">
        <v>22.043800000000001</v>
      </c>
      <c r="AD6353">
        <v>-1.1094786436419899</v>
      </c>
      <c r="AE6353">
        <v>1.6841899999999801</v>
      </c>
      <c r="AF6353">
        <v>-1.2158981411762999</v>
      </c>
      <c r="AG6353">
        <v>-1.1094786436419899</v>
      </c>
      <c r="AH6353">
        <v>22.018959774271298</v>
      </c>
      <c r="AI6353">
        <v>92.880166648063906</v>
      </c>
      <c r="AJ6353">
        <v>93.160692013404201</v>
      </c>
      <c r="AK6353">
        <v>22.080397204112799</v>
      </c>
      <c r="AL6353">
        <v>91.224619190691499</v>
      </c>
      <c r="AM6353">
        <v>88.526700005099698</v>
      </c>
      <c r="AN6353">
        <v>1.0000000170150001</v>
      </c>
    </row>
    <row r="6354" spans="1:40" x14ac:dyDescent="0.25">
      <c r="A6354" t="str">
        <f>"20190312161144053"</f>
        <v>20190312161144053</v>
      </c>
      <c r="B6354" t="str">
        <f>"1552378304043377"</f>
        <v>1552378304043377</v>
      </c>
      <c r="C6354" t="s">
        <v>40</v>
      </c>
      <c r="D6354">
        <v>5.2462660000000003</v>
      </c>
      <c r="E6354">
        <v>0.47010940000000001</v>
      </c>
      <c r="F6354" t="s">
        <v>110</v>
      </c>
      <c r="G6354">
        <v>-216.41630000000001</v>
      </c>
      <c r="H6354" s="1">
        <v>-2.1010610000000001E-6</v>
      </c>
      <c r="I6354">
        <v>-61.809829999999998</v>
      </c>
      <c r="J6354">
        <v>-239.58279999999999</v>
      </c>
      <c r="K6354">
        <v>1.109477</v>
      </c>
      <c r="L6354">
        <v>-63.5717199999999</v>
      </c>
      <c r="M6354">
        <v>0.99974609999999997</v>
      </c>
      <c r="N6354">
        <v>0</v>
      </c>
      <c r="O6354">
        <v>2.1089150000000001E-2</v>
      </c>
      <c r="P6354">
        <v>0.99956719999999999</v>
      </c>
      <c r="Q6354">
        <v>-2.9020879999999999E-2</v>
      </c>
      <c r="R6354">
        <v>-4.8483040000000003E-3</v>
      </c>
      <c r="S6354">
        <v>2.9981840000000002</v>
      </c>
      <c r="T6354">
        <v>-0.14301510000000001</v>
      </c>
      <c r="U6354">
        <v>0.227356</v>
      </c>
      <c r="V6354">
        <v>2.5927200000000001E-2</v>
      </c>
      <c r="W6354">
        <v>-2.107765E-2</v>
      </c>
      <c r="X6354">
        <v>0.99944160000000004</v>
      </c>
      <c r="Y6354">
        <v>-5.4530080000000002E-2</v>
      </c>
      <c r="Z6354">
        <v>2.9422960000000001E-4</v>
      </c>
      <c r="AA6354">
        <v>0.99851210000000001</v>
      </c>
      <c r="AB6354">
        <v>19</v>
      </c>
      <c r="AC6354">
        <v>23.1664999999999</v>
      </c>
      <c r="AD6354">
        <v>-1.1094791010609999</v>
      </c>
      <c r="AE6354">
        <v>1.76188999999998</v>
      </c>
      <c r="AF6354">
        <v>-1.27002477450859</v>
      </c>
      <c r="AG6354">
        <v>-1.1094791010609999</v>
      </c>
      <c r="AH6354">
        <v>23.1457236563243</v>
      </c>
      <c r="AI6354">
        <v>92.7402291824651</v>
      </c>
      <c r="AJ6354">
        <v>93.140716747420498</v>
      </c>
      <c r="AK6354">
        <v>23.2070771614714</v>
      </c>
      <c r="AL6354">
        <v>91.207749826312096</v>
      </c>
      <c r="AM6354">
        <v>88.513984176812897</v>
      </c>
      <c r="AN6354">
        <v>0.99999999941996098</v>
      </c>
    </row>
    <row r="6355" spans="1:40" x14ac:dyDescent="0.25">
      <c r="A6355" t="str">
        <f>"20190312161144062"</f>
        <v>20190312161144062</v>
      </c>
      <c r="B6355" t="str">
        <f>"1552378304054114"</f>
        <v>1552378304054114</v>
      </c>
      <c r="C6355" t="s">
        <v>40</v>
      </c>
      <c r="D6355">
        <v>5.242489</v>
      </c>
      <c r="E6355">
        <v>0.47020669999999998</v>
      </c>
      <c r="F6355" t="s">
        <v>110</v>
      </c>
      <c r="G6355">
        <v>-215.16550000000001</v>
      </c>
      <c r="H6355" s="1">
        <v>-1.543533E-6</v>
      </c>
      <c r="I6355">
        <v>-61.731160000000003</v>
      </c>
      <c r="J6355">
        <v>-239.48830000000001</v>
      </c>
      <c r="K6355">
        <v>1.1094759999999999</v>
      </c>
      <c r="L6355">
        <v>-63.569699999999997</v>
      </c>
      <c r="M6355">
        <v>0.99974600000000002</v>
      </c>
      <c r="N6355">
        <v>0</v>
      </c>
      <c r="O6355">
        <v>2.109128E-2</v>
      </c>
      <c r="P6355">
        <v>0.99957269999999998</v>
      </c>
      <c r="Q6355">
        <v>-2.880431E-2</v>
      </c>
      <c r="R6355">
        <v>-4.9744769999999997E-3</v>
      </c>
      <c r="S6355">
        <v>2.9984440000000001</v>
      </c>
      <c r="T6355">
        <v>-0.13624349999999999</v>
      </c>
      <c r="U6355">
        <v>0.2260132</v>
      </c>
      <c r="V6355">
        <v>2.6055709999999999E-2</v>
      </c>
      <c r="W6355">
        <v>-2.085921E-2</v>
      </c>
      <c r="X6355">
        <v>0.99944279999999996</v>
      </c>
      <c r="Y6355">
        <v>-5.408077E-2</v>
      </c>
      <c r="Z6355">
        <v>2.7000679999999999E-4</v>
      </c>
      <c r="AA6355">
        <v>0.99853650000000005</v>
      </c>
      <c r="AB6355">
        <v>19</v>
      </c>
      <c r="AC6355">
        <v>24.322800000000001</v>
      </c>
      <c r="AD6355">
        <v>-1.109477543533</v>
      </c>
      <c r="AE6355">
        <v>1.8385400000000001</v>
      </c>
      <c r="AF6355">
        <v>-1.3223799824665801</v>
      </c>
      <c r="AG6355">
        <v>-1.109477543533</v>
      </c>
      <c r="AH6355">
        <v>24.305881561909999</v>
      </c>
      <c r="AI6355">
        <v>92.609681437246493</v>
      </c>
      <c r="AJ6355">
        <v>93.114150291822199</v>
      </c>
      <c r="AK6355">
        <v>24.367098878184699</v>
      </c>
      <c r="AL6355">
        <v>91.195231432710997</v>
      </c>
      <c r="AM6355">
        <v>88.506623753743099</v>
      </c>
      <c r="AN6355">
        <v>0.999999958568633</v>
      </c>
    </row>
    <row r="6356" spans="1:40" x14ac:dyDescent="0.25">
      <c r="A6356" t="str">
        <f>"20190312161144074"</f>
        <v>20190312161144074</v>
      </c>
      <c r="B6356" t="str">
        <f>"1552378304063874"</f>
        <v>1552378304063874</v>
      </c>
      <c r="C6356" t="s">
        <v>40</v>
      </c>
      <c r="D6356">
        <v>5.2145809999999999</v>
      </c>
      <c r="E6356">
        <v>0.47047159999999899</v>
      </c>
      <c r="F6356" t="s">
        <v>110</v>
      </c>
      <c r="G6356">
        <v>-214.1113</v>
      </c>
      <c r="H6356" s="1">
        <v>-1.0747080000000001E-6</v>
      </c>
      <c r="I6356">
        <v>-61.668810000000001</v>
      </c>
      <c r="J6356">
        <v>-239.3964</v>
      </c>
      <c r="K6356">
        <v>1.1094759999999999</v>
      </c>
      <c r="L6356">
        <v>-63.567779999999999</v>
      </c>
      <c r="M6356">
        <v>0.99974589999999997</v>
      </c>
      <c r="N6356">
        <v>0</v>
      </c>
      <c r="O6356">
        <v>2.109312E-2</v>
      </c>
      <c r="P6356">
        <v>0.99957249999999997</v>
      </c>
      <c r="Q6356">
        <v>-2.8814070000000001E-2</v>
      </c>
      <c r="R6356">
        <v>-4.9783730000000003E-3</v>
      </c>
      <c r="S6356">
        <v>2.9986269999999999</v>
      </c>
      <c r="T6356">
        <v>-0.1310993</v>
      </c>
      <c r="U6356">
        <v>0.22460939999999999</v>
      </c>
      <c r="V6356">
        <v>2.6061290000000001E-2</v>
      </c>
      <c r="W6356">
        <v>-2.0866860000000001E-2</v>
      </c>
      <c r="X6356">
        <v>0.99944250000000001</v>
      </c>
      <c r="Y6356">
        <v>-5.3612460000000001E-2</v>
      </c>
      <c r="Z6356">
        <v>2.4951139999999998E-4</v>
      </c>
      <c r="AA6356">
        <v>0.99856180000000005</v>
      </c>
      <c r="AB6356">
        <v>19</v>
      </c>
      <c r="AC6356">
        <v>25.2851</v>
      </c>
      <c r="AD6356">
        <v>-1.1094770747080001</v>
      </c>
      <c r="AE6356">
        <v>1.89897</v>
      </c>
      <c r="AF6356">
        <v>-1.3625802591356799</v>
      </c>
      <c r="AG6356">
        <v>-1.1094770747080001</v>
      </c>
      <c r="AH6356">
        <v>25.271147923982799</v>
      </c>
      <c r="AI6356">
        <v>92.510195996899995</v>
      </c>
      <c r="AJ6356">
        <v>93.086309138384905</v>
      </c>
      <c r="AK6356">
        <v>25.3321629897194</v>
      </c>
      <c r="AL6356">
        <v>91.1956698346754</v>
      </c>
      <c r="AM6356">
        <v>88.506303634209303</v>
      </c>
      <c r="AN6356">
        <v>0.99999996374448596</v>
      </c>
    </row>
    <row r="6357" spans="1:40" x14ac:dyDescent="0.25">
      <c r="A6357" t="str">
        <f>"20190312161144086"</f>
        <v>20190312161144086</v>
      </c>
      <c r="B6357" t="str">
        <f>"1552378304083394"</f>
        <v>1552378304083394</v>
      </c>
      <c r="C6357" t="s">
        <v>40</v>
      </c>
      <c r="D6357">
        <v>4.9015129999999996</v>
      </c>
      <c r="E6357">
        <v>0.47059669999999998</v>
      </c>
      <c r="F6357" t="s">
        <v>110</v>
      </c>
      <c r="G6357">
        <v>-213.64519999999999</v>
      </c>
      <c r="H6357" s="1">
        <v>-8.7172900000000001E-7</v>
      </c>
      <c r="I6357">
        <v>-61.657490000000003</v>
      </c>
      <c r="J6357">
        <v>-239.29089999999999</v>
      </c>
      <c r="K6357">
        <v>1.1094790000000001</v>
      </c>
      <c r="L6357">
        <v>-63.565550000000002</v>
      </c>
      <c r="M6357">
        <v>0.99974580000000002</v>
      </c>
      <c r="N6357">
        <v>0</v>
      </c>
      <c r="O6357">
        <v>2.1095260000000001E-2</v>
      </c>
      <c r="P6357">
        <v>0.99956719999999999</v>
      </c>
      <c r="Q6357">
        <v>-2.8986540000000002E-2</v>
      </c>
      <c r="R6357">
        <v>-5.034892E-3</v>
      </c>
      <c r="S6357">
        <v>2.998672</v>
      </c>
      <c r="T6357">
        <v>-0.12919620000000001</v>
      </c>
      <c r="U6357">
        <v>0.22244259999999999</v>
      </c>
      <c r="V6357">
        <v>2.6119799999999999E-2</v>
      </c>
      <c r="W6357">
        <v>-2.1036869999999999E-2</v>
      </c>
      <c r="X6357">
        <v>0.99943749999999998</v>
      </c>
      <c r="Y6357">
        <v>-5.2893200000000001E-2</v>
      </c>
      <c r="Z6357">
        <v>2.3033569999999999E-4</v>
      </c>
      <c r="AA6357">
        <v>0.99860009999999999</v>
      </c>
      <c r="AB6357">
        <v>19</v>
      </c>
      <c r="AC6357">
        <v>25.645700000000001</v>
      </c>
      <c r="AD6357">
        <v>-1.109479871729</v>
      </c>
      <c r="AE6357">
        <v>1.9080599999999901</v>
      </c>
      <c r="AF6357">
        <v>-1.36407660098979</v>
      </c>
      <c r="AG6357">
        <v>-1.109479871729</v>
      </c>
      <c r="AH6357">
        <v>25.632535608161501</v>
      </c>
      <c r="AI6357">
        <v>92.474948484959</v>
      </c>
      <c r="AJ6357">
        <v>93.046213577084302</v>
      </c>
      <c r="AK6357">
        <v>25.692771984797702</v>
      </c>
      <c r="AL6357">
        <v>91.205412719071106</v>
      </c>
      <c r="AM6357">
        <v>88.5029441863946</v>
      </c>
      <c r="AN6357">
        <v>1.0000000551288399</v>
      </c>
    </row>
    <row r="6358" spans="1:40" x14ac:dyDescent="0.25">
      <c r="A6358" t="str">
        <f>"20190312161144654"</f>
        <v>20190312161144654</v>
      </c>
      <c r="B6358" t="str">
        <f>"1552378304644105"</f>
        <v>1552378304644105</v>
      </c>
      <c r="C6358" t="s">
        <v>40</v>
      </c>
      <c r="D6358">
        <v>5.5951810000000002</v>
      </c>
      <c r="E6358">
        <v>0.46595730000000002</v>
      </c>
      <c r="F6358" t="s">
        <v>110</v>
      </c>
      <c r="G6358">
        <v>-213.28630000000001</v>
      </c>
      <c r="H6358" s="1">
        <v>-7.15083E-7</v>
      </c>
      <c r="I6358">
        <v>-61.647319999999901</v>
      </c>
      <c r="J6358">
        <v>-234.1088</v>
      </c>
      <c r="K6358">
        <v>1.10945</v>
      </c>
      <c r="L6358">
        <v>-63.455779999999997</v>
      </c>
      <c r="M6358">
        <v>0.99974200000000002</v>
      </c>
      <c r="N6358">
        <v>0</v>
      </c>
      <c r="O6358">
        <v>2.1193090000000001E-2</v>
      </c>
      <c r="P6358">
        <v>0.99945490000000003</v>
      </c>
      <c r="Q6358">
        <v>-3.2991590000000001E-2</v>
      </c>
      <c r="R6358">
        <v>-1.2580720000000001E-3</v>
      </c>
      <c r="S6358">
        <v>2.998688</v>
      </c>
      <c r="T6358">
        <v>-0.1279382</v>
      </c>
      <c r="U6358">
        <v>0.22119140000000001</v>
      </c>
      <c r="V6358">
        <v>2.2439250000000001E-2</v>
      </c>
      <c r="W6358">
        <v>-2.4816680000000001E-2</v>
      </c>
      <c r="X6358">
        <v>0.99944010000000005</v>
      </c>
      <c r="Y6358">
        <v>-5.2381770000000001E-2</v>
      </c>
      <c r="Z6358">
        <v>2.130403E-4</v>
      </c>
      <c r="AA6358">
        <v>0.99862709999999999</v>
      </c>
      <c r="AB6358">
        <v>21</v>
      </c>
      <c r="AC6358">
        <v>20.822499999999899</v>
      </c>
      <c r="AD6358">
        <v>-1.109450715083</v>
      </c>
      <c r="AE6358">
        <v>1.8084600000000099</v>
      </c>
      <c r="AF6358">
        <v>-1.3629057537670499</v>
      </c>
      <c r="AG6358">
        <v>-1.109450715083</v>
      </c>
      <c r="AH6358">
        <v>20.797550951087398</v>
      </c>
      <c r="AI6358">
        <v>93.047040480177401</v>
      </c>
      <c r="AJ6358">
        <v>93.749347806852697</v>
      </c>
      <c r="AK6358">
        <v>20.8716678429378</v>
      </c>
      <c r="AL6358">
        <v>91.422037085807602</v>
      </c>
      <c r="AM6358">
        <v>88.713821512305501</v>
      </c>
      <c r="AN6358">
        <v>0.99999995051739599</v>
      </c>
    </row>
    <row r="6359" spans="1:40" x14ac:dyDescent="0.25">
      <c r="A6359" t="str">
        <f>"20190312161144666"</f>
        <v>20190312161144666</v>
      </c>
      <c r="B6359" t="str">
        <f>"1552378304663267"</f>
        <v>1552378304663267</v>
      </c>
      <c r="C6359" t="s">
        <v>40</v>
      </c>
      <c r="D6359">
        <v>5.1496279999999999</v>
      </c>
      <c r="E6359">
        <v>0.46026040000000001</v>
      </c>
      <c r="F6359" t="s">
        <v>78</v>
      </c>
      <c r="G6359">
        <v>-209.3126</v>
      </c>
      <c r="H6359" s="1">
        <v>-5.2619999999999898E-7</v>
      </c>
      <c r="I6359">
        <v>-61.228949999999998</v>
      </c>
      <c r="J6359">
        <v>-234.00460000000001</v>
      </c>
      <c r="K6359">
        <v>1.1094489999999999</v>
      </c>
      <c r="L6359">
        <v>-63.453580000000002</v>
      </c>
      <c r="M6359">
        <v>0.99974169999999996</v>
      </c>
      <c r="N6359">
        <v>0</v>
      </c>
      <c r="O6359">
        <v>2.1195209999999999E-2</v>
      </c>
      <c r="P6359">
        <v>0.99945280000000003</v>
      </c>
      <c r="Q6359">
        <v>-3.3055590000000003E-2</v>
      </c>
      <c r="R6359">
        <v>-1.2098390000000001E-3</v>
      </c>
      <c r="S6359">
        <v>2.9975429999999998</v>
      </c>
      <c r="T6359">
        <v>-0.1341183</v>
      </c>
      <c r="U6359">
        <v>0.26919559999999998</v>
      </c>
      <c r="V6359">
        <v>2.239302E-2</v>
      </c>
      <c r="W6359">
        <v>-2.487338E-2</v>
      </c>
      <c r="X6359">
        <v>0.99943979999999999</v>
      </c>
      <c r="Y6359">
        <v>-6.8267690000000006E-2</v>
      </c>
      <c r="Z6359">
        <v>5.7770619999999995E-4</v>
      </c>
      <c r="AA6359">
        <v>0.99766690000000002</v>
      </c>
      <c r="AB6359">
        <v>21</v>
      </c>
      <c r="AC6359">
        <v>24.692</v>
      </c>
      <c r="AD6359">
        <v>-1.1094495261999999</v>
      </c>
      <c r="AE6359">
        <v>2.2246299999999999</v>
      </c>
      <c r="AF6359">
        <v>-1.69736136606583</v>
      </c>
      <c r="AG6359">
        <v>-1.1094495261999999</v>
      </c>
      <c r="AH6359">
        <v>24.684173586673399</v>
      </c>
      <c r="AI6359">
        <v>92.567417183991296</v>
      </c>
      <c r="AJ6359">
        <v>93.9336457856718</v>
      </c>
      <c r="AK6359">
        <v>24.767324028146898</v>
      </c>
      <c r="AL6359">
        <v>91.425286656320793</v>
      </c>
      <c r="AM6359">
        <v>88.716470062394094</v>
      </c>
      <c r="AN6359">
        <v>1.00000002310069</v>
      </c>
    </row>
    <row r="6360" spans="1:40" x14ac:dyDescent="0.25">
      <c r="A6360" t="str">
        <f>"20190312161144676"</f>
        <v>20190312161144676</v>
      </c>
      <c r="B6360" t="str">
        <f>"1552378304673991"</f>
        <v>1552378304673991</v>
      </c>
      <c r="C6360" t="s">
        <v>40</v>
      </c>
      <c r="D6360">
        <v>5.7014579999999997</v>
      </c>
      <c r="E6360">
        <v>0.45913779999999998</v>
      </c>
      <c r="F6360" t="s">
        <v>78</v>
      </c>
      <c r="G6360">
        <v>-207.54519999999999</v>
      </c>
      <c r="H6360" s="1">
        <v>-1.572914E-6</v>
      </c>
      <c r="I6360">
        <v>-60.677909999999997</v>
      </c>
      <c r="J6360">
        <v>-233.8965</v>
      </c>
      <c r="K6360">
        <v>1.109451</v>
      </c>
      <c r="L6360">
        <v>-63.45129</v>
      </c>
      <c r="M6360">
        <v>0.99974169999999996</v>
      </c>
      <c r="N6360">
        <v>0</v>
      </c>
      <c r="O6360">
        <v>2.119737E-2</v>
      </c>
      <c r="P6360">
        <v>0.99944350000000004</v>
      </c>
      <c r="Q6360">
        <v>-3.3335080000000003E-2</v>
      </c>
      <c r="R6360">
        <v>-1.199903E-3</v>
      </c>
      <c r="S6360">
        <v>2.9978639999999999</v>
      </c>
      <c r="T6360">
        <v>-0.12570100000000001</v>
      </c>
      <c r="U6360">
        <v>0.31448359999999997</v>
      </c>
      <c r="V6360">
        <v>2.2384979999999999E-2</v>
      </c>
      <c r="W6360">
        <v>-2.5143410000000001E-2</v>
      </c>
      <c r="X6360">
        <v>0.99943320000000002</v>
      </c>
      <c r="Y6360">
        <v>-8.3170430000000004E-2</v>
      </c>
      <c r="Z6360">
        <v>8.5242079999999995E-4</v>
      </c>
      <c r="AA6360">
        <v>0.99653499999999995</v>
      </c>
      <c r="AB6360">
        <v>21</v>
      </c>
      <c r="AC6360">
        <v>26.351299999999998</v>
      </c>
      <c r="AD6360">
        <v>-1.1094525729139999</v>
      </c>
      <c r="AE6360">
        <v>2.77338</v>
      </c>
      <c r="AF6360">
        <v>-2.2102847307865701</v>
      </c>
      <c r="AG6360">
        <v>-1.1094525729139999</v>
      </c>
      <c r="AH6360">
        <v>26.357958542527701</v>
      </c>
      <c r="AI6360">
        <v>92.401836783199002</v>
      </c>
      <c r="AJ6360">
        <v>94.793405850797001</v>
      </c>
      <c r="AK6360">
        <v>26.473727016276001</v>
      </c>
      <c r="AL6360">
        <v>91.440763109274798</v>
      </c>
      <c r="AM6360">
        <v>88.716922277254199</v>
      </c>
      <c r="AN6360">
        <v>0.99999999982913401</v>
      </c>
    </row>
    <row r="6361" spans="1:40" x14ac:dyDescent="0.25">
      <c r="A6361" t="str">
        <f>"20190312161144689"</f>
        <v>20190312161144689</v>
      </c>
      <c r="B6361" t="str">
        <f>"1552378304683750"</f>
        <v>1552378304683750</v>
      </c>
      <c r="C6361" t="s">
        <v>40</v>
      </c>
      <c r="D6361">
        <v>5.6734019999999896</v>
      </c>
      <c r="E6361">
        <v>0.45825070000000001</v>
      </c>
      <c r="F6361" t="s">
        <v>78</v>
      </c>
      <c r="G6361">
        <v>-208.0729</v>
      </c>
      <c r="H6361" s="1">
        <v>-1.235543E-6</v>
      </c>
      <c r="I6361">
        <v>-60.664160000000003</v>
      </c>
      <c r="J6361">
        <v>-233.7835</v>
      </c>
      <c r="K6361">
        <v>1.1094580000000001</v>
      </c>
      <c r="L6361">
        <v>-63.448880000000003</v>
      </c>
      <c r="M6361">
        <v>0.99974169999999996</v>
      </c>
      <c r="N6361">
        <v>0</v>
      </c>
      <c r="O6361">
        <v>2.1199470000000002E-2</v>
      </c>
      <c r="P6361">
        <v>0.99944089999999997</v>
      </c>
      <c r="Q6361">
        <v>-3.3423649999999999E-2</v>
      </c>
      <c r="R6361">
        <v>-1.089787E-3</v>
      </c>
      <c r="S6361">
        <v>2.997757</v>
      </c>
      <c r="T6361">
        <v>-0.12879199999999999</v>
      </c>
      <c r="U6361">
        <v>0.32354739999999999</v>
      </c>
      <c r="V6361">
        <v>2.227697E-2</v>
      </c>
      <c r="W6361">
        <v>-2.5221360000000002E-2</v>
      </c>
      <c r="X6361">
        <v>0.99943360000000003</v>
      </c>
      <c r="Y6361">
        <v>-8.6145559999999996E-2</v>
      </c>
      <c r="Z6361">
        <v>9.3686850000000005E-4</v>
      </c>
      <c r="AA6361">
        <v>0.99628209999999995</v>
      </c>
      <c r="AB6361">
        <v>21</v>
      </c>
      <c r="AC6361">
        <v>25.710599999999999</v>
      </c>
      <c r="AD6361">
        <v>-1.109459235543</v>
      </c>
      <c r="AE6361">
        <v>2.7847200000000001</v>
      </c>
      <c r="AF6361">
        <v>-2.2349114221966899</v>
      </c>
      <c r="AG6361">
        <v>-1.109459235543</v>
      </c>
      <c r="AH6361">
        <v>25.716527155014301</v>
      </c>
      <c r="AI6361">
        <v>92.461050891359505</v>
      </c>
      <c r="AJ6361">
        <v>94.966847663589604</v>
      </c>
      <c r="AK6361">
        <v>25.837288901411199</v>
      </c>
      <c r="AL6361">
        <v>91.445230803252898</v>
      </c>
      <c r="AM6361">
        <v>88.723111725156102</v>
      </c>
      <c r="AN6361">
        <v>0.99999995060079405</v>
      </c>
    </row>
    <row r="6362" spans="1:40" x14ac:dyDescent="0.25">
      <c r="A6362" t="str">
        <f>"20190312161144700"</f>
        <v>20190312161144700</v>
      </c>
      <c r="B6362" t="str">
        <f>"1552378304693512"</f>
        <v>1552378304693512</v>
      </c>
      <c r="C6362" t="s">
        <v>40</v>
      </c>
      <c r="D6362">
        <v>5.2166420000000002</v>
      </c>
      <c r="E6362">
        <v>0.45585979999999998</v>
      </c>
      <c r="F6362" t="s">
        <v>78</v>
      </c>
      <c r="G6362">
        <v>-207.78450000000001</v>
      </c>
      <c r="H6362" s="1">
        <v>-1.407029E-6</v>
      </c>
      <c r="I6362">
        <v>-60.579259999999998</v>
      </c>
      <c r="J6362">
        <v>-233.673</v>
      </c>
      <c r="K6362">
        <v>1.1094580000000001</v>
      </c>
      <c r="L6362">
        <v>-63.446530000000003</v>
      </c>
      <c r="M6362">
        <v>0.99974149999999995</v>
      </c>
      <c r="N6362">
        <v>0</v>
      </c>
      <c r="O6362">
        <v>2.1201749999999998E-2</v>
      </c>
      <c r="P6362">
        <v>0.99944200000000005</v>
      </c>
      <c r="Q6362">
        <v>-3.33894E-2</v>
      </c>
      <c r="R6362">
        <v>-9.3458549999999999E-4</v>
      </c>
      <c r="S6362">
        <v>2.9977260000000001</v>
      </c>
      <c r="T6362">
        <v>-0.12792239999999999</v>
      </c>
      <c r="U6362">
        <v>0.33087159999999999</v>
      </c>
      <c r="V6362">
        <v>2.212414E-2</v>
      </c>
      <c r="W6362">
        <v>-2.517585E-2</v>
      </c>
      <c r="X6362">
        <v>0.99943820000000005</v>
      </c>
      <c r="Y6362">
        <v>-8.8548299999999996E-2</v>
      </c>
      <c r="Z6362">
        <v>9.8143189999999993E-4</v>
      </c>
      <c r="AA6362">
        <v>0.99607140000000005</v>
      </c>
      <c r="AB6362">
        <v>21</v>
      </c>
      <c r="AC6362">
        <v>25.888500000000001</v>
      </c>
      <c r="AD6362">
        <v>-1.109459407029</v>
      </c>
      <c r="AE6362">
        <v>2.86727</v>
      </c>
      <c r="AF6362">
        <v>-2.31352795381357</v>
      </c>
      <c r="AG6362">
        <v>-1.109459407029</v>
      </c>
      <c r="AH6362">
        <v>25.896488973065701</v>
      </c>
      <c r="AI6362">
        <v>92.443450538600999</v>
      </c>
      <c r="AJ6362">
        <v>95.105109687771801</v>
      </c>
      <c r="AK6362">
        <v>26.023286742858499</v>
      </c>
      <c r="AL6362">
        <v>91.442622360686798</v>
      </c>
      <c r="AM6362">
        <v>88.7318747154128</v>
      </c>
      <c r="AN6362">
        <v>1.0000000083066001</v>
      </c>
    </row>
    <row r="6363" spans="1:40" x14ac:dyDescent="0.25">
      <c r="A6363" t="str">
        <f>"20190312161144713"</f>
        <v>20190312161144713</v>
      </c>
      <c r="B6363" t="str">
        <f>"1552378304703270"</f>
        <v>1552378304703270</v>
      </c>
      <c r="C6363" t="s">
        <v>40</v>
      </c>
      <c r="D6363">
        <v>5.274635</v>
      </c>
      <c r="E6363">
        <v>0.45388139999999999</v>
      </c>
      <c r="F6363" t="s">
        <v>78</v>
      </c>
      <c r="G6363">
        <v>-206.97980000000001</v>
      </c>
      <c r="H6363" s="1">
        <v>-1.906274E-6</v>
      </c>
      <c r="I6363">
        <v>-60.327330000000003</v>
      </c>
      <c r="J6363">
        <v>-233.55629999999999</v>
      </c>
      <c r="K6363">
        <v>1.109459</v>
      </c>
      <c r="L6363">
        <v>-63.44406</v>
      </c>
      <c r="M6363">
        <v>0.99974130000000005</v>
      </c>
      <c r="N6363">
        <v>0</v>
      </c>
      <c r="O6363">
        <v>2.120385E-2</v>
      </c>
      <c r="P6363">
        <v>0.99943490000000001</v>
      </c>
      <c r="Q6363">
        <v>-3.3599839999999999E-2</v>
      </c>
      <c r="R6363">
        <v>-9.5607839999999999E-4</v>
      </c>
      <c r="S6363">
        <v>2.997849</v>
      </c>
      <c r="T6363">
        <v>-0.124601</v>
      </c>
      <c r="U6363">
        <v>0.35031129999999999</v>
      </c>
      <c r="V6363">
        <v>2.2147730000000001E-2</v>
      </c>
      <c r="W6363">
        <v>-2.5374259999999999E-2</v>
      </c>
      <c r="X6363">
        <v>0.9994326</v>
      </c>
      <c r="Y6363">
        <v>-9.4914399999999996E-2</v>
      </c>
      <c r="Z6363">
        <v>1.087307E-3</v>
      </c>
      <c r="AA6363">
        <v>0.99548479999999995</v>
      </c>
      <c r="AB6363">
        <v>21</v>
      </c>
      <c r="AC6363">
        <v>26.5764999999999</v>
      </c>
      <c r="AD6363">
        <v>-1.109460906274</v>
      </c>
      <c r="AE6363">
        <v>3.1167299999999898</v>
      </c>
      <c r="AF6363">
        <v>-2.54810562493696</v>
      </c>
      <c r="AG6363">
        <v>-1.109460906274</v>
      </c>
      <c r="AH6363">
        <v>26.590901496739299</v>
      </c>
      <c r="AI6363">
        <v>92.378302824918407</v>
      </c>
      <c r="AJ6363">
        <v>95.473724448097798</v>
      </c>
      <c r="AK6363">
        <v>26.735739903501401</v>
      </c>
      <c r="AL6363">
        <v>91.453994136091296</v>
      </c>
      <c r="AM6363">
        <v>88.730515900514206</v>
      </c>
      <c r="AN6363">
        <v>0.99999994847872897</v>
      </c>
    </row>
    <row r="6364" spans="1:40" x14ac:dyDescent="0.25">
      <c r="A6364" t="str">
        <f>"20190312161144725"</f>
        <v>20190312161144725</v>
      </c>
      <c r="B6364" t="str">
        <f>"1552378304714006"</f>
        <v>1552378304714006</v>
      </c>
      <c r="C6364" t="s">
        <v>40</v>
      </c>
      <c r="D6364">
        <v>5.5878009999999998</v>
      </c>
      <c r="E6364">
        <v>0.45284200000000002</v>
      </c>
      <c r="F6364" t="s">
        <v>78</v>
      </c>
      <c r="G6364">
        <v>-206.4496</v>
      </c>
      <c r="H6364" s="1">
        <v>-2.294368E-6</v>
      </c>
      <c r="I6364">
        <v>-60.135350000000003</v>
      </c>
      <c r="J6364">
        <v>-233.44280000000001</v>
      </c>
      <c r="K6364">
        <v>1.1094580000000001</v>
      </c>
      <c r="L6364">
        <v>-63.441650000000003</v>
      </c>
      <c r="M6364">
        <v>0.99974110000000005</v>
      </c>
      <c r="N6364">
        <v>0</v>
      </c>
      <c r="O6364">
        <v>2.1206180000000002E-2</v>
      </c>
      <c r="P6364">
        <v>0.99942470000000005</v>
      </c>
      <c r="Q6364">
        <v>-3.3912749999999998E-2</v>
      </c>
      <c r="R6364">
        <v>-6.7549479999999996E-4</v>
      </c>
      <c r="S6364">
        <v>2.9979399999999998</v>
      </c>
      <c r="T6364">
        <v>-0.1227038</v>
      </c>
      <c r="U6364">
        <v>0.36593629999999999</v>
      </c>
      <c r="V6364">
        <v>2.1869130000000001E-2</v>
      </c>
      <c r="W6364">
        <v>-2.5675369999999999E-2</v>
      </c>
      <c r="X6364">
        <v>0.99943110000000002</v>
      </c>
      <c r="Y6364">
        <v>-0.1000204</v>
      </c>
      <c r="Z6364">
        <v>1.174383E-3</v>
      </c>
      <c r="AA6364">
        <v>0.99498470000000006</v>
      </c>
      <c r="AB6364">
        <v>21</v>
      </c>
      <c r="AC6364">
        <v>26.993200000000002</v>
      </c>
      <c r="AD6364">
        <v>-1.1094602943680001</v>
      </c>
      <c r="AE6364">
        <v>3.3062999999999998</v>
      </c>
      <c r="AF6364">
        <v>-2.72857298059792</v>
      </c>
      <c r="AG6364">
        <v>-1.1094602943680001</v>
      </c>
      <c r="AH6364">
        <v>27.012287639433001</v>
      </c>
      <c r="AI6364">
        <v>92.340060207283699</v>
      </c>
      <c r="AJ6364">
        <v>95.768012941847005</v>
      </c>
      <c r="AK6364">
        <v>27.172406889539499</v>
      </c>
      <c r="AL6364">
        <v>91.471252010994704</v>
      </c>
      <c r="AM6364">
        <v>88.746477944912201</v>
      </c>
      <c r="AN6364">
        <v>1.0000000035594001</v>
      </c>
    </row>
    <row r="6365" spans="1:40" x14ac:dyDescent="0.25">
      <c r="A6365" t="str">
        <f>"20190312161144790"</f>
        <v>20190312161144790</v>
      </c>
      <c r="B6365" t="str">
        <f>"1552378304783306"</f>
        <v>1552378304783306</v>
      </c>
      <c r="C6365" t="s">
        <v>40</v>
      </c>
      <c r="D6365">
        <v>4.9256929999999999</v>
      </c>
      <c r="E6365">
        <v>0.46032400000000001</v>
      </c>
      <c r="F6365" t="s">
        <v>78</v>
      </c>
      <c r="G6365">
        <v>-206.00819999999999</v>
      </c>
      <c r="H6365" s="1">
        <v>-2.60816E-6</v>
      </c>
      <c r="I6365">
        <v>-60.010460000000002</v>
      </c>
      <c r="J6365">
        <v>-232.81829999999999</v>
      </c>
      <c r="K6365">
        <v>1.1094649999999999</v>
      </c>
      <c r="L6365">
        <v>-63.428379999999997</v>
      </c>
      <c r="M6365">
        <v>0.99974039999999997</v>
      </c>
      <c r="N6365">
        <v>0</v>
      </c>
      <c r="O6365">
        <v>2.1217719999999999E-2</v>
      </c>
      <c r="P6365">
        <v>0.99941210000000003</v>
      </c>
      <c r="Q6365">
        <v>-3.4284389999999998E-2</v>
      </c>
      <c r="R6365">
        <v>2.068421E-4</v>
      </c>
      <c r="S6365">
        <v>2.9978790000000002</v>
      </c>
      <c r="T6365">
        <v>-0.1212348</v>
      </c>
      <c r="U6365">
        <v>0.37493900000000002</v>
      </c>
      <c r="V6365">
        <v>2.09984E-2</v>
      </c>
      <c r="W6365">
        <v>-2.5986140000000001E-2</v>
      </c>
      <c r="X6365">
        <v>0.99944169999999999</v>
      </c>
      <c r="Y6365">
        <v>-0.10295319999999999</v>
      </c>
      <c r="Z6365">
        <v>1.218734E-3</v>
      </c>
      <c r="AA6365">
        <v>0.9946855</v>
      </c>
      <c r="AB6365">
        <v>22</v>
      </c>
      <c r="AC6365">
        <v>26.810099999999998</v>
      </c>
      <c r="AD6365">
        <v>-1.1094676081599999</v>
      </c>
      <c r="AE6365">
        <v>3.4179200000000001</v>
      </c>
      <c r="AF6365">
        <v>-2.8434900763373299</v>
      </c>
      <c r="AG6365">
        <v>-1.1094676081599999</v>
      </c>
      <c r="AH6365">
        <v>26.8313729681498</v>
      </c>
      <c r="AI6365">
        <v>92.3546403970645</v>
      </c>
      <c r="AJ6365">
        <v>96.049416142489505</v>
      </c>
      <c r="AK6365">
        <v>27.004424258697799</v>
      </c>
      <c r="AL6365">
        <v>91.489063825561402</v>
      </c>
      <c r="AM6365">
        <v>88.796385307779701</v>
      </c>
      <c r="AN6365">
        <v>0.99999996198677399</v>
      </c>
    </row>
    <row r="6366" spans="1:40" x14ac:dyDescent="0.25">
      <c r="A6366" t="str">
        <f>"20190312161144799"</f>
        <v>20190312161144799</v>
      </c>
      <c r="B6366" t="str">
        <f>"1552378304794038"</f>
        <v>1552378304794038</v>
      </c>
      <c r="C6366" t="s">
        <v>40</v>
      </c>
      <c r="D6366">
        <v>5.4449110000000003</v>
      </c>
      <c r="E6366">
        <v>0.46032400000000001</v>
      </c>
      <c r="F6366" t="s">
        <v>107</v>
      </c>
      <c r="G6366">
        <v>-230.179</v>
      </c>
      <c r="H6366" s="1">
        <v>2.1079379999999999E-7</v>
      </c>
      <c r="I6366">
        <v>-63.109459999999999</v>
      </c>
      <c r="J6366">
        <v>-232.7097</v>
      </c>
      <c r="K6366">
        <v>1.1094649999999999</v>
      </c>
      <c r="L6366">
        <v>-63.426090000000002</v>
      </c>
      <c r="M6366">
        <v>0.99974030000000003</v>
      </c>
      <c r="N6366">
        <v>0</v>
      </c>
      <c r="O6366">
        <v>2.1219709999999999E-2</v>
      </c>
      <c r="P6366">
        <v>0.99940790000000002</v>
      </c>
      <c r="Q6366">
        <v>-3.4403789999999997E-2</v>
      </c>
      <c r="R6366">
        <v>5.8004650000000003E-4</v>
      </c>
      <c r="S6366">
        <v>2.959015</v>
      </c>
      <c r="T6366">
        <v>-1.2438689999999999</v>
      </c>
      <c r="U6366">
        <v>0.35748289999999999</v>
      </c>
      <c r="V6366">
        <v>2.062696E-2</v>
      </c>
      <c r="W6366">
        <v>-2.6095610000000002E-2</v>
      </c>
      <c r="X6366">
        <v>0.99944659999999996</v>
      </c>
      <c r="Y6366">
        <v>-9.2860529999999997E-2</v>
      </c>
      <c r="Z6366">
        <v>1.0137E-2</v>
      </c>
      <c r="AA6366">
        <v>0.9956275</v>
      </c>
      <c r="AB6366">
        <v>22</v>
      </c>
      <c r="AC6366">
        <v>2.5306999999999902</v>
      </c>
      <c r="AD6366">
        <v>-1.1094647892062</v>
      </c>
      <c r="AE6366">
        <v>0.31663000000000302</v>
      </c>
      <c r="AF6366">
        <v>-0.22102971308923</v>
      </c>
      <c r="AG6366">
        <v>-1.1094647892062</v>
      </c>
      <c r="AH6366">
        <v>2.1331785178671598</v>
      </c>
      <c r="AI6366">
        <v>117.353868990636</v>
      </c>
      <c r="AJ6366">
        <v>95.915603583404106</v>
      </c>
      <c r="AK6366">
        <v>2.4145841964293999</v>
      </c>
      <c r="AL6366">
        <v>91.495338096644005</v>
      </c>
      <c r="AM6366">
        <v>88.817675705099504</v>
      </c>
      <c r="AN6366">
        <v>0.99999997929583595</v>
      </c>
    </row>
    <row r="6367" spans="1:40" x14ac:dyDescent="0.25">
      <c r="A6367" t="str">
        <f>"20190312161144811"</f>
        <v>20190312161144811</v>
      </c>
      <c r="B6367" t="str">
        <f>"1552378304803799"</f>
        <v>1552378304803799</v>
      </c>
      <c r="C6367" t="s">
        <v>40</v>
      </c>
      <c r="D6367">
        <v>5.9079240000000004</v>
      </c>
      <c r="E6367">
        <v>0.46139469999999999</v>
      </c>
      <c r="F6367" t="s">
        <v>42</v>
      </c>
      <c r="G6367">
        <v>-232.0453</v>
      </c>
      <c r="H6367">
        <v>0.83008559999999998</v>
      </c>
      <c r="I6367">
        <v>-63.345799999999997</v>
      </c>
      <c r="J6367">
        <v>-232.6046</v>
      </c>
      <c r="K6367">
        <v>1.1094649999999999</v>
      </c>
      <c r="L6367">
        <v>-63.423830000000002</v>
      </c>
      <c r="M6367">
        <v>0.99974019999999997</v>
      </c>
      <c r="N6367">
        <v>0</v>
      </c>
      <c r="O6367">
        <v>2.1221690000000001E-2</v>
      </c>
      <c r="P6367">
        <v>0.99941670000000005</v>
      </c>
      <c r="Q6367">
        <v>-3.4147160000000003E-2</v>
      </c>
      <c r="R6367">
        <v>5.7179439999999995E-4</v>
      </c>
      <c r="S6367">
        <v>2.9587249999999998</v>
      </c>
      <c r="T6367">
        <v>-1.2443660000000001</v>
      </c>
      <c r="U6367">
        <v>0.35800169999999998</v>
      </c>
      <c r="V6367">
        <v>2.0637490000000001E-2</v>
      </c>
      <c r="W6367">
        <v>-2.5828429999999999E-2</v>
      </c>
      <c r="X6367">
        <v>0.99945340000000005</v>
      </c>
      <c r="Y6367">
        <v>-9.3023259999999997E-2</v>
      </c>
      <c r="Z6367">
        <v>1.017348E-2</v>
      </c>
      <c r="AA6367">
        <v>0.99561200000000005</v>
      </c>
      <c r="AB6367">
        <v>22</v>
      </c>
      <c r="AC6367">
        <v>0.55930000000000701</v>
      </c>
      <c r="AD6367">
        <v>-0.279379399999999</v>
      </c>
      <c r="AE6367">
        <v>7.8030000000005303E-2</v>
      </c>
      <c r="AF6367">
        <v>-5.3137248063251298E-2</v>
      </c>
      <c r="AG6367">
        <v>-0.279379399999999</v>
      </c>
      <c r="AH6367">
        <v>0.450555434649896</v>
      </c>
      <c r="AI6367">
        <v>121.625170038162</v>
      </c>
      <c r="AJ6367">
        <v>96.726233380868194</v>
      </c>
      <c r="AK6367">
        <v>0.53280072819831303</v>
      </c>
      <c r="AL6367">
        <v>91.480024534241295</v>
      </c>
      <c r="AM6367">
        <v>88.817080349642893</v>
      </c>
      <c r="AN6367">
        <v>1.0000000562806599</v>
      </c>
    </row>
    <row r="6368" spans="1:40" x14ac:dyDescent="0.25">
      <c r="A6368" t="str">
        <f>"20190312161144822"</f>
        <v>20190312161144822</v>
      </c>
      <c r="B6368" t="str">
        <f>"1552378304813559"</f>
        <v>1552378304813559</v>
      </c>
      <c r="C6368" t="s">
        <v>40</v>
      </c>
      <c r="D6368">
        <v>5.7459680000000004</v>
      </c>
      <c r="E6368">
        <v>0.4574281</v>
      </c>
      <c r="F6368" t="s">
        <v>42</v>
      </c>
      <c r="G6368">
        <v>-231.8168</v>
      </c>
      <c r="H6368">
        <v>0.91033120000000001</v>
      </c>
      <c r="I6368">
        <v>-63.335850000000001</v>
      </c>
      <c r="J6368">
        <v>-232.49799999999999</v>
      </c>
      <c r="K6368">
        <v>1.1094660000000001</v>
      </c>
      <c r="L6368">
        <v>-63.421570000000003</v>
      </c>
      <c r="M6368">
        <v>0.99973999999999996</v>
      </c>
      <c r="N6368">
        <v>0</v>
      </c>
      <c r="O6368">
        <v>2.1223789999999999E-2</v>
      </c>
      <c r="P6368">
        <v>0.99940739999999995</v>
      </c>
      <c r="Q6368">
        <v>-3.4412900000000003E-2</v>
      </c>
      <c r="R6368">
        <v>8.4556649999999905E-4</v>
      </c>
      <c r="S6368">
        <v>2.975876</v>
      </c>
      <c r="T6368">
        <v>-0.75224530000000001</v>
      </c>
      <c r="U6368">
        <v>0.33255000000000001</v>
      </c>
      <c r="V6368">
        <v>2.0365620000000001E-2</v>
      </c>
      <c r="W6368">
        <v>-2.6083140000000001E-2</v>
      </c>
      <c r="X6368">
        <v>0.99945229999999996</v>
      </c>
      <c r="Y6368">
        <v>-8.7869470000000005E-2</v>
      </c>
      <c r="Z6368">
        <v>5.6369139999999998E-3</v>
      </c>
      <c r="AA6368">
        <v>0.996116</v>
      </c>
      <c r="AB6368">
        <v>22</v>
      </c>
      <c r="AC6368">
        <v>0.68119999999998904</v>
      </c>
      <c r="AD6368">
        <v>-0.1991348</v>
      </c>
      <c r="AE6368">
        <v>8.5719999999994897E-2</v>
      </c>
      <c r="AF6368">
        <v>-6.5714361674804697E-2</v>
      </c>
      <c r="AG6368">
        <v>-0.1991348</v>
      </c>
      <c r="AH6368">
        <v>0.62987782832601702</v>
      </c>
      <c r="AI6368">
        <v>107.455319663099</v>
      </c>
      <c r="AJ6368">
        <v>95.956049473424002</v>
      </c>
      <c r="AK6368">
        <v>0.66386679727040598</v>
      </c>
      <c r="AL6368">
        <v>91.494623352513003</v>
      </c>
      <c r="AM6368">
        <v>88.832658032528499</v>
      </c>
      <c r="AN6368">
        <v>0.99999999432276598</v>
      </c>
    </row>
    <row r="6369" spans="1:40" x14ac:dyDescent="0.25">
      <c r="A6369" t="str">
        <f>"20190312161144834"</f>
        <v>20190312161144834</v>
      </c>
      <c r="B6369" t="str">
        <f>"1552378304823319"</f>
        <v>1552378304823319</v>
      </c>
      <c r="C6369" t="s">
        <v>40</v>
      </c>
      <c r="D6369">
        <v>5.7458359999999997</v>
      </c>
      <c r="E6369">
        <v>0.45507649999999999</v>
      </c>
      <c r="F6369" t="s">
        <v>42</v>
      </c>
      <c r="G6369">
        <v>-231.7996</v>
      </c>
      <c r="H6369">
        <v>0.9507215</v>
      </c>
      <c r="I6369">
        <v>-63.336649999999999</v>
      </c>
      <c r="J6369">
        <v>-232.3904</v>
      </c>
      <c r="K6369">
        <v>1.1094679999999999</v>
      </c>
      <c r="L6369">
        <v>-63.419280000000001</v>
      </c>
      <c r="M6369">
        <v>0.99973979999999996</v>
      </c>
      <c r="N6369">
        <v>0</v>
      </c>
      <c r="O6369">
        <v>2.12257E-2</v>
      </c>
      <c r="P6369">
        <v>0.99941570000000002</v>
      </c>
      <c r="Q6369">
        <v>-3.4166389999999998E-2</v>
      </c>
      <c r="R6369">
        <v>9.7070480000000002E-4</v>
      </c>
      <c r="S6369">
        <v>2.9781650000000002</v>
      </c>
      <c r="T6369">
        <v>-0.67694880000000002</v>
      </c>
      <c r="U6369">
        <v>0.36236570000000001</v>
      </c>
      <c r="V6369">
        <v>2.0242670000000001E-2</v>
      </c>
      <c r="W6369">
        <v>-2.5823780000000001E-2</v>
      </c>
      <c r="X6369">
        <v>0.9994615</v>
      </c>
      <c r="Y6369">
        <v>-9.7762169999999995E-2</v>
      </c>
      <c r="Z6369">
        <v>6.1866630000000002E-3</v>
      </c>
      <c r="AA6369">
        <v>0.99519060000000004</v>
      </c>
      <c r="AB6369">
        <v>22</v>
      </c>
      <c r="AC6369">
        <v>0.59080000000000099</v>
      </c>
      <c r="AD6369">
        <v>-0.15874650000000001</v>
      </c>
      <c r="AE6369">
        <v>8.2630000000008794E-2</v>
      </c>
      <c r="AF6369">
        <v>-6.54370000046645E-2</v>
      </c>
      <c r="AG6369">
        <v>-0.15874650000000001</v>
      </c>
      <c r="AH6369">
        <v>0.55324387487774196</v>
      </c>
      <c r="AI6369">
        <v>105.90497450006301</v>
      </c>
      <c r="AJ6369">
        <v>96.745533936021701</v>
      </c>
      <c r="AK6369">
        <v>0.57927647744544097</v>
      </c>
      <c r="AL6369">
        <v>91.479758160059006</v>
      </c>
      <c r="AM6369">
        <v>88.8397141788287</v>
      </c>
      <c r="AN6369">
        <v>0.99999996164223204</v>
      </c>
    </row>
    <row r="6370" spans="1:40" x14ac:dyDescent="0.25">
      <c r="A6370" t="str">
        <f>"20190312161144855"</f>
        <v>20190312161144855</v>
      </c>
      <c r="B6370" t="str">
        <f>"1552378304843815"</f>
        <v>1552378304843815</v>
      </c>
      <c r="C6370" t="s">
        <v>40</v>
      </c>
      <c r="D6370">
        <v>6.0416850000000002</v>
      </c>
      <c r="E6370">
        <v>0.45737509999999998</v>
      </c>
      <c r="F6370" t="s">
        <v>42</v>
      </c>
      <c r="G6370">
        <v>-231.60329999999999</v>
      </c>
      <c r="H6370">
        <v>0.9533085</v>
      </c>
      <c r="I6370">
        <v>-63.31944</v>
      </c>
      <c r="J6370">
        <v>-232.1739</v>
      </c>
      <c r="K6370">
        <v>1.1094729999999999</v>
      </c>
      <c r="L6370">
        <v>-63.414670000000001</v>
      </c>
      <c r="M6370">
        <v>0.99973959999999995</v>
      </c>
      <c r="N6370">
        <v>0</v>
      </c>
      <c r="O6370">
        <v>2.122976E-2</v>
      </c>
      <c r="P6370">
        <v>0.99943749999999998</v>
      </c>
      <c r="Q6370">
        <v>-3.3525810000000003E-2</v>
      </c>
      <c r="R6370">
        <v>9.569871E-4</v>
      </c>
      <c r="S6370">
        <v>2.9811860000000001</v>
      </c>
      <c r="T6370">
        <v>-0.59138440000000003</v>
      </c>
      <c r="U6370">
        <v>0.37869259999999999</v>
      </c>
      <c r="V6370">
        <v>2.0260980000000001E-2</v>
      </c>
      <c r="W6370">
        <v>-2.515595E-2</v>
      </c>
      <c r="X6370">
        <v>0.99947819999999998</v>
      </c>
      <c r="Y6370">
        <v>-0.1033512</v>
      </c>
      <c r="Z6370">
        <v>5.9595510000000004E-3</v>
      </c>
      <c r="AA6370">
        <v>0.99462709999999999</v>
      </c>
      <c r="AB6370">
        <v>22</v>
      </c>
      <c r="AC6370">
        <v>0.57060000000001299</v>
      </c>
      <c r="AD6370">
        <v>-0.15616450000000001</v>
      </c>
      <c r="AE6370">
        <v>9.5229999999993695E-2</v>
      </c>
      <c r="AF6370">
        <v>-7.7450332132307897E-2</v>
      </c>
      <c r="AG6370">
        <v>-0.15616450000000001</v>
      </c>
      <c r="AH6370">
        <v>0.53360732649009601</v>
      </c>
      <c r="AI6370">
        <v>106.15224486860799</v>
      </c>
      <c r="AJ6370">
        <v>98.2585130129779</v>
      </c>
      <c r="AK6370">
        <v>0.561357892873666</v>
      </c>
      <c r="AL6370">
        <v>91.441481824422198</v>
      </c>
      <c r="AM6370">
        <v>88.838684357762403</v>
      </c>
      <c r="AN6370">
        <v>1.0000000007031</v>
      </c>
    </row>
    <row r="6371" spans="1:40" x14ac:dyDescent="0.25">
      <c r="A6371" t="str">
        <f>"20190312161144867"</f>
        <v>20190312161144867</v>
      </c>
      <c r="B6371" t="str">
        <f>"1552378304863336"</f>
        <v>1552378304863336</v>
      </c>
      <c r="C6371" t="s">
        <v>40</v>
      </c>
      <c r="D6371">
        <v>5.6886380000000001</v>
      </c>
      <c r="E6371">
        <v>0.45590849999999999</v>
      </c>
      <c r="F6371" t="s">
        <v>42</v>
      </c>
      <c r="G6371">
        <v>-231.4006</v>
      </c>
      <c r="H6371">
        <v>0.97156929999999997</v>
      </c>
      <c r="I6371">
        <v>-63.32188</v>
      </c>
      <c r="J6371">
        <v>-232.0617</v>
      </c>
      <c r="K6371">
        <v>1.1094759999999999</v>
      </c>
      <c r="L6371">
        <v>-63.412289999999999</v>
      </c>
      <c r="M6371">
        <v>0.99973939999999994</v>
      </c>
      <c r="N6371">
        <v>0</v>
      </c>
      <c r="O6371">
        <v>2.1231900000000001E-2</v>
      </c>
      <c r="P6371">
        <v>0.99944719999999998</v>
      </c>
      <c r="Q6371">
        <v>-3.3242679999999997E-2</v>
      </c>
      <c r="R6371">
        <v>7.9458999999999997E-4</v>
      </c>
      <c r="S6371">
        <v>2.9835210000000001</v>
      </c>
      <c r="T6371">
        <v>-0.53207469999999901</v>
      </c>
      <c r="U6371">
        <v>0.35839840000000001</v>
      </c>
      <c r="V6371">
        <v>2.042559E-2</v>
      </c>
      <c r="W6371">
        <v>-2.4858330000000001E-2</v>
      </c>
      <c r="X6371">
        <v>0.99948230000000005</v>
      </c>
      <c r="Y6371">
        <v>-9.6983009999999994E-2</v>
      </c>
      <c r="Z6371">
        <v>4.8077520000000002E-3</v>
      </c>
      <c r="AA6371">
        <v>0.9952744</v>
      </c>
      <c r="AB6371">
        <v>22</v>
      </c>
      <c r="AC6371">
        <v>0.66110000000000402</v>
      </c>
      <c r="AD6371">
        <v>-0.13790669999999999</v>
      </c>
      <c r="AE6371">
        <v>9.0409999999998505E-2</v>
      </c>
      <c r="AF6371">
        <v>-7.3224853433469198E-2</v>
      </c>
      <c r="AG6371">
        <v>-0.13790669999999999</v>
      </c>
      <c r="AH6371">
        <v>0.635715478680146</v>
      </c>
      <c r="AI6371">
        <v>102.161619058498</v>
      </c>
      <c r="AJ6371">
        <v>96.570654526123406</v>
      </c>
      <c r="AK6371">
        <v>0.65461004185604299</v>
      </c>
      <c r="AL6371">
        <v>91.424424114429797</v>
      </c>
      <c r="AM6371">
        <v>88.829256684530094</v>
      </c>
      <c r="AN6371">
        <v>1.00000000465526</v>
      </c>
    </row>
    <row r="6372" spans="1:40" x14ac:dyDescent="0.25">
      <c r="A6372" t="str">
        <f>"20190312161144878"</f>
        <v>20190312161144878</v>
      </c>
      <c r="B6372" t="str">
        <f>"1552378304873095"</f>
        <v>1552378304873095</v>
      </c>
      <c r="C6372" t="s">
        <v>40</v>
      </c>
      <c r="D6372">
        <v>5.85893</v>
      </c>
      <c r="E6372">
        <v>0.45574779999999998</v>
      </c>
      <c r="F6372" t="s">
        <v>106</v>
      </c>
      <c r="G6372">
        <v>-224.86969999999999</v>
      </c>
      <c r="H6372" s="1">
        <v>-1.6839920000000001E-6</v>
      </c>
      <c r="I6372">
        <v>-62.5282699999999</v>
      </c>
      <c r="J6372">
        <v>-231.9503</v>
      </c>
      <c r="K6372">
        <v>1.1094790000000001</v>
      </c>
      <c r="L6372">
        <v>-63.409910000000004</v>
      </c>
      <c r="M6372">
        <v>0.9997393</v>
      </c>
      <c r="N6372">
        <v>0</v>
      </c>
      <c r="O6372">
        <v>2.123398E-2</v>
      </c>
      <c r="P6372">
        <v>0.99945899999999999</v>
      </c>
      <c r="Q6372">
        <v>-3.2883509999999998E-2</v>
      </c>
      <c r="R6372">
        <v>5.8235049999999999E-4</v>
      </c>
      <c r="S6372">
        <v>2.9860530000000001</v>
      </c>
      <c r="T6372">
        <v>-0.46063959999999998</v>
      </c>
      <c r="U6372">
        <v>0.3670349</v>
      </c>
      <c r="V6372">
        <v>2.0640439999999999E-2</v>
      </c>
      <c r="W6372">
        <v>-2.4484769999999999E-2</v>
      </c>
      <c r="X6372">
        <v>0.99948709999999996</v>
      </c>
      <c r="Y6372">
        <v>-9.9977549999999998E-2</v>
      </c>
      <c r="Z6372">
        <v>4.394612E-3</v>
      </c>
      <c r="AA6372">
        <v>0.99497999999999998</v>
      </c>
      <c r="AB6372">
        <v>22</v>
      </c>
      <c r="AC6372">
        <v>7.0805999999999996</v>
      </c>
      <c r="AD6372">
        <v>-1.1094806839919999</v>
      </c>
      <c r="AE6372">
        <v>0.88164000000000398</v>
      </c>
      <c r="AF6372">
        <v>-0.71382776713350005</v>
      </c>
      <c r="AG6372">
        <v>-1.1094806839919999</v>
      </c>
      <c r="AH6372">
        <v>6.9301682398194302</v>
      </c>
      <c r="AI6372">
        <v>99.048471478559193</v>
      </c>
      <c r="AJ6372">
        <v>95.880894788663795</v>
      </c>
      <c r="AK6372">
        <v>7.0546246747423798</v>
      </c>
      <c r="AL6372">
        <v>91.403014196249899</v>
      </c>
      <c r="AM6372">
        <v>88.816951185952107</v>
      </c>
      <c r="AN6372">
        <v>0.99999999739587797</v>
      </c>
    </row>
    <row r="6373" spans="1:40" x14ac:dyDescent="0.25">
      <c r="A6373" t="str">
        <f>"20190312161144890"</f>
        <v>20190312161144890</v>
      </c>
      <c r="B6373" t="str">
        <f>"1552378304883831"</f>
        <v>1552378304883831</v>
      </c>
      <c r="C6373" t="s">
        <v>40</v>
      </c>
      <c r="D6373">
        <v>6.1233490000000002</v>
      </c>
      <c r="E6373">
        <v>0.45556819999999998</v>
      </c>
      <c r="F6373" t="s">
        <v>106</v>
      </c>
      <c r="G6373">
        <v>-224.21960000000001</v>
      </c>
      <c r="H6373" s="1">
        <v>-1.390223E-6</v>
      </c>
      <c r="I6373">
        <v>-62.461269999999899</v>
      </c>
      <c r="J6373">
        <v>-231.83779999999999</v>
      </c>
      <c r="K6373">
        <v>1.1094809999999999</v>
      </c>
      <c r="L6373">
        <v>-63.407530000000001</v>
      </c>
      <c r="M6373">
        <v>0.99973909999999999</v>
      </c>
      <c r="N6373">
        <v>0</v>
      </c>
      <c r="O6373">
        <v>2.1236250000000002E-2</v>
      </c>
      <c r="P6373">
        <v>0.99946860000000004</v>
      </c>
      <c r="Q6373">
        <v>-3.2595300000000001E-2</v>
      </c>
      <c r="R6373">
        <v>3.5286999999999997E-4</v>
      </c>
      <c r="S6373">
        <v>2.9873050000000001</v>
      </c>
      <c r="T6373">
        <v>-0.42872710000000003</v>
      </c>
      <c r="U6373">
        <v>0.36657709999999999</v>
      </c>
      <c r="V6373">
        <v>2.0872109999999999E-2</v>
      </c>
      <c r="W6373">
        <v>-2.4182430000000001E-2</v>
      </c>
      <c r="X6373">
        <v>0.99948970000000004</v>
      </c>
      <c r="Y6373">
        <v>-9.9898150000000005E-2</v>
      </c>
      <c r="Z6373">
        <v>4.0857080000000004E-3</v>
      </c>
      <c r="AA6373">
        <v>0.99498929999999997</v>
      </c>
      <c r="AB6373">
        <v>22</v>
      </c>
      <c r="AC6373">
        <v>7.6181999999999697</v>
      </c>
      <c r="AD6373">
        <v>-1.109482390223</v>
      </c>
      <c r="AE6373">
        <v>0.94626000000000898</v>
      </c>
      <c r="AF6373">
        <v>-0.76821280670310699</v>
      </c>
      <c r="AG6373">
        <v>-1.109482390223</v>
      </c>
      <c r="AH6373">
        <v>7.4803320131259099</v>
      </c>
      <c r="AI6373">
        <v>98.393089893128803</v>
      </c>
      <c r="AJ6373">
        <v>95.8635877147087</v>
      </c>
      <c r="AK6373">
        <v>7.6010834173289998</v>
      </c>
      <c r="AL6373">
        <v>91.385686189604598</v>
      </c>
      <c r="AM6373">
        <v>88.803679497275098</v>
      </c>
      <c r="AN6373">
        <v>1.00000004765132</v>
      </c>
    </row>
    <row r="6374" spans="1:40" x14ac:dyDescent="0.25">
      <c r="A6374" t="str">
        <f>"20190312161144901"</f>
        <v>20190312161144901</v>
      </c>
      <c r="B6374" t="str">
        <f>"1552378304893593"</f>
        <v>1552378304893593</v>
      </c>
      <c r="C6374" t="s">
        <v>40</v>
      </c>
      <c r="D6374">
        <v>5.8151359999999999</v>
      </c>
      <c r="E6374">
        <v>0.45614500000000002</v>
      </c>
      <c r="F6374" t="s">
        <v>106</v>
      </c>
      <c r="G6374">
        <v>-223.5761</v>
      </c>
      <c r="H6374" s="1">
        <v>-1.0993190000000001E-6</v>
      </c>
      <c r="I6374">
        <v>-62.394509999999997</v>
      </c>
      <c r="J6374">
        <v>-231.72980000000001</v>
      </c>
      <c r="K6374">
        <v>1.1094839999999999</v>
      </c>
      <c r="L6374">
        <v>-63.405239999999999</v>
      </c>
      <c r="M6374">
        <v>0.99973900000000004</v>
      </c>
      <c r="N6374">
        <v>0</v>
      </c>
      <c r="O6374">
        <v>2.1238219999999999E-2</v>
      </c>
      <c r="P6374">
        <v>0.99947989999999998</v>
      </c>
      <c r="Q6374">
        <v>-3.224892E-2</v>
      </c>
      <c r="R6374">
        <v>1.0280930000000001E-4</v>
      </c>
      <c r="S6374">
        <v>2.9883730000000002</v>
      </c>
      <c r="T6374">
        <v>-0.40131519999999998</v>
      </c>
      <c r="U6374">
        <v>0.36642459999999999</v>
      </c>
      <c r="V6374">
        <v>2.1124480000000001E-2</v>
      </c>
      <c r="W6374">
        <v>-2.382275E-2</v>
      </c>
      <c r="X6374">
        <v>0.99949299999999996</v>
      </c>
      <c r="Y6374">
        <v>-9.9901420000000005E-2</v>
      </c>
      <c r="Z6374">
        <v>3.825476E-3</v>
      </c>
      <c r="AA6374">
        <v>0.99499000000000004</v>
      </c>
      <c r="AB6374">
        <v>22</v>
      </c>
      <c r="AC6374">
        <v>8.1537000000000095</v>
      </c>
      <c r="AD6374">
        <v>-1.109485099319</v>
      </c>
      <c r="AE6374">
        <v>1.0107299999999999</v>
      </c>
      <c r="AF6374">
        <v>-0.82233042457397998</v>
      </c>
      <c r="AG6374">
        <v>-1.109485099319</v>
      </c>
      <c r="AH6374">
        <v>8.0269543827828898</v>
      </c>
      <c r="AI6374">
        <v>97.829091666176893</v>
      </c>
      <c r="AJ6374">
        <v>95.849324626610994</v>
      </c>
      <c r="AK6374">
        <v>8.14488681174074</v>
      </c>
      <c r="AL6374">
        <v>91.365072154100105</v>
      </c>
      <c r="AM6374">
        <v>88.789222757981804</v>
      </c>
      <c r="AN6374">
        <v>1.00000001206091</v>
      </c>
    </row>
    <row r="6375" spans="1:40" x14ac:dyDescent="0.25">
      <c r="A6375" t="str">
        <f>"20190312161144914"</f>
        <v>20190312161144914</v>
      </c>
      <c r="B6375" t="str">
        <f>"1552378304903351"</f>
        <v>1552378304903351</v>
      </c>
      <c r="C6375" t="s">
        <v>40</v>
      </c>
      <c r="D6375">
        <v>5.9057500000000003</v>
      </c>
      <c r="E6375">
        <v>0.45661600000000002</v>
      </c>
      <c r="F6375" t="s">
        <v>106</v>
      </c>
      <c r="G6375">
        <v>-223.22540000000001</v>
      </c>
      <c r="H6375" s="1">
        <v>-9.4540170000000001E-7</v>
      </c>
      <c r="I6375">
        <v>-62.378990000000002</v>
      </c>
      <c r="J6375">
        <v>-231.61099999999999</v>
      </c>
      <c r="K6375">
        <v>1.1094869999999999</v>
      </c>
      <c r="L6375">
        <v>-63.402679999999997</v>
      </c>
      <c r="M6375">
        <v>0.99973869999999998</v>
      </c>
      <c r="N6375">
        <v>0</v>
      </c>
      <c r="O6375">
        <v>2.124065E-2</v>
      </c>
      <c r="P6375">
        <v>0.99949410000000005</v>
      </c>
      <c r="Q6375">
        <v>-3.1808959999999997E-2</v>
      </c>
      <c r="R6375">
        <v>-2.111545E-4</v>
      </c>
      <c r="S6375">
        <v>2.988953</v>
      </c>
      <c r="T6375">
        <v>-0.38993860000000002</v>
      </c>
      <c r="U6375">
        <v>0.36068729999999999</v>
      </c>
      <c r="V6375">
        <v>2.144093E-2</v>
      </c>
      <c r="W6375">
        <v>-2.3367180000000001E-2</v>
      </c>
      <c r="X6375">
        <v>0.99949699999999997</v>
      </c>
      <c r="Y6375">
        <v>-9.8047709999999996E-2</v>
      </c>
      <c r="Z6375">
        <v>3.5973509999999999E-3</v>
      </c>
      <c r="AA6375">
        <v>0.99517520000000004</v>
      </c>
      <c r="AB6375">
        <v>22</v>
      </c>
      <c r="AC6375">
        <v>8.3855999999999806</v>
      </c>
      <c r="AD6375">
        <v>-1.1094879454016999</v>
      </c>
      <c r="AE6375">
        <v>1.02369</v>
      </c>
      <c r="AF6375">
        <v>-0.831003480365474</v>
      </c>
      <c r="AG6375">
        <v>-1.1094879454016999</v>
      </c>
      <c r="AH6375">
        <v>8.2629291300975396</v>
      </c>
      <c r="AI6375">
        <v>97.609600001518501</v>
      </c>
      <c r="AJ6375">
        <v>95.7429313410302</v>
      </c>
      <c r="AK6375">
        <v>8.3783965109312994</v>
      </c>
      <c r="AL6375">
        <v>91.338962668814702</v>
      </c>
      <c r="AM6375">
        <v>88.771095449492904</v>
      </c>
      <c r="AN6375">
        <v>0.999999995794708</v>
      </c>
    </row>
    <row r="6376" spans="1:40" x14ac:dyDescent="0.25">
      <c r="A6376" t="str">
        <f>"20190312161144955"</f>
        <v>20190312161144955</v>
      </c>
      <c r="B6376" t="str">
        <f>"1552378304943368"</f>
        <v>1552378304943368</v>
      </c>
      <c r="C6376" t="s">
        <v>40</v>
      </c>
      <c r="D6376">
        <v>5.9277170000000003</v>
      </c>
      <c r="E6376">
        <v>0.45692260000000001</v>
      </c>
      <c r="F6376" t="s">
        <v>106</v>
      </c>
      <c r="G6376">
        <v>-222.7774</v>
      </c>
      <c r="H6376" s="1">
        <v>-7.4729860000000003E-7</v>
      </c>
      <c r="I6376">
        <v>-62.352359999999997</v>
      </c>
      <c r="J6376">
        <v>-231.20490000000001</v>
      </c>
      <c r="K6376">
        <v>1.109499</v>
      </c>
      <c r="L6376">
        <v>-63.394039999999997</v>
      </c>
      <c r="M6376">
        <v>0.99973820000000002</v>
      </c>
      <c r="N6376">
        <v>0</v>
      </c>
      <c r="O6376">
        <v>2.124821E-2</v>
      </c>
      <c r="P6376">
        <v>0.99953029999999998</v>
      </c>
      <c r="Q6376">
        <v>-3.065522E-2</v>
      </c>
      <c r="R6376">
        <v>-2.9823870000000001E-4</v>
      </c>
      <c r="S6376">
        <v>2.9896389999999999</v>
      </c>
      <c r="T6376">
        <v>-0.37549250000000001</v>
      </c>
      <c r="U6376">
        <v>0.35546879999999997</v>
      </c>
      <c r="V6376">
        <v>2.1536389999999999E-2</v>
      </c>
      <c r="W6376">
        <v>-2.2153760000000002E-2</v>
      </c>
      <c r="X6376">
        <v>0.99952260000000004</v>
      </c>
      <c r="Y6376">
        <v>-9.6359979999999998E-2</v>
      </c>
      <c r="Z6376">
        <v>3.358537E-3</v>
      </c>
      <c r="AA6376">
        <v>0.99534089999999997</v>
      </c>
      <c r="AB6376">
        <v>22</v>
      </c>
      <c r="AC6376">
        <v>8.4275000000000002</v>
      </c>
      <c r="AD6376">
        <v>-1.1094997472985999</v>
      </c>
      <c r="AE6376">
        <v>1.0416799999999999</v>
      </c>
      <c r="AF6376">
        <v>-0.84789423177510703</v>
      </c>
      <c r="AG6376">
        <v>-1.1094997472985999</v>
      </c>
      <c r="AH6376">
        <v>8.3059369729096595</v>
      </c>
      <c r="AI6376">
        <v>97.569600237673995</v>
      </c>
      <c r="AJ6376">
        <v>95.828729060157798</v>
      </c>
      <c r="AK6376">
        <v>8.4224998257928707</v>
      </c>
      <c r="AL6376">
        <v>91.269420778095807</v>
      </c>
      <c r="AM6376">
        <v>88.765657375391996</v>
      </c>
      <c r="AN6376">
        <v>1.0000000165435601</v>
      </c>
    </row>
    <row r="6377" spans="1:40" x14ac:dyDescent="0.25">
      <c r="A6377" t="str">
        <f>"20190312161144968"</f>
        <v>20190312161144968</v>
      </c>
      <c r="B6377" t="str">
        <f>"1552378304963863"</f>
        <v>1552378304963863</v>
      </c>
      <c r="C6377" t="s">
        <v>40</v>
      </c>
      <c r="D6377">
        <v>5.7929909999999998</v>
      </c>
      <c r="E6377">
        <v>0.4571115</v>
      </c>
      <c r="F6377" t="s">
        <v>106</v>
      </c>
      <c r="G6377">
        <v>-221.73599999999999</v>
      </c>
      <c r="H6377" s="1">
        <v>-2.847135E-7</v>
      </c>
      <c r="I6377">
        <v>-62.281179999999999</v>
      </c>
      <c r="J6377">
        <v>-231.0684</v>
      </c>
      <c r="K6377">
        <v>1.109505</v>
      </c>
      <c r="L6377">
        <v>-63.39114</v>
      </c>
      <c r="M6377">
        <v>0.99973800000000002</v>
      </c>
      <c r="N6377">
        <v>0</v>
      </c>
      <c r="O6377">
        <v>2.12508E-2</v>
      </c>
      <c r="P6377">
        <v>0.99954200000000004</v>
      </c>
      <c r="Q6377">
        <v>-3.0267559999999999E-2</v>
      </c>
      <c r="R6377">
        <v>2.012025E-4</v>
      </c>
      <c r="S6377">
        <v>2.9907840000000001</v>
      </c>
      <c r="T6377">
        <v>-0.35043819999999998</v>
      </c>
      <c r="U6377">
        <v>0.35150150000000002</v>
      </c>
      <c r="V6377">
        <v>2.103998E-2</v>
      </c>
      <c r="W6377">
        <v>-2.1745009999999999E-2</v>
      </c>
      <c r="X6377">
        <v>0.99954209999999999</v>
      </c>
      <c r="Y6377">
        <v>-9.5094159999999997E-2</v>
      </c>
      <c r="Z6377">
        <v>3.0610949999999998E-3</v>
      </c>
      <c r="AA6377">
        <v>0.9954636</v>
      </c>
      <c r="AB6377">
        <v>22</v>
      </c>
      <c r="AC6377">
        <v>9.3323999999999998</v>
      </c>
      <c r="AD6377">
        <v>-1.1095052847135001</v>
      </c>
      <c r="AE6377">
        <v>1.1099599999999901</v>
      </c>
      <c r="AF6377">
        <v>-0.89885379413535005</v>
      </c>
      <c r="AG6377">
        <v>-1.1095052847135001</v>
      </c>
      <c r="AH6377">
        <v>9.2253069600260798</v>
      </c>
      <c r="AI6377">
        <v>96.825869840273995</v>
      </c>
      <c r="AJ6377">
        <v>95.564961831337698</v>
      </c>
      <c r="AK6377">
        <v>9.3351608784607691</v>
      </c>
      <c r="AL6377">
        <v>91.245995545460801</v>
      </c>
      <c r="AM6377">
        <v>88.794123774123506</v>
      </c>
      <c r="AN6377">
        <v>0.99999996794535395</v>
      </c>
    </row>
    <row r="6378" spans="1:40" x14ac:dyDescent="0.25">
      <c r="A6378" t="str">
        <f>"20190312161144980"</f>
        <v>20190312161144980</v>
      </c>
      <c r="B6378" t="str">
        <f>"1552378304973623"</f>
        <v>1552378304973623</v>
      </c>
      <c r="C6378" t="s">
        <v>40</v>
      </c>
      <c r="D6378">
        <v>5.9311870000000004</v>
      </c>
      <c r="E6378">
        <v>0.45730559999999998</v>
      </c>
      <c r="F6378" t="s">
        <v>106</v>
      </c>
      <c r="G6378">
        <v>-221.26159999999999</v>
      </c>
      <c r="H6378" s="1">
        <v>-7.2045339999999997E-8</v>
      </c>
      <c r="I6378">
        <v>-62.239879999999999</v>
      </c>
      <c r="J6378">
        <v>-230.94550000000001</v>
      </c>
      <c r="K6378">
        <v>1.1095079999999999</v>
      </c>
      <c r="L6378">
        <v>-63.3885199999999</v>
      </c>
      <c r="M6378">
        <v>0.99973769999999995</v>
      </c>
      <c r="N6378">
        <v>0</v>
      </c>
      <c r="O6378">
        <v>2.1253040000000001E-2</v>
      </c>
      <c r="P6378">
        <v>0.99954200000000004</v>
      </c>
      <c r="Q6378">
        <v>-3.0270109999999999E-2</v>
      </c>
      <c r="R6378">
        <v>3.7438720000000002E-4</v>
      </c>
      <c r="S6378">
        <v>2.9910580000000002</v>
      </c>
      <c r="T6378">
        <v>-0.33839809999999998</v>
      </c>
      <c r="U6378">
        <v>0.35113529999999998</v>
      </c>
      <c r="V6378">
        <v>2.0868910000000001E-2</v>
      </c>
      <c r="W6378">
        <v>-2.172899E-2</v>
      </c>
      <c r="X6378">
        <v>0.99954609999999999</v>
      </c>
      <c r="Y6378">
        <v>-9.4995330000000003E-2</v>
      </c>
      <c r="Z6378">
        <v>2.9505410000000001E-3</v>
      </c>
      <c r="AA6378">
        <v>0.99547330000000001</v>
      </c>
      <c r="AB6378">
        <v>22</v>
      </c>
      <c r="AC6378">
        <v>9.6839000000000208</v>
      </c>
      <c r="AD6378">
        <v>-1.1095080720453401</v>
      </c>
      <c r="AE6378">
        <v>1.1486399999999799</v>
      </c>
      <c r="AF6378">
        <v>-0.93051546078848502</v>
      </c>
      <c r="AG6378">
        <v>-1.1095080720453401</v>
      </c>
      <c r="AH6378">
        <v>9.5820880261292096</v>
      </c>
      <c r="AI6378">
        <v>96.574200953706296</v>
      </c>
      <c r="AJ6378">
        <v>95.546594751523898</v>
      </c>
      <c r="AK6378">
        <v>9.6908863436317798</v>
      </c>
      <c r="AL6378">
        <v>91.245077368836803</v>
      </c>
      <c r="AM6378">
        <v>88.803930330592706</v>
      </c>
      <c r="AN6378">
        <v>1.0000000332181</v>
      </c>
    </row>
    <row r="6379" spans="1:40" x14ac:dyDescent="0.25">
      <c r="A6379" t="str">
        <f>"20190312161145006"</f>
        <v>20190312161145006</v>
      </c>
      <c r="B6379" t="str">
        <f>"1552378304994120"</f>
        <v>1552378304994120</v>
      </c>
      <c r="C6379" t="s">
        <v>40</v>
      </c>
      <c r="D6379">
        <v>5.917421</v>
      </c>
      <c r="E6379">
        <v>0.45769070000000001</v>
      </c>
      <c r="F6379" t="s">
        <v>106</v>
      </c>
      <c r="G6379">
        <v>-221.14320000000001</v>
      </c>
      <c r="H6379" s="1">
        <v>-2.133794E-8</v>
      </c>
      <c r="I6379">
        <v>-62.240450000000003</v>
      </c>
      <c r="J6379">
        <v>-230.69730000000001</v>
      </c>
      <c r="K6379">
        <v>1.1095170000000001</v>
      </c>
      <c r="L6379">
        <v>-63.383240000000001</v>
      </c>
      <c r="M6379">
        <v>0.99973719999999999</v>
      </c>
      <c r="N6379">
        <v>0</v>
      </c>
      <c r="O6379">
        <v>2.1257890000000002E-2</v>
      </c>
      <c r="P6379">
        <v>0.99955170000000004</v>
      </c>
      <c r="Q6379">
        <v>-2.9933580000000001E-2</v>
      </c>
      <c r="R6379">
        <v>8.2218539999999896E-4</v>
      </c>
      <c r="S6379">
        <v>2.9909970000000001</v>
      </c>
      <c r="T6379">
        <v>-0.33854600000000001</v>
      </c>
      <c r="U6379">
        <v>0.35031129999999999</v>
      </c>
      <c r="V6379">
        <v>2.042646E-2</v>
      </c>
      <c r="W6379">
        <v>-2.1356750000000001E-2</v>
      </c>
      <c r="X6379">
        <v>0.99956319999999999</v>
      </c>
      <c r="Y6379">
        <v>-9.4723630000000003E-2</v>
      </c>
      <c r="Z6379">
        <v>2.9361050000000001E-3</v>
      </c>
      <c r="AA6379">
        <v>0.99549929999999998</v>
      </c>
      <c r="AB6379">
        <v>22</v>
      </c>
      <c r="AC6379">
        <v>9.5541</v>
      </c>
      <c r="AD6379">
        <v>-1.1095170213379399</v>
      </c>
      <c r="AE6379">
        <v>1.14278999999999</v>
      </c>
      <c r="AF6379">
        <v>-0.92709762513031702</v>
      </c>
      <c r="AG6379">
        <v>-1.1095170213379399</v>
      </c>
      <c r="AH6379">
        <v>9.4505807492669192</v>
      </c>
      <c r="AI6379">
        <v>96.664286538218903</v>
      </c>
      <c r="AJ6379">
        <v>95.602762745532004</v>
      </c>
      <c r="AK6379">
        <v>9.5605446772438398</v>
      </c>
      <c r="AL6379">
        <v>91.2237447139251</v>
      </c>
      <c r="AM6379">
        <v>88.829301564388899</v>
      </c>
      <c r="AN6379">
        <v>0.99999997091646597</v>
      </c>
    </row>
    <row r="6380" spans="1:40" x14ac:dyDescent="0.25">
      <c r="A6380" t="str">
        <f>"20190312161145020"</f>
        <v>20190312161145020</v>
      </c>
      <c r="B6380" t="str">
        <f>"1552378305013640"</f>
        <v>1552378305013640</v>
      </c>
      <c r="C6380" t="s">
        <v>40</v>
      </c>
      <c r="D6380">
        <v>5.8541629999999998</v>
      </c>
      <c r="E6380">
        <v>0.45807130000000001</v>
      </c>
      <c r="F6380" t="s">
        <v>106</v>
      </c>
      <c r="G6380">
        <v>-221.00659999999999</v>
      </c>
      <c r="H6380" s="1">
        <v>3.454142E-8</v>
      </c>
      <c r="I6380">
        <v>-62.25253</v>
      </c>
      <c r="J6380">
        <v>-230.55590000000001</v>
      </c>
      <c r="K6380">
        <v>1.1095189999999999</v>
      </c>
      <c r="L6380">
        <v>-63.380220000000001</v>
      </c>
      <c r="M6380">
        <v>0.99973699999999999</v>
      </c>
      <c r="N6380">
        <v>0</v>
      </c>
      <c r="O6380">
        <v>2.1260669999999999E-2</v>
      </c>
      <c r="P6380">
        <v>0.9995636</v>
      </c>
      <c r="Q6380">
        <v>-2.9519940000000001E-2</v>
      </c>
      <c r="R6380">
        <v>1.181391E-3</v>
      </c>
      <c r="S6380">
        <v>2.990799</v>
      </c>
      <c r="T6380">
        <v>-0.3424277</v>
      </c>
      <c r="U6380">
        <v>0.34896850000000001</v>
      </c>
      <c r="V6380">
        <v>2.0070290000000001E-2</v>
      </c>
      <c r="W6380">
        <v>-2.092395E-2</v>
      </c>
      <c r="X6380">
        <v>0.99957960000000001</v>
      </c>
      <c r="Y6380">
        <v>-9.4279710000000003E-2</v>
      </c>
      <c r="Z6380">
        <v>2.944262E-3</v>
      </c>
      <c r="AA6380">
        <v>0.99554140000000002</v>
      </c>
      <c r="AB6380">
        <v>22</v>
      </c>
      <c r="AC6380">
        <v>9.5493000000000094</v>
      </c>
      <c r="AD6380">
        <v>-1.10951896545858</v>
      </c>
      <c r="AE6380">
        <v>1.1276899999999801</v>
      </c>
      <c r="AF6380">
        <v>-0.91225718428560199</v>
      </c>
      <c r="AG6380">
        <v>-1.10951896545858</v>
      </c>
      <c r="AH6380">
        <v>9.4453612457470797</v>
      </c>
      <c r="AI6380">
        <v>96.668914307774699</v>
      </c>
      <c r="AJ6380">
        <v>95.516662123188496</v>
      </c>
      <c r="AK6380">
        <v>9.5539570109799996</v>
      </c>
      <c r="AL6380">
        <v>91.198941518724297</v>
      </c>
      <c r="AM6380">
        <v>88.849728012930399</v>
      </c>
      <c r="AN6380">
        <v>1.00000000248022</v>
      </c>
    </row>
    <row r="6381" spans="1:40" x14ac:dyDescent="0.25">
      <c r="A6381" t="str">
        <f>"20190312161145035"</f>
        <v>20190312161145035</v>
      </c>
      <c r="B6381" t="str">
        <f>"1552378305023400"</f>
        <v>1552378305023400</v>
      </c>
      <c r="C6381" t="s">
        <v>40</v>
      </c>
      <c r="D6381">
        <v>5.8794589999999998</v>
      </c>
      <c r="E6381">
        <v>0.45826640000000002</v>
      </c>
      <c r="F6381" t="s">
        <v>106</v>
      </c>
      <c r="G6381">
        <v>-220.85939999999999</v>
      </c>
      <c r="H6381" s="1">
        <v>9.7052920000000003E-8</v>
      </c>
      <c r="I6381">
        <v>-62.255540000000003</v>
      </c>
      <c r="J6381">
        <v>-230.41069999999999</v>
      </c>
      <c r="K6381">
        <v>1.1095200000000001</v>
      </c>
      <c r="L6381">
        <v>-63.377139999999997</v>
      </c>
      <c r="M6381">
        <v>0.99973679999999998</v>
      </c>
      <c r="N6381">
        <v>0</v>
      </c>
      <c r="O6381">
        <v>2.126339E-2</v>
      </c>
      <c r="P6381">
        <v>0.99956109999999998</v>
      </c>
      <c r="Q6381">
        <v>-2.958324E-2</v>
      </c>
      <c r="R6381">
        <v>1.6612210000000001E-3</v>
      </c>
      <c r="S6381">
        <v>2.9907840000000001</v>
      </c>
      <c r="T6381">
        <v>-0.34221780000000002</v>
      </c>
      <c r="U6381">
        <v>0.34689330000000002</v>
      </c>
      <c r="V6381">
        <v>1.959321E-2</v>
      </c>
      <c r="W6381">
        <v>-2.0968489999999999E-2</v>
      </c>
      <c r="X6381">
        <v>0.99958809999999998</v>
      </c>
      <c r="Y6381">
        <v>-9.3600909999999996E-2</v>
      </c>
      <c r="Z6381">
        <v>2.9037059999999998E-3</v>
      </c>
      <c r="AA6381">
        <v>0.99560559999999998</v>
      </c>
      <c r="AB6381">
        <v>22</v>
      </c>
      <c r="AC6381">
        <v>9.5512999999999906</v>
      </c>
      <c r="AD6381">
        <v>-1.1095199029470799</v>
      </c>
      <c r="AE6381">
        <v>1.1215999999999999</v>
      </c>
      <c r="AF6381">
        <v>-0.90618399880605105</v>
      </c>
      <c r="AG6381">
        <v>-1.1095199029470799</v>
      </c>
      <c r="AH6381">
        <v>9.4472418854566005</v>
      </c>
      <c r="AI6381">
        <v>96.668021502915593</v>
      </c>
      <c r="AJ6381">
        <v>95.479075991145393</v>
      </c>
      <c r="AK6381">
        <v>9.5552385159687798</v>
      </c>
      <c r="AL6381">
        <v>91.201494071111497</v>
      </c>
      <c r="AM6381">
        <v>88.877072965665803</v>
      </c>
      <c r="AN6381">
        <v>0.99999997055629597</v>
      </c>
    </row>
    <row r="6382" spans="1:40" x14ac:dyDescent="0.25">
      <c r="A6382" t="str">
        <f>"20190312161145046"</f>
        <v>20190312161145046</v>
      </c>
      <c r="B6382" t="str">
        <f>"1552378305043895"</f>
        <v>1552378305043895</v>
      </c>
      <c r="C6382" t="s">
        <v>40</v>
      </c>
      <c r="D6382">
        <v>5.8855230000000001</v>
      </c>
      <c r="E6382">
        <v>0.45834000000000003</v>
      </c>
      <c r="F6382" t="s">
        <v>106</v>
      </c>
      <c r="G6382">
        <v>-220.81039999999999</v>
      </c>
      <c r="H6382" s="1">
        <v>1.161105E-7</v>
      </c>
      <c r="I6382">
        <v>-62.264299999999999</v>
      </c>
      <c r="J6382">
        <v>-230.29320000000001</v>
      </c>
      <c r="K6382">
        <v>1.109518</v>
      </c>
      <c r="L6382">
        <v>-63.374630000000003</v>
      </c>
      <c r="M6382">
        <v>0.99973670000000003</v>
      </c>
      <c r="N6382">
        <v>0</v>
      </c>
      <c r="O6382">
        <v>2.126571E-2</v>
      </c>
      <c r="P6382">
        <v>0.99956460000000003</v>
      </c>
      <c r="Q6382">
        <v>-2.9449690000000001E-2</v>
      </c>
      <c r="R6382">
        <v>1.862559E-3</v>
      </c>
      <c r="S6382">
        <v>2.990494</v>
      </c>
      <c r="T6382">
        <v>-0.34561599999999998</v>
      </c>
      <c r="U6382">
        <v>0.34664919999999999</v>
      </c>
      <c r="V6382">
        <v>1.9394519999999998E-2</v>
      </c>
      <c r="W6382">
        <v>-2.082022E-2</v>
      </c>
      <c r="X6382">
        <v>0.99959509999999996</v>
      </c>
      <c r="Y6382">
        <v>-9.3520640000000002E-2</v>
      </c>
      <c r="Z6382">
        <v>2.9277700000000001E-3</v>
      </c>
      <c r="AA6382">
        <v>0.99561299999999997</v>
      </c>
      <c r="AB6382">
        <v>22</v>
      </c>
      <c r="AC6382">
        <v>9.4828000000000205</v>
      </c>
      <c r="AD6382">
        <v>-1.1095178838894999</v>
      </c>
      <c r="AE6382">
        <v>1.11033</v>
      </c>
      <c r="AF6382">
        <v>-0.89630863227735202</v>
      </c>
      <c r="AG6382">
        <v>-1.1095178838894999</v>
      </c>
      <c r="AH6382">
        <v>9.3776271043360708</v>
      </c>
      <c r="AI6382">
        <v>96.717274108119796</v>
      </c>
      <c r="AJ6382">
        <v>95.459714947545706</v>
      </c>
      <c r="AK6382">
        <v>9.4854778059380909</v>
      </c>
      <c r="AL6382">
        <v>91.192996939713595</v>
      </c>
      <c r="AM6382">
        <v>88.888465207315605</v>
      </c>
      <c r="AN6382">
        <v>0.99999999645544402</v>
      </c>
    </row>
    <row r="6383" spans="1:40" x14ac:dyDescent="0.25">
      <c r="A6383" t="str">
        <f>"20190312161145058"</f>
        <v>20190312161145058</v>
      </c>
      <c r="B6383" t="str">
        <f>"1552378305053655"</f>
        <v>1552378305053655</v>
      </c>
      <c r="C6383" t="s">
        <v>40</v>
      </c>
      <c r="D6383">
        <v>5.8964309999999998</v>
      </c>
      <c r="E6383">
        <v>0.45846940000000003</v>
      </c>
      <c r="F6383" t="s">
        <v>106</v>
      </c>
      <c r="G6383">
        <v>-220.6995</v>
      </c>
      <c r="H6383" s="1">
        <v>1.6414539999999999E-7</v>
      </c>
      <c r="I6383">
        <v>-62.262250000000002</v>
      </c>
      <c r="J6383">
        <v>-230.17580000000001</v>
      </c>
      <c r="K6383">
        <v>1.1095189999999999</v>
      </c>
      <c r="L6383">
        <v>-63.372129999999999</v>
      </c>
      <c r="M6383">
        <v>0.99973650000000003</v>
      </c>
      <c r="N6383">
        <v>0</v>
      </c>
      <c r="O6383">
        <v>2.1267970000000001E-2</v>
      </c>
      <c r="P6383">
        <v>0.99956009999999995</v>
      </c>
      <c r="Q6383">
        <v>-2.961022E-2</v>
      </c>
      <c r="R6383">
        <v>1.7613819999999999E-3</v>
      </c>
      <c r="S6383">
        <v>2.9904790000000001</v>
      </c>
      <c r="T6383">
        <v>-0.34584880000000001</v>
      </c>
      <c r="U6383">
        <v>0.34674070000000001</v>
      </c>
      <c r="V6383">
        <v>1.9497759999999999E-2</v>
      </c>
      <c r="W6383">
        <v>-2.0966889999999998E-2</v>
      </c>
      <c r="X6383">
        <v>0.99958999999999998</v>
      </c>
      <c r="Y6383">
        <v>-9.3548220000000001E-2</v>
      </c>
      <c r="Z6383">
        <v>2.9310640000000002E-3</v>
      </c>
      <c r="AA6383">
        <v>0.99561040000000001</v>
      </c>
      <c r="AB6383">
        <v>22</v>
      </c>
      <c r="AC6383">
        <v>9.4763000000000002</v>
      </c>
      <c r="AD6383">
        <v>-1.1095188358546</v>
      </c>
      <c r="AE6383">
        <v>1.10988</v>
      </c>
      <c r="AF6383">
        <v>-0.89596359126515202</v>
      </c>
      <c r="AG6383">
        <v>-1.1095188358546</v>
      </c>
      <c r="AH6383">
        <v>9.3710371296092596</v>
      </c>
      <c r="AI6383">
        <v>96.721941209140496</v>
      </c>
      <c r="AJ6383">
        <v>95.461440637628499</v>
      </c>
      <c r="AK6383">
        <v>9.4789303029668996</v>
      </c>
      <c r="AL6383">
        <v>91.201402377637805</v>
      </c>
      <c r="AM6383">
        <v>88.88254413384</v>
      </c>
      <c r="AN6383">
        <v>0.99999997061064405</v>
      </c>
    </row>
    <row r="6384" spans="1:40" x14ac:dyDescent="0.25">
      <c r="A6384" t="str">
        <f>"20190312161145069"</f>
        <v>20190312161145069</v>
      </c>
      <c r="B6384" t="str">
        <f>"1552378305063416"</f>
        <v>1552378305063416</v>
      </c>
      <c r="C6384" t="s">
        <v>40</v>
      </c>
      <c r="D6384">
        <v>5.835833</v>
      </c>
      <c r="E6384">
        <v>0.45868110000000001</v>
      </c>
      <c r="F6384" t="s">
        <v>106</v>
      </c>
      <c r="G6384">
        <v>-220.66069999999999</v>
      </c>
      <c r="H6384" s="1">
        <v>1.783345E-7</v>
      </c>
      <c r="I6384">
        <v>-62.273209999999999</v>
      </c>
      <c r="J6384">
        <v>-230.07069999999999</v>
      </c>
      <c r="K6384">
        <v>1.1095189999999999</v>
      </c>
      <c r="L6384">
        <v>-63.369900000000001</v>
      </c>
      <c r="M6384">
        <v>0.99973630000000002</v>
      </c>
      <c r="N6384">
        <v>0</v>
      </c>
      <c r="O6384">
        <v>2.127006E-2</v>
      </c>
      <c r="P6384">
        <v>0.99955919999999998</v>
      </c>
      <c r="Q6384">
        <v>-2.963998E-2</v>
      </c>
      <c r="R6384">
        <v>1.7489879999999999E-3</v>
      </c>
      <c r="S6384">
        <v>2.9903870000000001</v>
      </c>
      <c r="T6384">
        <v>-0.34869909999999998</v>
      </c>
      <c r="U6384">
        <v>0.34536739999999999</v>
      </c>
      <c r="V6384">
        <v>1.9512149999999999E-2</v>
      </c>
      <c r="W6384">
        <v>-2.0984590000000001E-2</v>
      </c>
      <c r="X6384">
        <v>0.99958939999999996</v>
      </c>
      <c r="Y6384">
        <v>-9.3093599999999999E-2</v>
      </c>
      <c r="Z6384">
        <v>2.928651E-3</v>
      </c>
      <c r="AA6384">
        <v>0.99565300000000001</v>
      </c>
      <c r="AB6384">
        <v>22</v>
      </c>
      <c r="AC6384">
        <v>9.4099999999999895</v>
      </c>
      <c r="AD6384">
        <v>-1.1095188216654901</v>
      </c>
      <c r="AE6384">
        <v>1.0966899999999999</v>
      </c>
      <c r="AF6384">
        <v>-0.88415593359797096</v>
      </c>
      <c r="AG6384">
        <v>-1.1095188216654901</v>
      </c>
      <c r="AH6384">
        <v>9.3035894875993694</v>
      </c>
      <c r="AI6384">
        <v>96.770586988810706</v>
      </c>
      <c r="AJ6384">
        <v>95.428734642722205</v>
      </c>
      <c r="AK6384">
        <v>9.4111392022600597</v>
      </c>
      <c r="AL6384">
        <v>91.202416673372099</v>
      </c>
      <c r="AM6384">
        <v>88.881718952258296</v>
      </c>
      <c r="AN6384">
        <v>1.00000002280372</v>
      </c>
    </row>
    <row r="6385" spans="1:40" x14ac:dyDescent="0.25">
      <c r="A6385" t="str">
        <f>"20190312161145091"</f>
        <v>20190312161145091</v>
      </c>
      <c r="B6385" t="str">
        <f>"1552378305083911"</f>
        <v>1552378305083911</v>
      </c>
      <c r="C6385" t="s">
        <v>40</v>
      </c>
      <c r="D6385">
        <v>5.9605499999999996</v>
      </c>
      <c r="E6385">
        <v>0.45870329999999898</v>
      </c>
      <c r="F6385" t="s">
        <v>106</v>
      </c>
      <c r="G6385">
        <v>-220.5737</v>
      </c>
      <c r="H6385" s="1">
        <v>2.145686E-7</v>
      </c>
      <c r="I6385">
        <v>-62.278190000000002</v>
      </c>
      <c r="J6385">
        <v>-229.84649999999999</v>
      </c>
      <c r="K6385">
        <v>1.109524</v>
      </c>
      <c r="L6385">
        <v>-63.365139999999997</v>
      </c>
      <c r="M6385">
        <v>0.99973599999999996</v>
      </c>
      <c r="N6385">
        <v>0</v>
      </c>
      <c r="O6385">
        <v>2.1274479999999998E-2</v>
      </c>
      <c r="P6385">
        <v>0.99955579999999999</v>
      </c>
      <c r="Q6385">
        <v>-2.9753990000000001E-2</v>
      </c>
      <c r="R6385">
        <v>1.7856250000000001E-3</v>
      </c>
      <c r="S6385">
        <v>2.9903409999999999</v>
      </c>
      <c r="T6385">
        <v>-0.34935579999999999</v>
      </c>
      <c r="U6385">
        <v>0.34375</v>
      </c>
      <c r="V6385">
        <v>1.9479719999999999E-2</v>
      </c>
      <c r="W6385">
        <v>-2.107442E-2</v>
      </c>
      <c r="X6385">
        <v>0.99958809999999998</v>
      </c>
      <c r="Y6385">
        <v>-9.2561180000000007E-2</v>
      </c>
      <c r="Z6385">
        <v>2.9028510000000001E-3</v>
      </c>
      <c r="AA6385">
        <v>0.99570270000000005</v>
      </c>
      <c r="AB6385">
        <v>22</v>
      </c>
      <c r="AC6385">
        <v>9.2727999999999895</v>
      </c>
      <c r="AD6385">
        <v>-1.1095237854314</v>
      </c>
      <c r="AE6385">
        <v>1.0869500000000001</v>
      </c>
      <c r="AF6385">
        <v>-0.87703622755555799</v>
      </c>
      <c r="AG6385">
        <v>-1.1095237854314</v>
      </c>
      <c r="AH6385">
        <v>9.1643981918748292</v>
      </c>
      <c r="AI6385">
        <v>96.872045909109701</v>
      </c>
      <c r="AJ6385">
        <v>95.466578761772396</v>
      </c>
      <c r="AK6385">
        <v>9.2728868101644402</v>
      </c>
      <c r="AL6385">
        <v>91.207564743081804</v>
      </c>
      <c r="AM6385">
        <v>88.883575659206997</v>
      </c>
      <c r="AN6385">
        <v>0.99999998016561198</v>
      </c>
    </row>
    <row r="6386" spans="1:40" x14ac:dyDescent="0.25">
      <c r="A6386" t="str">
        <f>"20190312161145102"</f>
        <v>20190312161145102</v>
      </c>
      <c r="B6386" t="str">
        <f>"1552378305093671"</f>
        <v>1552378305093671</v>
      </c>
      <c r="C6386" t="s">
        <v>40</v>
      </c>
      <c r="D6386">
        <v>5.8281549999999998</v>
      </c>
      <c r="E6386">
        <v>0.45876820000000001</v>
      </c>
      <c r="F6386" t="s">
        <v>106</v>
      </c>
      <c r="G6386">
        <v>-220.3005</v>
      </c>
      <c r="H6386" s="1">
        <v>3.3390840000000002E-7</v>
      </c>
      <c r="I6386">
        <v>-62.268590000000003</v>
      </c>
      <c r="J6386">
        <v>-229.7278</v>
      </c>
      <c r="K6386">
        <v>1.109524</v>
      </c>
      <c r="L6386">
        <v>-63.362580000000001</v>
      </c>
      <c r="M6386">
        <v>0.99973590000000001</v>
      </c>
      <c r="N6386">
        <v>0</v>
      </c>
      <c r="O6386">
        <v>2.1276570000000002E-2</v>
      </c>
      <c r="P6386">
        <v>0.9995617</v>
      </c>
      <c r="Q6386">
        <v>-2.953747E-2</v>
      </c>
      <c r="R6386">
        <v>2.0149740000000001E-3</v>
      </c>
      <c r="S6386">
        <v>2.9903870000000001</v>
      </c>
      <c r="T6386">
        <v>-0.3475684</v>
      </c>
      <c r="U6386">
        <v>0.34350589999999998</v>
      </c>
      <c r="V6386">
        <v>1.925286E-2</v>
      </c>
      <c r="W6386">
        <v>-2.084567E-2</v>
      </c>
      <c r="X6386">
        <v>0.99959730000000002</v>
      </c>
      <c r="Y6386">
        <v>-9.2482540000000002E-2</v>
      </c>
      <c r="Z6386">
        <v>2.8832860000000001E-3</v>
      </c>
      <c r="AA6386">
        <v>0.99571010000000004</v>
      </c>
      <c r="AB6386">
        <v>22</v>
      </c>
      <c r="AC6386">
        <v>9.4273000000000007</v>
      </c>
      <c r="AD6386">
        <v>-1.1095236660915999</v>
      </c>
      <c r="AE6386">
        <v>1.09398999999999</v>
      </c>
      <c r="AF6386">
        <v>-0.881111564881917</v>
      </c>
      <c r="AG6386">
        <v>-1.1095236660915999</v>
      </c>
      <c r="AH6386">
        <v>9.3210475670869801</v>
      </c>
      <c r="AI6386">
        <v>96.758369873628695</v>
      </c>
      <c r="AJ6386">
        <v>95.400080140824699</v>
      </c>
      <c r="AK6386">
        <v>9.4281137086526492</v>
      </c>
      <c r="AL6386">
        <v>91.194455443500601</v>
      </c>
      <c r="AM6386">
        <v>88.896584409735297</v>
      </c>
      <c r="AN6386">
        <v>0.99999998837160897</v>
      </c>
    </row>
    <row r="6387" spans="1:40" x14ac:dyDescent="0.25">
      <c r="A6387" t="str">
        <f>"20190312161145125"</f>
        <v>20190312161145125</v>
      </c>
      <c r="B6387" t="str">
        <f>"1552378305113191"</f>
        <v>1552378305113191</v>
      </c>
      <c r="C6387" t="s">
        <v>40</v>
      </c>
      <c r="D6387">
        <v>5.8294180000000004</v>
      </c>
      <c r="E6387">
        <v>0.45893309999999998</v>
      </c>
      <c r="F6387" t="s">
        <v>106</v>
      </c>
      <c r="G6387">
        <v>-220.08260000000001</v>
      </c>
      <c r="H6387" s="1">
        <v>4.3053700000000001E-7</v>
      </c>
      <c r="I6387">
        <v>-62.254460000000002</v>
      </c>
      <c r="J6387">
        <v>-229.50980000000001</v>
      </c>
      <c r="K6387">
        <v>1.1095269999999999</v>
      </c>
      <c r="L6387">
        <v>-63.357939999999999</v>
      </c>
      <c r="M6387">
        <v>0.9997355</v>
      </c>
      <c r="N6387">
        <v>0</v>
      </c>
      <c r="O6387">
        <v>2.1280830000000001E-2</v>
      </c>
      <c r="P6387">
        <v>0.9995655</v>
      </c>
      <c r="Q6387">
        <v>-2.9363190000000001E-2</v>
      </c>
      <c r="R6387">
        <v>2.5575870000000001E-3</v>
      </c>
      <c r="S6387">
        <v>2.9904480000000002</v>
      </c>
      <c r="T6387">
        <v>-0.34400269999999999</v>
      </c>
      <c r="U6387">
        <v>0.34356690000000001</v>
      </c>
      <c r="V6387">
        <v>1.8714809999999998E-2</v>
      </c>
      <c r="W6387">
        <v>-2.0650430000000001E-2</v>
      </c>
      <c r="X6387">
        <v>0.99961160000000004</v>
      </c>
      <c r="Y6387">
        <v>-9.2505569999999995E-2</v>
      </c>
      <c r="Z6387">
        <v>2.8546679999999999E-3</v>
      </c>
      <c r="AA6387">
        <v>0.99570800000000004</v>
      </c>
      <c r="AB6387">
        <v>22</v>
      </c>
      <c r="AC6387">
        <v>9.4271999999999991</v>
      </c>
      <c r="AD6387">
        <v>-1.1095265694630001</v>
      </c>
      <c r="AE6387">
        <v>1.10348</v>
      </c>
      <c r="AF6387">
        <v>-0.89043627381172896</v>
      </c>
      <c r="AG6387">
        <v>-1.1095265694630001</v>
      </c>
      <c r="AH6387">
        <v>9.3211777420417299</v>
      </c>
      <c r="AI6387">
        <v>96.757663909160499</v>
      </c>
      <c r="AJ6387">
        <v>95.456809688156198</v>
      </c>
      <c r="AK6387">
        <v>9.4291187533511405</v>
      </c>
      <c r="AL6387">
        <v>91.183266572201404</v>
      </c>
      <c r="AM6387">
        <v>88.927429043553502</v>
      </c>
      <c r="AN6387">
        <v>1.00000001761354</v>
      </c>
    </row>
    <row r="6388" spans="1:40" x14ac:dyDescent="0.25">
      <c r="A6388" t="str">
        <f>"20190312161145152"</f>
        <v>20190312161145152</v>
      </c>
      <c r="B6388" t="str">
        <f>"1552378305143447"</f>
        <v>1552378305143447</v>
      </c>
      <c r="C6388" t="s">
        <v>40</v>
      </c>
      <c r="D6388">
        <v>5.7755080000000003</v>
      </c>
      <c r="E6388">
        <v>0.4592098</v>
      </c>
      <c r="F6388" t="s">
        <v>110</v>
      </c>
      <c r="G6388">
        <v>-219.863</v>
      </c>
      <c r="H6388" s="1">
        <v>-3.5470009999999999E-6</v>
      </c>
      <c r="I6388">
        <v>-62.248939999999997</v>
      </c>
      <c r="J6388">
        <v>-229.2405</v>
      </c>
      <c r="K6388">
        <v>1.1095299999999999</v>
      </c>
      <c r="L6388">
        <v>-63.352170000000001</v>
      </c>
      <c r="M6388">
        <v>0.99973520000000005</v>
      </c>
      <c r="N6388">
        <v>0</v>
      </c>
      <c r="O6388">
        <v>2.1285910000000002E-2</v>
      </c>
      <c r="P6388">
        <v>0.99957039999999997</v>
      </c>
      <c r="Q6388">
        <v>-2.9122800000000001E-2</v>
      </c>
      <c r="R6388">
        <v>3.2815790000000002E-3</v>
      </c>
      <c r="S6388">
        <v>2.990326</v>
      </c>
      <c r="T6388">
        <v>-0.34393360000000001</v>
      </c>
      <c r="U6388">
        <v>0.34375</v>
      </c>
      <c r="V6388">
        <v>1.7996129999999999E-2</v>
      </c>
      <c r="W6388">
        <v>-2.03862E-2</v>
      </c>
      <c r="X6388">
        <v>0.99963020000000002</v>
      </c>
      <c r="Y6388">
        <v>-9.2565090000000003E-2</v>
      </c>
      <c r="Z6388">
        <v>2.8570230000000002E-3</v>
      </c>
      <c r="AA6388">
        <v>0.99570259999999999</v>
      </c>
      <c r="AB6388">
        <v>22</v>
      </c>
      <c r="AC6388">
        <v>9.3774999999999906</v>
      </c>
      <c r="AD6388">
        <v>-1.1095335470009999</v>
      </c>
      <c r="AE6388">
        <v>1.1032299999999799</v>
      </c>
      <c r="AF6388">
        <v>-0.89105984006201899</v>
      </c>
      <c r="AG6388">
        <v>-1.1095335470009999</v>
      </c>
      <c r="AH6388">
        <v>9.2708456500347598</v>
      </c>
      <c r="AI6388">
        <v>96.793677645179997</v>
      </c>
      <c r="AJ6388">
        <v>95.490073354264297</v>
      </c>
      <c r="AK6388">
        <v>9.3794259630992602</v>
      </c>
      <c r="AL6388">
        <v>91.168124144505697</v>
      </c>
      <c r="AM6388">
        <v>88.968627673828607</v>
      </c>
      <c r="AN6388">
        <v>0.99999999729872802</v>
      </c>
    </row>
    <row r="6389" spans="1:40" x14ac:dyDescent="0.25">
      <c r="A6389" t="str">
        <f>"20190312161145161"</f>
        <v>20190312161145161</v>
      </c>
      <c r="B6389" t="str">
        <f>"1552378305153207"</f>
        <v>1552378305153207</v>
      </c>
      <c r="C6389" t="s">
        <v>40</v>
      </c>
      <c r="D6389">
        <v>5.7662269999999998</v>
      </c>
      <c r="E6389">
        <v>0.45937280000000003</v>
      </c>
      <c r="F6389" t="s">
        <v>110</v>
      </c>
      <c r="G6389">
        <v>-219.57480000000001</v>
      </c>
      <c r="H6389" s="1">
        <v>-3.447569E-6</v>
      </c>
      <c r="I6389">
        <v>-62.241340000000001</v>
      </c>
      <c r="J6389">
        <v>-229.131</v>
      </c>
      <c r="K6389">
        <v>1.1095280000000001</v>
      </c>
      <c r="L6389">
        <v>-63.349850000000004</v>
      </c>
      <c r="M6389">
        <v>0.99973520000000005</v>
      </c>
      <c r="N6389">
        <v>0</v>
      </c>
      <c r="O6389">
        <v>2.1287839999999999E-2</v>
      </c>
      <c r="P6389">
        <v>0.9995636</v>
      </c>
      <c r="Q6389">
        <v>-2.9369650000000001E-2</v>
      </c>
      <c r="R6389">
        <v>3.185546E-3</v>
      </c>
      <c r="S6389">
        <v>2.990173</v>
      </c>
      <c r="T6389">
        <v>-0.34324539999999998</v>
      </c>
      <c r="U6389">
        <v>0.34362789999999999</v>
      </c>
      <c r="V6389">
        <v>1.8093910000000001E-2</v>
      </c>
      <c r="W6389">
        <v>-2.0623949999999999E-2</v>
      </c>
      <c r="X6389">
        <v>0.9996235</v>
      </c>
      <c r="Y6389">
        <v>-9.2530829999999994E-2</v>
      </c>
      <c r="Z6389">
        <v>2.8493210000000001E-3</v>
      </c>
      <c r="AA6389">
        <v>0.99570570000000003</v>
      </c>
      <c r="AB6389">
        <v>23</v>
      </c>
      <c r="AC6389">
        <v>9.5561999999999596</v>
      </c>
      <c r="AD6389">
        <v>-1.1095314475689999</v>
      </c>
      <c r="AE6389">
        <v>1.1085100000000001</v>
      </c>
      <c r="AF6389">
        <v>-0.89294258816750405</v>
      </c>
      <c r="AG6389">
        <v>-1.1095314475689999</v>
      </c>
      <c r="AH6389">
        <v>9.4519074552184801</v>
      </c>
      <c r="AI6389">
        <v>96.665730927880503</v>
      </c>
      <c r="AJ6389">
        <v>95.396841361697</v>
      </c>
      <c r="AK6389">
        <v>9.5586066474629305</v>
      </c>
      <c r="AL6389">
        <v>91.181749149335602</v>
      </c>
      <c r="AM6389">
        <v>88.963018096847094</v>
      </c>
      <c r="AN6389">
        <v>0.999999939322468</v>
      </c>
    </row>
    <row r="6390" spans="1:40" x14ac:dyDescent="0.25">
      <c r="A6390" t="str">
        <f>"20190312161145172"</f>
        <v>20190312161145172</v>
      </c>
      <c r="B6390" t="str">
        <f>"1552378305163943"</f>
        <v>1552378305163943</v>
      </c>
      <c r="C6390" t="s">
        <v>40</v>
      </c>
      <c r="D6390">
        <v>5.7441240000000002</v>
      </c>
      <c r="E6390">
        <v>0.45955819999999997</v>
      </c>
      <c r="F6390" t="s">
        <v>110</v>
      </c>
      <c r="G6390">
        <v>-219.4513</v>
      </c>
      <c r="H6390" s="1">
        <v>-3.4057810000000002E-6</v>
      </c>
      <c r="I6390">
        <v>-62.242739999999998</v>
      </c>
      <c r="J6390">
        <v>-229.0213</v>
      </c>
      <c r="K6390">
        <v>1.109531</v>
      </c>
      <c r="L6390">
        <v>-63.347499999999997</v>
      </c>
      <c r="M6390">
        <v>0.99973500000000004</v>
      </c>
      <c r="N6390">
        <v>0</v>
      </c>
      <c r="O6390">
        <v>2.1290010000000002E-2</v>
      </c>
      <c r="P6390">
        <v>0.99956149999999999</v>
      </c>
      <c r="Q6390">
        <v>-2.942109E-2</v>
      </c>
      <c r="R6390">
        <v>3.3508819999999999E-3</v>
      </c>
      <c r="S6390">
        <v>2.9901580000000001</v>
      </c>
      <c r="T6390">
        <v>-0.34274510000000002</v>
      </c>
      <c r="U6390">
        <v>0.34198000000000001</v>
      </c>
      <c r="V6390">
        <v>1.793078E-2</v>
      </c>
      <c r="W6390">
        <v>-2.0666609999999998E-2</v>
      </c>
      <c r="X6390">
        <v>0.9996256</v>
      </c>
      <c r="Y6390">
        <v>-9.1992389999999993E-2</v>
      </c>
      <c r="Z6390">
        <v>2.8143869999999998E-3</v>
      </c>
      <c r="AA6390">
        <v>0.99575570000000002</v>
      </c>
      <c r="AB6390">
        <v>23</v>
      </c>
      <c r="AC6390">
        <v>9.5699999999999896</v>
      </c>
      <c r="AD6390">
        <v>-1.1095344057809999</v>
      </c>
      <c r="AE6390">
        <v>1.10475999999999</v>
      </c>
      <c r="AF6390">
        <v>-0.88896423228105204</v>
      </c>
      <c r="AG6390">
        <v>-1.1095344057809999</v>
      </c>
      <c r="AH6390">
        <v>9.46578798278642</v>
      </c>
      <c r="AI6390">
        <v>96.656405894016203</v>
      </c>
      <c r="AJ6390">
        <v>95.365104859602198</v>
      </c>
      <c r="AK6390">
        <v>9.5719625019611598</v>
      </c>
      <c r="AL6390">
        <v>91.184193859253497</v>
      </c>
      <c r="AM6390">
        <v>88.972367401144197</v>
      </c>
      <c r="AN6390">
        <v>0.99999998090783004</v>
      </c>
    </row>
    <row r="6391" spans="1:40" x14ac:dyDescent="0.25">
      <c r="A6391" t="str">
        <f>"20190312161145183"</f>
        <v>20190312161145183</v>
      </c>
      <c r="B6391" t="str">
        <f>"1552378305173704"</f>
        <v>1552378305173704</v>
      </c>
      <c r="C6391" t="s">
        <v>40</v>
      </c>
      <c r="D6391">
        <v>5.7325780000000002</v>
      </c>
      <c r="E6391">
        <v>0.459731</v>
      </c>
      <c r="F6391" t="s">
        <v>110</v>
      </c>
      <c r="G6391">
        <v>-219.32329999999999</v>
      </c>
      <c r="H6391" s="1">
        <v>-3.3619630000000002E-6</v>
      </c>
      <c r="I6391">
        <v>-62.241340000000001</v>
      </c>
      <c r="J6391">
        <v>-228.91839999999999</v>
      </c>
      <c r="K6391">
        <v>1.109532</v>
      </c>
      <c r="L6391">
        <v>-63.34534</v>
      </c>
      <c r="M6391">
        <v>0.99973500000000004</v>
      </c>
      <c r="N6391">
        <v>0</v>
      </c>
      <c r="O6391">
        <v>2.129176E-2</v>
      </c>
      <c r="P6391">
        <v>0.99956409999999996</v>
      </c>
      <c r="Q6391">
        <v>-2.9349299999999998E-2</v>
      </c>
      <c r="R6391">
        <v>3.2789389999999998E-3</v>
      </c>
      <c r="S6391">
        <v>2.990097</v>
      </c>
      <c r="T6391">
        <v>-0.34209079999999997</v>
      </c>
      <c r="U6391">
        <v>0.3410339</v>
      </c>
      <c r="V6391">
        <v>1.80044E-2</v>
      </c>
      <c r="W6391">
        <v>-2.058668E-2</v>
      </c>
      <c r="X6391">
        <v>0.99962589999999996</v>
      </c>
      <c r="Y6391">
        <v>-9.1685649999999994E-2</v>
      </c>
      <c r="Z6391">
        <v>2.7915209999999999E-3</v>
      </c>
      <c r="AA6391">
        <v>0.99578409999999995</v>
      </c>
      <c r="AB6391">
        <v>23</v>
      </c>
      <c r="AC6391">
        <v>9.5951000000000004</v>
      </c>
      <c r="AD6391">
        <v>-1.109535361963</v>
      </c>
      <c r="AE6391">
        <v>1.1039999999999901</v>
      </c>
      <c r="AF6391">
        <v>-0.88773004311439296</v>
      </c>
      <c r="AG6391">
        <v>-1.109535361963</v>
      </c>
      <c r="AH6391">
        <v>9.4911776457002599</v>
      </c>
      <c r="AI6391">
        <v>96.638997360229197</v>
      </c>
      <c r="AJ6391">
        <v>95.343450409781994</v>
      </c>
      <c r="AK6391">
        <v>9.5969571454255505</v>
      </c>
      <c r="AL6391">
        <v>91.179613263676501</v>
      </c>
      <c r="AM6391">
        <v>88.968149378451201</v>
      </c>
      <c r="AN6391">
        <v>0.99999995488179505</v>
      </c>
    </row>
    <row r="6392" spans="1:40" x14ac:dyDescent="0.25">
      <c r="A6392" t="str">
        <f>"20190312161145195"</f>
        <v>20190312161145195</v>
      </c>
      <c r="B6392" t="str">
        <f>"1552378305183465"</f>
        <v>1552378305183465</v>
      </c>
      <c r="C6392" t="s">
        <v>40</v>
      </c>
      <c r="D6392">
        <v>5.7017879999999996</v>
      </c>
      <c r="E6392">
        <v>0.459841</v>
      </c>
      <c r="F6392" t="s">
        <v>110</v>
      </c>
      <c r="G6392">
        <v>-219.17400000000001</v>
      </c>
      <c r="H6392" s="1">
        <v>-3.310817E-6</v>
      </c>
      <c r="I6392">
        <v>-62.23939</v>
      </c>
      <c r="J6392">
        <v>-228.80340000000001</v>
      </c>
      <c r="K6392">
        <v>1.1095330000000001</v>
      </c>
      <c r="L6392">
        <v>-63.3429</v>
      </c>
      <c r="M6392">
        <v>0.99973480000000003</v>
      </c>
      <c r="N6392">
        <v>0</v>
      </c>
      <c r="O6392">
        <v>2.129404E-2</v>
      </c>
      <c r="P6392">
        <v>0.9995638</v>
      </c>
      <c r="Q6392">
        <v>-2.9359050000000001E-2</v>
      </c>
      <c r="R6392">
        <v>3.2846429999999999E-3</v>
      </c>
      <c r="S6392">
        <v>2.990189</v>
      </c>
      <c r="T6392">
        <v>-0.34047450000000001</v>
      </c>
      <c r="U6392">
        <v>0.33935549999999998</v>
      </c>
      <c r="V6392">
        <v>1.800098E-2</v>
      </c>
      <c r="W6392">
        <v>-2.058778E-2</v>
      </c>
      <c r="X6392">
        <v>0.99962600000000001</v>
      </c>
      <c r="Y6392">
        <v>-9.1135859999999999E-2</v>
      </c>
      <c r="Z6392">
        <v>2.7470559999999999E-3</v>
      </c>
      <c r="AA6392">
        <v>0.99583469999999996</v>
      </c>
      <c r="AB6392">
        <v>23</v>
      </c>
      <c r="AC6392">
        <v>9.6294000000000004</v>
      </c>
      <c r="AD6392">
        <v>-1.109536310817</v>
      </c>
      <c r="AE6392">
        <v>1.10351</v>
      </c>
      <c r="AF6392">
        <v>-0.88658486169710204</v>
      </c>
      <c r="AG6392">
        <v>-1.109536310817</v>
      </c>
      <c r="AH6392">
        <v>9.5258841993391208</v>
      </c>
      <c r="AI6392">
        <v>96.615308815540303</v>
      </c>
      <c r="AJ6392">
        <v>95.317265442462499</v>
      </c>
      <c r="AK6392">
        <v>9.6311771513782602</v>
      </c>
      <c r="AL6392">
        <v>91.179676230380295</v>
      </c>
      <c r="AM6392">
        <v>88.968345442973799</v>
      </c>
      <c r="AN6392">
        <v>1.00000001592114</v>
      </c>
    </row>
    <row r="6393" spans="1:40" x14ac:dyDescent="0.25">
      <c r="A6393" t="str">
        <f>"20190312161145205"</f>
        <v>20190312161145205</v>
      </c>
      <c r="B6393" t="str">
        <f>"1552378305193223"</f>
        <v>1552378305193223</v>
      </c>
      <c r="C6393" t="s">
        <v>40</v>
      </c>
      <c r="D6393">
        <v>5.725625</v>
      </c>
      <c r="E6393">
        <v>0.45996049999999999</v>
      </c>
      <c r="F6393" t="s">
        <v>110</v>
      </c>
      <c r="G6393">
        <v>-219.02</v>
      </c>
      <c r="H6393" s="1">
        <v>-3.2577289999999999E-6</v>
      </c>
      <c r="I6393">
        <v>-62.235529999999997</v>
      </c>
      <c r="J6393">
        <v>-228.69470000000001</v>
      </c>
      <c r="K6393">
        <v>1.109532</v>
      </c>
      <c r="L6393">
        <v>-63.340580000000003</v>
      </c>
      <c r="M6393">
        <v>0.99973480000000003</v>
      </c>
      <c r="N6393">
        <v>0</v>
      </c>
      <c r="O6393">
        <v>2.1296209999999999E-2</v>
      </c>
      <c r="P6393">
        <v>0.99957039999999997</v>
      </c>
      <c r="Q6393">
        <v>-2.912151E-2</v>
      </c>
      <c r="R6393">
        <v>3.4035530000000001E-3</v>
      </c>
      <c r="S6393">
        <v>2.9902340000000001</v>
      </c>
      <c r="T6393">
        <v>-0.33912160000000002</v>
      </c>
      <c r="U6393">
        <v>0.33843990000000002</v>
      </c>
      <c r="V6393">
        <v>1.7884359999999998E-2</v>
      </c>
      <c r="W6393">
        <v>-2.034211E-2</v>
      </c>
      <c r="X6393">
        <v>0.99963310000000005</v>
      </c>
      <c r="Y6393">
        <v>-9.083637E-2</v>
      </c>
      <c r="Z6393">
        <v>2.7190930000000001E-3</v>
      </c>
      <c r="AA6393">
        <v>0.99586209999999997</v>
      </c>
      <c r="AB6393">
        <v>23</v>
      </c>
      <c r="AC6393">
        <v>9.6746999999999996</v>
      </c>
      <c r="AD6393">
        <v>-1.1095352577290001</v>
      </c>
      <c r="AE6393">
        <v>1.1050499999999901</v>
      </c>
      <c r="AF6393">
        <v>-0.88723792622810005</v>
      </c>
      <c r="AG6393">
        <v>-1.1095352577290001</v>
      </c>
      <c r="AH6393">
        <v>9.5717689014769505</v>
      </c>
      <c r="AI6393">
        <v>96.584096674853299</v>
      </c>
      <c r="AJ6393">
        <v>95.295796752351805</v>
      </c>
      <c r="AK6393">
        <v>9.67662232027077</v>
      </c>
      <c r="AL6393">
        <v>91.165597454402402</v>
      </c>
      <c r="AM6393">
        <v>88.975034902268405</v>
      </c>
      <c r="AN6393">
        <v>0.999999993193735</v>
      </c>
    </row>
    <row r="6394" spans="1:40" x14ac:dyDescent="0.25">
      <c r="A6394" t="str">
        <f>"20190312161145215"</f>
        <v>20190312161145215</v>
      </c>
      <c r="B6394" t="str">
        <f>"1552378305203960"</f>
        <v>1552378305203960</v>
      </c>
      <c r="C6394" t="s">
        <v>40</v>
      </c>
      <c r="D6394">
        <v>5.6714630000000001</v>
      </c>
      <c r="E6394">
        <v>0.46009660000000002</v>
      </c>
      <c r="F6394" t="s">
        <v>110</v>
      </c>
      <c r="G6394">
        <v>-218.87860000000001</v>
      </c>
      <c r="H6394" s="1">
        <v>-3.2089720000000002E-6</v>
      </c>
      <c r="I6394">
        <v>-62.231830000000002</v>
      </c>
      <c r="J6394">
        <v>-228.58840000000001</v>
      </c>
      <c r="K6394">
        <v>1.109534</v>
      </c>
      <c r="L6394">
        <v>-63.338290000000001</v>
      </c>
      <c r="M6394">
        <v>0.99973460000000003</v>
      </c>
      <c r="N6394">
        <v>0</v>
      </c>
      <c r="O6394">
        <v>2.1298319999999999E-2</v>
      </c>
      <c r="P6394">
        <v>0.99957549999999995</v>
      </c>
      <c r="Q6394">
        <v>-2.8933420000000001E-2</v>
      </c>
      <c r="R6394">
        <v>3.4848079999999998E-3</v>
      </c>
      <c r="S6394">
        <v>2.9902799999999998</v>
      </c>
      <c r="T6394">
        <v>-0.3379973</v>
      </c>
      <c r="U6394">
        <v>0.33773799999999998</v>
      </c>
      <c r="V6394">
        <v>1.7805250000000002E-2</v>
      </c>
      <c r="W6394">
        <v>-2.0146589999999999E-2</v>
      </c>
      <c r="X6394">
        <v>0.99963849999999999</v>
      </c>
      <c r="Y6394">
        <v>-9.0606130000000007E-2</v>
      </c>
      <c r="Z6394">
        <v>2.6969590000000001E-3</v>
      </c>
      <c r="AA6394">
        <v>0.99588319999999997</v>
      </c>
      <c r="AB6394">
        <v>23</v>
      </c>
      <c r="AC6394">
        <v>9.7097999999999995</v>
      </c>
      <c r="AD6394">
        <v>-1.1095372089719999</v>
      </c>
      <c r="AE6394">
        <v>1.10645999999999</v>
      </c>
      <c r="AF6394">
        <v>-0.88795269736467397</v>
      </c>
      <c r="AG6394">
        <v>-1.1095372089719999</v>
      </c>
      <c r="AH6394">
        <v>9.6073235234525605</v>
      </c>
      <c r="AI6394">
        <v>96.560114884982696</v>
      </c>
      <c r="AJ6394">
        <v>95.280535622415698</v>
      </c>
      <c r="AK6394">
        <v>9.7118586323697809</v>
      </c>
      <c r="AL6394">
        <v>91.154392654709994</v>
      </c>
      <c r="AM6394">
        <v>88.979573301691602</v>
      </c>
      <c r="AN6394">
        <v>1.0000000213492199</v>
      </c>
    </row>
    <row r="6395" spans="1:40" x14ac:dyDescent="0.25">
      <c r="A6395" t="str">
        <f>"20190312161145226"</f>
        <v>20190312161145226</v>
      </c>
      <c r="B6395" t="str">
        <f>"1552378305223479"</f>
        <v>1552378305223479</v>
      </c>
      <c r="C6395" t="s">
        <v>40</v>
      </c>
      <c r="D6395">
        <v>5.6621379999999997</v>
      </c>
      <c r="E6395">
        <v>0.46026660000000003</v>
      </c>
      <c r="F6395" t="s">
        <v>110</v>
      </c>
      <c r="G6395">
        <v>-218.7236</v>
      </c>
      <c r="H6395" s="1">
        <v>-3.1553699999999999E-6</v>
      </c>
      <c r="I6395">
        <v>-62.22719</v>
      </c>
      <c r="J6395">
        <v>-228.4853</v>
      </c>
      <c r="K6395">
        <v>1.1095269999999999</v>
      </c>
      <c r="L6395">
        <v>-63.336060000000003</v>
      </c>
      <c r="M6395">
        <v>0.99973449999999997</v>
      </c>
      <c r="N6395">
        <v>0</v>
      </c>
      <c r="O6395">
        <v>2.1300320000000001E-2</v>
      </c>
      <c r="P6395">
        <v>0.99958320000000001</v>
      </c>
      <c r="Q6395">
        <v>-2.8675249999999999E-2</v>
      </c>
      <c r="R6395">
        <v>3.3642120000000001E-3</v>
      </c>
      <c r="S6395">
        <v>2.9903559999999998</v>
      </c>
      <c r="T6395">
        <v>-0.336337099999999</v>
      </c>
      <c r="U6395">
        <v>0.33679199999999998</v>
      </c>
      <c r="V6395">
        <v>1.7928139999999999E-2</v>
      </c>
      <c r="W6395">
        <v>-1.9881300000000001E-2</v>
      </c>
      <c r="X6395">
        <v>0.99964160000000002</v>
      </c>
      <c r="Y6395">
        <v>-9.0296390000000004E-2</v>
      </c>
      <c r="Z6395">
        <v>2.6662389999999999E-3</v>
      </c>
      <c r="AA6395">
        <v>0.9959114</v>
      </c>
      <c r="AB6395">
        <v>23</v>
      </c>
      <c r="AC6395">
        <v>9.7616999999999905</v>
      </c>
      <c r="AD6395">
        <v>-1.1095301553700001</v>
      </c>
      <c r="AE6395">
        <v>1.10886999999999</v>
      </c>
      <c r="AF6395">
        <v>-0.88934006284115197</v>
      </c>
      <c r="AG6395">
        <v>-1.1095301553700001</v>
      </c>
      <c r="AH6395">
        <v>9.6598993327193892</v>
      </c>
      <c r="AI6395">
        <v>96.524890474623604</v>
      </c>
      <c r="AJ6395">
        <v>95.2601163029546</v>
      </c>
      <c r="AK6395">
        <v>9.7639970315092892</v>
      </c>
      <c r="AL6395">
        <v>91.139189629552106</v>
      </c>
      <c r="AM6395">
        <v>88.972535112061095</v>
      </c>
      <c r="AN6395">
        <v>1.00000000637205</v>
      </c>
    </row>
    <row r="6396" spans="1:40" x14ac:dyDescent="0.25">
      <c r="A6396" t="str">
        <f>"20190312161145237"</f>
        <v>20190312161145237</v>
      </c>
      <c r="B6396" t="str">
        <f>"1552378305233239"</f>
        <v>1552378305233239</v>
      </c>
      <c r="C6396" t="s">
        <v>40</v>
      </c>
      <c r="D6396">
        <v>5.6310409999999997</v>
      </c>
      <c r="E6396">
        <v>0.46032990000000001</v>
      </c>
      <c r="F6396" t="s">
        <v>110</v>
      </c>
      <c r="G6396">
        <v>-218.54589999999999</v>
      </c>
      <c r="H6396" s="1">
        <v>-3.0941129999999999E-6</v>
      </c>
      <c r="I6396">
        <v>-62.222630000000002</v>
      </c>
      <c r="J6396">
        <v>-228.37280000000001</v>
      </c>
      <c r="K6396">
        <v>1.1095299999999999</v>
      </c>
      <c r="L6396">
        <v>-63.333680000000001</v>
      </c>
      <c r="M6396">
        <v>0.99973429999999996</v>
      </c>
      <c r="N6396">
        <v>0</v>
      </c>
      <c r="O6396">
        <v>2.1302430000000001E-2</v>
      </c>
      <c r="P6396">
        <v>0.99958210000000003</v>
      </c>
      <c r="Q6396">
        <v>-2.8702109999999999E-2</v>
      </c>
      <c r="R6396">
        <v>3.4626079999999998E-3</v>
      </c>
      <c r="S6396">
        <v>2.99057</v>
      </c>
      <c r="T6396">
        <v>-0.3338373</v>
      </c>
      <c r="U6396">
        <v>0.3349915</v>
      </c>
      <c r="V6396">
        <v>1.7831880000000001E-2</v>
      </c>
      <c r="W6396">
        <v>-1.9900709999999999E-2</v>
      </c>
      <c r="X6396">
        <v>0.9996429</v>
      </c>
      <c r="Y6396">
        <v>-8.9704240000000005E-2</v>
      </c>
      <c r="Z6396">
        <v>2.6133609999999998E-3</v>
      </c>
      <c r="AA6396">
        <v>0.99596499999999999</v>
      </c>
      <c r="AB6396">
        <v>23</v>
      </c>
      <c r="AC6396">
        <v>9.8269000000000197</v>
      </c>
      <c r="AD6396">
        <v>-1.1095330941129999</v>
      </c>
      <c r="AE6396">
        <v>1.1110500000000001</v>
      </c>
      <c r="AF6396">
        <v>-0.890247125286319</v>
      </c>
      <c r="AG6396">
        <v>-1.1095330941129999</v>
      </c>
      <c r="AH6396">
        <v>9.7259162771882899</v>
      </c>
      <c r="AI6396">
        <v>96.481307355219897</v>
      </c>
      <c r="AJ6396">
        <v>95.229909476778403</v>
      </c>
      <c r="AK6396">
        <v>9.8293972888417098</v>
      </c>
      <c r="AL6396">
        <v>91.140302001193106</v>
      </c>
      <c r="AM6396">
        <v>88.978051945366403</v>
      </c>
      <c r="AN6396">
        <v>0.99999997086162296</v>
      </c>
    </row>
    <row r="6397" spans="1:40" x14ac:dyDescent="0.25">
      <c r="A6397" t="str">
        <f>"20190312161145258"</f>
        <v>20190312161145258</v>
      </c>
      <c r="B6397" t="str">
        <f>"1552378305253735"</f>
        <v>1552378305253735</v>
      </c>
      <c r="C6397" t="s">
        <v>40</v>
      </c>
      <c r="D6397">
        <v>5.551634</v>
      </c>
      <c r="E6397">
        <v>0.46037149999999999</v>
      </c>
      <c r="F6397" t="s">
        <v>110</v>
      </c>
      <c r="G6397">
        <v>-218.41290000000001</v>
      </c>
      <c r="H6397" s="1">
        <v>-3.0480639999999999E-6</v>
      </c>
      <c r="I6397">
        <v>-62.218139999999998</v>
      </c>
      <c r="J6397">
        <v>-228.15190000000001</v>
      </c>
      <c r="K6397">
        <v>1.1095349999999999</v>
      </c>
      <c r="L6397">
        <v>-63.329009999999997</v>
      </c>
      <c r="M6397">
        <v>0.99973420000000002</v>
      </c>
      <c r="N6397">
        <v>0</v>
      </c>
      <c r="O6397">
        <v>2.1306720000000001E-2</v>
      </c>
      <c r="P6397">
        <v>0.99958990000000003</v>
      </c>
      <c r="Q6397">
        <v>-2.8446409999999998E-2</v>
      </c>
      <c r="R6397">
        <v>3.3401899999999998E-3</v>
      </c>
      <c r="S6397">
        <v>2.9905240000000002</v>
      </c>
      <c r="T6397">
        <v>-0.33314440000000001</v>
      </c>
      <c r="U6397">
        <v>0.33493040000000002</v>
      </c>
      <c r="V6397">
        <v>1.7958709999999999E-2</v>
      </c>
      <c r="W6397">
        <v>-1.96308E-2</v>
      </c>
      <c r="X6397">
        <v>0.99964600000000003</v>
      </c>
      <c r="Y6397">
        <v>-8.968342E-2</v>
      </c>
      <c r="Z6397">
        <v>2.6063850000000001E-3</v>
      </c>
      <c r="AA6397">
        <v>0.99596689999999999</v>
      </c>
      <c r="AB6397">
        <v>23</v>
      </c>
      <c r="AC6397">
        <v>9.7390000000000008</v>
      </c>
      <c r="AD6397">
        <v>-1.109538048064</v>
      </c>
      <c r="AE6397">
        <v>1.11086999999999</v>
      </c>
      <c r="AF6397">
        <v>-0.89167876535443602</v>
      </c>
      <c r="AG6397">
        <v>-1.109538048064</v>
      </c>
      <c r="AH6397">
        <v>9.6369827958155003</v>
      </c>
      <c r="AI6397">
        <v>96.540044474656895</v>
      </c>
      <c r="AJ6397">
        <v>95.286341145919295</v>
      </c>
      <c r="AK6397">
        <v>9.7415400788340207</v>
      </c>
      <c r="AL6397">
        <v>91.124834237266597</v>
      </c>
      <c r="AM6397">
        <v>88.970788045648703</v>
      </c>
      <c r="AN6397">
        <v>1.0000000044447499</v>
      </c>
    </row>
    <row r="6398" spans="1:40" x14ac:dyDescent="0.25">
      <c r="A6398" t="str">
        <f>"20190312161145270"</f>
        <v>20190312161145270</v>
      </c>
      <c r="B6398" t="str">
        <f>"1552378305263495"</f>
        <v>1552378305263495</v>
      </c>
      <c r="C6398" t="s">
        <v>40</v>
      </c>
      <c r="D6398">
        <v>5.51647</v>
      </c>
      <c r="E6398">
        <v>0.46048709999999998</v>
      </c>
      <c r="F6398" t="s">
        <v>110</v>
      </c>
      <c r="G6398">
        <v>-218.15020000000001</v>
      </c>
      <c r="H6398" s="1">
        <v>-2.9516229999999998E-6</v>
      </c>
      <c r="I6398">
        <v>-62.210880000000003</v>
      </c>
      <c r="J6398">
        <v>-228.03450000000001</v>
      </c>
      <c r="K6398">
        <v>1.1095349999999999</v>
      </c>
      <c r="L6398">
        <v>-63.326479999999997</v>
      </c>
      <c r="M6398">
        <v>0.99973409999999996</v>
      </c>
      <c r="N6398">
        <v>0</v>
      </c>
      <c r="O6398">
        <v>2.1308830000000001E-2</v>
      </c>
      <c r="P6398">
        <v>0.99958539999999996</v>
      </c>
      <c r="Q6398">
        <v>-2.8605390000000001E-2</v>
      </c>
      <c r="R6398">
        <v>3.3365180000000001E-3</v>
      </c>
      <c r="S6398">
        <v>2.9906619999999999</v>
      </c>
      <c r="T6398">
        <v>-0.3317676</v>
      </c>
      <c r="U6398">
        <v>0.33432009999999901</v>
      </c>
      <c r="V6398">
        <v>1.7964399999999998E-2</v>
      </c>
      <c r="W6398">
        <v>-1.978253E-2</v>
      </c>
      <c r="X6398">
        <v>0.9996429</v>
      </c>
      <c r="Y6398">
        <v>-8.9480229999999994E-2</v>
      </c>
      <c r="Z6398">
        <v>2.584154E-3</v>
      </c>
      <c r="AA6398">
        <v>0.99598529999999996</v>
      </c>
      <c r="AB6398">
        <v>23</v>
      </c>
      <c r="AC6398">
        <v>9.8842999999999908</v>
      </c>
      <c r="AD6398">
        <v>-1.109537951623</v>
      </c>
      <c r="AE6398">
        <v>1.1155999999999999</v>
      </c>
      <c r="AF6398">
        <v>-0.89359736237057197</v>
      </c>
      <c r="AG6398">
        <v>-1.109537951623</v>
      </c>
      <c r="AH6398">
        <v>9.7840935012147501</v>
      </c>
      <c r="AI6398">
        <v>96.443238776900699</v>
      </c>
      <c r="AJ6398">
        <v>95.218440157157403</v>
      </c>
      <c r="AK6398">
        <v>9.8872683969153101</v>
      </c>
      <c r="AL6398">
        <v>91.133529421910396</v>
      </c>
      <c r="AM6398">
        <v>88.970458830448393</v>
      </c>
      <c r="AN6398">
        <v>0.99999999784048499</v>
      </c>
    </row>
    <row r="6399" spans="1:40" x14ac:dyDescent="0.25">
      <c r="A6399" t="str">
        <f>"20190312161145281"</f>
        <v>20190312161145281</v>
      </c>
      <c r="B6399" t="str">
        <f>"1552378305273256"</f>
        <v>1552378305273256</v>
      </c>
      <c r="C6399" t="s">
        <v>40</v>
      </c>
      <c r="D6399">
        <v>5.5316839999999896</v>
      </c>
      <c r="E6399">
        <v>0.46061469999999999</v>
      </c>
      <c r="F6399" t="s">
        <v>110</v>
      </c>
      <c r="G6399">
        <v>-218.04089999999999</v>
      </c>
      <c r="H6399" s="1">
        <v>-2.9051170000000002E-6</v>
      </c>
      <c r="I6399">
        <v>-62.212299999999999</v>
      </c>
      <c r="J6399">
        <v>-227.91669999999999</v>
      </c>
      <c r="K6399">
        <v>1.1095360000000001</v>
      </c>
      <c r="L6399">
        <v>-63.323970000000003</v>
      </c>
      <c r="M6399">
        <v>0.99973389999999995</v>
      </c>
      <c r="N6399">
        <v>0</v>
      </c>
      <c r="O6399">
        <v>2.1311119999999999E-2</v>
      </c>
      <c r="P6399">
        <v>0.99959379999999998</v>
      </c>
      <c r="Q6399">
        <v>-2.8320830000000002E-2</v>
      </c>
      <c r="R6399">
        <v>3.1875760000000001E-3</v>
      </c>
      <c r="S6399">
        <v>2.990631</v>
      </c>
      <c r="T6399">
        <v>-0.3320341</v>
      </c>
      <c r="U6399">
        <v>0.33340449999999999</v>
      </c>
      <c r="V6399">
        <v>1.8116E-2</v>
      </c>
      <c r="W6399">
        <v>-1.9490799999999999E-2</v>
      </c>
      <c r="X6399">
        <v>0.99964589999999998</v>
      </c>
      <c r="Y6399">
        <v>-8.9179049999999996E-2</v>
      </c>
      <c r="Z6399">
        <v>2.5694160000000001E-3</v>
      </c>
      <c r="AA6399">
        <v>0.99601229999999996</v>
      </c>
      <c r="AB6399">
        <v>23</v>
      </c>
      <c r="AC6399">
        <v>9.8757999999999893</v>
      </c>
      <c r="AD6399">
        <v>-1.1095389051169999</v>
      </c>
      <c r="AE6399">
        <v>1.1116699999999899</v>
      </c>
      <c r="AF6399">
        <v>-0.88985343820195495</v>
      </c>
      <c r="AG6399">
        <v>-1.1095389051169999</v>
      </c>
      <c r="AH6399">
        <v>9.7754040425575592</v>
      </c>
      <c r="AI6399">
        <v>96.449098030398304</v>
      </c>
      <c r="AJ6399">
        <v>95.2012903768006</v>
      </c>
      <c r="AK6399">
        <v>9.87833183886322</v>
      </c>
      <c r="AL6399">
        <v>91.116811294670498</v>
      </c>
      <c r="AM6399">
        <v>88.961775631472307</v>
      </c>
      <c r="AN6399">
        <v>1.0000000030637199</v>
      </c>
    </row>
    <row r="6400" spans="1:40" x14ac:dyDescent="0.25">
      <c r="A6400" t="str">
        <f>"20190312161145292"</f>
        <v>20190312161145292</v>
      </c>
      <c r="B6400" t="str">
        <f>"1552378305283991"</f>
        <v>1552378305283991</v>
      </c>
      <c r="C6400" t="s">
        <v>40</v>
      </c>
      <c r="D6400">
        <v>5.7098449999999996</v>
      </c>
      <c r="E6400">
        <v>0.46078540000000001</v>
      </c>
      <c r="F6400" t="s">
        <v>110</v>
      </c>
      <c r="G6400">
        <v>-217.9204</v>
      </c>
      <c r="H6400" s="1">
        <v>-2.8540769999999999E-6</v>
      </c>
      <c r="I6400">
        <v>-62.214750000000002</v>
      </c>
      <c r="J6400">
        <v>-227.80799999999999</v>
      </c>
      <c r="K6400">
        <v>1.1095360000000001</v>
      </c>
      <c r="L6400">
        <v>-63.321660000000001</v>
      </c>
      <c r="M6400">
        <v>0.99973380000000001</v>
      </c>
      <c r="N6400">
        <v>0</v>
      </c>
      <c r="O6400">
        <v>2.13133E-2</v>
      </c>
      <c r="P6400">
        <v>0.99959189999999998</v>
      </c>
      <c r="Q6400">
        <v>-2.8378279999999999E-2</v>
      </c>
      <c r="R6400">
        <v>3.2430409999999999E-3</v>
      </c>
      <c r="S6400">
        <v>2.9907379999999999</v>
      </c>
      <c r="T6400">
        <v>-0.33195920000000001</v>
      </c>
      <c r="U6400">
        <v>0.33184809999999998</v>
      </c>
      <c r="V6400">
        <v>1.8062709999999999E-2</v>
      </c>
      <c r="W6400">
        <v>-1.9541880000000001E-2</v>
      </c>
      <c r="X6400">
        <v>0.99964589999999998</v>
      </c>
      <c r="Y6400">
        <v>-8.866425E-2</v>
      </c>
      <c r="Z6400">
        <v>2.5401820000000002E-3</v>
      </c>
      <c r="AA6400">
        <v>0.99605829999999995</v>
      </c>
      <c r="AB6400">
        <v>23</v>
      </c>
      <c r="AC6400">
        <v>9.8875999999999902</v>
      </c>
      <c r="AD6400">
        <v>-1.1095388540769999</v>
      </c>
      <c r="AE6400">
        <v>1.1069099999999901</v>
      </c>
      <c r="AF6400">
        <v>-0.88490787270716498</v>
      </c>
      <c r="AG6400">
        <v>-1.1095388540769999</v>
      </c>
      <c r="AH6400">
        <v>9.7872288780083707</v>
      </c>
      <c r="AI6400">
        <v>96.441725161854706</v>
      </c>
      <c r="AJ6400">
        <v>95.166324676912794</v>
      </c>
      <c r="AK6400">
        <v>9.8895898561268307</v>
      </c>
      <c r="AL6400">
        <v>91.119738483745905</v>
      </c>
      <c r="AM6400">
        <v>88.964829005268101</v>
      </c>
      <c r="AN6400">
        <v>1.0000000359766399</v>
      </c>
    </row>
    <row r="6401" spans="1:40" x14ac:dyDescent="0.25">
      <c r="A6401" t="str">
        <f>"20190312161145302"</f>
        <v>20190312161145302</v>
      </c>
      <c r="B6401" t="str">
        <f>"1552378305293751"</f>
        <v>1552378305293751</v>
      </c>
      <c r="C6401" t="s">
        <v>40</v>
      </c>
      <c r="D6401">
        <v>5.6132279999999897</v>
      </c>
      <c r="E6401">
        <v>0.46082119999999999</v>
      </c>
      <c r="F6401" t="s">
        <v>110</v>
      </c>
      <c r="G6401">
        <v>-217.80959999999999</v>
      </c>
      <c r="H6401" s="1">
        <v>-2.806977E-6</v>
      </c>
      <c r="I6401">
        <v>-62.216369999999998</v>
      </c>
      <c r="J6401">
        <v>-227.69649999999999</v>
      </c>
      <c r="K6401">
        <v>1.1095379999999999</v>
      </c>
      <c r="L6401">
        <v>-63.319270000000003</v>
      </c>
      <c r="M6401">
        <v>0.99973369999999995</v>
      </c>
      <c r="N6401">
        <v>0</v>
      </c>
      <c r="O6401">
        <v>2.1315420000000002E-2</v>
      </c>
      <c r="P6401">
        <v>0.9995906</v>
      </c>
      <c r="Q6401">
        <v>-2.8437489999999999E-2</v>
      </c>
      <c r="R6401">
        <v>3.191204E-3</v>
      </c>
      <c r="S6401">
        <v>2.9907379999999999</v>
      </c>
      <c r="T6401">
        <v>-0.33188679999999998</v>
      </c>
      <c r="U6401">
        <v>0.33059690000000003</v>
      </c>
      <c r="V6401">
        <v>1.8116380000000001E-2</v>
      </c>
      <c r="W6401">
        <v>-1.959462E-2</v>
      </c>
      <c r="X6401">
        <v>0.99964390000000003</v>
      </c>
      <c r="Y6401">
        <v>-8.8253150000000002E-2</v>
      </c>
      <c r="Z6401">
        <v>2.5167810000000001E-3</v>
      </c>
      <c r="AA6401">
        <v>0.99609490000000001</v>
      </c>
      <c r="AB6401">
        <v>23</v>
      </c>
      <c r="AC6401">
        <v>9.88689999999999</v>
      </c>
      <c r="AD6401">
        <v>-1.1095408069770001</v>
      </c>
      <c r="AE6401">
        <v>1.10289999999999</v>
      </c>
      <c r="AF6401">
        <v>-0.88093948167215397</v>
      </c>
      <c r="AG6401">
        <v>-1.1095408069770001</v>
      </c>
      <c r="AH6401">
        <v>9.78642708237596</v>
      </c>
      <c r="AI6401">
        <v>96.442487309519706</v>
      </c>
      <c r="AJ6401">
        <v>95.143699833174693</v>
      </c>
      <c r="AK6401">
        <v>9.8884422540346399</v>
      </c>
      <c r="AL6401">
        <v>91.122760837710899</v>
      </c>
      <c r="AM6401">
        <v>88.961751781737405</v>
      </c>
      <c r="AN6401">
        <v>1.0000000395822199</v>
      </c>
    </row>
    <row r="6402" spans="1:40" x14ac:dyDescent="0.25">
      <c r="A6402" t="str">
        <f>"20190312161145314"</f>
        <v>20190312161145314</v>
      </c>
      <c r="B6402" t="str">
        <f>"1552378305303511"</f>
        <v>1552378305303511</v>
      </c>
      <c r="C6402" t="s">
        <v>40</v>
      </c>
      <c r="D6402">
        <v>5.5739190000000001</v>
      </c>
      <c r="E6402">
        <v>0.46082519999999999</v>
      </c>
      <c r="F6402" t="s">
        <v>110</v>
      </c>
      <c r="G6402">
        <v>-217.67439999999999</v>
      </c>
      <c r="H6402" s="1">
        <v>-2.7479960000000001E-6</v>
      </c>
      <c r="I6402">
        <v>-62.212809999999998</v>
      </c>
      <c r="J6402">
        <v>-227.58240000000001</v>
      </c>
      <c r="K6402">
        <v>1.1095330000000001</v>
      </c>
      <c r="L6402">
        <v>-63.316830000000003</v>
      </c>
      <c r="M6402">
        <v>0.9997336</v>
      </c>
      <c r="N6402">
        <v>0</v>
      </c>
      <c r="O6402">
        <v>2.131771E-2</v>
      </c>
      <c r="P6402">
        <v>0.99959339999999997</v>
      </c>
      <c r="Q6402">
        <v>-2.833217E-2</v>
      </c>
      <c r="R6402">
        <v>3.2765680000000001E-3</v>
      </c>
      <c r="S6402">
        <v>2.9907840000000001</v>
      </c>
      <c r="T6402">
        <v>-0.33110509999999999</v>
      </c>
      <c r="U6402">
        <v>0.33016970000000001</v>
      </c>
      <c r="V6402">
        <v>1.803333E-2</v>
      </c>
      <c r="W6402">
        <v>-1.9482880000000001E-2</v>
      </c>
      <c r="X6402">
        <v>0.99964759999999997</v>
      </c>
      <c r="Y6402">
        <v>-8.8111399999999895E-2</v>
      </c>
      <c r="Z6402">
        <v>2.502818E-3</v>
      </c>
      <c r="AA6402">
        <v>0.99610750000000003</v>
      </c>
      <c r="AB6402">
        <v>23</v>
      </c>
      <c r="AC6402">
        <v>9.9080000000000101</v>
      </c>
      <c r="AD6402">
        <v>-1.109535747996</v>
      </c>
      <c r="AE6402">
        <v>1.10402</v>
      </c>
      <c r="AF6402">
        <v>-0.88162463636295196</v>
      </c>
      <c r="AG6402">
        <v>-1.109535747996</v>
      </c>
      <c r="AH6402">
        <v>9.8077992057756909</v>
      </c>
      <c r="AI6402">
        <v>96.428608945402601</v>
      </c>
      <c r="AJ6402">
        <v>95.136521674725799</v>
      </c>
      <c r="AK6402">
        <v>9.9096547284119598</v>
      </c>
      <c r="AL6402">
        <v>91.116357369161705</v>
      </c>
      <c r="AM6402">
        <v>88.966514159999093</v>
      </c>
      <c r="AN6402">
        <v>1.0000000538948699</v>
      </c>
    </row>
    <row r="6403" spans="1:40" x14ac:dyDescent="0.25">
      <c r="A6403" t="str">
        <f>"20190312161145327"</f>
        <v>20190312161145327</v>
      </c>
      <c r="B6403" t="str">
        <f>"1552378305324009"</f>
        <v>1552378305324009</v>
      </c>
      <c r="C6403" t="s">
        <v>40</v>
      </c>
      <c r="D6403">
        <v>5.4281389999999998</v>
      </c>
      <c r="E6403">
        <v>0.46099990000000002</v>
      </c>
      <c r="F6403" t="s">
        <v>110</v>
      </c>
      <c r="G6403">
        <v>-217.5318</v>
      </c>
      <c r="H6403" s="1">
        <v>-2.6852409999999998E-6</v>
      </c>
      <c r="I6403">
        <v>-62.206819999999901</v>
      </c>
      <c r="J6403">
        <v>-227.44479999999999</v>
      </c>
      <c r="K6403">
        <v>1.109534</v>
      </c>
      <c r="L6403">
        <v>-63.313899999999997</v>
      </c>
      <c r="M6403">
        <v>0.99973339999999999</v>
      </c>
      <c r="N6403">
        <v>0</v>
      </c>
      <c r="O6403">
        <v>2.132036E-2</v>
      </c>
      <c r="P6403">
        <v>0.99958689999999994</v>
      </c>
      <c r="Q6403">
        <v>-2.854284E-2</v>
      </c>
      <c r="R6403">
        <v>3.3474899999999998E-3</v>
      </c>
      <c r="S6403">
        <v>2.9907840000000001</v>
      </c>
      <c r="T6403">
        <v>-0.33016709999999999</v>
      </c>
      <c r="U6403">
        <v>0.33029170000000002</v>
      </c>
      <c r="V6403">
        <v>1.7965160000000001E-2</v>
      </c>
      <c r="W6403">
        <v>-1.968599E-2</v>
      </c>
      <c r="X6403">
        <v>0.9996448</v>
      </c>
      <c r="Y6403">
        <v>-8.815096E-2</v>
      </c>
      <c r="Z6403">
        <v>2.4976439999999998E-3</v>
      </c>
      <c r="AA6403">
        <v>0.99610399999999999</v>
      </c>
      <c r="AB6403">
        <v>23</v>
      </c>
      <c r="AC6403">
        <v>9.9129999999999807</v>
      </c>
      <c r="AD6403">
        <v>-1.109536685241</v>
      </c>
      <c r="AE6403">
        <v>1.1070800000000001</v>
      </c>
      <c r="AF6403">
        <v>-0.88452667847772504</v>
      </c>
      <c r="AG6403">
        <v>-1.109536685241</v>
      </c>
      <c r="AH6403">
        <v>9.8129312472940793</v>
      </c>
      <c r="AI6403">
        <v>96.425138864933501</v>
      </c>
      <c r="AJ6403">
        <v>95.150658030409403</v>
      </c>
      <c r="AK6403">
        <v>9.9149926255623093</v>
      </c>
      <c r="AL6403">
        <v>91.127997001128605</v>
      </c>
      <c r="AM6403">
        <v>88.970417240649297</v>
      </c>
      <c r="AN6403">
        <v>1.0000000056715701</v>
      </c>
    </row>
    <row r="6404" spans="1:40" x14ac:dyDescent="0.25">
      <c r="A6404" t="str">
        <f>"20190312161145340"</f>
        <v>20190312161145340</v>
      </c>
      <c r="B6404" t="str">
        <f>"1552378305333767"</f>
        <v>1552378305333767</v>
      </c>
      <c r="C6404" t="s">
        <v>40</v>
      </c>
      <c r="D6404">
        <v>5.386444</v>
      </c>
      <c r="E6404">
        <v>0.4611748</v>
      </c>
      <c r="F6404" t="s">
        <v>110</v>
      </c>
      <c r="G6404">
        <v>-217.25530000000001</v>
      </c>
      <c r="H6404" s="1">
        <v>-2.5629949999999999E-6</v>
      </c>
      <c r="I6404">
        <v>-62.193159999999999</v>
      </c>
      <c r="J6404">
        <v>-227.31129999999999</v>
      </c>
      <c r="K6404">
        <v>1.109534</v>
      </c>
      <c r="L6404">
        <v>-63.311070000000001</v>
      </c>
      <c r="M6404">
        <v>0.99973330000000005</v>
      </c>
      <c r="N6404">
        <v>0</v>
      </c>
      <c r="O6404">
        <v>2.1322830000000001E-2</v>
      </c>
      <c r="P6404">
        <v>0.99958689999999994</v>
      </c>
      <c r="Q6404">
        <v>-2.855423E-2</v>
      </c>
      <c r="R6404">
        <v>3.305358E-3</v>
      </c>
      <c r="S6404">
        <v>2.9908600000000001</v>
      </c>
      <c r="T6404">
        <v>-0.32567449999999998</v>
      </c>
      <c r="U6404">
        <v>0.32894899999999999</v>
      </c>
      <c r="V6404">
        <v>1.8009629999999999E-2</v>
      </c>
      <c r="W6404">
        <v>-1.9690200000000001E-2</v>
      </c>
      <c r="X6404">
        <v>0.99964390000000003</v>
      </c>
      <c r="Y6404">
        <v>-8.7717240000000002E-2</v>
      </c>
      <c r="Z6404">
        <v>2.4401119999999999E-3</v>
      </c>
      <c r="AA6404">
        <v>0.99614239999999998</v>
      </c>
      <c r="AB6404">
        <v>23</v>
      </c>
      <c r="AC6404">
        <v>10.0559999999999</v>
      </c>
      <c r="AD6404">
        <v>-1.109536562995</v>
      </c>
      <c r="AE6404">
        <v>1.11790999999999</v>
      </c>
      <c r="AF6404">
        <v>-0.89249245117548903</v>
      </c>
      <c r="AG6404">
        <v>-1.109536562995</v>
      </c>
      <c r="AH6404">
        <v>9.9578051767993898</v>
      </c>
      <c r="AI6404">
        <v>96.332711570138002</v>
      </c>
      <c r="AJ6404">
        <v>95.121588483526295</v>
      </c>
      <c r="AK6404">
        <v>10.0591002629022</v>
      </c>
      <c r="AL6404">
        <v>91.128238282184995</v>
      </c>
      <c r="AM6404">
        <v>88.967868287925896</v>
      </c>
      <c r="AN6404">
        <v>0.99999998877799301</v>
      </c>
    </row>
    <row r="6405" spans="1:40" x14ac:dyDescent="0.25">
      <c r="A6405" t="str">
        <f>"20190312161145364"</f>
        <v>20190312161145364</v>
      </c>
      <c r="B6405" t="str">
        <f>"1552378305353287"</f>
        <v>1552378305353287</v>
      </c>
      <c r="C6405" t="s">
        <v>40</v>
      </c>
      <c r="D6405">
        <v>5.4629750000000001</v>
      </c>
      <c r="E6405">
        <v>0.46129920000000002</v>
      </c>
      <c r="F6405" t="s">
        <v>110</v>
      </c>
      <c r="G6405">
        <v>-217.0455</v>
      </c>
      <c r="H6405" s="1">
        <v>-2.4714160000000002E-6</v>
      </c>
      <c r="I6405">
        <v>-62.187289999999997</v>
      </c>
      <c r="J6405">
        <v>-227.06809999999999</v>
      </c>
      <c r="K6405">
        <v>1.1095349999999999</v>
      </c>
      <c r="L6405">
        <v>-63.30585</v>
      </c>
      <c r="M6405">
        <v>0.99973319999999999</v>
      </c>
      <c r="N6405">
        <v>0</v>
      </c>
      <c r="O6405">
        <v>2.13273E-2</v>
      </c>
      <c r="P6405">
        <v>0.99958369999999996</v>
      </c>
      <c r="Q6405">
        <v>-2.864469E-2</v>
      </c>
      <c r="R6405">
        <v>3.4761179999999998E-3</v>
      </c>
      <c r="S6405">
        <v>2.9909210000000002</v>
      </c>
      <c r="T6405">
        <v>-0.32325969999999998</v>
      </c>
      <c r="U6405">
        <v>0.32739259999999998</v>
      </c>
      <c r="V6405">
        <v>1.784326E-2</v>
      </c>
      <c r="W6405">
        <v>-1.9767900000000001E-2</v>
      </c>
      <c r="X6405">
        <v>0.99964540000000002</v>
      </c>
      <c r="Y6405">
        <v>-8.7207000000000007E-2</v>
      </c>
      <c r="Z6405">
        <v>2.394246E-3</v>
      </c>
      <c r="AA6405">
        <v>0.9961873</v>
      </c>
      <c r="AB6405">
        <v>23</v>
      </c>
      <c r="AC6405">
        <v>10.022599999999899</v>
      </c>
      <c r="AD6405">
        <v>-1.109537471416</v>
      </c>
      <c r="AE6405">
        <v>1.11855999999999</v>
      </c>
      <c r="AF6405">
        <v>-0.89372406164888196</v>
      </c>
      <c r="AG6405">
        <v>-1.109537471416</v>
      </c>
      <c r="AH6405">
        <v>9.9240511695461606</v>
      </c>
      <c r="AI6405">
        <v>96.353838964618404</v>
      </c>
      <c r="AJ6405">
        <v>95.145968569449195</v>
      </c>
      <c r="AK6405">
        <v>10.0257971111835</v>
      </c>
      <c r="AL6405">
        <v>91.132690974340093</v>
      </c>
      <c r="AM6405">
        <v>88.977402450955196</v>
      </c>
      <c r="AN6405">
        <v>1.0000000387694901</v>
      </c>
    </row>
    <row r="6406" spans="1:40" x14ac:dyDescent="0.25">
      <c r="A6406" t="str">
        <f>"20190312161145375"</f>
        <v>20190312161145375</v>
      </c>
      <c r="B6406" t="str">
        <f>"1552378305373784"</f>
        <v>1552378305373784</v>
      </c>
      <c r="C6406" t="s">
        <v>40</v>
      </c>
      <c r="D6406">
        <v>5.3481420000000002</v>
      </c>
      <c r="E6406">
        <v>0.4614742</v>
      </c>
      <c r="F6406" t="s">
        <v>110</v>
      </c>
      <c r="G6406">
        <v>-216.6942</v>
      </c>
      <c r="H6406" s="1">
        <v>-2.3166969999999999E-6</v>
      </c>
      <c r="I6406">
        <v>-62.172159999999998</v>
      </c>
      <c r="J6406">
        <v>-226.94309999999999</v>
      </c>
      <c r="K6406">
        <v>1.1095349999999999</v>
      </c>
      <c r="L6406">
        <v>-63.303190000000001</v>
      </c>
      <c r="M6406">
        <v>0.99973299999999998</v>
      </c>
      <c r="N6406">
        <v>0</v>
      </c>
      <c r="O6406">
        <v>2.132978E-2</v>
      </c>
      <c r="P6406">
        <v>0.99958170000000002</v>
      </c>
      <c r="Q6406">
        <v>-2.8711270000000001E-2</v>
      </c>
      <c r="R6406">
        <v>3.4759669999999999E-3</v>
      </c>
      <c r="S6406">
        <v>2.9909520000000001</v>
      </c>
      <c r="T6406">
        <v>-0.31989679999999998</v>
      </c>
      <c r="U6406">
        <v>0.3268433</v>
      </c>
      <c r="V6406">
        <v>1.7846049999999999E-2</v>
      </c>
      <c r="W6406">
        <v>-1.9828200000000001E-2</v>
      </c>
      <c r="X6406">
        <v>0.99964410000000004</v>
      </c>
      <c r="Y6406">
        <v>-8.7031479999999994E-2</v>
      </c>
      <c r="Z6406">
        <v>2.3598820000000002E-3</v>
      </c>
      <c r="AA6406">
        <v>0.99620280000000005</v>
      </c>
      <c r="AB6406">
        <v>23</v>
      </c>
      <c r="AC6406">
        <v>10.2488999999999</v>
      </c>
      <c r="AD6406">
        <v>-1.109537316697</v>
      </c>
      <c r="AE6406">
        <v>1.13103</v>
      </c>
      <c r="AF6406">
        <v>-0.90171624942641204</v>
      </c>
      <c r="AG6406">
        <v>-1.109537316697</v>
      </c>
      <c r="AH6406">
        <v>10.1531302988826</v>
      </c>
      <c r="AI6406">
        <v>96.2122942555511</v>
      </c>
      <c r="AJ6406">
        <v>95.0752170318124</v>
      </c>
      <c r="AK6406">
        <v>10.253302888226299</v>
      </c>
      <c r="AL6406">
        <v>91.136146650565493</v>
      </c>
      <c r="AM6406">
        <v>88.977241260191093</v>
      </c>
      <c r="AN6406">
        <v>0.99999998284032598</v>
      </c>
    </row>
    <row r="6407" spans="1:40" x14ac:dyDescent="0.25">
      <c r="A6407" t="str">
        <f>"20190312161145386"</f>
        <v>20190312161145386</v>
      </c>
      <c r="B6407" t="str">
        <f>"1552378305383544"</f>
        <v>1552378305383544</v>
      </c>
      <c r="C6407" t="s">
        <v>40</v>
      </c>
      <c r="D6407">
        <v>5.4122130000000004</v>
      </c>
      <c r="E6407">
        <v>0.4615282</v>
      </c>
      <c r="F6407" t="s">
        <v>110</v>
      </c>
      <c r="G6407">
        <v>-216.31649999999999</v>
      </c>
      <c r="H6407" s="1">
        <v>-2.1482040000000001E-6</v>
      </c>
      <c r="I6407">
        <v>-62.147820000000003</v>
      </c>
      <c r="J6407">
        <v>-226.83609999999999</v>
      </c>
      <c r="K6407">
        <v>1.1095360000000001</v>
      </c>
      <c r="L6407">
        <v>-63.300899999999999</v>
      </c>
      <c r="M6407">
        <v>0.99973290000000004</v>
      </c>
      <c r="N6407">
        <v>0</v>
      </c>
      <c r="O6407">
        <v>2.1331719999999998E-2</v>
      </c>
      <c r="P6407">
        <v>0.99957700000000005</v>
      </c>
      <c r="Q6407">
        <v>-2.8874609999999998E-2</v>
      </c>
      <c r="R6407">
        <v>3.517764E-3</v>
      </c>
      <c r="S6407">
        <v>2.9911650000000001</v>
      </c>
      <c r="T6407">
        <v>-0.31231189999999998</v>
      </c>
      <c r="U6407">
        <v>0.32519530000000002</v>
      </c>
      <c r="V6407">
        <v>1.7805769999999999E-2</v>
      </c>
      <c r="W6407">
        <v>-1.9986199999999999E-2</v>
      </c>
      <c r="X6407">
        <v>0.99964169999999997</v>
      </c>
      <c r="Y6407">
        <v>-8.6499619999999999E-2</v>
      </c>
      <c r="Z6407">
        <v>2.2763219999999999E-3</v>
      </c>
      <c r="AA6407">
        <v>0.9962493</v>
      </c>
      <c r="AB6407">
        <v>23</v>
      </c>
      <c r="AC6407">
        <v>10.519599999999899</v>
      </c>
      <c r="AD6407">
        <v>-1.1095381482040001</v>
      </c>
      <c r="AE6407">
        <v>1.1530800000000001</v>
      </c>
      <c r="AF6407">
        <v>-0.91831294709522304</v>
      </c>
      <c r="AG6407">
        <v>-1.1095381482040001</v>
      </c>
      <c r="AH6407">
        <v>10.4271827559917</v>
      </c>
      <c r="AI6407">
        <v>96.050642621032793</v>
      </c>
      <c r="AJ6407">
        <v>95.033004160363802</v>
      </c>
      <c r="AK6407">
        <v>10.526182299294099</v>
      </c>
      <c r="AL6407">
        <v>91.145201145949301</v>
      </c>
      <c r="AM6407">
        <v>88.979546772505401</v>
      </c>
      <c r="AN6407">
        <v>1.00000001100731</v>
      </c>
    </row>
    <row r="6408" spans="1:40" x14ac:dyDescent="0.25">
      <c r="A6408" t="str">
        <f>"20190312161145397"</f>
        <v>20190312161145397</v>
      </c>
      <c r="B6408" t="str">
        <f>"1552378305393304"</f>
        <v>1552378305393304</v>
      </c>
      <c r="C6408" t="s">
        <v>40</v>
      </c>
      <c r="D6408">
        <v>5.4209909999999999</v>
      </c>
      <c r="E6408">
        <v>0.46159489999999997</v>
      </c>
      <c r="F6408" t="s">
        <v>110</v>
      </c>
      <c r="G6408">
        <v>-216.09039999999999</v>
      </c>
      <c r="H6408" s="1">
        <v>-2.047504E-6</v>
      </c>
      <c r="I6408">
        <v>-62.134030000000003</v>
      </c>
      <c r="J6408">
        <v>-226.72229999999999</v>
      </c>
      <c r="K6408">
        <v>1.1095389999999901</v>
      </c>
      <c r="L6408">
        <v>-63.298459999999999</v>
      </c>
      <c r="M6408">
        <v>0.99973290000000004</v>
      </c>
      <c r="N6408">
        <v>0</v>
      </c>
      <c r="O6408">
        <v>2.133372E-2</v>
      </c>
      <c r="P6408">
        <v>0.99957790000000002</v>
      </c>
      <c r="Q6408">
        <v>-2.8835340000000001E-2</v>
      </c>
      <c r="R6408">
        <v>3.536122E-3</v>
      </c>
      <c r="S6408">
        <v>2.9912109999999998</v>
      </c>
      <c r="T6408">
        <v>-0.30885459999999998</v>
      </c>
      <c r="U6408">
        <v>0.32479859999999999</v>
      </c>
      <c r="V6408">
        <v>1.7789650000000001E-2</v>
      </c>
      <c r="W6408">
        <v>-1.9941299999999999E-2</v>
      </c>
      <c r="X6408">
        <v>0.99964280000000005</v>
      </c>
      <c r="Y6408">
        <v>-8.6373740000000004E-2</v>
      </c>
      <c r="Z6408">
        <v>2.2445690000000001E-3</v>
      </c>
      <c r="AA6408">
        <v>0.99626029999999999</v>
      </c>
      <c r="AB6408">
        <v>23</v>
      </c>
      <c r="AC6408">
        <v>10.6319</v>
      </c>
      <c r="AD6408">
        <v>-1.10954104750399</v>
      </c>
      <c r="AE6408">
        <v>1.1644299999999901</v>
      </c>
      <c r="AF6408">
        <v>-0.92735795064856397</v>
      </c>
      <c r="AG6408">
        <v>-1.10954104750399</v>
      </c>
      <c r="AH6408">
        <v>10.540883395155999</v>
      </c>
      <c r="AI6408">
        <v>95.985916198143897</v>
      </c>
      <c r="AJ6408">
        <v>95.027780208349398</v>
      </c>
      <c r="AK6408">
        <v>10.6396098074602</v>
      </c>
      <c r="AL6408">
        <v>91.142628148282</v>
      </c>
      <c r="AM6408">
        <v>88.980471540382396</v>
      </c>
      <c r="AN6408">
        <v>0.99999992734232301</v>
      </c>
    </row>
    <row r="6409" spans="1:40" x14ac:dyDescent="0.25">
      <c r="A6409" t="str">
        <f>"20190312161145407"</f>
        <v>20190312161145407</v>
      </c>
      <c r="B6409" t="str">
        <f>"1552378305404039"</f>
        <v>1552378305404039</v>
      </c>
      <c r="C6409" t="s">
        <v>40</v>
      </c>
      <c r="D6409">
        <v>5.3911879999999996</v>
      </c>
      <c r="E6409">
        <v>0.46166980000000002</v>
      </c>
      <c r="F6409" t="s">
        <v>110</v>
      </c>
      <c r="G6409">
        <v>-215.8382</v>
      </c>
      <c r="H6409" s="1">
        <v>-1.935263E-6</v>
      </c>
      <c r="I6409">
        <v>-62.118830000000003</v>
      </c>
      <c r="J6409">
        <v>-226.62</v>
      </c>
      <c r="K6409">
        <v>1.1095389999999901</v>
      </c>
      <c r="L6409">
        <v>-63.296300000000002</v>
      </c>
      <c r="M6409">
        <v>0.99973270000000003</v>
      </c>
      <c r="N6409">
        <v>0</v>
      </c>
      <c r="O6409">
        <v>2.1335670000000001E-2</v>
      </c>
      <c r="P6409">
        <v>0.99957689999999999</v>
      </c>
      <c r="Q6409">
        <v>-2.888216E-2</v>
      </c>
      <c r="R6409">
        <v>3.449545E-3</v>
      </c>
      <c r="S6409">
        <v>2.991333</v>
      </c>
      <c r="T6409">
        <v>-0.3049403</v>
      </c>
      <c r="U6409">
        <v>0.32418819999999998</v>
      </c>
      <c r="V6409">
        <v>1.7878120000000001E-2</v>
      </c>
      <c r="W6409">
        <v>-1.9983130000000002E-2</v>
      </c>
      <c r="X6409">
        <v>0.99964050000000004</v>
      </c>
      <c r="Y6409">
        <v>-8.6176160000000002E-2</v>
      </c>
      <c r="Z6409">
        <v>2.2059900000000001E-3</v>
      </c>
      <c r="AA6409">
        <v>0.99627750000000004</v>
      </c>
      <c r="AB6409">
        <v>23</v>
      </c>
      <c r="AC6409">
        <v>10.7818</v>
      </c>
      <c r="AD6409">
        <v>-1.1095409352629999</v>
      </c>
      <c r="AE6409">
        <v>1.17746999999999</v>
      </c>
      <c r="AF6409">
        <v>-0.937346212861904</v>
      </c>
      <c r="AG6409">
        <v>-1.1095409352629999</v>
      </c>
      <c r="AH6409">
        <v>10.692566837847499</v>
      </c>
      <c r="AI6409">
        <v>95.901764036140804</v>
      </c>
      <c r="AJ6409">
        <v>95.0099325325194</v>
      </c>
      <c r="AK6409">
        <v>10.7907684893907</v>
      </c>
      <c r="AL6409">
        <v>91.145025178482499</v>
      </c>
      <c r="AM6409">
        <v>88.975400027958401</v>
      </c>
      <c r="AN6409">
        <v>1.00000004094978</v>
      </c>
    </row>
    <row r="6410" spans="1:40" x14ac:dyDescent="0.25">
      <c r="A6410" t="str">
        <f>"20190312161145417"</f>
        <v>20190312161145417</v>
      </c>
      <c r="B6410" t="str">
        <f>"1552378305413800"</f>
        <v>1552378305413800</v>
      </c>
      <c r="C6410" t="s">
        <v>40</v>
      </c>
      <c r="D6410">
        <v>5.3857749999999998</v>
      </c>
      <c r="E6410">
        <v>0.46174959999999998</v>
      </c>
      <c r="F6410" t="s">
        <v>110</v>
      </c>
      <c r="G6410">
        <v>-215.61320000000001</v>
      </c>
      <c r="H6410" s="1">
        <v>-1.8355390000000001E-6</v>
      </c>
      <c r="I6410">
        <v>-62.106769999999997</v>
      </c>
      <c r="J6410">
        <v>-226.51259999999999</v>
      </c>
      <c r="K6410">
        <v>1.10954</v>
      </c>
      <c r="L6410">
        <v>-63.293979999999998</v>
      </c>
      <c r="M6410">
        <v>0.99973270000000003</v>
      </c>
      <c r="N6410">
        <v>0</v>
      </c>
      <c r="O6410">
        <v>2.1337490000000001E-2</v>
      </c>
      <c r="P6410">
        <v>0.9995695</v>
      </c>
      <c r="Q6410">
        <v>-2.9120940000000001E-2</v>
      </c>
      <c r="R6410">
        <v>3.6100070000000001E-3</v>
      </c>
      <c r="S6410">
        <v>2.991425</v>
      </c>
      <c r="T6410">
        <v>-0.30154900000000001</v>
      </c>
      <c r="U6410">
        <v>0.32327270000000002</v>
      </c>
      <c r="V6410">
        <v>1.7719229999999999E-2</v>
      </c>
      <c r="W6410">
        <v>-2.021674E-2</v>
      </c>
      <c r="X6410">
        <v>0.99963860000000004</v>
      </c>
      <c r="Y6410">
        <v>-8.5878510000000005E-2</v>
      </c>
      <c r="Z6410">
        <v>2.166444E-3</v>
      </c>
      <c r="AA6410">
        <v>0.9963033</v>
      </c>
      <c r="AB6410">
        <v>23</v>
      </c>
      <c r="AC6410">
        <v>10.899399999999901</v>
      </c>
      <c r="AD6410">
        <v>-1.1095418355390001</v>
      </c>
      <c r="AE6410">
        <v>1.1872100000000001</v>
      </c>
      <c r="AF6410">
        <v>-0.94468967723898101</v>
      </c>
      <c r="AG6410">
        <v>-1.1095418355390001</v>
      </c>
      <c r="AH6410">
        <v>10.811526132296899</v>
      </c>
      <c r="AI6410">
        <v>95.837426135070004</v>
      </c>
      <c r="AJ6410">
        <v>94.993708322549907</v>
      </c>
      <c r="AK6410">
        <v>10.909290489322901</v>
      </c>
      <c r="AL6410">
        <v>91.158412786472198</v>
      </c>
      <c r="AM6410">
        <v>88.984502212384399</v>
      </c>
      <c r="AN6410">
        <v>1.00000000914899</v>
      </c>
    </row>
    <row r="6411" spans="1:40" x14ac:dyDescent="0.25">
      <c r="A6411" t="str">
        <f>"20190312161145429"</f>
        <v>20190312161145429</v>
      </c>
      <c r="B6411" t="str">
        <f>"1552378305423559"</f>
        <v>1552378305423559</v>
      </c>
      <c r="C6411" t="s">
        <v>40</v>
      </c>
      <c r="D6411">
        <v>5.3677910000000004</v>
      </c>
      <c r="E6411">
        <v>0.46181909999999998</v>
      </c>
      <c r="F6411" t="s">
        <v>110</v>
      </c>
      <c r="G6411">
        <v>-215.40299999999999</v>
      </c>
      <c r="H6411" s="1">
        <v>-1.7420870000000001E-6</v>
      </c>
      <c r="I6411">
        <v>-62.094459999999998</v>
      </c>
      <c r="J6411">
        <v>-226.39879999999999</v>
      </c>
      <c r="K6411">
        <v>1.1095379999999999</v>
      </c>
      <c r="L6411">
        <v>-63.291559999999997</v>
      </c>
      <c r="M6411">
        <v>0.99973270000000003</v>
      </c>
      <c r="N6411">
        <v>0</v>
      </c>
      <c r="O6411">
        <v>2.1339670000000002E-2</v>
      </c>
      <c r="P6411">
        <v>0.9995695</v>
      </c>
      <c r="Q6411">
        <v>-2.9128100000000001E-2</v>
      </c>
      <c r="R6411">
        <v>3.535051E-3</v>
      </c>
      <c r="S6411">
        <v>2.991409</v>
      </c>
      <c r="T6411">
        <v>-0.29875780000000002</v>
      </c>
      <c r="U6411">
        <v>0.32296750000000002</v>
      </c>
      <c r="V6411">
        <v>1.7796349999999999E-2</v>
      </c>
      <c r="W6411">
        <v>-2.0218449999999999E-2</v>
      </c>
      <c r="X6411">
        <v>0.9996372</v>
      </c>
      <c r="Y6411">
        <v>-8.5782810000000001E-2</v>
      </c>
      <c r="Z6411">
        <v>2.1415420000000002E-3</v>
      </c>
      <c r="AA6411">
        <v>0.99631150000000002</v>
      </c>
      <c r="AB6411">
        <v>23</v>
      </c>
      <c r="AC6411">
        <v>10.995799999999999</v>
      </c>
      <c r="AD6411">
        <v>-1.1095397420869999</v>
      </c>
      <c r="AE6411">
        <v>1.1970999999999901</v>
      </c>
      <c r="AF6411">
        <v>-0.95258575641671395</v>
      </c>
      <c r="AG6411">
        <v>-1.1095397420869999</v>
      </c>
      <c r="AH6411">
        <v>10.9090678368198</v>
      </c>
      <c r="AI6411">
        <v>95.785605153561406</v>
      </c>
      <c r="AJ6411">
        <v>94.990440586984505</v>
      </c>
      <c r="AK6411">
        <v>11.006646134537799</v>
      </c>
      <c r="AL6411">
        <v>91.158510777000998</v>
      </c>
      <c r="AM6411">
        <v>88.980081930738095</v>
      </c>
      <c r="AN6411">
        <v>1.0000000137087799</v>
      </c>
    </row>
    <row r="6412" spans="1:40" x14ac:dyDescent="0.25">
      <c r="A6412" t="str">
        <f>"20190312161145441"</f>
        <v>20190312161145441</v>
      </c>
      <c r="B6412" t="str">
        <f>"1552378305433319"</f>
        <v>1552378305433319</v>
      </c>
      <c r="C6412" t="s">
        <v>40</v>
      </c>
      <c r="D6412">
        <v>5.2970620000000004</v>
      </c>
      <c r="E6412">
        <v>0.4618814</v>
      </c>
      <c r="F6412" t="s">
        <v>110</v>
      </c>
      <c r="G6412">
        <v>-215.1592</v>
      </c>
      <c r="H6412" s="1">
        <v>-1.634087E-6</v>
      </c>
      <c r="I6412">
        <v>-62.081620000000001</v>
      </c>
      <c r="J6412">
        <v>-226.27330000000001</v>
      </c>
      <c r="K6412">
        <v>1.1095389999999901</v>
      </c>
      <c r="L6412">
        <v>-63.288879999999999</v>
      </c>
      <c r="M6412">
        <v>0.99973250000000002</v>
      </c>
      <c r="N6412">
        <v>0</v>
      </c>
      <c r="O6412">
        <v>2.1342150000000001E-2</v>
      </c>
      <c r="P6412">
        <v>0.99957169999999895</v>
      </c>
      <c r="Q6412">
        <v>-2.9037529999999999E-2</v>
      </c>
      <c r="R6412">
        <v>3.6537079999999999E-3</v>
      </c>
      <c r="S6412">
        <v>2.9915310000000002</v>
      </c>
      <c r="T6412">
        <v>-0.29531289999999999</v>
      </c>
      <c r="U6412">
        <v>0.32202150000000002</v>
      </c>
      <c r="V6412">
        <v>1.768024E-2</v>
      </c>
      <c r="W6412">
        <v>-2.0121839999999998E-2</v>
      </c>
      <c r="X6412">
        <v>0.99964120000000001</v>
      </c>
      <c r="Y6412">
        <v>-8.5473320000000005E-2</v>
      </c>
      <c r="Z6412">
        <v>2.101477E-3</v>
      </c>
      <c r="AA6412">
        <v>0.99633819999999995</v>
      </c>
      <c r="AB6412">
        <v>23</v>
      </c>
      <c r="AC6412">
        <v>11.114100000000001</v>
      </c>
      <c r="AD6412">
        <v>-1.10954063408699</v>
      </c>
      <c r="AE6412">
        <v>1.20726000000001</v>
      </c>
      <c r="AF6412">
        <v>-0.96031750400430704</v>
      </c>
      <c r="AG6412">
        <v>-1.10954063408699</v>
      </c>
      <c r="AH6412">
        <v>11.028700378286199</v>
      </c>
      <c r="AI6412">
        <v>95.723391047805407</v>
      </c>
      <c r="AJ6412">
        <v>94.976444085110799</v>
      </c>
      <c r="AK6412">
        <v>11.125894218497599</v>
      </c>
      <c r="AL6412">
        <v>91.152974316642698</v>
      </c>
      <c r="AM6412">
        <v>88.986738916958103</v>
      </c>
      <c r="AN6412">
        <v>1.0000000040344399</v>
      </c>
    </row>
    <row r="6413" spans="1:40" x14ac:dyDescent="0.25">
      <c r="A6413" t="str">
        <f>"20190312161145451"</f>
        <v>20190312161145451</v>
      </c>
      <c r="B6413" t="str">
        <f>"1552378305444055"</f>
        <v>1552378305444055</v>
      </c>
      <c r="C6413" t="s">
        <v>40</v>
      </c>
      <c r="D6413">
        <v>5.3246779999999996</v>
      </c>
      <c r="E6413">
        <v>0.46194259999999898</v>
      </c>
      <c r="F6413" t="s">
        <v>110</v>
      </c>
      <c r="G6413">
        <v>-214.89420000000001</v>
      </c>
      <c r="H6413" s="1">
        <v>-1.516086E-6</v>
      </c>
      <c r="I6413">
        <v>-62.065350000000002</v>
      </c>
      <c r="J6413">
        <v>-226.1618</v>
      </c>
      <c r="K6413">
        <v>1.1095389999999901</v>
      </c>
      <c r="L6413">
        <v>-63.286499999999997</v>
      </c>
      <c r="M6413">
        <v>0.99973239999999997</v>
      </c>
      <c r="N6413">
        <v>0</v>
      </c>
      <c r="O6413">
        <v>2.134409E-2</v>
      </c>
      <c r="P6413">
        <v>0.99957099999999999</v>
      </c>
      <c r="Q6413">
        <v>-2.9096319999999998E-2</v>
      </c>
      <c r="R6413">
        <v>3.3611600000000002E-3</v>
      </c>
      <c r="S6413">
        <v>2.9916230000000001</v>
      </c>
      <c r="T6413">
        <v>-0.2917033</v>
      </c>
      <c r="U6413">
        <v>0.32165529999999998</v>
      </c>
      <c r="V6413">
        <v>1.7974850000000001E-2</v>
      </c>
      <c r="W6413">
        <v>-2.0175459999999999E-2</v>
      </c>
      <c r="X6413">
        <v>0.99963489999999999</v>
      </c>
      <c r="Y6413">
        <v>-8.5355589999999995E-2</v>
      </c>
      <c r="Z6413">
        <v>2.0699630000000002E-3</v>
      </c>
      <c r="AA6413">
        <v>0.99634840000000002</v>
      </c>
      <c r="AB6413">
        <v>23</v>
      </c>
      <c r="AC6413">
        <v>11.2675999999999</v>
      </c>
      <c r="AD6413">
        <v>-1.1095405160859999</v>
      </c>
      <c r="AE6413">
        <v>1.22114999999999</v>
      </c>
      <c r="AF6413">
        <v>-0.97105880814253898</v>
      </c>
      <c r="AG6413">
        <v>-1.1095405160859999</v>
      </c>
      <c r="AH6413">
        <v>11.1839103647019</v>
      </c>
      <c r="AI6413">
        <v>95.644597903462795</v>
      </c>
      <c r="AJ6413">
        <v>94.9623418468002</v>
      </c>
      <c r="AK6413">
        <v>11.280686433519699</v>
      </c>
      <c r="AL6413">
        <v>91.156047099861993</v>
      </c>
      <c r="AM6413">
        <v>88.969851826795605</v>
      </c>
      <c r="AN6413">
        <v>1.0000000388583701</v>
      </c>
    </row>
    <row r="6414" spans="1:40" x14ac:dyDescent="0.25">
      <c r="A6414" t="str">
        <f>"20190312161145463"</f>
        <v>20190312161145463</v>
      </c>
      <c r="B6414" t="str">
        <f>"1552378305453816"</f>
        <v>1552378305453816</v>
      </c>
      <c r="C6414" t="s">
        <v>40</v>
      </c>
      <c r="D6414">
        <v>5.2896900000000002</v>
      </c>
      <c r="E6414">
        <v>0.46200459999999899</v>
      </c>
      <c r="F6414" t="s">
        <v>110</v>
      </c>
      <c r="G6414">
        <v>-214.66120000000001</v>
      </c>
      <c r="H6414" s="1">
        <v>-1.413518E-6</v>
      </c>
      <c r="I6414">
        <v>-62.055610000000001</v>
      </c>
      <c r="J6414">
        <v>-226.03630000000001</v>
      </c>
      <c r="K6414">
        <v>1.1095389999999901</v>
      </c>
      <c r="L6414">
        <v>-63.283810000000003</v>
      </c>
      <c r="M6414">
        <v>0.99973239999999997</v>
      </c>
      <c r="N6414">
        <v>0</v>
      </c>
      <c r="O6414">
        <v>2.1346569999999999E-2</v>
      </c>
      <c r="P6414">
        <v>0.99956909999999999</v>
      </c>
      <c r="Q6414">
        <v>-2.919101E-2</v>
      </c>
      <c r="R6414">
        <v>3.1363340000000002E-3</v>
      </c>
      <c r="S6414">
        <v>2.991806</v>
      </c>
      <c r="T6414">
        <v>-0.28863840000000002</v>
      </c>
      <c r="U6414">
        <v>0.32019039999999999</v>
      </c>
      <c r="V6414">
        <v>1.820188E-2</v>
      </c>
      <c r="W6414">
        <v>-2.026437E-2</v>
      </c>
      <c r="X6414">
        <v>0.99962899999999999</v>
      </c>
      <c r="Y6414">
        <v>-8.4872840000000005E-2</v>
      </c>
      <c r="Z6414">
        <v>2.0248359999999999E-3</v>
      </c>
      <c r="AA6414">
        <v>0.99638970000000004</v>
      </c>
      <c r="AB6414">
        <v>23</v>
      </c>
      <c r="AC6414">
        <v>11.3751</v>
      </c>
      <c r="AD6414">
        <v>-1.10954041351799</v>
      </c>
      <c r="AE6414">
        <v>1.2282</v>
      </c>
      <c r="AF6414">
        <v>-0.97591299241834195</v>
      </c>
      <c r="AG6414">
        <v>-1.10954041351799</v>
      </c>
      <c r="AH6414">
        <v>11.292524621331401</v>
      </c>
      <c r="AI6414">
        <v>95.590845437256306</v>
      </c>
      <c r="AJ6414">
        <v>94.939295128271297</v>
      </c>
      <c r="AK6414">
        <v>11.3887926674154</v>
      </c>
      <c r="AL6414">
        <v>91.1611423015258</v>
      </c>
      <c r="AM6414">
        <v>88.9568373188755</v>
      </c>
      <c r="AN6414">
        <v>1.0000000453840101</v>
      </c>
    </row>
    <row r="6415" spans="1:40" x14ac:dyDescent="0.25">
      <c r="A6415" t="str">
        <f>"20190312161145474"</f>
        <v>20190312161145474</v>
      </c>
      <c r="B6415" t="str">
        <f>"1552378305463576"</f>
        <v>1552378305463576</v>
      </c>
      <c r="C6415" t="s">
        <v>40</v>
      </c>
      <c r="D6415">
        <v>5.3107930000000003</v>
      </c>
      <c r="E6415">
        <v>0.4620726</v>
      </c>
      <c r="F6415" t="s">
        <v>110</v>
      </c>
      <c r="G6415">
        <v>-214.43029999999999</v>
      </c>
      <c r="H6415" s="1">
        <v>-1.3121600000000001E-6</v>
      </c>
      <c r="I6415">
        <v>-62.046909999999997</v>
      </c>
      <c r="J6415">
        <v>-225.92939999999999</v>
      </c>
      <c r="K6415">
        <v>1.10954</v>
      </c>
      <c r="L6415">
        <v>-63.281519999999901</v>
      </c>
      <c r="M6415">
        <v>0.99973230000000002</v>
      </c>
      <c r="N6415">
        <v>0</v>
      </c>
      <c r="O6415">
        <v>2.134838E-2</v>
      </c>
      <c r="P6415">
        <v>0.99956409999999996</v>
      </c>
      <c r="Q6415">
        <v>-2.9407180000000002E-2</v>
      </c>
      <c r="R6415">
        <v>2.7444240000000001E-3</v>
      </c>
      <c r="S6415">
        <v>2.991943</v>
      </c>
      <c r="T6415">
        <v>-0.2860297</v>
      </c>
      <c r="U6415">
        <v>0.31884770000000001</v>
      </c>
      <c r="V6415">
        <v>1.8595279999999999E-2</v>
      </c>
      <c r="W6415">
        <v>-2.047415E-2</v>
      </c>
      <c r="X6415">
        <v>0.99961750000000005</v>
      </c>
      <c r="Y6415">
        <v>-8.4431309999999996E-2</v>
      </c>
      <c r="Z6415">
        <v>1.9854009999999999E-3</v>
      </c>
      <c r="AA6415">
        <v>0.99642730000000002</v>
      </c>
      <c r="AB6415">
        <v>23</v>
      </c>
      <c r="AC6415">
        <v>11.4991</v>
      </c>
      <c r="AD6415">
        <v>-1.10954131216</v>
      </c>
      <c r="AE6415">
        <v>1.23460999999999</v>
      </c>
      <c r="AF6415">
        <v>-0.97981337652584</v>
      </c>
      <c r="AG6415">
        <v>-1.10954131216</v>
      </c>
      <c r="AH6415">
        <v>11.417746939161701</v>
      </c>
      <c r="AI6415">
        <v>95.530200139353198</v>
      </c>
      <c r="AJ6415">
        <v>94.904817947269393</v>
      </c>
      <c r="AK6415">
        <v>11.513299324822</v>
      </c>
      <c r="AL6415">
        <v>91.173164285826005</v>
      </c>
      <c r="AM6415">
        <v>88.934284172480005</v>
      </c>
      <c r="AN6415">
        <v>1.0000000607813699</v>
      </c>
    </row>
    <row r="6416" spans="1:40" x14ac:dyDescent="0.25">
      <c r="A6416" t="str">
        <f>"20190312161145487"</f>
        <v>20190312161145487</v>
      </c>
      <c r="B6416" t="str">
        <f>"1552378305484072"</f>
        <v>1552378305484072</v>
      </c>
      <c r="C6416" t="s">
        <v>40</v>
      </c>
      <c r="D6416">
        <v>5.2726559999999996</v>
      </c>
      <c r="E6416">
        <v>0.46216200000000002</v>
      </c>
      <c r="F6416" t="s">
        <v>110</v>
      </c>
      <c r="G6416">
        <v>-214.23310000000001</v>
      </c>
      <c r="H6416" s="1">
        <v>-1.2262170000000001E-6</v>
      </c>
      <c r="I6416">
        <v>-62.041849999999997</v>
      </c>
      <c r="J6416">
        <v>-225.78919999999999</v>
      </c>
      <c r="K6416">
        <v>1.1095410000000001</v>
      </c>
      <c r="L6416">
        <v>-63.278530000000003</v>
      </c>
      <c r="M6416">
        <v>0.99973210000000001</v>
      </c>
      <c r="N6416">
        <v>0</v>
      </c>
      <c r="O6416">
        <v>2.1351140000000001E-2</v>
      </c>
      <c r="P6416">
        <v>0.99956290000000003</v>
      </c>
      <c r="Q6416">
        <v>-2.946447E-2</v>
      </c>
      <c r="R6416">
        <v>2.4849820000000002E-3</v>
      </c>
      <c r="S6416">
        <v>2.9920810000000002</v>
      </c>
      <c r="T6416">
        <v>-0.2838348</v>
      </c>
      <c r="U6416">
        <v>0.31710820000000001</v>
      </c>
      <c r="V6416">
        <v>1.8857659999999998E-2</v>
      </c>
      <c r="W6416">
        <v>-2.05211E-2</v>
      </c>
      <c r="X6416">
        <v>0.99961160000000004</v>
      </c>
      <c r="Y6416">
        <v>-8.3857790000000001E-2</v>
      </c>
      <c r="Z6416">
        <v>1.9428749999999999E-3</v>
      </c>
      <c r="AA6416">
        <v>0.99647580000000002</v>
      </c>
      <c r="AB6416">
        <v>23</v>
      </c>
      <c r="AC6416">
        <v>11.556099999999899</v>
      </c>
      <c r="AD6416">
        <v>-1.1095422262169901</v>
      </c>
      <c r="AE6416">
        <v>1.23668</v>
      </c>
      <c r="AF6416">
        <v>-0.980713855069834</v>
      </c>
      <c r="AG6416">
        <v>-1.1095422262169901</v>
      </c>
      <c r="AH6416">
        <v>11.475282730162</v>
      </c>
      <c r="AI6416">
        <v>95.502811011611797</v>
      </c>
      <c r="AJ6416">
        <v>94.884808303600593</v>
      </c>
      <c r="AK6416">
        <v>11.570436351082</v>
      </c>
      <c r="AL6416">
        <v>91.175854913569907</v>
      </c>
      <c r="AM6416">
        <v>88.919244052204306</v>
      </c>
      <c r="AN6416">
        <v>1.0000000388702199</v>
      </c>
    </row>
    <row r="6417" spans="1:40" x14ac:dyDescent="0.25">
      <c r="A6417" t="str">
        <f>"20190312161145496"</f>
        <v>20190312161145496</v>
      </c>
      <c r="B6417" t="str">
        <f>"1552378305493832"</f>
        <v>1552378305493832</v>
      </c>
      <c r="C6417" t="s">
        <v>40</v>
      </c>
      <c r="D6417">
        <v>5.2491440000000003</v>
      </c>
      <c r="E6417">
        <v>0.46221200000000001</v>
      </c>
      <c r="F6417" t="s">
        <v>110</v>
      </c>
      <c r="G6417">
        <v>-213.83500000000001</v>
      </c>
      <c r="H6417" s="1">
        <v>-1.0492470000000001E-6</v>
      </c>
      <c r="I6417">
        <v>-62.018590000000003</v>
      </c>
      <c r="J6417">
        <v>-225.68100000000001</v>
      </c>
      <c r="K6417">
        <v>1.1095429999999999</v>
      </c>
      <c r="L6417">
        <v>-63.276209999999999</v>
      </c>
      <c r="M6417">
        <v>0.99973179999999995</v>
      </c>
      <c r="N6417">
        <v>0</v>
      </c>
      <c r="O6417">
        <v>2.135329E-2</v>
      </c>
      <c r="P6417">
        <v>0.99956279999999997</v>
      </c>
      <c r="Q6417">
        <v>-2.9471839999999999E-2</v>
      </c>
      <c r="R6417">
        <v>2.3053399999999999E-3</v>
      </c>
      <c r="S6417">
        <v>2.99234</v>
      </c>
      <c r="T6417">
        <v>-0.2777365</v>
      </c>
      <c r="U6417">
        <v>0.3153687</v>
      </c>
      <c r="V6417">
        <v>1.9039449999999999E-2</v>
      </c>
      <c r="W6417">
        <v>-2.051644E-2</v>
      </c>
      <c r="X6417">
        <v>0.99960819999999995</v>
      </c>
      <c r="Y6417">
        <v>-8.3287920000000001E-2</v>
      </c>
      <c r="Z6417">
        <v>1.874686E-3</v>
      </c>
      <c r="AA6417">
        <v>0.99652370000000001</v>
      </c>
      <c r="AB6417">
        <v>23</v>
      </c>
      <c r="AC6417">
        <v>11.845999999999901</v>
      </c>
      <c r="AD6417">
        <v>-1.1095440492469999</v>
      </c>
      <c r="AE6417">
        <v>1.25761999999999</v>
      </c>
      <c r="AF6417">
        <v>-0.99573382835361002</v>
      </c>
      <c r="AG6417">
        <v>-1.1095440492469999</v>
      </c>
      <c r="AH6417">
        <v>11.7680642119265</v>
      </c>
      <c r="AI6417">
        <v>95.367105887336194</v>
      </c>
      <c r="AJ6417">
        <v>94.836460411446296</v>
      </c>
      <c r="AK6417">
        <v>11.8621207694987</v>
      </c>
      <c r="AL6417">
        <v>91.175587917380696</v>
      </c>
      <c r="AM6417">
        <v>88.908824237650407</v>
      </c>
      <c r="AN6417">
        <v>0.99999998923690703</v>
      </c>
    </row>
    <row r="6418" spans="1:40" x14ac:dyDescent="0.25">
      <c r="A6418" t="str">
        <f>"20190312161145508"</f>
        <v>20190312161145508</v>
      </c>
      <c r="B6418" t="str">
        <f>"1552378305503591"</f>
        <v>1552378305503591</v>
      </c>
      <c r="C6418" t="s">
        <v>40</v>
      </c>
      <c r="D6418">
        <v>5.2560310000000001</v>
      </c>
      <c r="E6418">
        <v>0.46224369999999998</v>
      </c>
      <c r="F6418" t="s">
        <v>110</v>
      </c>
      <c r="G6418">
        <v>-213.59289999999999</v>
      </c>
      <c r="H6418" s="1">
        <v>-9.4212810000000002E-7</v>
      </c>
      <c r="I6418">
        <v>-62.006300000000003</v>
      </c>
      <c r="J6418">
        <v>-225.5737</v>
      </c>
      <c r="K6418">
        <v>1.1095440000000001</v>
      </c>
      <c r="L6418">
        <v>-63.273960000000002</v>
      </c>
      <c r="M6418">
        <v>0.9997317</v>
      </c>
      <c r="N6418">
        <v>0</v>
      </c>
      <c r="O6418">
        <v>2.135519E-2</v>
      </c>
      <c r="P6418">
        <v>0.99956199999999995</v>
      </c>
      <c r="Q6418">
        <v>-2.9521539999999999E-2</v>
      </c>
      <c r="R6418">
        <v>2.115904E-3</v>
      </c>
      <c r="S6418">
        <v>2.9924930000000001</v>
      </c>
      <c r="T6418">
        <v>-0.27467449999999999</v>
      </c>
      <c r="U6418">
        <v>0.31436160000000002</v>
      </c>
      <c r="V6418">
        <v>1.9230629999999999E-2</v>
      </c>
      <c r="W6418">
        <v>-2.0552129999999998E-2</v>
      </c>
      <c r="X6418">
        <v>0.99960380000000004</v>
      </c>
      <c r="Y6418">
        <v>-8.2956189999999999E-2</v>
      </c>
      <c r="Z6418">
        <v>1.838716E-3</v>
      </c>
      <c r="AA6418">
        <v>0.99655150000000003</v>
      </c>
      <c r="AB6418">
        <v>23</v>
      </c>
      <c r="AC6418">
        <v>11.9808</v>
      </c>
      <c r="AD6418">
        <v>-1.1095449421281001</v>
      </c>
      <c r="AE6418">
        <v>1.26765999999999</v>
      </c>
      <c r="AF6418">
        <v>-1.00300117280018</v>
      </c>
      <c r="AG6418">
        <v>-1.1095449421281001</v>
      </c>
      <c r="AH6418">
        <v>11.9041721212723</v>
      </c>
      <c r="AI6418">
        <v>95.306254777969102</v>
      </c>
      <c r="AJ6418">
        <v>94.816153503600702</v>
      </c>
      <c r="AK6418">
        <v>11.997767093260199</v>
      </c>
      <c r="AL6418">
        <v>91.1776332434642</v>
      </c>
      <c r="AM6418">
        <v>88.897865301056697</v>
      </c>
      <c r="AN6418">
        <v>0.99999998207608598</v>
      </c>
    </row>
    <row r="6419" spans="1:40" x14ac:dyDescent="0.25">
      <c r="A6419" t="str">
        <f>"20190312161145518"</f>
        <v>20190312161145518</v>
      </c>
      <c r="B6419" t="str">
        <f>"1552378305513352"</f>
        <v>1552378305513352</v>
      </c>
      <c r="C6419" t="s">
        <v>40</v>
      </c>
      <c r="D6419">
        <v>5.2696249999999996</v>
      </c>
      <c r="E6419">
        <v>0.46228659999999999</v>
      </c>
      <c r="F6419" t="s">
        <v>110</v>
      </c>
      <c r="G6419">
        <v>-213.37389999999999</v>
      </c>
      <c r="H6419" s="1">
        <v>-8.455371E-7</v>
      </c>
      <c r="I6419">
        <v>-61.99635</v>
      </c>
      <c r="J6419">
        <v>-225.4631</v>
      </c>
      <c r="K6419">
        <v>1.109545</v>
      </c>
      <c r="L6419">
        <v>-63.271549999999998</v>
      </c>
      <c r="M6419">
        <v>0.99973160000000005</v>
      </c>
      <c r="N6419">
        <v>0</v>
      </c>
      <c r="O6419">
        <v>2.1357310000000001E-2</v>
      </c>
      <c r="P6419">
        <v>0.99955939999999999</v>
      </c>
      <c r="Q6419">
        <v>-2.9635600000000002E-2</v>
      </c>
      <c r="R6419">
        <v>1.739034E-3</v>
      </c>
      <c r="S6419">
        <v>2.9926149999999998</v>
      </c>
      <c r="T6419">
        <v>-0.272173</v>
      </c>
      <c r="U6419">
        <v>0.31338500000000002</v>
      </c>
      <c r="V6419">
        <v>1.9609459999999999E-2</v>
      </c>
      <c r="W6419">
        <v>-2.064852E-2</v>
      </c>
      <c r="X6419">
        <v>0.99959439999999999</v>
      </c>
      <c r="Y6419">
        <v>-8.2634139999999995E-2</v>
      </c>
      <c r="Z6419">
        <v>1.807227E-3</v>
      </c>
      <c r="AA6419">
        <v>0.99657830000000003</v>
      </c>
      <c r="AB6419">
        <v>23</v>
      </c>
      <c r="AC6419">
        <v>12.0892</v>
      </c>
      <c r="AD6419">
        <v>-1.1095458455370999</v>
      </c>
      <c r="AE6419">
        <v>1.2751999999999899</v>
      </c>
      <c r="AF6419">
        <v>-1.0083058596313701</v>
      </c>
      <c r="AG6419">
        <v>-1.1095458455370999</v>
      </c>
      <c r="AH6419">
        <v>12.013594671436501</v>
      </c>
      <c r="AI6419">
        <v>95.258342886730503</v>
      </c>
      <c r="AJ6419">
        <v>94.797613734297698</v>
      </c>
      <c r="AK6419">
        <v>12.106784445899899</v>
      </c>
      <c r="AL6419">
        <v>91.183157219487498</v>
      </c>
      <c r="AM6419">
        <v>88.876148964979095</v>
      </c>
      <c r="AN6419">
        <v>0.99999992840551799</v>
      </c>
    </row>
    <row r="6420" spans="1:40" x14ac:dyDescent="0.25">
      <c r="A6420" t="str">
        <f>"20190312161145529"</f>
        <v>20190312161145529</v>
      </c>
      <c r="B6420" t="str">
        <f>"1552378305524087"</f>
        <v>1552378305524087</v>
      </c>
      <c r="C6420" t="s">
        <v>40</v>
      </c>
      <c r="D6420">
        <v>5.1520140000000003</v>
      </c>
      <c r="E6420">
        <v>0.462341</v>
      </c>
      <c r="F6420" t="s">
        <v>110</v>
      </c>
      <c r="G6420">
        <v>-213.1618</v>
      </c>
      <c r="H6420" s="1">
        <v>-7.5272750000000003E-7</v>
      </c>
      <c r="I6420">
        <v>-61.989640000000001</v>
      </c>
      <c r="J6420">
        <v>-225.34719999999999</v>
      </c>
      <c r="K6420">
        <v>1.1095489999999999</v>
      </c>
      <c r="L6420">
        <v>-63.269100000000002</v>
      </c>
      <c r="M6420">
        <v>0.99973129999999999</v>
      </c>
      <c r="N6420">
        <v>0</v>
      </c>
      <c r="O6420">
        <v>2.135954E-2</v>
      </c>
      <c r="P6420">
        <v>0.99955890000000003</v>
      </c>
      <c r="Q6420">
        <v>-2.9661010000000002E-2</v>
      </c>
      <c r="R6420">
        <v>1.629333E-3</v>
      </c>
      <c r="S6420">
        <v>2.9927670000000002</v>
      </c>
      <c r="T6420">
        <v>-0.26993929999999999</v>
      </c>
      <c r="U6420">
        <v>0.3118591</v>
      </c>
      <c r="V6420">
        <v>1.9721220000000001E-2</v>
      </c>
      <c r="W6420">
        <v>-2.065299E-2</v>
      </c>
      <c r="X6420">
        <v>0.99959219999999904</v>
      </c>
      <c r="Y6420">
        <v>-8.2130149999999999E-2</v>
      </c>
      <c r="Z6420">
        <v>1.7695860000000001E-3</v>
      </c>
      <c r="AA6420">
        <v>0.99662010000000001</v>
      </c>
      <c r="AB6420">
        <v>23</v>
      </c>
      <c r="AC6420">
        <v>12.1853999999999</v>
      </c>
      <c r="AD6420">
        <v>-1.1095497527275</v>
      </c>
      <c r="AE6420">
        <v>1.27946</v>
      </c>
      <c r="AF6420">
        <v>-1.01059537317906</v>
      </c>
      <c r="AG6420">
        <v>-1.1095497527275</v>
      </c>
      <c r="AH6420">
        <v>12.1106336196078</v>
      </c>
      <c r="AI6420">
        <v>95.216669412538593</v>
      </c>
      <c r="AJ6420">
        <v>94.770106185398205</v>
      </c>
      <c r="AK6420">
        <v>12.2032721157255</v>
      </c>
      <c r="AL6420">
        <v>91.183413278559399</v>
      </c>
      <c r="AM6420">
        <v>88.869742981880904</v>
      </c>
      <c r="AN6420">
        <v>1.00000001940753</v>
      </c>
    </row>
    <row r="6421" spans="1:40" x14ac:dyDescent="0.25">
      <c r="A6421" t="str">
        <f>"20190312161145541"</f>
        <v>20190312161145541</v>
      </c>
      <c r="B6421" t="str">
        <f>"1552378305533847"</f>
        <v>1552378305533847</v>
      </c>
      <c r="C6421" t="s">
        <v>40</v>
      </c>
      <c r="D6421">
        <v>5.1972849999999999</v>
      </c>
      <c r="E6421">
        <v>0.46241280000000001</v>
      </c>
      <c r="F6421" t="s">
        <v>110</v>
      </c>
      <c r="G6421">
        <v>-212.92519999999999</v>
      </c>
      <c r="H6421" s="1">
        <v>-6.4815629999999997E-7</v>
      </c>
      <c r="I6421">
        <v>-61.978090000000002</v>
      </c>
      <c r="J6421">
        <v>-225.2148</v>
      </c>
      <c r="K6421">
        <v>1.1095539999999999</v>
      </c>
      <c r="L6421">
        <v>-63.266269999999999</v>
      </c>
      <c r="M6421">
        <v>0.99973089999999998</v>
      </c>
      <c r="N6421">
        <v>0</v>
      </c>
      <c r="O6421">
        <v>2.1362099999999998E-2</v>
      </c>
      <c r="P6421">
        <v>0.99956160000000005</v>
      </c>
      <c r="Q6421">
        <v>-2.9574E-2</v>
      </c>
      <c r="R6421">
        <v>1.36411E-3</v>
      </c>
      <c r="S6421">
        <v>2.9928889999999999</v>
      </c>
      <c r="T6421">
        <v>-0.26732850000000002</v>
      </c>
      <c r="U6421">
        <v>0.31103520000000001</v>
      </c>
      <c r="V6421">
        <v>1.9989239999999998E-2</v>
      </c>
      <c r="W6421">
        <v>-2.0539479999999999E-2</v>
      </c>
      <c r="X6421">
        <v>0.99958919999999996</v>
      </c>
      <c r="Y6421">
        <v>-8.1857730000000004E-2</v>
      </c>
      <c r="Z6421">
        <v>1.740154E-3</v>
      </c>
      <c r="AA6421">
        <v>0.99664249999999999</v>
      </c>
      <c r="AB6421">
        <v>23</v>
      </c>
      <c r="AC6421">
        <v>12.2896</v>
      </c>
      <c r="AD6421">
        <v>-1.1095546481562999</v>
      </c>
      <c r="AE6421">
        <v>1.2881799999999901</v>
      </c>
      <c r="AF6421">
        <v>-1.01714277940344</v>
      </c>
      <c r="AG6421">
        <v>-1.1095546481562999</v>
      </c>
      <c r="AH6421">
        <v>12.2158231177856</v>
      </c>
      <c r="AI6421">
        <v>95.172094190943</v>
      </c>
      <c r="AJ6421">
        <v>94.759717440636194</v>
      </c>
      <c r="AK6421">
        <v>12.3082096746831</v>
      </c>
      <c r="AL6421">
        <v>91.176908272589102</v>
      </c>
      <c r="AM6421">
        <v>88.854382923893496</v>
      </c>
      <c r="AN6421">
        <v>1.0000000043555399</v>
      </c>
    </row>
    <row r="6422" spans="1:40" x14ac:dyDescent="0.25">
      <c r="A6422" t="str">
        <f>"20190312161145555"</f>
        <v>20190312161145555</v>
      </c>
      <c r="B6422" t="str">
        <f>"1552378305543608"</f>
        <v>1552378305543608</v>
      </c>
      <c r="C6422" t="s">
        <v>40</v>
      </c>
      <c r="D6422">
        <v>5.237768</v>
      </c>
      <c r="E6422">
        <v>0.4624569</v>
      </c>
      <c r="F6422" t="s">
        <v>110</v>
      </c>
      <c r="G6422">
        <v>-212.67240000000001</v>
      </c>
      <c r="H6422" s="1">
        <v>-5.3726889999999997E-7</v>
      </c>
      <c r="I6422">
        <v>-61.968829999999997</v>
      </c>
      <c r="J6422">
        <v>-225.07769999999999</v>
      </c>
      <c r="K6422">
        <v>1.1095619999999999</v>
      </c>
      <c r="L6422">
        <v>-63.263339999999999</v>
      </c>
      <c r="M6422">
        <v>0.99973080000000003</v>
      </c>
      <c r="N6422">
        <v>0</v>
      </c>
      <c r="O6422">
        <v>2.136476E-2</v>
      </c>
      <c r="P6422">
        <v>0.99956690000000004</v>
      </c>
      <c r="Q6422">
        <v>-2.9395810000000001E-2</v>
      </c>
      <c r="R6422">
        <v>1.488727E-3</v>
      </c>
      <c r="S6422">
        <v>2.9930729999999999</v>
      </c>
      <c r="T6422">
        <v>-0.2647794</v>
      </c>
      <c r="U6422">
        <v>0.30960079999999901</v>
      </c>
      <c r="V6422">
        <v>1.9867280000000001E-2</v>
      </c>
      <c r="W6422">
        <v>-2.0329239999999998E-2</v>
      </c>
      <c r="X6422">
        <v>0.99959589999999998</v>
      </c>
      <c r="Y6422">
        <v>-8.1382650000000001E-2</v>
      </c>
      <c r="Z6422">
        <v>1.702409E-3</v>
      </c>
      <c r="AA6422">
        <v>0.9966815</v>
      </c>
      <c r="AB6422">
        <v>23</v>
      </c>
      <c r="AC6422">
        <v>12.405299999999899</v>
      </c>
      <c r="AD6422">
        <v>-1.1095625372689</v>
      </c>
      <c r="AE6422">
        <v>1.2945099999999901</v>
      </c>
      <c r="AF6422">
        <v>-1.0210867094714</v>
      </c>
      <c r="AG6422">
        <v>-1.1095625372689</v>
      </c>
      <c r="AH6422">
        <v>12.332528997527399</v>
      </c>
      <c r="AI6422">
        <v>95.1236440396859</v>
      </c>
      <c r="AJ6422">
        <v>94.7330779006152</v>
      </c>
      <c r="AK6422">
        <v>12.4243719586635</v>
      </c>
      <c r="AL6422">
        <v>91.164859926328106</v>
      </c>
      <c r="AM6422">
        <v>88.861378441389903</v>
      </c>
      <c r="AN6422">
        <v>0.999999975055192</v>
      </c>
    </row>
    <row r="6423" spans="1:40" x14ac:dyDescent="0.25">
      <c r="A6423" t="str">
        <f>"20190312161145568"</f>
        <v>20190312161145568</v>
      </c>
      <c r="B6423" t="str">
        <f>"1552378305564103"</f>
        <v>1552378305564103</v>
      </c>
      <c r="C6423" t="s">
        <v>40</v>
      </c>
      <c r="D6423">
        <v>5.1958640000000003</v>
      </c>
      <c r="E6423">
        <v>0.462534</v>
      </c>
      <c r="F6423" t="s">
        <v>110</v>
      </c>
      <c r="G6423">
        <v>-212.4057</v>
      </c>
      <c r="H6423" s="1">
        <v>-4.1858739999999998E-7</v>
      </c>
      <c r="I6423">
        <v>-61.9529</v>
      </c>
      <c r="J6423">
        <v>-224.9469</v>
      </c>
      <c r="K6423">
        <v>1.109569</v>
      </c>
      <c r="L6423">
        <v>-63.260559999999998</v>
      </c>
      <c r="M6423">
        <v>0.99973029999999996</v>
      </c>
      <c r="N6423">
        <v>0</v>
      </c>
      <c r="O6423">
        <v>2.136764E-2</v>
      </c>
      <c r="P6423">
        <v>0.99956730000000005</v>
      </c>
      <c r="Q6423">
        <v>-2.9383409999999999E-2</v>
      </c>
      <c r="R6423">
        <v>1.424856E-3</v>
      </c>
      <c r="S6423">
        <v>2.9931179999999999</v>
      </c>
      <c r="T6423">
        <v>-0.2620767</v>
      </c>
      <c r="U6423">
        <v>0.30950929999999999</v>
      </c>
      <c r="V6423">
        <v>1.993406E-2</v>
      </c>
      <c r="W6423">
        <v>-2.0283530000000001E-2</v>
      </c>
      <c r="X6423">
        <v>0.99959549999999997</v>
      </c>
      <c r="Y6423">
        <v>-8.1352859999999999E-2</v>
      </c>
      <c r="Z6423">
        <v>1.683524E-3</v>
      </c>
      <c r="AA6423">
        <v>0.99668400000000001</v>
      </c>
      <c r="AB6423">
        <v>23</v>
      </c>
      <c r="AC6423">
        <v>12.5412</v>
      </c>
      <c r="AD6423">
        <v>-1.1095694185873901</v>
      </c>
      <c r="AE6423">
        <v>1.3076599999999901</v>
      </c>
      <c r="AF6423">
        <v>-1.03138798021901</v>
      </c>
      <c r="AG6423">
        <v>-1.1095694185873901</v>
      </c>
      <c r="AH6423">
        <v>12.469720519234199</v>
      </c>
      <c r="AI6423">
        <v>95.067635393356198</v>
      </c>
      <c r="AJ6423">
        <v>94.728251190513404</v>
      </c>
      <c r="AK6423">
        <v>12.5614026003554</v>
      </c>
      <c r="AL6423">
        <v>91.162240394970993</v>
      </c>
      <c r="AM6423">
        <v>88.857551741952904</v>
      </c>
      <c r="AN6423">
        <v>0.99999997597879597</v>
      </c>
    </row>
    <row r="6424" spans="1:40" x14ac:dyDescent="0.25">
      <c r="A6424" t="str">
        <f>"20190312161145581"</f>
        <v>20190312161145581</v>
      </c>
      <c r="B6424" t="str">
        <f>"1552378305573162"</f>
        <v>1552378305573162</v>
      </c>
      <c r="C6424" t="s">
        <v>40</v>
      </c>
      <c r="D6424">
        <v>5.2012010000000002</v>
      </c>
      <c r="E6424">
        <v>0.46258490000000002</v>
      </c>
      <c r="F6424" t="s">
        <v>110</v>
      </c>
      <c r="G6424">
        <v>-212.02359999999999</v>
      </c>
      <c r="H6424" s="1">
        <v>-2.4818780000000001E-7</v>
      </c>
      <c r="I6424">
        <v>-61.928440000000002</v>
      </c>
      <c r="J6424">
        <v>-224.78739999999999</v>
      </c>
      <c r="K6424">
        <v>1.109578</v>
      </c>
      <c r="L6424">
        <v>-63.25714</v>
      </c>
      <c r="M6424">
        <v>0.99972969999999906</v>
      </c>
      <c r="N6424">
        <v>0</v>
      </c>
      <c r="O6424">
        <v>2.1371600000000001E-2</v>
      </c>
      <c r="P6424">
        <v>0.99956639999999997</v>
      </c>
      <c r="Q6424">
        <v>-2.9408440000000001E-2</v>
      </c>
      <c r="R6424">
        <v>1.4609429999999999E-3</v>
      </c>
      <c r="S6424">
        <v>2.9933010000000002</v>
      </c>
      <c r="T6424">
        <v>-0.25699909999999998</v>
      </c>
      <c r="U6424">
        <v>0.30853269999999999</v>
      </c>
      <c r="V6424">
        <v>1.9901990000000001E-2</v>
      </c>
      <c r="W6424">
        <v>-2.0261749999999999E-2</v>
      </c>
      <c r="X6424">
        <v>0.99959659999999995</v>
      </c>
      <c r="Y6424">
        <v>-8.1030820000000003E-2</v>
      </c>
      <c r="Z6424">
        <v>1.63685E-3</v>
      </c>
      <c r="AA6424">
        <v>0.99671019999999999</v>
      </c>
      <c r="AB6424">
        <v>24</v>
      </c>
      <c r="AC6424">
        <v>12.7638</v>
      </c>
      <c r="AD6424">
        <v>-1.1095782481878</v>
      </c>
      <c r="AE6424">
        <v>1.32869999999999</v>
      </c>
      <c r="AF6424">
        <v>-1.0477690225685099</v>
      </c>
      <c r="AG6424">
        <v>-1.1095782481878</v>
      </c>
      <c r="AH6424">
        <v>12.694377756689899</v>
      </c>
      <c r="AI6424">
        <v>94.978516150582095</v>
      </c>
      <c r="AJ6424">
        <v>94.718385861315795</v>
      </c>
      <c r="AK6424">
        <v>12.7857815734139</v>
      </c>
      <c r="AL6424">
        <v>91.160992214004693</v>
      </c>
      <c r="AM6424">
        <v>88.859390486434805</v>
      </c>
      <c r="AN6424">
        <v>0.99999999522529104</v>
      </c>
    </row>
    <row r="6425" spans="1:40" x14ac:dyDescent="0.25">
      <c r="A6425" t="str">
        <f>"20190312161145593"</f>
        <v>20190312161145593</v>
      </c>
      <c r="B6425" t="str">
        <f>"1552378305583898"</f>
        <v>1552378305583898</v>
      </c>
      <c r="C6425" t="s">
        <v>40</v>
      </c>
      <c r="D6425">
        <v>5.1953750000000003</v>
      </c>
      <c r="E6425">
        <v>0.46263470000000001</v>
      </c>
      <c r="F6425" t="s">
        <v>110</v>
      </c>
      <c r="G6425">
        <v>-211.7544</v>
      </c>
      <c r="H6425" s="1">
        <v>-1.292202E-7</v>
      </c>
      <c r="I6425">
        <v>-61.91534</v>
      </c>
      <c r="J6425">
        <v>-224.67400000000001</v>
      </c>
      <c r="K6425">
        <v>1.109585</v>
      </c>
      <c r="L6425">
        <v>-63.2547</v>
      </c>
      <c r="M6425">
        <v>0.99972939999999999</v>
      </c>
      <c r="N6425">
        <v>0</v>
      </c>
      <c r="O6425">
        <v>2.137439E-2</v>
      </c>
      <c r="P6425">
        <v>0.99957169999999895</v>
      </c>
      <c r="Q6425">
        <v>-2.9239770000000002E-2</v>
      </c>
      <c r="R6425">
        <v>1.372891E-3</v>
      </c>
      <c r="S6425">
        <v>2.9933619999999999</v>
      </c>
      <c r="T6425">
        <v>-0.2548434</v>
      </c>
      <c r="U6425">
        <v>0.30816650000000001</v>
      </c>
      <c r="V6425">
        <v>1.9992909999999999E-2</v>
      </c>
      <c r="W6425">
        <v>-2.0052190000000001E-2</v>
      </c>
      <c r="X6425">
        <v>0.99959900000000002</v>
      </c>
      <c r="Y6425">
        <v>-8.0909389999999998E-2</v>
      </c>
      <c r="Z6425">
        <v>1.617762E-3</v>
      </c>
      <c r="AA6425">
        <v>0.9967201</v>
      </c>
      <c r="AB6425">
        <v>24</v>
      </c>
      <c r="AC6425">
        <v>12.919600000000001</v>
      </c>
      <c r="AD6425">
        <v>-1.1095851292201999</v>
      </c>
      <c r="AE6425">
        <v>1.3393599999999899</v>
      </c>
      <c r="AF6425">
        <v>-1.05519339371304</v>
      </c>
      <c r="AG6425">
        <v>-1.1095851292201999</v>
      </c>
      <c r="AH6425">
        <v>12.851492210997799</v>
      </c>
      <c r="AI6425">
        <v>94.918155171913</v>
      </c>
      <c r="AJ6425">
        <v>94.693837439893997</v>
      </c>
      <c r="AK6425">
        <v>12.9423902083989</v>
      </c>
      <c r="AL6425">
        <v>91.148982883547404</v>
      </c>
      <c r="AM6425">
        <v>88.854183876689106</v>
      </c>
      <c r="AN6425">
        <v>0.99999998378753197</v>
      </c>
    </row>
    <row r="6426" spans="1:40" x14ac:dyDescent="0.25">
      <c r="A6426" t="str">
        <f>"20190312161145605"</f>
        <v>20190312161145605</v>
      </c>
      <c r="B6426" t="str">
        <f>"1552378305593659"</f>
        <v>1552378305593659</v>
      </c>
      <c r="C6426" t="s">
        <v>40</v>
      </c>
      <c r="D6426">
        <v>5.166423</v>
      </c>
      <c r="E6426">
        <v>0.46263470000000001</v>
      </c>
      <c r="F6426" t="s">
        <v>110</v>
      </c>
      <c r="G6426">
        <v>-211.49350000000001</v>
      </c>
      <c r="H6426" s="1">
        <v>-1.3489280000000001E-8</v>
      </c>
      <c r="I6426">
        <v>-61.901000000000003</v>
      </c>
      <c r="J6426">
        <v>-224.55439999999999</v>
      </c>
      <c r="K6426">
        <v>1.10959599999999</v>
      </c>
      <c r="L6426">
        <v>-63.252139999999997</v>
      </c>
      <c r="M6426">
        <v>0.99972879999999997</v>
      </c>
      <c r="N6426">
        <v>0</v>
      </c>
      <c r="O6426">
        <v>2.1377699999999999E-2</v>
      </c>
      <c r="P6426">
        <v>0.9995714</v>
      </c>
      <c r="Q6426">
        <v>-2.9232230000000001E-2</v>
      </c>
      <c r="R6426">
        <v>1.626298E-3</v>
      </c>
      <c r="S6426">
        <v>2.9935</v>
      </c>
      <c r="T6426">
        <v>-0.25200460000000002</v>
      </c>
      <c r="U6426">
        <v>0.30743409999999999</v>
      </c>
      <c r="V6426">
        <v>1.974304E-2</v>
      </c>
      <c r="W6426">
        <v>-1.999888E-2</v>
      </c>
      <c r="X6426">
        <v>0.99960510000000002</v>
      </c>
      <c r="Y6426">
        <v>-8.0665669999999995E-2</v>
      </c>
      <c r="Z6426">
        <v>1.5892600000000001E-3</v>
      </c>
      <c r="AA6426">
        <v>0.99673990000000001</v>
      </c>
      <c r="AB6426">
        <v>24</v>
      </c>
      <c r="AC6426">
        <v>13.060899999999901</v>
      </c>
      <c r="AD6426">
        <v>-1.10959601348927</v>
      </c>
      <c r="AE6426">
        <v>1.35114</v>
      </c>
      <c r="AF6426">
        <v>-1.06400916879826</v>
      </c>
      <c r="AG6426">
        <v>-1.10959601348927</v>
      </c>
      <c r="AH6426">
        <v>12.994009897581099</v>
      </c>
      <c r="AI6426">
        <v>94.864608406936497</v>
      </c>
      <c r="AJ6426">
        <v>94.681197427467893</v>
      </c>
      <c r="AK6426">
        <v>13.0846326674795</v>
      </c>
      <c r="AL6426">
        <v>91.145927757675693</v>
      </c>
      <c r="AM6426">
        <v>88.868507363526305</v>
      </c>
      <c r="AN6426">
        <v>1.00000004938785</v>
      </c>
    </row>
    <row r="6427" spans="1:40" x14ac:dyDescent="0.25">
      <c r="A6427" t="str">
        <f>"20190312161145627"</f>
        <v>20190312161145627</v>
      </c>
      <c r="B6427" t="str">
        <f>"1552378305623914"</f>
        <v>1552378305623914</v>
      </c>
      <c r="C6427" t="s">
        <v>40</v>
      </c>
      <c r="D6427">
        <v>5.3259410000000003</v>
      </c>
      <c r="E6427">
        <v>0.48100850000000001</v>
      </c>
      <c r="F6427" t="s">
        <v>110</v>
      </c>
      <c r="G6427">
        <v>-211.37180000000001</v>
      </c>
      <c r="H6427" s="1">
        <v>4.0377470000000002E-8</v>
      </c>
      <c r="I6427">
        <v>-61.894829999999999</v>
      </c>
      <c r="J6427">
        <v>-224.32249999999999</v>
      </c>
      <c r="K6427">
        <v>1.109618</v>
      </c>
      <c r="L6427">
        <v>-63.247160000000001</v>
      </c>
      <c r="M6427">
        <v>0.99972749999999999</v>
      </c>
      <c r="N6427">
        <v>0</v>
      </c>
      <c r="O6427">
        <v>2.1384589999999998E-2</v>
      </c>
      <c r="P6427">
        <v>0.99956449999999997</v>
      </c>
      <c r="Q6427">
        <v>-2.9458149999999999E-2</v>
      </c>
      <c r="R6427">
        <v>1.8325590000000001E-3</v>
      </c>
      <c r="S6427">
        <v>2.993439</v>
      </c>
      <c r="T6427">
        <v>-0.25196210000000002</v>
      </c>
      <c r="U6427">
        <v>0.308197</v>
      </c>
      <c r="V6427">
        <v>1.9543419999999999E-2</v>
      </c>
      <c r="W6427">
        <v>-2.009555E-2</v>
      </c>
      <c r="X6427">
        <v>0.99960700000000002</v>
      </c>
      <c r="Y6427">
        <v>-8.0911460000000004E-2</v>
      </c>
      <c r="Z6427">
        <v>1.5987250000000001E-3</v>
      </c>
      <c r="AA6427">
        <v>0.99672000000000005</v>
      </c>
      <c r="AB6427">
        <v>24</v>
      </c>
      <c r="AC6427">
        <v>12.9506999999999</v>
      </c>
      <c r="AD6427">
        <v>-1.10961795962253</v>
      </c>
      <c r="AE6427">
        <v>1.35232999999999</v>
      </c>
      <c r="AF6427">
        <v>-1.0673124597745101</v>
      </c>
      <c r="AG6427">
        <v>-1.10961795962253</v>
      </c>
      <c r="AH6427">
        <v>12.8831026280385</v>
      </c>
      <c r="AI6427">
        <v>94.905995593482899</v>
      </c>
      <c r="AJ6427">
        <v>94.735906313287202</v>
      </c>
      <c r="AK6427">
        <v>12.974773263054701</v>
      </c>
      <c r="AL6427">
        <v>91.151467750435202</v>
      </c>
      <c r="AM6427">
        <v>88.879946977085496</v>
      </c>
      <c r="AN6427">
        <v>0.99999996542204805</v>
      </c>
    </row>
    <row r="6428" spans="1:40" x14ac:dyDescent="0.25">
      <c r="A6428" t="str">
        <f>"20190312161145638"</f>
        <v>20190312161145638</v>
      </c>
      <c r="B6428" t="str">
        <f>"1552378305633674"</f>
        <v>1552378305633674</v>
      </c>
      <c r="C6428" t="s">
        <v>40</v>
      </c>
      <c r="D6428">
        <v>5.3917909999999996</v>
      </c>
      <c r="E6428">
        <v>0.56134919999999899</v>
      </c>
      <c r="F6428" t="s">
        <v>78</v>
      </c>
      <c r="G6428">
        <v>-209.23349999999999</v>
      </c>
      <c r="H6428" s="1">
        <v>-8.2075079999999998E-7</v>
      </c>
      <c r="I6428">
        <v>-62.434620000000002</v>
      </c>
      <c r="J6428">
        <v>-224.19980000000001</v>
      </c>
      <c r="K6428">
        <v>1.109634</v>
      </c>
      <c r="L6428">
        <v>-63.244540000000001</v>
      </c>
      <c r="M6428">
        <v>0.99972640000000002</v>
      </c>
      <c r="N6428">
        <v>0</v>
      </c>
      <c r="O6428">
        <v>2.1388460000000001E-2</v>
      </c>
      <c r="P6428">
        <v>0.99956069999999997</v>
      </c>
      <c r="Q6428">
        <v>-2.958525E-2</v>
      </c>
      <c r="R6428">
        <v>1.6900179999999999E-3</v>
      </c>
      <c r="S6428">
        <v>2.994507</v>
      </c>
      <c r="T6428">
        <v>-0.22021060000000001</v>
      </c>
      <c r="U6428">
        <v>0.16125490000000001</v>
      </c>
      <c r="V6428">
        <v>1.96898E-2</v>
      </c>
      <c r="W6428">
        <v>-2.0133209999999999E-2</v>
      </c>
      <c r="X6428">
        <v>0.99960340000000003</v>
      </c>
      <c r="Y6428">
        <v>-3.2371980000000002E-2</v>
      </c>
      <c r="Z6428">
        <v>-3.8154379999999998E-4</v>
      </c>
      <c r="AA6428">
        <v>0.99947580000000003</v>
      </c>
      <c r="AB6428">
        <v>24</v>
      </c>
      <c r="AC6428">
        <v>14.9663</v>
      </c>
      <c r="AD6428">
        <v>-1.1096348207508</v>
      </c>
      <c r="AE6428">
        <v>0.80992000000000497</v>
      </c>
      <c r="AF6428">
        <v>-0.486945290539607</v>
      </c>
      <c r="AG6428">
        <v>-1.1096348207508</v>
      </c>
      <c r="AH6428">
        <v>14.898540556621301</v>
      </c>
      <c r="AI6428">
        <v>94.257227678030105</v>
      </c>
      <c r="AJ6428">
        <v>91.871994210836306</v>
      </c>
      <c r="AK6428">
        <v>14.9477394902604</v>
      </c>
      <c r="AL6428">
        <v>91.153625911116507</v>
      </c>
      <c r="AM6428">
        <v>88.871555890541003</v>
      </c>
      <c r="AN6428">
        <v>0.99999999583025201</v>
      </c>
    </row>
    <row r="6429" spans="1:40" x14ac:dyDescent="0.25">
      <c r="A6429" t="str">
        <f>"20190312161145650"</f>
        <v>20190312161145650</v>
      </c>
      <c r="B6429" t="str">
        <f>"1552378305643435"</f>
        <v>1552378305643435</v>
      </c>
      <c r="C6429" t="s">
        <v>40</v>
      </c>
      <c r="D6429">
        <v>5.3330909999999996</v>
      </c>
      <c r="E6429">
        <v>0.56167990000000001</v>
      </c>
      <c r="F6429" t="s">
        <v>42</v>
      </c>
      <c r="G6429">
        <v>-223.458</v>
      </c>
      <c r="H6429">
        <v>0.94351470000000004</v>
      </c>
      <c r="I6429">
        <v>-63.36063</v>
      </c>
      <c r="J6429">
        <v>-224.07849999999999</v>
      </c>
      <c r="K6429">
        <v>1.109656</v>
      </c>
      <c r="L6429">
        <v>-63.24194</v>
      </c>
      <c r="M6429">
        <v>0.99972550000000004</v>
      </c>
      <c r="N6429">
        <v>0</v>
      </c>
      <c r="O6429">
        <v>2.1392319999999999E-2</v>
      </c>
      <c r="P6429">
        <v>0.99955870000000002</v>
      </c>
      <c r="Q6429">
        <v>-2.9653430000000001E-2</v>
      </c>
      <c r="R6429">
        <v>1.8309579999999999E-3</v>
      </c>
      <c r="S6429">
        <v>2.9823300000000001</v>
      </c>
      <c r="T6429">
        <v>-0.66791199999999995</v>
      </c>
      <c r="U6429">
        <v>-0.46612550000000003</v>
      </c>
      <c r="V6429">
        <v>1.9552650000000001E-2</v>
      </c>
      <c r="W6429">
        <v>-2.0101150000000002E-2</v>
      </c>
      <c r="X6429">
        <v>0.99960669999999996</v>
      </c>
      <c r="Y6429">
        <v>0.17086809999999999</v>
      </c>
      <c r="Z6429">
        <v>-2.3496119999999999E-2</v>
      </c>
      <c r="AA6429">
        <v>0.98501369999999999</v>
      </c>
      <c r="AB6429">
        <v>24</v>
      </c>
      <c r="AC6429">
        <v>0.62049999999999195</v>
      </c>
      <c r="AD6429">
        <v>-0.16614129999999999</v>
      </c>
      <c r="AE6429">
        <v>-0.118690000000007</v>
      </c>
      <c r="AF6429">
        <v>0.123402647970667</v>
      </c>
      <c r="AG6429">
        <v>-0.16614129999999999</v>
      </c>
      <c r="AH6429">
        <v>0.57785352599921103</v>
      </c>
      <c r="AI6429">
        <v>105.704631027918</v>
      </c>
      <c r="AJ6429">
        <v>77.945359418379397</v>
      </c>
      <c r="AK6429">
        <v>0.61379625495890999</v>
      </c>
      <c r="AL6429">
        <v>91.1517886795869</v>
      </c>
      <c r="AM6429">
        <v>88.8794177951481</v>
      </c>
      <c r="AN6429">
        <v>0.99999995851911605</v>
      </c>
    </row>
    <row r="6430" spans="1:40" x14ac:dyDescent="0.25">
      <c r="A6430" t="str">
        <f>"20190312161145661"</f>
        <v>20190312161145661</v>
      </c>
      <c r="B6430" t="str">
        <f>"1552378305653195"</f>
        <v>1552378305653195</v>
      </c>
      <c r="C6430" t="s">
        <v>40</v>
      </c>
      <c r="D6430">
        <v>5.2794939999999997</v>
      </c>
      <c r="E6430">
        <v>0.55931200000000003</v>
      </c>
      <c r="F6430" t="s">
        <v>42</v>
      </c>
      <c r="G6430">
        <v>-223.255</v>
      </c>
      <c r="H6430">
        <v>0.92339420000000005</v>
      </c>
      <c r="I6430">
        <v>-63.371160000000003</v>
      </c>
      <c r="J6430">
        <v>-223.96190000000001</v>
      </c>
      <c r="K6430">
        <v>1.1096760000000001</v>
      </c>
      <c r="L6430">
        <v>-63.239440000000002</v>
      </c>
      <c r="M6430">
        <v>0.99972439999999996</v>
      </c>
      <c r="N6430">
        <v>0</v>
      </c>
      <c r="O6430">
        <v>2.1396149999999999E-2</v>
      </c>
      <c r="P6430">
        <v>0.99955700000000003</v>
      </c>
      <c r="Q6430">
        <v>-2.972375E-2</v>
      </c>
      <c r="R6430">
        <v>1.6216189999999999E-3</v>
      </c>
      <c r="S6430">
        <v>2.9821780000000002</v>
      </c>
      <c r="T6430">
        <v>-0.67447880000000004</v>
      </c>
      <c r="U6430">
        <v>-0.46783449999999999</v>
      </c>
      <c r="V6430">
        <v>1.9765810000000002E-2</v>
      </c>
      <c r="W6430">
        <v>-2.0064729999999999E-2</v>
      </c>
      <c r="X6430">
        <v>0.99960329999999997</v>
      </c>
      <c r="Y6430">
        <v>0.17132820000000001</v>
      </c>
      <c r="Z6430">
        <v>-2.377367E-2</v>
      </c>
      <c r="AA6430">
        <v>0.98492710000000006</v>
      </c>
      <c r="AB6430">
        <v>24</v>
      </c>
      <c r="AC6430">
        <v>0.70690000000001796</v>
      </c>
      <c r="AD6430">
        <v>-0.1862818</v>
      </c>
      <c r="AE6430">
        <v>-0.13171999999999401</v>
      </c>
      <c r="AF6430">
        <v>0.13758204719431399</v>
      </c>
      <c r="AG6430">
        <v>-0.1862818</v>
      </c>
      <c r="AH6430">
        <v>0.65964918665516703</v>
      </c>
      <c r="AI6430">
        <v>105.45327069103701</v>
      </c>
      <c r="AJ6430">
        <v>78.218797618572196</v>
      </c>
      <c r="AK6430">
        <v>0.69911857232964603</v>
      </c>
      <c r="AL6430">
        <v>91.149701476724303</v>
      </c>
      <c r="AM6430">
        <v>88.867200693432096</v>
      </c>
      <c r="AN6430">
        <v>1.0000000190028999</v>
      </c>
    </row>
    <row r="6431" spans="1:40" x14ac:dyDescent="0.25">
      <c r="A6431" t="str">
        <f>"20190312161145671"</f>
        <v>20190312161145671</v>
      </c>
      <c r="B6431" t="str">
        <f>"1552378305663930"</f>
        <v>1552378305663930</v>
      </c>
      <c r="C6431" t="s">
        <v>40</v>
      </c>
      <c r="D6431">
        <v>5.3080239999999996</v>
      </c>
      <c r="E6431">
        <v>0.55955359999999998</v>
      </c>
      <c r="F6431" t="s">
        <v>42</v>
      </c>
      <c r="G6431">
        <v>-223.24170000000001</v>
      </c>
      <c r="H6431">
        <v>0.95553569999999999</v>
      </c>
      <c r="I6431">
        <v>-63.348289999999999</v>
      </c>
      <c r="J6431">
        <v>-223.8467</v>
      </c>
      <c r="K6431">
        <v>1.1096999999999999</v>
      </c>
      <c r="L6431">
        <v>-63.2369699999999</v>
      </c>
      <c r="M6431">
        <v>0.99972329999999998</v>
      </c>
      <c r="N6431">
        <v>0</v>
      </c>
      <c r="O6431">
        <v>2.1399729999999999E-2</v>
      </c>
      <c r="P6431">
        <v>0.99954929999999997</v>
      </c>
      <c r="Q6431">
        <v>-2.9984449999999999E-2</v>
      </c>
      <c r="R6431">
        <v>1.6155430000000001E-3</v>
      </c>
      <c r="S6431">
        <v>2.9830930000000002</v>
      </c>
      <c r="T6431">
        <v>-0.63843240000000001</v>
      </c>
      <c r="U6431">
        <v>-0.45071410000000001</v>
      </c>
      <c r="V6431">
        <v>1.977539E-2</v>
      </c>
      <c r="W6431">
        <v>-2.0205890000000001E-2</v>
      </c>
      <c r="X6431">
        <v>0.99960020000000005</v>
      </c>
      <c r="Y6431">
        <v>0.16635899999999901</v>
      </c>
      <c r="Z6431">
        <v>-2.201208E-2</v>
      </c>
      <c r="AA6431">
        <v>0.98581949999999996</v>
      </c>
      <c r="AB6431">
        <v>24</v>
      </c>
      <c r="AC6431">
        <v>0.60499999999998899</v>
      </c>
      <c r="AD6431">
        <v>-0.154164299999999</v>
      </c>
      <c r="AE6431">
        <v>-0.11132000000001301</v>
      </c>
      <c r="AF6431">
        <v>0.116900010098026</v>
      </c>
      <c r="AG6431">
        <v>-0.154164299999999</v>
      </c>
      <c r="AH6431">
        <v>0.56687623420627298</v>
      </c>
      <c r="AI6431">
        <v>104.914458899208</v>
      </c>
      <c r="AJ6431">
        <v>78.347925172360107</v>
      </c>
      <c r="AK6431">
        <v>0.59898322903341294</v>
      </c>
      <c r="AL6431">
        <v>91.157791066503094</v>
      </c>
      <c r="AM6431">
        <v>88.866648282885194</v>
      </c>
      <c r="AN6431">
        <v>0.99999995194019098</v>
      </c>
    </row>
    <row r="6432" spans="1:40" x14ac:dyDescent="0.25">
      <c r="A6432" t="str">
        <f>"20190312161145683"</f>
        <v>20190312161145683</v>
      </c>
      <c r="B6432" t="str">
        <f>"1552378305673690"</f>
        <v>1552378305673690</v>
      </c>
      <c r="C6432" t="s">
        <v>40</v>
      </c>
      <c r="D6432">
        <v>5.4982509999999998</v>
      </c>
      <c r="E6432">
        <v>0.56014129999999995</v>
      </c>
      <c r="F6432" t="s">
        <v>42</v>
      </c>
      <c r="G6432">
        <v>-223.03960000000001</v>
      </c>
      <c r="H6432">
        <v>0.93464239999999998</v>
      </c>
      <c r="I6432">
        <v>-63.359520000000003</v>
      </c>
      <c r="J6432">
        <v>-223.72739999999999</v>
      </c>
      <c r="K6432">
        <v>1.109726</v>
      </c>
      <c r="L6432">
        <v>-63.234409999999997</v>
      </c>
      <c r="M6432">
        <v>0.99972190000000005</v>
      </c>
      <c r="N6432">
        <v>0</v>
      </c>
      <c r="O6432">
        <v>2.1403430000000001E-2</v>
      </c>
      <c r="P6432">
        <v>0.99955059999999996</v>
      </c>
      <c r="Q6432">
        <v>-2.9946560000000001E-2</v>
      </c>
      <c r="R6432">
        <v>1.533801E-3</v>
      </c>
      <c r="S6432">
        <v>2.982666</v>
      </c>
      <c r="T6432">
        <v>-0.64689790000000003</v>
      </c>
      <c r="U6432">
        <v>-0.45236209999999999</v>
      </c>
      <c r="V6432">
        <v>1.986075E-2</v>
      </c>
      <c r="W6432">
        <v>-2.0038770000000001E-2</v>
      </c>
      <c r="X6432">
        <v>0.99960190000000004</v>
      </c>
      <c r="Y6432">
        <v>0.16679530000000001</v>
      </c>
      <c r="Z6432">
        <v>-2.2346999999999999E-2</v>
      </c>
      <c r="AA6432">
        <v>0.98573829999999996</v>
      </c>
      <c r="AB6432">
        <v>24</v>
      </c>
      <c r="AC6432">
        <v>0.68779999999998098</v>
      </c>
      <c r="AD6432">
        <v>-0.17508359999999901</v>
      </c>
      <c r="AE6432">
        <v>-0.125109999999999</v>
      </c>
      <c r="AF6432">
        <v>0.13155195145599499</v>
      </c>
      <c r="AG6432">
        <v>-0.17508359999999901</v>
      </c>
      <c r="AH6432">
        <v>0.64453695702018998</v>
      </c>
      <c r="AI6432">
        <v>104.904057663857</v>
      </c>
      <c r="AJ6432">
        <v>78.464201916820301</v>
      </c>
      <c r="AK6432">
        <v>0.680726135744535</v>
      </c>
      <c r="AL6432">
        <v>91.148213823892902</v>
      </c>
      <c r="AM6432">
        <v>88.861759416739503</v>
      </c>
      <c r="AN6432">
        <v>0.99999998008864199</v>
      </c>
    </row>
    <row r="6433" spans="1:40" x14ac:dyDescent="0.25">
      <c r="A6433" t="str">
        <f>"20190312161145695"</f>
        <v>20190312161145695</v>
      </c>
      <c r="B6433" t="str">
        <f>"1552378305683450"</f>
        <v>1552378305683450</v>
      </c>
      <c r="C6433" t="s">
        <v>40</v>
      </c>
      <c r="D6433">
        <v>5.3828370000000003</v>
      </c>
      <c r="E6433">
        <v>0.56076689999999996</v>
      </c>
      <c r="F6433" t="s">
        <v>42</v>
      </c>
      <c r="G6433">
        <v>-223.02950000000001</v>
      </c>
      <c r="H6433">
        <v>0.95829129999999996</v>
      </c>
      <c r="I6433">
        <v>-63.341540000000002</v>
      </c>
      <c r="J6433">
        <v>-223.6114</v>
      </c>
      <c r="K6433">
        <v>1.1097520000000001</v>
      </c>
      <c r="L6433">
        <v>-63.231929999999998</v>
      </c>
      <c r="M6433">
        <v>0.99972030000000001</v>
      </c>
      <c r="N6433">
        <v>0</v>
      </c>
      <c r="O6433">
        <v>2.140682E-2</v>
      </c>
      <c r="P6433">
        <v>0.99953899999999996</v>
      </c>
      <c r="Q6433">
        <v>-3.0339649999999999E-2</v>
      </c>
      <c r="R6433">
        <v>1.084851E-3</v>
      </c>
      <c r="S6433">
        <v>2.9826510000000002</v>
      </c>
      <c r="T6433">
        <v>-0.64713469999999995</v>
      </c>
      <c r="U6433">
        <v>-0.45721440000000002</v>
      </c>
      <c r="V6433">
        <v>2.0313109999999999E-2</v>
      </c>
      <c r="W6433">
        <v>-2.0291259999999998E-2</v>
      </c>
      <c r="X6433">
        <v>0.99958769999999997</v>
      </c>
      <c r="Y6433">
        <v>0.1683296</v>
      </c>
      <c r="Z6433">
        <v>-2.251682E-2</v>
      </c>
      <c r="AA6433">
        <v>0.98547359999999995</v>
      </c>
      <c r="AB6433">
        <v>24</v>
      </c>
      <c r="AC6433">
        <v>0.58189999999998998</v>
      </c>
      <c r="AD6433">
        <v>-0.1514607</v>
      </c>
      <c r="AE6433">
        <v>-0.109609999999996</v>
      </c>
      <c r="AF6433">
        <v>0.114547568883449</v>
      </c>
      <c r="AG6433">
        <v>-0.1514607</v>
      </c>
      <c r="AH6433">
        <v>0.54383811530896697</v>
      </c>
      <c r="AI6433">
        <v>105.24426368062601</v>
      </c>
      <c r="AJ6433">
        <v>78.105759795768407</v>
      </c>
      <c r="AK6433">
        <v>0.57603939521911895</v>
      </c>
      <c r="AL6433">
        <v>91.162683396654998</v>
      </c>
      <c r="AM6433">
        <v>88.835824708766793</v>
      </c>
      <c r="AN6433">
        <v>0.99999996383077405</v>
      </c>
    </row>
    <row r="6434" spans="1:40" x14ac:dyDescent="0.25">
      <c r="A6434" t="str">
        <f>"20190312161145705"</f>
        <v>20190312161145705</v>
      </c>
      <c r="B6434" t="str">
        <f>"1552378305693211"</f>
        <v>1552378305693211</v>
      </c>
      <c r="C6434" t="s">
        <v>40</v>
      </c>
      <c r="D6434">
        <v>5.343394</v>
      </c>
      <c r="E6434">
        <v>0.56095069999999903</v>
      </c>
      <c r="F6434" t="s">
        <v>42</v>
      </c>
      <c r="G6434">
        <v>-222.82669999999999</v>
      </c>
      <c r="H6434">
        <v>0.939245</v>
      </c>
      <c r="I6434">
        <v>-63.353949999999998</v>
      </c>
      <c r="J6434">
        <v>-223.4913</v>
      </c>
      <c r="K6434">
        <v>1.1097760000000001</v>
      </c>
      <c r="L6434">
        <v>-63.229370000000003</v>
      </c>
      <c r="M6434">
        <v>0.99971880000000002</v>
      </c>
      <c r="N6434">
        <v>0</v>
      </c>
      <c r="O6434">
        <v>2.1410579999999999E-2</v>
      </c>
      <c r="P6434">
        <v>0.99954929999999997</v>
      </c>
      <c r="Q6434">
        <v>-3.0008719999999999E-2</v>
      </c>
      <c r="R6434">
        <v>9.588582E-4</v>
      </c>
      <c r="S6434">
        <v>2.9822389999999999</v>
      </c>
      <c r="T6434">
        <v>-0.64795100000000005</v>
      </c>
      <c r="U6434">
        <v>-0.46343990000000002</v>
      </c>
      <c r="V6434">
        <v>2.0442999999999999E-2</v>
      </c>
      <c r="W6434">
        <v>-1.9811240000000001E-2</v>
      </c>
      <c r="X6434">
        <v>0.99959469999999995</v>
      </c>
      <c r="Y6434">
        <v>0.17030719999999999</v>
      </c>
      <c r="Z6434">
        <v>-2.2756120000000001E-2</v>
      </c>
      <c r="AA6434">
        <v>0.98512820000000001</v>
      </c>
      <c r="AB6434">
        <v>24</v>
      </c>
      <c r="AC6434">
        <v>0.66460000000000696</v>
      </c>
      <c r="AD6434">
        <v>-0.17053099999999999</v>
      </c>
      <c r="AE6434">
        <v>-0.124580000000001</v>
      </c>
      <c r="AF6434">
        <v>0.13048238426476999</v>
      </c>
      <c r="AG6434">
        <v>-0.17053099999999999</v>
      </c>
      <c r="AH6434">
        <v>0.62220512649920101</v>
      </c>
      <c r="AI6434">
        <v>105.015561814607</v>
      </c>
      <c r="AJ6434">
        <v>78.156158076535903</v>
      </c>
      <c r="AK6434">
        <v>0.65821401839090699</v>
      </c>
      <c r="AL6434">
        <v>91.1351747231747</v>
      </c>
      <c r="AM6434">
        <v>88.828390785678096</v>
      </c>
      <c r="AN6434">
        <v>0.99999998287371294</v>
      </c>
    </row>
    <row r="6435" spans="1:40" x14ac:dyDescent="0.25">
      <c r="A6435" t="str">
        <f>"20190312161145716"</f>
        <v>20190312161145716</v>
      </c>
      <c r="B6435" t="str">
        <f>"1552378305713707"</f>
        <v>1552378305713707</v>
      </c>
      <c r="C6435" t="s">
        <v>40</v>
      </c>
      <c r="D6435">
        <v>5.4138669999999998</v>
      </c>
      <c r="E6435">
        <v>0.56129669999999998</v>
      </c>
      <c r="F6435" t="s">
        <v>42</v>
      </c>
      <c r="G6435">
        <v>-222.62270000000001</v>
      </c>
      <c r="H6435">
        <v>0.92162999999999995</v>
      </c>
      <c r="I6435">
        <v>-63.364989999999999</v>
      </c>
      <c r="J6435">
        <v>-223.3742</v>
      </c>
      <c r="K6435">
        <v>1.109799</v>
      </c>
      <c r="L6435">
        <v>-63.226840000000003</v>
      </c>
      <c r="M6435">
        <v>0.99971690000000002</v>
      </c>
      <c r="N6435">
        <v>0</v>
      </c>
      <c r="O6435">
        <v>2.141475E-2</v>
      </c>
      <c r="P6435">
        <v>0.99955039999999995</v>
      </c>
      <c r="Q6435">
        <v>-2.9976490000000001E-2</v>
      </c>
      <c r="R6435">
        <v>7.7686240000000004E-4</v>
      </c>
      <c r="S6435">
        <v>2.9824069999999998</v>
      </c>
      <c r="T6435">
        <v>-0.64595689999999995</v>
      </c>
      <c r="U6435">
        <v>-0.4652405</v>
      </c>
      <c r="V6435">
        <v>2.062901E-2</v>
      </c>
      <c r="W6435">
        <v>-1.9621099999999999E-2</v>
      </c>
      <c r="X6435">
        <v>0.9995946</v>
      </c>
      <c r="Y6435">
        <v>0.17089760000000001</v>
      </c>
      <c r="Z6435">
        <v>-2.2749149999999999E-2</v>
      </c>
      <c r="AA6435">
        <v>0.98502610000000002</v>
      </c>
      <c r="AB6435">
        <v>24</v>
      </c>
      <c r="AC6435">
        <v>0.75149999999999195</v>
      </c>
      <c r="AD6435">
        <v>-0.188169</v>
      </c>
      <c r="AE6435">
        <v>-0.138149999999996</v>
      </c>
      <c r="AF6435">
        <v>0.14539471940864801</v>
      </c>
      <c r="AG6435">
        <v>-0.188169</v>
      </c>
      <c r="AH6435">
        <v>0.70557834957643595</v>
      </c>
      <c r="AI6435">
        <v>104.638579813104</v>
      </c>
      <c r="AJ6435">
        <v>78.356349061570697</v>
      </c>
      <c r="AK6435">
        <v>0.744572363430128</v>
      </c>
      <c r="AL6435">
        <v>91.1242784178812</v>
      </c>
      <c r="AM6435">
        <v>88.817733256417597</v>
      </c>
      <c r="AN6435">
        <v>0.99999995398397401</v>
      </c>
    </row>
    <row r="6436" spans="1:40" x14ac:dyDescent="0.25">
      <c r="A6436" t="str">
        <f>"20190312161145728"</f>
        <v>20190312161145728</v>
      </c>
      <c r="B6436" t="str">
        <f>"1552378305723467"</f>
        <v>1552378305723467</v>
      </c>
      <c r="C6436" t="s">
        <v>40</v>
      </c>
      <c r="D6436">
        <v>5.4996099999999997</v>
      </c>
      <c r="E6436">
        <v>0.56165500000000002</v>
      </c>
      <c r="F6436" t="s">
        <v>42</v>
      </c>
      <c r="G6436">
        <v>-222.6139</v>
      </c>
      <c r="H6436">
        <v>0.94415389999999999</v>
      </c>
      <c r="I6436">
        <v>-63.346409999999999</v>
      </c>
      <c r="J6436">
        <v>-223.25729999999999</v>
      </c>
      <c r="K6436">
        <v>1.109826</v>
      </c>
      <c r="L6436">
        <v>-63.224330000000002</v>
      </c>
      <c r="M6436">
        <v>0.99971529999999997</v>
      </c>
      <c r="N6436">
        <v>0</v>
      </c>
      <c r="O6436">
        <v>2.1418900000000001E-2</v>
      </c>
      <c r="P6436">
        <v>0.99954219999999905</v>
      </c>
      <c r="Q6436">
        <v>-3.0256729999999999E-2</v>
      </c>
      <c r="R6436">
        <v>4.1927840000000001E-4</v>
      </c>
      <c r="S6436">
        <v>2.9822389999999999</v>
      </c>
      <c r="T6436">
        <v>-0.64969109999999997</v>
      </c>
      <c r="U6436">
        <v>-0.46853640000000002</v>
      </c>
      <c r="V6436">
        <v>2.099053E-2</v>
      </c>
      <c r="W6436">
        <v>-1.9740049999999999E-2</v>
      </c>
      <c r="X6436">
        <v>0.99958480000000005</v>
      </c>
      <c r="Y6436">
        <v>0.1719</v>
      </c>
      <c r="Z6436">
        <v>-2.2985269999999999E-2</v>
      </c>
      <c r="AA6436">
        <v>0.9848462</v>
      </c>
      <c r="AB6436">
        <v>24</v>
      </c>
      <c r="AC6436">
        <v>0.64339999999998498</v>
      </c>
      <c r="AD6436">
        <v>-0.16567209999999899</v>
      </c>
      <c r="AE6436">
        <v>-0.122079999999996</v>
      </c>
      <c r="AF6436">
        <v>0.12766329562057899</v>
      </c>
      <c r="AG6436">
        <v>-0.16567209999999899</v>
      </c>
      <c r="AH6436">
        <v>0.60210316365554295</v>
      </c>
      <c r="AI6436">
        <v>105.065332842991</v>
      </c>
      <c r="AJ6436">
        <v>78.028926809037998</v>
      </c>
      <c r="AK6436">
        <v>0.63739578085451098</v>
      </c>
      <c r="AL6436">
        <v>91.131094994309507</v>
      </c>
      <c r="AM6436">
        <v>88.797008472081004</v>
      </c>
      <c r="AN6436">
        <v>1.0000000221573599</v>
      </c>
    </row>
    <row r="6437" spans="1:40" x14ac:dyDescent="0.25">
      <c r="A6437" t="str">
        <f>"20190312161145740"</f>
        <v>20190312161145740</v>
      </c>
      <c r="B6437" t="str">
        <f>"1552378305733227"</f>
        <v>1552378305733227</v>
      </c>
      <c r="C6437" t="s">
        <v>40</v>
      </c>
      <c r="D6437">
        <v>5.5969730000000002</v>
      </c>
      <c r="E6437">
        <v>0.56214119999999901</v>
      </c>
      <c r="F6437" t="s">
        <v>42</v>
      </c>
      <c r="G6437">
        <v>-222.41120000000001</v>
      </c>
      <c r="H6437">
        <v>0.92476449999999999</v>
      </c>
      <c r="I6437">
        <v>-63.358379999999997</v>
      </c>
      <c r="J6437">
        <v>-223.13120000000001</v>
      </c>
      <c r="K6437">
        <v>1.1098520000000001</v>
      </c>
      <c r="L6437">
        <v>-63.221620000000001</v>
      </c>
      <c r="M6437">
        <v>0.99971330000000003</v>
      </c>
      <c r="N6437">
        <v>0</v>
      </c>
      <c r="O6437">
        <v>2.1423930000000001E-2</v>
      </c>
      <c r="P6437">
        <v>0.9995404</v>
      </c>
      <c r="Q6437">
        <v>-3.0312970000000002E-2</v>
      </c>
      <c r="R6437">
        <v>4.1747980000000001E-4</v>
      </c>
      <c r="S6437">
        <v>2.981827</v>
      </c>
      <c r="T6437">
        <v>-0.65217899999999995</v>
      </c>
      <c r="U6437">
        <v>-0.47222900000000001</v>
      </c>
      <c r="V6437">
        <v>2.0997499999999999E-2</v>
      </c>
      <c r="W6437">
        <v>-1.9614909999999999E-2</v>
      </c>
      <c r="X6437">
        <v>0.99958709999999995</v>
      </c>
      <c r="Y6437">
        <v>0.17305519999999999</v>
      </c>
      <c r="Z6437">
        <v>-2.319744E-2</v>
      </c>
      <c r="AA6437">
        <v>0.98463889999999998</v>
      </c>
      <c r="AB6437">
        <v>24</v>
      </c>
      <c r="AC6437">
        <v>0.71999999999999797</v>
      </c>
      <c r="AD6437">
        <v>-0.18508749999999999</v>
      </c>
      <c r="AE6437">
        <v>-0.13676000000000901</v>
      </c>
      <c r="AF6437">
        <v>0.143031895782644</v>
      </c>
      <c r="AG6437">
        <v>-0.18508749999999999</v>
      </c>
      <c r="AH6437">
        <v>0.67392078352831597</v>
      </c>
      <c r="AI6437">
        <v>105.03791536522399</v>
      </c>
      <c r="AJ6437">
        <v>78.017440251864002</v>
      </c>
      <c r="AK6437">
        <v>0.71336156914908599</v>
      </c>
      <c r="AL6437">
        <v>91.123923631270898</v>
      </c>
      <c r="AM6437">
        <v>88.796611898901602</v>
      </c>
      <c r="AN6437">
        <v>1.0000000050934801</v>
      </c>
    </row>
    <row r="6438" spans="1:40" x14ac:dyDescent="0.25">
      <c r="A6438" t="str">
        <f>"20190312161145751"</f>
        <v>20190312161145751</v>
      </c>
      <c r="B6438" t="str">
        <f>"1552378305743964"</f>
        <v>1552378305743964</v>
      </c>
      <c r="C6438" t="s">
        <v>40</v>
      </c>
      <c r="D6438">
        <v>5.4749759999999998</v>
      </c>
      <c r="E6438">
        <v>0.56234459999999997</v>
      </c>
      <c r="F6438" t="s">
        <v>42</v>
      </c>
      <c r="G6438">
        <v>-222.40090000000001</v>
      </c>
      <c r="H6438">
        <v>0.95006109999999999</v>
      </c>
      <c r="I6438">
        <v>-63.338320000000003</v>
      </c>
      <c r="J6438">
        <v>-223.0094</v>
      </c>
      <c r="K6438">
        <v>1.1098760000000001</v>
      </c>
      <c r="L6438">
        <v>-63.218989999999998</v>
      </c>
      <c r="M6438">
        <v>0.99971120000000002</v>
      </c>
      <c r="N6438">
        <v>0</v>
      </c>
      <c r="O6438">
        <v>2.1430089999999999E-2</v>
      </c>
      <c r="P6438">
        <v>0.99953740000000002</v>
      </c>
      <c r="Q6438">
        <v>-3.041744E-2</v>
      </c>
      <c r="R6438">
        <v>3.8609750000000002E-4</v>
      </c>
      <c r="S6438">
        <v>2.9817960000000001</v>
      </c>
      <c r="T6438">
        <v>-0.65243039999999997</v>
      </c>
      <c r="U6438">
        <v>-0.47634890000000002</v>
      </c>
      <c r="V6438">
        <v>2.103497E-2</v>
      </c>
      <c r="W6438">
        <v>-1.953775E-2</v>
      </c>
      <c r="X6438">
        <v>0.99958780000000003</v>
      </c>
      <c r="Y6438">
        <v>0.17435699999999901</v>
      </c>
      <c r="Z6438">
        <v>-2.334524E-2</v>
      </c>
      <c r="AA6438">
        <v>0.9844058</v>
      </c>
      <c r="AB6438">
        <v>24</v>
      </c>
      <c r="AC6438">
        <v>0.60849999999999205</v>
      </c>
      <c r="AD6438">
        <v>-0.15981490000000001</v>
      </c>
      <c r="AE6438">
        <v>-0.11932999999999</v>
      </c>
      <c r="AF6438">
        <v>0.124100337845105</v>
      </c>
      <c r="AG6438">
        <v>-0.15981490000000001</v>
      </c>
      <c r="AH6438">
        <v>0.56806941790181098</v>
      </c>
      <c r="AI6438">
        <v>105.36814375705001</v>
      </c>
      <c r="AJ6438">
        <v>77.676780994184099</v>
      </c>
      <c r="AK6438">
        <v>0.60302948490980302</v>
      </c>
      <c r="AL6438">
        <v>91.119501867686907</v>
      </c>
      <c r="AM6438">
        <v>88.794465932198193</v>
      </c>
      <c r="AN6438">
        <v>0.99999998177340099</v>
      </c>
    </row>
    <row r="6439" spans="1:40" x14ac:dyDescent="0.25">
      <c r="A6439" t="str">
        <f>"20190312161145765"</f>
        <v>20190312161145765</v>
      </c>
      <c r="B6439" t="str">
        <f>"1552378305753723"</f>
        <v>1552378305753723</v>
      </c>
      <c r="C6439" t="s">
        <v>40</v>
      </c>
      <c r="D6439">
        <v>5.3993419999999999</v>
      </c>
      <c r="E6439">
        <v>0.56221149999999998</v>
      </c>
      <c r="F6439" t="s">
        <v>42</v>
      </c>
      <c r="G6439">
        <v>-222.1985</v>
      </c>
      <c r="H6439">
        <v>0.9318379</v>
      </c>
      <c r="I6439">
        <v>-63.349240000000002</v>
      </c>
      <c r="J6439">
        <v>-222.86940000000001</v>
      </c>
      <c r="K6439">
        <v>1.1099079999999999</v>
      </c>
      <c r="L6439">
        <v>-63.216000000000001</v>
      </c>
      <c r="M6439">
        <v>0.99970859999999995</v>
      </c>
      <c r="N6439">
        <v>0</v>
      </c>
      <c r="O6439">
        <v>2.1438390000000002E-2</v>
      </c>
      <c r="P6439">
        <v>0.9995269</v>
      </c>
      <c r="Q6439">
        <v>-3.07576E-2</v>
      </c>
      <c r="R6439">
        <v>4.5492070000000001E-4</v>
      </c>
      <c r="S6439">
        <v>2.9816739999999999</v>
      </c>
      <c r="T6439">
        <v>-0.65462540000000002</v>
      </c>
      <c r="U6439">
        <v>-0.47827150000000002</v>
      </c>
      <c r="V6439">
        <v>2.0974309999999999E-2</v>
      </c>
      <c r="W6439">
        <v>-1.9664910000000001E-2</v>
      </c>
      <c r="X6439">
        <v>0.99958659999999999</v>
      </c>
      <c r="Y6439">
        <v>0.1749465</v>
      </c>
      <c r="Z6439">
        <v>-2.3487149999999998E-2</v>
      </c>
      <c r="AA6439">
        <v>0.9842978</v>
      </c>
      <c r="AB6439">
        <v>24</v>
      </c>
      <c r="AC6439">
        <v>0.67090000000001704</v>
      </c>
      <c r="AD6439">
        <v>-0.17807009999999901</v>
      </c>
      <c r="AE6439">
        <v>-0.13324</v>
      </c>
      <c r="AF6439">
        <v>0.13822513491499</v>
      </c>
      <c r="AG6439">
        <v>-0.17807009999999901</v>
      </c>
      <c r="AH6439">
        <v>0.62549644922340497</v>
      </c>
      <c r="AI6439">
        <v>105.53483891911</v>
      </c>
      <c r="AJ6439">
        <v>77.538778971912507</v>
      </c>
      <c r="AK6439">
        <v>0.664876647527468</v>
      </c>
      <c r="AL6439">
        <v>91.126788977931398</v>
      </c>
      <c r="AM6439">
        <v>88.797939950135998</v>
      </c>
      <c r="AN6439">
        <v>1.0000000006324199</v>
      </c>
    </row>
    <row r="6440" spans="1:40" x14ac:dyDescent="0.25">
      <c r="A6440" t="str">
        <f>"20190312161145778"</f>
        <v>20190312161145778</v>
      </c>
      <c r="B6440" t="str">
        <f>"1552378305773243"</f>
        <v>1552378305773243</v>
      </c>
      <c r="C6440" t="s">
        <v>40</v>
      </c>
      <c r="D6440">
        <v>5.4358490000000002</v>
      </c>
      <c r="E6440">
        <v>0.562469</v>
      </c>
      <c r="F6440" t="s">
        <v>42</v>
      </c>
      <c r="G6440">
        <v>-221.99459999999999</v>
      </c>
      <c r="H6440">
        <v>0.91671429999999998</v>
      </c>
      <c r="I6440">
        <v>-63.356119999999997</v>
      </c>
      <c r="J6440">
        <v>-222.7355</v>
      </c>
      <c r="K6440">
        <v>1.109939</v>
      </c>
      <c r="L6440">
        <v>-63.21313</v>
      </c>
      <c r="M6440">
        <v>0.99970599999999998</v>
      </c>
      <c r="N6440">
        <v>0</v>
      </c>
      <c r="O6440">
        <v>2.145159E-2</v>
      </c>
      <c r="P6440">
        <v>0.99951429999999997</v>
      </c>
      <c r="Q6440">
        <v>-3.116319E-2</v>
      </c>
      <c r="R6440">
        <v>5.7397609999999995E-4</v>
      </c>
      <c r="S6440">
        <v>2.9813839999999998</v>
      </c>
      <c r="T6440">
        <v>-0.65841959999999999</v>
      </c>
      <c r="U6440">
        <v>-0.47723389999999999</v>
      </c>
      <c r="V6440">
        <v>2.0868439999999999E-2</v>
      </c>
      <c r="W6440">
        <v>-1.9859749999999999E-2</v>
      </c>
      <c r="X6440">
        <v>0.99958499999999995</v>
      </c>
      <c r="Y6440">
        <v>0.17459479999999999</v>
      </c>
      <c r="Z6440">
        <v>-2.3587710000000001E-2</v>
      </c>
      <c r="AA6440">
        <v>0.98435779999999995</v>
      </c>
      <c r="AB6440">
        <v>23</v>
      </c>
      <c r="AC6440">
        <v>0.74090000000001</v>
      </c>
      <c r="AD6440">
        <v>-0.1932247</v>
      </c>
      <c r="AE6440">
        <v>-0.14298999999998999</v>
      </c>
      <c r="AF6440">
        <v>0.14907624054871299</v>
      </c>
      <c r="AG6440">
        <v>-0.1932247</v>
      </c>
      <c r="AH6440">
        <v>0.69226796532692203</v>
      </c>
      <c r="AI6440">
        <v>105.262370863298</v>
      </c>
      <c r="AJ6440">
        <v>77.847243657078494</v>
      </c>
      <c r="AK6440">
        <v>0.73402618890888605</v>
      </c>
      <c r="AL6440">
        <v>91.137954627003893</v>
      </c>
      <c r="AM6440">
        <v>88.804003791958294</v>
      </c>
      <c r="AN6440">
        <v>1.00000003684154</v>
      </c>
    </row>
    <row r="6441" spans="1:40" x14ac:dyDescent="0.25">
      <c r="A6441" t="str">
        <f>"20190312161145790"</f>
        <v>20190312161145790</v>
      </c>
      <c r="B6441" t="str">
        <f>"1552378305783979"</f>
        <v>1552378305783979</v>
      </c>
      <c r="C6441" t="s">
        <v>40</v>
      </c>
      <c r="D6441">
        <v>5.3951250000000002</v>
      </c>
      <c r="E6441">
        <v>0.56255219999999995</v>
      </c>
      <c r="F6441" t="s">
        <v>42</v>
      </c>
      <c r="G6441">
        <v>-221.98519999999999</v>
      </c>
      <c r="H6441">
        <v>0.94155869999999997</v>
      </c>
      <c r="I6441">
        <v>-63.333770000000001</v>
      </c>
      <c r="J6441">
        <v>-222.601</v>
      </c>
      <c r="K6441">
        <v>1.109972</v>
      </c>
      <c r="L6441">
        <v>-63.210239999999999</v>
      </c>
      <c r="M6441">
        <v>0.99970320000000001</v>
      </c>
      <c r="N6441">
        <v>0</v>
      </c>
      <c r="O6441">
        <v>2.1469080000000001E-2</v>
      </c>
      <c r="P6441">
        <v>0.99950139999999998</v>
      </c>
      <c r="Q6441">
        <v>-3.1570059999999997E-2</v>
      </c>
      <c r="R6441">
        <v>6.2620480000000005E-4</v>
      </c>
      <c r="S6441">
        <v>2.980896</v>
      </c>
      <c r="T6441">
        <v>-0.66893819999999904</v>
      </c>
      <c r="U6441">
        <v>-0.47888180000000002</v>
      </c>
      <c r="V6441">
        <v>2.08338E-2</v>
      </c>
      <c r="W6441">
        <v>-2.0055300000000002E-2</v>
      </c>
      <c r="X6441">
        <v>0.99958179999999996</v>
      </c>
      <c r="Y6441">
        <v>0.17500950000000001</v>
      </c>
      <c r="Z6441">
        <v>-2.4007959999999998E-2</v>
      </c>
      <c r="AA6441">
        <v>0.98427399999999998</v>
      </c>
      <c r="AB6441">
        <v>23</v>
      </c>
      <c r="AC6441">
        <v>0.61580000000000701</v>
      </c>
      <c r="AD6441">
        <v>-0.16841329999999999</v>
      </c>
      <c r="AE6441">
        <v>-0.123529999999995</v>
      </c>
      <c r="AF6441">
        <v>0.12755185634260599</v>
      </c>
      <c r="AG6441">
        <v>-0.16841329999999999</v>
      </c>
      <c r="AH6441">
        <v>0.57188616990292596</v>
      </c>
      <c r="AI6441">
        <v>106.035982074899</v>
      </c>
      <c r="AJ6441">
        <v>77.426705810053804</v>
      </c>
      <c r="AK6441">
        <v>0.609660813075249</v>
      </c>
      <c r="AL6441">
        <v>91.149161069270903</v>
      </c>
      <c r="AM6441">
        <v>88.805984656837694</v>
      </c>
      <c r="AN6441">
        <v>1.0000000185858799</v>
      </c>
    </row>
    <row r="6442" spans="1:40" x14ac:dyDescent="0.25">
      <c r="A6442" t="str">
        <f>"20190312161145801"</f>
        <v>20190312161145801</v>
      </c>
      <c r="B6442" t="str">
        <f>"1552378305793739"</f>
        <v>1552378305793739</v>
      </c>
      <c r="C6442" t="s">
        <v>40</v>
      </c>
      <c r="D6442">
        <v>5.3848320000000003</v>
      </c>
      <c r="E6442">
        <v>0.56249680000000002</v>
      </c>
      <c r="F6442" t="s">
        <v>42</v>
      </c>
      <c r="G6442">
        <v>-221.78280000000001</v>
      </c>
      <c r="H6442">
        <v>0.92461789999999999</v>
      </c>
      <c r="I6442">
        <v>-63.341929999999998</v>
      </c>
      <c r="J6442">
        <v>-222.47839999999999</v>
      </c>
      <c r="K6442">
        <v>1.1100000000000001</v>
      </c>
      <c r="L6442">
        <v>-63.20758</v>
      </c>
      <c r="M6442">
        <v>0.99970060000000005</v>
      </c>
      <c r="N6442">
        <v>0</v>
      </c>
      <c r="O6442">
        <v>2.1488230000000001E-2</v>
      </c>
      <c r="P6442">
        <v>0.99948530000000002</v>
      </c>
      <c r="Q6442">
        <v>-3.2081640000000002E-2</v>
      </c>
      <c r="R6442">
        <v>3.996801E-4</v>
      </c>
      <c r="S6442">
        <v>2.9804689999999998</v>
      </c>
      <c r="T6442">
        <v>-0.67521980000000004</v>
      </c>
      <c r="U6442">
        <v>-0.47909550000000001</v>
      </c>
      <c r="V6442">
        <v>2.1079279999999999E-2</v>
      </c>
      <c r="W6442">
        <v>-2.037454E-2</v>
      </c>
      <c r="X6442">
        <v>0.99957019999999996</v>
      </c>
      <c r="Y6442">
        <v>0.17502809999999999</v>
      </c>
      <c r="Z6442">
        <v>-2.423751E-2</v>
      </c>
      <c r="AA6442">
        <v>0.98426499999999995</v>
      </c>
      <c r="AB6442">
        <v>23</v>
      </c>
      <c r="AC6442">
        <v>0.69559999999998401</v>
      </c>
      <c r="AD6442">
        <v>-0.18538209999999999</v>
      </c>
      <c r="AE6442">
        <v>-0.134349999999997</v>
      </c>
      <c r="AF6442">
        <v>0.13970161999670899</v>
      </c>
      <c r="AG6442">
        <v>-0.18538209999999999</v>
      </c>
      <c r="AH6442">
        <v>0.64817093369019896</v>
      </c>
      <c r="AI6442">
        <v>105.62034182959199</v>
      </c>
      <c r="AJ6442">
        <v>77.836984834671</v>
      </c>
      <c r="AK6442">
        <v>0.68848284285880301</v>
      </c>
      <c r="AL6442">
        <v>91.167455908871602</v>
      </c>
      <c r="AM6442">
        <v>88.791905970967207</v>
      </c>
      <c r="AN6442">
        <v>1.0000000213267799</v>
      </c>
    </row>
    <row r="6443" spans="1:40" x14ac:dyDescent="0.25">
      <c r="A6443" t="str">
        <f>"20190312161145818"</f>
        <v>20190312161145818</v>
      </c>
      <c r="B6443" t="str">
        <f>"1552378305813260"</f>
        <v>1552378305813260</v>
      </c>
      <c r="C6443" t="s">
        <v>40</v>
      </c>
      <c r="D6443">
        <v>5.4856980000000002</v>
      </c>
      <c r="E6443">
        <v>0.56305479999999997</v>
      </c>
      <c r="F6443" t="s">
        <v>42</v>
      </c>
      <c r="G6443">
        <v>-221.7731</v>
      </c>
      <c r="H6443">
        <v>0.94865489999999997</v>
      </c>
      <c r="I6443">
        <v>-63.321089999999998</v>
      </c>
      <c r="J6443">
        <v>-222.31809999999999</v>
      </c>
      <c r="K6443">
        <v>1.110044</v>
      </c>
      <c r="L6443">
        <v>-63.204099999999997</v>
      </c>
      <c r="M6443">
        <v>0.9996969</v>
      </c>
      <c r="N6443">
        <v>0</v>
      </c>
      <c r="O6443">
        <v>2.1525599999999999E-2</v>
      </c>
      <c r="P6443">
        <v>0.99946210000000002</v>
      </c>
      <c r="Q6443">
        <v>-3.2795459999999999E-2</v>
      </c>
      <c r="R6443">
        <v>2.99062E-4</v>
      </c>
      <c r="S6443">
        <v>2.9798429999999998</v>
      </c>
      <c r="T6443">
        <v>-0.68174619999999997</v>
      </c>
      <c r="U6443">
        <v>-0.47888180000000002</v>
      </c>
      <c r="V6443">
        <v>2.1217400000000001E-2</v>
      </c>
      <c r="W6443">
        <v>-2.0846859999999998E-2</v>
      </c>
      <c r="X6443">
        <v>0.99955749999999999</v>
      </c>
      <c r="Y6443">
        <v>0.1749346</v>
      </c>
      <c r="Z6443">
        <v>-2.4469009999999999E-2</v>
      </c>
      <c r="AA6443">
        <v>0.98427589999999998</v>
      </c>
      <c r="AB6443">
        <v>23</v>
      </c>
      <c r="AC6443">
        <v>0.54499999999998705</v>
      </c>
      <c r="AD6443">
        <v>-0.16138909999999901</v>
      </c>
      <c r="AE6443">
        <v>-0.116990000000008</v>
      </c>
      <c r="AF6443">
        <v>0.11874129359065</v>
      </c>
      <c r="AG6443">
        <v>-0.16138909999999901</v>
      </c>
      <c r="AH6443">
        <v>0.50040696121899997</v>
      </c>
      <c r="AI6443">
        <v>107.421969819411</v>
      </c>
      <c r="AJ6443">
        <v>76.651201484152494</v>
      </c>
      <c r="AK6443">
        <v>0.53902974244361002</v>
      </c>
      <c r="AL6443">
        <v>91.194523647050104</v>
      </c>
      <c r="AM6443">
        <v>88.783976972051093</v>
      </c>
      <c r="AN6443">
        <v>0.999999982720434</v>
      </c>
    </row>
    <row r="6444" spans="1:40" x14ac:dyDescent="0.25">
      <c r="A6444" t="str">
        <f>"20190312161145828"</f>
        <v>20190312161145828</v>
      </c>
      <c r="B6444" t="str">
        <f>"1552378305823994"</f>
        <v>1552378305823994</v>
      </c>
      <c r="C6444" t="s">
        <v>40</v>
      </c>
      <c r="D6444">
        <v>5.5746270000000004</v>
      </c>
      <c r="E6444">
        <v>0.56323040000000002</v>
      </c>
      <c r="F6444" t="s">
        <v>42</v>
      </c>
      <c r="G6444">
        <v>-221.57050000000001</v>
      </c>
      <c r="H6444">
        <v>0.93470949999999997</v>
      </c>
      <c r="I6444">
        <v>-63.325159999999997</v>
      </c>
      <c r="J6444">
        <v>-222.20849999999999</v>
      </c>
      <c r="K6444">
        <v>1.11007099999999</v>
      </c>
      <c r="L6444">
        <v>-63.201720000000002</v>
      </c>
      <c r="M6444">
        <v>0.99969430000000004</v>
      </c>
      <c r="N6444">
        <v>0</v>
      </c>
      <c r="O6444">
        <v>2.155729E-2</v>
      </c>
      <c r="P6444">
        <v>0.9994613</v>
      </c>
      <c r="Q6444">
        <v>-3.2822900000000002E-2</v>
      </c>
      <c r="R6444" s="1">
        <v>8.6652159999999994E-5</v>
      </c>
      <c r="S6444">
        <v>2.9788510000000001</v>
      </c>
      <c r="T6444">
        <v>-0.69865980000000005</v>
      </c>
      <c r="U6444">
        <v>-0.48233029999999999</v>
      </c>
      <c r="V6444">
        <v>2.1461839999999999E-2</v>
      </c>
      <c r="W6444">
        <v>-2.0714690000000001E-2</v>
      </c>
      <c r="X6444">
        <v>0.99955510000000003</v>
      </c>
      <c r="Y6444">
        <v>0.1758545</v>
      </c>
      <c r="Z6444">
        <v>-2.5179420000000001E-2</v>
      </c>
      <c r="AA6444">
        <v>0.98409409999999997</v>
      </c>
      <c r="AB6444">
        <v>23</v>
      </c>
      <c r="AC6444">
        <v>0.63799999999997603</v>
      </c>
      <c r="AD6444">
        <v>-0.175361499999999</v>
      </c>
      <c r="AE6444">
        <v>-0.12344000000000201</v>
      </c>
      <c r="AF6444">
        <v>0.12785511989236101</v>
      </c>
      <c r="AG6444">
        <v>-0.175361499999999</v>
      </c>
      <c r="AH6444">
        <v>0.59207408209242696</v>
      </c>
      <c r="AI6444">
        <v>106.146174938965</v>
      </c>
      <c r="AJ6444">
        <v>77.814407008874198</v>
      </c>
      <c r="AK6444">
        <v>0.63059519983150003</v>
      </c>
      <c r="AL6444">
        <v>91.186949144127198</v>
      </c>
      <c r="AM6444">
        <v>88.769968822503898</v>
      </c>
      <c r="AN6444">
        <v>1.0000000534469899</v>
      </c>
    </row>
    <row r="6445" spans="1:40" x14ac:dyDescent="0.25">
      <c r="A6445" t="str">
        <f>"20190312161145840"</f>
        <v>20190312161145840</v>
      </c>
      <c r="B6445" t="str">
        <f>"1552378305833755"</f>
        <v>1552378305833755</v>
      </c>
      <c r="C6445" t="s">
        <v>40</v>
      </c>
      <c r="D6445">
        <v>5.3769260000000001</v>
      </c>
      <c r="E6445">
        <v>0.56306140000000005</v>
      </c>
      <c r="F6445" t="s">
        <v>42</v>
      </c>
      <c r="G6445">
        <v>-221.3707</v>
      </c>
      <c r="H6445">
        <v>0.91243050000000003</v>
      </c>
      <c r="I6445">
        <v>-63.338099999999997</v>
      </c>
      <c r="J6445">
        <v>-222.07980000000001</v>
      </c>
      <c r="K6445">
        <v>1.110104</v>
      </c>
      <c r="L6445">
        <v>-63.198880000000003</v>
      </c>
      <c r="M6445">
        <v>0.9996912</v>
      </c>
      <c r="N6445">
        <v>0</v>
      </c>
      <c r="O6445">
        <v>2.1604040000000001E-2</v>
      </c>
      <c r="P6445">
        <v>0.99946389999999996</v>
      </c>
      <c r="Q6445">
        <v>-3.2747829999999999E-2</v>
      </c>
      <c r="R6445">
        <v>-3.6800599999999999E-4</v>
      </c>
      <c r="S6445">
        <v>2.9785919999999999</v>
      </c>
      <c r="T6445">
        <v>-0.70273949999999996</v>
      </c>
      <c r="U6445">
        <v>-0.48425289999999999</v>
      </c>
      <c r="V6445">
        <v>2.196379E-2</v>
      </c>
      <c r="W6445">
        <v>-2.046092E-2</v>
      </c>
      <c r="X6445">
        <v>0.99954940000000003</v>
      </c>
      <c r="Y6445">
        <v>0.176455</v>
      </c>
      <c r="Z6445">
        <v>-2.5403749999999999E-2</v>
      </c>
      <c r="AA6445">
        <v>0.98398079999999999</v>
      </c>
      <c r="AB6445">
        <v>23</v>
      </c>
      <c r="AC6445">
        <v>0.70910000000000595</v>
      </c>
      <c r="AD6445">
        <v>-0.197673499999999</v>
      </c>
      <c r="AE6445">
        <v>-0.13921999999999399</v>
      </c>
      <c r="AF6445">
        <v>0.14375163897385301</v>
      </c>
      <c r="AG6445">
        <v>-0.197673499999999</v>
      </c>
      <c r="AH6445">
        <v>0.65678180152184296</v>
      </c>
      <c r="AI6445">
        <v>106.384014342602</v>
      </c>
      <c r="AJ6445">
        <v>77.654201017100206</v>
      </c>
      <c r="AK6445">
        <v>0.70078647327142196</v>
      </c>
      <c r="AL6445">
        <v>91.172406139766593</v>
      </c>
      <c r="AM6445">
        <v>88.741202800029001</v>
      </c>
      <c r="AN6445">
        <v>1.0000000301793801</v>
      </c>
    </row>
    <row r="6446" spans="1:40" x14ac:dyDescent="0.25">
      <c r="A6446" t="str">
        <f>"20190312161145851"</f>
        <v>20190312161145851</v>
      </c>
      <c r="B6446" t="str">
        <f>"1552378305843515"</f>
        <v>1552378305843515</v>
      </c>
      <c r="C6446" t="s">
        <v>40</v>
      </c>
      <c r="D6446">
        <v>5.3625910000000001</v>
      </c>
      <c r="E6446">
        <v>0.56294909999999998</v>
      </c>
      <c r="F6446" t="s">
        <v>42</v>
      </c>
      <c r="G6446">
        <v>-221.3603</v>
      </c>
      <c r="H6446">
        <v>0.93944539999999999</v>
      </c>
      <c r="I6446">
        <v>-63.31606</v>
      </c>
      <c r="J6446">
        <v>-221.9649</v>
      </c>
      <c r="K6446">
        <v>1.1101240000000001</v>
      </c>
      <c r="L6446">
        <v>-63.196350000000002</v>
      </c>
      <c r="M6446">
        <v>0.99968809999999997</v>
      </c>
      <c r="N6446">
        <v>0</v>
      </c>
      <c r="O6446">
        <v>2.1656809999999999E-2</v>
      </c>
      <c r="P6446">
        <v>0.99946979999999996</v>
      </c>
      <c r="Q6446">
        <v>-3.2556090000000003E-2</v>
      </c>
      <c r="R6446">
        <v>-3.9724900000000002E-4</v>
      </c>
      <c r="S6446">
        <v>2.9782869999999999</v>
      </c>
      <c r="T6446">
        <v>-0.7064376</v>
      </c>
      <c r="U6446">
        <v>-0.4842224</v>
      </c>
      <c r="V6446">
        <v>2.204654E-2</v>
      </c>
      <c r="W6446">
        <v>-2.0119080000000001E-2</v>
      </c>
      <c r="X6446">
        <v>0.99955450000000001</v>
      </c>
      <c r="Y6446">
        <v>0.17645529999999901</v>
      </c>
      <c r="Z6446">
        <v>-2.554876E-2</v>
      </c>
      <c r="AA6446">
        <v>0.98397699999999999</v>
      </c>
      <c r="AB6446">
        <v>23</v>
      </c>
      <c r="AC6446">
        <v>0.60460000000000402</v>
      </c>
      <c r="AD6446">
        <v>-0.17067859999999899</v>
      </c>
      <c r="AE6446">
        <v>-0.119709999999997</v>
      </c>
      <c r="AF6446">
        <v>0.12331963694949</v>
      </c>
      <c r="AG6446">
        <v>-0.17067859999999899</v>
      </c>
      <c r="AH6446">
        <v>0.55899763598362795</v>
      </c>
      <c r="AI6446">
        <v>106.602500730288</v>
      </c>
      <c r="AJ6446">
        <v>77.559330098088694</v>
      </c>
      <c r="AK6446">
        <v>0.597341840482147</v>
      </c>
      <c r="AL6446">
        <v>91.152816138064694</v>
      </c>
      <c r="AM6446">
        <v>88.736468179568305</v>
      </c>
      <c r="AN6446">
        <v>1.0000000128881299</v>
      </c>
    </row>
    <row r="6447" spans="1:40" x14ac:dyDescent="0.25">
      <c r="A6447" t="str">
        <f>"20190312161145862"</f>
        <v>20190312161145862</v>
      </c>
      <c r="B6447" t="str">
        <f>"1552378305853275"</f>
        <v>1552378305853275</v>
      </c>
      <c r="C6447" t="s">
        <v>40</v>
      </c>
      <c r="D6447">
        <v>5.49322</v>
      </c>
      <c r="E6447">
        <v>0.56305930000000004</v>
      </c>
      <c r="F6447" t="s">
        <v>42</v>
      </c>
      <c r="G6447">
        <v>-221.16069999999999</v>
      </c>
      <c r="H6447">
        <v>0.91860030000000004</v>
      </c>
      <c r="I6447">
        <v>-63.3270699999999</v>
      </c>
      <c r="J6447">
        <v>-221.85130000000001</v>
      </c>
      <c r="K6447">
        <v>1.1101490000000001</v>
      </c>
      <c r="L6447">
        <v>-63.193849999999998</v>
      </c>
      <c r="M6447">
        <v>0.99968509999999999</v>
      </c>
      <c r="N6447">
        <v>0</v>
      </c>
      <c r="O6447">
        <v>2.171379E-2</v>
      </c>
      <c r="P6447">
        <v>0.99945320000000004</v>
      </c>
      <c r="Q6447">
        <v>-3.3058450000000003E-2</v>
      </c>
      <c r="R6447">
        <v>-7.6313889999999999E-4</v>
      </c>
      <c r="S6447">
        <v>2.9783019999999998</v>
      </c>
      <c r="T6447">
        <v>-0.70928029999999997</v>
      </c>
      <c r="U6447">
        <v>-0.4837341</v>
      </c>
      <c r="V6447">
        <v>2.2469639999999999E-2</v>
      </c>
      <c r="W6447">
        <v>-2.047798E-2</v>
      </c>
      <c r="X6447">
        <v>0.99953780000000003</v>
      </c>
      <c r="Y6447">
        <v>0.17631289999999999</v>
      </c>
      <c r="Z6447">
        <v>-2.564572E-2</v>
      </c>
      <c r="AA6447">
        <v>0.98399999999999999</v>
      </c>
      <c r="AB6447">
        <v>23</v>
      </c>
      <c r="AC6447">
        <v>0.69060000000001698</v>
      </c>
      <c r="AD6447">
        <v>-0.19154869999999999</v>
      </c>
      <c r="AE6447">
        <v>-0.13321999999999401</v>
      </c>
      <c r="AF6447">
        <v>0.13795311232572999</v>
      </c>
      <c r="AG6447">
        <v>-0.19154869999999999</v>
      </c>
      <c r="AH6447">
        <v>0.64006925042215901</v>
      </c>
      <c r="AI6447">
        <v>106.30656617124301</v>
      </c>
      <c r="AJ6447">
        <v>77.837184585907494</v>
      </c>
      <c r="AK6447">
        <v>0.68221009301243096</v>
      </c>
      <c r="AL6447">
        <v>91.173383818994594</v>
      </c>
      <c r="AM6447">
        <v>88.712206042625397</v>
      </c>
      <c r="AN6447">
        <v>1.00000002300772</v>
      </c>
    </row>
    <row r="6448" spans="1:40" x14ac:dyDescent="0.25">
      <c r="A6448" t="str">
        <f>"20190312161145872"</f>
        <v>20190312161145872</v>
      </c>
      <c r="B6448" t="str">
        <f>"1552378305864011"</f>
        <v>1552378305864011</v>
      </c>
      <c r="C6448" t="s">
        <v>40</v>
      </c>
      <c r="D6448">
        <v>5.4260820000000001</v>
      </c>
      <c r="E6448">
        <v>0.56304940000000003</v>
      </c>
      <c r="F6448" t="s">
        <v>42</v>
      </c>
      <c r="G6448">
        <v>-221.15129999999999</v>
      </c>
      <c r="H6448">
        <v>0.94211540000000005</v>
      </c>
      <c r="I6448">
        <v>-63.308100000000003</v>
      </c>
      <c r="J6448">
        <v>-221.744</v>
      </c>
      <c r="K6448">
        <v>1.110169</v>
      </c>
      <c r="L6448">
        <v>-63.19144</v>
      </c>
      <c r="M6448">
        <v>0.99968190000000001</v>
      </c>
      <c r="N6448">
        <v>0</v>
      </c>
      <c r="O6448">
        <v>2.1782030000000001E-2</v>
      </c>
      <c r="P6448">
        <v>0.99944679999999997</v>
      </c>
      <c r="Q6448">
        <v>-3.3239650000000003E-2</v>
      </c>
      <c r="R6448">
        <v>-1.0062630000000001E-3</v>
      </c>
      <c r="S6448">
        <v>2.9776150000000001</v>
      </c>
      <c r="T6448">
        <v>-0.71476859999999998</v>
      </c>
      <c r="U6448">
        <v>-0.48559570000000002</v>
      </c>
      <c r="V6448">
        <v>2.2781510000000001E-2</v>
      </c>
      <c r="W6448">
        <v>-2.0534400000000001E-2</v>
      </c>
      <c r="X6448">
        <v>0.99952949999999996</v>
      </c>
      <c r="Y6448">
        <v>0.17691219999999999</v>
      </c>
      <c r="Z6448">
        <v>-2.5929850000000001E-2</v>
      </c>
      <c r="AA6448">
        <v>0.98388500000000001</v>
      </c>
      <c r="AB6448">
        <v>23</v>
      </c>
      <c r="AC6448">
        <v>0.59270000000003598</v>
      </c>
      <c r="AD6448">
        <v>-0.168053599999999</v>
      </c>
      <c r="AE6448">
        <v>-0.116660000000003</v>
      </c>
      <c r="AF6448">
        <v>0.12023765875150901</v>
      </c>
      <c r="AG6448">
        <v>-0.168053599999999</v>
      </c>
      <c r="AH6448">
        <v>0.54763343332936099</v>
      </c>
      <c r="AI6448">
        <v>106.685207801727</v>
      </c>
      <c r="AJ6448">
        <v>77.616703642429698</v>
      </c>
      <c r="AK6448">
        <v>0.58532169305016102</v>
      </c>
      <c r="AL6448">
        <v>91.176617224274295</v>
      </c>
      <c r="AM6448">
        <v>88.694327262235205</v>
      </c>
      <c r="AN6448">
        <v>0.999999940075743</v>
      </c>
    </row>
    <row r="6449" spans="1:40" x14ac:dyDescent="0.25">
      <c r="A6449" t="str">
        <f>"20190312161145884"</f>
        <v>20190312161145884</v>
      </c>
      <c r="B6449" t="str">
        <f>"1552378305873771"</f>
        <v>1552378305873771</v>
      </c>
      <c r="C6449" t="s">
        <v>40</v>
      </c>
      <c r="D6449">
        <v>5.3836500000000003</v>
      </c>
      <c r="E6449">
        <v>0.56296219999999997</v>
      </c>
      <c r="F6449" t="s">
        <v>42</v>
      </c>
      <c r="G6449">
        <v>-220.953</v>
      </c>
      <c r="H6449">
        <v>0.91952009999999995</v>
      </c>
      <c r="I6449">
        <v>-63.320740000000001</v>
      </c>
      <c r="J6449">
        <v>-221.62209999999999</v>
      </c>
      <c r="K6449">
        <v>1.1101909999999999</v>
      </c>
      <c r="L6449">
        <v>-63.188690000000001</v>
      </c>
      <c r="M6449">
        <v>0.99967859999999997</v>
      </c>
      <c r="N6449">
        <v>0</v>
      </c>
      <c r="O6449">
        <v>2.1863090000000002E-2</v>
      </c>
      <c r="P6449">
        <v>0.99944379999999999</v>
      </c>
      <c r="Q6449">
        <v>-3.3345420000000001E-2</v>
      </c>
      <c r="R6449">
        <v>-8.2625289999999996E-4</v>
      </c>
      <c r="S6449">
        <v>2.9773100000000001</v>
      </c>
      <c r="T6449">
        <v>-0.71758889999999997</v>
      </c>
      <c r="U6449">
        <v>-0.4862976</v>
      </c>
      <c r="V6449">
        <v>2.268299E-2</v>
      </c>
      <c r="W6449">
        <v>-2.0501229999999999E-2</v>
      </c>
      <c r="X6449">
        <v>0.99953250000000005</v>
      </c>
      <c r="Y6449">
        <v>0.17718030000000001</v>
      </c>
      <c r="Z6449">
        <v>-2.6082279999999999E-2</v>
      </c>
      <c r="AA6449">
        <v>0.9838327</v>
      </c>
      <c r="AB6449">
        <v>23</v>
      </c>
      <c r="AC6449">
        <v>0.66909999999998604</v>
      </c>
      <c r="AD6449">
        <v>-0.1906709</v>
      </c>
      <c r="AE6449">
        <v>-0.132049999999999</v>
      </c>
      <c r="AF6449">
        <v>0.13601694801897701</v>
      </c>
      <c r="AG6449">
        <v>-0.1906709</v>
      </c>
      <c r="AH6449">
        <v>0.61776720283341902</v>
      </c>
      <c r="AI6449">
        <v>106.77415013927499</v>
      </c>
      <c r="AJ6449">
        <v>77.583013165079194</v>
      </c>
      <c r="AK6449">
        <v>0.66067565351830104</v>
      </c>
      <c r="AL6449">
        <v>91.174716230837603</v>
      </c>
      <c r="AM6449">
        <v>88.699975680536696</v>
      </c>
      <c r="AN6449">
        <v>1.0000000185115501</v>
      </c>
    </row>
    <row r="6450" spans="1:40" x14ac:dyDescent="0.25">
      <c r="A6450" t="str">
        <f>"20190312161145895"</f>
        <v>20190312161145895</v>
      </c>
      <c r="B6450" t="str">
        <f>"1552378305883531"</f>
        <v>1552378305883531</v>
      </c>
      <c r="C6450" t="s">
        <v>40</v>
      </c>
      <c r="D6450">
        <v>5.4181889999999999</v>
      </c>
      <c r="E6450">
        <v>0.56288990000000005</v>
      </c>
      <c r="F6450" t="s">
        <v>42</v>
      </c>
      <c r="G6450">
        <v>-220.7533</v>
      </c>
      <c r="H6450">
        <v>0.900084</v>
      </c>
      <c r="I6450">
        <v>-63.330280000000002</v>
      </c>
      <c r="J6450">
        <v>-221.5093</v>
      </c>
      <c r="K6450">
        <v>1.1102110000000001</v>
      </c>
      <c r="L6450">
        <v>-63.186129999999999</v>
      </c>
      <c r="M6450">
        <v>0.99967490000000003</v>
      </c>
      <c r="N6450">
        <v>0</v>
      </c>
      <c r="O6450">
        <v>2.1957089999999999E-2</v>
      </c>
      <c r="P6450">
        <v>0.9994364</v>
      </c>
      <c r="Q6450">
        <v>-3.3567300000000001E-2</v>
      </c>
      <c r="R6450">
        <v>-4.139678E-4</v>
      </c>
      <c r="S6450">
        <v>2.9772340000000002</v>
      </c>
      <c r="T6450">
        <v>-0.72007259999999995</v>
      </c>
      <c r="U6450">
        <v>-0.4850159</v>
      </c>
      <c r="V6450">
        <v>2.2365550000000001E-2</v>
      </c>
      <c r="W6450">
        <v>-2.06071E-2</v>
      </c>
      <c r="X6450">
        <v>0.99953749999999997</v>
      </c>
      <c r="Y6450">
        <v>0.17683260000000001</v>
      </c>
      <c r="Z6450">
        <v>-2.6152689999999999E-2</v>
      </c>
      <c r="AA6450">
        <v>0.98389340000000003</v>
      </c>
      <c r="AB6450">
        <v>23</v>
      </c>
      <c r="AC6450">
        <v>0.75600000000000001</v>
      </c>
      <c r="AD6450">
        <v>-0.21012700000000001</v>
      </c>
      <c r="AE6450">
        <v>-0.144149999999996</v>
      </c>
      <c r="AF6450">
        <v>0.14956692696367599</v>
      </c>
      <c r="AG6450">
        <v>-0.21012700000000001</v>
      </c>
      <c r="AH6450">
        <v>0.700439025725338</v>
      </c>
      <c r="AI6450">
        <v>106.350597229507</v>
      </c>
      <c r="AJ6450">
        <v>77.946476935108507</v>
      </c>
      <c r="AK6450">
        <v>0.74641707545407798</v>
      </c>
      <c r="AL6450">
        <v>91.180783388735804</v>
      </c>
      <c r="AM6450">
        <v>88.718169333699194</v>
      </c>
      <c r="AN6450">
        <v>1.0000000421517301</v>
      </c>
    </row>
    <row r="6451" spans="1:40" x14ac:dyDescent="0.25">
      <c r="A6451" t="str">
        <f>"20190312161145905"</f>
        <v>20190312161145905</v>
      </c>
      <c r="B6451" t="str">
        <f>"1552378305893291"</f>
        <v>1552378305893291</v>
      </c>
      <c r="C6451" t="s">
        <v>40</v>
      </c>
      <c r="D6451">
        <v>5.5991359999999997</v>
      </c>
      <c r="E6451">
        <v>0.56308290000000005</v>
      </c>
      <c r="F6451" t="s">
        <v>42</v>
      </c>
      <c r="G6451">
        <v>-220.74420000000001</v>
      </c>
      <c r="H6451">
        <v>0.92453890000000005</v>
      </c>
      <c r="I6451">
        <v>-63.310380000000002</v>
      </c>
      <c r="J6451">
        <v>-221.40190000000001</v>
      </c>
      <c r="K6451">
        <v>1.110228</v>
      </c>
      <c r="L6451">
        <v>-63.18365</v>
      </c>
      <c r="M6451">
        <v>0.99967159999999999</v>
      </c>
      <c r="N6451">
        <v>0</v>
      </c>
      <c r="O6451">
        <v>2.2049470000000002E-2</v>
      </c>
      <c r="P6451">
        <v>0.99943709999999997</v>
      </c>
      <c r="Q6451">
        <v>-3.3554970000000003E-2</v>
      </c>
      <c r="R6451">
        <v>-1.4251570000000001E-4</v>
      </c>
      <c r="S6451">
        <v>2.9772189999999998</v>
      </c>
      <c r="T6451">
        <v>-0.72253269999999903</v>
      </c>
      <c r="U6451">
        <v>-0.4832458</v>
      </c>
      <c r="V6451">
        <v>2.2187180000000001E-2</v>
      </c>
      <c r="W6451">
        <v>-2.0486250000000001E-2</v>
      </c>
      <c r="X6451">
        <v>0.99954390000000004</v>
      </c>
      <c r="Y6451">
        <v>0.1763276</v>
      </c>
      <c r="Z6451">
        <v>-2.6202840000000002E-2</v>
      </c>
      <c r="AA6451">
        <v>0.98398269999999999</v>
      </c>
      <c r="AB6451">
        <v>23</v>
      </c>
      <c r="AC6451">
        <v>0.65770000000000495</v>
      </c>
      <c r="AD6451">
        <v>-0.185689099999999</v>
      </c>
      <c r="AE6451">
        <v>-0.12673000000000101</v>
      </c>
      <c r="AF6451">
        <v>0.13112449213133201</v>
      </c>
      <c r="AG6451">
        <v>-0.185689099999999</v>
      </c>
      <c r="AH6451">
        <v>0.60801514647523403</v>
      </c>
      <c r="AI6451">
        <v>106.62239484517499</v>
      </c>
      <c r="AJ6451">
        <v>77.829985192627902</v>
      </c>
      <c r="AK6451">
        <v>0.64911978296675699</v>
      </c>
      <c r="AL6451">
        <v>91.173857801811593</v>
      </c>
      <c r="AM6451">
        <v>88.728396974099496</v>
      </c>
      <c r="AN6451">
        <v>0.99999998271131196</v>
      </c>
    </row>
    <row r="6452" spans="1:40" x14ac:dyDescent="0.25">
      <c r="A6452" t="str">
        <f>"20190312161145918"</f>
        <v>20190312161145918</v>
      </c>
      <c r="B6452" t="str">
        <f>"1552378305913788"</f>
        <v>1552378305913788</v>
      </c>
      <c r="C6452" t="s">
        <v>40</v>
      </c>
      <c r="D6452">
        <v>5.546017</v>
      </c>
      <c r="E6452">
        <v>0.56323579999999995</v>
      </c>
      <c r="F6452" t="s">
        <v>42</v>
      </c>
      <c r="G6452">
        <v>-220.54599999999999</v>
      </c>
      <c r="H6452">
        <v>0.90230149999999998</v>
      </c>
      <c r="I6452">
        <v>-63.323070000000001</v>
      </c>
      <c r="J6452">
        <v>-221.2688</v>
      </c>
      <c r="K6452">
        <v>1.110252</v>
      </c>
      <c r="L6452">
        <v>-63.180599999999998</v>
      </c>
      <c r="M6452">
        <v>0.99966690000000002</v>
      </c>
      <c r="N6452">
        <v>0</v>
      </c>
      <c r="O6452">
        <v>2.2182919999999998E-2</v>
      </c>
      <c r="P6452">
        <v>0.99942540000000002</v>
      </c>
      <c r="Q6452">
        <v>-3.3891119999999997E-2</v>
      </c>
      <c r="R6452">
        <v>7.744052E-4</v>
      </c>
      <c r="S6452">
        <v>2.977341</v>
      </c>
      <c r="T6452">
        <v>-0.72333879999999995</v>
      </c>
      <c r="U6452">
        <v>-0.48413089999999998</v>
      </c>
      <c r="V6452">
        <v>2.1404550000000001E-2</v>
      </c>
      <c r="W6452">
        <v>-2.0700389999999999E-2</v>
      </c>
      <c r="X6452">
        <v>0.99955660000000002</v>
      </c>
      <c r="Y6452">
        <v>0.17671120000000001</v>
      </c>
      <c r="Z6452">
        <v>-2.630706E-2</v>
      </c>
      <c r="AA6452">
        <v>0.98391119999999999</v>
      </c>
      <c r="AB6452">
        <v>23</v>
      </c>
      <c r="AC6452">
        <v>0.72280000000000599</v>
      </c>
      <c r="AD6452">
        <v>-0.20795050000000001</v>
      </c>
      <c r="AE6452">
        <v>-0.14246999999999499</v>
      </c>
      <c r="AF6452">
        <v>0.146775585597469</v>
      </c>
      <c r="AG6452">
        <v>-0.20795050000000001</v>
      </c>
      <c r="AH6452">
        <v>0.66636761500577302</v>
      </c>
      <c r="AI6452">
        <v>106.949150446502</v>
      </c>
      <c r="AJ6452">
        <v>77.57825377735</v>
      </c>
      <c r="AK6452">
        <v>0.71332480771820395</v>
      </c>
      <c r="AL6452">
        <v>91.186129668094097</v>
      </c>
      <c r="AM6452">
        <v>88.773253089881294</v>
      </c>
      <c r="AN6452">
        <v>1.0000000287552</v>
      </c>
    </row>
    <row r="6453" spans="1:40" x14ac:dyDescent="0.25">
      <c r="A6453" t="str">
        <f>"20190312161145931"</f>
        <v>20190312161145931</v>
      </c>
      <c r="B6453" t="str">
        <f>"1552378305923547"</f>
        <v>1552378305923547</v>
      </c>
      <c r="C6453" t="s">
        <v>40</v>
      </c>
      <c r="D6453">
        <v>5.3195110000000003</v>
      </c>
      <c r="E6453">
        <v>0.56306899999999904</v>
      </c>
      <c r="F6453" t="s">
        <v>42</v>
      </c>
      <c r="G6453">
        <v>-220.5352</v>
      </c>
      <c r="H6453">
        <v>0.93126819999999999</v>
      </c>
      <c r="I6453">
        <v>-63.299729999999997</v>
      </c>
      <c r="J6453">
        <v>-221.14689999999999</v>
      </c>
      <c r="K6453">
        <v>1.1102700000000001</v>
      </c>
      <c r="L6453">
        <v>-63.177729999999997</v>
      </c>
      <c r="M6453">
        <v>0.99966259999999996</v>
      </c>
      <c r="N6453">
        <v>0</v>
      </c>
      <c r="O6453">
        <v>2.2316329999999999E-2</v>
      </c>
      <c r="P6453">
        <v>0.9994267</v>
      </c>
      <c r="Q6453">
        <v>-3.3838840000000002E-2</v>
      </c>
      <c r="R6453">
        <v>1.200085E-3</v>
      </c>
      <c r="S6453">
        <v>2.9774630000000002</v>
      </c>
      <c r="T6453">
        <v>-0.72636369999999995</v>
      </c>
      <c r="U6453">
        <v>-0.48242190000000001</v>
      </c>
      <c r="V6453">
        <v>2.1113159999999999E-2</v>
      </c>
      <c r="W6453">
        <v>-2.0543019999999999E-2</v>
      </c>
      <c r="X6453">
        <v>0.99956599999999995</v>
      </c>
      <c r="Y6453">
        <v>0.1762484</v>
      </c>
      <c r="Z6453">
        <v>-2.6390730000000001E-2</v>
      </c>
      <c r="AA6453">
        <v>0.98399190000000003</v>
      </c>
      <c r="AB6453">
        <v>23</v>
      </c>
      <c r="AC6453">
        <v>0.61169999999998403</v>
      </c>
      <c r="AD6453">
        <v>-0.17900179999999999</v>
      </c>
      <c r="AE6453">
        <v>-0.121999999999999</v>
      </c>
      <c r="AF6453">
        <v>0.125302275619665</v>
      </c>
      <c r="AG6453">
        <v>-0.17900179999999999</v>
      </c>
      <c r="AH6453">
        <v>0.56249939171431595</v>
      </c>
      <c r="AI6453">
        <v>107.255446008951</v>
      </c>
      <c r="AJ6453">
        <v>77.441841860182095</v>
      </c>
      <c r="AK6453">
        <v>0.60344665908237705</v>
      </c>
      <c r="AL6453">
        <v>91.177111165502595</v>
      </c>
      <c r="AM6453">
        <v>88.789959737089802</v>
      </c>
      <c r="AN6453">
        <v>0.99999998477595198</v>
      </c>
    </row>
    <row r="6454" spans="1:40" x14ac:dyDescent="0.25">
      <c r="A6454" t="str">
        <f>"20190312161145944"</f>
        <v>20190312161145944</v>
      </c>
      <c r="B6454" t="str">
        <f>"1552378305933307"</f>
        <v>1552378305933307</v>
      </c>
      <c r="C6454" t="s">
        <v>40</v>
      </c>
      <c r="D6454">
        <v>5.4629729999999999</v>
      </c>
      <c r="E6454">
        <v>0.5631351</v>
      </c>
      <c r="F6454" t="s">
        <v>42</v>
      </c>
      <c r="G6454">
        <v>-220.33629999999999</v>
      </c>
      <c r="H6454">
        <v>0.91216889999999995</v>
      </c>
      <c r="I6454">
        <v>-63.308419999999998</v>
      </c>
      <c r="J6454">
        <v>-221.0103</v>
      </c>
      <c r="K6454">
        <v>1.1102909999999999</v>
      </c>
      <c r="L6454">
        <v>-63.174529999999997</v>
      </c>
      <c r="M6454">
        <v>0.99965760000000004</v>
      </c>
      <c r="N6454">
        <v>0</v>
      </c>
      <c r="O6454">
        <v>2.2476360000000001E-2</v>
      </c>
      <c r="P6454">
        <v>0.99940620000000002</v>
      </c>
      <c r="Q6454">
        <v>-3.441578E-2</v>
      </c>
      <c r="R6454">
        <v>1.8495390000000001E-3</v>
      </c>
      <c r="S6454">
        <v>2.9776609999999999</v>
      </c>
      <c r="T6454">
        <v>-0.727711</v>
      </c>
      <c r="U6454">
        <v>-0.47982789999999997</v>
      </c>
      <c r="V6454">
        <v>2.062431E-2</v>
      </c>
      <c r="W6454">
        <v>-2.1008800000000001E-2</v>
      </c>
      <c r="X6454">
        <v>0.99956659999999997</v>
      </c>
      <c r="Y6454">
        <v>0.1755543</v>
      </c>
      <c r="Z6454">
        <v>-2.6393630000000001E-2</v>
      </c>
      <c r="AA6454">
        <v>0.98411590000000004</v>
      </c>
      <c r="AB6454">
        <v>23</v>
      </c>
      <c r="AC6454">
        <v>0.67400000000000604</v>
      </c>
      <c r="AD6454">
        <v>-0.198122099999999</v>
      </c>
      <c r="AE6454">
        <v>-0.13388999999999299</v>
      </c>
      <c r="AF6454">
        <v>0.13757086360256701</v>
      </c>
      <c r="AG6454">
        <v>-0.198122099999999</v>
      </c>
      <c r="AH6454">
        <v>0.61933698652583702</v>
      </c>
      <c r="AI6454">
        <v>107.342676449218</v>
      </c>
      <c r="AJ6454">
        <v>77.476444661477302</v>
      </c>
      <c r="AK6454">
        <v>0.66464758473921404</v>
      </c>
      <c r="AL6454">
        <v>91.203804065441105</v>
      </c>
      <c r="AM6454">
        <v>88.817969440248106</v>
      </c>
      <c r="AN6454">
        <v>1.0000000598379799</v>
      </c>
    </row>
    <row r="6455" spans="1:40" x14ac:dyDescent="0.25">
      <c r="A6455" t="str">
        <f>"20190312161145956"</f>
        <v>20190312161145956</v>
      </c>
      <c r="B6455" t="str">
        <f>"1552378305944043"</f>
        <v>1552378305944043</v>
      </c>
      <c r="C6455" t="s">
        <v>40</v>
      </c>
      <c r="D6455">
        <v>5.3008179999999996</v>
      </c>
      <c r="E6455">
        <v>0.56280699999999995</v>
      </c>
      <c r="F6455" t="s">
        <v>42</v>
      </c>
      <c r="G6455">
        <v>-220.3244</v>
      </c>
      <c r="H6455">
        <v>0.94210349999999998</v>
      </c>
      <c r="I6455">
        <v>-63.284759999999999</v>
      </c>
      <c r="J6455">
        <v>-220.87970000000001</v>
      </c>
      <c r="K6455">
        <v>1.110317</v>
      </c>
      <c r="L6455">
        <v>-63.171419999999998</v>
      </c>
      <c r="M6455">
        <v>0.99965230000000005</v>
      </c>
      <c r="N6455">
        <v>0</v>
      </c>
      <c r="O6455">
        <v>2.2651689999999999E-2</v>
      </c>
      <c r="P6455">
        <v>0.99941720000000001</v>
      </c>
      <c r="Q6455">
        <v>-3.4020450000000001E-2</v>
      </c>
      <c r="R6455">
        <v>2.8296189999999998E-3</v>
      </c>
      <c r="S6455">
        <v>2.9775239999999998</v>
      </c>
      <c r="T6455">
        <v>-0.73011159999999997</v>
      </c>
      <c r="U6455">
        <v>-0.47824100000000003</v>
      </c>
      <c r="V6455">
        <v>1.9820549999999999E-2</v>
      </c>
      <c r="W6455">
        <v>-2.0518959999999999E-2</v>
      </c>
      <c r="X6455">
        <v>0.99959299999999995</v>
      </c>
      <c r="Y6455">
        <v>0.17519000000000001</v>
      </c>
      <c r="Z6455">
        <v>-2.6478870000000002E-2</v>
      </c>
      <c r="AA6455">
        <v>0.98417849999999996</v>
      </c>
      <c r="AB6455">
        <v>23</v>
      </c>
      <c r="AC6455">
        <v>0.555300000000016</v>
      </c>
      <c r="AD6455">
        <v>-0.16821349999999999</v>
      </c>
      <c r="AE6455">
        <v>-0.11334</v>
      </c>
      <c r="AF6455">
        <v>0.115698345407551</v>
      </c>
      <c r="AG6455">
        <v>-0.16821349999999999</v>
      </c>
      <c r="AH6455">
        <v>0.50785180195013901</v>
      </c>
      <c r="AI6455">
        <v>107.89790153476601</v>
      </c>
      <c r="AJ6455">
        <v>77.165969635531994</v>
      </c>
      <c r="AK6455">
        <v>0.54735303183256301</v>
      </c>
      <c r="AL6455">
        <v>91.175732292522099</v>
      </c>
      <c r="AM6455">
        <v>88.864052605653001</v>
      </c>
      <c r="AN6455">
        <v>1.0000000237853901</v>
      </c>
    </row>
    <row r="6456" spans="1:40" x14ac:dyDescent="0.25">
      <c r="A6456" t="str">
        <f>"20190312161145975"</f>
        <v>20190312161145975</v>
      </c>
      <c r="B6456" t="str">
        <f>"1552378305963563"</f>
        <v>1552378305963563</v>
      </c>
      <c r="C6456" t="s">
        <v>40</v>
      </c>
      <c r="D6456">
        <v>5.4101100000000004</v>
      </c>
      <c r="E6456">
        <v>0.562805</v>
      </c>
      <c r="F6456" t="s">
        <v>42</v>
      </c>
      <c r="G6456">
        <v>-220.12549999999999</v>
      </c>
      <c r="H6456">
        <v>0.92596089999999998</v>
      </c>
      <c r="I6456">
        <v>-63.291310000000003</v>
      </c>
      <c r="J6456">
        <v>-220.69399999999999</v>
      </c>
      <c r="K6456">
        <v>1.1103449999999999</v>
      </c>
      <c r="L6456">
        <v>-63.166899999999998</v>
      </c>
      <c r="M6456">
        <v>0.99964450000000005</v>
      </c>
      <c r="N6456">
        <v>0</v>
      </c>
      <c r="O6456">
        <v>2.2920309999999999E-2</v>
      </c>
      <c r="P6456">
        <v>0.99941279999999999</v>
      </c>
      <c r="Q6456">
        <v>-3.3991439999999998E-2</v>
      </c>
      <c r="R6456">
        <v>4.3579059999999999E-3</v>
      </c>
      <c r="S6456">
        <v>2.9783170000000001</v>
      </c>
      <c r="T6456">
        <v>-0.72801210000000005</v>
      </c>
      <c r="U6456">
        <v>-0.47286990000000001</v>
      </c>
      <c r="V6456">
        <v>1.8562140000000001E-2</v>
      </c>
      <c r="W6456">
        <v>-2.0365390000000001E-2</v>
      </c>
      <c r="X6456">
        <v>0.99962030000000002</v>
      </c>
      <c r="Y6456">
        <v>0.1737493</v>
      </c>
      <c r="Z6456">
        <v>-2.6293560000000001E-2</v>
      </c>
      <c r="AA6456">
        <v>0.98443879999999995</v>
      </c>
      <c r="AB6456">
        <v>23</v>
      </c>
      <c r="AC6456">
        <v>0.56850000000002798</v>
      </c>
      <c r="AD6456">
        <v>-0.1843841</v>
      </c>
      <c r="AE6456">
        <v>-0.124409999999997</v>
      </c>
      <c r="AF6456">
        <v>0.124873275868068</v>
      </c>
      <c r="AG6456">
        <v>-0.1843841</v>
      </c>
      <c r="AH6456">
        <v>0.51390985404838196</v>
      </c>
      <c r="AI6456">
        <v>109.220705124975</v>
      </c>
      <c r="AJ6456">
        <v>76.342569702715707</v>
      </c>
      <c r="AK6456">
        <v>0.560084073552232</v>
      </c>
      <c r="AL6456">
        <v>91.166931541558696</v>
      </c>
      <c r="AM6456">
        <v>88.936186004383401</v>
      </c>
      <c r="AN6456">
        <v>1.0000000231616599</v>
      </c>
    </row>
    <row r="6457" spans="1:40" x14ac:dyDescent="0.25">
      <c r="A6457" t="str">
        <f>"20190312161146005"</f>
        <v>20190312161146005</v>
      </c>
      <c r="B6457" t="str">
        <f>"1552378305993820"</f>
        <v>1552378305993820</v>
      </c>
      <c r="C6457" t="s">
        <v>40</v>
      </c>
      <c r="D6457">
        <v>5.4075670000000002</v>
      </c>
      <c r="E6457">
        <v>0.56261729999999999</v>
      </c>
      <c r="F6457" t="s">
        <v>42</v>
      </c>
      <c r="G6457">
        <v>-219.92189999999999</v>
      </c>
      <c r="H6457">
        <v>0.92152250000000002</v>
      </c>
      <c r="I6457">
        <v>-63.288379999999997</v>
      </c>
      <c r="J6457">
        <v>-220.38669999999999</v>
      </c>
      <c r="K6457">
        <v>1.110387</v>
      </c>
      <c r="L6457">
        <v>-63.1592699999999</v>
      </c>
      <c r="M6457">
        <v>0.99963049999999998</v>
      </c>
      <c r="N6457">
        <v>0</v>
      </c>
      <c r="O6457">
        <v>2.3420860000000002E-2</v>
      </c>
      <c r="P6457">
        <v>0.99939270000000002</v>
      </c>
      <c r="Q6457">
        <v>-3.43795E-2</v>
      </c>
      <c r="R6457">
        <v>5.7231399999999998E-3</v>
      </c>
      <c r="S6457">
        <v>2.9790190000000001</v>
      </c>
      <c r="T6457">
        <v>-0.72858519999999904</v>
      </c>
      <c r="U6457">
        <v>-0.46850589999999998</v>
      </c>
      <c r="V6457">
        <v>1.7699079999999999E-2</v>
      </c>
      <c r="W6457">
        <v>-2.0574410000000001E-2</v>
      </c>
      <c r="X6457">
        <v>0.99963159999999895</v>
      </c>
      <c r="Y6457">
        <v>0.17280400000000001</v>
      </c>
      <c r="Z6457">
        <v>-2.6317360000000001E-2</v>
      </c>
      <c r="AA6457">
        <v>0.98460460000000005</v>
      </c>
      <c r="AB6457">
        <v>23</v>
      </c>
      <c r="AC6457">
        <v>0.46479999999999599</v>
      </c>
      <c r="AD6457">
        <v>-0.18886449999999999</v>
      </c>
      <c r="AE6457">
        <v>-0.12911000000001099</v>
      </c>
      <c r="AF6457">
        <v>0.121359512520909</v>
      </c>
      <c r="AG6457">
        <v>-0.18886449999999999</v>
      </c>
      <c r="AH6457">
        <v>0.40029124905860902</v>
      </c>
      <c r="AI6457">
        <v>114.300248994829</v>
      </c>
      <c r="AJ6457">
        <v>73.133849261174205</v>
      </c>
      <c r="AK6457">
        <v>0.45894554656567299</v>
      </c>
      <c r="AL6457">
        <v>91.178910101549604</v>
      </c>
      <c r="AM6457">
        <v>88.985649675847199</v>
      </c>
      <c r="AN6457">
        <v>0.99999994974912498</v>
      </c>
    </row>
    <row r="6458" spans="1:40" x14ac:dyDescent="0.25">
      <c r="A6458" t="str">
        <f>"20190312161146018"</f>
        <v>20190312161146018</v>
      </c>
      <c r="B6458" t="str">
        <f>"1552378306013339"</f>
        <v>1552378306013339</v>
      </c>
      <c r="C6458" t="s">
        <v>40</v>
      </c>
      <c r="D6458">
        <v>5.329148</v>
      </c>
      <c r="E6458">
        <v>0.56252250000000004</v>
      </c>
      <c r="F6458" t="s">
        <v>42</v>
      </c>
      <c r="G6458">
        <v>-219.5215</v>
      </c>
      <c r="H6458">
        <v>0.89819119999999997</v>
      </c>
      <c r="I6458">
        <v>-63.2939199999999</v>
      </c>
      <c r="J6458">
        <v>-220.244</v>
      </c>
      <c r="K6458">
        <v>1.1104080000000001</v>
      </c>
      <c r="L6458">
        <v>-63.155639999999998</v>
      </c>
      <c r="M6458">
        <v>0.99962340000000005</v>
      </c>
      <c r="N6458">
        <v>0</v>
      </c>
      <c r="O6458">
        <v>2.3680980000000001E-2</v>
      </c>
      <c r="P6458">
        <v>0.99937260000000006</v>
      </c>
      <c r="Q6458">
        <v>-3.4788310000000003E-2</v>
      </c>
      <c r="R6458">
        <v>6.6475279999999998E-3</v>
      </c>
      <c r="S6458">
        <v>2.9793400000000001</v>
      </c>
      <c r="T6458">
        <v>-0.73070310000000005</v>
      </c>
      <c r="U6458">
        <v>-0.46337889999999998</v>
      </c>
      <c r="V6458">
        <v>1.7035720000000001E-2</v>
      </c>
      <c r="W6458">
        <v>-2.0913279999999999E-2</v>
      </c>
      <c r="X6458">
        <v>0.99963610000000003</v>
      </c>
      <c r="Y6458">
        <v>0.17139009999999999</v>
      </c>
      <c r="Z6458">
        <v>-2.6284970000000001E-2</v>
      </c>
      <c r="AA6458">
        <v>0.98485259999999997</v>
      </c>
      <c r="AB6458">
        <v>23</v>
      </c>
      <c r="AC6458">
        <v>0.72250000000002501</v>
      </c>
      <c r="AD6458">
        <v>-0.21221680000000001</v>
      </c>
      <c r="AE6458">
        <v>-0.138279999999987</v>
      </c>
      <c r="AF6458">
        <v>0.143416373907987</v>
      </c>
      <c r="AG6458">
        <v>-0.21221680000000001</v>
      </c>
      <c r="AH6458">
        <v>0.66377867963341897</v>
      </c>
      <c r="AI6458">
        <v>107.353988257878</v>
      </c>
      <c r="AJ6458">
        <v>77.808053273290497</v>
      </c>
      <c r="AK6458">
        <v>0.71148180724670695</v>
      </c>
      <c r="AL6458">
        <v>91.198330093787803</v>
      </c>
      <c r="AM6458">
        <v>89.023664330881005</v>
      </c>
      <c r="AN6458">
        <v>0.99999995672974196</v>
      </c>
    </row>
    <row r="6459" spans="1:40" x14ac:dyDescent="0.25">
      <c r="A6459" t="str">
        <f>"20190312161146030"</f>
        <v>20190312161146030</v>
      </c>
      <c r="B6459" t="str">
        <f>"1552378306024075"</f>
        <v>1552378306024075</v>
      </c>
      <c r="C6459" t="s">
        <v>40</v>
      </c>
      <c r="D6459">
        <v>5.5485939999999996</v>
      </c>
      <c r="E6459">
        <v>0.56252250000000004</v>
      </c>
      <c r="F6459" t="s">
        <v>42</v>
      </c>
      <c r="G6459">
        <v>-219.5095</v>
      </c>
      <c r="H6459">
        <v>0.92992330000000001</v>
      </c>
      <c r="I6459">
        <v>-63.269170000000003</v>
      </c>
      <c r="J6459">
        <v>-220.12260000000001</v>
      </c>
      <c r="K6459">
        <v>1.110425</v>
      </c>
      <c r="L6459">
        <v>-63.152529999999999</v>
      </c>
      <c r="M6459">
        <v>0.99961710000000004</v>
      </c>
      <c r="N6459">
        <v>0</v>
      </c>
      <c r="O6459">
        <v>2.3911169999999999E-2</v>
      </c>
      <c r="P6459">
        <v>0.99935750000000001</v>
      </c>
      <c r="Q6459">
        <v>-3.5106140000000001E-2</v>
      </c>
      <c r="R6459">
        <v>7.2353419999999996E-3</v>
      </c>
      <c r="S6459">
        <v>2.9794770000000002</v>
      </c>
      <c r="T6459">
        <v>-0.73217559999999904</v>
      </c>
      <c r="U6459">
        <v>-0.46023560000000002</v>
      </c>
      <c r="V6459">
        <v>1.6678399999999999E-2</v>
      </c>
      <c r="W6459">
        <v>-2.11755E-2</v>
      </c>
      <c r="X6459">
        <v>0.99963670000000004</v>
      </c>
      <c r="Y6459">
        <v>0.17058870000000001</v>
      </c>
      <c r="Z6459">
        <v>-2.629627E-2</v>
      </c>
      <c r="AA6459">
        <v>0.98499139999999996</v>
      </c>
      <c r="AB6459">
        <v>23</v>
      </c>
      <c r="AC6459">
        <v>0.61310000000000198</v>
      </c>
      <c r="AD6459">
        <v>-0.18050169999999999</v>
      </c>
      <c r="AE6459">
        <v>-0.116639999999989</v>
      </c>
      <c r="AF6459">
        <v>0.121135205819438</v>
      </c>
      <c r="AG6459">
        <v>-0.18050169999999999</v>
      </c>
      <c r="AH6459">
        <v>0.56303802241312795</v>
      </c>
      <c r="AI6459">
        <v>107.401707393774</v>
      </c>
      <c r="AJ6459">
        <v>77.858141263797194</v>
      </c>
      <c r="AK6459">
        <v>0.60354487527829503</v>
      </c>
      <c r="AL6459">
        <v>91.213357406830397</v>
      </c>
      <c r="AM6459">
        <v>89.044139462731295</v>
      </c>
      <c r="AN6459">
        <v>1.0000000514068399</v>
      </c>
    </row>
    <row r="6460" spans="1:40" x14ac:dyDescent="0.25">
      <c r="A6460" t="str">
        <f>"20190312161146041"</f>
        <v>20190312161146041</v>
      </c>
      <c r="B6460" t="str">
        <f>"1552378306033836"</f>
        <v>1552378306033836</v>
      </c>
      <c r="C6460" t="s">
        <v>40</v>
      </c>
      <c r="D6460">
        <v>5.2801299999999998</v>
      </c>
      <c r="E6460">
        <v>0.52153939999999999</v>
      </c>
      <c r="F6460" t="s">
        <v>42</v>
      </c>
      <c r="G6460">
        <v>-219.3126</v>
      </c>
      <c r="H6460">
        <v>0.91114709999999999</v>
      </c>
      <c r="I6460">
        <v>-63.277459999999998</v>
      </c>
      <c r="J6460">
        <v>-220.0018</v>
      </c>
      <c r="K6460">
        <v>1.11043799999999</v>
      </c>
      <c r="L6460">
        <v>-63.149349999999998</v>
      </c>
      <c r="M6460">
        <v>0.99961069999999996</v>
      </c>
      <c r="N6460">
        <v>0</v>
      </c>
      <c r="O6460">
        <v>2.4147620000000002E-2</v>
      </c>
      <c r="P6460">
        <v>0.99936069999999999</v>
      </c>
      <c r="Q6460">
        <v>-3.4795880000000001E-2</v>
      </c>
      <c r="R6460">
        <v>8.2095840000000007E-3</v>
      </c>
      <c r="S6460">
        <v>2.9795229999999999</v>
      </c>
      <c r="T6460">
        <v>-0.73300549999999998</v>
      </c>
      <c r="U6460">
        <v>-0.45858759999999998</v>
      </c>
      <c r="V6460">
        <v>1.5941440000000001E-2</v>
      </c>
      <c r="W6460">
        <v>-2.0813249999999998E-2</v>
      </c>
      <c r="X6460">
        <v>0.99965630000000005</v>
      </c>
      <c r="Y6460">
        <v>0.17027619999999999</v>
      </c>
      <c r="Z6460">
        <v>-2.6345279999999999E-2</v>
      </c>
      <c r="AA6460">
        <v>0.98504409999999998</v>
      </c>
      <c r="AB6460">
        <v>23</v>
      </c>
      <c r="AC6460">
        <v>0.68919999999999904</v>
      </c>
      <c r="AD6460">
        <v>-0.19929089999999899</v>
      </c>
      <c r="AE6460">
        <v>-0.128109999999999</v>
      </c>
      <c r="AF6460">
        <v>0.133895074150645</v>
      </c>
      <c r="AG6460">
        <v>-0.19929089999999899</v>
      </c>
      <c r="AH6460">
        <v>0.63461407605229803</v>
      </c>
      <c r="AI6460">
        <v>107.080629742562</v>
      </c>
      <c r="AJ6460">
        <v>78.0860905273491</v>
      </c>
      <c r="AK6460">
        <v>0.67851291751029297</v>
      </c>
      <c r="AL6460">
        <v>91.192597474078497</v>
      </c>
      <c r="AM6460">
        <v>89.086386173003802</v>
      </c>
      <c r="AN6460">
        <v>1.00000001950726</v>
      </c>
    </row>
    <row r="6461" spans="1:40" x14ac:dyDescent="0.25">
      <c r="A6461" t="str">
        <f>"20190312161146053"</f>
        <v>20190312161146053</v>
      </c>
      <c r="B6461" t="str">
        <f>"1552378306043595"</f>
        <v>1552378306043595</v>
      </c>
      <c r="C6461" t="s">
        <v>40</v>
      </c>
      <c r="D6461">
        <v>5.2582069999999996</v>
      </c>
      <c r="E6461">
        <v>0.52153939999999999</v>
      </c>
      <c r="F6461" t="s">
        <v>42</v>
      </c>
      <c r="G6461">
        <v>-219.2944</v>
      </c>
      <c r="H6461">
        <v>0.9595475</v>
      </c>
      <c r="I6461">
        <v>-63.180929999999996</v>
      </c>
      <c r="J6461">
        <v>-219.89279999999999</v>
      </c>
      <c r="K6461">
        <v>1.1104529999999999</v>
      </c>
      <c r="L6461">
        <v>-63.146479999999997</v>
      </c>
      <c r="M6461">
        <v>0.99960459999999995</v>
      </c>
      <c r="N6461">
        <v>0</v>
      </c>
      <c r="O6461">
        <v>2.437597E-2</v>
      </c>
      <c r="P6461">
        <v>0.99935320000000005</v>
      </c>
      <c r="Q6461">
        <v>-3.4827770000000001E-2</v>
      </c>
      <c r="R6461">
        <v>8.964952E-3</v>
      </c>
      <c r="S6461">
        <v>2.9808650000000001</v>
      </c>
      <c r="T6461">
        <v>-0.63583979999999996</v>
      </c>
      <c r="U6461">
        <v>-0.1319275</v>
      </c>
      <c r="V6461">
        <v>1.541496E-2</v>
      </c>
      <c r="W6461">
        <v>-2.0803269999999999E-2</v>
      </c>
      <c r="X6461">
        <v>0.99966469999999996</v>
      </c>
      <c r="Y6461">
        <v>6.6514879999999998E-2</v>
      </c>
      <c r="Z6461">
        <v>-1.215192E-2</v>
      </c>
      <c r="AA6461">
        <v>0.99771140000000003</v>
      </c>
      <c r="AB6461">
        <v>23</v>
      </c>
      <c r="AC6461">
        <v>0.59839999999999705</v>
      </c>
      <c r="AD6461">
        <v>-0.1509055</v>
      </c>
      <c r="AE6461">
        <v>-3.4449999999999599E-2</v>
      </c>
      <c r="AF6461">
        <v>4.6105363317035498E-2</v>
      </c>
      <c r="AG6461">
        <v>-0.1509055</v>
      </c>
      <c r="AH6461">
        <v>0.56177399466953004</v>
      </c>
      <c r="AI6461">
        <v>104.987908586166</v>
      </c>
      <c r="AJ6461">
        <v>85.308192353066701</v>
      </c>
      <c r="AK6461">
        <v>0.58351366354508605</v>
      </c>
      <c r="AL6461">
        <v>91.192025615604294</v>
      </c>
      <c r="AM6461">
        <v>89.116561627283801</v>
      </c>
      <c r="AN6461">
        <v>0.99999995473029102</v>
      </c>
    </row>
    <row r="6462" spans="1:40" x14ac:dyDescent="0.25">
      <c r="A6462" t="str">
        <f>"20190312161146064"</f>
        <v>20190312161146064</v>
      </c>
      <c r="B6462" t="str">
        <f>"1552378306053355"</f>
        <v>1552378306053355</v>
      </c>
      <c r="C6462" t="s">
        <v>40</v>
      </c>
      <c r="D6462">
        <v>5.1557740000000001</v>
      </c>
      <c r="E6462">
        <v>0.47492440000000002</v>
      </c>
      <c r="F6462" t="s">
        <v>42</v>
      </c>
      <c r="G6462">
        <v>-219.09979999999999</v>
      </c>
      <c r="H6462">
        <v>0.94128120000000004</v>
      </c>
      <c r="I6462">
        <v>-63.181060000000002</v>
      </c>
      <c r="J6462">
        <v>-219.77780000000001</v>
      </c>
      <c r="K6462">
        <v>1.110468</v>
      </c>
      <c r="L6462">
        <v>-63.1434</v>
      </c>
      <c r="M6462">
        <v>0.99959799999999999</v>
      </c>
      <c r="N6462">
        <v>0</v>
      </c>
      <c r="O6462">
        <v>2.462083E-2</v>
      </c>
      <c r="P6462">
        <v>0.99935209999999997</v>
      </c>
      <c r="Q6462">
        <v>-3.4631380000000003E-2</v>
      </c>
      <c r="R6462">
        <v>9.8015540000000005E-3</v>
      </c>
      <c r="S6462">
        <v>2.9809269999999999</v>
      </c>
      <c r="T6462">
        <v>-0.63590259999999998</v>
      </c>
      <c r="U6462">
        <v>-0.1297913</v>
      </c>
      <c r="V6462">
        <v>1.482375E-2</v>
      </c>
      <c r="W6462">
        <v>-2.0563809999999998E-2</v>
      </c>
      <c r="X6462">
        <v>0.99967859999999997</v>
      </c>
      <c r="Y6462">
        <v>6.6049319999999995E-2</v>
      </c>
      <c r="Z6462">
        <v>-1.2155590000000001E-2</v>
      </c>
      <c r="AA6462">
        <v>0.99774229999999997</v>
      </c>
      <c r="AB6462">
        <v>23</v>
      </c>
      <c r="AC6462">
        <v>0.67800000000002503</v>
      </c>
      <c r="AD6462">
        <v>-0.169186799999999</v>
      </c>
      <c r="AE6462">
        <v>-3.7659999999995301E-2</v>
      </c>
      <c r="AF6462">
        <v>5.1166834334743699E-2</v>
      </c>
      <c r="AG6462">
        <v>-0.169186799999999</v>
      </c>
      <c r="AH6462">
        <v>0.63730470284437502</v>
      </c>
      <c r="AI6462">
        <v>104.82192943614901</v>
      </c>
      <c r="AJ6462">
        <v>85.409779845512801</v>
      </c>
      <c r="AK6462">
        <v>0.66136185443192597</v>
      </c>
      <c r="AL6462">
        <v>91.178302627339903</v>
      </c>
      <c r="AM6462">
        <v>89.150450887364897</v>
      </c>
      <c r="AN6462">
        <v>0.99999995857186796</v>
      </c>
    </row>
    <row r="6463" spans="1:40" x14ac:dyDescent="0.25">
      <c r="A6463" t="str">
        <f>"20190312161146074"</f>
        <v>20190312161146074</v>
      </c>
      <c r="B6463" t="str">
        <f>"1552378306064091"</f>
        <v>1552378306064091</v>
      </c>
      <c r="C6463" t="s">
        <v>40</v>
      </c>
      <c r="D6463">
        <v>5.2167000000000003</v>
      </c>
      <c r="E6463">
        <v>0.46905010000000003</v>
      </c>
      <c r="F6463" t="s">
        <v>78</v>
      </c>
      <c r="G6463">
        <v>-204.1301</v>
      </c>
      <c r="H6463" s="1">
        <v>-3.6878710000000001E-6</v>
      </c>
      <c r="I6463">
        <v>-61.927199999999999</v>
      </c>
      <c r="J6463">
        <v>-219.66499999999999</v>
      </c>
      <c r="K6463">
        <v>1.1104849999999999</v>
      </c>
      <c r="L6463">
        <v>-63.140349999999998</v>
      </c>
      <c r="M6463">
        <v>0.99959100000000001</v>
      </c>
      <c r="N6463">
        <v>0</v>
      </c>
      <c r="O6463">
        <v>2.4882330000000001E-2</v>
      </c>
      <c r="P6463">
        <v>0.99935960000000001</v>
      </c>
      <c r="Q6463">
        <v>-3.4125280000000001E-2</v>
      </c>
      <c r="R6463">
        <v>1.0761140000000001E-2</v>
      </c>
      <c r="S6463">
        <v>2.9922939999999998</v>
      </c>
      <c r="T6463">
        <v>-0.21235409999999999</v>
      </c>
      <c r="U6463">
        <v>0.23257449999999999</v>
      </c>
      <c r="V6463">
        <v>1.4126400000000001E-2</v>
      </c>
      <c r="W6463">
        <v>-2.0020610000000001E-2</v>
      </c>
      <c r="X6463">
        <v>0.99969980000000003</v>
      </c>
      <c r="Y6463">
        <v>-5.2587540000000002E-2</v>
      </c>
      <c r="Z6463">
        <v>1.002756E-4</v>
      </c>
      <c r="AA6463">
        <v>0.99861630000000001</v>
      </c>
      <c r="AB6463">
        <v>23</v>
      </c>
      <c r="AC6463">
        <v>15.534899999999899</v>
      </c>
      <c r="AD6463">
        <v>-1.1104886878710001</v>
      </c>
      <c r="AE6463">
        <v>1.21314999999999</v>
      </c>
      <c r="AF6463">
        <v>-0.82201644908238103</v>
      </c>
      <c r="AG6463">
        <v>-1.1104886878710001</v>
      </c>
      <c r="AH6463">
        <v>15.4816482625516</v>
      </c>
      <c r="AI6463">
        <v>94.097011323802903</v>
      </c>
      <c r="AJ6463">
        <v>93.039333243862501</v>
      </c>
      <c r="AK6463">
        <v>15.543176287162799</v>
      </c>
      <c r="AL6463">
        <v>91.147173060665693</v>
      </c>
      <c r="AM6463">
        <v>89.190427731440195</v>
      </c>
      <c r="AN6463">
        <v>1.00000003506088</v>
      </c>
    </row>
    <row r="6464" spans="1:40" x14ac:dyDescent="0.25">
      <c r="A6464" t="str">
        <f>"20190312161146085"</f>
        <v>20190312161146085</v>
      </c>
      <c r="B6464" t="str">
        <f>"1552378306073852"</f>
        <v>1552378306073852</v>
      </c>
      <c r="C6464" t="s">
        <v>40</v>
      </c>
      <c r="D6464">
        <v>5.2560149999999997</v>
      </c>
      <c r="E6464">
        <v>0.46647519999999998</v>
      </c>
      <c r="F6464" t="s">
        <v>78</v>
      </c>
      <c r="G6464">
        <v>-197.9134</v>
      </c>
      <c r="H6464" s="1">
        <v>-6.5985509999999999E-6</v>
      </c>
      <c r="I6464">
        <v>-61.100830000000002</v>
      </c>
      <c r="J6464">
        <v>-219.5625</v>
      </c>
      <c r="K6464">
        <v>1.1105069999999999</v>
      </c>
      <c r="L6464">
        <v>-63.137509999999999</v>
      </c>
      <c r="M6464">
        <v>0.99958460000000005</v>
      </c>
      <c r="N6464">
        <v>0</v>
      </c>
      <c r="O6464">
        <v>2.5122499999999999E-2</v>
      </c>
      <c r="P6464">
        <v>0.99934719999999999</v>
      </c>
      <c r="Q6464">
        <v>-3.4262220000000003E-2</v>
      </c>
      <c r="R6464">
        <v>1.1468020000000001E-2</v>
      </c>
      <c r="S6464">
        <v>2.9936980000000002</v>
      </c>
      <c r="T6464">
        <v>-0.15283759999999999</v>
      </c>
      <c r="U6464">
        <v>0.28070070000000003</v>
      </c>
      <c r="V6464">
        <v>1.366011E-2</v>
      </c>
      <c r="W6464">
        <v>-2.0124590000000001E-2</v>
      </c>
      <c r="X6464">
        <v>0.99970420000000004</v>
      </c>
      <c r="Y6464">
        <v>-6.8253960000000002E-2</v>
      </c>
      <c r="Z6464">
        <v>4.58753E-4</v>
      </c>
      <c r="AA6464">
        <v>0.99766779999999999</v>
      </c>
      <c r="AB6464">
        <v>23</v>
      </c>
      <c r="AC6464">
        <v>21.649100000000001</v>
      </c>
      <c r="AD6464">
        <v>-1.110513598551</v>
      </c>
      <c r="AE6464">
        <v>2.0366799999999898</v>
      </c>
      <c r="AF6464">
        <v>-1.4882217004818901</v>
      </c>
      <c r="AG6464">
        <v>-1.110513598551</v>
      </c>
      <c r="AH6464">
        <v>21.637003666651999</v>
      </c>
      <c r="AI6464">
        <v>92.931199676672705</v>
      </c>
      <c r="AJ6464">
        <v>93.934682402616104</v>
      </c>
      <c r="AK6464">
        <v>21.716536831480798</v>
      </c>
      <c r="AL6464">
        <v>91.153131867455699</v>
      </c>
      <c r="AM6464">
        <v>89.217150487288094</v>
      </c>
      <c r="AN6464">
        <v>1.00000004261275</v>
      </c>
    </row>
    <row r="6465" spans="1:40" x14ac:dyDescent="0.25">
      <c r="A6465" t="str">
        <f>"20190312161146096"</f>
        <v>20190312161146096</v>
      </c>
      <c r="B6465" t="str">
        <f>"1552378306083611"</f>
        <v>1552378306083611</v>
      </c>
      <c r="C6465" t="s">
        <v>40</v>
      </c>
      <c r="D6465">
        <v>5.1155410000000003</v>
      </c>
      <c r="E6465">
        <v>0.464756</v>
      </c>
      <c r="F6465" t="s">
        <v>78</v>
      </c>
      <c r="G6465">
        <v>-193.8031</v>
      </c>
      <c r="H6465" s="1">
        <v>-8.2397640000000001E-6</v>
      </c>
      <c r="I6465">
        <v>-60.533709999999999</v>
      </c>
      <c r="J6465">
        <v>-219.44579999999999</v>
      </c>
      <c r="K6465">
        <v>1.110527</v>
      </c>
      <c r="L6465">
        <v>-63.134309999999999</v>
      </c>
      <c r="M6465">
        <v>0.99957660000000004</v>
      </c>
      <c r="N6465">
        <v>0</v>
      </c>
      <c r="O6465">
        <v>2.5414269999999999E-2</v>
      </c>
      <c r="P6465">
        <v>0.99933680000000003</v>
      </c>
      <c r="Q6465">
        <v>-3.4216589999999998E-2</v>
      </c>
      <c r="R6465">
        <v>1.246159E-2</v>
      </c>
      <c r="S6465">
        <v>2.994049</v>
      </c>
      <c r="T6465">
        <v>-0.12907639999999901</v>
      </c>
      <c r="U6465">
        <v>0.30264279999999999</v>
      </c>
      <c r="V6465">
        <v>1.295898E-2</v>
      </c>
      <c r="W6465">
        <v>-2.0045730000000001E-2</v>
      </c>
      <c r="X6465">
        <v>0.99971509999999997</v>
      </c>
      <c r="Y6465">
        <v>-7.5202770000000002E-2</v>
      </c>
      <c r="Z6465">
        <v>5.2414989999999999E-4</v>
      </c>
      <c r="AA6465">
        <v>0.9971681</v>
      </c>
      <c r="AB6465">
        <v>23</v>
      </c>
      <c r="AC6465">
        <v>25.642699999999898</v>
      </c>
      <c r="AD6465">
        <v>-1.110535239764</v>
      </c>
      <c r="AE6465">
        <v>2.6006</v>
      </c>
      <c r="AF6465">
        <v>-1.94439417873399</v>
      </c>
      <c r="AG6465">
        <v>-1.110535239764</v>
      </c>
      <c r="AH6465">
        <v>25.652890474537301</v>
      </c>
      <c r="AI6465">
        <v>92.471753601055298</v>
      </c>
      <c r="AJ6465">
        <v>94.334520043418493</v>
      </c>
      <c r="AK6465">
        <v>25.7504319757875</v>
      </c>
      <c r="AL6465">
        <v>91.1486126324168</v>
      </c>
      <c r="AM6465">
        <v>89.257335137151998</v>
      </c>
      <c r="AN6465">
        <v>1.0000000238109401</v>
      </c>
    </row>
    <row r="6466" spans="1:40" x14ac:dyDescent="0.25">
      <c r="A6466" t="str">
        <f>"20190312161146108"</f>
        <v>20190312161146108</v>
      </c>
      <c r="B6466" t="str">
        <f>"1552378306104107"</f>
        <v>1552378306104107</v>
      </c>
      <c r="C6466" t="s">
        <v>40</v>
      </c>
      <c r="D6466">
        <v>5.2453770000000004</v>
      </c>
      <c r="E6466">
        <v>0.46371040000000002</v>
      </c>
      <c r="F6466" t="s">
        <v>78</v>
      </c>
      <c r="G6466">
        <v>-193.95070000000001</v>
      </c>
      <c r="H6466" s="1">
        <v>-8.1727250000000006E-6</v>
      </c>
      <c r="I6466">
        <v>-60.4146199999999</v>
      </c>
      <c r="J6466">
        <v>-219.3314</v>
      </c>
      <c r="K6466">
        <v>1.110547</v>
      </c>
      <c r="L6466">
        <v>-63.131039999999999</v>
      </c>
      <c r="M6466">
        <v>0.99956869999999998</v>
      </c>
      <c r="N6466">
        <v>0</v>
      </c>
      <c r="O6466">
        <v>2.5708680000000001E-2</v>
      </c>
      <c r="P6466">
        <v>0.9993282</v>
      </c>
      <c r="Q6466">
        <v>-3.420496E-2</v>
      </c>
      <c r="R6466">
        <v>1.316989E-2</v>
      </c>
      <c r="S6466">
        <v>2.9935459999999998</v>
      </c>
      <c r="T6466">
        <v>-0.13039489999999901</v>
      </c>
      <c r="U6466">
        <v>0.31933590000000001</v>
      </c>
      <c r="V6466">
        <v>1.254573E-2</v>
      </c>
      <c r="W6466">
        <v>-2.0002989999999998E-2</v>
      </c>
      <c r="X6466">
        <v>0.99972119999999998</v>
      </c>
      <c r="Y6466">
        <v>-8.0420459999999999E-2</v>
      </c>
      <c r="Z6466">
        <v>6.2994660000000003E-4</v>
      </c>
      <c r="AA6466">
        <v>0.9967608</v>
      </c>
      <c r="AB6466">
        <v>23</v>
      </c>
      <c r="AC6466">
        <v>25.380699999999901</v>
      </c>
      <c r="AD6466">
        <v>-1.110555172725</v>
      </c>
      <c r="AE6466">
        <v>2.71642000000001</v>
      </c>
      <c r="AF6466">
        <v>-2.0590543689530798</v>
      </c>
      <c r="AG6466">
        <v>-1.110555172725</v>
      </c>
      <c r="AH6466">
        <v>25.3940836752191</v>
      </c>
      <c r="AI6466">
        <v>92.495929999832697</v>
      </c>
      <c r="AJ6466">
        <v>94.635630670693004</v>
      </c>
      <c r="AK6466">
        <v>25.501618054350899</v>
      </c>
      <c r="AL6466">
        <v>91.146163351243302</v>
      </c>
      <c r="AM6466">
        <v>89.2810198987451</v>
      </c>
      <c r="AN6466">
        <v>0.99999999633980596</v>
      </c>
    </row>
    <row r="6467" spans="1:40" x14ac:dyDescent="0.25">
      <c r="A6467" t="str">
        <f>"20190312161146118"</f>
        <v>20190312161146118</v>
      </c>
      <c r="B6467" t="str">
        <f>"1552378306113867"</f>
        <v>1552378306113867</v>
      </c>
      <c r="C6467" t="s">
        <v>40</v>
      </c>
      <c r="D6467">
        <v>5.271617</v>
      </c>
      <c r="E6467">
        <v>0.46354129999999899</v>
      </c>
      <c r="F6467" t="s">
        <v>78</v>
      </c>
      <c r="G6467">
        <v>-190.15639999999999</v>
      </c>
      <c r="H6467" s="1">
        <v>-6.35009199999999E-6</v>
      </c>
      <c r="I6467">
        <v>-59.921219999999998</v>
      </c>
      <c r="J6467">
        <v>-219.2225</v>
      </c>
      <c r="K6467">
        <v>1.110565</v>
      </c>
      <c r="L6467">
        <v>-63.127929999999999</v>
      </c>
      <c r="M6467">
        <v>0.99956069999999997</v>
      </c>
      <c r="N6467">
        <v>0</v>
      </c>
      <c r="O6467">
        <v>2.6002580000000001E-2</v>
      </c>
      <c r="P6467">
        <v>0.99930629999999998</v>
      </c>
      <c r="Q6467">
        <v>-3.4553779999999999E-2</v>
      </c>
      <c r="R6467">
        <v>1.389029E-2</v>
      </c>
      <c r="S6467">
        <v>2.9937900000000002</v>
      </c>
      <c r="T6467">
        <v>-0.1139593</v>
      </c>
      <c r="U6467">
        <v>0.32937620000000001</v>
      </c>
      <c r="V6467">
        <v>1.212002E-2</v>
      </c>
      <c r="W6467">
        <v>-2.0324930000000001E-2</v>
      </c>
      <c r="X6467">
        <v>0.99972000000000005</v>
      </c>
      <c r="Y6467">
        <v>-8.3432649999999997E-2</v>
      </c>
      <c r="Z6467">
        <v>5.9646919999999895E-4</v>
      </c>
      <c r="AA6467">
        <v>0.99651319999999999</v>
      </c>
      <c r="AB6467">
        <v>23</v>
      </c>
      <c r="AC6467">
        <v>29.066099999999999</v>
      </c>
      <c r="AD6467">
        <v>-1.110571350092</v>
      </c>
      <c r="AE6467">
        <v>3.2067100000000002</v>
      </c>
      <c r="AF6467">
        <v>-2.4462272017021198</v>
      </c>
      <c r="AG6467">
        <v>-1.110571350092</v>
      </c>
      <c r="AH6467">
        <v>29.097692688626399</v>
      </c>
      <c r="AI6467">
        <v>92.178070569854597</v>
      </c>
      <c r="AJ6467">
        <v>94.805524992510499</v>
      </c>
      <c r="AK6467">
        <v>29.221449588405601</v>
      </c>
      <c r="AL6467">
        <v>91.164612857124894</v>
      </c>
      <c r="AM6467">
        <v>89.305413540768797</v>
      </c>
      <c r="AN6467">
        <v>1.0000000380321501</v>
      </c>
    </row>
    <row r="6468" spans="1:40" x14ac:dyDescent="0.25">
      <c r="A6468" t="str">
        <f>"20190312161146131"</f>
        <v>20190312161146131</v>
      </c>
      <c r="B6468" t="str">
        <f>"1552378306123628"</f>
        <v>1552378306123628</v>
      </c>
      <c r="C6468" t="s">
        <v>40</v>
      </c>
      <c r="D6468">
        <v>5.3034889999999999</v>
      </c>
      <c r="E6468">
        <v>0.46359830000000002</v>
      </c>
      <c r="F6468" t="s">
        <v>78</v>
      </c>
      <c r="G6468">
        <v>-190.45609999999999</v>
      </c>
      <c r="H6468" s="1">
        <v>-6.3776590000000003E-6</v>
      </c>
      <c r="I6468">
        <v>-59.929279999999999</v>
      </c>
      <c r="J6468">
        <v>-219.1011</v>
      </c>
      <c r="K6468">
        <v>1.1105860000000001</v>
      </c>
      <c r="L6468">
        <v>-63.124389999999998</v>
      </c>
      <c r="M6468">
        <v>0.99955139999999998</v>
      </c>
      <c r="N6468">
        <v>0</v>
      </c>
      <c r="O6468">
        <v>2.6345520000000001E-2</v>
      </c>
      <c r="P6468">
        <v>0.99929599999999996</v>
      </c>
      <c r="Q6468">
        <v>-3.4602760000000003E-2</v>
      </c>
      <c r="R6468">
        <v>1.4513760000000001E-2</v>
      </c>
      <c r="S6468">
        <v>2.9934539999999998</v>
      </c>
      <c r="T6468">
        <v>-0.11556719999999999</v>
      </c>
      <c r="U6468">
        <v>0.33285520000000002</v>
      </c>
      <c r="V6468">
        <v>1.1840079999999999E-2</v>
      </c>
      <c r="W6468">
        <v>-2.0345970000000001E-2</v>
      </c>
      <c r="X6468">
        <v>0.99972289999999997</v>
      </c>
      <c r="Y6468">
        <v>-8.4245529999999999E-2</v>
      </c>
      <c r="Z6468">
        <v>6.0736619999999999E-4</v>
      </c>
      <c r="AA6468">
        <v>0.99644480000000002</v>
      </c>
      <c r="AB6468">
        <v>23</v>
      </c>
      <c r="AC6468">
        <v>28.645</v>
      </c>
      <c r="AD6468">
        <v>-1.1105923776590001</v>
      </c>
      <c r="AE6468">
        <v>3.1951100000000001</v>
      </c>
      <c r="AF6468">
        <v>-2.4356405224734199</v>
      </c>
      <c r="AG6468">
        <v>-1.1105923776590001</v>
      </c>
      <c r="AH6468">
        <v>28.676664036071202</v>
      </c>
      <c r="AI6468">
        <v>92.209898907436894</v>
      </c>
      <c r="AJ6468">
        <v>94.854741707528504</v>
      </c>
      <c r="AK6468">
        <v>28.8013336569981</v>
      </c>
      <c r="AL6468">
        <v>91.165818640681195</v>
      </c>
      <c r="AM6468">
        <v>89.321457078005494</v>
      </c>
      <c r="AN6468">
        <v>1.00000001138702</v>
      </c>
    </row>
    <row r="6469" spans="1:40" x14ac:dyDescent="0.25">
      <c r="A6469" t="str">
        <f>"20190312161146142"</f>
        <v>20190312161146142</v>
      </c>
      <c r="B6469" t="str">
        <f>"1552378306133387"</f>
        <v>1552378306133387</v>
      </c>
      <c r="C6469" t="s">
        <v>40</v>
      </c>
      <c r="D6469">
        <v>5.2826089999999999</v>
      </c>
      <c r="E6469">
        <v>0.46371699999999999</v>
      </c>
      <c r="F6469" t="s">
        <v>78</v>
      </c>
      <c r="G6469">
        <v>-190.36600000000001</v>
      </c>
      <c r="H6469" s="1">
        <v>-6.3729950000000003E-6</v>
      </c>
      <c r="I6469">
        <v>-59.915819999999997</v>
      </c>
      <c r="J6469">
        <v>-218.99299999999999</v>
      </c>
      <c r="K6469">
        <v>1.110606</v>
      </c>
      <c r="L6469">
        <v>-63.121189999999999</v>
      </c>
      <c r="M6469">
        <v>0.99954279999999995</v>
      </c>
      <c r="N6469">
        <v>0</v>
      </c>
      <c r="O6469">
        <v>2.6660980000000001E-2</v>
      </c>
      <c r="P6469">
        <v>0.99928539999999999</v>
      </c>
      <c r="Q6469">
        <v>-3.4650930000000003E-2</v>
      </c>
      <c r="R6469">
        <v>1.511643E-2</v>
      </c>
      <c r="S6469">
        <v>2.9932560000000001</v>
      </c>
      <c r="T6469">
        <v>-0.1156874</v>
      </c>
      <c r="U6469">
        <v>0.33422849999999998</v>
      </c>
      <c r="V6469">
        <v>1.155366E-2</v>
      </c>
      <c r="W6469">
        <v>-2.0370719999999998E-2</v>
      </c>
      <c r="X6469">
        <v>0.9997258</v>
      </c>
      <c r="Y6469">
        <v>-8.438988E-2</v>
      </c>
      <c r="Z6469">
        <v>5.9866369999999995E-4</v>
      </c>
      <c r="AA6469">
        <v>0.9964326</v>
      </c>
      <c r="AB6469">
        <v>23</v>
      </c>
      <c r="AC6469">
        <v>28.626999999999999</v>
      </c>
      <c r="AD6469">
        <v>-1.1106123729949999</v>
      </c>
      <c r="AE6469">
        <v>3.2053699999999998</v>
      </c>
      <c r="AF6469">
        <v>-2.4373058315369498</v>
      </c>
      <c r="AG6469">
        <v>-1.1106123729949999</v>
      </c>
      <c r="AH6469">
        <v>28.659686602151801</v>
      </c>
      <c r="AI6469">
        <v>92.211226271262703</v>
      </c>
      <c r="AJ6469">
        <v>94.860909162078897</v>
      </c>
      <c r="AK6469">
        <v>28.784571487049401</v>
      </c>
      <c r="AL6469">
        <v>91.167236943468197</v>
      </c>
      <c r="AM6469">
        <v>89.337871957434501</v>
      </c>
      <c r="AN6469">
        <v>1.00000006423917</v>
      </c>
    </row>
    <row r="6470" spans="1:40" x14ac:dyDescent="0.25">
      <c r="A6470" t="str">
        <f>"20190312161146164"</f>
        <v>20190312161146164</v>
      </c>
      <c r="B6470" t="str">
        <f>"1552378306153883"</f>
        <v>1552378306153883</v>
      </c>
      <c r="C6470" t="s">
        <v>40</v>
      </c>
      <c r="D6470">
        <v>5.2852050000000004</v>
      </c>
      <c r="E6470">
        <v>0.46409450000000002</v>
      </c>
      <c r="F6470" t="s">
        <v>78</v>
      </c>
      <c r="G6470">
        <v>-190.2047</v>
      </c>
      <c r="H6470" s="1">
        <v>-6.3633700000000004E-6</v>
      </c>
      <c r="I6470">
        <v>-59.897959999999998</v>
      </c>
      <c r="J6470">
        <v>-218.768</v>
      </c>
      <c r="K6470">
        <v>1.110654</v>
      </c>
      <c r="L6470">
        <v>-63.114379999999997</v>
      </c>
      <c r="M6470">
        <v>0.99952300000000005</v>
      </c>
      <c r="N6470">
        <v>0</v>
      </c>
      <c r="O6470">
        <v>2.7369859999999999E-2</v>
      </c>
      <c r="P6470">
        <v>0.99927829999999995</v>
      </c>
      <c r="Q6470">
        <v>-3.4362700000000003E-2</v>
      </c>
      <c r="R6470">
        <v>1.619222E-2</v>
      </c>
      <c r="S6470">
        <v>2.9930729999999999</v>
      </c>
      <c r="T6470">
        <v>-0.1154686</v>
      </c>
      <c r="U6470">
        <v>0.33511350000000001</v>
      </c>
      <c r="V6470">
        <v>1.118859E-2</v>
      </c>
      <c r="W6470">
        <v>-2.0039250000000002E-2</v>
      </c>
      <c r="X6470">
        <v>0.99973659999999998</v>
      </c>
      <c r="Y6470">
        <v>-8.398187E-2</v>
      </c>
      <c r="Z6470">
        <v>5.6248949999999995E-4</v>
      </c>
      <c r="AA6470">
        <v>0.99646710000000005</v>
      </c>
      <c r="AB6470">
        <v>23</v>
      </c>
      <c r="AC6470">
        <v>28.563300000000002</v>
      </c>
      <c r="AD6470">
        <v>-1.1106603633700001</v>
      </c>
      <c r="AE6470">
        <v>3.2164199999999998</v>
      </c>
      <c r="AF6470">
        <v>-2.4297335620450902</v>
      </c>
      <c r="AG6470">
        <v>-1.1106603633700001</v>
      </c>
      <c r="AH6470">
        <v>28.597941198220202</v>
      </c>
      <c r="AI6470">
        <v>92.216106568156903</v>
      </c>
      <c r="AJ6470">
        <v>94.856291905387494</v>
      </c>
      <c r="AK6470">
        <v>28.722454846376699</v>
      </c>
      <c r="AL6470">
        <v>91.148241293902402</v>
      </c>
      <c r="AM6470">
        <v>89.358798884236293</v>
      </c>
      <c r="AN6470">
        <v>1.0000000127331501</v>
      </c>
    </row>
    <row r="6471" spans="1:40" x14ac:dyDescent="0.25">
      <c r="A6471" t="str">
        <f>"20190312161146177"</f>
        <v>20190312161146177</v>
      </c>
      <c r="B6471" t="str">
        <f>"1552378306173600"</f>
        <v>1552378306173600</v>
      </c>
      <c r="C6471" t="s">
        <v>40</v>
      </c>
      <c r="D6471">
        <v>5.3020319999999996</v>
      </c>
      <c r="E6471">
        <v>0.46484789999999998</v>
      </c>
      <c r="F6471" t="s">
        <v>78</v>
      </c>
      <c r="G6471">
        <v>-191.29769999999999</v>
      </c>
      <c r="H6471" s="1">
        <v>-6.4354560000000001E-6</v>
      </c>
      <c r="I6471">
        <v>-60.034300000000002</v>
      </c>
      <c r="J6471">
        <v>-218.6317</v>
      </c>
      <c r="K6471">
        <v>1.110689</v>
      </c>
      <c r="L6471">
        <v>-63.110140000000001</v>
      </c>
      <c r="M6471">
        <v>0.99950939999999999</v>
      </c>
      <c r="N6471">
        <v>0</v>
      </c>
      <c r="O6471">
        <v>2.784638E-2</v>
      </c>
      <c r="P6471">
        <v>0.99925980000000003</v>
      </c>
      <c r="Q6471">
        <v>-3.437929E-2</v>
      </c>
      <c r="R6471">
        <v>1.7264430000000001E-2</v>
      </c>
      <c r="S6471">
        <v>2.9925839999999999</v>
      </c>
      <c r="T6471">
        <v>-0.12099409999999999</v>
      </c>
      <c r="U6471">
        <v>0.33554079999999997</v>
      </c>
      <c r="V6471">
        <v>1.059394E-2</v>
      </c>
      <c r="W6471">
        <v>-2.0033769999999999E-2</v>
      </c>
      <c r="X6471">
        <v>0.99974320000000005</v>
      </c>
      <c r="Y6471">
        <v>-8.3661819999999998E-2</v>
      </c>
      <c r="Z6471">
        <v>5.6384849999999999E-4</v>
      </c>
      <c r="AA6471">
        <v>0.99649410000000005</v>
      </c>
      <c r="AB6471">
        <v>23</v>
      </c>
      <c r="AC6471">
        <v>27.334</v>
      </c>
      <c r="AD6471">
        <v>-1.1106954354559999</v>
      </c>
      <c r="AE6471">
        <v>3.0758399999999901</v>
      </c>
      <c r="AF6471">
        <v>-2.3096499348783599</v>
      </c>
      <c r="AG6471">
        <v>-1.1106954354559999</v>
      </c>
      <c r="AH6471">
        <v>27.3644403822817</v>
      </c>
      <c r="AI6471">
        <v>92.316076776395207</v>
      </c>
      <c r="AJ6471">
        <v>94.824519857497904</v>
      </c>
      <c r="AK6471">
        <v>27.484190448464599</v>
      </c>
      <c r="AL6471">
        <v>91.147927236221605</v>
      </c>
      <c r="AM6471">
        <v>89.392878758726596</v>
      </c>
      <c r="AN6471">
        <v>1.0000000247256799</v>
      </c>
    </row>
    <row r="6472" spans="1:40" x14ac:dyDescent="0.25">
      <c r="A6472" t="str">
        <f>"20190312161146190"</f>
        <v>20190312161146190</v>
      </c>
      <c r="B6472" t="str">
        <f>"1552378306183335"</f>
        <v>1552378306183335</v>
      </c>
      <c r="C6472" t="s">
        <v>40</v>
      </c>
      <c r="D6472">
        <v>5.3210699999999997</v>
      </c>
      <c r="E6472">
        <v>0.46499400000000002</v>
      </c>
      <c r="F6472" t="s">
        <v>78</v>
      </c>
      <c r="G6472">
        <v>-191.04570000000001</v>
      </c>
      <c r="H6472" s="1">
        <v>-6.4039699999999996E-6</v>
      </c>
      <c r="I6472">
        <v>-60.04325</v>
      </c>
      <c r="J6472">
        <v>-218.5197</v>
      </c>
      <c r="K6472">
        <v>1.110714</v>
      </c>
      <c r="L6472">
        <v>-63.1066</v>
      </c>
      <c r="M6472">
        <v>0.99949779999999999</v>
      </c>
      <c r="N6472">
        <v>0</v>
      </c>
      <c r="O6472">
        <v>2.825068E-2</v>
      </c>
      <c r="P6472">
        <v>0.99925620000000004</v>
      </c>
      <c r="Q6472">
        <v>-3.4146540000000003E-2</v>
      </c>
      <c r="R6472">
        <v>1.7915339999999998E-2</v>
      </c>
      <c r="S6472">
        <v>2.9923099999999998</v>
      </c>
      <c r="T6472">
        <v>-0.12047960000000001</v>
      </c>
      <c r="U6472">
        <v>0.33267210000000003</v>
      </c>
      <c r="V6472">
        <v>1.034847E-2</v>
      </c>
      <c r="W6472">
        <v>-1.9783640000000002E-2</v>
      </c>
      <c r="X6472">
        <v>0.99975069999999999</v>
      </c>
      <c r="Y6472">
        <v>-8.2327020000000001E-2</v>
      </c>
      <c r="Z6472">
        <v>5.1854479999999996E-4</v>
      </c>
      <c r="AA6472">
        <v>0.99660519999999997</v>
      </c>
      <c r="AB6472">
        <v>23</v>
      </c>
      <c r="AC6472">
        <v>27.473999999999901</v>
      </c>
      <c r="AD6472">
        <v>-1.11072040397</v>
      </c>
      <c r="AE6472">
        <v>3.0633499999999998</v>
      </c>
      <c r="AF6472">
        <v>-2.2822036226906799</v>
      </c>
      <c r="AG6472">
        <v>-1.11072040397</v>
      </c>
      <c r="AH6472">
        <v>27.505179480937901</v>
      </c>
      <c r="AI6472">
        <v>92.304563892388501</v>
      </c>
      <c r="AJ6472">
        <v>94.743171742219204</v>
      </c>
      <c r="AK6472">
        <v>27.622039234456</v>
      </c>
      <c r="AL6472">
        <v>91.133593061181202</v>
      </c>
      <c r="AM6472">
        <v>89.406949671893699</v>
      </c>
      <c r="AN6472">
        <v>0.99999997269673901</v>
      </c>
    </row>
    <row r="6473" spans="1:40" x14ac:dyDescent="0.25">
      <c r="A6473" t="str">
        <f>"20190312161146200"</f>
        <v>20190312161146200</v>
      </c>
      <c r="B6473" t="str">
        <f>"1552378306194071"</f>
        <v>1552378306194071</v>
      </c>
      <c r="C6473" t="s">
        <v>40</v>
      </c>
      <c r="D6473">
        <v>5.2897129999999999</v>
      </c>
      <c r="E6473">
        <v>0.46523170000000003</v>
      </c>
      <c r="F6473" t="s">
        <v>78</v>
      </c>
      <c r="G6473">
        <v>-190.61340000000001</v>
      </c>
      <c r="H6473" s="1">
        <v>-6.3716220000000003E-6</v>
      </c>
      <c r="I6473">
        <v>-59.996870000000001</v>
      </c>
      <c r="J6473">
        <v>-218.39689999999999</v>
      </c>
      <c r="K6473">
        <v>1.1107419999999999</v>
      </c>
      <c r="L6473">
        <v>-63.102600000000002</v>
      </c>
      <c r="M6473">
        <v>0.99948429999999999</v>
      </c>
      <c r="N6473">
        <v>0</v>
      </c>
      <c r="O6473">
        <v>2.871371E-2</v>
      </c>
      <c r="P6473">
        <v>0.99924500000000005</v>
      </c>
      <c r="Q6473">
        <v>-3.4213670000000002E-2</v>
      </c>
      <c r="R6473">
        <v>1.8413519999999999E-2</v>
      </c>
      <c r="S6473">
        <v>2.9922029999999999</v>
      </c>
      <c r="T6473">
        <v>-0.11909500000000001</v>
      </c>
      <c r="U6473">
        <v>0.33343509999999998</v>
      </c>
      <c r="V6473">
        <v>1.031412E-2</v>
      </c>
      <c r="W6473">
        <v>-1.9833190000000001E-2</v>
      </c>
      <c r="X6473">
        <v>0.99975009999999997</v>
      </c>
      <c r="Y6473">
        <v>-8.2121710000000001E-2</v>
      </c>
      <c r="Z6473">
        <v>4.901835E-4</v>
      </c>
      <c r="AA6473">
        <v>0.99662220000000001</v>
      </c>
      <c r="AB6473">
        <v>23</v>
      </c>
      <c r="AC6473">
        <v>27.783499999999901</v>
      </c>
      <c r="AD6473">
        <v>-1.1107483716219999</v>
      </c>
      <c r="AE6473">
        <v>3.1057299999999999</v>
      </c>
      <c r="AF6473">
        <v>-2.3029639687647898</v>
      </c>
      <c r="AG6473">
        <v>-1.1107483716219999</v>
      </c>
      <c r="AH6473">
        <v>27.817316452593001</v>
      </c>
      <c r="AI6473">
        <v>92.278823823265</v>
      </c>
      <c r="AJ6473">
        <v>94.732659523764198</v>
      </c>
      <c r="AK6473">
        <v>27.934575343294402</v>
      </c>
      <c r="AL6473">
        <v>91.136432593839004</v>
      </c>
      <c r="AM6473">
        <v>89.408917707776993</v>
      </c>
      <c r="AN6473">
        <v>0.99999999947347995</v>
      </c>
    </row>
    <row r="6474" spans="1:40" x14ac:dyDescent="0.25">
      <c r="A6474" t="str">
        <f>"20190312161146220"</f>
        <v>20190312161146220</v>
      </c>
      <c r="B6474" t="str">
        <f>"1552378306213592"</f>
        <v>1552378306213592</v>
      </c>
      <c r="C6474" t="s">
        <v>40</v>
      </c>
      <c r="D6474">
        <v>5.3374980000000001</v>
      </c>
      <c r="E6474">
        <v>0.46539560000000002</v>
      </c>
      <c r="F6474" t="s">
        <v>78</v>
      </c>
      <c r="G6474">
        <v>-190.51779999999999</v>
      </c>
      <c r="H6474" s="1">
        <v>-6.3600610000000003E-6</v>
      </c>
      <c r="I6474">
        <v>-59.999160000000003</v>
      </c>
      <c r="J6474">
        <v>-218.1935</v>
      </c>
      <c r="K6474">
        <v>1.1107899999999999</v>
      </c>
      <c r="L6474">
        <v>-63.095829999999999</v>
      </c>
      <c r="M6474">
        <v>0.99945989999999996</v>
      </c>
      <c r="N6474">
        <v>0</v>
      </c>
      <c r="O6474">
        <v>2.9543300000000002E-2</v>
      </c>
      <c r="P6474">
        <v>0.99919599999999997</v>
      </c>
      <c r="Q6474">
        <v>-3.5189669999999999E-2</v>
      </c>
      <c r="R6474">
        <v>1.9217040000000001E-2</v>
      </c>
      <c r="S6474">
        <v>2.9920499999999999</v>
      </c>
      <c r="T6474">
        <v>-0.1192082</v>
      </c>
      <c r="U6474">
        <v>0.3330688</v>
      </c>
      <c r="V6474">
        <v>1.034272E-2</v>
      </c>
      <c r="W6474">
        <v>-2.0783389999999999E-2</v>
      </c>
      <c r="X6474">
        <v>0.99973049999999997</v>
      </c>
      <c r="Y6474">
        <v>-8.1180859999999994E-2</v>
      </c>
      <c r="Z6474">
        <v>4.390954E-4</v>
      </c>
      <c r="AA6474">
        <v>0.99669929999999995</v>
      </c>
      <c r="AB6474">
        <v>22</v>
      </c>
      <c r="AC6474">
        <v>27.675699999999999</v>
      </c>
      <c r="AD6474">
        <v>-1.110796360061</v>
      </c>
      <c r="AE6474">
        <v>3.0966700000000098</v>
      </c>
      <c r="AF6474">
        <v>-2.2739839485772801</v>
      </c>
      <c r="AG6474">
        <v>-1.110796360061</v>
      </c>
      <c r="AH6474">
        <v>27.711024380796299</v>
      </c>
      <c r="AI6474">
        <v>92.287790487623596</v>
      </c>
      <c r="AJ6474">
        <v>94.691216122325798</v>
      </c>
      <c r="AK6474">
        <v>27.826349810656001</v>
      </c>
      <c r="AL6474">
        <v>91.190886278918001</v>
      </c>
      <c r="AM6474">
        <v>89.407267194160298</v>
      </c>
      <c r="AN6474">
        <v>0.99999999689357</v>
      </c>
    </row>
    <row r="6475" spans="1:40" x14ac:dyDescent="0.25">
      <c r="A6475" t="str">
        <f>"20190312161146231"</f>
        <v>20190312161146231</v>
      </c>
      <c r="B6475" t="str">
        <f>"1552378306223353"</f>
        <v>1552378306223353</v>
      </c>
      <c r="C6475" t="s">
        <v>40</v>
      </c>
      <c r="D6475">
        <v>5.2738809999999896</v>
      </c>
      <c r="E6475">
        <v>0.46554380000000001</v>
      </c>
      <c r="F6475" t="s">
        <v>78</v>
      </c>
      <c r="G6475">
        <v>-191.05969999999999</v>
      </c>
      <c r="H6475" s="1">
        <v>-6.3979089999999998E-6</v>
      </c>
      <c r="I6475">
        <v>-60.065010000000001</v>
      </c>
      <c r="J6475">
        <v>-218.09549999999999</v>
      </c>
      <c r="K6475">
        <v>1.1108180000000001</v>
      </c>
      <c r="L6475">
        <v>-63.092440000000003</v>
      </c>
      <c r="M6475">
        <v>0.99944670000000002</v>
      </c>
      <c r="N6475">
        <v>0</v>
      </c>
      <c r="O6475">
        <v>2.997969E-2</v>
      </c>
      <c r="P6475">
        <v>0.99918180000000001</v>
      </c>
      <c r="Q6475">
        <v>-3.5260529999999998E-2</v>
      </c>
      <c r="R6475">
        <v>1.981426E-2</v>
      </c>
      <c r="S6475">
        <v>2.9916689999999999</v>
      </c>
      <c r="T6475">
        <v>-0.122472499999999</v>
      </c>
      <c r="U6475">
        <v>0.33416750000000001</v>
      </c>
      <c r="V6475">
        <v>1.018317E-2</v>
      </c>
      <c r="W6475">
        <v>-2.0843190000000001E-2</v>
      </c>
      <c r="X6475">
        <v>0.99973089999999998</v>
      </c>
      <c r="Y6475">
        <v>-8.1119319999999995E-2</v>
      </c>
      <c r="Z6475">
        <v>4.3212010000000001E-4</v>
      </c>
      <c r="AA6475">
        <v>0.99670429999999999</v>
      </c>
      <c r="AB6475">
        <v>22</v>
      </c>
      <c r="AC6475">
        <v>27.035799999999899</v>
      </c>
      <c r="AD6475">
        <v>-1.110824397909</v>
      </c>
      <c r="AE6475">
        <v>3.0274299999999998</v>
      </c>
      <c r="AF6475">
        <v>-2.2117723236170299</v>
      </c>
      <c r="AG6475">
        <v>-1.110824397909</v>
      </c>
      <c r="AH6475">
        <v>27.0692846907106</v>
      </c>
      <c r="AI6475">
        <v>92.342094314546003</v>
      </c>
      <c r="AJ6475">
        <v>94.671136757624097</v>
      </c>
      <c r="AK6475">
        <v>27.182200818205398</v>
      </c>
      <c r="AL6475">
        <v>91.194313300457296</v>
      </c>
      <c r="AM6475">
        <v>89.416410470016402</v>
      </c>
      <c r="AN6475">
        <v>1.0000000039677099</v>
      </c>
    </row>
    <row r="6476" spans="1:40" x14ac:dyDescent="0.25">
      <c r="A6476" t="str">
        <f>"20190312161146241"</f>
        <v>20190312161146241</v>
      </c>
      <c r="B6476" t="str">
        <f>"1552378306234088"</f>
        <v>1552378306234088</v>
      </c>
      <c r="C6476" t="s">
        <v>40</v>
      </c>
      <c r="D6476">
        <v>5.3543320000000003</v>
      </c>
      <c r="E6476">
        <v>0.46578150000000001</v>
      </c>
      <c r="F6476" t="s">
        <v>78</v>
      </c>
      <c r="G6476">
        <v>-191.43770000000001</v>
      </c>
      <c r="H6476" s="1">
        <v>-6.4251340000000002E-6</v>
      </c>
      <c r="I6476">
        <v>-60.108569999999901</v>
      </c>
      <c r="J6476">
        <v>-217.98240000000001</v>
      </c>
      <c r="K6476">
        <v>1.110852</v>
      </c>
      <c r="L6476">
        <v>-63.088529999999999</v>
      </c>
      <c r="M6476">
        <v>0.99943090000000001</v>
      </c>
      <c r="N6476">
        <v>0</v>
      </c>
      <c r="O6476">
        <v>3.0498069999999999E-2</v>
      </c>
      <c r="P6476">
        <v>0.99916729999999998</v>
      </c>
      <c r="Q6476">
        <v>-3.5338319999999999E-2</v>
      </c>
      <c r="R6476">
        <v>2.0401099999999998E-2</v>
      </c>
      <c r="S6476">
        <v>2.9914399999999999</v>
      </c>
      <c r="T6476">
        <v>-0.1246526</v>
      </c>
      <c r="U6476">
        <v>0.33483889999999999</v>
      </c>
      <c r="V6476">
        <v>1.011621E-2</v>
      </c>
      <c r="W6476">
        <v>-2.0908510000000002E-2</v>
      </c>
      <c r="X6476">
        <v>0.99973020000000001</v>
      </c>
      <c r="Y6476">
        <v>-8.0830860000000004E-2</v>
      </c>
      <c r="Z6476">
        <v>4.1234490000000002E-4</v>
      </c>
      <c r="AA6476">
        <v>0.99672780000000005</v>
      </c>
      <c r="AB6476">
        <v>22</v>
      </c>
      <c r="AC6476">
        <v>26.544699999999999</v>
      </c>
      <c r="AD6476">
        <v>-1.1108584251339999</v>
      </c>
      <c r="AE6476">
        <v>2.9799600000000099</v>
      </c>
      <c r="AF6476">
        <v>-2.1651825868630401</v>
      </c>
      <c r="AG6476">
        <v>-1.1108584251339999</v>
      </c>
      <c r="AH6476">
        <v>26.577276367539799</v>
      </c>
      <c r="AI6476">
        <v>92.385521805354898</v>
      </c>
      <c r="AJ6476">
        <v>94.657454723878502</v>
      </c>
      <c r="AK6476">
        <v>26.6884552042964</v>
      </c>
      <c r="AL6476">
        <v>91.198056695494401</v>
      </c>
      <c r="AM6476">
        <v>89.420247226686897</v>
      </c>
      <c r="AN6476">
        <v>0.99999998814361202</v>
      </c>
    </row>
    <row r="6477" spans="1:40" x14ac:dyDescent="0.25">
      <c r="A6477" t="str">
        <f>"20190312161146254"</f>
        <v>20190312161146254</v>
      </c>
      <c r="B6477" t="str">
        <f>"1552378306243848"</f>
        <v>1552378306243848</v>
      </c>
      <c r="C6477" t="s">
        <v>40</v>
      </c>
      <c r="D6477">
        <v>5.3919290000000002</v>
      </c>
      <c r="E6477">
        <v>0.46592210000000001</v>
      </c>
      <c r="F6477" t="s">
        <v>78</v>
      </c>
      <c r="G6477">
        <v>-192.07839999999999</v>
      </c>
      <c r="H6477" s="1">
        <v>-6.468868E-6</v>
      </c>
      <c r="I6477">
        <v>-60.189269999999901</v>
      </c>
      <c r="J6477">
        <v>-217.86439999999999</v>
      </c>
      <c r="K6477">
        <v>1.1108960000000001</v>
      </c>
      <c r="L6477">
        <v>-63.084290000000003</v>
      </c>
      <c r="M6477">
        <v>0.99941239999999998</v>
      </c>
      <c r="N6477">
        <v>0</v>
      </c>
      <c r="O6477">
        <v>3.1089619999999998E-2</v>
      </c>
      <c r="P6477">
        <v>0.99914729999999996</v>
      </c>
      <c r="Q6477">
        <v>-3.5432089999999999E-2</v>
      </c>
      <c r="R6477">
        <v>2.1197609999999999E-2</v>
      </c>
      <c r="S6477">
        <v>2.9911349999999999</v>
      </c>
      <c r="T6477">
        <v>-0.12827089999999999</v>
      </c>
      <c r="U6477">
        <v>0.33477780000000001</v>
      </c>
      <c r="V6477">
        <v>9.9131159999999996E-3</v>
      </c>
      <c r="W6477">
        <v>-2.0990740000000001E-2</v>
      </c>
      <c r="X6477">
        <v>0.99973049999999997</v>
      </c>
      <c r="Y6477">
        <v>-8.0230579999999996E-2</v>
      </c>
      <c r="Z6477">
        <v>3.8627129999999998E-4</v>
      </c>
      <c r="AA6477">
        <v>0.99677629999999995</v>
      </c>
      <c r="AB6477">
        <v>22</v>
      </c>
      <c r="AC6477">
        <v>25.785999999999898</v>
      </c>
      <c r="AD6477">
        <v>-1.11090246886799</v>
      </c>
      <c r="AE6477">
        <v>2.8950200000000001</v>
      </c>
      <c r="AF6477">
        <v>-2.0880326127968001</v>
      </c>
      <c r="AG6477">
        <v>-1.11090246886799</v>
      </c>
      <c r="AH6477">
        <v>25.816227794182399</v>
      </c>
      <c r="AI6477">
        <v>92.455974170747993</v>
      </c>
      <c r="AJ6477">
        <v>94.624052910071001</v>
      </c>
      <c r="AK6477">
        <v>25.924343810568399</v>
      </c>
      <c r="AL6477">
        <v>91.202769175340805</v>
      </c>
      <c r="AM6477">
        <v>89.431885798630304</v>
      </c>
      <c r="AN6477">
        <v>0.99999997683241304</v>
      </c>
    </row>
    <row r="6478" spans="1:40" x14ac:dyDescent="0.25">
      <c r="A6478" t="str">
        <f>"20190312161146276"</f>
        <v>20190312161146276</v>
      </c>
      <c r="B6478" t="str">
        <f>"1552378306273651"</f>
        <v>1552378306273651</v>
      </c>
      <c r="C6478" t="s">
        <v>40</v>
      </c>
      <c r="D6478">
        <v>5.3756779999999997</v>
      </c>
      <c r="E6478">
        <v>0.46617009999999998</v>
      </c>
      <c r="F6478" t="s">
        <v>78</v>
      </c>
      <c r="G6478">
        <v>-192.00909999999999</v>
      </c>
      <c r="H6478" s="1">
        <v>-6.4646349999999998E-6</v>
      </c>
      <c r="I6478">
        <v>-60.17915</v>
      </c>
      <c r="J6478">
        <v>-217.63509999999999</v>
      </c>
      <c r="K6478">
        <v>1.1109869999999999</v>
      </c>
      <c r="L6478">
        <v>-63.075740000000003</v>
      </c>
      <c r="M6478">
        <v>0.99937299999999996</v>
      </c>
      <c r="N6478">
        <v>0</v>
      </c>
      <c r="O6478">
        <v>3.2323600000000001E-2</v>
      </c>
      <c r="P6478">
        <v>0.99913620000000003</v>
      </c>
      <c r="Q6478">
        <v>-3.4670979999999997E-2</v>
      </c>
      <c r="R6478">
        <v>2.2911040000000001E-2</v>
      </c>
      <c r="S6478">
        <v>2.990875</v>
      </c>
      <c r="T6478">
        <v>-0.12850639999999999</v>
      </c>
      <c r="U6478">
        <v>0.33605960000000001</v>
      </c>
      <c r="V6478">
        <v>9.4370919999999994E-3</v>
      </c>
      <c r="W6478">
        <v>-2.0208960000000002E-2</v>
      </c>
      <c r="X6478">
        <v>0.99975119999999895</v>
      </c>
      <c r="Y6478">
        <v>-7.9432900000000001E-2</v>
      </c>
      <c r="Z6478">
        <v>3.171634E-4</v>
      </c>
      <c r="AA6478">
        <v>0.99684019999999995</v>
      </c>
      <c r="AB6478">
        <v>22</v>
      </c>
      <c r="AC6478">
        <v>25.626000000000001</v>
      </c>
      <c r="AD6478">
        <v>-1.1109934646349999</v>
      </c>
      <c r="AE6478">
        <v>2.8965900000000002</v>
      </c>
      <c r="AF6478">
        <v>-2.0628366686664199</v>
      </c>
      <c r="AG6478">
        <v>-1.1109934646349999</v>
      </c>
      <c r="AH6478">
        <v>25.658625386485301</v>
      </c>
      <c r="AI6478">
        <v>92.471338902908499</v>
      </c>
      <c r="AJ6478">
        <v>94.5964339347953</v>
      </c>
      <c r="AK6478">
        <v>25.765377123652701</v>
      </c>
      <c r="AL6478">
        <v>91.157966989597796</v>
      </c>
      <c r="AM6478">
        <v>89.459175959145497</v>
      </c>
      <c r="AN6478">
        <v>0.99999996133556801</v>
      </c>
    </row>
    <row r="6479" spans="1:40" x14ac:dyDescent="0.25">
      <c r="A6479" t="str">
        <f>"20190312161146288"</f>
        <v>20190312161146288</v>
      </c>
      <c r="B6479" t="str">
        <f>"1552378306283396"</f>
        <v>1552378306283396</v>
      </c>
      <c r="C6479" t="s">
        <v>40</v>
      </c>
      <c r="D6479">
        <v>5.3941999999999997</v>
      </c>
      <c r="E6479">
        <v>0.4662425</v>
      </c>
      <c r="F6479" t="s">
        <v>78</v>
      </c>
      <c r="G6479">
        <v>-192.21770000000001</v>
      </c>
      <c r="H6479" s="1">
        <v>-6.4835870000000003E-6</v>
      </c>
      <c r="I6479">
        <v>-60.192</v>
      </c>
      <c r="J6479">
        <v>-217.52719999999999</v>
      </c>
      <c r="K6479">
        <v>1.111032</v>
      </c>
      <c r="L6479">
        <v>-63.07159</v>
      </c>
      <c r="M6479">
        <v>0.99935249999999998</v>
      </c>
      <c r="N6479">
        <v>0</v>
      </c>
      <c r="O6479">
        <v>3.2948930000000001E-2</v>
      </c>
      <c r="P6479">
        <v>0.99911240000000001</v>
      </c>
      <c r="Q6479">
        <v>-3.4590129999999997E-2</v>
      </c>
      <c r="R6479">
        <v>2.40427E-2</v>
      </c>
      <c r="S6479">
        <v>2.9902799999999998</v>
      </c>
      <c r="T6479">
        <v>-0.13070489999999901</v>
      </c>
      <c r="U6479">
        <v>0.33926390000000001</v>
      </c>
      <c r="V6479">
        <v>8.9323189999999993E-3</v>
      </c>
      <c r="W6479">
        <v>-2.0119959999999999E-2</v>
      </c>
      <c r="X6479">
        <v>0.99975760000000002</v>
      </c>
      <c r="Y6479">
        <v>-7.9884579999999997E-2</v>
      </c>
      <c r="Z6479">
        <v>3.052703E-4</v>
      </c>
      <c r="AA6479">
        <v>0.99680409999999997</v>
      </c>
      <c r="AB6479">
        <v>22</v>
      </c>
      <c r="AC6479">
        <v>25.3094999999999</v>
      </c>
      <c r="AD6479">
        <v>-1.111038483587</v>
      </c>
      <c r="AE6479">
        <v>2.8795899999999999</v>
      </c>
      <c r="AF6479">
        <v>-2.04013689286657</v>
      </c>
      <c r="AG6479">
        <v>-1.111038483587</v>
      </c>
      <c r="AH6479">
        <v>25.342432489518799</v>
      </c>
      <c r="AI6479">
        <v>92.502214215408898</v>
      </c>
      <c r="AJ6479">
        <v>94.602545497182604</v>
      </c>
      <c r="AK6479">
        <v>25.448682668057</v>
      </c>
      <c r="AL6479">
        <v>91.152866665357394</v>
      </c>
      <c r="AM6479">
        <v>89.488105353847999</v>
      </c>
      <c r="AN6479">
        <v>0.99999992893543699</v>
      </c>
    </row>
    <row r="6480" spans="1:40" x14ac:dyDescent="0.25">
      <c r="A6480" t="str">
        <f>"20190312161146299"</f>
        <v>20190312161146299</v>
      </c>
      <c r="B6480" t="str">
        <f>"1552378306294132"</f>
        <v>1552378306294132</v>
      </c>
      <c r="C6480" t="s">
        <v>40</v>
      </c>
      <c r="D6480">
        <v>5.4310999999999998</v>
      </c>
      <c r="E6480">
        <v>0.46635549999999998</v>
      </c>
      <c r="F6480" t="s">
        <v>78</v>
      </c>
      <c r="G6480">
        <v>-192.12459999999999</v>
      </c>
      <c r="H6480" s="1">
        <v>-6.4825689999999998E-6</v>
      </c>
      <c r="I6480">
        <v>-60.165059999999997</v>
      </c>
      <c r="J6480">
        <v>-217.411</v>
      </c>
      <c r="K6480">
        <v>1.111075</v>
      </c>
      <c r="L6480">
        <v>-63.066960000000002</v>
      </c>
      <c r="M6480">
        <v>0.99932889999999996</v>
      </c>
      <c r="N6480">
        <v>0</v>
      </c>
      <c r="O6480">
        <v>3.3658460000000001E-2</v>
      </c>
      <c r="P6480">
        <v>0.99908470000000005</v>
      </c>
      <c r="Q6480">
        <v>-3.46939E-2</v>
      </c>
      <c r="R6480">
        <v>2.5027210000000001E-2</v>
      </c>
      <c r="S6480">
        <v>2.9899140000000002</v>
      </c>
      <c r="T6480">
        <v>-0.13077030000000001</v>
      </c>
      <c r="U6480">
        <v>0.34210210000000002</v>
      </c>
      <c r="V6480">
        <v>8.6593599999999996E-3</v>
      </c>
      <c r="W6480">
        <v>-2.021533E-2</v>
      </c>
      <c r="X6480">
        <v>0.99975809999999998</v>
      </c>
      <c r="Y6480">
        <v>-8.0125000000000002E-2</v>
      </c>
      <c r="Z6480">
        <v>2.7980920000000002E-4</v>
      </c>
      <c r="AA6480">
        <v>0.99678480000000003</v>
      </c>
      <c r="AB6480">
        <v>22</v>
      </c>
      <c r="AC6480">
        <v>25.286399999999901</v>
      </c>
      <c r="AD6480">
        <v>-1.1110814825690001</v>
      </c>
      <c r="AE6480">
        <v>2.9018999999999902</v>
      </c>
      <c r="AF6480">
        <v>-2.0451679396158702</v>
      </c>
      <c r="AG6480">
        <v>-1.1110814825690001</v>
      </c>
      <c r="AH6480">
        <v>25.321500194873799</v>
      </c>
      <c r="AI6480">
        <v>92.504323714418405</v>
      </c>
      <c r="AJ6480">
        <v>94.617644186424101</v>
      </c>
      <c r="AK6480">
        <v>25.428243865456601</v>
      </c>
      <c r="AL6480">
        <v>91.158332049928902</v>
      </c>
      <c r="AM6480">
        <v>89.503747581757693</v>
      </c>
      <c r="AN6480">
        <v>0.99999995129911301</v>
      </c>
    </row>
    <row r="6481" spans="1:40" x14ac:dyDescent="0.25">
      <c r="A6481" t="str">
        <f>"20190312161146311"</f>
        <v>20190312161146311</v>
      </c>
      <c r="B6481" t="str">
        <f>"1552378306303892"</f>
        <v>1552378306303892</v>
      </c>
      <c r="C6481" t="s">
        <v>40</v>
      </c>
      <c r="D6481">
        <v>5.3321940000000003</v>
      </c>
      <c r="E6481">
        <v>0.46643109999999999</v>
      </c>
      <c r="F6481" t="s">
        <v>78</v>
      </c>
      <c r="G6481">
        <v>-192.20699999999999</v>
      </c>
      <c r="H6481" s="1">
        <v>-6.4915740000000004E-6</v>
      </c>
      <c r="I6481">
        <v>-60.165799999999997</v>
      </c>
      <c r="J6481">
        <v>-217.29169999999999</v>
      </c>
      <c r="K6481">
        <v>1.11112099999999</v>
      </c>
      <c r="L6481">
        <v>-63.062100000000001</v>
      </c>
      <c r="M6481">
        <v>0.99930249999999998</v>
      </c>
      <c r="N6481">
        <v>0</v>
      </c>
      <c r="O6481">
        <v>3.4428500000000001E-2</v>
      </c>
      <c r="P6481">
        <v>0.99903640000000005</v>
      </c>
      <c r="Q6481">
        <v>-3.5226559999999997E-2</v>
      </c>
      <c r="R6481">
        <v>2.6189090000000002E-2</v>
      </c>
      <c r="S6481">
        <v>2.9895320000000001</v>
      </c>
      <c r="T6481">
        <v>-0.131789299999999</v>
      </c>
      <c r="U6481">
        <v>0.34411619999999998</v>
      </c>
      <c r="V6481">
        <v>8.2700169999999993E-3</v>
      </c>
      <c r="W6481">
        <v>-2.074057E-2</v>
      </c>
      <c r="X6481">
        <v>0.99975069999999999</v>
      </c>
      <c r="Y6481">
        <v>-8.0034240000000006E-2</v>
      </c>
      <c r="Z6481">
        <v>2.4624910000000001E-4</v>
      </c>
      <c r="AA6481">
        <v>0.99679209999999996</v>
      </c>
      <c r="AB6481">
        <v>22</v>
      </c>
      <c r="AC6481">
        <v>25.084700000000002</v>
      </c>
      <c r="AD6481">
        <v>-1.1111274915739899</v>
      </c>
      <c r="AE6481">
        <v>2.8963000000000001</v>
      </c>
      <c r="AF6481">
        <v>-2.0269390333508701</v>
      </c>
      <c r="AG6481">
        <v>-1.1111274915739899</v>
      </c>
      <c r="AH6481">
        <v>25.1209114150078</v>
      </c>
      <c r="AI6481">
        <v>92.524415521763501</v>
      </c>
      <c r="AJ6481">
        <v>94.6130492532521</v>
      </c>
      <c r="AK6481">
        <v>25.227034634853901</v>
      </c>
      <c r="AL6481">
        <v>91.188432325191997</v>
      </c>
      <c r="AM6481">
        <v>89.526055582407807</v>
      </c>
      <c r="AN6481">
        <v>1.00000001328779</v>
      </c>
    </row>
    <row r="6482" spans="1:40" x14ac:dyDescent="0.25">
      <c r="A6482" t="str">
        <f>"20190312161146322"</f>
        <v>20190312161146322</v>
      </c>
      <c r="B6482" t="str">
        <f>"1552378306313652"</f>
        <v>1552378306313652</v>
      </c>
      <c r="C6482" t="s">
        <v>40</v>
      </c>
      <c r="D6482">
        <v>5.4632100000000001</v>
      </c>
      <c r="E6482">
        <v>0.46649940000000001</v>
      </c>
      <c r="F6482" t="s">
        <v>78</v>
      </c>
      <c r="G6482">
        <v>-192.15719999999999</v>
      </c>
      <c r="H6482" s="1">
        <v>-6.4935609999999999E-6</v>
      </c>
      <c r="I6482">
        <v>-60.144179999999999</v>
      </c>
      <c r="J6482">
        <v>-217.1789</v>
      </c>
      <c r="K6482">
        <v>1.1111660000000001</v>
      </c>
      <c r="L6482">
        <v>-63.057400000000001</v>
      </c>
      <c r="M6482">
        <v>0.99927630000000001</v>
      </c>
      <c r="N6482">
        <v>0</v>
      </c>
      <c r="O6482">
        <v>3.517824E-2</v>
      </c>
      <c r="P6482">
        <v>0.99898379999999998</v>
      </c>
      <c r="Q6482">
        <v>-3.593938E-2</v>
      </c>
      <c r="R6482">
        <v>2.7203910000000001E-2</v>
      </c>
      <c r="S6482">
        <v>2.9891359999999998</v>
      </c>
      <c r="T6482">
        <v>-0.1321416</v>
      </c>
      <c r="U6482">
        <v>0.34701539999999997</v>
      </c>
      <c r="V6482">
        <v>8.0073999999999996E-3</v>
      </c>
      <c r="W6482">
        <v>-2.1446739999999999E-2</v>
      </c>
      <c r="X6482">
        <v>0.99973789999999996</v>
      </c>
      <c r="Y6482">
        <v>-8.0255729999999997E-2</v>
      </c>
      <c r="Z6482">
        <v>2.188367E-4</v>
      </c>
      <c r="AA6482">
        <v>0.9967743</v>
      </c>
      <c r="AB6482">
        <v>22</v>
      </c>
      <c r="AC6482">
        <v>25.021699999999999</v>
      </c>
      <c r="AD6482">
        <v>-1.1111724935609999</v>
      </c>
      <c r="AE6482">
        <v>2.9132199999999902</v>
      </c>
      <c r="AF6482">
        <v>-2.0271606692420399</v>
      </c>
      <c r="AG6482">
        <v>-1.1111724935609999</v>
      </c>
      <c r="AH6482">
        <v>25.059942561741</v>
      </c>
      <c r="AI6482">
        <v>92.530609990754101</v>
      </c>
      <c r="AJ6482">
        <v>94.624727264682093</v>
      </c>
      <c r="AK6482">
        <v>25.166342719734299</v>
      </c>
      <c r="AL6482">
        <v>91.228901937604405</v>
      </c>
      <c r="AM6482">
        <v>89.541099307660105</v>
      </c>
      <c r="AN6482">
        <v>0.99999997490389803</v>
      </c>
    </row>
    <row r="6483" spans="1:40" x14ac:dyDescent="0.25">
      <c r="A6483" t="str">
        <f>"20190312161146334"</f>
        <v>20190312161146334</v>
      </c>
      <c r="B6483" t="str">
        <f>"1552378306323413"</f>
        <v>1552378306323413</v>
      </c>
      <c r="C6483" t="s">
        <v>40</v>
      </c>
      <c r="D6483">
        <v>5.4251620000000003</v>
      </c>
      <c r="E6483">
        <v>0.4666246</v>
      </c>
      <c r="F6483" t="s">
        <v>78</v>
      </c>
      <c r="G6483">
        <v>-192.26900000000001</v>
      </c>
      <c r="H6483" s="1">
        <v>-6.5058130000000002E-6</v>
      </c>
      <c r="I6483">
        <v>-60.145099999999999</v>
      </c>
      <c r="J6483">
        <v>-217.07140000000001</v>
      </c>
      <c r="K6483">
        <v>1.111205</v>
      </c>
      <c r="L6483">
        <v>-63.052729999999997</v>
      </c>
      <c r="M6483">
        <v>0.99924869999999999</v>
      </c>
      <c r="N6483">
        <v>0</v>
      </c>
      <c r="O6483">
        <v>3.5950589999999998E-2</v>
      </c>
      <c r="P6483">
        <v>0.99894899999999998</v>
      </c>
      <c r="Q6483">
        <v>-3.6117730000000001E-2</v>
      </c>
      <c r="R6483">
        <v>2.8233000000000001E-2</v>
      </c>
      <c r="S6483">
        <v>2.9887540000000001</v>
      </c>
      <c r="T6483">
        <v>-0.13332140000000001</v>
      </c>
      <c r="U6483">
        <v>0.34942630000000002</v>
      </c>
      <c r="V6483">
        <v>7.7525409999999999E-3</v>
      </c>
      <c r="W6483">
        <v>-2.1619289999999999E-2</v>
      </c>
      <c r="X6483">
        <v>0.99973619999999996</v>
      </c>
      <c r="Y6483">
        <v>-8.0293080000000003E-2</v>
      </c>
      <c r="Z6483">
        <v>1.8737079999999999E-4</v>
      </c>
      <c r="AA6483">
        <v>0.99677130000000003</v>
      </c>
      <c r="AB6483">
        <v>22</v>
      </c>
      <c r="AC6483">
        <v>24.802399999999999</v>
      </c>
      <c r="AD6483">
        <v>-1.1112115058130001</v>
      </c>
      <c r="AE6483">
        <v>2.9076300000000002</v>
      </c>
      <c r="AF6483">
        <v>-2.0100157035924</v>
      </c>
      <c r="AG6483">
        <v>-1.1112115058130001</v>
      </c>
      <c r="AH6483">
        <v>24.8417175007258</v>
      </c>
      <c r="AI6483">
        <v>92.552896477612805</v>
      </c>
      <c r="AJ6483">
        <v>94.625890852857495</v>
      </c>
      <c r="AK6483">
        <v>24.9476628669943</v>
      </c>
      <c r="AL6483">
        <v>91.238790607906907</v>
      </c>
      <c r="AM6483">
        <v>89.555703818084694</v>
      </c>
      <c r="AN6483">
        <v>0.99999998259125</v>
      </c>
    </row>
    <row r="6484" spans="1:40" x14ac:dyDescent="0.25">
      <c r="A6484" t="str">
        <f>"20190312161146344"</f>
        <v>20190312161146344</v>
      </c>
      <c r="B6484" t="str">
        <f>"1552378306334148"</f>
        <v>1552378306334148</v>
      </c>
      <c r="C6484" t="s">
        <v>40</v>
      </c>
      <c r="D6484">
        <v>5.3879849999999996</v>
      </c>
      <c r="E6484">
        <v>0.46668300000000001</v>
      </c>
      <c r="F6484" t="s">
        <v>78</v>
      </c>
      <c r="G6484">
        <v>-192.4879</v>
      </c>
      <c r="H6484" s="1">
        <v>-6.5251719999999999E-6</v>
      </c>
      <c r="I6484">
        <v>-60.1601199999999</v>
      </c>
      <c r="J6484">
        <v>-216.9639</v>
      </c>
      <c r="K6484">
        <v>1.111246</v>
      </c>
      <c r="L6484">
        <v>-63.048070000000003</v>
      </c>
      <c r="M6484">
        <v>0.99922010000000006</v>
      </c>
      <c r="N6484">
        <v>0</v>
      </c>
      <c r="O6484">
        <v>3.6733719999999997E-2</v>
      </c>
      <c r="P6484">
        <v>0.99889269999999997</v>
      </c>
      <c r="Q6484">
        <v>-3.6275120000000001E-2</v>
      </c>
      <c r="R6484">
        <v>2.9959679999999999E-2</v>
      </c>
      <c r="S6484">
        <v>2.9883419999999998</v>
      </c>
      <c r="T6484">
        <v>-0.135077799999999</v>
      </c>
      <c r="U6484">
        <v>0.35162349999999998</v>
      </c>
      <c r="V6484">
        <v>6.8109629999999997E-3</v>
      </c>
      <c r="W6484">
        <v>-2.177275E-2</v>
      </c>
      <c r="X6484">
        <v>0.99973979999999996</v>
      </c>
      <c r="Y6484">
        <v>-8.0250360000000007E-2</v>
      </c>
      <c r="Z6484">
        <v>1.536907E-4</v>
      </c>
      <c r="AA6484">
        <v>0.99677470000000001</v>
      </c>
      <c r="AB6484">
        <v>22</v>
      </c>
      <c r="AC6484">
        <v>24.475999999999999</v>
      </c>
      <c r="AD6484">
        <v>-1.111252525172</v>
      </c>
      <c r="AE6484">
        <v>2.88795</v>
      </c>
      <c r="AF6484">
        <v>-1.9827805914718699</v>
      </c>
      <c r="AG6484">
        <v>-1.111252525172</v>
      </c>
      <c r="AH6484">
        <v>24.515732891538399</v>
      </c>
      <c r="AI6484">
        <v>92.586899052514596</v>
      </c>
      <c r="AJ6484">
        <v>94.6238969189898</v>
      </c>
      <c r="AK6484">
        <v>24.6208744819894</v>
      </c>
      <c r="AL6484">
        <v>91.247585198462403</v>
      </c>
      <c r="AM6484">
        <v>89.609665037797001</v>
      </c>
      <c r="AN6484">
        <v>1.00000005478179</v>
      </c>
    </row>
    <row r="6485" spans="1:40" x14ac:dyDescent="0.25">
      <c r="A6485" t="str">
        <f>"20190312161146360"</f>
        <v>20190312161146360</v>
      </c>
      <c r="B6485" t="str">
        <f>"1552378306353668"</f>
        <v>1552378306353668</v>
      </c>
      <c r="C6485" t="s">
        <v>40</v>
      </c>
      <c r="D6485">
        <v>5.4314249999999999</v>
      </c>
      <c r="E6485">
        <v>0.46679150000000003</v>
      </c>
      <c r="F6485" t="s">
        <v>78</v>
      </c>
      <c r="G6485">
        <v>-192.2852</v>
      </c>
      <c r="H6485" s="1">
        <v>-6.5215019999999998E-6</v>
      </c>
      <c r="I6485">
        <v>-60.105609999999999</v>
      </c>
      <c r="J6485">
        <v>-216.82169999999999</v>
      </c>
      <c r="K6485">
        <v>1.1113010000000001</v>
      </c>
      <c r="L6485">
        <v>-63.041600000000003</v>
      </c>
      <c r="M6485">
        <v>0.99917840000000002</v>
      </c>
      <c r="N6485">
        <v>0</v>
      </c>
      <c r="O6485">
        <v>3.7847110000000003E-2</v>
      </c>
      <c r="P6485">
        <v>0.99883940000000004</v>
      </c>
      <c r="Q6485">
        <v>-3.6490799999999997E-2</v>
      </c>
      <c r="R6485">
        <v>3.1441129999999998E-2</v>
      </c>
      <c r="S6485">
        <v>2.9877470000000002</v>
      </c>
      <c r="T6485">
        <v>-0.13453509999999999</v>
      </c>
      <c r="U6485">
        <v>0.35623169999999998</v>
      </c>
      <c r="V6485">
        <v>6.4453509999999898E-3</v>
      </c>
      <c r="W6485">
        <v>-2.19822E-2</v>
      </c>
      <c r="X6485">
        <v>0.9997376</v>
      </c>
      <c r="Y6485">
        <v>-8.0679840000000003E-2</v>
      </c>
      <c r="Z6485">
        <v>1.1287559999999999E-4</v>
      </c>
      <c r="AA6485">
        <v>0.99673999999999996</v>
      </c>
      <c r="AB6485">
        <v>22</v>
      </c>
      <c r="AC6485">
        <v>24.536499999999901</v>
      </c>
      <c r="AD6485">
        <v>-1.1113075215019901</v>
      </c>
      <c r="AE6485">
        <v>2.9359899999999999</v>
      </c>
      <c r="AF6485">
        <v>-2.0011057941178598</v>
      </c>
      <c r="AG6485">
        <v>-1.1113075215019901</v>
      </c>
      <c r="AH6485">
        <v>24.580335823910101</v>
      </c>
      <c r="AI6485">
        <v>92.580126084312795</v>
      </c>
      <c r="AJ6485">
        <v>94.654233339426298</v>
      </c>
      <c r="AK6485">
        <v>24.686683414804801</v>
      </c>
      <c r="AL6485">
        <v>91.259588722813106</v>
      </c>
      <c r="AM6485">
        <v>89.630616780388806</v>
      </c>
      <c r="AN6485">
        <v>1.00000001426005</v>
      </c>
    </row>
    <row r="6486" spans="1:40" x14ac:dyDescent="0.25">
      <c r="A6486" t="str">
        <f>"20190312161146373"</f>
        <v>20190312161146373</v>
      </c>
      <c r="B6486" t="str">
        <f>"1552378306363427"</f>
        <v>1552378306363427</v>
      </c>
      <c r="C6486" t="s">
        <v>40</v>
      </c>
      <c r="D6486">
        <v>5.4294510000000002</v>
      </c>
      <c r="E6486">
        <v>0.46683590000000003</v>
      </c>
      <c r="F6486" t="s">
        <v>78</v>
      </c>
      <c r="G6486">
        <v>-192.56200000000001</v>
      </c>
      <c r="H6486" s="1">
        <v>-6.5478350000000001E-6</v>
      </c>
      <c r="I6486">
        <v>-60.119280000000003</v>
      </c>
      <c r="J6486">
        <v>-216.69069999999999</v>
      </c>
      <c r="K6486">
        <v>1.1113519999999999</v>
      </c>
      <c r="L6486">
        <v>-63.035429999999998</v>
      </c>
      <c r="M6486">
        <v>0.99913719999999995</v>
      </c>
      <c r="N6486">
        <v>0</v>
      </c>
      <c r="O6486">
        <v>3.8918620000000001E-2</v>
      </c>
      <c r="P6486">
        <v>0.99880369999999996</v>
      </c>
      <c r="Q6486">
        <v>-3.6182909999999999E-2</v>
      </c>
      <c r="R6486">
        <v>3.2895300000000002E-2</v>
      </c>
      <c r="S6486">
        <v>2.9871669999999999</v>
      </c>
      <c r="T6486">
        <v>-0.1368384</v>
      </c>
      <c r="U6486">
        <v>0.35983280000000001</v>
      </c>
      <c r="V6486">
        <v>6.0642309999999998E-3</v>
      </c>
      <c r="W6486">
        <v>-2.1668969999999999E-2</v>
      </c>
      <c r="X6486">
        <v>0.99974680000000005</v>
      </c>
      <c r="Y6486">
        <v>-8.0817700000000006E-2</v>
      </c>
      <c r="Z6486" s="1">
        <v>6.916956E-5</v>
      </c>
      <c r="AA6486">
        <v>0.99672890000000003</v>
      </c>
      <c r="AB6486">
        <v>22</v>
      </c>
      <c r="AC6486">
        <v>24.128699999999899</v>
      </c>
      <c r="AD6486">
        <v>-1.1113585478350001</v>
      </c>
      <c r="AE6486">
        <v>2.91615</v>
      </c>
      <c r="AF6486">
        <v>-1.9706652422984099</v>
      </c>
      <c r="AG6486">
        <v>-1.1113585478350001</v>
      </c>
      <c r="AH6486">
        <v>24.173375095793599</v>
      </c>
      <c r="AI6486">
        <v>92.623599222208597</v>
      </c>
      <c r="AJ6486">
        <v>94.660568236605698</v>
      </c>
      <c r="AK6486">
        <v>24.279017748685501</v>
      </c>
      <c r="AL6486">
        <v>91.241637718024293</v>
      </c>
      <c r="AM6486">
        <v>89.652461422208702</v>
      </c>
      <c r="AN6486">
        <v>0.99999999163436104</v>
      </c>
    </row>
    <row r="6487" spans="1:40" x14ac:dyDescent="0.25">
      <c r="A6487" t="str">
        <f>"20190312161146387"</f>
        <v>20190312161146387</v>
      </c>
      <c r="B6487" t="str">
        <f>"1552378306383455"</f>
        <v>1552378306383455</v>
      </c>
      <c r="C6487" t="s">
        <v>40</v>
      </c>
      <c r="D6487">
        <v>5.4247610000000002</v>
      </c>
      <c r="E6487">
        <v>0.46685199999999999</v>
      </c>
      <c r="F6487" t="s">
        <v>78</v>
      </c>
      <c r="G6487">
        <v>-192.32660000000001</v>
      </c>
      <c r="H6487" s="1">
        <v>-6.539554E-6</v>
      </c>
      <c r="I6487">
        <v>-60.067450000000001</v>
      </c>
      <c r="J6487">
        <v>-216.55099999999999</v>
      </c>
      <c r="K6487">
        <v>1.1113959999999901</v>
      </c>
      <c r="L6487">
        <v>-63.028689999999997</v>
      </c>
      <c r="M6487">
        <v>0.99909040000000005</v>
      </c>
      <c r="N6487">
        <v>0</v>
      </c>
      <c r="O6487">
        <v>4.010143E-2</v>
      </c>
      <c r="P6487">
        <v>0.99871860000000001</v>
      </c>
      <c r="Q6487">
        <v>-3.6203539999999999E-2</v>
      </c>
      <c r="R6487">
        <v>3.5365569999999999E-2</v>
      </c>
      <c r="S6487">
        <v>2.9866790000000001</v>
      </c>
      <c r="T6487">
        <v>-0.1362362</v>
      </c>
      <c r="U6487">
        <v>0.3638306</v>
      </c>
      <c r="V6487">
        <v>4.7782709999999997E-3</v>
      </c>
      <c r="W6487">
        <v>-2.1687040000000001E-2</v>
      </c>
      <c r="X6487">
        <v>0.99975340000000001</v>
      </c>
      <c r="Y6487">
        <v>-8.0973370000000003E-2</v>
      </c>
      <c r="Z6487" s="1">
        <v>1.8781520000000001E-5</v>
      </c>
      <c r="AA6487">
        <v>0.9967163</v>
      </c>
      <c r="AB6487">
        <v>22</v>
      </c>
      <c r="AC6487">
        <v>24.2243999999999</v>
      </c>
      <c r="AD6487">
        <v>-1.1114025395539999</v>
      </c>
      <c r="AE6487">
        <v>2.9612400000000001</v>
      </c>
      <c r="AF6487">
        <v>-1.9832092555536001</v>
      </c>
      <c r="AG6487">
        <v>-1.1114025395539999</v>
      </c>
      <c r="AH6487">
        <v>24.273331283695502</v>
      </c>
      <c r="AI6487">
        <v>92.612875369682399</v>
      </c>
      <c r="AJ6487">
        <v>94.670874606021201</v>
      </c>
      <c r="AK6487">
        <v>24.379560007602102</v>
      </c>
      <c r="AL6487">
        <v>91.242673273056994</v>
      </c>
      <c r="AM6487">
        <v>89.726159793931799</v>
      </c>
      <c r="AN6487">
        <v>1.00000001019463</v>
      </c>
    </row>
    <row r="6488" spans="1:40" x14ac:dyDescent="0.25">
      <c r="A6488" t="str">
        <f>"20190312161146409"</f>
        <v>20190312161146409</v>
      </c>
      <c r="B6488" t="str">
        <f>"1552378306403952"</f>
        <v>1552378306403952</v>
      </c>
      <c r="C6488" t="s">
        <v>40</v>
      </c>
      <c r="D6488">
        <v>5.3440430000000001</v>
      </c>
      <c r="E6488">
        <v>0.4669896</v>
      </c>
      <c r="F6488" t="s">
        <v>78</v>
      </c>
      <c r="G6488">
        <v>-192.446</v>
      </c>
      <c r="H6488" s="1">
        <v>-6.5652679999999996E-6</v>
      </c>
      <c r="I6488">
        <v>-60.032449999999997</v>
      </c>
      <c r="J6488">
        <v>-216.3271</v>
      </c>
      <c r="K6488">
        <v>1.1114649999999999</v>
      </c>
      <c r="L6488">
        <v>-63.017359999999996</v>
      </c>
      <c r="M6488">
        <v>0.9990076</v>
      </c>
      <c r="N6488">
        <v>0</v>
      </c>
      <c r="O6488">
        <v>4.2108520000000003E-2</v>
      </c>
      <c r="P6488">
        <v>0.99857569999999996</v>
      </c>
      <c r="Q6488">
        <v>-3.7226839999999997E-2</v>
      </c>
      <c r="R6488">
        <v>3.8221970000000001E-2</v>
      </c>
      <c r="S6488">
        <v>2.9857179999999999</v>
      </c>
      <c r="T6488">
        <v>-0.1376618</v>
      </c>
      <c r="U6488">
        <v>0.37112430000000002</v>
      </c>
      <c r="V6488">
        <v>3.9327989999999998E-3</v>
      </c>
      <c r="W6488">
        <v>-2.2705110000000001E-2</v>
      </c>
      <c r="X6488">
        <v>0.99973449999999997</v>
      </c>
      <c r="Y6488">
        <v>-8.1408750000000002E-2</v>
      </c>
      <c r="Z6488" s="1">
        <v>-6.2975569999999999E-5</v>
      </c>
      <c r="AA6488">
        <v>0.99668080000000003</v>
      </c>
      <c r="AB6488">
        <v>22</v>
      </c>
      <c r="AC6488">
        <v>23.8811</v>
      </c>
      <c r="AD6488">
        <v>-1.1114715652679901</v>
      </c>
      <c r="AE6488">
        <v>2.98490999999999</v>
      </c>
      <c r="AF6488">
        <v>-1.97235154230245</v>
      </c>
      <c r="AG6488">
        <v>-1.1114715652679901</v>
      </c>
      <c r="AH6488">
        <v>23.934569106182401</v>
      </c>
      <c r="AI6488">
        <v>92.649817592122005</v>
      </c>
      <c r="AJ6488">
        <v>94.710870468953601</v>
      </c>
      <c r="AK6488">
        <v>24.041404658327401</v>
      </c>
      <c r="AL6488">
        <v>91.301018738024695</v>
      </c>
      <c r="AM6488">
        <v>89.774608536533293</v>
      </c>
      <c r="AN6488">
        <v>1.00000002970916</v>
      </c>
    </row>
    <row r="6489" spans="1:40" x14ac:dyDescent="0.25">
      <c r="A6489" t="str">
        <f>"20190312161146421"</f>
        <v>20190312161146421</v>
      </c>
      <c r="B6489" t="str">
        <f>"1552378306413711"</f>
        <v>1552378306413711</v>
      </c>
      <c r="C6489" t="s">
        <v>40</v>
      </c>
      <c r="D6489">
        <v>5.4067069999999999</v>
      </c>
      <c r="E6489">
        <v>0.46711190000000002</v>
      </c>
      <c r="F6489" t="s">
        <v>78</v>
      </c>
      <c r="G6489">
        <v>-193.41239999999999</v>
      </c>
      <c r="H6489" s="1">
        <v>-6.6466909999999998E-6</v>
      </c>
      <c r="I6489">
        <v>-60.110169999999997</v>
      </c>
      <c r="J6489">
        <v>-216.21090000000001</v>
      </c>
      <c r="K6489">
        <v>1.111491</v>
      </c>
      <c r="L6489">
        <v>-63.011319999999998</v>
      </c>
      <c r="M6489">
        <v>0.99896160000000001</v>
      </c>
      <c r="N6489">
        <v>0</v>
      </c>
      <c r="O6489">
        <v>4.3186500000000003E-2</v>
      </c>
      <c r="P6489">
        <v>0.99848040000000005</v>
      </c>
      <c r="Q6489">
        <v>-3.786171E-2</v>
      </c>
      <c r="R6489">
        <v>4.0041920000000002E-2</v>
      </c>
      <c r="S6489">
        <v>2.9843899999999999</v>
      </c>
      <c r="T6489">
        <v>-0.14475759999999999</v>
      </c>
      <c r="U6489">
        <v>0.37863160000000001</v>
      </c>
      <c r="V6489">
        <v>3.1926519999999998E-3</v>
      </c>
      <c r="W6489">
        <v>-2.3338899999999999E-2</v>
      </c>
      <c r="X6489">
        <v>0.99972249999999996</v>
      </c>
      <c r="Y6489">
        <v>-8.2850859999999998E-2</v>
      </c>
      <c r="Z6489" s="1">
        <v>-8.334313E-5</v>
      </c>
      <c r="AA6489">
        <v>0.9965619</v>
      </c>
      <c r="AB6489">
        <v>22</v>
      </c>
      <c r="AC6489">
        <v>22.798500000000001</v>
      </c>
      <c r="AD6489">
        <v>-1.111497646691</v>
      </c>
      <c r="AE6489">
        <v>2.9011499999999999</v>
      </c>
      <c r="AF6489">
        <v>-1.9092857999898301</v>
      </c>
      <c r="AG6489">
        <v>-1.111497646691</v>
      </c>
      <c r="AH6489">
        <v>22.849085085982001</v>
      </c>
      <c r="AI6489">
        <v>92.775310528708204</v>
      </c>
      <c r="AJ6489">
        <v>94.776579392164095</v>
      </c>
      <c r="AK6489">
        <v>22.955641758641601</v>
      </c>
      <c r="AL6489">
        <v>91.337341913720905</v>
      </c>
      <c r="AM6489">
        <v>89.817024361068903</v>
      </c>
      <c r="AN6489">
        <v>0.99999998714312599</v>
      </c>
    </row>
    <row r="6490" spans="1:40" x14ac:dyDescent="0.25">
      <c r="A6490" t="str">
        <f>"20190312161146432"</f>
        <v>20190312161146432</v>
      </c>
      <c r="B6490" t="str">
        <f>"1552378306423472"</f>
        <v>1552378306423472</v>
      </c>
      <c r="C6490" t="s">
        <v>40</v>
      </c>
      <c r="D6490">
        <v>5.3611469999999999</v>
      </c>
      <c r="E6490">
        <v>0.4672135</v>
      </c>
      <c r="F6490" t="s">
        <v>78</v>
      </c>
      <c r="G6490">
        <v>-193.64060000000001</v>
      </c>
      <c r="H6490" s="1">
        <v>-6.6712279999999997E-6</v>
      </c>
      <c r="I6490">
        <v>-60.113379999999999</v>
      </c>
      <c r="J6490">
        <v>-216.10740000000001</v>
      </c>
      <c r="K6490">
        <v>1.111513</v>
      </c>
      <c r="L6490">
        <v>-63.005740000000003</v>
      </c>
      <c r="M6490">
        <v>0.99891830000000004</v>
      </c>
      <c r="N6490">
        <v>0</v>
      </c>
      <c r="O6490">
        <v>4.4175979999999997E-2</v>
      </c>
      <c r="P6490">
        <v>0.99841000000000002</v>
      </c>
      <c r="Q6490">
        <v>-3.7941959999999997E-2</v>
      </c>
      <c r="R6490">
        <v>4.1691989999999998E-2</v>
      </c>
      <c r="S6490">
        <v>2.9836269999999998</v>
      </c>
      <c r="T6490">
        <v>-0.1469318</v>
      </c>
      <c r="U6490">
        <v>0.38308720000000002</v>
      </c>
      <c r="V6490">
        <v>2.5323009999999998E-3</v>
      </c>
      <c r="W6490">
        <v>-2.341859E-2</v>
      </c>
      <c r="X6490">
        <v>0.99972249999999996</v>
      </c>
      <c r="Y6490">
        <v>-8.3359089999999997E-2</v>
      </c>
      <c r="Z6490">
        <v>-1.205364E-4</v>
      </c>
      <c r="AA6490">
        <v>0.99651959999999995</v>
      </c>
      <c r="AB6490">
        <v>22</v>
      </c>
      <c r="AC6490">
        <v>22.466799999999999</v>
      </c>
      <c r="AD6490">
        <v>-1.111519671228</v>
      </c>
      <c r="AE6490">
        <v>2.8923599999999898</v>
      </c>
      <c r="AF6490">
        <v>-1.8923818928828999</v>
      </c>
      <c r="AG6490">
        <v>-1.111519671228</v>
      </c>
      <c r="AH6490">
        <v>22.518429852950501</v>
      </c>
      <c r="AI6490">
        <v>92.815941676521803</v>
      </c>
      <c r="AJ6490">
        <v>94.803679958046501</v>
      </c>
      <c r="AK6490">
        <v>22.6251247123698</v>
      </c>
      <c r="AL6490">
        <v>91.341909099233504</v>
      </c>
      <c r="AM6490">
        <v>89.854869876937599</v>
      </c>
      <c r="AN6490">
        <v>0.99999995995609503</v>
      </c>
    </row>
    <row r="6491" spans="1:40" x14ac:dyDescent="0.25">
      <c r="A6491" t="str">
        <f>"20190312161146442"</f>
        <v>20190312161146442</v>
      </c>
      <c r="B6491" t="str">
        <f>"1552378306434207"</f>
        <v>1552378306434207</v>
      </c>
      <c r="C6491" t="s">
        <v>40</v>
      </c>
      <c r="D6491">
        <v>5.4172060000000002</v>
      </c>
      <c r="E6491">
        <v>0.46735270000000001</v>
      </c>
      <c r="F6491" t="s">
        <v>78</v>
      </c>
      <c r="G6491">
        <v>-193.89670000000001</v>
      </c>
      <c r="H6491" s="1">
        <v>-6.6967870000000003E-6</v>
      </c>
      <c r="I6491">
        <v>-60.122619999999998</v>
      </c>
      <c r="J6491">
        <v>-216.00290000000001</v>
      </c>
      <c r="K6491">
        <v>1.111534</v>
      </c>
      <c r="L6491">
        <v>-63.000030000000002</v>
      </c>
      <c r="M6491">
        <v>0.99887320000000002</v>
      </c>
      <c r="N6491">
        <v>0</v>
      </c>
      <c r="O6491">
        <v>4.5183849999999998E-2</v>
      </c>
      <c r="P6491">
        <v>0.9983339</v>
      </c>
      <c r="Q6491">
        <v>-3.8090199999999998E-2</v>
      </c>
      <c r="R6491">
        <v>4.334615E-2</v>
      </c>
      <c r="S6491">
        <v>2.9829409999999998</v>
      </c>
      <c r="T6491">
        <v>-0.14927889999999999</v>
      </c>
      <c r="U6491">
        <v>0.38720700000000002</v>
      </c>
      <c r="V6491">
        <v>1.886506E-3</v>
      </c>
      <c r="W6491">
        <v>-2.3566500000000001E-2</v>
      </c>
      <c r="X6491">
        <v>0.99972050000000001</v>
      </c>
      <c r="Y6491">
        <v>-8.3735630000000005E-2</v>
      </c>
      <c r="Z6491">
        <v>-1.6317520000000001E-4</v>
      </c>
      <c r="AA6491">
        <v>0.99648800000000004</v>
      </c>
      <c r="AB6491">
        <v>22</v>
      </c>
      <c r="AC6491">
        <v>22.106200000000001</v>
      </c>
      <c r="AD6491">
        <v>-1.1115406967870001</v>
      </c>
      <c r="AE6491">
        <v>2.8774099999999998</v>
      </c>
      <c r="AF6491">
        <v>-1.8708708996733801</v>
      </c>
      <c r="AG6491">
        <v>-1.1115406967870001</v>
      </c>
      <c r="AH6491">
        <v>22.1585547360798</v>
      </c>
      <c r="AI6491">
        <v>92.861559605431793</v>
      </c>
      <c r="AJ6491">
        <v>94.826098968753897</v>
      </c>
      <c r="AK6491">
        <v>22.265157278485699</v>
      </c>
      <c r="AL6491">
        <v>91.350385992337195</v>
      </c>
      <c r="AM6491">
        <v>89.891881077232298</v>
      </c>
      <c r="AN6491">
        <v>1.00000000847369</v>
      </c>
    </row>
    <row r="6492" spans="1:40" x14ac:dyDescent="0.25">
      <c r="A6492" t="str">
        <f>"20190312161146453"</f>
        <v>20190312161146453</v>
      </c>
      <c r="B6492" t="str">
        <f>"1552378306443968"</f>
        <v>1552378306443968</v>
      </c>
      <c r="C6492" t="s">
        <v>40</v>
      </c>
      <c r="D6492">
        <v>5.3382350000000001</v>
      </c>
      <c r="E6492">
        <v>0.46746589999999999</v>
      </c>
      <c r="F6492" t="s">
        <v>78</v>
      </c>
      <c r="G6492">
        <v>-193.93510000000001</v>
      </c>
      <c r="H6492" s="1">
        <v>-6.7067989999999997E-6</v>
      </c>
      <c r="I6492">
        <v>-60.106400000000001</v>
      </c>
      <c r="J6492">
        <v>-215.8981</v>
      </c>
      <c r="K6492">
        <v>1.1115619999999999</v>
      </c>
      <c r="L6492">
        <v>-62.994079999999997</v>
      </c>
      <c r="M6492">
        <v>0.99882530000000003</v>
      </c>
      <c r="N6492">
        <v>0</v>
      </c>
      <c r="O6492">
        <v>4.6227020000000001E-2</v>
      </c>
      <c r="P6492">
        <v>0.99825319999999995</v>
      </c>
      <c r="Q6492">
        <v>-3.8172749999999998E-2</v>
      </c>
      <c r="R6492">
        <v>4.5097150000000003E-2</v>
      </c>
      <c r="S6492">
        <v>2.9823</v>
      </c>
      <c r="T6492">
        <v>-0.15021619999999999</v>
      </c>
      <c r="U6492">
        <v>0.39105220000000002</v>
      </c>
      <c r="V6492">
        <v>1.1785019999999999E-3</v>
      </c>
      <c r="W6492">
        <v>-2.3649420000000001E-2</v>
      </c>
      <c r="X6492">
        <v>0.99971960000000004</v>
      </c>
      <c r="Y6492">
        <v>-8.3985950000000004E-2</v>
      </c>
      <c r="Z6492">
        <v>-2.1010359999999999E-4</v>
      </c>
      <c r="AA6492">
        <v>0.99646690000000004</v>
      </c>
      <c r="AB6492">
        <v>22</v>
      </c>
      <c r="AC6492">
        <v>21.962999999999901</v>
      </c>
      <c r="AD6492">
        <v>-1.1115687067990001</v>
      </c>
      <c r="AE6492">
        <v>2.88768</v>
      </c>
      <c r="AF6492">
        <v>-1.8645063697722599</v>
      </c>
      <c r="AG6492">
        <v>-1.1115687067990001</v>
      </c>
      <c r="AH6492">
        <v>22.017579634485401</v>
      </c>
      <c r="AI6492">
        <v>92.87986270959</v>
      </c>
      <c r="AJ6492">
        <v>94.840408446422401</v>
      </c>
      <c r="AK6492">
        <v>22.124325570596699</v>
      </c>
      <c r="AL6492">
        <v>91.355138319690596</v>
      </c>
      <c r="AM6492">
        <v>89.932457901725599</v>
      </c>
      <c r="AN6492">
        <v>0.99999998127873002</v>
      </c>
    </row>
    <row r="6493" spans="1:40" x14ac:dyDescent="0.25">
      <c r="A6493" t="str">
        <f>"20190312161146464"</f>
        <v>20190312161146464</v>
      </c>
      <c r="B6493" t="str">
        <f>"1552378306453728"</f>
        <v>1552378306453728</v>
      </c>
      <c r="C6493" t="s">
        <v>40</v>
      </c>
      <c r="D6493">
        <v>5.3940299999999999</v>
      </c>
      <c r="E6493">
        <v>0.46758240000000001</v>
      </c>
      <c r="F6493" t="s">
        <v>78</v>
      </c>
      <c r="G6493">
        <v>-193.81389999999999</v>
      </c>
      <c r="H6493" s="1">
        <v>-6.7074240000000002E-6</v>
      </c>
      <c r="I6493">
        <v>-60.06579</v>
      </c>
      <c r="J6493">
        <v>-215.79390000000001</v>
      </c>
      <c r="K6493">
        <v>1.1115820000000001</v>
      </c>
      <c r="L6493">
        <v>-62.988160000000001</v>
      </c>
      <c r="M6493">
        <v>0.99877640000000001</v>
      </c>
      <c r="N6493">
        <v>0</v>
      </c>
      <c r="O6493">
        <v>4.7270409999999999E-2</v>
      </c>
      <c r="P6493">
        <v>0.99817730000000005</v>
      </c>
      <c r="Q6493">
        <v>-3.8293720000000003E-2</v>
      </c>
      <c r="R6493">
        <v>4.6645209999999999E-2</v>
      </c>
      <c r="S6493">
        <v>2.9816440000000002</v>
      </c>
      <c r="T6493">
        <v>-0.15007519999999999</v>
      </c>
      <c r="U6493">
        <v>0.39535520000000002</v>
      </c>
      <c r="V6493">
        <v>6.7400509999999904E-4</v>
      </c>
      <c r="W6493">
        <v>-2.3770289999999999E-2</v>
      </c>
      <c r="X6493">
        <v>0.99971719999999997</v>
      </c>
      <c r="Y6493">
        <v>-8.4387589999999998E-2</v>
      </c>
      <c r="Z6493">
        <v>-2.5199350000000001E-4</v>
      </c>
      <c r="AA6493">
        <v>0.99643300000000001</v>
      </c>
      <c r="AB6493">
        <v>22</v>
      </c>
      <c r="AC6493">
        <v>21.98</v>
      </c>
      <c r="AD6493">
        <v>-1.1115887074240001</v>
      </c>
      <c r="AE6493">
        <v>2.9223699999999999</v>
      </c>
      <c r="AF6493">
        <v>-1.8752762259489599</v>
      </c>
      <c r="AG6493">
        <v>-1.1115887074240001</v>
      </c>
      <c r="AH6493">
        <v>22.038194379886601</v>
      </c>
      <c r="AI6493">
        <v>92.877125941642902</v>
      </c>
      <c r="AJ6493">
        <v>94.863701930926894</v>
      </c>
      <c r="AK6493">
        <v>22.145751328499699</v>
      </c>
      <c r="AL6493">
        <v>91.3620656091787</v>
      </c>
      <c r="AM6493">
        <v>89.9613714340923</v>
      </c>
      <c r="AN6493">
        <v>0.999999980472699</v>
      </c>
    </row>
    <row r="6494" spans="1:40" x14ac:dyDescent="0.25">
      <c r="A6494" t="str">
        <f>"20190312161146476"</f>
        <v>20190312161146476</v>
      </c>
      <c r="B6494" t="str">
        <f>"1552378306463487"</f>
        <v>1552378306463487</v>
      </c>
      <c r="C6494" t="s">
        <v>40</v>
      </c>
      <c r="D6494">
        <v>5.3457019999999904</v>
      </c>
      <c r="E6494">
        <v>0.46759909999999999</v>
      </c>
      <c r="F6494" t="s">
        <v>78</v>
      </c>
      <c r="G6494">
        <v>-193.64709999999999</v>
      </c>
      <c r="H6494" s="1">
        <v>-6.7033139999999998E-6</v>
      </c>
      <c r="I6494">
        <v>-60.024059999999999</v>
      </c>
      <c r="J6494">
        <v>-215.68180000000001</v>
      </c>
      <c r="K6494">
        <v>1.111599</v>
      </c>
      <c r="L6494">
        <v>-62.98151</v>
      </c>
      <c r="M6494">
        <v>0.99872119999999998</v>
      </c>
      <c r="N6494">
        <v>0</v>
      </c>
      <c r="O6494">
        <v>4.8425719999999998E-2</v>
      </c>
      <c r="P6494">
        <v>0.99809749999999997</v>
      </c>
      <c r="Q6494">
        <v>-3.8407669999999998E-2</v>
      </c>
      <c r="R6494">
        <v>4.8234970000000002E-2</v>
      </c>
      <c r="S6494">
        <v>2.9810940000000001</v>
      </c>
      <c r="T6494">
        <v>-0.14962710000000001</v>
      </c>
      <c r="U6494">
        <v>0.39898679999999997</v>
      </c>
      <c r="V6494">
        <v>2.3938919999999999E-4</v>
      </c>
      <c r="W6494">
        <v>-2.3884200000000001E-2</v>
      </c>
      <c r="X6494">
        <v>0.99971469999999996</v>
      </c>
      <c r="Y6494">
        <v>-8.4453210000000001E-2</v>
      </c>
      <c r="Z6494">
        <v>-3.0717089999999998E-4</v>
      </c>
      <c r="AA6494">
        <v>0.99642739999999996</v>
      </c>
      <c r="AB6494">
        <v>22</v>
      </c>
      <c r="AC6494">
        <v>22.034700000000001</v>
      </c>
      <c r="AD6494">
        <v>-1.1116057033140001</v>
      </c>
      <c r="AE6494">
        <v>2.9574500000000001</v>
      </c>
      <c r="AF6494">
        <v>-1.8821155732982899</v>
      </c>
      <c r="AG6494">
        <v>-1.1116057033140001</v>
      </c>
      <c r="AH6494">
        <v>22.0968336566334</v>
      </c>
      <c r="AI6494">
        <v>92.869527104870599</v>
      </c>
      <c r="AJ6494">
        <v>94.868463345551604</v>
      </c>
      <c r="AK6494">
        <v>22.2046860801908</v>
      </c>
      <c r="AL6494">
        <v>91.3685940026038</v>
      </c>
      <c r="AM6494">
        <v>89.986280095152296</v>
      </c>
      <c r="AN6494">
        <v>0.99999999685645902</v>
      </c>
    </row>
    <row r="6495" spans="1:40" x14ac:dyDescent="0.25">
      <c r="A6495" t="str">
        <f>"20190312161146487"</f>
        <v>20190312161146487</v>
      </c>
      <c r="B6495" t="str">
        <f>"1552378306483983"</f>
        <v>1552378306483983</v>
      </c>
      <c r="C6495" t="s">
        <v>40</v>
      </c>
      <c r="D6495">
        <v>5.3716739999999996</v>
      </c>
      <c r="E6495">
        <v>0.4676824</v>
      </c>
      <c r="F6495" t="s">
        <v>78</v>
      </c>
      <c r="G6495">
        <v>-193.4442</v>
      </c>
      <c r="H6495" s="1">
        <v>-6.6992860000000004E-6</v>
      </c>
      <c r="I6495">
        <v>-59.970500000000001</v>
      </c>
      <c r="J6495">
        <v>-215.57210000000001</v>
      </c>
      <c r="K6495">
        <v>1.1116170000000001</v>
      </c>
      <c r="L6495">
        <v>-62.97495</v>
      </c>
      <c r="M6495">
        <v>0.99866529999999998</v>
      </c>
      <c r="N6495">
        <v>0</v>
      </c>
      <c r="O6495">
        <v>4.9562879999999997E-2</v>
      </c>
      <c r="P6495">
        <v>0.99800940000000005</v>
      </c>
      <c r="Q6495">
        <v>-3.8706740000000003E-2</v>
      </c>
      <c r="R6495">
        <v>4.9793980000000002E-2</v>
      </c>
      <c r="S6495">
        <v>2.980499</v>
      </c>
      <c r="T6495">
        <v>-0.14898819999999999</v>
      </c>
      <c r="U6495">
        <v>0.40356449999999999</v>
      </c>
      <c r="V6495">
        <v>-1.8192379999999999E-4</v>
      </c>
      <c r="W6495">
        <v>-2.418348E-2</v>
      </c>
      <c r="X6495">
        <v>0.99970749999999997</v>
      </c>
      <c r="Y6495">
        <v>-8.4849209999999994E-2</v>
      </c>
      <c r="Z6495">
        <v>-3.524348E-4</v>
      </c>
      <c r="AA6495">
        <v>0.99639370000000005</v>
      </c>
      <c r="AB6495">
        <v>22</v>
      </c>
      <c r="AC6495">
        <v>22.1279</v>
      </c>
      <c r="AD6495">
        <v>-1.111623699286</v>
      </c>
      <c r="AE6495">
        <v>3.0044499999999901</v>
      </c>
      <c r="AF6495">
        <v>-1.89921226207945</v>
      </c>
      <c r="AG6495">
        <v>-1.111623699286</v>
      </c>
      <c r="AH6495">
        <v>22.194625757109701</v>
      </c>
      <c r="AI6495">
        <v>92.856855312285106</v>
      </c>
      <c r="AJ6495">
        <v>94.890932162665393</v>
      </c>
      <c r="AK6495">
        <v>22.303455493788501</v>
      </c>
      <c r="AL6495">
        <v>91.385746461980602</v>
      </c>
      <c r="AM6495">
        <v>90.010426515573698</v>
      </c>
      <c r="AN6495">
        <v>0.99999997967871401</v>
      </c>
    </row>
    <row r="6496" spans="1:40" x14ac:dyDescent="0.25">
      <c r="A6496" t="str">
        <f>"20190312161146498"</f>
        <v>20190312161146498</v>
      </c>
      <c r="B6496" t="str">
        <f>"1552378306493743"</f>
        <v>1552378306493743</v>
      </c>
      <c r="C6496" t="s">
        <v>40</v>
      </c>
      <c r="D6496">
        <v>5.3705889999999998</v>
      </c>
      <c r="E6496">
        <v>0.46775329999999898</v>
      </c>
      <c r="F6496" t="s">
        <v>78</v>
      </c>
      <c r="G6496">
        <v>-193.42949999999999</v>
      </c>
      <c r="H6496" s="1">
        <v>-6.7061609999999901E-6</v>
      </c>
      <c r="I6496">
        <v>-59.946199999999997</v>
      </c>
      <c r="J6496">
        <v>-215.46190000000001</v>
      </c>
      <c r="K6496">
        <v>1.1116280000000001</v>
      </c>
      <c r="L6496">
        <v>-62.968169999999901</v>
      </c>
      <c r="M6496">
        <v>0.99860700000000002</v>
      </c>
      <c r="N6496">
        <v>0</v>
      </c>
      <c r="O6496">
        <v>5.0724930000000001E-2</v>
      </c>
      <c r="P6496">
        <v>0.997915</v>
      </c>
      <c r="Q6496">
        <v>-3.9136219999999999E-2</v>
      </c>
      <c r="R6496">
        <v>5.132623E-2</v>
      </c>
      <c r="S6496">
        <v>2.9798429999999998</v>
      </c>
      <c r="T6496">
        <v>-0.14959649999999999</v>
      </c>
      <c r="U6496">
        <v>0.40759279999999998</v>
      </c>
      <c r="V6496">
        <v>-5.5231210000000004E-4</v>
      </c>
      <c r="W6496">
        <v>-2.4613400000000001E-2</v>
      </c>
      <c r="X6496">
        <v>0.9996969</v>
      </c>
      <c r="Y6496">
        <v>-8.504225E-2</v>
      </c>
      <c r="Z6496">
        <v>-4.0695960000000002E-4</v>
      </c>
      <c r="AA6496">
        <v>0.99637730000000002</v>
      </c>
      <c r="AB6496">
        <v>22</v>
      </c>
      <c r="AC6496">
        <v>22.032399999999999</v>
      </c>
      <c r="AD6496">
        <v>-1.1116347061609999</v>
      </c>
      <c r="AE6496">
        <v>3.0219699999999898</v>
      </c>
      <c r="AF6496">
        <v>-1.89563245687167</v>
      </c>
      <c r="AG6496">
        <v>-1.1116347061609999</v>
      </c>
      <c r="AH6496">
        <v>22.102110732318302</v>
      </c>
      <c r="AI6496">
        <v>92.868774170157195</v>
      </c>
      <c r="AJ6496">
        <v>94.902092585755895</v>
      </c>
      <c r="AK6496">
        <v>22.211088513513801</v>
      </c>
      <c r="AL6496">
        <v>91.410386358951698</v>
      </c>
      <c r="AM6496">
        <v>90.031654743637006</v>
      </c>
      <c r="AN6496">
        <v>1.00000000818891</v>
      </c>
    </row>
    <row r="6497" spans="1:40" x14ac:dyDescent="0.25">
      <c r="A6497" t="str">
        <f>"20190312161146510"</f>
        <v>20190312161146510</v>
      </c>
      <c r="B6497" t="str">
        <f>"1552378306503505"</f>
        <v>1552378306503505</v>
      </c>
      <c r="C6497" t="s">
        <v>40</v>
      </c>
      <c r="D6497">
        <v>5.4795669999999896</v>
      </c>
      <c r="E6497">
        <v>0.46781089999999997</v>
      </c>
      <c r="F6497" t="s">
        <v>78</v>
      </c>
      <c r="G6497">
        <v>-193.52189999999999</v>
      </c>
      <c r="H6497" s="1">
        <v>-6.7198609999999998E-6</v>
      </c>
      <c r="I6497">
        <v>-59.936779999999999</v>
      </c>
      <c r="J6497">
        <v>-215.35400000000001</v>
      </c>
      <c r="K6497">
        <v>1.1116379999999999</v>
      </c>
      <c r="L6497">
        <v>-62.96143</v>
      </c>
      <c r="M6497">
        <v>0.99854799999999999</v>
      </c>
      <c r="N6497">
        <v>0</v>
      </c>
      <c r="O6497">
        <v>5.1872759999999997E-2</v>
      </c>
      <c r="P6497">
        <v>0.99781810000000004</v>
      </c>
      <c r="Q6497">
        <v>-3.940954E-2</v>
      </c>
      <c r="R6497">
        <v>5.2975170000000002E-2</v>
      </c>
      <c r="S6497">
        <v>2.9791560000000001</v>
      </c>
      <c r="T6497">
        <v>-0.15094449999999901</v>
      </c>
      <c r="U6497">
        <v>0.41162109999999902</v>
      </c>
      <c r="V6497">
        <v>-1.0537859999999999E-3</v>
      </c>
      <c r="W6497">
        <v>-2.4887759999999998E-2</v>
      </c>
      <c r="X6497">
        <v>0.99968970000000001</v>
      </c>
      <c r="Y6497">
        <v>-8.5250469999999995E-2</v>
      </c>
      <c r="Z6497">
        <v>-4.6310250000000002E-4</v>
      </c>
      <c r="AA6497">
        <v>0.99635949999999995</v>
      </c>
      <c r="AB6497">
        <v>22</v>
      </c>
      <c r="AC6497">
        <v>21.832100000000001</v>
      </c>
      <c r="AD6497">
        <v>-1.111644719861</v>
      </c>
      <c r="AE6497">
        <v>3.0246499999999998</v>
      </c>
      <c r="AF6497">
        <v>-1.8831757811479899</v>
      </c>
      <c r="AG6497">
        <v>-1.111644719861</v>
      </c>
      <c r="AH6497">
        <v>21.903895491892801</v>
      </c>
      <c r="AI6497">
        <v>92.894665588210401</v>
      </c>
      <c r="AJ6497">
        <v>94.913890797754902</v>
      </c>
      <c r="AK6497">
        <v>22.012785891968701</v>
      </c>
      <c r="AL6497">
        <v>91.426110852458194</v>
      </c>
      <c r="AM6497">
        <v>90.060396208890694</v>
      </c>
      <c r="AN6497">
        <v>1.0000000036744201</v>
      </c>
    </row>
    <row r="6498" spans="1:40" x14ac:dyDescent="0.25">
      <c r="A6498" t="str">
        <f>"20190312161146521"</f>
        <v>20190312161146521</v>
      </c>
      <c r="B6498" t="str">
        <f>"1552378306514239"</f>
        <v>1552378306514239</v>
      </c>
      <c r="C6498" t="s">
        <v>40</v>
      </c>
      <c r="D6498">
        <v>5.4446180000000002</v>
      </c>
      <c r="E6498">
        <v>0.46785559999999998</v>
      </c>
      <c r="F6498" t="s">
        <v>78</v>
      </c>
      <c r="G6498">
        <v>-193.40649999999999</v>
      </c>
      <c r="H6498" s="1">
        <v>-6.7212869999999998E-6</v>
      </c>
      <c r="I6498">
        <v>-59.895740000000004</v>
      </c>
      <c r="J6498">
        <v>-215.24100000000001</v>
      </c>
      <c r="K6498">
        <v>1.111648</v>
      </c>
      <c r="L6498">
        <v>-62.9542199999999</v>
      </c>
      <c r="M6498">
        <v>0.99848429999999999</v>
      </c>
      <c r="N6498">
        <v>0</v>
      </c>
      <c r="O6498">
        <v>5.3085069999999998E-2</v>
      </c>
      <c r="P6498">
        <v>0.99772919999999998</v>
      </c>
      <c r="Q6498">
        <v>-3.9663080000000003E-2</v>
      </c>
      <c r="R6498">
        <v>5.4435690000000002E-2</v>
      </c>
      <c r="S6498">
        <v>2.9785159999999999</v>
      </c>
      <c r="T6498">
        <v>-0.1508621</v>
      </c>
      <c r="U6498">
        <v>0.41604609999999898</v>
      </c>
      <c r="V6498">
        <v>-1.3026089999999999E-3</v>
      </c>
      <c r="W6498">
        <v>-2.514168E-2</v>
      </c>
      <c r="X6498">
        <v>0.99968299999999999</v>
      </c>
      <c r="Y6498">
        <v>-8.5523260000000004E-2</v>
      </c>
      <c r="Z6498">
        <v>-5.1690589999999999E-4</v>
      </c>
      <c r="AA6498">
        <v>0.996336</v>
      </c>
      <c r="AB6498">
        <v>22</v>
      </c>
      <c r="AC6498">
        <v>21.834499999999899</v>
      </c>
      <c r="AD6498">
        <v>-1.111654721287</v>
      </c>
      <c r="AE6498">
        <v>3.0584799999999799</v>
      </c>
      <c r="AF6498">
        <v>-1.8901531034532499</v>
      </c>
      <c r="AG6498">
        <v>-1.111654721287</v>
      </c>
      <c r="AH6498">
        <v>21.910382287765501</v>
      </c>
      <c r="AI6498">
        <v>92.893763682174693</v>
      </c>
      <c r="AJ6498">
        <v>94.930554558936294</v>
      </c>
      <c r="AK6498">
        <v>22.019838940598099</v>
      </c>
      <c r="AL6498">
        <v>91.440664027059398</v>
      </c>
      <c r="AM6498">
        <v>90.074657622282501</v>
      </c>
      <c r="AN6498">
        <v>0.99999995067621295</v>
      </c>
    </row>
    <row r="6499" spans="1:40" x14ac:dyDescent="0.25">
      <c r="A6499" t="str">
        <f>"20190312161146532"</f>
        <v>20190312161146532</v>
      </c>
      <c r="B6499" t="str">
        <f>"1552378306523999"</f>
        <v>1552378306523999</v>
      </c>
      <c r="C6499" t="s">
        <v>40</v>
      </c>
      <c r="D6499">
        <v>5.4111609999999999</v>
      </c>
      <c r="E6499">
        <v>0.46802870000000002</v>
      </c>
      <c r="F6499" t="s">
        <v>78</v>
      </c>
      <c r="G6499">
        <v>-193.40960000000001</v>
      </c>
      <c r="H6499" s="1">
        <v>-6.7289899999999903E-6</v>
      </c>
      <c r="I6499">
        <v>-59.874809999999997</v>
      </c>
      <c r="J6499">
        <v>-215.1369</v>
      </c>
      <c r="K6499">
        <v>1.1116539999999999</v>
      </c>
      <c r="L6499">
        <v>-62.947389999999999</v>
      </c>
      <c r="M6499">
        <v>0.99842359999999997</v>
      </c>
      <c r="N6499">
        <v>0</v>
      </c>
      <c r="O6499">
        <v>5.4212759999999999E-2</v>
      </c>
      <c r="P6499">
        <v>0.99766010000000005</v>
      </c>
      <c r="Q6499">
        <v>-3.9534529999999998E-2</v>
      </c>
      <c r="R6499">
        <v>5.5780999999999997E-2</v>
      </c>
      <c r="S6499">
        <v>2.977875</v>
      </c>
      <c r="T6499">
        <v>-0.15163360000000001</v>
      </c>
      <c r="U6499">
        <v>0.42004390000000003</v>
      </c>
      <c r="V6499">
        <v>-1.5209360000000001E-3</v>
      </c>
      <c r="W6499">
        <v>-2.5013529999999999E-2</v>
      </c>
      <c r="X6499">
        <v>0.99968590000000002</v>
      </c>
      <c r="Y6499">
        <v>-8.5739789999999996E-2</v>
      </c>
      <c r="Z6499">
        <v>-5.7104300000000003E-4</v>
      </c>
      <c r="AA6499">
        <v>0.99631740000000002</v>
      </c>
      <c r="AB6499">
        <v>22</v>
      </c>
      <c r="AC6499">
        <v>21.7272999999999</v>
      </c>
      <c r="AD6499">
        <v>-1.11166072899</v>
      </c>
      <c r="AE6499">
        <v>3.0725799999999999</v>
      </c>
      <c r="AF6499">
        <v>-1.8852008880195601</v>
      </c>
      <c r="AG6499">
        <v>-1.11166072899</v>
      </c>
      <c r="AH6499">
        <v>21.805967851546601</v>
      </c>
      <c r="AI6499">
        <v>92.907565705949096</v>
      </c>
      <c r="AJ6499">
        <v>94.941131228496005</v>
      </c>
      <c r="AK6499">
        <v>21.915519749876999</v>
      </c>
      <c r="AL6499">
        <v>91.433319271822896</v>
      </c>
      <c r="AM6499">
        <v>90.087170526735207</v>
      </c>
      <c r="AN6499">
        <v>0.999999944294092</v>
      </c>
    </row>
    <row r="6500" spans="1:40" x14ac:dyDescent="0.25">
      <c r="A6500" t="str">
        <f>"20190312161146542"</f>
        <v>20190312161146542</v>
      </c>
      <c r="B6500" t="str">
        <f>"1552378306533760"</f>
        <v>1552378306533760</v>
      </c>
      <c r="C6500" t="s">
        <v>40</v>
      </c>
      <c r="D6500">
        <v>5.4091490000000002</v>
      </c>
      <c r="E6500">
        <v>0.46813670000000002</v>
      </c>
      <c r="F6500" t="s">
        <v>78</v>
      </c>
      <c r="G6500">
        <v>-193.29730000000001</v>
      </c>
      <c r="H6500" s="1">
        <v>-6.7261769999999997E-6</v>
      </c>
      <c r="I6500">
        <v>-59.846809999999998</v>
      </c>
      <c r="J6500">
        <v>-215.02780000000001</v>
      </c>
      <c r="K6500">
        <v>1.111661</v>
      </c>
      <c r="L6500">
        <v>-62.940190000000001</v>
      </c>
      <c r="M6500">
        <v>0.99835859999999998</v>
      </c>
      <c r="N6500">
        <v>0</v>
      </c>
      <c r="O6500">
        <v>5.5397969999999998E-2</v>
      </c>
      <c r="P6500">
        <v>0.99756259999999997</v>
      </c>
      <c r="Q6500">
        <v>-3.9478920000000001E-2</v>
      </c>
      <c r="R6500">
        <v>5.7536869999999997E-2</v>
      </c>
      <c r="S6500">
        <v>2.9773710000000002</v>
      </c>
      <c r="T6500">
        <v>-0.15155170000000001</v>
      </c>
      <c r="U6500">
        <v>0.42269899999999999</v>
      </c>
      <c r="V6500">
        <v>-2.0929630000000002E-3</v>
      </c>
      <c r="W6500">
        <v>-2.495969E-2</v>
      </c>
      <c r="X6500">
        <v>0.99968619999999997</v>
      </c>
      <c r="Y6500">
        <v>-8.5453269999999998E-2</v>
      </c>
      <c r="Z6500">
        <v>-6.3784089999999996E-4</v>
      </c>
      <c r="AA6500">
        <v>0.99634199999999995</v>
      </c>
      <c r="AB6500">
        <v>22</v>
      </c>
      <c r="AC6500">
        <v>21.730499999999999</v>
      </c>
      <c r="AD6500">
        <v>-1.111667726177</v>
      </c>
      <c r="AE6500">
        <v>3.0933799999999998</v>
      </c>
      <c r="AF6500">
        <v>-1.8798540006384401</v>
      </c>
      <c r="AG6500">
        <v>-1.111667726177</v>
      </c>
      <c r="AH6500">
        <v>21.812557073299601</v>
      </c>
      <c r="AI6500">
        <v>92.9067745852239</v>
      </c>
      <c r="AJ6500">
        <v>94.925704969128603</v>
      </c>
      <c r="AK6500">
        <v>21.921617236716099</v>
      </c>
      <c r="AL6500">
        <v>91.430233520269098</v>
      </c>
      <c r="AM6500">
        <v>90.119955413376303</v>
      </c>
      <c r="AN6500">
        <v>0.99999993254472497</v>
      </c>
    </row>
    <row r="6501" spans="1:40" x14ac:dyDescent="0.25">
      <c r="A6501" t="str">
        <f>"20190312161146554"</f>
        <v>20190312161146554</v>
      </c>
      <c r="B6501" t="str">
        <f>"1552378306543520"</f>
        <v>1552378306543520</v>
      </c>
      <c r="C6501" t="s">
        <v>40</v>
      </c>
      <c r="D6501">
        <v>5.4264190000000001</v>
      </c>
      <c r="E6501">
        <v>0.46833350000000001</v>
      </c>
      <c r="F6501" t="s">
        <v>78</v>
      </c>
      <c r="G6501">
        <v>-193.23599999999999</v>
      </c>
      <c r="H6501" s="1">
        <v>-6.7308960000000001E-6</v>
      </c>
      <c r="I6501">
        <v>-59.81373</v>
      </c>
      <c r="J6501">
        <v>-214.92339999999999</v>
      </c>
      <c r="K6501">
        <v>1.1116600000000001</v>
      </c>
      <c r="L6501">
        <v>-62.933039999999998</v>
      </c>
      <c r="M6501">
        <v>0.99829449999999997</v>
      </c>
      <c r="N6501">
        <v>0</v>
      </c>
      <c r="O6501">
        <v>5.6542240000000001E-2</v>
      </c>
      <c r="P6501">
        <v>0.99748650000000005</v>
      </c>
      <c r="Q6501">
        <v>-3.9478039999999999E-2</v>
      </c>
      <c r="R6501">
        <v>5.8840919999999998E-2</v>
      </c>
      <c r="S6501">
        <v>2.9766849999999998</v>
      </c>
      <c r="T6501">
        <v>-0.15185019999999999</v>
      </c>
      <c r="U6501">
        <v>0.42706300000000003</v>
      </c>
      <c r="V6501">
        <v>-2.2540839999999999E-3</v>
      </c>
      <c r="W6501">
        <v>-2.4959599999999998E-2</v>
      </c>
      <c r="X6501">
        <v>0.99968590000000002</v>
      </c>
      <c r="Y6501">
        <v>-8.5775669999999998E-2</v>
      </c>
      <c r="Z6501">
        <v>-6.8883110000000003E-4</v>
      </c>
      <c r="AA6501">
        <v>0.99631420000000004</v>
      </c>
      <c r="AB6501">
        <v>22</v>
      </c>
      <c r="AC6501">
        <v>21.6874</v>
      </c>
      <c r="AD6501">
        <v>-1.111666730896</v>
      </c>
      <c r="AE6501">
        <v>3.1193099999999898</v>
      </c>
      <c r="AF6501">
        <v>-1.88308765517389</v>
      </c>
      <c r="AG6501">
        <v>-1.111666730896</v>
      </c>
      <c r="AH6501">
        <v>21.773040660930999</v>
      </c>
      <c r="AI6501">
        <v>92.911962521714898</v>
      </c>
      <c r="AJ6501">
        <v>94.943046942063503</v>
      </c>
      <c r="AK6501">
        <v>21.882575754700401</v>
      </c>
      <c r="AL6501">
        <v>91.430228293307493</v>
      </c>
      <c r="AM6501">
        <v>90.129189859534307</v>
      </c>
      <c r="AN6501">
        <v>0.99999998059282402</v>
      </c>
    </row>
    <row r="6502" spans="1:40" x14ac:dyDescent="0.25">
      <c r="A6502" t="str">
        <f>"20190312161146567"</f>
        <v>20190312161146567</v>
      </c>
      <c r="B6502" t="str">
        <f>"1552378306564015"</f>
        <v>1552378306564015</v>
      </c>
      <c r="C6502" t="s">
        <v>40</v>
      </c>
      <c r="D6502">
        <v>5.4254110000000004</v>
      </c>
      <c r="E6502">
        <v>0.46815519999999999</v>
      </c>
      <c r="F6502" t="s">
        <v>78</v>
      </c>
      <c r="G6502">
        <v>-193.1833</v>
      </c>
      <c r="H6502" s="1">
        <v>-6.7309969999999997E-6</v>
      </c>
      <c r="I6502">
        <v>-59.796570000000003</v>
      </c>
      <c r="J6502">
        <v>-214.7962</v>
      </c>
      <c r="K6502">
        <v>1.1116600000000001</v>
      </c>
      <c r="L6502">
        <v>-62.924289999999999</v>
      </c>
      <c r="M6502">
        <v>0.99821420000000005</v>
      </c>
      <c r="N6502">
        <v>0</v>
      </c>
      <c r="O6502">
        <v>5.794125E-2</v>
      </c>
      <c r="P6502">
        <v>0.99738340000000003</v>
      </c>
      <c r="Q6502">
        <v>-3.9342670000000003E-2</v>
      </c>
      <c r="R6502">
        <v>6.0655050000000002E-2</v>
      </c>
      <c r="S6502">
        <v>2.9762119999999999</v>
      </c>
      <c r="T6502">
        <v>-0.15218679999999901</v>
      </c>
      <c r="U6502">
        <v>0.42938229999999999</v>
      </c>
      <c r="V6502">
        <v>-2.6707179999999999E-3</v>
      </c>
      <c r="W6502">
        <v>-2.482606E-2</v>
      </c>
      <c r="X6502">
        <v>0.99968820000000003</v>
      </c>
      <c r="Y6502">
        <v>-8.5164719999999999E-2</v>
      </c>
      <c r="Z6502">
        <v>-7.768378E-4</v>
      </c>
      <c r="AA6502">
        <v>0.99636659999999999</v>
      </c>
      <c r="AB6502">
        <v>22</v>
      </c>
      <c r="AC6502">
        <v>21.6129</v>
      </c>
      <c r="AD6502">
        <v>-1.1116667309970001</v>
      </c>
      <c r="AE6502">
        <v>3.1277200000000001</v>
      </c>
      <c r="AF6502">
        <v>-1.86522019356466</v>
      </c>
      <c r="AG6502">
        <v>-1.1116667309970001</v>
      </c>
      <c r="AH6502">
        <v>21.701589817560599</v>
      </c>
      <c r="AI6502">
        <v>92.921667784832195</v>
      </c>
      <c r="AJ6502">
        <v>94.912416690881003</v>
      </c>
      <c r="AK6502">
        <v>21.809948415824699</v>
      </c>
      <c r="AL6502">
        <v>91.422574641646506</v>
      </c>
      <c r="AM6502">
        <v>90.153068232299901</v>
      </c>
      <c r="AN6502">
        <v>0.99999998160449899</v>
      </c>
    </row>
    <row r="6503" spans="1:40" x14ac:dyDescent="0.25">
      <c r="A6503" t="str">
        <f>"20190312161146579"</f>
        <v>20190312161146579</v>
      </c>
      <c r="B6503" t="str">
        <f>"1552378306573775"</f>
        <v>1552378306573775</v>
      </c>
      <c r="C6503" t="s">
        <v>40</v>
      </c>
      <c r="D6503">
        <v>5.3783209999999997</v>
      </c>
      <c r="E6503">
        <v>0.46792899999999998</v>
      </c>
      <c r="F6503" t="s">
        <v>78</v>
      </c>
      <c r="G6503">
        <v>-193.22669999999999</v>
      </c>
      <c r="H6503" s="1">
        <v>-6.7479729999999999E-6</v>
      </c>
      <c r="I6503">
        <v>-59.762120000000003</v>
      </c>
      <c r="J6503">
        <v>-214.67400000000001</v>
      </c>
      <c r="K6503">
        <v>1.111659</v>
      </c>
      <c r="L6503">
        <v>-62.915649999999999</v>
      </c>
      <c r="M6503">
        <v>0.99813490000000005</v>
      </c>
      <c r="N6503">
        <v>0</v>
      </c>
      <c r="O6503">
        <v>5.9293079999999998E-2</v>
      </c>
      <c r="P6503">
        <v>0.99727509999999997</v>
      </c>
      <c r="Q6503">
        <v>-3.9798229999999997E-2</v>
      </c>
      <c r="R6503">
        <v>6.2119050000000002E-2</v>
      </c>
      <c r="S6503">
        <v>2.9752809999999998</v>
      </c>
      <c r="T6503">
        <v>-0.15334249999999999</v>
      </c>
      <c r="U6503">
        <v>0.43618770000000001</v>
      </c>
      <c r="V6503">
        <v>-2.7841369999999999E-3</v>
      </c>
      <c r="W6503">
        <v>-2.5282880000000001E-2</v>
      </c>
      <c r="X6503">
        <v>0.99967649999999997</v>
      </c>
      <c r="Y6503">
        <v>-8.6091169999999995E-2</v>
      </c>
      <c r="Z6503">
        <v>-8.2808920000000002E-4</v>
      </c>
      <c r="AA6503">
        <v>0.99628689999999998</v>
      </c>
      <c r="AB6503">
        <v>22</v>
      </c>
      <c r="AC6503">
        <v>21.447299999999998</v>
      </c>
      <c r="AD6503">
        <v>-1.1116657479730001</v>
      </c>
      <c r="AE6503">
        <v>3.1535299999999999</v>
      </c>
      <c r="AF6503">
        <v>-1.8712489605025899</v>
      </c>
      <c r="AG6503">
        <v>-1.1116657479730001</v>
      </c>
      <c r="AH6503">
        <v>21.539915739501801</v>
      </c>
      <c r="AI6503">
        <v>92.943323072211399</v>
      </c>
      <c r="AJ6503">
        <v>94.965022476310097</v>
      </c>
      <c r="AK6503">
        <v>21.649603771714499</v>
      </c>
      <c r="AL6503">
        <v>91.448756634549497</v>
      </c>
      <c r="AM6503">
        <v>90.159570508313706</v>
      </c>
      <c r="AN6503">
        <v>1.00000004004608</v>
      </c>
    </row>
    <row r="6504" spans="1:40" x14ac:dyDescent="0.25">
      <c r="A6504" t="str">
        <f>"20190312161146592"</f>
        <v>20190312161146592</v>
      </c>
      <c r="B6504" t="str">
        <f>"1552378306583536"</f>
        <v>1552378306583536</v>
      </c>
      <c r="C6504" t="s">
        <v>40</v>
      </c>
      <c r="D6504">
        <v>5.7552830000000004</v>
      </c>
      <c r="E6504">
        <v>0.46772720000000001</v>
      </c>
      <c r="F6504" t="s">
        <v>78</v>
      </c>
      <c r="G6504">
        <v>-193.41480000000001</v>
      </c>
      <c r="H6504" s="1">
        <v>-6.7721090000000004E-6</v>
      </c>
      <c r="I6504">
        <v>-59.753610000000002</v>
      </c>
      <c r="J6504">
        <v>-214.56280000000001</v>
      </c>
      <c r="K6504">
        <v>1.1116549999999901</v>
      </c>
      <c r="L6504">
        <v>-62.907649999999997</v>
      </c>
      <c r="M6504">
        <v>0.99806090000000003</v>
      </c>
      <c r="N6504">
        <v>0</v>
      </c>
      <c r="O6504">
        <v>6.0525799999999998E-2</v>
      </c>
      <c r="P6504">
        <v>0.99718180000000001</v>
      </c>
      <c r="Q6504">
        <v>-4.0142070000000002E-2</v>
      </c>
      <c r="R6504">
        <v>6.3381049999999994E-2</v>
      </c>
      <c r="S6504">
        <v>2.9744570000000001</v>
      </c>
      <c r="T6504">
        <v>-0.1555377</v>
      </c>
      <c r="U6504">
        <v>0.44241330000000001</v>
      </c>
      <c r="V6504">
        <v>-2.8141429999999999E-3</v>
      </c>
      <c r="W6504">
        <v>-2.5627770000000001E-2</v>
      </c>
      <c r="X6504">
        <v>0.99966759999999999</v>
      </c>
      <c r="Y6504">
        <v>-8.6940489999999995E-2</v>
      </c>
      <c r="Z6504">
        <v>-8.8175669999999995E-4</v>
      </c>
      <c r="AA6504">
        <v>0.99621309999999996</v>
      </c>
      <c r="AB6504">
        <v>22</v>
      </c>
      <c r="AC6504">
        <v>21.148</v>
      </c>
      <c r="AD6504">
        <v>-1.1116617721090001</v>
      </c>
      <c r="AE6504">
        <v>3.1540400000000002</v>
      </c>
      <c r="AF6504">
        <v>-1.863085547289</v>
      </c>
      <c r="AG6504">
        <v>-1.1116617721090001</v>
      </c>
      <c r="AH6504">
        <v>21.2427207759516</v>
      </c>
      <c r="AI6504">
        <v>92.984202390137099</v>
      </c>
      <c r="AJ6504">
        <v>95.012281299137896</v>
      </c>
      <c r="AK6504">
        <v>21.353221434180099</v>
      </c>
      <c r="AL6504">
        <v>91.468523830235696</v>
      </c>
      <c r="AM6504">
        <v>90.161291704290207</v>
      </c>
      <c r="AN6504">
        <v>1.00000000624287</v>
      </c>
    </row>
    <row r="6505" spans="1:40" x14ac:dyDescent="0.25">
      <c r="A6505" t="str">
        <f>"20190312161146610"</f>
        <v>20190312161146610</v>
      </c>
      <c r="B6505" t="str">
        <f>"1552378306604031"</f>
        <v>1552378306604031</v>
      </c>
      <c r="C6505" t="s">
        <v>40</v>
      </c>
      <c r="D6505">
        <v>5.4484879999999896</v>
      </c>
      <c r="E6505">
        <v>0.46755560000000002</v>
      </c>
      <c r="F6505" t="s">
        <v>78</v>
      </c>
      <c r="G6505">
        <v>-193.471</v>
      </c>
      <c r="H6505" s="1">
        <v>-6.7860629999999997E-6</v>
      </c>
      <c r="I6505">
        <v>-59.731859999999998</v>
      </c>
      <c r="J6505">
        <v>-214.3836</v>
      </c>
      <c r="K6505">
        <v>1.1116459999999999</v>
      </c>
      <c r="L6505">
        <v>-62.894469999999998</v>
      </c>
      <c r="M6505">
        <v>0.99793829999999994</v>
      </c>
      <c r="N6505">
        <v>0</v>
      </c>
      <c r="O6505">
        <v>6.2516779999999994E-2</v>
      </c>
      <c r="P6505">
        <v>0.99700420000000001</v>
      </c>
      <c r="Q6505">
        <v>-4.1067699999999999E-2</v>
      </c>
      <c r="R6505">
        <v>6.5546939999999998E-2</v>
      </c>
      <c r="S6505">
        <v>2.9737239999999998</v>
      </c>
      <c r="T6505">
        <v>-0.1567327</v>
      </c>
      <c r="U6505">
        <v>0.44775389999999998</v>
      </c>
      <c r="V6505">
        <v>-2.990918E-3</v>
      </c>
      <c r="W6505">
        <v>-2.6556E-2</v>
      </c>
      <c r="X6505">
        <v>0.99964280000000005</v>
      </c>
      <c r="Y6505">
        <v>-8.6741109999999996E-2</v>
      </c>
      <c r="Z6505">
        <v>-9.9769890000000008E-4</v>
      </c>
      <c r="AA6505">
        <v>0.99623039999999996</v>
      </c>
      <c r="AB6505">
        <v>22</v>
      </c>
      <c r="AC6505">
        <v>20.912600000000001</v>
      </c>
      <c r="AD6505">
        <v>-1.1116527860630001</v>
      </c>
      <c r="AE6505">
        <v>3.1626099999999999</v>
      </c>
      <c r="AF6505">
        <v>-1.8438026220639501</v>
      </c>
      <c r="AG6505">
        <v>-1.1116527860630001</v>
      </c>
      <c r="AH6505">
        <v>21.0113776959208</v>
      </c>
      <c r="AI6505">
        <v>93.016962288767203</v>
      </c>
      <c r="AJ6505">
        <v>95.0150061464782</v>
      </c>
      <c r="AK6505">
        <v>21.121396088008201</v>
      </c>
      <c r="AL6505">
        <v>91.521725695773299</v>
      </c>
      <c r="AM6505">
        <v>90.171427700888998</v>
      </c>
      <c r="AN6505">
        <v>0.99999994715915996</v>
      </c>
    </row>
    <row r="6506" spans="1:40" x14ac:dyDescent="0.25">
      <c r="A6506" t="str">
        <f>"20190312161146633"</f>
        <v>20190312161146633</v>
      </c>
      <c r="B6506" t="str">
        <f>"1552378306623552"</f>
        <v>1552378306623552</v>
      </c>
      <c r="C6506" t="s">
        <v>40</v>
      </c>
      <c r="D6506">
        <v>5.2591859999999997</v>
      </c>
      <c r="E6506">
        <v>0.46742050000000002</v>
      </c>
      <c r="F6506" t="s">
        <v>78</v>
      </c>
      <c r="G6506">
        <v>-193.7696</v>
      </c>
      <c r="H6506" s="1">
        <v>-6.8185129999999997E-6</v>
      </c>
      <c r="I6506">
        <v>-59.735109999999999</v>
      </c>
      <c r="J6506">
        <v>-214.16749999999999</v>
      </c>
      <c r="K6506">
        <v>1.111642</v>
      </c>
      <c r="L6506">
        <v>-62.878079999999997</v>
      </c>
      <c r="M6506">
        <v>0.99778480000000003</v>
      </c>
      <c r="N6506">
        <v>0</v>
      </c>
      <c r="O6506">
        <v>6.4919660000000004E-2</v>
      </c>
      <c r="P6506">
        <v>0.99682660000000001</v>
      </c>
      <c r="Q6506">
        <v>-4.0992939999999999E-2</v>
      </c>
      <c r="R6506">
        <v>6.8238240000000006E-2</v>
      </c>
      <c r="S6506">
        <v>2.9724430000000002</v>
      </c>
      <c r="T6506">
        <v>-0.16029549999999901</v>
      </c>
      <c r="U6506">
        <v>0.45556639999999998</v>
      </c>
      <c r="V6506">
        <v>-3.2826449999999998E-3</v>
      </c>
      <c r="W6506">
        <v>-2.648466E-2</v>
      </c>
      <c r="X6506">
        <v>0.99964379999999997</v>
      </c>
      <c r="Y6506">
        <v>-8.6966299999999996E-2</v>
      </c>
      <c r="Z6506">
        <v>-1.1427220000000001E-3</v>
      </c>
      <c r="AA6506">
        <v>0.99621059999999995</v>
      </c>
      <c r="AB6506">
        <v>22</v>
      </c>
      <c r="AC6506">
        <v>20.3979</v>
      </c>
      <c r="AD6506">
        <v>-1.111648818513</v>
      </c>
      <c r="AE6506">
        <v>3.14297</v>
      </c>
      <c r="AF6506">
        <v>-1.8067324232553299</v>
      </c>
      <c r="AG6506">
        <v>-1.111648818513</v>
      </c>
      <c r="AH6506">
        <v>20.499450983666598</v>
      </c>
      <c r="AI6506">
        <v>93.092045378758897</v>
      </c>
      <c r="AJ6506">
        <v>95.036785899315603</v>
      </c>
      <c r="AK6506">
        <v>20.608918840557699</v>
      </c>
      <c r="AL6506">
        <v>91.517636741907495</v>
      </c>
      <c r="AM6506">
        <v>90.188148046422299</v>
      </c>
      <c r="AN6506">
        <v>0.99999996992597495</v>
      </c>
    </row>
    <row r="6507" spans="1:40" x14ac:dyDescent="0.25">
      <c r="A6507" t="str">
        <f>"20190312161146644"</f>
        <v>20190312161146644</v>
      </c>
      <c r="B6507" t="str">
        <f>"1552378306634288"</f>
        <v>1552378306634288</v>
      </c>
      <c r="C6507" t="s">
        <v>40</v>
      </c>
      <c r="D6507">
        <v>5.4064740000000002</v>
      </c>
      <c r="E6507">
        <v>0.4672849</v>
      </c>
      <c r="F6507" t="s">
        <v>78</v>
      </c>
      <c r="G6507">
        <v>-193.59010000000001</v>
      </c>
      <c r="H6507" s="1">
        <v>-6.8246989999999998E-6</v>
      </c>
      <c r="I6507">
        <v>-59.659950000000002</v>
      </c>
      <c r="J6507">
        <v>-214.06319999999999</v>
      </c>
      <c r="K6507">
        <v>1.111637</v>
      </c>
      <c r="L6507">
        <v>-62.87003</v>
      </c>
      <c r="M6507">
        <v>0.9977087</v>
      </c>
      <c r="N6507">
        <v>0</v>
      </c>
      <c r="O6507">
        <v>6.6079070000000004E-2</v>
      </c>
      <c r="P6507">
        <v>0.99672280000000002</v>
      </c>
      <c r="Q6507">
        <v>-4.1167629999999997E-2</v>
      </c>
      <c r="R6507">
        <v>6.9637569999999996E-2</v>
      </c>
      <c r="S6507">
        <v>2.9711460000000001</v>
      </c>
      <c r="T6507">
        <v>-0.16050919999999999</v>
      </c>
      <c r="U6507">
        <v>0.46466059999999998</v>
      </c>
      <c r="V6507">
        <v>-3.524775E-3</v>
      </c>
      <c r="W6507">
        <v>-2.6661540000000001E-2</v>
      </c>
      <c r="X6507">
        <v>0.99963829999999998</v>
      </c>
      <c r="Y6507">
        <v>-8.8850369999999998E-2</v>
      </c>
      <c r="Z6507">
        <v>-1.155796E-3</v>
      </c>
      <c r="AA6507">
        <v>0.99604429999999999</v>
      </c>
      <c r="AB6507">
        <v>22</v>
      </c>
      <c r="AC6507">
        <v>20.473099999999899</v>
      </c>
      <c r="AD6507">
        <v>-1.1116438246989999</v>
      </c>
      <c r="AE6507">
        <v>3.21008</v>
      </c>
      <c r="AF6507">
        <v>-1.84476811106702</v>
      </c>
      <c r="AG6507">
        <v>-1.1116438246989999</v>
      </c>
      <c r="AH6507">
        <v>20.581263098186401</v>
      </c>
      <c r="AI6507">
        <v>93.079358189791904</v>
      </c>
      <c r="AJ6507">
        <v>95.121926698012103</v>
      </c>
      <c r="AK6507">
        <v>20.693653908707599</v>
      </c>
      <c r="AL6507">
        <v>91.5277747594413</v>
      </c>
      <c r="AM6507">
        <v>90.202026967423706</v>
      </c>
      <c r="AN6507">
        <v>0.99999999629043101</v>
      </c>
    </row>
    <row r="6508" spans="1:40" x14ac:dyDescent="0.25">
      <c r="A6508" t="str">
        <f>"20190312161146654"</f>
        <v>20190312161146654</v>
      </c>
      <c r="B6508" t="str">
        <f>"1552378306644047"</f>
        <v>1552378306644047</v>
      </c>
      <c r="C6508" t="s">
        <v>40</v>
      </c>
      <c r="D6508">
        <v>5.440385</v>
      </c>
      <c r="E6508">
        <v>0.46717320000000001</v>
      </c>
      <c r="F6508" t="s">
        <v>78</v>
      </c>
      <c r="G6508">
        <v>-193.6268</v>
      </c>
      <c r="H6508" s="1">
        <v>-6.8370379999999997E-6</v>
      </c>
      <c r="I6508">
        <v>-59.636560000000003</v>
      </c>
      <c r="J6508">
        <v>-213.9623</v>
      </c>
      <c r="K6508">
        <v>1.111631</v>
      </c>
      <c r="L6508">
        <v>-62.862029999999997</v>
      </c>
      <c r="M6508">
        <v>0.99763380000000002</v>
      </c>
      <c r="N6508">
        <v>0</v>
      </c>
      <c r="O6508">
        <v>6.7199789999999995E-2</v>
      </c>
      <c r="P6508">
        <v>0.99663420000000003</v>
      </c>
      <c r="Q6508">
        <v>-4.1193840000000002E-2</v>
      </c>
      <c r="R6508">
        <v>7.0874950000000006E-2</v>
      </c>
      <c r="S6508">
        <v>2.9703520000000001</v>
      </c>
      <c r="T6508">
        <v>-0.16157260000000001</v>
      </c>
      <c r="U6508">
        <v>0.46997070000000002</v>
      </c>
      <c r="V6508">
        <v>-3.6429850000000001E-3</v>
      </c>
      <c r="W6508">
        <v>-2.668972E-2</v>
      </c>
      <c r="X6508">
        <v>0.99963709999999995</v>
      </c>
      <c r="Y6508">
        <v>-8.950988E-2</v>
      </c>
      <c r="Z6508">
        <v>-1.2060110000000001E-3</v>
      </c>
      <c r="AA6508">
        <v>0.99598520000000001</v>
      </c>
      <c r="AB6508">
        <v>22</v>
      </c>
      <c r="AC6508">
        <v>20.3355</v>
      </c>
      <c r="AD6508">
        <v>-1.111637837038</v>
      </c>
      <c r="AE6508">
        <v>3.2254700000000001</v>
      </c>
      <c r="AF6508">
        <v>-1.8461106377652501</v>
      </c>
      <c r="AG6508">
        <v>-1.111637837038</v>
      </c>
      <c r="AH6508">
        <v>20.446696053429601</v>
      </c>
      <c r="AI6508">
        <v>93.099387526374798</v>
      </c>
      <c r="AJ6508">
        <v>95.1591865042937</v>
      </c>
      <c r="AK6508">
        <v>20.559942671830001</v>
      </c>
      <c r="AL6508">
        <v>91.529389966298197</v>
      </c>
      <c r="AM6508">
        <v>90.208802515734007</v>
      </c>
      <c r="AN6508">
        <v>0.99999997209489799</v>
      </c>
    </row>
    <row r="6509" spans="1:40" x14ac:dyDescent="0.25">
      <c r="A6509" t="str">
        <f>"20190312161146665"</f>
        <v>20190312161146665</v>
      </c>
      <c r="B6509" t="str">
        <f>"1552378306653807"</f>
        <v>1552378306653807</v>
      </c>
      <c r="C6509" t="s">
        <v>40</v>
      </c>
      <c r="D6509">
        <v>5.3073220000000001</v>
      </c>
      <c r="E6509">
        <v>0.46707789999999999</v>
      </c>
      <c r="F6509" t="s">
        <v>78</v>
      </c>
      <c r="G6509">
        <v>-193.59549999999999</v>
      </c>
      <c r="H6509" s="1">
        <v>-6.8439520000000004E-6</v>
      </c>
      <c r="I6509">
        <v>-59.606830000000002</v>
      </c>
      <c r="J6509">
        <v>-213.85769999999999</v>
      </c>
      <c r="K6509">
        <v>1.1116269999999999</v>
      </c>
      <c r="L6509">
        <v>-62.853700000000003</v>
      </c>
      <c r="M6509">
        <v>0.99755499999999997</v>
      </c>
      <c r="N6509">
        <v>0</v>
      </c>
      <c r="O6509">
        <v>6.8360030000000002E-2</v>
      </c>
      <c r="P6509">
        <v>0.99654259999999995</v>
      </c>
      <c r="Q6509">
        <v>-4.1293049999999998E-2</v>
      </c>
      <c r="R6509">
        <v>7.2095690000000004E-2</v>
      </c>
      <c r="S6509">
        <v>2.969681</v>
      </c>
      <c r="T6509">
        <v>-0.16208739999999999</v>
      </c>
      <c r="U6509">
        <v>0.4746399</v>
      </c>
      <c r="V6509">
        <v>-3.7054190000000002E-3</v>
      </c>
      <c r="W6509">
        <v>-2.6790789999999998E-2</v>
      </c>
      <c r="X6509">
        <v>0.99963420000000003</v>
      </c>
      <c r="Y6509">
        <v>-8.9914480000000005E-2</v>
      </c>
      <c r="Z6509">
        <v>-1.2615689999999999E-3</v>
      </c>
      <c r="AA6509">
        <v>0.99594870000000002</v>
      </c>
      <c r="AB6509">
        <v>22</v>
      </c>
      <c r="AC6509">
        <v>20.2622</v>
      </c>
      <c r="AD6509">
        <v>-1.1116338439519999</v>
      </c>
      <c r="AE6509">
        <v>3.2468699999999999</v>
      </c>
      <c r="AF6509">
        <v>-1.8485776269780001</v>
      </c>
      <c r="AG6509">
        <v>-1.1116338439519999</v>
      </c>
      <c r="AH6509">
        <v>20.376973554904399</v>
      </c>
      <c r="AI6509">
        <v>93.109840748488594</v>
      </c>
      <c r="AJ6509">
        <v>95.183623697845405</v>
      </c>
      <c r="AK6509">
        <v>20.490827711521501</v>
      </c>
      <c r="AL6509">
        <v>91.535182871559002</v>
      </c>
      <c r="AM6509">
        <v>90.212381586850995</v>
      </c>
      <c r="AN6509">
        <v>1.00000000518421</v>
      </c>
    </row>
    <row r="6510" spans="1:40" x14ac:dyDescent="0.25">
      <c r="A6510" t="str">
        <f>"20190312161146676"</f>
        <v>20190312161146676</v>
      </c>
      <c r="B6510" t="str">
        <f>"1552378306663568"</f>
        <v>1552378306663568</v>
      </c>
      <c r="C6510" t="s">
        <v>40</v>
      </c>
      <c r="D6510">
        <v>5.5309629999999999</v>
      </c>
      <c r="E6510">
        <v>0.46701199999999998</v>
      </c>
      <c r="F6510" t="s">
        <v>78</v>
      </c>
      <c r="G6510">
        <v>-193.57749999999999</v>
      </c>
      <c r="H6510" s="1">
        <v>-6.8507219999999997E-6</v>
      </c>
      <c r="I6510">
        <v>-59.581769999999999</v>
      </c>
      <c r="J6510">
        <v>-213.75120000000001</v>
      </c>
      <c r="K6510">
        <v>1.1116200000000001</v>
      </c>
      <c r="L6510">
        <v>-62.845030000000001</v>
      </c>
      <c r="M6510">
        <v>0.99747350000000001</v>
      </c>
      <c r="N6510">
        <v>0</v>
      </c>
      <c r="O6510">
        <v>6.9540710000000006E-2</v>
      </c>
      <c r="P6510">
        <v>0.99647180000000002</v>
      </c>
      <c r="Q6510">
        <v>-4.1289069999999997E-2</v>
      </c>
      <c r="R6510">
        <v>7.3073600000000002E-2</v>
      </c>
      <c r="S6510">
        <v>2.9689939999999999</v>
      </c>
      <c r="T6510">
        <v>-0.1627412</v>
      </c>
      <c r="U6510">
        <v>0.47900389999999998</v>
      </c>
      <c r="V6510">
        <v>-3.5042670000000001E-3</v>
      </c>
      <c r="W6510">
        <v>-2.6787829999999999E-2</v>
      </c>
      <c r="X6510">
        <v>0.99963500000000005</v>
      </c>
      <c r="Y6510">
        <v>-9.0199719999999997E-2</v>
      </c>
      <c r="Z6510">
        <v>-1.3229520000000001E-3</v>
      </c>
      <c r="AA6510">
        <v>0.9959228</v>
      </c>
      <c r="AB6510">
        <v>21</v>
      </c>
      <c r="AC6510">
        <v>20.1737</v>
      </c>
      <c r="AD6510">
        <v>-1.111626850722</v>
      </c>
      <c r="AE6510">
        <v>3.2632599999999998</v>
      </c>
      <c r="AF6510">
        <v>-1.8468524689269601</v>
      </c>
      <c r="AG6510">
        <v>-1.111626850722</v>
      </c>
      <c r="AH6510">
        <v>20.291763622050699</v>
      </c>
      <c r="AI6510">
        <v>93.122771185788906</v>
      </c>
      <c r="AJ6510">
        <v>95.200440542344694</v>
      </c>
      <c r="AK6510">
        <v>20.405936616347901</v>
      </c>
      <c r="AL6510">
        <v>91.535013222394895</v>
      </c>
      <c r="AM6510">
        <v>90.200852197994294</v>
      </c>
      <c r="AN6510">
        <v>1.0000000004741501</v>
      </c>
    </row>
    <row r="6511" spans="1:40" x14ac:dyDescent="0.25">
      <c r="A6511" t="str">
        <f>"20190312161146687"</f>
        <v>20190312161146687</v>
      </c>
      <c r="B6511" t="str">
        <f>"1552378306684064"</f>
        <v>1552378306684064</v>
      </c>
      <c r="C6511" t="s">
        <v>40</v>
      </c>
      <c r="D6511">
        <v>5.3924989999999999</v>
      </c>
      <c r="E6511">
        <v>0.46690340000000002</v>
      </c>
      <c r="F6511" t="s">
        <v>78</v>
      </c>
      <c r="G6511">
        <v>-193.53200000000001</v>
      </c>
      <c r="H6511" s="1">
        <v>-6.8535539999999999E-6</v>
      </c>
      <c r="I6511">
        <v>-59.559130000000003</v>
      </c>
      <c r="J6511">
        <v>-213.64359999999999</v>
      </c>
      <c r="K6511">
        <v>1.1116140000000001</v>
      </c>
      <c r="L6511">
        <v>-62.836210000000001</v>
      </c>
      <c r="M6511">
        <v>0.99738990000000005</v>
      </c>
      <c r="N6511">
        <v>0</v>
      </c>
      <c r="O6511">
        <v>7.0731340000000004E-2</v>
      </c>
      <c r="P6511">
        <v>0.99639679999999997</v>
      </c>
      <c r="Q6511">
        <v>-4.1200720000000003E-2</v>
      </c>
      <c r="R6511">
        <v>7.4135909999999999E-2</v>
      </c>
      <c r="S6511">
        <v>2.9684910000000002</v>
      </c>
      <c r="T6511">
        <v>-0.16320409999999999</v>
      </c>
      <c r="U6511">
        <v>0.48242190000000001</v>
      </c>
      <c r="V6511">
        <v>-3.3770060000000001E-3</v>
      </c>
      <c r="W6511">
        <v>-2.6700789999999999E-2</v>
      </c>
      <c r="X6511">
        <v>0.99963780000000002</v>
      </c>
      <c r="Y6511">
        <v>-9.0156529999999999E-2</v>
      </c>
      <c r="Z6511">
        <v>-1.392639E-3</v>
      </c>
      <c r="AA6511">
        <v>0.9959266</v>
      </c>
      <c r="AB6511">
        <v>21</v>
      </c>
      <c r="AC6511">
        <v>20.1115999999999</v>
      </c>
      <c r="AD6511">
        <v>-1.111620853554</v>
      </c>
      <c r="AE6511">
        <v>3.27707999999999</v>
      </c>
      <c r="AF6511">
        <v>-1.8407222927131199</v>
      </c>
      <c r="AG6511">
        <v>-1.111620853554</v>
      </c>
      <c r="AH6511">
        <v>20.232820771589299</v>
      </c>
      <c r="AI6511">
        <v>93.131844260967696</v>
      </c>
      <c r="AJ6511">
        <v>95.198290584607406</v>
      </c>
      <c r="AK6511">
        <v>20.3467686834102</v>
      </c>
      <c r="AL6511">
        <v>91.530024362325307</v>
      </c>
      <c r="AM6511">
        <v>90.193557561687101</v>
      </c>
      <c r="AN6511">
        <v>1.0000000337724899</v>
      </c>
    </row>
    <row r="6512" spans="1:40" x14ac:dyDescent="0.25">
      <c r="A6512" t="str">
        <f>"20190312161146699"</f>
        <v>20190312161146699</v>
      </c>
      <c r="B6512" t="str">
        <f>"1552378306693823"</f>
        <v>1552378306693823</v>
      </c>
      <c r="C6512" t="s">
        <v>40</v>
      </c>
      <c r="D6512">
        <v>5.4752980000000004</v>
      </c>
      <c r="E6512">
        <v>0.46685189999999999</v>
      </c>
      <c r="F6512" t="s">
        <v>78</v>
      </c>
      <c r="G6512">
        <v>-193.55189999999999</v>
      </c>
      <c r="H6512" s="1">
        <v>-6.8616480000000001E-6</v>
      </c>
      <c r="I6512">
        <v>-59.542470000000002</v>
      </c>
      <c r="J6512">
        <v>-213.53450000000001</v>
      </c>
      <c r="K6512">
        <v>1.1116079999999999</v>
      </c>
      <c r="L6512">
        <v>-62.827060000000003</v>
      </c>
      <c r="M6512">
        <v>0.99730350000000001</v>
      </c>
      <c r="N6512">
        <v>0</v>
      </c>
      <c r="O6512">
        <v>7.1937299999999996E-2</v>
      </c>
      <c r="P6512">
        <v>0.99630160000000001</v>
      </c>
      <c r="Q6512">
        <v>-4.1507469999999998E-2</v>
      </c>
      <c r="R6512">
        <v>7.5235949999999996E-2</v>
      </c>
      <c r="S6512">
        <v>2.9678800000000001</v>
      </c>
      <c r="T6512">
        <v>-0.164205399999999</v>
      </c>
      <c r="U6512">
        <v>0.48654170000000002</v>
      </c>
      <c r="V6512">
        <v>-3.2716360000000001E-3</v>
      </c>
      <c r="W6512">
        <v>-2.7009289999999998E-2</v>
      </c>
      <c r="X6512">
        <v>0.99962989999999996</v>
      </c>
      <c r="Y6512">
        <v>-9.0332469999999998E-2</v>
      </c>
      <c r="Z6512">
        <v>-1.4623399999999999E-3</v>
      </c>
      <c r="AA6512">
        <v>0.99591059999999998</v>
      </c>
      <c r="AB6512">
        <v>21</v>
      </c>
      <c r="AC6512">
        <v>19.982600000000001</v>
      </c>
      <c r="AD6512">
        <v>-1.1116148616479999</v>
      </c>
      <c r="AE6512">
        <v>3.2845900000000001</v>
      </c>
      <c r="AF6512">
        <v>-1.8329096456796401</v>
      </c>
      <c r="AG6512">
        <v>-1.1116148616479999</v>
      </c>
      <c r="AH6512">
        <v>20.106541886499599</v>
      </c>
      <c r="AI6512">
        <v>93.151405360522901</v>
      </c>
      <c r="AJ6512">
        <v>95.2086791141014</v>
      </c>
      <c r="AK6512">
        <v>20.220491388772501</v>
      </c>
      <c r="AL6512">
        <v>91.547706429160996</v>
      </c>
      <c r="AM6512">
        <v>90.187519666640597</v>
      </c>
      <c r="AN6512">
        <v>1.00000007116121</v>
      </c>
    </row>
    <row r="6513" spans="1:40" x14ac:dyDescent="0.25">
      <c r="A6513" t="str">
        <f>"20190312161146711"</f>
        <v>20190312161146711</v>
      </c>
      <c r="B6513" t="str">
        <f>"1552378306703584"</f>
        <v>1552378306703584</v>
      </c>
      <c r="C6513" t="s">
        <v>40</v>
      </c>
      <c r="D6513">
        <v>5.3616080000000004</v>
      </c>
      <c r="E6513">
        <v>0.466779</v>
      </c>
      <c r="F6513" t="s">
        <v>78</v>
      </c>
      <c r="G6513">
        <v>-193.6019</v>
      </c>
      <c r="H6513" s="1">
        <v>-6.8701480000000001E-6</v>
      </c>
      <c r="I6513">
        <v>-59.534260000000003</v>
      </c>
      <c r="J6513">
        <v>-213.42500000000001</v>
      </c>
      <c r="K6513">
        <v>1.1115999999999999</v>
      </c>
      <c r="L6513">
        <v>-62.817779999999999</v>
      </c>
      <c r="M6513">
        <v>0.99721559999999998</v>
      </c>
      <c r="N6513">
        <v>0</v>
      </c>
      <c r="O6513">
        <v>7.3146719999999998E-2</v>
      </c>
      <c r="P6513">
        <v>0.99621320000000002</v>
      </c>
      <c r="Q6513">
        <v>-4.1654150000000001E-2</v>
      </c>
      <c r="R6513">
        <v>7.6317579999999996E-2</v>
      </c>
      <c r="S6513">
        <v>2.967209</v>
      </c>
      <c r="T6513">
        <v>-0.16547700000000001</v>
      </c>
      <c r="U6513">
        <v>0.49017329999999998</v>
      </c>
      <c r="V6513">
        <v>-3.1457849999999999E-3</v>
      </c>
      <c r="W6513">
        <v>-2.7157649999999998E-2</v>
      </c>
      <c r="X6513">
        <v>0.99962620000000002</v>
      </c>
      <c r="Y6513">
        <v>-9.0348789999999998E-2</v>
      </c>
      <c r="Z6513">
        <v>-1.5399539999999901E-3</v>
      </c>
      <c r="AA6513">
        <v>0.99590900000000004</v>
      </c>
      <c r="AB6513">
        <v>21</v>
      </c>
      <c r="AC6513">
        <v>19.8231</v>
      </c>
      <c r="AD6513">
        <v>-1.111606870148</v>
      </c>
      <c r="AE6513">
        <v>3.2835200000000002</v>
      </c>
      <c r="AF6513">
        <v>-1.81900754069133</v>
      </c>
      <c r="AG6513">
        <v>-1.111606870148</v>
      </c>
      <c r="AH6513">
        <v>19.949134532262399</v>
      </c>
      <c r="AI6513">
        <v>93.176191395637005</v>
      </c>
      <c r="AJ6513">
        <v>95.209952721624006</v>
      </c>
      <c r="AK6513">
        <v>20.062712350356701</v>
      </c>
      <c r="AL6513">
        <v>91.556210080993694</v>
      </c>
      <c r="AM6513">
        <v>90.180307007523595</v>
      </c>
      <c r="AN6513">
        <v>0.99999998682161395</v>
      </c>
    </row>
    <row r="6514" spans="1:40" x14ac:dyDescent="0.25">
      <c r="A6514" t="str">
        <f>"20190312161146722"</f>
        <v>20190312161146722</v>
      </c>
      <c r="B6514" t="str">
        <f>"1552378306713344"</f>
        <v>1552378306713344</v>
      </c>
      <c r="C6514" t="s">
        <v>40</v>
      </c>
      <c r="D6514">
        <v>5.4069019999999997</v>
      </c>
      <c r="E6514">
        <v>0.46672390000000002</v>
      </c>
      <c r="F6514" t="s">
        <v>78</v>
      </c>
      <c r="G6514">
        <v>-193.62649999999999</v>
      </c>
      <c r="H6514" s="1">
        <v>-6.877653E-6</v>
      </c>
      <c r="I6514">
        <v>-59.520769999999999</v>
      </c>
      <c r="J6514">
        <v>-213.31280000000001</v>
      </c>
      <c r="K6514">
        <v>1.1115919999999999</v>
      </c>
      <c r="L6514">
        <v>-62.808169999999997</v>
      </c>
      <c r="M6514">
        <v>0.99712400000000001</v>
      </c>
      <c r="N6514">
        <v>0</v>
      </c>
      <c r="O6514">
        <v>7.4384690000000003E-2</v>
      </c>
      <c r="P6514">
        <v>0.99612880000000004</v>
      </c>
      <c r="Q6514">
        <v>-4.1844579999999999E-2</v>
      </c>
      <c r="R6514">
        <v>7.7307399999999998E-2</v>
      </c>
      <c r="S6514">
        <v>2.9665680000000001</v>
      </c>
      <c r="T6514">
        <v>-0.16656099999999999</v>
      </c>
      <c r="U6514">
        <v>0.49401859999999997</v>
      </c>
      <c r="V6514">
        <v>-2.8979079999999998E-3</v>
      </c>
      <c r="W6514">
        <v>-2.7349470000000001E-2</v>
      </c>
      <c r="X6514">
        <v>0.99962169999999895</v>
      </c>
      <c r="Y6514">
        <v>-9.0404760000000001E-2</v>
      </c>
      <c r="Z6514">
        <v>-1.6172210000000001E-3</v>
      </c>
      <c r="AA6514">
        <v>0.99590380000000001</v>
      </c>
      <c r="AB6514">
        <v>21</v>
      </c>
      <c r="AC6514">
        <v>19.686299999999999</v>
      </c>
      <c r="AD6514">
        <v>-1.1115988776529999</v>
      </c>
      <c r="AE6514">
        <v>3.2873999999999901</v>
      </c>
      <c r="AF6514">
        <v>-1.80816845807822</v>
      </c>
      <c r="AG6514">
        <v>-1.1115988776529999</v>
      </c>
      <c r="AH6514">
        <v>19.814844946760001</v>
      </c>
      <c r="AI6514">
        <v>93.197629203107496</v>
      </c>
      <c r="AJ6514">
        <v>95.213983980461904</v>
      </c>
      <c r="AK6514">
        <v>19.928201261070399</v>
      </c>
      <c r="AL6514">
        <v>91.567204672168501</v>
      </c>
      <c r="AM6514">
        <v>90.166100268410901</v>
      </c>
      <c r="AN6514">
        <v>0.99999996724547302</v>
      </c>
    </row>
    <row r="6515" spans="1:40" x14ac:dyDescent="0.25">
      <c r="A6515" t="str">
        <f>"20190312161146732"</f>
        <v>20190312161146732</v>
      </c>
      <c r="B6515" t="str">
        <f>"1552378306724080"</f>
        <v>1552378306724080</v>
      </c>
      <c r="C6515" t="s">
        <v>40</v>
      </c>
      <c r="D6515">
        <v>5.4600400000000002</v>
      </c>
      <c r="E6515">
        <v>0.4666574</v>
      </c>
      <c r="F6515" t="s">
        <v>78</v>
      </c>
      <c r="G6515">
        <v>-193.672</v>
      </c>
      <c r="H6515" s="1">
        <v>-6.8850990000000001E-6</v>
      </c>
      <c r="I6515">
        <v>-59.514139999999998</v>
      </c>
      <c r="J6515">
        <v>-213.21360000000001</v>
      </c>
      <c r="K6515">
        <v>1.111585</v>
      </c>
      <c r="L6515">
        <v>-62.799500000000002</v>
      </c>
      <c r="M6515">
        <v>0.99704190000000004</v>
      </c>
      <c r="N6515">
        <v>0</v>
      </c>
      <c r="O6515">
        <v>7.5477900000000001E-2</v>
      </c>
      <c r="P6515">
        <v>0.99604459999999995</v>
      </c>
      <c r="Q6515">
        <v>-4.1796149999999997E-2</v>
      </c>
      <c r="R6515">
        <v>7.8411469999999997E-2</v>
      </c>
      <c r="S6515">
        <v>2.9659879999999998</v>
      </c>
      <c r="T6515">
        <v>-0.1678644</v>
      </c>
      <c r="U6515">
        <v>0.4974365</v>
      </c>
      <c r="V6515">
        <v>-2.9103039999999998E-3</v>
      </c>
      <c r="W6515">
        <v>-2.7303049999999999E-2</v>
      </c>
      <c r="X6515">
        <v>0.99962289999999998</v>
      </c>
      <c r="Y6515">
        <v>-9.0462100000000004E-2</v>
      </c>
      <c r="Z6515">
        <v>-1.689442E-3</v>
      </c>
      <c r="AA6515">
        <v>0.99589850000000002</v>
      </c>
      <c r="AB6515">
        <v>21</v>
      </c>
      <c r="AC6515">
        <v>19.541599999999999</v>
      </c>
      <c r="AD6515">
        <v>-1.1115918850990001</v>
      </c>
      <c r="AE6515">
        <v>3.2853599999999901</v>
      </c>
      <c r="AF6515">
        <v>-1.79522306934746</v>
      </c>
      <c r="AG6515">
        <v>-1.1115918850990001</v>
      </c>
      <c r="AH6515">
        <v>19.671940372996101</v>
      </c>
      <c r="AI6515">
        <v>93.220787664046597</v>
      </c>
      <c r="AJ6515">
        <v>95.214258718603006</v>
      </c>
      <c r="AK6515">
        <v>19.784936199706301</v>
      </c>
      <c r="AL6515">
        <v>91.564544059966394</v>
      </c>
      <c r="AM6515">
        <v>90.166810569434602</v>
      </c>
      <c r="AN6515">
        <v>0.99999993430653999</v>
      </c>
    </row>
    <row r="6516" spans="1:40" x14ac:dyDescent="0.25">
      <c r="A6516" t="str">
        <f>"20190312161146742"</f>
        <v>20190312161146742</v>
      </c>
      <c r="B6516" t="str">
        <f>"1552378306733842"</f>
        <v>1552378306733842</v>
      </c>
      <c r="C6516" t="s">
        <v>40</v>
      </c>
      <c r="D6516">
        <v>5.4394650000000002</v>
      </c>
      <c r="E6516">
        <v>0.46660400000000002</v>
      </c>
      <c r="F6516" t="s">
        <v>78</v>
      </c>
      <c r="G6516">
        <v>-193.6174</v>
      </c>
      <c r="H6516" s="1">
        <v>-6.8885140000000002E-6</v>
      </c>
      <c r="I6516">
        <v>-59.486899999999999</v>
      </c>
      <c r="J6516">
        <v>-213.1164</v>
      </c>
      <c r="K6516">
        <v>1.11158</v>
      </c>
      <c r="L6516">
        <v>-62.790990000000001</v>
      </c>
      <c r="M6516">
        <v>0.99696039999999997</v>
      </c>
      <c r="N6516">
        <v>0</v>
      </c>
      <c r="O6516">
        <v>7.6547820000000003E-2</v>
      </c>
      <c r="P6516">
        <v>0.99596830000000003</v>
      </c>
      <c r="Q6516">
        <v>-4.160092E-2</v>
      </c>
      <c r="R6516">
        <v>7.947833E-2</v>
      </c>
      <c r="S6516">
        <v>2.965408</v>
      </c>
      <c r="T6516">
        <v>-0.16821269999999999</v>
      </c>
      <c r="U6516">
        <v>0.50128170000000005</v>
      </c>
      <c r="V6516">
        <v>-2.909366E-3</v>
      </c>
      <c r="W6516">
        <v>-2.7109640000000001E-2</v>
      </c>
      <c r="X6516">
        <v>0.99962819999999997</v>
      </c>
      <c r="Y6516">
        <v>-9.0682079999999998E-2</v>
      </c>
      <c r="Z6516">
        <v>-1.7467439999999999E-3</v>
      </c>
      <c r="AA6516">
        <v>0.99587829999999999</v>
      </c>
      <c r="AB6516">
        <v>21</v>
      </c>
      <c r="AC6516">
        <v>19.498999999999899</v>
      </c>
      <c r="AD6516">
        <v>-1.1115868885139999</v>
      </c>
      <c r="AE6516">
        <v>3.30409</v>
      </c>
      <c r="AF6516">
        <v>-1.7959568137777799</v>
      </c>
      <c r="AG6516">
        <v>-1.1115868885139999</v>
      </c>
      <c r="AH6516">
        <v>19.632701327429299</v>
      </c>
      <c r="AI6516">
        <v>93.227132718861</v>
      </c>
      <c r="AJ6516">
        <v>95.226746203972795</v>
      </c>
      <c r="AK6516">
        <v>19.745988141891399</v>
      </c>
      <c r="AL6516">
        <v>91.553458327263499</v>
      </c>
      <c r="AM6516">
        <v>90.166755922039798</v>
      </c>
      <c r="AN6516">
        <v>0.99999996761334498</v>
      </c>
    </row>
    <row r="6517" spans="1:40" x14ac:dyDescent="0.25">
      <c r="A6517" t="str">
        <f>"20190312161146755"</f>
        <v>20190312161146755</v>
      </c>
      <c r="B6517" t="str">
        <f>"1552378306743600"</f>
        <v>1552378306743600</v>
      </c>
      <c r="C6517" t="s">
        <v>40</v>
      </c>
      <c r="D6517">
        <v>5.418838</v>
      </c>
      <c r="E6517">
        <v>0.46657789999999999</v>
      </c>
      <c r="F6517" t="s">
        <v>78</v>
      </c>
      <c r="G6517">
        <v>-193.55629999999999</v>
      </c>
      <c r="H6517" s="1">
        <v>-6.8909899999999897E-6</v>
      </c>
      <c r="I6517">
        <v>-59.460290000000001</v>
      </c>
      <c r="J6517">
        <v>-213.00980000000001</v>
      </c>
      <c r="K6517">
        <v>1.111578</v>
      </c>
      <c r="L6517">
        <v>-62.781399999999998</v>
      </c>
      <c r="M6517">
        <v>0.99686969999999997</v>
      </c>
      <c r="N6517">
        <v>0</v>
      </c>
      <c r="O6517">
        <v>7.7721670000000007E-2</v>
      </c>
      <c r="P6517">
        <v>0.99588049999999995</v>
      </c>
      <c r="Q6517">
        <v>-4.1506380000000002E-2</v>
      </c>
      <c r="R6517">
        <v>8.0620360000000002E-2</v>
      </c>
      <c r="S6517">
        <v>2.9648279999999998</v>
      </c>
      <c r="T6517">
        <v>-0.16848920000000001</v>
      </c>
      <c r="U6517">
        <v>0.50485230000000003</v>
      </c>
      <c r="V6517">
        <v>-2.8783900000000002E-3</v>
      </c>
      <c r="W6517">
        <v>-2.7017159999999998E-2</v>
      </c>
      <c r="X6517">
        <v>0.99963080000000004</v>
      </c>
      <c r="Y6517">
        <v>-9.070897E-2</v>
      </c>
      <c r="Z6517">
        <v>-1.814789E-3</v>
      </c>
      <c r="AA6517">
        <v>0.99587579999999998</v>
      </c>
      <c r="AB6517">
        <v>21</v>
      </c>
      <c r="AC6517">
        <v>19.453499999999998</v>
      </c>
      <c r="AD6517">
        <v>-1.1115848909899999</v>
      </c>
      <c r="AE6517">
        <v>3.3211099999999898</v>
      </c>
      <c r="AF6517">
        <v>-1.7932551988246399</v>
      </c>
      <c r="AG6517">
        <v>-1.1115848909899999</v>
      </c>
      <c r="AH6517">
        <v>19.590639053228301</v>
      </c>
      <c r="AI6517">
        <v>93.234023941226397</v>
      </c>
      <c r="AJ6517">
        <v>95.230070457943</v>
      </c>
      <c r="AK6517">
        <v>19.7039215307985</v>
      </c>
      <c r="AL6517">
        <v>91.548157661693693</v>
      </c>
      <c r="AM6517">
        <v>90.164980053634196</v>
      </c>
      <c r="AN6517">
        <v>0.99999997418604802</v>
      </c>
    </row>
    <row r="6518" spans="1:40" x14ac:dyDescent="0.25">
      <c r="A6518" t="str">
        <f>"20190312161146768"</f>
        <v>20190312161146768</v>
      </c>
      <c r="B6518" t="str">
        <f>"1552378306764096"</f>
        <v>1552378306764096</v>
      </c>
      <c r="C6518" t="s">
        <v>40</v>
      </c>
      <c r="D6518">
        <v>5.3492160000000002</v>
      </c>
      <c r="E6518">
        <v>0.46653040000000001</v>
      </c>
      <c r="F6518" t="s">
        <v>78</v>
      </c>
      <c r="G6518">
        <v>-193.52340000000001</v>
      </c>
      <c r="H6518" s="1">
        <v>-6.8948569999999997E-6</v>
      </c>
      <c r="I6518">
        <v>-59.438720000000004</v>
      </c>
      <c r="J6518">
        <v>-212.88130000000001</v>
      </c>
      <c r="K6518">
        <v>1.1115729999999999</v>
      </c>
      <c r="L6518">
        <v>-62.769779999999997</v>
      </c>
      <c r="M6518">
        <v>0.99675829999999999</v>
      </c>
      <c r="N6518">
        <v>0</v>
      </c>
      <c r="O6518">
        <v>7.9135189999999994E-2</v>
      </c>
      <c r="P6518">
        <v>0.99573120000000004</v>
      </c>
      <c r="Q6518">
        <v>-4.1835909999999997E-2</v>
      </c>
      <c r="R6518">
        <v>8.2275130000000002E-2</v>
      </c>
      <c r="S6518">
        <v>2.9642330000000001</v>
      </c>
      <c r="T6518">
        <v>-0.16909270000000001</v>
      </c>
      <c r="U6518">
        <v>0.50848389999999999</v>
      </c>
      <c r="V6518">
        <v>-3.1224120000000002E-3</v>
      </c>
      <c r="W6518">
        <v>-2.7350360000000001E-2</v>
      </c>
      <c r="X6518">
        <v>0.99962099999999998</v>
      </c>
      <c r="Y6518">
        <v>-9.0517689999999998E-2</v>
      </c>
      <c r="Z6518">
        <v>-1.906355E-3</v>
      </c>
      <c r="AA6518">
        <v>0.99589300000000003</v>
      </c>
      <c r="AB6518">
        <v>21</v>
      </c>
      <c r="AC6518">
        <v>19.357900000000001</v>
      </c>
      <c r="AD6518">
        <v>-1.1115798948569999</v>
      </c>
      <c r="AE6518">
        <v>3.3310599999999999</v>
      </c>
      <c r="AF6518">
        <v>-1.7828492654125501</v>
      </c>
      <c r="AG6518">
        <v>-1.1115798948569999</v>
      </c>
      <c r="AH6518">
        <v>19.498366665251599</v>
      </c>
      <c r="AI6518">
        <v>93.249310632971202</v>
      </c>
      <c r="AJ6518">
        <v>95.224359817431704</v>
      </c>
      <c r="AK6518">
        <v>19.611233107034</v>
      </c>
      <c r="AL6518">
        <v>91.5672556838704</v>
      </c>
      <c r="AM6518">
        <v>90.178968276644298</v>
      </c>
      <c r="AN6518">
        <v>0.99999996764491295</v>
      </c>
    </row>
    <row r="6519" spans="1:40" x14ac:dyDescent="0.25">
      <c r="A6519" t="str">
        <f>"20190312161146780"</f>
        <v>20190312161146780</v>
      </c>
      <c r="B6519" t="str">
        <f>"1552378306764096"</f>
        <v>1552378306764096</v>
      </c>
      <c r="C6519" t="s">
        <v>40</v>
      </c>
      <c r="D6519">
        <v>5.3492160000000002</v>
      </c>
      <c r="E6519">
        <v>0.46653040000000001</v>
      </c>
      <c r="F6519" t="s">
        <v>78</v>
      </c>
      <c r="G6519">
        <v>-193.6695</v>
      </c>
      <c r="H6519" s="1">
        <v>-6.9113919999999901E-6</v>
      </c>
      <c r="I6519">
        <v>-59.438409999999998</v>
      </c>
      <c r="J6519">
        <v>-212.76830000000001</v>
      </c>
      <c r="K6519">
        <v>1.1115679999999999</v>
      </c>
      <c r="L6519">
        <v>-62.759399999999999</v>
      </c>
      <c r="M6519">
        <v>0.99665899999999996</v>
      </c>
      <c r="N6519">
        <v>0</v>
      </c>
      <c r="O6519">
        <v>8.0379080000000006E-2</v>
      </c>
      <c r="P6519">
        <v>0.9956277</v>
      </c>
      <c r="Q6519">
        <v>-4.1870850000000001E-2</v>
      </c>
      <c r="R6519">
        <v>8.350196E-2</v>
      </c>
      <c r="S6519">
        <v>2.9632109999999998</v>
      </c>
      <c r="T6519">
        <v>-0.1714483</v>
      </c>
      <c r="U6519">
        <v>0.51382450000000002</v>
      </c>
      <c r="V6519">
        <v>-3.1066800000000001E-3</v>
      </c>
      <c r="W6519">
        <v>-2.7387669999999999E-2</v>
      </c>
      <c r="X6519">
        <v>0.99962010000000001</v>
      </c>
      <c r="Y6519">
        <v>-9.1075680000000006E-2</v>
      </c>
      <c r="Z6519">
        <v>-1.988114E-3</v>
      </c>
      <c r="AA6519">
        <v>0.995842</v>
      </c>
      <c r="AB6519">
        <v>21</v>
      </c>
      <c r="AC6519">
        <v>19.098800000000001</v>
      </c>
      <c r="AD6519">
        <v>-1.1115749113919999</v>
      </c>
      <c r="AE6519">
        <v>3.3209900000000001</v>
      </c>
      <c r="AF6519">
        <v>-1.7691201894711499</v>
      </c>
      <c r="AG6519">
        <v>-1.1115749113919999</v>
      </c>
      <c r="AH6519">
        <v>19.240693512780499</v>
      </c>
      <c r="AI6519">
        <v>93.292563212117201</v>
      </c>
      <c r="AJ6519">
        <v>95.253392348179304</v>
      </c>
      <c r="AK6519">
        <v>19.353802517365502</v>
      </c>
      <c r="AL6519">
        <v>91.569394076781194</v>
      </c>
      <c r="AM6519">
        <v>90.178066726762907</v>
      </c>
      <c r="AN6519">
        <v>1.00000004012632</v>
      </c>
    </row>
    <row r="6520" spans="1:40" x14ac:dyDescent="0.25">
      <c r="A6520" t="str">
        <f>"20190312161146793"</f>
        <v>20190312161146793</v>
      </c>
      <c r="B6520" t="str">
        <f>"1552378306783616"</f>
        <v>1552378306783616</v>
      </c>
      <c r="C6520" t="s">
        <v>40</v>
      </c>
      <c r="D6520">
        <v>5.2164840000000003</v>
      </c>
      <c r="E6520">
        <v>0.46645520000000001</v>
      </c>
      <c r="F6520" t="s">
        <v>78</v>
      </c>
      <c r="G6520">
        <v>-193.5667</v>
      </c>
      <c r="H6520" s="1">
        <v>-6.9115249999999999E-6</v>
      </c>
      <c r="I6520">
        <v>-59.405119999999997</v>
      </c>
      <c r="J6520">
        <v>-212.6533</v>
      </c>
      <c r="K6520">
        <v>1.1115660000000001</v>
      </c>
      <c r="L6520">
        <v>-62.748660000000001</v>
      </c>
      <c r="M6520">
        <v>0.99655609999999994</v>
      </c>
      <c r="N6520">
        <v>0</v>
      </c>
      <c r="O6520">
        <v>8.1644499999999995E-2</v>
      </c>
      <c r="P6520">
        <v>0.99552309999999999</v>
      </c>
      <c r="Q6520">
        <v>-4.2159960000000003E-2</v>
      </c>
      <c r="R6520">
        <v>8.4595429999999999E-2</v>
      </c>
      <c r="S6520">
        <v>2.9625240000000002</v>
      </c>
      <c r="T6520">
        <v>-0.17150000000000001</v>
      </c>
      <c r="U6520">
        <v>0.51751709999999995</v>
      </c>
      <c r="V6520">
        <v>-2.9360129999999999E-3</v>
      </c>
      <c r="W6520">
        <v>-2.7678850000000001E-2</v>
      </c>
      <c r="X6520">
        <v>0.99961259999999996</v>
      </c>
      <c r="Y6520">
        <v>-9.1056899999999996E-2</v>
      </c>
      <c r="Z6520">
        <v>-2.061654E-3</v>
      </c>
      <c r="AA6520">
        <v>0.99584349999999999</v>
      </c>
      <c r="AB6520">
        <v>21</v>
      </c>
      <c r="AC6520">
        <v>19.086600000000001</v>
      </c>
      <c r="AD6520">
        <v>-1.1115729115249999</v>
      </c>
      <c r="AE6520">
        <v>3.34354</v>
      </c>
      <c r="AF6520">
        <v>-1.76807737898942</v>
      </c>
      <c r="AG6520">
        <v>-1.1115729115249999</v>
      </c>
      <c r="AH6520">
        <v>19.2325873898948</v>
      </c>
      <c r="AI6520">
        <v>93.293946623244594</v>
      </c>
      <c r="AJ6520">
        <v>95.252513558759105</v>
      </c>
      <c r="AK6520">
        <v>19.3456483392434</v>
      </c>
      <c r="AL6520">
        <v>91.586083781590503</v>
      </c>
      <c r="AM6520">
        <v>90.168285863701797</v>
      </c>
      <c r="AN6520">
        <v>1.0000000444942001</v>
      </c>
    </row>
    <row r="6521" spans="1:40" x14ac:dyDescent="0.25">
      <c r="A6521" t="str">
        <f>"20190312161146817"</f>
        <v>20190312161146817</v>
      </c>
      <c r="B6521" t="str">
        <f>"1552378306813871"</f>
        <v>1552378306813871</v>
      </c>
      <c r="C6521" t="s">
        <v>40</v>
      </c>
      <c r="D6521">
        <v>5.5441159999999998</v>
      </c>
      <c r="E6521">
        <v>0.5216073</v>
      </c>
      <c r="F6521" t="s">
        <v>78</v>
      </c>
      <c r="G6521">
        <v>-193.59620000000001</v>
      </c>
      <c r="H6521" s="1">
        <v>-6.9187689999999999E-6</v>
      </c>
      <c r="I6521">
        <v>-59.393909999999998</v>
      </c>
      <c r="J6521">
        <v>-212.4127</v>
      </c>
      <c r="K6521">
        <v>1.111561</v>
      </c>
      <c r="L6521">
        <v>-62.725769999999997</v>
      </c>
      <c r="M6521">
        <v>0.99633550000000004</v>
      </c>
      <c r="N6521">
        <v>0</v>
      </c>
      <c r="O6521">
        <v>8.4293350000000003E-2</v>
      </c>
      <c r="P6521">
        <v>0.99535240000000003</v>
      </c>
      <c r="Q6521">
        <v>-4.2080029999999997E-2</v>
      </c>
      <c r="R6521">
        <v>8.6620610000000001E-2</v>
      </c>
      <c r="S6521">
        <v>2.9618530000000001</v>
      </c>
      <c r="T6521">
        <v>-0.1727602</v>
      </c>
      <c r="U6521">
        <v>0.52139279999999999</v>
      </c>
      <c r="V6521">
        <v>-2.3135090000000001E-3</v>
      </c>
      <c r="W6521">
        <v>-2.7602160000000001E-2</v>
      </c>
      <c r="X6521">
        <v>0.99961630000000001</v>
      </c>
      <c r="Y6521">
        <v>-8.9718359999999997E-2</v>
      </c>
      <c r="Z6521">
        <v>-2.2679179999999998E-3</v>
      </c>
      <c r="AA6521">
        <v>0.99596459999999998</v>
      </c>
      <c r="AB6521">
        <v>21</v>
      </c>
      <c r="AC6521">
        <v>18.816499999999898</v>
      </c>
      <c r="AD6521">
        <v>-1.111567918769</v>
      </c>
      <c r="AE6521">
        <v>3.3318599999999901</v>
      </c>
      <c r="AF6521">
        <v>-1.7278802492444301</v>
      </c>
      <c r="AG6521">
        <v>-1.111567918769</v>
      </c>
      <c r="AH6521">
        <v>18.966225578760099</v>
      </c>
      <c r="AI6521">
        <v>93.340338387403193</v>
      </c>
      <c r="AJ6521">
        <v>95.205448420719804</v>
      </c>
      <c r="AK6521">
        <v>19.077181817505899</v>
      </c>
      <c r="AL6521">
        <v>91.581688176159105</v>
      </c>
      <c r="AM6521">
        <v>90.132604945411003</v>
      </c>
      <c r="AN6521">
        <v>0.99999998939312396</v>
      </c>
    </row>
    <row r="6522" spans="1:40" x14ac:dyDescent="0.25">
      <c r="A6522" t="str">
        <f>"20190312161146830"</f>
        <v>20190312161146830</v>
      </c>
      <c r="B6522" t="str">
        <f>"1552378306823632"</f>
        <v>1552378306823632</v>
      </c>
      <c r="C6522" t="s">
        <v>40</v>
      </c>
      <c r="D6522">
        <v>5.2335729999999998</v>
      </c>
      <c r="E6522">
        <v>0.53221479999999999</v>
      </c>
      <c r="F6522" t="s">
        <v>42</v>
      </c>
      <c r="G6522">
        <v>-211.66849999999999</v>
      </c>
      <c r="H6522">
        <v>0.96551869999999995</v>
      </c>
      <c r="I6522">
        <v>-62.701259999999998</v>
      </c>
      <c r="J6522">
        <v>-212.30529999999999</v>
      </c>
      <c r="K6522">
        <v>1.1115600000000001</v>
      </c>
      <c r="L6522">
        <v>-62.715330000000002</v>
      </c>
      <c r="M6522">
        <v>0.99623499999999998</v>
      </c>
      <c r="N6522">
        <v>0</v>
      </c>
      <c r="O6522">
        <v>8.5476049999999998E-2</v>
      </c>
      <c r="P6522">
        <v>0.99528830000000001</v>
      </c>
      <c r="Q6522">
        <v>-4.1618629999999997E-2</v>
      </c>
      <c r="R6522">
        <v>8.7576509999999996E-2</v>
      </c>
      <c r="S6522">
        <v>2.9807589999999999</v>
      </c>
      <c r="T6522">
        <v>-0.58480940000000003</v>
      </c>
      <c r="U6522">
        <v>9.783936E-2</v>
      </c>
      <c r="V6522">
        <v>-2.086648E-3</v>
      </c>
      <c r="W6522">
        <v>-2.7142159999999999E-2</v>
      </c>
      <c r="X6522">
        <v>0.9996294</v>
      </c>
      <c r="Y6522">
        <v>5.0174429999999999E-2</v>
      </c>
      <c r="Z6522">
        <v>-2.146211E-2</v>
      </c>
      <c r="AA6522">
        <v>0.9985098</v>
      </c>
      <c r="AB6522">
        <v>21</v>
      </c>
      <c r="AC6522">
        <v>0.63679999999999304</v>
      </c>
      <c r="AD6522">
        <v>-0.14604130000000001</v>
      </c>
      <c r="AE6522">
        <v>1.40700000000038E-2</v>
      </c>
      <c r="AF6522">
        <v>3.8399708681684797E-2</v>
      </c>
      <c r="AG6522">
        <v>-0.14604130000000001</v>
      </c>
      <c r="AH6522">
        <v>0.60392380686022495</v>
      </c>
      <c r="AI6522">
        <v>103.5679480212</v>
      </c>
      <c r="AJ6522">
        <v>86.361820125790004</v>
      </c>
      <c r="AK6522">
        <v>0.62251631579025701</v>
      </c>
      <c r="AL6522">
        <v>91.555322230680403</v>
      </c>
      <c r="AM6522">
        <v>90.119600273942893</v>
      </c>
      <c r="AN6522">
        <v>0.99999999414685004</v>
      </c>
    </row>
    <row r="6523" spans="1:40" x14ac:dyDescent="0.25">
      <c r="A6523" t="str">
        <f>"20190312161146840"</f>
        <v>20190312161146840</v>
      </c>
      <c r="B6523" t="str">
        <f>"1552378306833392"</f>
        <v>1552378306833392</v>
      </c>
      <c r="C6523" t="s">
        <v>40</v>
      </c>
      <c r="D6523">
        <v>5.2943220000000002</v>
      </c>
      <c r="E6523">
        <v>0.53671239999999998</v>
      </c>
      <c r="F6523" t="s">
        <v>42</v>
      </c>
      <c r="G6523">
        <v>-211.4863</v>
      </c>
      <c r="H6523">
        <v>0.95103059999999995</v>
      </c>
      <c r="I6523">
        <v>-62.7108699999999</v>
      </c>
      <c r="J6523">
        <v>-212.203</v>
      </c>
      <c r="K6523">
        <v>1.111561</v>
      </c>
      <c r="L6523">
        <v>-62.705289999999998</v>
      </c>
      <c r="M6523">
        <v>0.99613770000000001</v>
      </c>
      <c r="N6523">
        <v>0</v>
      </c>
      <c r="O6523">
        <v>8.6602310000000002E-2</v>
      </c>
      <c r="P6523">
        <v>0.99524159999999995</v>
      </c>
      <c r="Q6523">
        <v>-4.1163169999999999E-2</v>
      </c>
      <c r="R6523">
        <v>8.8316409999999998E-2</v>
      </c>
      <c r="S6523">
        <v>2.988251</v>
      </c>
      <c r="T6523">
        <v>-0.58586669999999996</v>
      </c>
      <c r="U6523">
        <v>1.663208E-2</v>
      </c>
      <c r="V6523">
        <v>-1.69962E-3</v>
      </c>
      <c r="W6523">
        <v>-2.6687490000000001E-2</v>
      </c>
      <c r="X6523">
        <v>0.99964240000000004</v>
      </c>
      <c r="Y6523">
        <v>7.7936190000000002E-2</v>
      </c>
      <c r="Z6523">
        <v>-2.4371380000000002E-2</v>
      </c>
      <c r="AA6523">
        <v>0.9966604</v>
      </c>
      <c r="AB6523">
        <v>21</v>
      </c>
      <c r="AC6523">
        <v>0.716700000000003</v>
      </c>
      <c r="AD6523">
        <v>-0.16053039999999899</v>
      </c>
      <c r="AE6523">
        <v>-5.5799999999876998E-3</v>
      </c>
      <c r="AF6523">
        <v>6.4402567709005695E-2</v>
      </c>
      <c r="AG6523">
        <v>-0.16053039999999899</v>
      </c>
      <c r="AH6523">
        <v>0.67943845274732995</v>
      </c>
      <c r="AI6523">
        <v>103.236220129762</v>
      </c>
      <c r="AJ6523">
        <v>84.585229509932603</v>
      </c>
      <c r="AK6523">
        <v>0.70110934320073004</v>
      </c>
      <c r="AL6523">
        <v>91.529262078889005</v>
      </c>
      <c r="AM6523">
        <v>90.097415794828805</v>
      </c>
      <c r="AN6523">
        <v>1.0000000193542</v>
      </c>
    </row>
    <row r="6524" spans="1:40" x14ac:dyDescent="0.25">
      <c r="A6524" t="str">
        <f>"20190312161146855"</f>
        <v>20190312161146855</v>
      </c>
      <c r="B6524" t="str">
        <f>"1552378306844127"</f>
        <v>1552378306844127</v>
      </c>
      <c r="C6524" t="s">
        <v>40</v>
      </c>
      <c r="D6524">
        <v>5.0867599999999999</v>
      </c>
      <c r="E6524">
        <v>0.54032009999999997</v>
      </c>
      <c r="F6524" t="s">
        <v>42</v>
      </c>
      <c r="G6524">
        <v>-211.4769</v>
      </c>
      <c r="H6524">
        <v>0.97022629999999999</v>
      </c>
      <c r="I6524">
        <v>-62.709479999999999</v>
      </c>
      <c r="J6524">
        <v>-212.06530000000001</v>
      </c>
      <c r="K6524">
        <v>1.1115600000000001</v>
      </c>
      <c r="L6524">
        <v>-62.69153</v>
      </c>
      <c r="M6524">
        <v>0.99600460000000002</v>
      </c>
      <c r="N6524">
        <v>0</v>
      </c>
      <c r="O6524">
        <v>8.8120329999999997E-2</v>
      </c>
      <c r="P6524">
        <v>0.99522109999999997</v>
      </c>
      <c r="Q6524">
        <v>-4.0213169999999999E-2</v>
      </c>
      <c r="R6524">
        <v>8.8983859999999998E-2</v>
      </c>
      <c r="S6524">
        <v>2.9917449999999999</v>
      </c>
      <c r="T6524">
        <v>-0.58242869999999902</v>
      </c>
      <c r="U6524">
        <v>-1.6876220000000001E-2</v>
      </c>
      <c r="V6524">
        <v>-8.4736070000000004E-4</v>
      </c>
      <c r="W6524">
        <v>-2.573742E-2</v>
      </c>
      <c r="X6524">
        <v>0.99966840000000001</v>
      </c>
      <c r="Y6524">
        <v>9.0398370000000006E-2</v>
      </c>
      <c r="Z6524">
        <v>-2.5699E-2</v>
      </c>
      <c r="AA6524">
        <v>0.99557410000000002</v>
      </c>
      <c r="AB6524">
        <v>21</v>
      </c>
      <c r="AC6524">
        <v>0.58840000000000703</v>
      </c>
      <c r="AD6524">
        <v>-0.14133370000000001</v>
      </c>
      <c r="AE6524">
        <v>-1.7949999999999001E-2</v>
      </c>
      <c r="AF6524">
        <v>6.5934945669376493E-2</v>
      </c>
      <c r="AG6524">
        <v>-0.14133370000000001</v>
      </c>
      <c r="AH6524">
        <v>0.55267131399928904</v>
      </c>
      <c r="AI6524">
        <v>104.247845191935</v>
      </c>
      <c r="AJ6524">
        <v>83.196638979909693</v>
      </c>
      <c r="AK6524">
        <v>0.57425448464406004</v>
      </c>
      <c r="AL6524">
        <v>91.474808363063403</v>
      </c>
      <c r="AM6524">
        <v>90.048566284787498</v>
      </c>
      <c r="AN6524">
        <v>1.0000000213834801</v>
      </c>
    </row>
    <row r="6525" spans="1:40" x14ac:dyDescent="0.25">
      <c r="A6525" t="str">
        <f>"20190312161146866"</f>
        <v>20190312161146866</v>
      </c>
      <c r="B6525" t="str">
        <f>"1552378306853888"</f>
        <v>1552378306853888</v>
      </c>
      <c r="C6525" t="s">
        <v>40</v>
      </c>
      <c r="D6525">
        <v>5.0462319999999998</v>
      </c>
      <c r="E6525">
        <v>0.54276169999999901</v>
      </c>
      <c r="F6525" t="s">
        <v>42</v>
      </c>
      <c r="G6525">
        <v>-211.2927</v>
      </c>
      <c r="H6525">
        <v>0.9625802</v>
      </c>
      <c r="I6525">
        <v>-62.702820000000003</v>
      </c>
      <c r="J6525">
        <v>-211.96250000000001</v>
      </c>
      <c r="K6525">
        <v>1.1115600000000001</v>
      </c>
      <c r="L6525">
        <v>-62.681179999999998</v>
      </c>
      <c r="M6525">
        <v>0.99590369999999995</v>
      </c>
      <c r="N6525">
        <v>0</v>
      </c>
      <c r="O6525">
        <v>8.9253199999999894E-2</v>
      </c>
      <c r="P6525">
        <v>0.99518249999999997</v>
      </c>
      <c r="Q6525">
        <v>-3.9802709999999998E-2</v>
      </c>
      <c r="R6525">
        <v>8.9598910000000004E-2</v>
      </c>
      <c r="S6525">
        <v>2.99498</v>
      </c>
      <c r="T6525">
        <v>-0.57760299999999998</v>
      </c>
      <c r="U6525">
        <v>-4.3548580000000003E-2</v>
      </c>
      <c r="V6525">
        <v>-3.2826060000000002E-4</v>
      </c>
      <c r="W6525">
        <v>-2.5327479999999999E-2</v>
      </c>
      <c r="X6525">
        <v>0.99967910000000004</v>
      </c>
      <c r="Y6525">
        <v>0.1002449</v>
      </c>
      <c r="Z6525">
        <v>-2.6620129999999999E-2</v>
      </c>
      <c r="AA6525">
        <v>0.99460660000000001</v>
      </c>
      <c r="AB6525">
        <v>21</v>
      </c>
      <c r="AC6525">
        <v>0.66980000000000905</v>
      </c>
      <c r="AD6525">
        <v>-0.1489798</v>
      </c>
      <c r="AE6525">
        <v>-2.1639999999990701E-2</v>
      </c>
      <c r="AF6525">
        <v>7.7511007633302306E-2</v>
      </c>
      <c r="AG6525">
        <v>-0.1489798</v>
      </c>
      <c r="AH6525">
        <v>0.63386821224257195</v>
      </c>
      <c r="AI6525">
        <v>103.131939749586</v>
      </c>
      <c r="AJ6525">
        <v>83.028338853089906</v>
      </c>
      <c r="AK6525">
        <v>0.65573763625703496</v>
      </c>
      <c r="AL6525">
        <v>91.451312981319703</v>
      </c>
      <c r="AM6525">
        <v>90.0188139836918</v>
      </c>
      <c r="AN6525">
        <v>0.99999994598748898</v>
      </c>
    </row>
    <row r="6526" spans="1:40" x14ac:dyDescent="0.25">
      <c r="A6526" t="str">
        <f>"20190312161146878"</f>
        <v>20190312161146878</v>
      </c>
      <c r="B6526" t="str">
        <f>"1552378306873407"</f>
        <v>1552378306873407</v>
      </c>
      <c r="C6526" t="s">
        <v>40</v>
      </c>
      <c r="D6526">
        <v>5.2393429999999999</v>
      </c>
      <c r="E6526">
        <v>0.54878159999999998</v>
      </c>
      <c r="F6526" t="s">
        <v>42</v>
      </c>
      <c r="G6526">
        <v>-211.113</v>
      </c>
      <c r="H6526">
        <v>0.94545520000000005</v>
      </c>
      <c r="I6526">
        <v>-62.698610000000002</v>
      </c>
      <c r="J6526">
        <v>-211.8546</v>
      </c>
      <c r="K6526">
        <v>1.111561</v>
      </c>
      <c r="L6526">
        <v>-62.670140000000004</v>
      </c>
      <c r="M6526">
        <v>0.99579629999999997</v>
      </c>
      <c r="N6526">
        <v>0</v>
      </c>
      <c r="O6526">
        <v>9.0443419999999997E-2</v>
      </c>
      <c r="P6526">
        <v>0.99514720000000001</v>
      </c>
      <c r="Q6526">
        <v>-3.9361409999999999E-2</v>
      </c>
      <c r="R6526">
        <v>9.0184200000000006E-2</v>
      </c>
      <c r="S6526">
        <v>2.9965670000000002</v>
      </c>
      <c r="T6526">
        <v>-0.58606829999999999</v>
      </c>
      <c r="U6526">
        <v>-6.0821529999999999E-2</v>
      </c>
      <c r="V6526">
        <v>2.783905E-4</v>
      </c>
      <c r="W6526">
        <v>-2.488657E-2</v>
      </c>
      <c r="X6526">
        <v>0.99969019999999997</v>
      </c>
      <c r="Y6526">
        <v>0.10690810000000001</v>
      </c>
      <c r="Z6526">
        <v>-2.786421E-2</v>
      </c>
      <c r="AA6526">
        <v>0.99387840000000005</v>
      </c>
      <c r="AB6526">
        <v>21</v>
      </c>
      <c r="AC6526">
        <v>0.74160000000000503</v>
      </c>
      <c r="AD6526">
        <v>-0.1661058</v>
      </c>
      <c r="AE6526">
        <v>-2.8469999999991499E-2</v>
      </c>
      <c r="AF6526">
        <v>9.0880547405262496E-2</v>
      </c>
      <c r="AG6526">
        <v>-0.1661058</v>
      </c>
      <c r="AH6526">
        <v>0.70087477669369203</v>
      </c>
      <c r="AI6526">
        <v>103.226191565493</v>
      </c>
      <c r="AJ6526">
        <v>82.611833574105503</v>
      </c>
      <c r="AK6526">
        <v>0.725999905851064</v>
      </c>
      <c r="AL6526">
        <v>91.426042715327796</v>
      </c>
      <c r="AM6526">
        <v>89.984044456678404</v>
      </c>
      <c r="AN6526">
        <v>0.99999995742183601</v>
      </c>
    </row>
    <row r="6527" spans="1:40" x14ac:dyDescent="0.25">
      <c r="A6527" t="str">
        <f>"20190312161146890"</f>
        <v>20190312161146890</v>
      </c>
      <c r="B6527" t="str">
        <f>"1552378306884143"</f>
        <v>1552378306884143</v>
      </c>
      <c r="C6527" t="s">
        <v>40</v>
      </c>
      <c r="D6527">
        <v>5.0379690000000004</v>
      </c>
      <c r="E6527">
        <v>0.5506837</v>
      </c>
      <c r="F6527" t="s">
        <v>42</v>
      </c>
      <c r="G6527">
        <v>-211.10740000000001</v>
      </c>
      <c r="H6527">
        <v>0.95727300000000004</v>
      </c>
      <c r="I6527">
        <v>-62.696710000000003</v>
      </c>
      <c r="J6527">
        <v>-211.74879999999999</v>
      </c>
      <c r="K6527">
        <v>1.1115660000000001</v>
      </c>
      <c r="L6527">
        <v>-62.659210000000002</v>
      </c>
      <c r="M6527">
        <v>0.99568979999999996</v>
      </c>
      <c r="N6527">
        <v>0</v>
      </c>
      <c r="O6527">
        <v>9.1609739999999995E-2</v>
      </c>
      <c r="P6527">
        <v>0.9950987</v>
      </c>
      <c r="Q6527">
        <v>-3.8891679999999998E-2</v>
      </c>
      <c r="R6527">
        <v>9.0919719999999996E-2</v>
      </c>
      <c r="S6527">
        <v>2.9997250000000002</v>
      </c>
      <c r="T6527">
        <v>-0.61961219999999995</v>
      </c>
      <c r="U6527">
        <v>-0.1059875</v>
      </c>
      <c r="V6527">
        <v>7.1025789999999895E-4</v>
      </c>
      <c r="W6527">
        <v>-2.441774E-2</v>
      </c>
      <c r="X6527">
        <v>0.99970159999999997</v>
      </c>
      <c r="Y6527">
        <v>0.12221600000000001</v>
      </c>
      <c r="Z6527">
        <v>-3.119543E-2</v>
      </c>
      <c r="AA6527">
        <v>0.99201320000000004</v>
      </c>
      <c r="AB6527">
        <v>21</v>
      </c>
      <c r="AC6527">
        <v>0.64139999999997599</v>
      </c>
      <c r="AD6527">
        <v>-0.15429300000000001</v>
      </c>
      <c r="AE6527">
        <v>-3.75000000000014E-2</v>
      </c>
      <c r="AF6527">
        <v>9.08666126414438E-2</v>
      </c>
      <c r="AG6527">
        <v>-0.15429300000000001</v>
      </c>
      <c r="AH6527">
        <v>0.60062817969966498</v>
      </c>
      <c r="AI6527">
        <v>104.251517228474</v>
      </c>
      <c r="AJ6527">
        <v>81.397189086114693</v>
      </c>
      <c r="AK6527">
        <v>0.62675137127194402</v>
      </c>
      <c r="AL6527">
        <v>91.399172494250607</v>
      </c>
      <c r="AM6527">
        <v>89.959293079866299</v>
      </c>
      <c r="AN6527">
        <v>1.0000000097677699</v>
      </c>
    </row>
    <row r="6528" spans="1:40" x14ac:dyDescent="0.25">
      <c r="A6528" t="str">
        <f>"20190312161146900"</f>
        <v>20190312161146900</v>
      </c>
      <c r="B6528" t="str">
        <f>"1552378306893904"</f>
        <v>1552378306893904</v>
      </c>
      <c r="C6528" t="s">
        <v>40</v>
      </c>
      <c r="D6528">
        <v>5.0329169999999896</v>
      </c>
      <c r="E6528">
        <v>0.55217959999999899</v>
      </c>
      <c r="F6528" t="s">
        <v>42</v>
      </c>
      <c r="G6528">
        <v>-210.92850000000001</v>
      </c>
      <c r="H6528">
        <v>0.93901089999999998</v>
      </c>
      <c r="I6528">
        <v>-62.691600000000001</v>
      </c>
      <c r="J6528">
        <v>-211.6455</v>
      </c>
      <c r="K6528">
        <v>1.1115679999999999</v>
      </c>
      <c r="L6528">
        <v>-62.648409999999998</v>
      </c>
      <c r="M6528">
        <v>0.99558440000000004</v>
      </c>
      <c r="N6528">
        <v>0</v>
      </c>
      <c r="O6528">
        <v>9.2749120000000004E-2</v>
      </c>
      <c r="P6528">
        <v>0.99505690000000002</v>
      </c>
      <c r="Q6528">
        <v>-3.8257960000000001E-2</v>
      </c>
      <c r="R6528">
        <v>9.1643080000000002E-2</v>
      </c>
      <c r="S6528">
        <v>3.0008849999999998</v>
      </c>
      <c r="T6528">
        <v>-0.63130220000000004</v>
      </c>
      <c r="U6528">
        <v>-0.1181335</v>
      </c>
      <c r="V6528">
        <v>1.127566E-3</v>
      </c>
      <c r="W6528">
        <v>-2.3784860000000001E-2</v>
      </c>
      <c r="X6528">
        <v>0.99971650000000001</v>
      </c>
      <c r="Y6528">
        <v>0.1270493</v>
      </c>
      <c r="Z6528">
        <v>-3.2497199999999997E-2</v>
      </c>
      <c r="AA6528">
        <v>0.99136389999999996</v>
      </c>
      <c r="AB6528">
        <v>21</v>
      </c>
      <c r="AC6528">
        <v>0.71699999999998398</v>
      </c>
      <c r="AD6528">
        <v>-0.17255709999999999</v>
      </c>
      <c r="AE6528">
        <v>-4.3190000000002698E-2</v>
      </c>
      <c r="AF6528">
        <v>0.10353672100542401</v>
      </c>
      <c r="AG6528">
        <v>-0.17255709999999999</v>
      </c>
      <c r="AH6528">
        <v>0.67116901893041603</v>
      </c>
      <c r="AI6528">
        <v>104.256786910485</v>
      </c>
      <c r="AJ6528">
        <v>81.230493333374298</v>
      </c>
      <c r="AK6528">
        <v>0.70068798857193304</v>
      </c>
      <c r="AL6528">
        <v>91.362900569544806</v>
      </c>
      <c r="AM6528">
        <v>89.935376933833396</v>
      </c>
      <c r="AN6528">
        <v>1.0000000356712699</v>
      </c>
    </row>
    <row r="6529" spans="1:40" x14ac:dyDescent="0.25">
      <c r="A6529" t="str">
        <f>"20190312161146912"</f>
        <v>20190312161146912</v>
      </c>
      <c r="B6529" t="str">
        <f>"1552378306903664"</f>
        <v>1552378306903664</v>
      </c>
      <c r="C6529" t="s">
        <v>40</v>
      </c>
      <c r="D6529">
        <v>5.0095340000000004</v>
      </c>
      <c r="E6529">
        <v>0.55359179999999997</v>
      </c>
      <c r="F6529" t="s">
        <v>42</v>
      </c>
      <c r="G6529">
        <v>-210.92060000000001</v>
      </c>
      <c r="H6529">
        <v>0.95820090000000002</v>
      </c>
      <c r="I6529">
        <v>-62.679229999999997</v>
      </c>
      <c r="J6529">
        <v>-211.5419</v>
      </c>
      <c r="K6529">
        <v>1.111569</v>
      </c>
      <c r="L6529">
        <v>-62.637419999999999</v>
      </c>
      <c r="M6529">
        <v>0.9954771</v>
      </c>
      <c r="N6529">
        <v>0</v>
      </c>
      <c r="O6529">
        <v>9.3892130000000004E-2</v>
      </c>
      <c r="P6529">
        <v>0.99498920000000002</v>
      </c>
      <c r="Q6529">
        <v>-3.7598510000000002E-2</v>
      </c>
      <c r="R6529">
        <v>9.2643980000000001E-2</v>
      </c>
      <c r="S6529">
        <v>3.0021969999999998</v>
      </c>
      <c r="T6529">
        <v>-0.63527690000000003</v>
      </c>
      <c r="U6529">
        <v>-0.12725829999999999</v>
      </c>
      <c r="V6529">
        <v>1.269898E-3</v>
      </c>
      <c r="W6529">
        <v>-2.3127140000000001E-2</v>
      </c>
      <c r="X6529">
        <v>0.9997317</v>
      </c>
      <c r="Y6529">
        <v>0.13100919999999999</v>
      </c>
      <c r="Z6529">
        <v>-3.3334910000000002E-2</v>
      </c>
      <c r="AA6529">
        <v>0.99082049999999999</v>
      </c>
      <c r="AB6529">
        <v>21</v>
      </c>
      <c r="AC6529">
        <v>0.62129999999998997</v>
      </c>
      <c r="AD6529">
        <v>-0.15336810000000001</v>
      </c>
      <c r="AE6529">
        <v>-4.1810000000005197E-2</v>
      </c>
      <c r="AF6529">
        <v>9.4249354360731993E-2</v>
      </c>
      <c r="AG6529">
        <v>-0.15336810000000001</v>
      </c>
      <c r="AH6529">
        <v>0.57947739612598004</v>
      </c>
      <c r="AI6529">
        <v>104.64039621406999</v>
      </c>
      <c r="AJ6529">
        <v>80.761995393837296</v>
      </c>
      <c r="AK6529">
        <v>0.60679384268132697</v>
      </c>
      <c r="AL6529">
        <v>91.325205700029301</v>
      </c>
      <c r="AM6529">
        <v>89.927220716638899</v>
      </c>
      <c r="AN6529">
        <v>0.99999997461519896</v>
      </c>
    </row>
    <row r="6530" spans="1:40" x14ac:dyDescent="0.25">
      <c r="A6530" t="str">
        <f>"20190312161146922"</f>
        <v>20190312161146922</v>
      </c>
      <c r="B6530" t="str">
        <f>"1552378306913424"</f>
        <v>1552378306913424</v>
      </c>
      <c r="C6530" t="s">
        <v>40</v>
      </c>
      <c r="D6530">
        <v>4.8742530000000004</v>
      </c>
      <c r="E6530">
        <v>0.55410550000000003</v>
      </c>
      <c r="F6530" t="s">
        <v>42</v>
      </c>
      <c r="G6530">
        <v>-210.7415</v>
      </c>
      <c r="H6530">
        <v>0.94094630000000001</v>
      </c>
      <c r="I6530">
        <v>-62.673540000000003</v>
      </c>
      <c r="J6530">
        <v>-211.4384</v>
      </c>
      <c r="K6530">
        <v>1.1115729999999999</v>
      </c>
      <c r="L6530">
        <v>-62.626399999999997</v>
      </c>
      <c r="M6530">
        <v>0.9953689</v>
      </c>
      <c r="N6530">
        <v>0</v>
      </c>
      <c r="O6530">
        <v>9.5033960000000001E-2</v>
      </c>
      <c r="P6530">
        <v>0.99492749999999996</v>
      </c>
      <c r="Q6530">
        <v>-3.6945989999999998E-2</v>
      </c>
      <c r="R6530">
        <v>9.3566549999999998E-2</v>
      </c>
      <c r="S6530">
        <v>3.003479</v>
      </c>
      <c r="T6530">
        <v>-0.64039309999999905</v>
      </c>
      <c r="U6530">
        <v>-0.13510129999999901</v>
      </c>
      <c r="V6530">
        <v>1.489642E-3</v>
      </c>
      <c r="W6530">
        <v>-2.247613E-2</v>
      </c>
      <c r="X6530">
        <v>0.99974629999999998</v>
      </c>
      <c r="Y6530">
        <v>0.13452990000000001</v>
      </c>
      <c r="Z6530">
        <v>-3.4193290000000001E-2</v>
      </c>
      <c r="AA6530">
        <v>0.99031939999999996</v>
      </c>
      <c r="AB6530">
        <v>21</v>
      </c>
      <c r="AC6530">
        <v>0.69689999999999896</v>
      </c>
      <c r="AD6530">
        <v>-0.17062669999999899</v>
      </c>
      <c r="AE6530">
        <v>-4.7140000000005899E-2</v>
      </c>
      <c r="AF6530">
        <v>0.10679031012093999</v>
      </c>
      <c r="AG6530">
        <v>-0.17062669999999899</v>
      </c>
      <c r="AH6530">
        <v>0.65045111267761202</v>
      </c>
      <c r="AI6530">
        <v>104.51275359064</v>
      </c>
      <c r="AJ6530">
        <v>80.676422894819794</v>
      </c>
      <c r="AK6530">
        <v>0.68088493232862801</v>
      </c>
      <c r="AL6530">
        <v>91.287895801554996</v>
      </c>
      <c r="AM6530">
        <v>89.914628204753697</v>
      </c>
      <c r="AN6530">
        <v>1.00000002990837</v>
      </c>
    </row>
    <row r="6531" spans="1:40" x14ac:dyDescent="0.25">
      <c r="A6531" t="str">
        <f>"20190312161146933"</f>
        <v>20190312161146933</v>
      </c>
      <c r="B6531" t="str">
        <f>"1552378306924160"</f>
        <v>1552378306924160</v>
      </c>
      <c r="C6531" t="s">
        <v>40</v>
      </c>
      <c r="D6531">
        <v>4.8762179999999997</v>
      </c>
      <c r="E6531">
        <v>0.55415170000000002</v>
      </c>
      <c r="F6531" t="s">
        <v>42</v>
      </c>
      <c r="G6531">
        <v>-210.73349999999999</v>
      </c>
      <c r="H6531">
        <v>0.9610689</v>
      </c>
      <c r="I6531">
        <v>-62.65849</v>
      </c>
      <c r="J6531">
        <v>-211.33359999999999</v>
      </c>
      <c r="K6531">
        <v>1.1115740000000001</v>
      </c>
      <c r="L6531">
        <v>-62.615049999999997</v>
      </c>
      <c r="M6531">
        <v>0.99525779999999997</v>
      </c>
      <c r="N6531">
        <v>0</v>
      </c>
      <c r="O6531">
        <v>9.6190919999999999E-2</v>
      </c>
      <c r="P6531">
        <v>0.99483390000000005</v>
      </c>
      <c r="Q6531">
        <v>-3.6592069999999997E-2</v>
      </c>
      <c r="R6531">
        <v>9.4692709999999999E-2</v>
      </c>
      <c r="S6531">
        <v>3.0042879999999998</v>
      </c>
      <c r="T6531">
        <v>-0.64161679999999999</v>
      </c>
      <c r="U6531">
        <v>-0.1362305</v>
      </c>
      <c r="V6531">
        <v>1.519985E-3</v>
      </c>
      <c r="W6531">
        <v>-2.212447E-2</v>
      </c>
      <c r="X6531">
        <v>0.99975409999999998</v>
      </c>
      <c r="Y6531">
        <v>0.13596529999999901</v>
      </c>
      <c r="Z6531">
        <v>-3.4643119999999999E-2</v>
      </c>
      <c r="AA6531">
        <v>0.99010770000000003</v>
      </c>
      <c r="AB6531">
        <v>21</v>
      </c>
      <c r="AC6531">
        <v>0.60009999999999697</v>
      </c>
      <c r="AD6531">
        <v>-0.1505051</v>
      </c>
      <c r="AE6531">
        <v>-4.3440000000003899E-2</v>
      </c>
      <c r="AF6531">
        <v>9.5022887048604607E-2</v>
      </c>
      <c r="AG6531">
        <v>-0.1505051</v>
      </c>
      <c r="AH6531">
        <v>0.55820903503502195</v>
      </c>
      <c r="AI6531">
        <v>104.88493007087899</v>
      </c>
      <c r="AJ6531">
        <v>80.339250730221096</v>
      </c>
      <c r="AK6531">
        <v>0.58589970215369802</v>
      </c>
      <c r="AL6531">
        <v>91.267742154354906</v>
      </c>
      <c r="AM6531">
        <v>89.912889921309898</v>
      </c>
      <c r="AN6531">
        <v>1.0000000314969899</v>
      </c>
    </row>
    <row r="6532" spans="1:40" x14ac:dyDescent="0.25">
      <c r="A6532" t="str">
        <f>"20190312161146956"</f>
        <v>20190312161146956</v>
      </c>
      <c r="B6532" t="str">
        <f>"1552378306943679"</f>
        <v>1552378306943679</v>
      </c>
      <c r="C6532" t="s">
        <v>40</v>
      </c>
      <c r="D6532">
        <v>4.874797</v>
      </c>
      <c r="E6532">
        <v>0.55445409999999995</v>
      </c>
      <c r="F6532" t="s">
        <v>42</v>
      </c>
      <c r="G6532">
        <v>-210.55500000000001</v>
      </c>
      <c r="H6532">
        <v>0.94431750000000003</v>
      </c>
      <c r="I6532">
        <v>-62.649500000000003</v>
      </c>
      <c r="J6532">
        <v>-211.13040000000001</v>
      </c>
      <c r="K6532">
        <v>1.111577</v>
      </c>
      <c r="L6532">
        <v>-62.592739999999999</v>
      </c>
      <c r="M6532">
        <v>0.99503839999999999</v>
      </c>
      <c r="N6532">
        <v>0</v>
      </c>
      <c r="O6532">
        <v>9.8434939999999999E-2</v>
      </c>
      <c r="P6532">
        <v>0.99472240000000001</v>
      </c>
      <c r="Q6532">
        <v>-3.6002449999999998E-2</v>
      </c>
      <c r="R6532">
        <v>9.6080780000000005E-2</v>
      </c>
      <c r="S6532">
        <v>3.004486</v>
      </c>
      <c r="T6532">
        <v>-0.64540209999999998</v>
      </c>
      <c r="U6532">
        <v>-0.1329041</v>
      </c>
      <c r="V6532">
        <v>2.3789420000000002E-3</v>
      </c>
      <c r="W6532">
        <v>-2.1536900000000001E-2</v>
      </c>
      <c r="X6532">
        <v>0.99976520000000002</v>
      </c>
      <c r="Y6532">
        <v>0.13696620000000001</v>
      </c>
      <c r="Z6532">
        <v>-3.5422729999999999E-2</v>
      </c>
      <c r="AA6532">
        <v>0.98994219999999999</v>
      </c>
      <c r="AB6532">
        <v>21</v>
      </c>
      <c r="AC6532">
        <v>0.57540000000000102</v>
      </c>
      <c r="AD6532">
        <v>-0.16725950000000001</v>
      </c>
      <c r="AE6532">
        <v>-5.6760000000004099E-2</v>
      </c>
      <c r="AF6532">
        <v>0.104393714588652</v>
      </c>
      <c r="AG6532">
        <v>-0.16725950000000001</v>
      </c>
      <c r="AH6532">
        <v>0.52323172023414</v>
      </c>
      <c r="AI6532">
        <v>107.405560132999</v>
      </c>
      <c r="AJ6532">
        <v>78.716669846049498</v>
      </c>
      <c r="AK6532">
        <v>0.55914686893967702</v>
      </c>
      <c r="AL6532">
        <v>91.234068916967502</v>
      </c>
      <c r="AM6532">
        <v>89.863664909464305</v>
      </c>
      <c r="AN6532">
        <v>0.99999997627884396</v>
      </c>
    </row>
    <row r="6533" spans="1:40" x14ac:dyDescent="0.25">
      <c r="A6533" t="str">
        <f>"20190312161146972"</f>
        <v>20190312161146972</v>
      </c>
      <c r="B6533" t="str">
        <f>"1552378306964177"</f>
        <v>1552378306964177</v>
      </c>
      <c r="C6533" t="s">
        <v>40</v>
      </c>
      <c r="D6533">
        <v>4.8458269999999999</v>
      </c>
      <c r="E6533">
        <v>0.55397859999999999</v>
      </c>
      <c r="F6533" t="s">
        <v>42</v>
      </c>
      <c r="G6533">
        <v>-210.36859999999999</v>
      </c>
      <c r="H6533">
        <v>0.94816140000000004</v>
      </c>
      <c r="I6533">
        <v>-62.626040000000003</v>
      </c>
      <c r="J6533">
        <v>-210.97749999999999</v>
      </c>
      <c r="K6533">
        <v>1.111575</v>
      </c>
      <c r="L6533">
        <v>-62.575650000000003</v>
      </c>
      <c r="M6533">
        <v>0.99487000000000003</v>
      </c>
      <c r="N6533">
        <v>0</v>
      </c>
      <c r="O6533">
        <v>0.10012310000000001</v>
      </c>
      <c r="P6533">
        <v>0.99462159999999999</v>
      </c>
      <c r="Q6533">
        <v>-3.5618080000000003E-2</v>
      </c>
      <c r="R6533">
        <v>9.7258839999999999E-2</v>
      </c>
      <c r="S6533">
        <v>3.0052340000000002</v>
      </c>
      <c r="T6533">
        <v>-0.64479169999999997</v>
      </c>
      <c r="U6533">
        <v>-0.13079830000000001</v>
      </c>
      <c r="V6533">
        <v>2.8910440000000002E-3</v>
      </c>
      <c r="W6533">
        <v>-2.1154559999999999E-2</v>
      </c>
      <c r="X6533">
        <v>0.99977199999999999</v>
      </c>
      <c r="Y6533">
        <v>0.1378955</v>
      </c>
      <c r="Z6533">
        <v>-3.5837290000000001E-2</v>
      </c>
      <c r="AA6533">
        <v>0.98979819999999996</v>
      </c>
      <c r="AB6533">
        <v>21</v>
      </c>
      <c r="AC6533">
        <v>0.60890000000000499</v>
      </c>
      <c r="AD6533">
        <v>-0.16341359999999999</v>
      </c>
      <c r="AE6533">
        <v>-5.0390000000000101E-2</v>
      </c>
      <c r="AF6533">
        <v>0.10369053686357101</v>
      </c>
      <c r="AG6533">
        <v>-0.16341359999999999</v>
      </c>
      <c r="AH6533">
        <v>0.56068516747908204</v>
      </c>
      <c r="AI6533">
        <v>105.99196876998199</v>
      </c>
      <c r="AJ6533">
        <v>79.522360606571198</v>
      </c>
      <c r="AK6533">
        <v>0.59314719010635297</v>
      </c>
      <c r="AL6533">
        <v>91.212157471919397</v>
      </c>
      <c r="AM6533">
        <v>89.834318066634097</v>
      </c>
      <c r="AN6533">
        <v>0.99999996276410097</v>
      </c>
    </row>
    <row r="6534" spans="1:40" x14ac:dyDescent="0.25">
      <c r="A6534" t="str">
        <f>"20190312161146987"</f>
        <v>20190312161146987</v>
      </c>
      <c r="B6534" t="str">
        <f>"1552378306973936"</f>
        <v>1552378306973936</v>
      </c>
      <c r="C6534" t="s">
        <v>40</v>
      </c>
      <c r="D6534">
        <v>4.8203230000000001</v>
      </c>
      <c r="E6534">
        <v>0.55386499999999905</v>
      </c>
      <c r="F6534" t="s">
        <v>42</v>
      </c>
      <c r="G6534">
        <v>-210.18549999999999</v>
      </c>
      <c r="H6534">
        <v>0.9441543</v>
      </c>
      <c r="I6534">
        <v>-62.6083</v>
      </c>
      <c r="J6534">
        <v>-210.8443</v>
      </c>
      <c r="K6534">
        <v>1.1115740000000001</v>
      </c>
      <c r="L6534">
        <v>-62.560580000000002</v>
      </c>
      <c r="M6534">
        <v>0.99472090000000002</v>
      </c>
      <c r="N6534">
        <v>0</v>
      </c>
      <c r="O6534">
        <v>0.1015947</v>
      </c>
      <c r="P6534">
        <v>0.99454670000000001</v>
      </c>
      <c r="Q6534">
        <v>-3.5089120000000001E-2</v>
      </c>
      <c r="R6534">
        <v>9.8214419999999997E-2</v>
      </c>
      <c r="S6534">
        <v>3.0055239999999999</v>
      </c>
      <c r="T6534">
        <v>-0.63553599999999999</v>
      </c>
      <c r="U6534">
        <v>-0.1231995</v>
      </c>
      <c r="V6534">
        <v>3.4091799999999999E-3</v>
      </c>
      <c r="W6534">
        <v>-2.0627030000000001E-2</v>
      </c>
      <c r="X6534">
        <v>0.99978140000000004</v>
      </c>
      <c r="Y6534">
        <v>0.1369977</v>
      </c>
      <c r="Z6534">
        <v>-3.5544829999999999E-2</v>
      </c>
      <c r="AA6534">
        <v>0.98993339999999996</v>
      </c>
      <c r="AB6534">
        <v>21</v>
      </c>
      <c r="AC6534">
        <v>0.65880000000001304</v>
      </c>
      <c r="AD6534">
        <v>-0.1674197</v>
      </c>
      <c r="AE6534">
        <v>-4.7719999999998201E-2</v>
      </c>
      <c r="AF6534">
        <v>0.10750411268836101</v>
      </c>
      <c r="AG6534">
        <v>-0.1674197</v>
      </c>
      <c r="AH6534">
        <v>0.611271386134429</v>
      </c>
      <c r="AI6534">
        <v>105.096104801341</v>
      </c>
      <c r="AJ6534">
        <v>80.025412443132197</v>
      </c>
      <c r="AK6534">
        <v>0.64283683598539099</v>
      </c>
      <c r="AL6534">
        <v>91.181925618877102</v>
      </c>
      <c r="AM6534">
        <v>89.804626422809093</v>
      </c>
      <c r="AN6534">
        <v>0.99999997233042603</v>
      </c>
    </row>
    <row r="6535" spans="1:40" x14ac:dyDescent="0.25">
      <c r="A6535" t="str">
        <f>"20190312161147001"</f>
        <v>20190312161147001</v>
      </c>
      <c r="B6535" t="str">
        <f>"1552378306993455"</f>
        <v>1552378306993455</v>
      </c>
      <c r="C6535" t="s">
        <v>40</v>
      </c>
      <c r="D6535">
        <v>4.9293709999999997</v>
      </c>
      <c r="E6535">
        <v>0.55439530000000004</v>
      </c>
      <c r="F6535" t="s">
        <v>42</v>
      </c>
      <c r="G6535">
        <v>-210.00460000000001</v>
      </c>
      <c r="H6535">
        <v>0.93546779999999996</v>
      </c>
      <c r="I6535">
        <v>-62.593969999999999</v>
      </c>
      <c r="J6535">
        <v>-210.71250000000001</v>
      </c>
      <c r="K6535">
        <v>1.1115759999999999</v>
      </c>
      <c r="L6535">
        <v>-62.545439999999999</v>
      </c>
      <c r="M6535">
        <v>0.99457130000000005</v>
      </c>
      <c r="N6535">
        <v>0</v>
      </c>
      <c r="O6535">
        <v>0.10305010000000001</v>
      </c>
      <c r="P6535">
        <v>0.99455669999999996</v>
      </c>
      <c r="Q6535">
        <v>-3.3972519999999999E-2</v>
      </c>
      <c r="R6535">
        <v>9.8504880000000003E-2</v>
      </c>
      <c r="S6535">
        <v>3.0059809999999998</v>
      </c>
      <c r="T6535">
        <v>-0.63051469999999998</v>
      </c>
      <c r="U6535">
        <v>-0.11920169999999999</v>
      </c>
      <c r="V6535">
        <v>4.5800779999999996E-3</v>
      </c>
      <c r="W6535">
        <v>-1.9509700000000001E-2</v>
      </c>
      <c r="X6535">
        <v>0.9997992</v>
      </c>
      <c r="Y6535">
        <v>0.1371735</v>
      </c>
      <c r="Z6535">
        <v>-3.5584560000000001E-2</v>
      </c>
      <c r="AA6535">
        <v>0.98990769999999995</v>
      </c>
      <c r="AB6535">
        <v>21</v>
      </c>
      <c r="AC6535">
        <v>0.70789999999999498</v>
      </c>
      <c r="AD6535">
        <v>-0.17610819999999999</v>
      </c>
      <c r="AE6535">
        <v>-4.8529999999999497E-2</v>
      </c>
      <c r="AF6535">
        <v>0.11419403108746499</v>
      </c>
      <c r="AG6535">
        <v>-0.17610819999999999</v>
      </c>
      <c r="AH6535">
        <v>0.65856168453789599</v>
      </c>
      <c r="AI6535">
        <v>104.76090828319001</v>
      </c>
      <c r="AJ6535">
        <v>80.162775494620504</v>
      </c>
      <c r="AK6535">
        <v>0.69120030901659502</v>
      </c>
      <c r="AL6535">
        <v>91.117894368654504</v>
      </c>
      <c r="AM6535">
        <v>89.737529992427895</v>
      </c>
      <c r="AN6535">
        <v>1.0000000229146</v>
      </c>
    </row>
    <row r="6536" spans="1:40" x14ac:dyDescent="0.25">
      <c r="A6536" t="str">
        <f>"20190312161147013"</f>
        <v>20190312161147013</v>
      </c>
      <c r="B6536" t="str">
        <f>"1552378307004192"</f>
        <v>1552378307004192</v>
      </c>
      <c r="C6536" t="s">
        <v>40</v>
      </c>
      <c r="D6536">
        <v>4.8807289999999997</v>
      </c>
      <c r="E6536">
        <v>0.55490930000000005</v>
      </c>
      <c r="F6536" t="s">
        <v>42</v>
      </c>
      <c r="G6536">
        <v>-209.99469999999999</v>
      </c>
      <c r="H6536">
        <v>0.96111429999999998</v>
      </c>
      <c r="I6536">
        <v>-62.574629999999999</v>
      </c>
      <c r="J6536">
        <v>-210.6003</v>
      </c>
      <c r="K6536">
        <v>1.1115740000000001</v>
      </c>
      <c r="L6536">
        <v>-62.532380000000003</v>
      </c>
      <c r="M6536">
        <v>0.99444189999999999</v>
      </c>
      <c r="N6536">
        <v>0</v>
      </c>
      <c r="O6536">
        <v>0.1042903</v>
      </c>
      <c r="P6536">
        <v>0.99451069999999997</v>
      </c>
      <c r="Q6536">
        <v>-3.333274E-2</v>
      </c>
      <c r="R6536">
        <v>9.9184839999999996E-2</v>
      </c>
      <c r="S6536">
        <v>3.0069729999999999</v>
      </c>
      <c r="T6536">
        <v>-0.63038609999999995</v>
      </c>
      <c r="U6536">
        <v>-0.1218567</v>
      </c>
      <c r="V6536">
        <v>5.1432530000000004E-3</v>
      </c>
      <c r="W6536">
        <v>-1.887076E-2</v>
      </c>
      <c r="X6536">
        <v>0.99980869999999999</v>
      </c>
      <c r="Y6536">
        <v>0.1392021</v>
      </c>
      <c r="Z6536">
        <v>-3.6032219999999997E-2</v>
      </c>
      <c r="AA6536">
        <v>0.98960820000000005</v>
      </c>
      <c r="AB6536">
        <v>21</v>
      </c>
      <c r="AC6536">
        <v>0.60560000000000902</v>
      </c>
      <c r="AD6536">
        <v>-0.1504597</v>
      </c>
      <c r="AE6536">
        <v>-4.2250000000002702E-2</v>
      </c>
      <c r="AF6536">
        <v>9.9097112328478301E-2</v>
      </c>
      <c r="AG6536">
        <v>-0.1504597</v>
      </c>
      <c r="AH6536">
        <v>0.56328897978097903</v>
      </c>
      <c r="AI6536">
        <v>104.738814859295</v>
      </c>
      <c r="AJ6536">
        <v>80.022289649427293</v>
      </c>
      <c r="AK6536">
        <v>0.59139904779990005</v>
      </c>
      <c r="AL6536">
        <v>91.0812790881794</v>
      </c>
      <c r="AM6536">
        <v>89.7052595256865</v>
      </c>
      <c r="AN6536">
        <v>0.99999999761504399</v>
      </c>
    </row>
    <row r="6537" spans="1:40" x14ac:dyDescent="0.25">
      <c r="A6537" t="str">
        <f>"20190312161147026"</f>
        <v>20190312161147026</v>
      </c>
      <c r="B6537" t="str">
        <f>"1552378307013952"</f>
        <v>1552378307013952</v>
      </c>
      <c r="C6537" t="s">
        <v>40</v>
      </c>
      <c r="D6537">
        <v>5.0927639999999998</v>
      </c>
      <c r="E6537">
        <v>0.55490930000000005</v>
      </c>
      <c r="F6537" t="s">
        <v>42</v>
      </c>
      <c r="G6537">
        <v>-209.81659999999999</v>
      </c>
      <c r="H6537">
        <v>0.94663580000000003</v>
      </c>
      <c r="I6537">
        <v>-62.56465</v>
      </c>
      <c r="J6537">
        <v>-210.4846</v>
      </c>
      <c r="K6537">
        <v>1.1115679999999999</v>
      </c>
      <c r="L6537">
        <v>-62.518799999999999</v>
      </c>
      <c r="M6537">
        <v>0.99430719999999995</v>
      </c>
      <c r="N6537">
        <v>0</v>
      </c>
      <c r="O6537">
        <v>0.1055681</v>
      </c>
      <c r="P6537">
        <v>0.99445070000000002</v>
      </c>
      <c r="Q6537">
        <v>-3.2893560000000002E-2</v>
      </c>
      <c r="R6537">
        <v>9.992877E-2</v>
      </c>
      <c r="S6537">
        <v>3.00766</v>
      </c>
      <c r="T6537">
        <v>-0.63305269999999902</v>
      </c>
      <c r="U6537">
        <v>-0.1235962</v>
      </c>
      <c r="V6537">
        <v>5.6800260000000003E-3</v>
      </c>
      <c r="W6537">
        <v>-1.8432649999999998E-2</v>
      </c>
      <c r="X6537">
        <v>0.99981399999999998</v>
      </c>
      <c r="Y6537">
        <v>0.1409282</v>
      </c>
      <c r="Z6537">
        <v>-3.6617759999999999E-2</v>
      </c>
      <c r="AA6537">
        <v>0.98934239999999996</v>
      </c>
      <c r="AB6537">
        <v>21</v>
      </c>
      <c r="AC6537">
        <v>0.66800000000000603</v>
      </c>
      <c r="AD6537">
        <v>-0.1649322</v>
      </c>
      <c r="AE6537">
        <v>-4.5850000000001501E-2</v>
      </c>
      <c r="AF6537">
        <v>0.10947790733639599</v>
      </c>
      <c r="AG6537">
        <v>-0.1649322</v>
      </c>
      <c r="AH6537">
        <v>0.62170323367970104</v>
      </c>
      <c r="AI6537">
        <v>104.642403830185</v>
      </c>
      <c r="AJ6537">
        <v>80.012973796670096</v>
      </c>
      <c r="AK6537">
        <v>0.65245915853744796</v>
      </c>
      <c r="AL6537">
        <v>91.056172832380199</v>
      </c>
      <c r="AM6537">
        <v>89.674501441051405</v>
      </c>
      <c r="AN6537">
        <v>1.00000002993869</v>
      </c>
    </row>
    <row r="6538" spans="1:40" x14ac:dyDescent="0.25">
      <c r="A6538" t="str">
        <f>"20190312161147039"</f>
        <v>20190312161147039</v>
      </c>
      <c r="B6538" t="str">
        <f>"1552378307033472"</f>
        <v>1552378307033472</v>
      </c>
      <c r="C6538" t="s">
        <v>40</v>
      </c>
      <c r="D6538">
        <v>4.8008790000000001</v>
      </c>
      <c r="E6538">
        <v>0.56340880000000004</v>
      </c>
      <c r="F6538" t="s">
        <v>42</v>
      </c>
      <c r="G6538">
        <v>-209.6378</v>
      </c>
      <c r="H6538">
        <v>0.93374559999999995</v>
      </c>
      <c r="I6538">
        <v>-62.55301</v>
      </c>
      <c r="J6538">
        <v>-210.3681</v>
      </c>
      <c r="K6538">
        <v>1.1115649999999999</v>
      </c>
      <c r="L6538">
        <v>-62.504939999999998</v>
      </c>
      <c r="M6538">
        <v>0.99416959999999999</v>
      </c>
      <c r="N6538">
        <v>0</v>
      </c>
      <c r="O6538">
        <v>0.10685550000000001</v>
      </c>
      <c r="P6538">
        <v>0.99439630000000001</v>
      </c>
      <c r="Q6538">
        <v>-3.2773410000000003E-2</v>
      </c>
      <c r="R6538">
        <v>0.10050820000000001</v>
      </c>
      <c r="S6538">
        <v>3.0080260000000001</v>
      </c>
      <c r="T6538">
        <v>-0.63171339999999998</v>
      </c>
      <c r="U6538">
        <v>-0.1213684</v>
      </c>
      <c r="V6538">
        <v>6.3917009999999996E-3</v>
      </c>
      <c r="W6538">
        <v>-1.831321E-2</v>
      </c>
      <c r="X6538">
        <v>0.99981189999999998</v>
      </c>
      <c r="Y6538">
        <v>0.1414569</v>
      </c>
      <c r="Z6538">
        <v>-3.6859309999999999E-2</v>
      </c>
      <c r="AA6538">
        <v>0.98925799999999997</v>
      </c>
      <c r="AB6538">
        <v>21</v>
      </c>
      <c r="AC6538">
        <v>0.73029999999999895</v>
      </c>
      <c r="AD6538">
        <v>-0.17781939999999899</v>
      </c>
      <c r="AE6538">
        <v>-4.8069999999995602E-2</v>
      </c>
      <c r="AF6538">
        <v>0.118825104569752</v>
      </c>
      <c r="AG6538">
        <v>-0.17781939999999899</v>
      </c>
      <c r="AH6538">
        <v>0.68079304773173299</v>
      </c>
      <c r="AI6538">
        <v>104.429467657098</v>
      </c>
      <c r="AJ6538">
        <v>80.099371356133005</v>
      </c>
      <c r="AK6538">
        <v>0.71359534634990096</v>
      </c>
      <c r="AL6538">
        <v>91.049328267760004</v>
      </c>
      <c r="AM6538">
        <v>89.633718600143894</v>
      </c>
      <c r="AN6538">
        <v>1.00000003144189</v>
      </c>
    </row>
    <row r="6539" spans="1:40" x14ac:dyDescent="0.25">
      <c r="A6539" t="str">
        <f>"20190312161147050"</f>
        <v>20190312161147050</v>
      </c>
      <c r="B6539" t="str">
        <f>"1552378307044208"</f>
        <v>1552378307044208</v>
      </c>
      <c r="C6539" t="s">
        <v>40</v>
      </c>
      <c r="D6539">
        <v>4.7857609999999999</v>
      </c>
      <c r="E6539">
        <v>0.5610967</v>
      </c>
      <c r="F6539" t="s">
        <v>42</v>
      </c>
      <c r="G6539">
        <v>-209.6438</v>
      </c>
      <c r="H6539">
        <v>0.92205599999999999</v>
      </c>
      <c r="I6539">
        <v>-62.548929999999999</v>
      </c>
      <c r="J6539">
        <v>-210.2705</v>
      </c>
      <c r="K6539">
        <v>1.1115630000000001</v>
      </c>
      <c r="L6539">
        <v>-62.493189999999998</v>
      </c>
      <c r="M6539">
        <v>0.99405319999999997</v>
      </c>
      <c r="N6539">
        <v>0</v>
      </c>
      <c r="O6539">
        <v>0.1079345</v>
      </c>
      <c r="P6539">
        <v>0.9943265</v>
      </c>
      <c r="Q6539">
        <v>-3.3157859999999997E-2</v>
      </c>
      <c r="R6539">
        <v>0.10107149999999999</v>
      </c>
      <c r="S6539">
        <v>3.0094150000000002</v>
      </c>
      <c r="T6539">
        <v>-0.78738960000000002</v>
      </c>
      <c r="U6539">
        <v>-0.18258669999999999</v>
      </c>
      <c r="V6539">
        <v>6.9099809999999999E-3</v>
      </c>
      <c r="W6539">
        <v>-1.869869E-2</v>
      </c>
      <c r="X6539">
        <v>0.9998013</v>
      </c>
      <c r="Y6539">
        <v>0.15899669999999999</v>
      </c>
      <c r="Z6539">
        <v>-4.8170350000000001E-2</v>
      </c>
      <c r="AA6539">
        <v>0.98610330000000002</v>
      </c>
      <c r="AB6539">
        <v>21</v>
      </c>
      <c r="AC6539">
        <v>0.62669999999999904</v>
      </c>
      <c r="AD6539">
        <v>-0.18950699999999901</v>
      </c>
      <c r="AE6539">
        <v>-5.5740000000000102E-2</v>
      </c>
      <c r="AF6539">
        <v>0.112828000828343</v>
      </c>
      <c r="AG6539">
        <v>-0.18950699999999901</v>
      </c>
      <c r="AH6539">
        <v>0.56570013337767999</v>
      </c>
      <c r="AI6539">
        <v>108.186640393758</v>
      </c>
      <c r="AJ6539">
        <v>78.720458149548506</v>
      </c>
      <c r="AK6539">
        <v>0.60717353509803595</v>
      </c>
      <c r="AL6539">
        <v>91.071418445738004</v>
      </c>
      <c r="AM6539">
        <v>89.604014873589804</v>
      </c>
      <c r="AN6539">
        <v>1.00000001416341</v>
      </c>
    </row>
    <row r="6540" spans="1:40" x14ac:dyDescent="0.25">
      <c r="A6540" t="str">
        <f>"20190312161147060"</f>
        <v>20190312161147060</v>
      </c>
      <c r="B6540" t="str">
        <f>"1552378307053968"</f>
        <v>1552378307053968</v>
      </c>
      <c r="C6540" t="s">
        <v>40</v>
      </c>
      <c r="D6540">
        <v>5.0942559999999997</v>
      </c>
      <c r="E6540">
        <v>0.5610967</v>
      </c>
      <c r="F6540" t="s">
        <v>42</v>
      </c>
      <c r="G6540">
        <v>-209.46799999999999</v>
      </c>
      <c r="H6540">
        <v>0.90264940000000005</v>
      </c>
      <c r="I6540">
        <v>-62.536529999999999</v>
      </c>
      <c r="J6540">
        <v>-210.17179999999999</v>
      </c>
      <c r="K6540">
        <v>1.111559</v>
      </c>
      <c r="L6540">
        <v>-62.481229999999996</v>
      </c>
      <c r="M6540">
        <v>0.99393419999999999</v>
      </c>
      <c r="N6540">
        <v>0</v>
      </c>
      <c r="O6540">
        <v>0.10902539999999999</v>
      </c>
      <c r="P6540">
        <v>0.99425699999999995</v>
      </c>
      <c r="Q6540">
        <v>-3.3620360000000002E-2</v>
      </c>
      <c r="R6540">
        <v>0.1016031</v>
      </c>
      <c r="S6540">
        <v>3.0075069999999999</v>
      </c>
      <c r="T6540">
        <v>-0.78298509999999999</v>
      </c>
      <c r="U6540">
        <v>-0.16226199999999999</v>
      </c>
      <c r="V6540">
        <v>7.4720799999999999E-3</v>
      </c>
      <c r="W6540">
        <v>-1.9162160000000001E-2</v>
      </c>
      <c r="X6540">
        <v>0.99978849999999997</v>
      </c>
      <c r="Y6540">
        <v>0.15369620000000001</v>
      </c>
      <c r="Z6540">
        <v>-4.754543E-2</v>
      </c>
      <c r="AA6540">
        <v>0.98697360000000001</v>
      </c>
      <c r="AB6540">
        <v>21</v>
      </c>
      <c r="AC6540">
        <v>0.70380000000000098</v>
      </c>
      <c r="AD6540">
        <v>-0.208909599999999</v>
      </c>
      <c r="AE6540">
        <v>-5.53000000000025E-2</v>
      </c>
      <c r="AF6540">
        <v>0.12110540025632401</v>
      </c>
      <c r="AG6540">
        <v>-0.208909599999999</v>
      </c>
      <c r="AH6540">
        <v>0.63772935063364899</v>
      </c>
      <c r="AI6540">
        <v>107.83982973720001</v>
      </c>
      <c r="AJ6540">
        <v>79.247511227482903</v>
      </c>
      <c r="AK6540">
        <v>0.68191529063588296</v>
      </c>
      <c r="AL6540">
        <v>91.097978059741806</v>
      </c>
      <c r="AM6540">
        <v>89.571798757927894</v>
      </c>
      <c r="AN6540">
        <v>1.0000000325438201</v>
      </c>
    </row>
    <row r="6541" spans="1:40" x14ac:dyDescent="0.25">
      <c r="A6541" t="str">
        <f>"20190312161147070"</f>
        <v>20190312161147070</v>
      </c>
      <c r="B6541" t="str">
        <f>"1552378307063728"</f>
        <v>1552378307063728</v>
      </c>
      <c r="C6541" t="s">
        <v>40</v>
      </c>
      <c r="D6541">
        <v>4.8177510000000003</v>
      </c>
      <c r="E6541">
        <v>0.54676469999999999</v>
      </c>
      <c r="F6541" t="s">
        <v>42</v>
      </c>
      <c r="G6541">
        <v>-209.46029999999999</v>
      </c>
      <c r="H6541">
        <v>0.92588809999999999</v>
      </c>
      <c r="I6541">
        <v>-62.519129999999997</v>
      </c>
      <c r="J6541">
        <v>-210.08349999999999</v>
      </c>
      <c r="K6541">
        <v>1.111556</v>
      </c>
      <c r="L6541">
        <v>-62.470460000000003</v>
      </c>
      <c r="M6541">
        <v>0.99382669999999995</v>
      </c>
      <c r="N6541">
        <v>0</v>
      </c>
      <c r="O6541">
        <v>0.1100005</v>
      </c>
      <c r="P6541">
        <v>0.99416119999999997</v>
      </c>
      <c r="Q6541">
        <v>-3.4217930000000001E-2</v>
      </c>
      <c r="R6541">
        <v>0.1023377</v>
      </c>
      <c r="S6541">
        <v>3.0071409999999998</v>
      </c>
      <c r="T6541">
        <v>-0.78479639999999995</v>
      </c>
      <c r="U6541">
        <v>-0.1600037</v>
      </c>
      <c r="V6541">
        <v>7.7136419999999997E-3</v>
      </c>
      <c r="W6541">
        <v>-1.976145E-2</v>
      </c>
      <c r="X6541">
        <v>0.99977499999999997</v>
      </c>
      <c r="Y6541">
        <v>0.15385179999999901</v>
      </c>
      <c r="Z6541">
        <v>-4.7927409999999997E-2</v>
      </c>
      <c r="AA6541">
        <v>0.98693090000000006</v>
      </c>
      <c r="AB6541">
        <v>21</v>
      </c>
      <c r="AC6541">
        <v>0.62319999999999698</v>
      </c>
      <c r="AD6541">
        <v>-0.1856679</v>
      </c>
      <c r="AE6541">
        <v>-4.8670000000008401E-2</v>
      </c>
      <c r="AF6541">
        <v>0.107454193467549</v>
      </c>
      <c r="AG6541">
        <v>-0.1856679</v>
      </c>
      <c r="AH6541">
        <v>0.56428093983320105</v>
      </c>
      <c r="AI6541">
        <v>107.912192803686</v>
      </c>
      <c r="AJ6541">
        <v>79.218434926658503</v>
      </c>
      <c r="AK6541">
        <v>0.60368199562618396</v>
      </c>
      <c r="AL6541">
        <v>91.132321351017694</v>
      </c>
      <c r="AM6541">
        <v>89.557950176710506</v>
      </c>
      <c r="AN6541">
        <v>1.000000032902</v>
      </c>
    </row>
    <row r="6542" spans="1:40" x14ac:dyDescent="0.25">
      <c r="A6542" t="str">
        <f>"20190312161147081"</f>
        <v>20190312161147081</v>
      </c>
      <c r="B6542" t="str">
        <f>"1552378307073490"</f>
        <v>1552378307073490</v>
      </c>
      <c r="C6542" t="s">
        <v>40</v>
      </c>
      <c r="D6542">
        <v>4.8044539999999998</v>
      </c>
      <c r="E6542">
        <v>0.54696319999999998</v>
      </c>
      <c r="F6542" t="s">
        <v>42</v>
      </c>
      <c r="G6542">
        <v>-209.27350000000001</v>
      </c>
      <c r="H6542">
        <v>0.93890600000000002</v>
      </c>
      <c r="I6542">
        <v>-62.483490000000003</v>
      </c>
      <c r="J6542">
        <v>-209.9777</v>
      </c>
      <c r="K6542">
        <v>1.1115539999999999</v>
      </c>
      <c r="L6542">
        <v>-62.4574</v>
      </c>
      <c r="M6542">
        <v>0.99369660000000004</v>
      </c>
      <c r="N6542">
        <v>0</v>
      </c>
      <c r="O6542">
        <v>0.11117050000000001</v>
      </c>
      <c r="P6542">
        <v>0.99400860000000002</v>
      </c>
      <c r="Q6542">
        <v>-3.4879540000000001E-2</v>
      </c>
      <c r="R6542">
        <v>0.1035879</v>
      </c>
      <c r="S6542">
        <v>3.0005489999999999</v>
      </c>
      <c r="T6542">
        <v>-0.63958499999999996</v>
      </c>
      <c r="U6542">
        <v>-4.8004150000000002E-2</v>
      </c>
      <c r="V6542">
        <v>7.63276699999999E-3</v>
      </c>
      <c r="W6542">
        <v>-2.042617E-2</v>
      </c>
      <c r="X6542">
        <v>0.99976220000000005</v>
      </c>
      <c r="Y6542">
        <v>0.121837</v>
      </c>
      <c r="Z6542">
        <v>-3.624285E-2</v>
      </c>
      <c r="AA6542">
        <v>0.9918882</v>
      </c>
      <c r="AB6542">
        <v>21</v>
      </c>
      <c r="AC6542">
        <v>0.70419999999998595</v>
      </c>
      <c r="AD6542">
        <v>-0.172648</v>
      </c>
      <c r="AE6542">
        <v>-2.6090000000003499E-2</v>
      </c>
      <c r="AF6542">
        <v>9.8320904458379502E-2</v>
      </c>
      <c r="AG6542">
        <v>-0.172648</v>
      </c>
      <c r="AH6542">
        <v>0.65746842677016104</v>
      </c>
      <c r="AI6542">
        <v>104.558500121308</v>
      </c>
      <c r="AJ6542">
        <v>81.494750033381393</v>
      </c>
      <c r="AK6542">
        <v>0.686832631983327</v>
      </c>
      <c r="AL6542">
        <v>91.1704147633383</v>
      </c>
      <c r="AM6542">
        <v>89.562579142688307</v>
      </c>
      <c r="AN6542">
        <v>0.99999997205089197</v>
      </c>
    </row>
    <row r="6543" spans="1:40" x14ac:dyDescent="0.25">
      <c r="A6543" t="str">
        <f>"20190312161147092"</f>
        <v>20190312161147092</v>
      </c>
      <c r="B6543" t="str">
        <f>"1552378307084224"</f>
        <v>1552378307084224</v>
      </c>
      <c r="C6543" t="s">
        <v>40</v>
      </c>
      <c r="D6543">
        <v>4.814724</v>
      </c>
      <c r="E6543">
        <v>0.54686950000000001</v>
      </c>
      <c r="F6543" t="s">
        <v>42</v>
      </c>
      <c r="G6543">
        <v>-209.26609999999999</v>
      </c>
      <c r="H6543">
        <v>0.95827410000000002</v>
      </c>
      <c r="I6543">
        <v>-62.468240000000002</v>
      </c>
      <c r="J6543">
        <v>-209.88820000000001</v>
      </c>
      <c r="K6543">
        <v>1.111553</v>
      </c>
      <c r="L6543">
        <v>-62.44623</v>
      </c>
      <c r="M6543">
        <v>0.9935853</v>
      </c>
      <c r="N6543">
        <v>0</v>
      </c>
      <c r="O6543">
        <v>0.11216</v>
      </c>
      <c r="P6543">
        <v>0.99386399999999997</v>
      </c>
      <c r="Q6543">
        <v>-3.4991809999999998E-2</v>
      </c>
      <c r="R6543">
        <v>0.1049288</v>
      </c>
      <c r="S6543">
        <v>3.0001370000000001</v>
      </c>
      <c r="T6543">
        <v>-0.64624789999999999</v>
      </c>
      <c r="U6543">
        <v>-4.5410159999999998E-2</v>
      </c>
      <c r="V6543">
        <v>7.2794449999999998E-3</v>
      </c>
      <c r="W6543">
        <v>-2.0541779999999999E-2</v>
      </c>
      <c r="X6543">
        <v>0.9997625</v>
      </c>
      <c r="Y6543">
        <v>0.1218373</v>
      </c>
      <c r="Z6543">
        <v>-3.6826699999999997E-2</v>
      </c>
      <c r="AA6543">
        <v>0.99186660000000004</v>
      </c>
      <c r="AB6543">
        <v>21</v>
      </c>
      <c r="AC6543">
        <v>0.62210000000001697</v>
      </c>
      <c r="AD6543">
        <v>-0.1532789</v>
      </c>
      <c r="AE6543">
        <v>-2.2009999999994499E-2</v>
      </c>
      <c r="AF6543">
        <v>8.64136747388594E-2</v>
      </c>
      <c r="AG6543">
        <v>-0.1532789</v>
      </c>
      <c r="AH6543">
        <v>0.58050765665286996</v>
      </c>
      <c r="AI6543">
        <v>104.636728943284</v>
      </c>
      <c r="AJ6543">
        <v>81.533192051520402</v>
      </c>
      <c r="AK6543">
        <v>0.60658955134397896</v>
      </c>
      <c r="AL6543">
        <v>91.177040079077599</v>
      </c>
      <c r="AM6543">
        <v>89.582826816030902</v>
      </c>
      <c r="AN6543">
        <v>1.0000000057256599</v>
      </c>
    </row>
    <row r="6544" spans="1:40" x14ac:dyDescent="0.25">
      <c r="A6544" t="str">
        <f>"20190312161147101"</f>
        <v>20190312161147101</v>
      </c>
      <c r="B6544" t="str">
        <f>"1552378307093983"</f>
        <v>1552378307093983</v>
      </c>
      <c r="C6544" t="s">
        <v>40</v>
      </c>
      <c r="D6544">
        <v>4.7735900000000004</v>
      </c>
      <c r="E6544">
        <v>0.54714879999999999</v>
      </c>
      <c r="F6544" t="s">
        <v>42</v>
      </c>
      <c r="G6544">
        <v>-209.0917</v>
      </c>
      <c r="H6544">
        <v>0.93928250000000002</v>
      </c>
      <c r="I6544">
        <v>-62.457059999999998</v>
      </c>
      <c r="J6544">
        <v>-209.79079999999999</v>
      </c>
      <c r="K6544">
        <v>1.1115520000000001</v>
      </c>
      <c r="L6544">
        <v>-62.434019999999997</v>
      </c>
      <c r="M6544">
        <v>0.99346330000000005</v>
      </c>
      <c r="N6544">
        <v>0</v>
      </c>
      <c r="O6544">
        <v>0.1132369</v>
      </c>
      <c r="P6544">
        <v>0.99370519999999996</v>
      </c>
      <c r="Q6544">
        <v>-3.5157479999999998E-2</v>
      </c>
      <c r="R6544">
        <v>0.1063675</v>
      </c>
      <c r="S6544">
        <v>2.9999539999999998</v>
      </c>
      <c r="T6544">
        <v>-0.64893029999999996</v>
      </c>
      <c r="U6544">
        <v>-4.0649409999999997E-2</v>
      </c>
      <c r="V6544">
        <v>6.9157740000000004E-3</v>
      </c>
      <c r="W6544">
        <v>-2.071106E-2</v>
      </c>
      <c r="X6544">
        <v>0.99976160000000003</v>
      </c>
      <c r="Y6544">
        <v>0.121283</v>
      </c>
      <c r="Z6544">
        <v>-3.7148189999999998E-2</v>
      </c>
      <c r="AA6544">
        <v>0.99192259999999999</v>
      </c>
      <c r="AB6544">
        <v>21</v>
      </c>
      <c r="AC6544">
        <v>0.69909999999998695</v>
      </c>
      <c r="AD6544">
        <v>-0.17226949999999999</v>
      </c>
      <c r="AE6544">
        <v>-2.3040000000001701E-2</v>
      </c>
      <c r="AF6544">
        <v>9.6227263918360006E-2</v>
      </c>
      <c r="AG6544">
        <v>-0.17226949999999999</v>
      </c>
      <c r="AH6544">
        <v>0.65242062756424801</v>
      </c>
      <c r="AI6544">
        <v>104.639706713262</v>
      </c>
      <c r="AJ6544">
        <v>81.609783713591796</v>
      </c>
      <c r="AK6544">
        <v>0.68160776273659796</v>
      </c>
      <c r="AL6544">
        <v>91.186741159818098</v>
      </c>
      <c r="AM6544">
        <v>89.603667172006496</v>
      </c>
      <c r="AN6544">
        <v>1.0000000163854501</v>
      </c>
    </row>
    <row r="6545" spans="1:40" x14ac:dyDescent="0.25">
      <c r="A6545" t="str">
        <f>"20190312161147113"</f>
        <v>20190312161147113</v>
      </c>
      <c r="B6545" t="str">
        <f>"1552378307103743"</f>
        <v>1552378307103743</v>
      </c>
      <c r="C6545" t="s">
        <v>40</v>
      </c>
      <c r="D6545">
        <v>4.7464959999999996</v>
      </c>
      <c r="E6545">
        <v>0.54718420000000001</v>
      </c>
      <c r="F6545" t="s">
        <v>42</v>
      </c>
      <c r="G6545">
        <v>-209.08430000000001</v>
      </c>
      <c r="H6545">
        <v>0.95835689999999996</v>
      </c>
      <c r="I6545">
        <v>-62.443159999999999</v>
      </c>
      <c r="J6545">
        <v>-209.69540000000001</v>
      </c>
      <c r="K6545">
        <v>1.1115489999999999</v>
      </c>
      <c r="L6545">
        <v>-62.421909999999997</v>
      </c>
      <c r="M6545">
        <v>0.99334239999999996</v>
      </c>
      <c r="N6545">
        <v>0</v>
      </c>
      <c r="O6545">
        <v>0.11429250000000001</v>
      </c>
      <c r="P6545">
        <v>0.99351529999999999</v>
      </c>
      <c r="Q6545">
        <v>-3.5152429999999998E-2</v>
      </c>
      <c r="R6545">
        <v>0.1081281</v>
      </c>
      <c r="S6545">
        <v>3.0001220000000002</v>
      </c>
      <c r="T6545">
        <v>-0.65056780000000003</v>
      </c>
      <c r="U6545">
        <v>-3.8635250000000003E-2</v>
      </c>
      <c r="V6545">
        <v>6.2067240000000003E-3</v>
      </c>
      <c r="W6545">
        <v>-2.071052E-2</v>
      </c>
      <c r="X6545">
        <v>0.99976620000000005</v>
      </c>
      <c r="Y6545">
        <v>0.1216121</v>
      </c>
      <c r="Z6545">
        <v>-3.7498209999999997E-2</v>
      </c>
      <c r="AA6545">
        <v>0.99186920000000001</v>
      </c>
      <c r="AB6545">
        <v>21</v>
      </c>
      <c r="AC6545">
        <v>0.61109999999999298</v>
      </c>
      <c r="AD6545">
        <v>-0.153192099999999</v>
      </c>
      <c r="AE6545">
        <v>-2.1250000000001899E-2</v>
      </c>
      <c r="AF6545">
        <v>8.5590009066891098E-2</v>
      </c>
      <c r="AG6545">
        <v>-0.153192099999999</v>
      </c>
      <c r="AH6545">
        <v>0.568954816942425</v>
      </c>
      <c r="AI6545">
        <v>104.909442879425</v>
      </c>
      <c r="AJ6545">
        <v>81.444930526359101</v>
      </c>
      <c r="AK6545">
        <v>0.59540158958174505</v>
      </c>
      <c r="AL6545">
        <v>91.186710290041603</v>
      </c>
      <c r="AM6545">
        <v>89.644302316664294</v>
      </c>
      <c r="AN6545">
        <v>0.99999995186196</v>
      </c>
    </row>
    <row r="6546" spans="1:40" x14ac:dyDescent="0.25">
      <c r="A6546" t="str">
        <f>"20190312161147125"</f>
        <v>20190312161147125</v>
      </c>
      <c r="B6546" t="str">
        <f>"1552378307113504"</f>
        <v>1552378307113504</v>
      </c>
      <c r="C6546" t="s">
        <v>40</v>
      </c>
      <c r="D6546">
        <v>4.690982</v>
      </c>
      <c r="E6546">
        <v>0.54718420000000001</v>
      </c>
      <c r="F6546" t="s">
        <v>42</v>
      </c>
      <c r="G6546">
        <v>-208.90950000000001</v>
      </c>
      <c r="H6546">
        <v>0.94132039999999995</v>
      </c>
      <c r="I6546">
        <v>-62.430819999999997</v>
      </c>
      <c r="J6546">
        <v>-209.5857</v>
      </c>
      <c r="K6546">
        <v>1.1115429999999999</v>
      </c>
      <c r="L6546">
        <v>-62.407899999999998</v>
      </c>
      <c r="M6546">
        <v>0.99320220000000004</v>
      </c>
      <c r="N6546">
        <v>0</v>
      </c>
      <c r="O6546">
        <v>0.11550530000000001</v>
      </c>
      <c r="P6546">
        <v>0.99330870000000004</v>
      </c>
      <c r="Q6546">
        <v>-3.5084980000000002E-2</v>
      </c>
      <c r="R6546">
        <v>0.1100329</v>
      </c>
      <c r="S6546">
        <v>3.000229</v>
      </c>
      <c r="T6546">
        <v>-0.64993109999999998</v>
      </c>
      <c r="U6546">
        <v>-3.3660889999999999E-2</v>
      </c>
      <c r="V6546">
        <v>5.5106010000000004E-3</v>
      </c>
      <c r="W6546">
        <v>-2.064788E-2</v>
      </c>
      <c r="X6546">
        <v>0.99977159999999998</v>
      </c>
      <c r="Y6546">
        <v>0.12117169999999999</v>
      </c>
      <c r="Z6546">
        <v>-3.7672169999999998E-2</v>
      </c>
      <c r="AA6546">
        <v>0.99191640000000003</v>
      </c>
      <c r="AB6546">
        <v>21</v>
      </c>
      <c r="AC6546">
        <v>0.67619999999999403</v>
      </c>
      <c r="AD6546">
        <v>-0.1702226</v>
      </c>
      <c r="AE6546">
        <v>-2.2919999999999101E-2</v>
      </c>
      <c r="AF6546">
        <v>9.4874088893039193E-2</v>
      </c>
      <c r="AG6546">
        <v>-0.1702226</v>
      </c>
      <c r="AH6546">
        <v>0.62919888653067402</v>
      </c>
      <c r="AI6546">
        <v>104.976763676243</v>
      </c>
      <c r="AJ6546">
        <v>81.425222186276201</v>
      </c>
      <c r="AK6546">
        <v>0.65868662131964095</v>
      </c>
      <c r="AL6546">
        <v>91.183120484960796</v>
      </c>
      <c r="AM6546">
        <v>89.684196888028197</v>
      </c>
      <c r="AN6546">
        <v>0.99999997691921705</v>
      </c>
    </row>
    <row r="6547" spans="1:40" x14ac:dyDescent="0.25">
      <c r="A6547" t="str">
        <f>"20190312161147134"</f>
        <v>20190312161147134</v>
      </c>
      <c r="B6547" t="str">
        <f>"1552378307123265"</f>
        <v>1552378307123265</v>
      </c>
      <c r="C6547" t="s">
        <v>40</v>
      </c>
      <c r="D6547">
        <v>4.7249349999999897</v>
      </c>
      <c r="E6547">
        <v>0.55575350000000001</v>
      </c>
      <c r="F6547" t="s">
        <v>42</v>
      </c>
      <c r="G6547">
        <v>-208.73390000000001</v>
      </c>
      <c r="H6547">
        <v>0.92705859999999995</v>
      </c>
      <c r="I6547">
        <v>-62.415790000000001</v>
      </c>
      <c r="J6547">
        <v>-209.49019999999999</v>
      </c>
      <c r="K6547">
        <v>1.11154</v>
      </c>
      <c r="L6547">
        <v>-62.395539999999997</v>
      </c>
      <c r="M6547">
        <v>0.99307880000000004</v>
      </c>
      <c r="N6547">
        <v>0</v>
      </c>
      <c r="O6547">
        <v>0.1165619</v>
      </c>
      <c r="P6547">
        <v>0.99313470000000004</v>
      </c>
      <c r="Q6547">
        <v>-3.503933E-2</v>
      </c>
      <c r="R6547">
        <v>0.11160580000000001</v>
      </c>
      <c r="S6547">
        <v>3.000305</v>
      </c>
      <c r="T6547">
        <v>-0.64983400000000002</v>
      </c>
      <c r="U6547">
        <v>-2.767944E-2</v>
      </c>
      <c r="V6547">
        <v>4.9913379999999997E-3</v>
      </c>
      <c r="W6547">
        <v>-2.0606119999999999E-2</v>
      </c>
      <c r="X6547">
        <v>0.99977519999999998</v>
      </c>
      <c r="Y6547">
        <v>0.12024849999999999</v>
      </c>
      <c r="Z6547">
        <v>-3.7791720000000001E-2</v>
      </c>
      <c r="AA6547">
        <v>0.99202420000000002</v>
      </c>
      <c r="AB6547">
        <v>21</v>
      </c>
      <c r="AC6547">
        <v>0.75629999999998099</v>
      </c>
      <c r="AD6547">
        <v>-0.18448139999999999</v>
      </c>
      <c r="AE6547">
        <v>-2.0249999999997201E-2</v>
      </c>
      <c r="AF6547">
        <v>0.10220030068734599</v>
      </c>
      <c r="AG6547">
        <v>-0.18448139999999999</v>
      </c>
      <c r="AH6547">
        <v>0.706760786815405</v>
      </c>
      <c r="AI6547">
        <v>104.484922316739</v>
      </c>
      <c r="AJ6547">
        <v>81.771846742439493</v>
      </c>
      <c r="AK6547">
        <v>0.73755616612328201</v>
      </c>
      <c r="AL6547">
        <v>91.180727290795204</v>
      </c>
      <c r="AM6547">
        <v>89.713955471637505</v>
      </c>
      <c r="AN6547">
        <v>0.99999998808576196</v>
      </c>
    </row>
    <row r="6548" spans="1:40" x14ac:dyDescent="0.25">
      <c r="A6548" t="str">
        <f>"20190312161147146"</f>
        <v>20190312161147146</v>
      </c>
      <c r="B6548" t="str">
        <f>"1552378307134000"</f>
        <v>1552378307134000</v>
      </c>
      <c r="C6548" t="s">
        <v>40</v>
      </c>
      <c r="D6548">
        <v>4.751214</v>
      </c>
      <c r="E6548">
        <v>0.55652709999999905</v>
      </c>
      <c r="F6548" t="s">
        <v>42</v>
      </c>
      <c r="G6548">
        <v>-208.73480000000001</v>
      </c>
      <c r="H6548">
        <v>0.92442440000000003</v>
      </c>
      <c r="I6548">
        <v>-62.417589999999997</v>
      </c>
      <c r="J6548">
        <v>-209.392</v>
      </c>
      <c r="K6548">
        <v>1.111537</v>
      </c>
      <c r="L6548">
        <v>-62.382779999999997</v>
      </c>
      <c r="M6548">
        <v>0.99295069999999996</v>
      </c>
      <c r="N6548">
        <v>0</v>
      </c>
      <c r="O6548">
        <v>0.1176475</v>
      </c>
      <c r="P6548">
        <v>0.992892</v>
      </c>
      <c r="Q6548">
        <v>-3.4684470000000002E-2</v>
      </c>
      <c r="R6548">
        <v>0.1138535</v>
      </c>
      <c r="S6548">
        <v>3.0042879999999998</v>
      </c>
      <c r="T6548">
        <v>-0.74417709999999904</v>
      </c>
      <c r="U6548">
        <v>-8.7585449999999995E-2</v>
      </c>
      <c r="V6548">
        <v>3.8218850000000001E-3</v>
      </c>
      <c r="W6548">
        <v>-2.0257009999999999E-2</v>
      </c>
      <c r="X6548">
        <v>0.99978750000000005</v>
      </c>
      <c r="Y6548">
        <v>0.13880970000000001</v>
      </c>
      <c r="Z6548">
        <v>-4.5599170000000001E-2</v>
      </c>
      <c r="AA6548">
        <v>0.9892687</v>
      </c>
      <c r="AB6548">
        <v>21</v>
      </c>
      <c r="AC6548">
        <v>0.65719999999998802</v>
      </c>
      <c r="AD6548">
        <v>-0.18711259999999999</v>
      </c>
      <c r="AE6548">
        <v>-3.4810000000000202E-2</v>
      </c>
      <c r="AF6548">
        <v>0.103525780678697</v>
      </c>
      <c r="AG6548">
        <v>-0.18711259999999999</v>
      </c>
      <c r="AH6548">
        <v>0.60003600381561295</v>
      </c>
      <c r="AI6548">
        <v>107.081955021902</v>
      </c>
      <c r="AJ6548">
        <v>80.210981656426796</v>
      </c>
      <c r="AK6548">
        <v>0.63700229059156699</v>
      </c>
      <c r="AL6548">
        <v>91.160720571633902</v>
      </c>
      <c r="AM6548">
        <v>89.780976643885396</v>
      </c>
      <c r="AN6548">
        <v>0.99999999920767102</v>
      </c>
    </row>
    <row r="6549" spans="1:40" x14ac:dyDescent="0.25">
      <c r="A6549" t="str">
        <f>"20190312161147157"</f>
        <v>20190312161147157</v>
      </c>
      <c r="B6549" t="str">
        <f>"1552378307143761"</f>
        <v>1552378307143761</v>
      </c>
      <c r="C6549" t="s">
        <v>40</v>
      </c>
      <c r="D6549">
        <v>4.7435179999999999</v>
      </c>
      <c r="E6549">
        <v>0.55643480000000001</v>
      </c>
      <c r="F6549" t="s">
        <v>42</v>
      </c>
      <c r="G6549">
        <v>-208.55889999999999</v>
      </c>
      <c r="H6549">
        <v>0.90810990000000003</v>
      </c>
      <c r="I6549">
        <v>-62.4071</v>
      </c>
      <c r="J6549">
        <v>-209.2928</v>
      </c>
      <c r="K6549">
        <v>1.111534</v>
      </c>
      <c r="L6549">
        <v>-62.369720000000001</v>
      </c>
      <c r="M6549">
        <v>0.99282009999999998</v>
      </c>
      <c r="N6549">
        <v>0</v>
      </c>
      <c r="O6549">
        <v>0.1187453</v>
      </c>
      <c r="P6549">
        <v>0.99268109999999998</v>
      </c>
      <c r="Q6549">
        <v>-3.4274020000000002E-2</v>
      </c>
      <c r="R6549">
        <v>0.1158</v>
      </c>
      <c r="S6549">
        <v>3.0058289999999999</v>
      </c>
      <c r="T6549">
        <v>-0.73412230000000001</v>
      </c>
      <c r="U6549">
        <v>-8.7036130000000003E-2</v>
      </c>
      <c r="V6549">
        <v>2.967828E-3</v>
      </c>
      <c r="W6549">
        <v>-1.9851440000000001E-2</v>
      </c>
      <c r="X6549">
        <v>0.99979850000000003</v>
      </c>
      <c r="Y6549">
        <v>0.1398575</v>
      </c>
      <c r="Z6549">
        <v>-4.536751E-2</v>
      </c>
      <c r="AA6549">
        <v>0.98913169999999995</v>
      </c>
      <c r="AB6549">
        <v>21</v>
      </c>
      <c r="AC6549">
        <v>0.73390000000000499</v>
      </c>
      <c r="AD6549">
        <v>-0.2034241</v>
      </c>
      <c r="AE6549">
        <v>-3.7380000000005902E-2</v>
      </c>
      <c r="AF6549">
        <v>0.115426433245907</v>
      </c>
      <c r="AG6549">
        <v>-0.2034241</v>
      </c>
      <c r="AH6549">
        <v>0.672716156691616</v>
      </c>
      <c r="AI6549">
        <v>106.595993235756</v>
      </c>
      <c r="AJ6549">
        <v>80.263844622381797</v>
      </c>
      <c r="AK6549">
        <v>0.71221601598575401</v>
      </c>
      <c r="AL6549">
        <v>91.137478487920404</v>
      </c>
      <c r="AM6549">
        <v>89.829922210052601</v>
      </c>
      <c r="AN6549">
        <v>0.99999996413768</v>
      </c>
    </row>
    <row r="6550" spans="1:40" x14ac:dyDescent="0.25">
      <c r="A6550" t="str">
        <f>"20190312161147169"</f>
        <v>20190312161147169</v>
      </c>
      <c r="B6550" t="str">
        <f>"1552378307163281"</f>
        <v>1552378307163281</v>
      </c>
      <c r="C6550" t="s">
        <v>40</v>
      </c>
      <c r="D6550">
        <v>4.6656449999999996</v>
      </c>
      <c r="E6550">
        <v>0.55660969999999999</v>
      </c>
      <c r="F6550" t="s">
        <v>42</v>
      </c>
      <c r="G6550">
        <v>-208.55090000000001</v>
      </c>
      <c r="H6550">
        <v>0.93203469999999999</v>
      </c>
      <c r="I6550">
        <v>-62.389830000000003</v>
      </c>
      <c r="J6550">
        <v>-209.18950000000001</v>
      </c>
      <c r="K6550">
        <v>1.1115349999999999</v>
      </c>
      <c r="L6550">
        <v>-62.356079999999999</v>
      </c>
      <c r="M6550">
        <v>0.99268279999999998</v>
      </c>
      <c r="N6550">
        <v>0</v>
      </c>
      <c r="O6550">
        <v>0.1198878</v>
      </c>
      <c r="P6550">
        <v>0.99241670000000004</v>
      </c>
      <c r="Q6550">
        <v>-3.4118830000000003E-2</v>
      </c>
      <c r="R6550">
        <v>0.1180872</v>
      </c>
      <c r="S6550">
        <v>3.0064090000000001</v>
      </c>
      <c r="T6550">
        <v>-0.72758459999999903</v>
      </c>
      <c r="U6550">
        <v>-8.0718990000000004E-2</v>
      </c>
      <c r="V6550">
        <v>1.815234E-3</v>
      </c>
      <c r="W6550">
        <v>-1.9702230000000001E-2</v>
      </c>
      <c r="X6550">
        <v>0.99980429999999998</v>
      </c>
      <c r="Y6550">
        <v>0.13903950000000001</v>
      </c>
      <c r="Z6550">
        <v>-4.5140550000000002E-2</v>
      </c>
      <c r="AA6550">
        <v>0.98925750000000001</v>
      </c>
      <c r="AB6550">
        <v>21</v>
      </c>
      <c r="AC6550">
        <v>0.63859999999999595</v>
      </c>
      <c r="AD6550">
        <v>-0.179500299999999</v>
      </c>
      <c r="AE6550">
        <v>-3.3749999999997699E-2</v>
      </c>
      <c r="AF6550">
        <v>0.10203562611861899</v>
      </c>
      <c r="AG6550">
        <v>-0.179500299999999</v>
      </c>
      <c r="AH6550">
        <v>0.58393896875423701</v>
      </c>
      <c r="AI6550">
        <v>106.846711567037</v>
      </c>
      <c r="AJ6550">
        <v>80.088387351312306</v>
      </c>
      <c r="AK6550">
        <v>0.61936769848553697</v>
      </c>
      <c r="AL6550">
        <v>91.128927608687405</v>
      </c>
      <c r="AM6550">
        <v>89.895974509462306</v>
      </c>
      <c r="AN6550">
        <v>1.00000005561996</v>
      </c>
    </row>
    <row r="6551" spans="1:40" x14ac:dyDescent="0.25">
      <c r="A6551" t="str">
        <f>"20190312161147180"</f>
        <v>20190312161147180</v>
      </c>
      <c r="B6551" t="str">
        <f>"1552378307174017"</f>
        <v>1552378307174017</v>
      </c>
      <c r="C6551" t="s">
        <v>40</v>
      </c>
      <c r="D6551">
        <v>4.9770770000000004</v>
      </c>
      <c r="E6551">
        <v>0.55660969999999999</v>
      </c>
      <c r="F6551" t="s">
        <v>42</v>
      </c>
      <c r="G6551">
        <v>-208.37700000000001</v>
      </c>
      <c r="H6551">
        <v>0.91364860000000003</v>
      </c>
      <c r="I6551">
        <v>-62.376399999999997</v>
      </c>
      <c r="J6551">
        <v>-209.0763</v>
      </c>
      <c r="K6551">
        <v>1.111534</v>
      </c>
      <c r="L6551">
        <v>-62.340940000000003</v>
      </c>
      <c r="M6551">
        <v>0.99253080000000005</v>
      </c>
      <c r="N6551">
        <v>0</v>
      </c>
      <c r="O6551">
        <v>0.1211401</v>
      </c>
      <c r="P6551">
        <v>0.99215569999999997</v>
      </c>
      <c r="Q6551">
        <v>-3.3910620000000002E-2</v>
      </c>
      <c r="R6551">
        <v>0.120323</v>
      </c>
      <c r="S6551">
        <v>3.0066830000000002</v>
      </c>
      <c r="T6551">
        <v>-0.73225469999999904</v>
      </c>
      <c r="U6551">
        <v>-7.5195310000000001E-2</v>
      </c>
      <c r="V6551">
        <v>8.2385089999999998E-4</v>
      </c>
      <c r="W6551">
        <v>-1.949973E-2</v>
      </c>
      <c r="X6551">
        <v>0.99980950000000002</v>
      </c>
      <c r="Y6551">
        <v>0.13835899999999901</v>
      </c>
      <c r="Z6551">
        <v>-4.5635740000000001E-2</v>
      </c>
      <c r="AA6551">
        <v>0.98933020000000005</v>
      </c>
      <c r="AB6551">
        <v>20</v>
      </c>
      <c r="AC6551">
        <v>0.69929999999999304</v>
      </c>
      <c r="AD6551">
        <v>-0.19788539999999999</v>
      </c>
      <c r="AE6551">
        <v>-3.5459999999993302E-2</v>
      </c>
      <c r="AF6551">
        <v>0.111051179365748</v>
      </c>
      <c r="AG6551">
        <v>-0.19788539999999999</v>
      </c>
      <c r="AH6551">
        <v>0.63882932614330101</v>
      </c>
      <c r="AI6551">
        <v>106.97143971143799</v>
      </c>
      <c r="AJ6551">
        <v>80.138508723737004</v>
      </c>
      <c r="AK6551">
        <v>0.67793355420158097</v>
      </c>
      <c r="AL6551">
        <v>91.117323072089306</v>
      </c>
      <c r="AM6551">
        <v>89.952787837248394</v>
      </c>
      <c r="AN6551">
        <v>0.99999997724531398</v>
      </c>
    </row>
    <row r="6552" spans="1:40" x14ac:dyDescent="0.25">
      <c r="A6552" t="str">
        <f>"20190312161147194"</f>
        <v>20190312161147194</v>
      </c>
      <c r="B6552" t="str">
        <f>"1552378307183776"</f>
        <v>1552378307183776</v>
      </c>
      <c r="C6552" t="s">
        <v>40</v>
      </c>
      <c r="D6552">
        <v>4.7379020000000001</v>
      </c>
      <c r="E6552">
        <v>0.54922419999999905</v>
      </c>
      <c r="F6552" t="s">
        <v>42</v>
      </c>
      <c r="G6552">
        <v>-208.3681</v>
      </c>
      <c r="H6552">
        <v>0.93928990000000001</v>
      </c>
      <c r="I6552">
        <v>-62.357140000000001</v>
      </c>
      <c r="J6552">
        <v>-208.9683</v>
      </c>
      <c r="K6552">
        <v>1.111534</v>
      </c>
      <c r="L6552">
        <v>-62.326349999999998</v>
      </c>
      <c r="M6552">
        <v>0.9923843</v>
      </c>
      <c r="N6552">
        <v>0</v>
      </c>
      <c r="O6552">
        <v>0.1223359</v>
      </c>
      <c r="P6552">
        <v>0.99190069999999997</v>
      </c>
      <c r="Q6552">
        <v>-3.3677459999999999E-2</v>
      </c>
      <c r="R6552">
        <v>0.1224717</v>
      </c>
      <c r="S6552">
        <v>3.0070649999999999</v>
      </c>
      <c r="T6552">
        <v>-0.73135640000000002</v>
      </c>
      <c r="U6552">
        <v>-6.8725590000000003E-2</v>
      </c>
      <c r="V6552">
        <v>-1.3617530000000001E-4</v>
      </c>
      <c r="W6552">
        <v>-1.9272049999999999E-2</v>
      </c>
      <c r="X6552">
        <v>0.99981430000000004</v>
      </c>
      <c r="Y6552">
        <v>0.1374329</v>
      </c>
      <c r="Z6552">
        <v>-4.575017E-2</v>
      </c>
      <c r="AA6552">
        <v>0.98945399999999994</v>
      </c>
      <c r="AB6552">
        <v>20</v>
      </c>
      <c r="AC6552">
        <v>0.60020000000000095</v>
      </c>
      <c r="AD6552">
        <v>-0.17224410000000001</v>
      </c>
      <c r="AE6552">
        <v>-3.07900000000032E-2</v>
      </c>
      <c r="AF6552">
        <v>9.6098738932404199E-2</v>
      </c>
      <c r="AG6552">
        <v>-0.17224410000000001</v>
      </c>
      <c r="AH6552">
        <v>0.546993582022271</v>
      </c>
      <c r="AI6552">
        <v>107.230880000521</v>
      </c>
      <c r="AJ6552">
        <v>80.035660137056098</v>
      </c>
      <c r="AK6552">
        <v>0.58146794957483605</v>
      </c>
      <c r="AL6552">
        <v>91.104275455745096</v>
      </c>
      <c r="AM6552">
        <v>90.007803719066303</v>
      </c>
      <c r="AN6552">
        <v>1.0000000324697</v>
      </c>
    </row>
    <row r="6553" spans="1:40" x14ac:dyDescent="0.25">
      <c r="A6553" t="str">
        <f>"20190312161147209"</f>
        <v>20190312161147209</v>
      </c>
      <c r="B6553" t="str">
        <f>"1552378307203296"</f>
        <v>1552378307203296</v>
      </c>
      <c r="C6553" t="s">
        <v>40</v>
      </c>
      <c r="D6553">
        <v>5.0667559999999998</v>
      </c>
      <c r="E6553">
        <v>0.54920190000000002</v>
      </c>
      <c r="F6553" t="s">
        <v>42</v>
      </c>
      <c r="G6553">
        <v>-208.1867</v>
      </c>
      <c r="H6553">
        <v>0.94346260000000004</v>
      </c>
      <c r="I6553">
        <v>-62.328169999999901</v>
      </c>
      <c r="J6553">
        <v>-208.83760000000001</v>
      </c>
      <c r="K6553">
        <v>1.111531</v>
      </c>
      <c r="L6553">
        <v>-62.308529999999998</v>
      </c>
      <c r="M6553">
        <v>0.9922048</v>
      </c>
      <c r="N6553">
        <v>0</v>
      </c>
      <c r="O6553">
        <v>0.12378210000000001</v>
      </c>
      <c r="P6553">
        <v>0.99163880000000004</v>
      </c>
      <c r="Q6553">
        <v>-3.3424370000000002E-2</v>
      </c>
      <c r="R6553">
        <v>0.1246414</v>
      </c>
      <c r="S6553">
        <v>3.003342</v>
      </c>
      <c r="T6553">
        <v>-0.6460224</v>
      </c>
      <c r="U6553">
        <v>-6.4086909999999898E-3</v>
      </c>
      <c r="V6553">
        <v>-8.6608140000000002E-4</v>
      </c>
      <c r="W6553">
        <v>-1.9024300000000001E-2</v>
      </c>
      <c r="X6553">
        <v>0.9998186</v>
      </c>
      <c r="Y6553">
        <v>0.1203388</v>
      </c>
      <c r="Z6553">
        <v>-3.9072950000000002E-2</v>
      </c>
      <c r="AA6553">
        <v>0.99196359999999995</v>
      </c>
      <c r="AB6553">
        <v>20</v>
      </c>
      <c r="AC6553">
        <v>0.65090000000000703</v>
      </c>
      <c r="AD6553">
        <v>-0.16806840000000001</v>
      </c>
      <c r="AE6553">
        <v>-1.9639999999988299E-2</v>
      </c>
      <c r="AF6553">
        <v>9.3817732308398197E-2</v>
      </c>
      <c r="AG6553">
        <v>-0.16806840000000001</v>
      </c>
      <c r="AH6553">
        <v>0.60327673724853803</v>
      </c>
      <c r="AI6553">
        <v>105.391358583285</v>
      </c>
      <c r="AJ6553">
        <v>81.160532991560302</v>
      </c>
      <c r="AK6553">
        <v>0.63323895622370896</v>
      </c>
      <c r="AL6553">
        <v>91.0900779098545</v>
      </c>
      <c r="AM6553">
        <v>90.049631799731401</v>
      </c>
      <c r="AN6553">
        <v>0.999999953496719</v>
      </c>
    </row>
    <row r="6554" spans="1:40" x14ac:dyDescent="0.25">
      <c r="A6554" t="str">
        <f>"20190312161147220"</f>
        <v>20190312161147220</v>
      </c>
      <c r="B6554" t="str">
        <f>"1552378307214032"</f>
        <v>1552378307214032</v>
      </c>
      <c r="C6554" t="s">
        <v>40</v>
      </c>
      <c r="D6554">
        <v>4.9767049999999999</v>
      </c>
      <c r="E6554">
        <v>0.54930069999999998</v>
      </c>
      <c r="F6554" t="s">
        <v>42</v>
      </c>
      <c r="G6554">
        <v>-208.01070000000001</v>
      </c>
      <c r="H6554">
        <v>0.93428469999999997</v>
      </c>
      <c r="I6554">
        <v>-62.308509999999998</v>
      </c>
      <c r="J6554">
        <v>-208.72110000000001</v>
      </c>
      <c r="K6554">
        <v>1.1115280000000001</v>
      </c>
      <c r="L6554">
        <v>-62.29251</v>
      </c>
      <c r="M6554">
        <v>0.99204309999999996</v>
      </c>
      <c r="N6554">
        <v>0</v>
      </c>
      <c r="O6554">
        <v>0.12507199999999999</v>
      </c>
      <c r="P6554">
        <v>0.99142739999999996</v>
      </c>
      <c r="Q6554">
        <v>-3.316653E-2</v>
      </c>
      <c r="R6554">
        <v>0.12637979999999999</v>
      </c>
      <c r="S6554">
        <v>3.0036010000000002</v>
      </c>
      <c r="T6554">
        <v>-0.64384960000000002</v>
      </c>
      <c r="U6554">
        <v>0</v>
      </c>
      <c r="V6554">
        <v>-1.318524E-3</v>
      </c>
      <c r="W6554">
        <v>-1.877065E-2</v>
      </c>
      <c r="X6554">
        <v>0.99982300000000002</v>
      </c>
      <c r="Y6554">
        <v>0.1195392</v>
      </c>
      <c r="Z6554">
        <v>-3.9127420000000003E-2</v>
      </c>
      <c r="AA6554">
        <v>0.9920582</v>
      </c>
      <c r="AB6554">
        <v>20</v>
      </c>
      <c r="AC6554">
        <v>0.71039999999999204</v>
      </c>
      <c r="AD6554">
        <v>-0.17724329999999999</v>
      </c>
      <c r="AE6554">
        <v>-1.59999999999982E-2</v>
      </c>
      <c r="AF6554">
        <v>9.8600042745684999E-2</v>
      </c>
      <c r="AG6554">
        <v>-0.17724329999999999</v>
      </c>
      <c r="AH6554">
        <v>0.66165271393103897</v>
      </c>
      <c r="AI6554">
        <v>104.839757135174</v>
      </c>
      <c r="AJ6554">
        <v>81.524109518633097</v>
      </c>
      <c r="AK6554">
        <v>0.69204152308705502</v>
      </c>
      <c r="AL6554">
        <v>91.075542131340796</v>
      </c>
      <c r="AM6554">
        <v>90.075559190568995</v>
      </c>
      <c r="AN6554">
        <v>1.0000000535679701</v>
      </c>
    </row>
    <row r="6555" spans="1:40" x14ac:dyDescent="0.25">
      <c r="A6555" t="str">
        <f>"20190312161147235"</f>
        <v>20190312161147235</v>
      </c>
      <c r="B6555" t="str">
        <f>"1552378307223793"</f>
        <v>1552378307223793</v>
      </c>
      <c r="C6555" t="s">
        <v>40</v>
      </c>
      <c r="D6555">
        <v>4.7516660000000002</v>
      </c>
      <c r="E6555">
        <v>0.54920950000000002</v>
      </c>
      <c r="F6555" t="s">
        <v>42</v>
      </c>
      <c r="G6555">
        <v>-208.0018</v>
      </c>
      <c r="H6555">
        <v>0.95775829999999995</v>
      </c>
      <c r="I6555">
        <v>-62.291519999999998</v>
      </c>
      <c r="J6555">
        <v>-208.5934</v>
      </c>
      <c r="K6555">
        <v>1.111531</v>
      </c>
      <c r="L6555">
        <v>-62.274749999999997</v>
      </c>
      <c r="M6555">
        <v>0.99186399999999997</v>
      </c>
      <c r="N6555">
        <v>0</v>
      </c>
      <c r="O6555">
        <v>0.12648489999999901</v>
      </c>
      <c r="P6555">
        <v>0.99111680000000002</v>
      </c>
      <c r="Q6555">
        <v>-3.273007E-2</v>
      </c>
      <c r="R6555">
        <v>0.12890409999999999</v>
      </c>
      <c r="S6555">
        <v>3.0039370000000001</v>
      </c>
      <c r="T6555">
        <v>-0.64213750000000003</v>
      </c>
      <c r="U6555">
        <v>4.0283200000000002E-3</v>
      </c>
      <c r="V6555">
        <v>-2.4393879999999998E-3</v>
      </c>
      <c r="W6555">
        <v>-1.8340619999999998E-2</v>
      </c>
      <c r="X6555">
        <v>0.99982879999999996</v>
      </c>
      <c r="Y6555">
        <v>0.11961910000000001</v>
      </c>
      <c r="Z6555">
        <v>-3.9326149999999997E-2</v>
      </c>
      <c r="AA6555">
        <v>0.9920407</v>
      </c>
      <c r="AB6555">
        <v>20</v>
      </c>
      <c r="AC6555">
        <v>0.59159999999999902</v>
      </c>
      <c r="AD6555">
        <v>-0.15377269999999901</v>
      </c>
      <c r="AE6555">
        <v>-1.6770000000000999E-2</v>
      </c>
      <c r="AF6555">
        <v>8.5686980106368299E-2</v>
      </c>
      <c r="AG6555">
        <v>-0.15377269999999901</v>
      </c>
      <c r="AH6555">
        <v>0.54774895066509099</v>
      </c>
      <c r="AI6555">
        <v>105.502017026329</v>
      </c>
      <c r="AJ6555">
        <v>81.109007003424495</v>
      </c>
      <c r="AK6555">
        <v>0.57534095524284401</v>
      </c>
      <c r="AL6555">
        <v>91.0508990638142</v>
      </c>
      <c r="AM6555">
        <v>90.139790291766403</v>
      </c>
      <c r="AN6555">
        <v>0.99999997913261895</v>
      </c>
    </row>
    <row r="6556" spans="1:40" x14ac:dyDescent="0.25">
      <c r="A6556" t="str">
        <f>"20190312161147246"</f>
        <v>20190312161147246</v>
      </c>
      <c r="B6556" t="str">
        <f>"1552378307233552"</f>
        <v>1552378307233552</v>
      </c>
      <c r="C6556" t="s">
        <v>40</v>
      </c>
      <c r="D6556">
        <v>4.7572269999999897</v>
      </c>
      <c r="E6556">
        <v>0.54920950000000002</v>
      </c>
      <c r="F6556" t="s">
        <v>42</v>
      </c>
      <c r="G6556">
        <v>-207.8263</v>
      </c>
      <c r="H6556">
        <v>0.94860789999999995</v>
      </c>
      <c r="I6556">
        <v>-62.271880000000003</v>
      </c>
      <c r="J6556">
        <v>-208.49350000000001</v>
      </c>
      <c r="K6556">
        <v>1.1115299999999999</v>
      </c>
      <c r="L6556">
        <v>-62.260739999999998</v>
      </c>
      <c r="M6556">
        <v>0.99172229999999995</v>
      </c>
      <c r="N6556">
        <v>0</v>
      </c>
      <c r="O6556">
        <v>0.12759110000000001</v>
      </c>
      <c r="P6556">
        <v>0.99090210000000001</v>
      </c>
      <c r="Q6556">
        <v>-3.2543379999999997E-2</v>
      </c>
      <c r="R6556">
        <v>0.13059100000000001</v>
      </c>
      <c r="S6556">
        <v>3.0043030000000002</v>
      </c>
      <c r="T6556">
        <v>-0.63808129999999996</v>
      </c>
      <c r="U6556">
        <v>1.1566160000000001E-2</v>
      </c>
      <c r="V6556">
        <v>-3.0262840000000002E-3</v>
      </c>
      <c r="W6556">
        <v>-1.815816E-2</v>
      </c>
      <c r="X6556">
        <v>0.99983049999999996</v>
      </c>
      <c r="Y6556">
        <v>0.1183123</v>
      </c>
      <c r="Z6556">
        <v>-3.9171030000000003E-2</v>
      </c>
      <c r="AA6556">
        <v>0.99220350000000002</v>
      </c>
      <c r="AB6556">
        <v>20</v>
      </c>
      <c r="AC6556">
        <v>0.66720000000000801</v>
      </c>
      <c r="AD6556">
        <v>-0.16292209999999899</v>
      </c>
      <c r="AE6556">
        <v>-1.11399999999974E-2</v>
      </c>
      <c r="AF6556">
        <v>9.0775329077012801E-2</v>
      </c>
      <c r="AG6556">
        <v>-0.16292209999999899</v>
      </c>
      <c r="AH6556">
        <v>0.62317604330119902</v>
      </c>
      <c r="AI6556">
        <v>104.504857479262</v>
      </c>
      <c r="AJ6556">
        <v>81.7122640210534</v>
      </c>
      <c r="AK6556">
        <v>0.65048608899959404</v>
      </c>
      <c r="AL6556">
        <v>91.040443161628602</v>
      </c>
      <c r="AM6556">
        <v>90.173422166353802</v>
      </c>
      <c r="AN6556">
        <v>0.99999995294984101</v>
      </c>
    </row>
    <row r="6557" spans="1:40" x14ac:dyDescent="0.25">
      <c r="A6557" t="str">
        <f>"20190312161147257"</f>
        <v>20190312161147257</v>
      </c>
      <c r="B6557" t="str">
        <f>"1552378307243313"</f>
        <v>1552378307243313</v>
      </c>
      <c r="C6557" t="s">
        <v>40</v>
      </c>
      <c r="D6557">
        <v>4.767798</v>
      </c>
      <c r="E6557">
        <v>0.56167219999999995</v>
      </c>
      <c r="F6557" t="s">
        <v>42</v>
      </c>
      <c r="G6557">
        <v>-207.6534</v>
      </c>
      <c r="H6557">
        <v>0.93331249999999999</v>
      </c>
      <c r="I6557">
        <v>-62.2562</v>
      </c>
      <c r="J6557">
        <v>-208.39</v>
      </c>
      <c r="K6557">
        <v>1.111529</v>
      </c>
      <c r="L6557">
        <v>-62.24606</v>
      </c>
      <c r="M6557">
        <v>0.99157419999999996</v>
      </c>
      <c r="N6557">
        <v>0</v>
      </c>
      <c r="O6557">
        <v>0.1287375</v>
      </c>
      <c r="P6557">
        <v>0.99072150000000003</v>
      </c>
      <c r="Q6557">
        <v>-3.2211190000000001E-2</v>
      </c>
      <c r="R6557">
        <v>0.13203570000000001</v>
      </c>
      <c r="S6557">
        <v>3.0044559999999998</v>
      </c>
      <c r="T6557">
        <v>-0.63737359999999998</v>
      </c>
      <c r="U6557">
        <v>1.6479489999999999E-2</v>
      </c>
      <c r="V6557">
        <v>-3.3280900000000001E-3</v>
      </c>
      <c r="W6557">
        <v>-1.7829379999999999E-2</v>
      </c>
      <c r="X6557">
        <v>0.99983549999999999</v>
      </c>
      <c r="Y6557">
        <v>0.1178352</v>
      </c>
      <c r="Z6557">
        <v>-3.9314660000000001E-2</v>
      </c>
      <c r="AA6557">
        <v>0.99225459999999999</v>
      </c>
      <c r="AB6557">
        <v>20</v>
      </c>
      <c r="AC6557">
        <v>0.73659999999998105</v>
      </c>
      <c r="AD6557">
        <v>-0.1782165</v>
      </c>
      <c r="AE6557">
        <v>-1.01399999999998E-2</v>
      </c>
      <c r="AF6557">
        <v>9.9093889881927494E-2</v>
      </c>
      <c r="AG6557">
        <v>-0.1782165</v>
      </c>
      <c r="AH6557">
        <v>0.68884808560676503</v>
      </c>
      <c r="AI6557">
        <v>104.363669534176</v>
      </c>
      <c r="AJ6557">
        <v>81.813904588630507</v>
      </c>
      <c r="AK6557">
        <v>0.71839571611214803</v>
      </c>
      <c r="AL6557">
        <v>91.021602360950794</v>
      </c>
      <c r="AM6557">
        <v>90.190716179401605</v>
      </c>
      <c r="AN6557">
        <v>0.99999999501724102</v>
      </c>
    </row>
    <row r="6558" spans="1:40" x14ac:dyDescent="0.25">
      <c r="A6558" t="str">
        <f>"20190312161147269"</f>
        <v>20190312161147269</v>
      </c>
      <c r="B6558" t="str">
        <f>"1552378307263811"</f>
        <v>1552378307263811</v>
      </c>
      <c r="C6558" t="s">
        <v>40</v>
      </c>
      <c r="D6558">
        <v>4.7711750000000004</v>
      </c>
      <c r="E6558">
        <v>0.56146809999999903</v>
      </c>
      <c r="F6558" t="s">
        <v>42</v>
      </c>
      <c r="G6558">
        <v>-207.64920000000001</v>
      </c>
      <c r="H6558">
        <v>0.93894290000000002</v>
      </c>
      <c r="I6558">
        <v>-62.264850000000003</v>
      </c>
      <c r="J6558">
        <v>-208.2877</v>
      </c>
      <c r="K6558">
        <v>1.111526</v>
      </c>
      <c r="L6558">
        <v>-62.231479999999998</v>
      </c>
      <c r="M6558">
        <v>0.99142660000000005</v>
      </c>
      <c r="N6558">
        <v>0</v>
      </c>
      <c r="O6558">
        <v>0.1298704</v>
      </c>
      <c r="P6558">
        <v>0.99049739999999997</v>
      </c>
      <c r="Q6558">
        <v>-3.1957359999999997E-2</v>
      </c>
      <c r="R6558">
        <v>0.13376840000000001</v>
      </c>
      <c r="S6558">
        <v>3.0154269999999999</v>
      </c>
      <c r="T6558">
        <v>-0.70262769999999997</v>
      </c>
      <c r="U6558">
        <v>-7.6202389999999995E-2</v>
      </c>
      <c r="V6558">
        <v>-3.9340679999999998E-3</v>
      </c>
      <c r="W6558">
        <v>-1.7579839999999999E-2</v>
      </c>
      <c r="X6558">
        <v>0.99983770000000005</v>
      </c>
      <c r="Y6558">
        <v>0.14747469999999999</v>
      </c>
      <c r="Z6558">
        <v>-4.6759460000000003E-2</v>
      </c>
      <c r="AA6558">
        <v>0.9879599</v>
      </c>
      <c r="AB6558">
        <v>20</v>
      </c>
      <c r="AC6558">
        <v>0.63849999999999296</v>
      </c>
      <c r="AD6558">
        <v>-0.17258309999999999</v>
      </c>
      <c r="AE6558">
        <v>-3.3369999999997901E-2</v>
      </c>
      <c r="AF6558">
        <v>0.108139129284787</v>
      </c>
      <c r="AG6558">
        <v>-0.17258309999999999</v>
      </c>
      <c r="AH6558">
        <v>0.58605697800087997</v>
      </c>
      <c r="AI6558">
        <v>106.150650061845</v>
      </c>
      <c r="AJ6558">
        <v>79.545385865614193</v>
      </c>
      <c r="AK6558">
        <v>0.62043676482910404</v>
      </c>
      <c r="AL6558">
        <v>91.007302548830395</v>
      </c>
      <c r="AM6558">
        <v>90.225440918553005</v>
      </c>
      <c r="AN6558">
        <v>0.99999997700337195</v>
      </c>
    </row>
    <row r="6559" spans="1:40" x14ac:dyDescent="0.25">
      <c r="A6559" t="str">
        <f>"20190312161147280"</f>
        <v>20190312161147280</v>
      </c>
      <c r="B6559" t="str">
        <f>"1552378307273568"</f>
        <v>1552378307273568</v>
      </c>
      <c r="C6559" t="s">
        <v>40</v>
      </c>
      <c r="D6559">
        <v>4.7248479999999997</v>
      </c>
      <c r="E6559">
        <v>0.56146809999999903</v>
      </c>
      <c r="F6559" t="s">
        <v>42</v>
      </c>
      <c r="G6559">
        <v>-207.47630000000001</v>
      </c>
      <c r="H6559">
        <v>0.92258759999999995</v>
      </c>
      <c r="I6559">
        <v>-62.250230000000002</v>
      </c>
      <c r="J6559">
        <v>-208.18819999999999</v>
      </c>
      <c r="K6559">
        <v>1.1115219999999999</v>
      </c>
      <c r="L6559">
        <v>-62.21716</v>
      </c>
      <c r="M6559">
        <v>0.99128170000000004</v>
      </c>
      <c r="N6559">
        <v>0</v>
      </c>
      <c r="O6559">
        <v>0.13097149999999999</v>
      </c>
      <c r="P6559">
        <v>0.99030459999999998</v>
      </c>
      <c r="Q6559">
        <v>-3.235321E-2</v>
      </c>
      <c r="R6559">
        <v>0.1350944</v>
      </c>
      <c r="S6559">
        <v>3.0155029999999998</v>
      </c>
      <c r="T6559">
        <v>-0.70231869999999996</v>
      </c>
      <c r="U6559">
        <v>-6.9366460000000005E-2</v>
      </c>
      <c r="V6559">
        <v>-4.1624050000000001E-3</v>
      </c>
      <c r="W6559">
        <v>-1.7978999999999998E-2</v>
      </c>
      <c r="X6559">
        <v>0.99982969999999904</v>
      </c>
      <c r="Y6559">
        <v>0.14634079999999999</v>
      </c>
      <c r="Z6559">
        <v>-4.6859730000000002E-2</v>
      </c>
      <c r="AA6559">
        <v>0.98812370000000005</v>
      </c>
      <c r="AB6559">
        <v>20</v>
      </c>
      <c r="AC6559">
        <v>0.71189999999998499</v>
      </c>
      <c r="AD6559">
        <v>-0.188934399999999</v>
      </c>
      <c r="AE6559">
        <v>-3.3070000000002098E-2</v>
      </c>
      <c r="AF6559">
        <v>0.117757070074094</v>
      </c>
      <c r="AG6559">
        <v>-0.188934399999999</v>
      </c>
      <c r="AH6559">
        <v>0.65537347276384095</v>
      </c>
      <c r="AI6559">
        <v>105.84082550066699</v>
      </c>
      <c r="AJ6559">
        <v>79.813823402037301</v>
      </c>
      <c r="AK6559">
        <v>0.69215411857355302</v>
      </c>
      <c r="AL6559">
        <v>91.030176325229604</v>
      </c>
      <c r="AM6559">
        <v>90.238527482581006</v>
      </c>
      <c r="AN6559">
        <v>0.99999999952923602</v>
      </c>
    </row>
    <row r="6560" spans="1:40" x14ac:dyDescent="0.25">
      <c r="A6560" t="str">
        <f>"20190312161147293"</f>
        <v>20190312161147293</v>
      </c>
      <c r="B6560" t="str">
        <f>"1552378307283328"</f>
        <v>1552378307283328</v>
      </c>
      <c r="C6560" t="s">
        <v>40</v>
      </c>
      <c r="D6560">
        <v>4.7953469999999996</v>
      </c>
      <c r="E6560">
        <v>0.56154930000000003</v>
      </c>
      <c r="F6560" t="s">
        <v>42</v>
      </c>
      <c r="G6560">
        <v>-207.46940000000001</v>
      </c>
      <c r="H6560">
        <v>0.94380299999999995</v>
      </c>
      <c r="I6560">
        <v>-62.232770000000002</v>
      </c>
      <c r="J6560">
        <v>-208.07990000000001</v>
      </c>
      <c r="K6560">
        <v>1.1115109999999999</v>
      </c>
      <c r="L6560">
        <v>-62.201450000000001</v>
      </c>
      <c r="M6560">
        <v>0.99112239999999996</v>
      </c>
      <c r="N6560">
        <v>0</v>
      </c>
      <c r="O6560">
        <v>0.13217139999999999</v>
      </c>
      <c r="P6560">
        <v>0.99009349999999996</v>
      </c>
      <c r="Q6560">
        <v>-3.2609810000000003E-2</v>
      </c>
      <c r="R6560">
        <v>0.13657059999999999</v>
      </c>
      <c r="S6560">
        <v>3.0152890000000001</v>
      </c>
      <c r="T6560">
        <v>-0.70364789999999999</v>
      </c>
      <c r="U6560">
        <v>-6.5124509999999997E-2</v>
      </c>
      <c r="V6560">
        <v>-4.4431940000000001E-3</v>
      </c>
      <c r="W6560">
        <v>-1.8239310000000002E-2</v>
      </c>
      <c r="X6560">
        <v>0.99982369999999998</v>
      </c>
      <c r="Y6560">
        <v>0.146095</v>
      </c>
      <c r="Z6560">
        <v>-4.71957E-2</v>
      </c>
      <c r="AA6560">
        <v>0.98814409999999997</v>
      </c>
      <c r="AB6560">
        <v>20</v>
      </c>
      <c r="AC6560">
        <v>0.61050000000000104</v>
      </c>
      <c r="AD6560">
        <v>-0.167708</v>
      </c>
      <c r="AE6560">
        <v>-3.1319999999993797E-2</v>
      </c>
      <c r="AF6560">
        <v>0.10392241550301699</v>
      </c>
      <c r="AG6560">
        <v>-0.167708</v>
      </c>
      <c r="AH6560">
        <v>0.55893449405344398</v>
      </c>
      <c r="AI6560">
        <v>106.435735450099</v>
      </c>
      <c r="AJ6560">
        <v>79.467295941667302</v>
      </c>
      <c r="AK6560">
        <v>0.59273401315494101</v>
      </c>
      <c r="AL6560">
        <v>91.045093516072995</v>
      </c>
      <c r="AM6560">
        <v>90.254619477321398</v>
      </c>
      <c r="AN6560">
        <v>0.99999992274194005</v>
      </c>
    </row>
    <row r="6561" spans="1:40" x14ac:dyDescent="0.25">
      <c r="A6561" t="str">
        <f>"20190312161147302"</f>
        <v>20190312161147302</v>
      </c>
      <c r="B6561" t="str">
        <f>"1552378307294065"</f>
        <v>1552378307294065</v>
      </c>
      <c r="C6561" t="s">
        <v>40</v>
      </c>
      <c r="D6561">
        <v>4.8254000000000001</v>
      </c>
      <c r="E6561">
        <v>0.56154930000000003</v>
      </c>
      <c r="F6561" t="s">
        <v>42</v>
      </c>
      <c r="G6561">
        <v>-207.297</v>
      </c>
      <c r="H6561">
        <v>0.92819309999999999</v>
      </c>
      <c r="I6561">
        <v>-62.217289999999998</v>
      </c>
      <c r="J6561">
        <v>-207.98939999999999</v>
      </c>
      <c r="K6561">
        <v>1.1115029999999999</v>
      </c>
      <c r="L6561">
        <v>-62.18826</v>
      </c>
      <c r="M6561">
        <v>0.99098830000000004</v>
      </c>
      <c r="N6561">
        <v>0</v>
      </c>
      <c r="O6561">
        <v>0.13317409999999999</v>
      </c>
      <c r="P6561">
        <v>0.98992880000000005</v>
      </c>
      <c r="Q6561">
        <v>-3.3155120000000003E-2</v>
      </c>
      <c r="R6561">
        <v>0.13762920000000001</v>
      </c>
      <c r="S6561">
        <v>3.0152130000000001</v>
      </c>
      <c r="T6561">
        <v>-0.70590339999999996</v>
      </c>
      <c r="U6561">
        <v>-6.1340329999999998E-2</v>
      </c>
      <c r="V6561">
        <v>-4.5017879999999996E-3</v>
      </c>
      <c r="W6561">
        <v>-1.878734E-2</v>
      </c>
      <c r="X6561">
        <v>0.99981339999999996</v>
      </c>
      <c r="Y6561">
        <v>0.14578940000000001</v>
      </c>
      <c r="Z6561">
        <v>-4.7539049999999999E-2</v>
      </c>
      <c r="AA6561">
        <v>0.98817279999999996</v>
      </c>
      <c r="AB6561">
        <v>20</v>
      </c>
      <c r="AC6561">
        <v>0.69239999999999202</v>
      </c>
      <c r="AD6561">
        <v>-0.1833099</v>
      </c>
      <c r="AE6561">
        <v>-2.9030000000005801E-2</v>
      </c>
      <c r="AF6561">
        <v>0.113078833165902</v>
      </c>
      <c r="AG6561">
        <v>-0.1833099</v>
      </c>
      <c r="AH6561">
        <v>0.637743645264649</v>
      </c>
      <c r="AI6561">
        <v>105.80260355857899</v>
      </c>
      <c r="AJ6561">
        <v>79.945340484929204</v>
      </c>
      <c r="AK6561">
        <v>0.67313171001195204</v>
      </c>
      <c r="AL6561">
        <v>91.076498589158803</v>
      </c>
      <c r="AM6561">
        <v>90.257979848638499</v>
      </c>
      <c r="AN6561">
        <v>1.00000003252951</v>
      </c>
    </row>
    <row r="6562" spans="1:40" x14ac:dyDescent="0.25">
      <c r="A6562" t="str">
        <f>"20190312161147313"</f>
        <v>20190312161147313</v>
      </c>
      <c r="B6562" t="str">
        <f>"1552378307303824"</f>
        <v>1552378307303824</v>
      </c>
      <c r="C6562" t="s">
        <v>40</v>
      </c>
      <c r="D6562">
        <v>4.9159269999999999</v>
      </c>
      <c r="E6562">
        <v>0.56304779999999999</v>
      </c>
      <c r="F6562" t="s">
        <v>42</v>
      </c>
      <c r="G6562">
        <v>-207.29040000000001</v>
      </c>
      <c r="H6562">
        <v>0.94739589999999996</v>
      </c>
      <c r="I6562">
        <v>-62.20158</v>
      </c>
      <c r="J6562">
        <v>-207.89789999999999</v>
      </c>
      <c r="K6562">
        <v>1.11149599999999</v>
      </c>
      <c r="L6562">
        <v>-62.17474</v>
      </c>
      <c r="M6562">
        <v>0.99085160000000005</v>
      </c>
      <c r="N6562">
        <v>0</v>
      </c>
      <c r="O6562">
        <v>0.13418740000000001</v>
      </c>
      <c r="P6562">
        <v>0.98977380000000004</v>
      </c>
      <c r="Q6562">
        <v>-3.4017180000000001E-2</v>
      </c>
      <c r="R6562">
        <v>0.1385325</v>
      </c>
      <c r="S6562">
        <v>3.0148470000000001</v>
      </c>
      <c r="T6562">
        <v>-0.70775279999999996</v>
      </c>
      <c r="U6562">
        <v>-5.7800289999999997E-2</v>
      </c>
      <c r="V6562">
        <v>-4.3934940000000004E-3</v>
      </c>
      <c r="W6562">
        <v>-1.9651689999999999E-2</v>
      </c>
      <c r="X6562">
        <v>0.99979720000000005</v>
      </c>
      <c r="Y6562">
        <v>0.14558009999999999</v>
      </c>
      <c r="Z6562">
        <v>-4.7874849999999997E-2</v>
      </c>
      <c r="AA6562">
        <v>0.98818740000000005</v>
      </c>
      <c r="AB6562">
        <v>20</v>
      </c>
      <c r="AC6562">
        <v>0.60749999999998705</v>
      </c>
      <c r="AD6562">
        <v>-0.164100099999999</v>
      </c>
      <c r="AE6562">
        <v>-2.6840000000007001E-2</v>
      </c>
      <c r="AF6562">
        <v>0.100784866174586</v>
      </c>
      <c r="AG6562">
        <v>-0.164100099999999</v>
      </c>
      <c r="AH6562">
        <v>0.55778236143347304</v>
      </c>
      <c r="AI6562">
        <v>106.146409259115</v>
      </c>
      <c r="AJ6562">
        <v>79.7578199424796</v>
      </c>
      <c r="AK6562">
        <v>0.59009117498581598</v>
      </c>
      <c r="AL6562">
        <v>91.126031419857199</v>
      </c>
      <c r="AM6562">
        <v>90.251778103788595</v>
      </c>
      <c r="AN6562">
        <v>0.999999966418611</v>
      </c>
    </row>
    <row r="6563" spans="1:40" x14ac:dyDescent="0.25">
      <c r="A6563" t="str">
        <f>"20190312161147324"</f>
        <v>20190312161147324</v>
      </c>
      <c r="B6563" t="str">
        <f>"1552378307313584"</f>
        <v>1552378307313584</v>
      </c>
      <c r="C6563" t="s">
        <v>40</v>
      </c>
      <c r="D6563">
        <v>4.8345349999999998</v>
      </c>
      <c r="E6563">
        <v>0.56280889999999995</v>
      </c>
      <c r="F6563" t="s">
        <v>42</v>
      </c>
      <c r="G6563">
        <v>-207.1216</v>
      </c>
      <c r="H6563">
        <v>0.92259809999999998</v>
      </c>
      <c r="I6563">
        <v>-62.192</v>
      </c>
      <c r="J6563">
        <v>-207.7988</v>
      </c>
      <c r="K6563">
        <v>1.1114850000000001</v>
      </c>
      <c r="L6563">
        <v>-62.1601</v>
      </c>
      <c r="M6563">
        <v>0.99070230000000004</v>
      </c>
      <c r="N6563">
        <v>0</v>
      </c>
      <c r="O6563">
        <v>0.13528570000000001</v>
      </c>
      <c r="P6563">
        <v>0.98963250000000003</v>
      </c>
      <c r="Q6563">
        <v>-3.482275E-2</v>
      </c>
      <c r="R6563">
        <v>0.139338299999999</v>
      </c>
      <c r="S6563">
        <v>3.0150450000000002</v>
      </c>
      <c r="T6563">
        <v>-0.73382720000000001</v>
      </c>
      <c r="U6563">
        <v>-6.6162109999999996E-2</v>
      </c>
      <c r="V6563">
        <v>-4.1002319999999997E-3</v>
      </c>
      <c r="W6563">
        <v>-2.04592E-2</v>
      </c>
      <c r="X6563">
        <v>0.99978230000000001</v>
      </c>
      <c r="Y6563">
        <v>0.14872869999999999</v>
      </c>
      <c r="Z6563">
        <v>-5.022575E-2</v>
      </c>
      <c r="AA6563">
        <v>0.98760170000000003</v>
      </c>
      <c r="AB6563">
        <v>20</v>
      </c>
      <c r="AC6563">
        <v>0.67719999999999902</v>
      </c>
      <c r="AD6563">
        <v>-0.1888869</v>
      </c>
      <c r="AE6563">
        <v>-3.1900000000000199E-2</v>
      </c>
      <c r="AF6563">
        <v>0.11435471938205601</v>
      </c>
      <c r="AG6563">
        <v>-0.1888869</v>
      </c>
      <c r="AH6563">
        <v>0.61863475944505697</v>
      </c>
      <c r="AI6563">
        <v>106.71197131484701</v>
      </c>
      <c r="AJ6563">
        <v>79.527084505810805</v>
      </c>
      <c r="AK6563">
        <v>0.65685936731556305</v>
      </c>
      <c r="AL6563">
        <v>91.172307583408895</v>
      </c>
      <c r="AM6563">
        <v>90.234975825784005</v>
      </c>
      <c r="AN6563">
        <v>1.0000000190801901</v>
      </c>
    </row>
    <row r="6564" spans="1:40" x14ac:dyDescent="0.25">
      <c r="A6564" t="str">
        <f>"20190312161147336"</f>
        <v>20190312161147336</v>
      </c>
      <c r="B6564" t="str">
        <f>"1552378307323343"</f>
        <v>1552378307323343</v>
      </c>
      <c r="C6564" t="s">
        <v>40</v>
      </c>
      <c r="D6564">
        <v>4.8067799999999998</v>
      </c>
      <c r="E6564">
        <v>0.5626428</v>
      </c>
      <c r="F6564" t="s">
        <v>42</v>
      </c>
      <c r="G6564">
        <v>-206.95</v>
      </c>
      <c r="H6564">
        <v>0.90491630000000001</v>
      </c>
      <c r="I6564">
        <v>-62.177430000000001</v>
      </c>
      <c r="J6564">
        <v>-207.69820000000001</v>
      </c>
      <c r="K6564">
        <v>1.111477</v>
      </c>
      <c r="L6564">
        <v>-62.145049999999998</v>
      </c>
      <c r="M6564">
        <v>0.99054940000000002</v>
      </c>
      <c r="N6564">
        <v>0</v>
      </c>
      <c r="O6564">
        <v>0.13640089999999999</v>
      </c>
      <c r="P6564">
        <v>0.9894792</v>
      </c>
      <c r="Q6564">
        <v>-3.534582E-2</v>
      </c>
      <c r="R6564">
        <v>0.14029169999999999</v>
      </c>
      <c r="S6564">
        <v>3.014313</v>
      </c>
      <c r="T6564">
        <v>-0.73358809999999997</v>
      </c>
      <c r="U6564">
        <v>-6.1706539999999997E-2</v>
      </c>
      <c r="V6564">
        <v>-3.9395300000000001E-3</v>
      </c>
      <c r="W6564">
        <v>-2.0984639999999999E-2</v>
      </c>
      <c r="X6564">
        <v>0.99977199999999999</v>
      </c>
      <c r="Y6564">
        <v>0.1483662</v>
      </c>
      <c r="Z6564">
        <v>-5.044394E-2</v>
      </c>
      <c r="AA6564">
        <v>0.98764510000000005</v>
      </c>
      <c r="AB6564">
        <v>20</v>
      </c>
      <c r="AC6564">
        <v>0.74820000000002496</v>
      </c>
      <c r="AD6564">
        <v>-0.20656070000000001</v>
      </c>
      <c r="AE6564">
        <v>-3.2380000000010498E-2</v>
      </c>
      <c r="AF6564">
        <v>0.12465942279757899</v>
      </c>
      <c r="AG6564">
        <v>-0.20656070000000001</v>
      </c>
      <c r="AH6564">
        <v>0.68469939136902702</v>
      </c>
      <c r="AI6564">
        <v>106.53098583824099</v>
      </c>
      <c r="AJ6564">
        <v>79.681495140023799</v>
      </c>
      <c r="AK6564">
        <v>0.72596181099134405</v>
      </c>
      <c r="AL6564">
        <v>91.2024196101125</v>
      </c>
      <c r="AM6564">
        <v>90.225768749309196</v>
      </c>
      <c r="AN6564">
        <v>0.99999996349827402</v>
      </c>
    </row>
    <row r="6565" spans="1:40" x14ac:dyDescent="0.25">
      <c r="A6565" t="str">
        <f>"20190312161147347"</f>
        <v>20190312161147347</v>
      </c>
      <c r="B6565" t="str">
        <f>"1552378307334080"</f>
        <v>1552378307334080</v>
      </c>
      <c r="C6565" t="s">
        <v>40</v>
      </c>
      <c r="D6565">
        <v>4.833564</v>
      </c>
      <c r="E6565">
        <v>0.56217229999999996</v>
      </c>
      <c r="F6565" t="s">
        <v>42</v>
      </c>
      <c r="G6565">
        <v>-206.9427</v>
      </c>
      <c r="H6565">
        <v>0.92859729999999996</v>
      </c>
      <c r="I6565">
        <v>-62.159379999999999</v>
      </c>
      <c r="J6565">
        <v>-207.59569999999999</v>
      </c>
      <c r="K6565">
        <v>1.1114740000000001</v>
      </c>
      <c r="L6565">
        <v>-62.129640000000002</v>
      </c>
      <c r="M6565">
        <v>0.99039239999999995</v>
      </c>
      <c r="N6565">
        <v>0</v>
      </c>
      <c r="O6565">
        <v>0.137536299999999</v>
      </c>
      <c r="P6565">
        <v>0.98937350000000002</v>
      </c>
      <c r="Q6565">
        <v>-3.59359E-2</v>
      </c>
      <c r="R6565">
        <v>0.14088639999999999</v>
      </c>
      <c r="S6565">
        <v>3.0139469999999999</v>
      </c>
      <c r="T6565">
        <v>-0.72955170000000003</v>
      </c>
      <c r="U6565">
        <v>-5.7342530000000003E-2</v>
      </c>
      <c r="V6565">
        <v>-3.396016E-3</v>
      </c>
      <c r="W6565">
        <v>-2.157601E-2</v>
      </c>
      <c r="X6565">
        <v>0.99976149999999997</v>
      </c>
      <c r="Y6565">
        <v>0.148133399999999</v>
      </c>
      <c r="Z6565">
        <v>-5.042137E-2</v>
      </c>
      <c r="AA6565">
        <v>0.98768120000000004</v>
      </c>
      <c r="AB6565">
        <v>20</v>
      </c>
      <c r="AC6565">
        <v>0.65299999999999103</v>
      </c>
      <c r="AD6565">
        <v>-0.1828767</v>
      </c>
      <c r="AE6565">
        <v>-2.9740000000003802E-2</v>
      </c>
      <c r="AF6565">
        <v>0.110619692548607</v>
      </c>
      <c r="AG6565">
        <v>-0.1828767</v>
      </c>
      <c r="AH6565">
        <v>0.59605000687389897</v>
      </c>
      <c r="AI6565">
        <v>106.786633347912</v>
      </c>
      <c r="AJ6565">
        <v>79.486213604695706</v>
      </c>
      <c r="AK6565">
        <v>0.63321103470866102</v>
      </c>
      <c r="AL6565">
        <v>91.236310175955396</v>
      </c>
      <c r="AM6565">
        <v>90.1946230531899</v>
      </c>
      <c r="AN6565">
        <v>1.0000000570072101</v>
      </c>
    </row>
    <row r="6566" spans="1:40" x14ac:dyDescent="0.25">
      <c r="A6566" t="str">
        <f>"20190312161147358"</f>
        <v>20190312161147358</v>
      </c>
      <c r="B6566" t="str">
        <f>"1552378307343840"</f>
        <v>1552378307343840</v>
      </c>
      <c r="C6566" t="s">
        <v>40</v>
      </c>
      <c r="D6566">
        <v>4.8490399999999996</v>
      </c>
      <c r="E6566">
        <v>0.56235970000000002</v>
      </c>
      <c r="F6566" t="s">
        <v>42</v>
      </c>
      <c r="G6566">
        <v>-206.77209999999999</v>
      </c>
      <c r="H6566">
        <v>0.90998800000000002</v>
      </c>
      <c r="I6566">
        <v>-62.143859999999997</v>
      </c>
      <c r="J6566">
        <v>-207.49629999999999</v>
      </c>
      <c r="K6566">
        <v>1.1114679999999999</v>
      </c>
      <c r="L6566">
        <v>-62.114530000000002</v>
      </c>
      <c r="M6566">
        <v>0.99023879999999997</v>
      </c>
      <c r="N6566">
        <v>0</v>
      </c>
      <c r="O6566">
        <v>0.13863809999999999</v>
      </c>
      <c r="P6566">
        <v>0.98921740000000002</v>
      </c>
      <c r="Q6566">
        <v>-3.6517340000000002E-2</v>
      </c>
      <c r="R6566">
        <v>0.14182939999999999</v>
      </c>
      <c r="S6566">
        <v>3.0127259999999998</v>
      </c>
      <c r="T6566">
        <v>-0.73716400000000004</v>
      </c>
      <c r="U6566">
        <v>-5.1269530000000001E-2</v>
      </c>
      <c r="V6566">
        <v>-3.2377019999999999E-3</v>
      </c>
      <c r="W6566">
        <v>-2.2159789999999999E-2</v>
      </c>
      <c r="X6566">
        <v>0.9997492</v>
      </c>
      <c r="Y6566">
        <v>0.14707190000000001</v>
      </c>
      <c r="Z6566">
        <v>-5.1088199999999903E-2</v>
      </c>
      <c r="AA6566">
        <v>0.9878055</v>
      </c>
      <c r="AB6566">
        <v>20</v>
      </c>
      <c r="AC6566">
        <v>0.72419999999999596</v>
      </c>
      <c r="AD6566">
        <v>-0.20147999999999999</v>
      </c>
      <c r="AE6566">
        <v>-2.9329999999994499E-2</v>
      </c>
      <c r="AF6566">
        <v>0.120172540593833</v>
      </c>
      <c r="AG6566">
        <v>-0.20147999999999999</v>
      </c>
      <c r="AH6566">
        <v>0.66198400263541601</v>
      </c>
      <c r="AI6566">
        <v>106.671036927956</v>
      </c>
      <c r="AJ6566">
        <v>79.710921007920305</v>
      </c>
      <c r="AK6566">
        <v>0.70232360750439204</v>
      </c>
      <c r="AL6566">
        <v>91.269766376275598</v>
      </c>
      <c r="AM6566">
        <v>90.185552547974396</v>
      </c>
      <c r="AN6566">
        <v>1.0000000009538601</v>
      </c>
    </row>
    <row r="6567" spans="1:40" x14ac:dyDescent="0.25">
      <c r="A6567" t="str">
        <f>"20190312161147370"</f>
        <v>20190312161147370</v>
      </c>
      <c r="B6567" t="str">
        <f>"1552378307363360"</f>
        <v>1552378307363360</v>
      </c>
      <c r="C6567" t="s">
        <v>40</v>
      </c>
      <c r="D6567">
        <v>4.9050890000000003</v>
      </c>
      <c r="E6567">
        <v>0.56218029999999997</v>
      </c>
      <c r="F6567" t="s">
        <v>42</v>
      </c>
      <c r="G6567">
        <v>-206.76509999999999</v>
      </c>
      <c r="H6567">
        <v>0.93240069999999997</v>
      </c>
      <c r="I6567">
        <v>-62.126840000000001</v>
      </c>
      <c r="J6567">
        <v>-207.39930000000001</v>
      </c>
      <c r="K6567">
        <v>1.1114630000000001</v>
      </c>
      <c r="L6567">
        <v>-62.099699999999999</v>
      </c>
      <c r="M6567">
        <v>0.99008779999999996</v>
      </c>
      <c r="N6567">
        <v>0</v>
      </c>
      <c r="O6567">
        <v>0.13971329999999901</v>
      </c>
      <c r="P6567">
        <v>0.98909499999999995</v>
      </c>
      <c r="Q6567">
        <v>-3.7112539999999999E-2</v>
      </c>
      <c r="R6567">
        <v>0.1425264</v>
      </c>
      <c r="S6567">
        <v>3.0126040000000001</v>
      </c>
      <c r="T6567">
        <v>-0.73801890000000003</v>
      </c>
      <c r="U6567">
        <v>-4.9896240000000001E-2</v>
      </c>
      <c r="V6567">
        <v>-2.8586729999999999E-3</v>
      </c>
      <c r="W6567">
        <v>-2.2756620000000002E-2</v>
      </c>
      <c r="X6567">
        <v>0.99973699999999999</v>
      </c>
      <c r="Y6567">
        <v>0.14762729999999999</v>
      </c>
      <c r="Z6567">
        <v>-5.1472459999999998E-2</v>
      </c>
      <c r="AA6567">
        <v>0.98770279999999999</v>
      </c>
      <c r="AB6567">
        <v>20</v>
      </c>
      <c r="AC6567">
        <v>0.63420000000002097</v>
      </c>
      <c r="AD6567">
        <v>-0.17906229999999901</v>
      </c>
      <c r="AE6567">
        <v>-2.7140000000002801E-2</v>
      </c>
      <c r="AF6567">
        <v>0.106976704403906</v>
      </c>
      <c r="AG6567">
        <v>-0.17906229999999901</v>
      </c>
      <c r="AH6567">
        <v>0.57817928181884504</v>
      </c>
      <c r="AI6567">
        <v>106.937146982549</v>
      </c>
      <c r="AJ6567">
        <v>79.517484753463705</v>
      </c>
      <c r="AK6567">
        <v>0.61465323922596105</v>
      </c>
      <c r="AL6567">
        <v>91.303970776613198</v>
      </c>
      <c r="AM6567">
        <v>90.163832539468999</v>
      </c>
      <c r="AN6567">
        <v>1.00000005246707</v>
      </c>
    </row>
    <row r="6568" spans="1:40" x14ac:dyDescent="0.25">
      <c r="A6568" t="str">
        <f>"20190312161147383"</f>
        <v>20190312161147383</v>
      </c>
      <c r="B6568" t="str">
        <f>"1552378307374097"</f>
        <v>1552378307374097</v>
      </c>
      <c r="C6568" t="s">
        <v>40</v>
      </c>
      <c r="D6568">
        <v>4.9221589999999997</v>
      </c>
      <c r="E6568">
        <v>0.56212399999999996</v>
      </c>
      <c r="F6568" t="s">
        <v>42</v>
      </c>
      <c r="G6568">
        <v>-206.59460000000001</v>
      </c>
      <c r="H6568">
        <v>0.91393199999999997</v>
      </c>
      <c r="I6568">
        <v>-62.112180000000002</v>
      </c>
      <c r="J6568">
        <v>-207.27699999999999</v>
      </c>
      <c r="K6568">
        <v>1.111459</v>
      </c>
      <c r="L6568">
        <v>-62.080869999999997</v>
      </c>
      <c r="M6568">
        <v>0.98989550000000004</v>
      </c>
      <c r="N6568">
        <v>0</v>
      </c>
      <c r="O6568">
        <v>0.14106939999999901</v>
      </c>
      <c r="P6568">
        <v>0.98889309999999997</v>
      </c>
      <c r="Q6568">
        <v>-3.746331E-2</v>
      </c>
      <c r="R6568">
        <v>0.14383080000000001</v>
      </c>
      <c r="S6568">
        <v>3.0120390000000001</v>
      </c>
      <c r="T6568">
        <v>-0.73940039999999996</v>
      </c>
      <c r="U6568">
        <v>-4.653931E-2</v>
      </c>
      <c r="V6568">
        <v>-2.8090720000000001E-3</v>
      </c>
      <c r="W6568">
        <v>-2.3110550000000001E-2</v>
      </c>
      <c r="X6568">
        <v>0.99972899999999998</v>
      </c>
      <c r="Y6568">
        <v>0.1478034</v>
      </c>
      <c r="Z6568">
        <v>-5.1922240000000001E-2</v>
      </c>
      <c r="AA6568">
        <v>0.98765289999999994</v>
      </c>
      <c r="AB6568">
        <v>20</v>
      </c>
      <c r="AC6568">
        <v>0.68240000000000101</v>
      </c>
      <c r="AD6568">
        <v>-0.19752700000000001</v>
      </c>
      <c r="AE6568">
        <v>-3.1310000000004799E-2</v>
      </c>
      <c r="AF6568">
        <v>0.11745225751556</v>
      </c>
      <c r="AG6568">
        <v>-0.19752700000000001</v>
      </c>
      <c r="AH6568">
        <v>0.61937103348566502</v>
      </c>
      <c r="AI6568">
        <v>107.397417379921</v>
      </c>
      <c r="AJ6568">
        <v>79.262412197542602</v>
      </c>
      <c r="AK6568">
        <v>0.66063032449744696</v>
      </c>
      <c r="AL6568">
        <v>91.324254834318793</v>
      </c>
      <c r="AM6568">
        <v>90.160991174988595</v>
      </c>
      <c r="AN6568">
        <v>1.0000000309239001</v>
      </c>
    </row>
    <row r="6569" spans="1:40" x14ac:dyDescent="0.25">
      <c r="A6569" t="str">
        <f>"20190312161147396"</f>
        <v>20190312161147396</v>
      </c>
      <c r="B6569" t="str">
        <f>"1552378307383856"</f>
        <v>1552378307383856</v>
      </c>
      <c r="C6569" t="s">
        <v>40</v>
      </c>
      <c r="D6569">
        <v>4.9801650000000004</v>
      </c>
      <c r="E6569">
        <v>0.56228669999999903</v>
      </c>
      <c r="F6569" t="s">
        <v>42</v>
      </c>
      <c r="G6569">
        <v>-206.5857</v>
      </c>
      <c r="H6569">
        <v>0.94166119999999998</v>
      </c>
      <c r="I6569">
        <v>-62.090679999999999</v>
      </c>
      <c r="J6569">
        <v>-207.1712</v>
      </c>
      <c r="K6569">
        <v>1.1114550000000001</v>
      </c>
      <c r="L6569">
        <v>-62.064390000000003</v>
      </c>
      <c r="M6569">
        <v>0.98972760000000004</v>
      </c>
      <c r="N6569">
        <v>0</v>
      </c>
      <c r="O6569">
        <v>0.1422427</v>
      </c>
      <c r="P6569">
        <v>0.98868979999999995</v>
      </c>
      <c r="Q6569">
        <v>-3.811026E-2</v>
      </c>
      <c r="R6569">
        <v>0.1450514</v>
      </c>
      <c r="S6569">
        <v>3.0118559999999999</v>
      </c>
      <c r="T6569">
        <v>-0.73975939999999996</v>
      </c>
      <c r="U6569">
        <v>-4.2510989999999999E-2</v>
      </c>
      <c r="V6569">
        <v>-2.8595600000000001E-3</v>
      </c>
      <c r="W6569">
        <v>-2.3760670000000001E-2</v>
      </c>
      <c r="X6569">
        <v>0.99971359999999998</v>
      </c>
      <c r="Y6569">
        <v>0.14761649999999901</v>
      </c>
      <c r="Z6569">
        <v>-5.2208789999999998E-2</v>
      </c>
      <c r="AA6569">
        <v>0.98766580000000004</v>
      </c>
      <c r="AB6569">
        <v>20</v>
      </c>
      <c r="AC6569">
        <v>0.58549999999999602</v>
      </c>
      <c r="AD6569">
        <v>-0.16979379999999999</v>
      </c>
      <c r="AE6569">
        <v>-2.6290000000002998E-2</v>
      </c>
      <c r="AF6569">
        <v>0.100850014515459</v>
      </c>
      <c r="AG6569">
        <v>-0.16979379999999999</v>
      </c>
      <c r="AH6569">
        <v>0.53122024443049198</v>
      </c>
      <c r="AI6569">
        <v>107.433381753989</v>
      </c>
      <c r="AJ6569">
        <v>79.2505517696531</v>
      </c>
      <c r="AK6569">
        <v>0.56674121787549503</v>
      </c>
      <c r="AL6569">
        <v>91.361514222019693</v>
      </c>
      <c r="AM6569">
        <v>90.163887209727804</v>
      </c>
      <c r="AN6569">
        <v>1.0000000142736001</v>
      </c>
    </row>
    <row r="6570" spans="1:40" x14ac:dyDescent="0.25">
      <c r="A6570" t="str">
        <f>"20190312161147408"</f>
        <v>20190312161147408</v>
      </c>
      <c r="B6570" t="str">
        <f>"1552378307393615"</f>
        <v>1552378307393615</v>
      </c>
      <c r="C6570" t="s">
        <v>40</v>
      </c>
      <c r="D6570">
        <v>5.12087</v>
      </c>
      <c r="E6570">
        <v>0.56285130000000005</v>
      </c>
      <c r="F6570" t="s">
        <v>42</v>
      </c>
      <c r="G6570">
        <v>-206.41550000000001</v>
      </c>
      <c r="H6570">
        <v>0.92504549999999997</v>
      </c>
      <c r="I6570">
        <v>-62.074599999999997</v>
      </c>
      <c r="J6570">
        <v>-207.06379999999999</v>
      </c>
      <c r="K6570">
        <v>1.11145</v>
      </c>
      <c r="L6570">
        <v>-62.047580000000004</v>
      </c>
      <c r="M6570">
        <v>0.98955579999999999</v>
      </c>
      <c r="N6570">
        <v>0</v>
      </c>
      <c r="O6570">
        <v>0.14343349999999999</v>
      </c>
      <c r="P6570">
        <v>0.98852119999999999</v>
      </c>
      <c r="Q6570">
        <v>-3.8438020000000003E-2</v>
      </c>
      <c r="R6570">
        <v>0.14611099999999999</v>
      </c>
      <c r="S6570">
        <v>3.0115970000000001</v>
      </c>
      <c r="T6570">
        <v>-0.74293779999999998</v>
      </c>
      <c r="U6570">
        <v>-4.0283199999999998E-2</v>
      </c>
      <c r="V6570">
        <v>-2.7289219999999999E-3</v>
      </c>
      <c r="W6570">
        <v>-2.409095E-2</v>
      </c>
      <c r="X6570">
        <v>0.99970599999999998</v>
      </c>
      <c r="Y6570">
        <v>0.1479559</v>
      </c>
      <c r="Z6570">
        <v>-5.2759300000000002E-2</v>
      </c>
      <c r="AA6570">
        <v>0.98758570000000001</v>
      </c>
      <c r="AB6570">
        <v>20</v>
      </c>
      <c r="AC6570">
        <v>0.64829999999997701</v>
      </c>
      <c r="AD6570">
        <v>-0.1864045</v>
      </c>
      <c r="AE6570">
        <v>-2.7019999999993102E-2</v>
      </c>
      <c r="AF6570">
        <v>0.110609572351498</v>
      </c>
      <c r="AG6570">
        <v>-0.1864045</v>
      </c>
      <c r="AH6570">
        <v>0.58910120852137804</v>
      </c>
      <c r="AI6570">
        <v>107.275045803379</v>
      </c>
      <c r="AJ6570">
        <v>79.365961060709296</v>
      </c>
      <c r="AK6570">
        <v>0.62771119871910797</v>
      </c>
      <c r="AL6570">
        <v>91.380443374275998</v>
      </c>
      <c r="AM6570">
        <v>90.156401306850199</v>
      </c>
      <c r="AN6570">
        <v>0.999999953661591</v>
      </c>
    </row>
    <row r="6571" spans="1:40" x14ac:dyDescent="0.25">
      <c r="A6571" t="str">
        <f>"20190312161147419"</f>
        <v>20190312161147419</v>
      </c>
      <c r="B6571" t="str">
        <f>"1552378307414112"</f>
        <v>1552378307414112</v>
      </c>
      <c r="C6571" t="s">
        <v>40</v>
      </c>
      <c r="D6571">
        <v>4.9890739999999996</v>
      </c>
      <c r="E6571">
        <v>0.56239439999999996</v>
      </c>
      <c r="F6571" t="s">
        <v>42</v>
      </c>
      <c r="G6571">
        <v>-206.24510000000001</v>
      </c>
      <c r="H6571">
        <v>0.90799030000000003</v>
      </c>
      <c r="I6571">
        <v>-62.05883</v>
      </c>
      <c r="J6571">
        <v>-206.95339999999999</v>
      </c>
      <c r="K6571">
        <v>1.111448</v>
      </c>
      <c r="L6571">
        <v>-62.030149999999999</v>
      </c>
      <c r="M6571">
        <v>0.98937739999999996</v>
      </c>
      <c r="N6571">
        <v>0</v>
      </c>
      <c r="O6571">
        <v>0.1446587</v>
      </c>
      <c r="P6571">
        <v>0.98834829999999996</v>
      </c>
      <c r="Q6571">
        <v>-3.8965710000000001E-2</v>
      </c>
      <c r="R6571">
        <v>0.14713670000000001</v>
      </c>
      <c r="S6571">
        <v>3.0118260000000001</v>
      </c>
      <c r="T6571">
        <v>-0.74849469999999996</v>
      </c>
      <c r="U6571">
        <v>-4.1351319999999997E-2</v>
      </c>
      <c r="V6571">
        <v>-2.5305829999999999E-3</v>
      </c>
      <c r="W6571">
        <v>-2.46211E-2</v>
      </c>
      <c r="X6571">
        <v>0.99969359999999996</v>
      </c>
      <c r="Y6571">
        <v>0.14932190000000001</v>
      </c>
      <c r="Z6571">
        <v>-5.3603350000000001E-2</v>
      </c>
      <c r="AA6571">
        <v>0.98733459999999995</v>
      </c>
      <c r="AB6571">
        <v>20</v>
      </c>
      <c r="AC6571">
        <v>0.70829999999997995</v>
      </c>
      <c r="AD6571">
        <v>-0.20345769999999999</v>
      </c>
      <c r="AE6571">
        <v>-2.86800000000084E-2</v>
      </c>
      <c r="AF6571">
        <v>0.12089196061947299</v>
      </c>
      <c r="AG6571">
        <v>-0.20345769999999999</v>
      </c>
      <c r="AH6571">
        <v>0.64367543661105497</v>
      </c>
      <c r="AI6571">
        <v>107.25770886719199</v>
      </c>
      <c r="AJ6571">
        <v>79.362905476103606</v>
      </c>
      <c r="AK6571">
        <v>0.68580461468857301</v>
      </c>
      <c r="AL6571">
        <v>91.410827754914095</v>
      </c>
      <c r="AM6571">
        <v>90.145035854903099</v>
      </c>
      <c r="AN6571">
        <v>0.999999948148243</v>
      </c>
    </row>
    <row r="6572" spans="1:40" x14ac:dyDescent="0.25">
      <c r="A6572" t="str">
        <f>"20190312161147431"</f>
        <v>20190312161147431</v>
      </c>
      <c r="B6572" t="str">
        <f>"1552378307423872"</f>
        <v>1552378307423872</v>
      </c>
      <c r="C6572" t="s">
        <v>40</v>
      </c>
      <c r="D6572">
        <v>5.0244229999999996</v>
      </c>
      <c r="E6572">
        <v>0.56234249999999997</v>
      </c>
      <c r="F6572" t="s">
        <v>42</v>
      </c>
      <c r="G6572">
        <v>-206.23750000000001</v>
      </c>
      <c r="H6572">
        <v>0.93338840000000001</v>
      </c>
      <c r="I6572">
        <v>-62.038330000000002</v>
      </c>
      <c r="J6572">
        <v>-206.8492</v>
      </c>
      <c r="K6572">
        <v>1.111445</v>
      </c>
      <c r="L6572">
        <v>-62.0135199999999</v>
      </c>
      <c r="M6572">
        <v>0.98920770000000002</v>
      </c>
      <c r="N6572">
        <v>0</v>
      </c>
      <c r="O6572">
        <v>0.14581440000000001</v>
      </c>
      <c r="P6572">
        <v>0.98822239999999995</v>
      </c>
      <c r="Q6572">
        <v>-3.9534989999999999E-2</v>
      </c>
      <c r="R6572">
        <v>0.14782909999999999</v>
      </c>
      <c r="S6572">
        <v>3.0109409999999999</v>
      </c>
      <c r="T6572">
        <v>-0.74894419999999995</v>
      </c>
      <c r="U6572">
        <v>-3.4362789999999997E-2</v>
      </c>
      <c r="V6572">
        <v>-2.064827E-3</v>
      </c>
      <c r="W6572">
        <v>-2.5191959999999999E-2</v>
      </c>
      <c r="X6572">
        <v>0.99968049999999997</v>
      </c>
      <c r="Y6572">
        <v>0.14817269999999999</v>
      </c>
      <c r="Z6572">
        <v>-5.378935E-2</v>
      </c>
      <c r="AA6572">
        <v>0.98749759999999998</v>
      </c>
      <c r="AB6572">
        <v>20</v>
      </c>
      <c r="AC6572">
        <v>0.61169999999998403</v>
      </c>
      <c r="AD6572">
        <v>-0.17805660000000001</v>
      </c>
      <c r="AE6572">
        <v>-2.48100000000093E-2</v>
      </c>
      <c r="AF6572">
        <v>0.10487697233221401</v>
      </c>
      <c r="AG6572">
        <v>-0.17805660000000001</v>
      </c>
      <c r="AH6572">
        <v>0.55462622774131998</v>
      </c>
      <c r="AI6572">
        <v>107.50781302748899</v>
      </c>
      <c r="AJ6572">
        <v>79.2920946258794</v>
      </c>
      <c r="AK6572">
        <v>0.59187294635563403</v>
      </c>
      <c r="AL6572">
        <v>91.443545700210507</v>
      </c>
      <c r="AM6572">
        <v>90.118343515037793</v>
      </c>
      <c r="AN6572">
        <v>1.00000000021971</v>
      </c>
    </row>
    <row r="6573" spans="1:40" x14ac:dyDescent="0.25">
      <c r="A6573" t="str">
        <f>"20190312161147442"</f>
        <v>20190312161147442</v>
      </c>
      <c r="B6573" t="str">
        <f>"1552378307433632"</f>
        <v>1552378307433632</v>
      </c>
      <c r="C6573" t="s">
        <v>40</v>
      </c>
      <c r="D6573">
        <v>5.0985490000000002</v>
      </c>
      <c r="E6573">
        <v>0.56234280000000003</v>
      </c>
      <c r="F6573" t="s">
        <v>42</v>
      </c>
      <c r="G6573">
        <v>-206.06780000000001</v>
      </c>
      <c r="H6573">
        <v>0.91637299999999999</v>
      </c>
      <c r="I6573">
        <v>-62.021810000000002</v>
      </c>
      <c r="J6573">
        <v>-206.75540000000001</v>
      </c>
      <c r="K6573">
        <v>1.111445</v>
      </c>
      <c r="L6573">
        <v>-61.998539999999998</v>
      </c>
      <c r="M6573">
        <v>0.98905399999999999</v>
      </c>
      <c r="N6573">
        <v>0</v>
      </c>
      <c r="O6573">
        <v>0.14685429999999999</v>
      </c>
      <c r="P6573">
        <v>0.98811859999999996</v>
      </c>
      <c r="Q6573">
        <v>-3.9907680000000001E-2</v>
      </c>
      <c r="R6573">
        <v>0.1484222</v>
      </c>
      <c r="S6573">
        <v>3.0103759999999999</v>
      </c>
      <c r="T6573">
        <v>-0.75172629999999996</v>
      </c>
      <c r="U6573">
        <v>-3.1372070000000002E-2</v>
      </c>
      <c r="V6573">
        <v>-1.6152979999999901E-3</v>
      </c>
      <c r="W6573">
        <v>-2.556595E-2</v>
      </c>
      <c r="X6573">
        <v>0.9996718</v>
      </c>
      <c r="Y6573">
        <v>0.14813309999999999</v>
      </c>
      <c r="Z6573">
        <v>-5.4241539999999998E-2</v>
      </c>
      <c r="AA6573">
        <v>0.98747890000000005</v>
      </c>
      <c r="AB6573">
        <v>20</v>
      </c>
      <c r="AC6573">
        <v>0.68760000000000299</v>
      </c>
      <c r="AD6573">
        <v>-0.195072</v>
      </c>
      <c r="AE6573">
        <v>-2.32699999999894E-2</v>
      </c>
      <c r="AF6573">
        <v>0.114777694047056</v>
      </c>
      <c r="AG6573">
        <v>-0.195072</v>
      </c>
      <c r="AH6573">
        <v>0.62636986164716801</v>
      </c>
      <c r="AI6573">
        <v>107.031506837244</v>
      </c>
      <c r="AJ6573">
        <v>79.616167247166899</v>
      </c>
      <c r="AK6573">
        <v>0.66600766348042295</v>
      </c>
      <c r="AL6573">
        <v>91.464980701219204</v>
      </c>
      <c r="AM6573">
        <v>90.092580062286402</v>
      </c>
      <c r="AN6573">
        <v>0.99999996735113506</v>
      </c>
    </row>
    <row r="6574" spans="1:40" x14ac:dyDescent="0.25">
      <c r="A6574" t="str">
        <f>"20190312161147453"</f>
        <v>20190312161147453</v>
      </c>
      <c r="B6574" t="str">
        <f>"1552378307443393"</f>
        <v>1552378307443393</v>
      </c>
      <c r="C6574" t="s">
        <v>40</v>
      </c>
      <c r="D6574">
        <v>5.0356829999999997</v>
      </c>
      <c r="E6574">
        <v>0.56233710000000003</v>
      </c>
      <c r="F6574" t="s">
        <v>42</v>
      </c>
      <c r="G6574">
        <v>-206.06110000000001</v>
      </c>
      <c r="H6574">
        <v>0.93749360000000004</v>
      </c>
      <c r="I6574">
        <v>-62.005450000000003</v>
      </c>
      <c r="J6574">
        <v>-206.66630000000001</v>
      </c>
      <c r="K6574">
        <v>1.1114440000000001</v>
      </c>
      <c r="L6574">
        <v>-61.98413</v>
      </c>
      <c r="M6574">
        <v>0.98890679999999997</v>
      </c>
      <c r="N6574">
        <v>0</v>
      </c>
      <c r="O6574">
        <v>0.1478429</v>
      </c>
      <c r="P6574">
        <v>0.98799040000000005</v>
      </c>
      <c r="Q6574">
        <v>-3.995282E-2</v>
      </c>
      <c r="R6574">
        <v>0.1492608</v>
      </c>
      <c r="S6574">
        <v>3.0100099999999999</v>
      </c>
      <c r="T6574">
        <v>-0.75436700000000001</v>
      </c>
      <c r="U6574">
        <v>-2.9296880000000001E-2</v>
      </c>
      <c r="V6574">
        <v>-1.464665E-3</v>
      </c>
      <c r="W6574">
        <v>-2.561302E-2</v>
      </c>
      <c r="X6574">
        <v>0.99967090000000003</v>
      </c>
      <c r="Y6574">
        <v>0.14833959999999999</v>
      </c>
      <c r="Z6574">
        <v>-5.4700039999999998E-2</v>
      </c>
      <c r="AA6574">
        <v>0.98742249999999998</v>
      </c>
      <c r="AB6574">
        <v>20</v>
      </c>
      <c r="AC6574">
        <v>0.60519999999999596</v>
      </c>
      <c r="AD6574">
        <v>-0.17395040000000001</v>
      </c>
      <c r="AE6574">
        <v>-2.13199999999957E-2</v>
      </c>
      <c r="AF6574">
        <v>0.102141544862282</v>
      </c>
      <c r="AG6574">
        <v>-0.17395040000000001</v>
      </c>
      <c r="AH6574">
        <v>0.55001325037674598</v>
      </c>
      <c r="AI6574">
        <v>107.273049737131</v>
      </c>
      <c r="AJ6574">
        <v>79.479595628796204</v>
      </c>
      <c r="AK6574">
        <v>0.58583804283863805</v>
      </c>
      <c r="AL6574">
        <v>91.467678390180694</v>
      </c>
      <c r="AM6574">
        <v>90.083946689707602</v>
      </c>
      <c r="AN6574">
        <v>1.00000004017194</v>
      </c>
    </row>
    <row r="6575" spans="1:40" x14ac:dyDescent="0.25">
      <c r="A6575" t="str">
        <f>"20190312161147463"</f>
        <v>20190312161147463</v>
      </c>
      <c r="B6575" t="str">
        <f>"1552378307454128"</f>
        <v>1552378307454128</v>
      </c>
      <c r="C6575" t="s">
        <v>40</v>
      </c>
      <c r="D6575">
        <v>5.196841</v>
      </c>
      <c r="E6575">
        <v>0.56233710000000003</v>
      </c>
      <c r="F6575" t="s">
        <v>42</v>
      </c>
      <c r="G6575">
        <v>-205.89269999999999</v>
      </c>
      <c r="H6575">
        <v>0.91788670000000006</v>
      </c>
      <c r="I6575">
        <v>-61.991140000000001</v>
      </c>
      <c r="J6575">
        <v>-206.5686</v>
      </c>
      <c r="K6575">
        <v>1.1114409999999999</v>
      </c>
      <c r="L6575">
        <v>-61.968260000000001</v>
      </c>
      <c r="M6575">
        <v>0.98874410000000001</v>
      </c>
      <c r="N6575">
        <v>0</v>
      </c>
      <c r="O6575">
        <v>0.14892729999999901</v>
      </c>
      <c r="P6575">
        <v>0.98787270000000005</v>
      </c>
      <c r="Q6575">
        <v>-3.9890410000000001E-2</v>
      </c>
      <c r="R6575">
        <v>0.150053399999999</v>
      </c>
      <c r="S6575">
        <v>3.0101170000000002</v>
      </c>
      <c r="T6575">
        <v>-0.75315699999999997</v>
      </c>
      <c r="U6575">
        <v>-2.7130129999999999E-2</v>
      </c>
      <c r="V6575">
        <v>-1.1710309999999999E-3</v>
      </c>
      <c r="W6575">
        <v>-2.5552310000000002E-2</v>
      </c>
      <c r="X6575">
        <v>0.99967280000000003</v>
      </c>
      <c r="Y6575">
        <v>0.1486971</v>
      </c>
      <c r="Z6575">
        <v>-5.492184E-2</v>
      </c>
      <c r="AA6575">
        <v>0.98735640000000002</v>
      </c>
      <c r="AB6575">
        <v>20</v>
      </c>
      <c r="AC6575">
        <v>0.67590000000001205</v>
      </c>
      <c r="AD6575">
        <v>-0.19355429999999901</v>
      </c>
      <c r="AE6575">
        <v>-2.2880000000000601E-2</v>
      </c>
      <c r="AF6575">
        <v>0.113960471596389</v>
      </c>
      <c r="AG6575">
        <v>-0.19355429999999901</v>
      </c>
      <c r="AH6575">
        <v>0.61460966944280304</v>
      </c>
      <c r="AI6575">
        <v>107.204849402729</v>
      </c>
      <c r="AJ6575">
        <v>79.495556575536497</v>
      </c>
      <c r="AK6575">
        <v>0.654366336166183</v>
      </c>
      <c r="AL6575">
        <v>91.464198884342494</v>
      </c>
      <c r="AM6575">
        <v>90.067117063992697</v>
      </c>
      <c r="AN6575">
        <v>0.99999999945988904</v>
      </c>
    </row>
    <row r="6576" spans="1:40" x14ac:dyDescent="0.25">
      <c r="A6576" t="str">
        <f>"20190312161147474"</f>
        <v>20190312161147474</v>
      </c>
      <c r="B6576" t="str">
        <f>"1552378307463888"</f>
        <v>1552378307463888</v>
      </c>
      <c r="C6576" t="s">
        <v>40</v>
      </c>
      <c r="D6576">
        <v>5.2525940000000002</v>
      </c>
      <c r="E6576">
        <v>0.55961899999999998</v>
      </c>
      <c r="F6576" t="s">
        <v>42</v>
      </c>
      <c r="G6576">
        <v>-205.7236</v>
      </c>
      <c r="H6576">
        <v>0.90023059999999999</v>
      </c>
      <c r="I6576">
        <v>-61.975439999999999</v>
      </c>
      <c r="J6576">
        <v>-206.47720000000001</v>
      </c>
      <c r="K6576">
        <v>1.111437</v>
      </c>
      <c r="L6576">
        <v>-61.953279999999999</v>
      </c>
      <c r="M6576">
        <v>0.98859090000000005</v>
      </c>
      <c r="N6576">
        <v>0</v>
      </c>
      <c r="O6576">
        <v>0.1499414</v>
      </c>
      <c r="P6576">
        <v>0.98770519999999995</v>
      </c>
      <c r="Q6576">
        <v>-3.9716809999999998E-2</v>
      </c>
      <c r="R6576">
        <v>0.15119859999999999</v>
      </c>
      <c r="S6576">
        <v>3.0103</v>
      </c>
      <c r="T6576">
        <v>-0.7525347</v>
      </c>
      <c r="U6576">
        <v>-2.529907E-2</v>
      </c>
      <c r="V6576">
        <v>-1.304031E-3</v>
      </c>
      <c r="W6576">
        <v>-2.5381339999999999E-2</v>
      </c>
      <c r="X6576">
        <v>0.99967700000000004</v>
      </c>
      <c r="Y6576">
        <v>0.149082399999999</v>
      </c>
      <c r="Z6576">
        <v>-5.5169339999999997E-2</v>
      </c>
      <c r="AA6576">
        <v>0.98728450000000001</v>
      </c>
      <c r="AB6576">
        <v>20</v>
      </c>
      <c r="AC6576">
        <v>0.75360000000000504</v>
      </c>
      <c r="AD6576">
        <v>-0.21120639999999899</v>
      </c>
      <c r="AE6576">
        <v>-2.2159999999992401E-2</v>
      </c>
      <c r="AF6576">
        <v>0.12509914803642899</v>
      </c>
      <c r="AG6576">
        <v>-0.21120639999999899</v>
      </c>
      <c r="AH6576">
        <v>0.68777901123787</v>
      </c>
      <c r="AI6576">
        <v>106.811017680272</v>
      </c>
      <c r="AJ6576">
        <v>79.691249107015594</v>
      </c>
      <c r="AK6576">
        <v>0.730272489239286</v>
      </c>
      <c r="AL6576">
        <v>91.454399833428994</v>
      </c>
      <c r="AM6576">
        <v>90.074739571157195</v>
      </c>
      <c r="AN6576">
        <v>1.0000000086230201</v>
      </c>
    </row>
    <row r="6577" spans="1:40" x14ac:dyDescent="0.25">
      <c r="A6577" t="str">
        <f>"20190312161147485"</f>
        <v>20190312161147485</v>
      </c>
      <c r="B6577" t="str">
        <f>"1552378307473648"</f>
        <v>1552378307473648</v>
      </c>
      <c r="C6577" t="s">
        <v>40</v>
      </c>
      <c r="D6577">
        <v>4.9586199999999998</v>
      </c>
      <c r="E6577">
        <v>0.55961899999999998</v>
      </c>
      <c r="F6577" t="s">
        <v>42</v>
      </c>
      <c r="G6577">
        <v>-205.71680000000001</v>
      </c>
      <c r="H6577">
        <v>0.92504050000000004</v>
      </c>
      <c r="I6577">
        <v>-61.953620000000001</v>
      </c>
      <c r="J6577">
        <v>-206.38630000000001</v>
      </c>
      <c r="K6577">
        <v>1.1114329999999999</v>
      </c>
      <c r="L6577">
        <v>-61.93835</v>
      </c>
      <c r="M6577">
        <v>0.98843749999999997</v>
      </c>
      <c r="N6577">
        <v>0</v>
      </c>
      <c r="O6577">
        <v>0.15094949999999999</v>
      </c>
      <c r="P6577">
        <v>0.98752609999999996</v>
      </c>
      <c r="Q6577">
        <v>-3.9774280000000002E-2</v>
      </c>
      <c r="R6577">
        <v>0.1523504</v>
      </c>
      <c r="S6577">
        <v>3.0078429999999998</v>
      </c>
      <c r="T6577">
        <v>-0.73737680000000005</v>
      </c>
      <c r="U6577">
        <v>-1.037598E-3</v>
      </c>
      <c r="V6577">
        <v>-1.450371E-3</v>
      </c>
      <c r="W6577">
        <v>-2.5441579999999998E-2</v>
      </c>
      <c r="X6577">
        <v>0.99967530000000004</v>
      </c>
      <c r="Y6577">
        <v>0.14263809999999999</v>
      </c>
      <c r="Z6577">
        <v>-5.3591819999999998E-2</v>
      </c>
      <c r="AA6577">
        <v>0.98832299999999995</v>
      </c>
      <c r="AB6577">
        <v>20</v>
      </c>
      <c r="AC6577">
        <v>0.66949999999999898</v>
      </c>
      <c r="AD6577">
        <v>-0.18639249999999899</v>
      </c>
      <c r="AE6577">
        <v>-1.52699999999939E-2</v>
      </c>
      <c r="AF6577">
        <v>0.107813806734755</v>
      </c>
      <c r="AG6577">
        <v>-0.18639249999999899</v>
      </c>
      <c r="AH6577">
        <v>0.61210251917602498</v>
      </c>
      <c r="AI6577">
        <v>106.693747057788</v>
      </c>
      <c r="AJ6577">
        <v>80.010565806260999</v>
      </c>
      <c r="AK6577">
        <v>0.64887246432602297</v>
      </c>
      <c r="AL6577">
        <v>91.457852398147196</v>
      </c>
      <c r="AM6577">
        <v>90.083127070080806</v>
      </c>
      <c r="AN6577">
        <v>1.0000000414995101</v>
      </c>
    </row>
    <row r="6578" spans="1:40" x14ac:dyDescent="0.25">
      <c r="A6578" t="str">
        <f>"20190312161147497"</f>
        <v>20190312161147497</v>
      </c>
      <c r="B6578" t="str">
        <f>"1552378307493464"</f>
        <v>1552378307493464</v>
      </c>
      <c r="C6578" t="s">
        <v>40</v>
      </c>
      <c r="D6578">
        <v>4.9677759999999997</v>
      </c>
      <c r="E6578">
        <v>0.4724756</v>
      </c>
      <c r="F6578" t="s">
        <v>42</v>
      </c>
      <c r="G6578">
        <v>-205.54859999999999</v>
      </c>
      <c r="H6578">
        <v>0.90610349999999995</v>
      </c>
      <c r="I6578">
        <v>-61.937769999999901</v>
      </c>
      <c r="J6578">
        <v>-206.2801</v>
      </c>
      <c r="K6578">
        <v>1.1114219999999999</v>
      </c>
      <c r="L6578">
        <v>-61.920749999999998</v>
      </c>
      <c r="M6578">
        <v>0.98825669999999999</v>
      </c>
      <c r="N6578">
        <v>0</v>
      </c>
      <c r="O6578">
        <v>0.1521285</v>
      </c>
      <c r="P6578">
        <v>0.98728300000000002</v>
      </c>
      <c r="Q6578">
        <v>-3.9973929999999998E-2</v>
      </c>
      <c r="R6578">
        <v>0.153865</v>
      </c>
      <c r="S6578">
        <v>3.0078580000000001</v>
      </c>
      <c r="T6578">
        <v>-0.73731080000000004</v>
      </c>
      <c r="U6578">
        <v>2.166748E-3</v>
      </c>
      <c r="V6578">
        <v>-1.792142E-3</v>
      </c>
      <c r="W6578">
        <v>-2.5645080000000001E-2</v>
      </c>
      <c r="X6578">
        <v>0.99966949999999999</v>
      </c>
      <c r="Y6578">
        <v>0.1427292</v>
      </c>
      <c r="Z6578">
        <v>-5.3879469999999999E-2</v>
      </c>
      <c r="AA6578">
        <v>0.98829420000000001</v>
      </c>
      <c r="AB6578">
        <v>20</v>
      </c>
      <c r="AC6578">
        <v>0.73150000000001103</v>
      </c>
      <c r="AD6578">
        <v>-0.20531849999999999</v>
      </c>
      <c r="AE6578">
        <v>-1.7019999999995102E-2</v>
      </c>
      <c r="AF6578">
        <v>0.118763893289628</v>
      </c>
      <c r="AG6578">
        <v>-0.20531849999999999</v>
      </c>
      <c r="AH6578">
        <v>0.66781149510216797</v>
      </c>
      <c r="AI6578">
        <v>106.841077574683</v>
      </c>
      <c r="AJ6578">
        <v>79.915921500315505</v>
      </c>
      <c r="AK6578">
        <v>0.70868380945394305</v>
      </c>
      <c r="AL6578">
        <v>91.469515961942506</v>
      </c>
      <c r="AM6578">
        <v>90.102716010526507</v>
      </c>
      <c r="AN6578">
        <v>0.99999999556570196</v>
      </c>
    </row>
    <row r="6579" spans="1:40" x14ac:dyDescent="0.25">
      <c r="A6579" t="str">
        <f>"20190312161147520"</f>
        <v>20190312161147520</v>
      </c>
      <c r="B6579" t="str">
        <f>"1552378307513960"</f>
        <v>1552378307513960</v>
      </c>
      <c r="C6579" t="s">
        <v>40</v>
      </c>
      <c r="D6579">
        <v>5.0497040000000002</v>
      </c>
      <c r="E6579">
        <v>0.4724756</v>
      </c>
      <c r="F6579" t="s">
        <v>42</v>
      </c>
      <c r="G6579">
        <v>-205.51660000000001</v>
      </c>
      <c r="H6579">
        <v>1.003196</v>
      </c>
      <c r="I6579">
        <v>-61.741140000000001</v>
      </c>
      <c r="J6579">
        <v>-206.0737</v>
      </c>
      <c r="K6579">
        <v>1.11141</v>
      </c>
      <c r="L6579">
        <v>-61.886139999999997</v>
      </c>
      <c r="M6579">
        <v>0.98790129999999998</v>
      </c>
      <c r="N6579">
        <v>0</v>
      </c>
      <c r="O6579">
        <v>0.15441959999999999</v>
      </c>
      <c r="P6579">
        <v>0.98684479999999997</v>
      </c>
      <c r="Q6579">
        <v>-4.0237809999999999E-2</v>
      </c>
      <c r="R6579">
        <v>0.1565831</v>
      </c>
      <c r="S6579">
        <v>2.9150239999999998</v>
      </c>
      <c r="T6579">
        <v>-0.41321350000000001</v>
      </c>
      <c r="U6579">
        <v>0.68579100000000004</v>
      </c>
      <c r="V6579">
        <v>-2.227812E-3</v>
      </c>
      <c r="W6579">
        <v>-2.5915770000000001E-2</v>
      </c>
      <c r="X6579">
        <v>0.99966160000000004</v>
      </c>
      <c r="Y6579">
        <v>-7.6651529999999996E-2</v>
      </c>
      <c r="Z6579">
        <v>-1.599952E-2</v>
      </c>
      <c r="AA6579">
        <v>0.99692959999999997</v>
      </c>
      <c r="AB6579">
        <v>20</v>
      </c>
      <c r="AC6579">
        <v>0.55709999999999105</v>
      </c>
      <c r="AD6579">
        <v>-0.108214</v>
      </c>
      <c r="AE6579">
        <v>0.14500000000000299</v>
      </c>
      <c r="AF6579">
        <v>-5.5271274266108297E-2</v>
      </c>
      <c r="AG6579">
        <v>-0.108214</v>
      </c>
      <c r="AH6579">
        <v>0.553258865121662</v>
      </c>
      <c r="AI6579">
        <v>101.01350867516599</v>
      </c>
      <c r="AJ6579">
        <v>95.704993406581806</v>
      </c>
      <c r="AK6579">
        <v>0.56644554494735799</v>
      </c>
      <c r="AL6579">
        <v>91.485030577312699</v>
      </c>
      <c r="AM6579">
        <v>90.127687223190193</v>
      </c>
      <c r="AN6579">
        <v>0.99999995239777895</v>
      </c>
    </row>
    <row r="6580" spans="1:40" x14ac:dyDescent="0.25">
      <c r="A6580" t="str">
        <f>"20190312161147531"</f>
        <v>20190312161147531</v>
      </c>
      <c r="B6580" t="str">
        <f>"1552378307523721"</f>
        <v>1552378307523721</v>
      </c>
      <c r="C6580" t="s">
        <v>40</v>
      </c>
      <c r="D6580">
        <v>5.2692959999999998</v>
      </c>
      <c r="E6580">
        <v>0.4186666</v>
      </c>
      <c r="F6580" t="s">
        <v>78</v>
      </c>
      <c r="G6580">
        <v>-198.25229999999999</v>
      </c>
      <c r="H6580" s="1">
        <v>-7.2216480000000001E-6</v>
      </c>
      <c r="I6580">
        <v>-60.023090000000003</v>
      </c>
      <c r="J6580">
        <v>-205.983</v>
      </c>
      <c r="K6580">
        <v>1.1114059999999999</v>
      </c>
      <c r="L6580">
        <v>-61.870759999999997</v>
      </c>
      <c r="M6580">
        <v>0.98774340000000005</v>
      </c>
      <c r="N6580">
        <v>0</v>
      </c>
      <c r="O6580">
        <v>0.1554276</v>
      </c>
      <c r="P6580">
        <v>0.98662760000000005</v>
      </c>
      <c r="Q6580">
        <v>-4.0392240000000003E-2</v>
      </c>
      <c r="R6580">
        <v>0.1579072</v>
      </c>
      <c r="S6580">
        <v>2.9130250000000002</v>
      </c>
      <c r="T6580">
        <v>-0.41393980000000002</v>
      </c>
      <c r="U6580">
        <v>0.693878199999999</v>
      </c>
      <c r="V6580">
        <v>-2.5500340000000001E-3</v>
      </c>
      <c r="W6580">
        <v>-2.6073570000000001E-2</v>
      </c>
      <c r="X6580">
        <v>0.99965680000000001</v>
      </c>
      <c r="Y6580">
        <v>-7.8402910000000006E-2</v>
      </c>
      <c r="Z6580">
        <v>-1.6047760000000001E-2</v>
      </c>
      <c r="AA6580">
        <v>0.99679260000000003</v>
      </c>
      <c r="AB6580">
        <v>20</v>
      </c>
      <c r="AC6580">
        <v>7.7307000000000103</v>
      </c>
      <c r="AD6580">
        <v>-1.1114132216479999</v>
      </c>
      <c r="AE6580">
        <v>1.8476699999999899</v>
      </c>
      <c r="AF6580">
        <v>-0.61156643127856303</v>
      </c>
      <c r="AG6580">
        <v>-1.1114132216479999</v>
      </c>
      <c r="AH6580">
        <v>7.7719833168622499</v>
      </c>
      <c r="AI6580">
        <v>98.113520453171205</v>
      </c>
      <c r="AJ6580">
        <v>94.499253252259294</v>
      </c>
      <c r="AK6580">
        <v>7.8748319046634796</v>
      </c>
      <c r="AL6580">
        <v>91.494074798379302</v>
      </c>
      <c r="AM6580">
        <v>90.146156029654307</v>
      </c>
      <c r="AN6580">
        <v>1.0000000257560899</v>
      </c>
    </row>
    <row r="6581" spans="1:40" x14ac:dyDescent="0.25">
      <c r="A6581" t="str">
        <f>"20190312161147542"</f>
        <v>20190312161147542</v>
      </c>
      <c r="B6581" t="str">
        <f>"1552378307533480"</f>
        <v>1552378307533480</v>
      </c>
      <c r="C6581" t="s">
        <v>40</v>
      </c>
      <c r="D6581">
        <v>5.2746950000000004</v>
      </c>
      <c r="E6581">
        <v>0.41763359999999999</v>
      </c>
      <c r="F6581" t="s">
        <v>78</v>
      </c>
      <c r="G6581">
        <v>-188.94749999999999</v>
      </c>
      <c r="H6581" s="1">
        <v>-1.1506649999999999E-5</v>
      </c>
      <c r="I6581">
        <v>-55.209589999999999</v>
      </c>
      <c r="J6581">
        <v>-205.89019999999999</v>
      </c>
      <c r="K6581">
        <v>1.1114010000000001</v>
      </c>
      <c r="L6581">
        <v>-61.854979999999998</v>
      </c>
      <c r="M6581">
        <v>0.98758080000000004</v>
      </c>
      <c r="N6581">
        <v>0</v>
      </c>
      <c r="O6581">
        <v>0.15645719999999999</v>
      </c>
      <c r="P6581">
        <v>0.98645950000000004</v>
      </c>
      <c r="Q6581">
        <v>-4.0765139999999998E-2</v>
      </c>
      <c r="R6581">
        <v>0.1588581</v>
      </c>
      <c r="S6581">
        <v>2.8544010000000002</v>
      </c>
      <c r="T6581">
        <v>-0.18622469999999999</v>
      </c>
      <c r="U6581">
        <v>1.1161190000000001</v>
      </c>
      <c r="V6581">
        <v>-2.4727880000000001E-3</v>
      </c>
      <c r="W6581">
        <v>-2.6448849999999999E-2</v>
      </c>
      <c r="X6581">
        <v>0.99964710000000001</v>
      </c>
      <c r="Y6581">
        <v>-0.2138468</v>
      </c>
      <c r="Z6581">
        <v>-3.0128590000000001E-3</v>
      </c>
      <c r="AA6581">
        <v>0.97686249999999997</v>
      </c>
      <c r="AB6581">
        <v>20</v>
      </c>
      <c r="AC6581">
        <v>16.942699999999999</v>
      </c>
      <c r="AD6581">
        <v>-1.11141250665</v>
      </c>
      <c r="AE6581">
        <v>6.6453899999999901</v>
      </c>
      <c r="AF6581">
        <v>-3.8979169316638802</v>
      </c>
      <c r="AG6581">
        <v>-1.11141250665</v>
      </c>
      <c r="AH6581">
        <v>17.707789565560901</v>
      </c>
      <c r="AI6581">
        <v>93.5076453382202</v>
      </c>
      <c r="AJ6581">
        <v>102.414218062492</v>
      </c>
      <c r="AK6581">
        <v>18.1657591491321</v>
      </c>
      <c r="AL6581">
        <v>91.515584229883203</v>
      </c>
      <c r="AM6581">
        <v>90.141730043583493</v>
      </c>
      <c r="AN6581">
        <v>0.99999999044261201</v>
      </c>
    </row>
    <row r="6582" spans="1:40" x14ac:dyDescent="0.25">
      <c r="A6582" t="str">
        <f>"20190312161147552"</f>
        <v>20190312161147552</v>
      </c>
      <c r="B6582" t="str">
        <f>"1552378307544216"</f>
        <v>1552378307544216</v>
      </c>
      <c r="C6582" t="s">
        <v>40</v>
      </c>
      <c r="D6582">
        <v>5.285755</v>
      </c>
      <c r="E6582">
        <v>0.41729860000000002</v>
      </c>
      <c r="F6582" t="s">
        <v>78</v>
      </c>
      <c r="G6582">
        <v>-189.37280000000001</v>
      </c>
      <c r="H6582" s="1">
        <v>-1.1448550000000001E-5</v>
      </c>
      <c r="I6582">
        <v>-55.326479999999997</v>
      </c>
      <c r="J6582">
        <v>-205.80609999999999</v>
      </c>
      <c r="K6582">
        <v>1.1113980000000001</v>
      </c>
      <c r="L6582">
        <v>-61.84055</v>
      </c>
      <c r="M6582">
        <v>0.98743230000000004</v>
      </c>
      <c r="N6582">
        <v>0</v>
      </c>
      <c r="O6582">
        <v>0.15739159999999999</v>
      </c>
      <c r="P6582">
        <v>0.9862533</v>
      </c>
      <c r="Q6582">
        <v>-4.1024119999999997E-2</v>
      </c>
      <c r="R6582">
        <v>0.16006719999999999</v>
      </c>
      <c r="S6582">
        <v>2.851715</v>
      </c>
      <c r="T6582">
        <v>-0.1918839</v>
      </c>
      <c r="U6582">
        <v>1.1271359999999999</v>
      </c>
      <c r="V6582">
        <v>-2.753527E-3</v>
      </c>
      <c r="W6582">
        <v>-2.6710950000000001E-2</v>
      </c>
      <c r="X6582">
        <v>0.99963939999999996</v>
      </c>
      <c r="Y6582">
        <v>-0.21649209999999999</v>
      </c>
      <c r="Z6582">
        <v>-3.0775139999999999E-3</v>
      </c>
      <c r="AA6582">
        <v>0.97627949999999997</v>
      </c>
      <c r="AB6582">
        <v>20</v>
      </c>
      <c r="AC6582">
        <v>16.4332999999999</v>
      </c>
      <c r="AD6582">
        <v>-1.1114094485499999</v>
      </c>
      <c r="AE6582">
        <v>6.5140699999999896</v>
      </c>
      <c r="AF6582">
        <v>-3.8309910752188001</v>
      </c>
      <c r="AG6582">
        <v>-1.1114094485499999</v>
      </c>
      <c r="AH6582">
        <v>17.185868431913001</v>
      </c>
      <c r="AI6582">
        <v>93.6117582888089</v>
      </c>
      <c r="AJ6582">
        <v>102.566637687759</v>
      </c>
      <c r="AK6582">
        <v>17.6427264712617</v>
      </c>
      <c r="AL6582">
        <v>91.530606756937701</v>
      </c>
      <c r="AM6582">
        <v>90.157821987476794</v>
      </c>
      <c r="AN6582">
        <v>0.99999999339660095</v>
      </c>
    </row>
    <row r="6583" spans="1:40" x14ac:dyDescent="0.25">
      <c r="A6583" t="str">
        <f>"20190312161147562"</f>
        <v>20190312161147562</v>
      </c>
      <c r="B6583" t="str">
        <f>"1552378307553976"</f>
        <v>1552378307553976</v>
      </c>
      <c r="C6583" t="s">
        <v>40</v>
      </c>
      <c r="D6583">
        <v>5.324802</v>
      </c>
      <c r="E6583">
        <v>0.41737299999999999</v>
      </c>
      <c r="F6583" t="s">
        <v>78</v>
      </c>
      <c r="G6583">
        <v>-189.9769</v>
      </c>
      <c r="H6583" s="1">
        <v>-7.9236169999999997E-6</v>
      </c>
      <c r="I6583">
        <v>-55.544139999999999</v>
      </c>
      <c r="J6583">
        <v>-205.7139</v>
      </c>
      <c r="K6583">
        <v>1.1113930000000001</v>
      </c>
      <c r="L6583">
        <v>-61.824710000000003</v>
      </c>
      <c r="M6583">
        <v>0.98726849999999999</v>
      </c>
      <c r="N6583">
        <v>0</v>
      </c>
      <c r="O6583">
        <v>0.1584161</v>
      </c>
      <c r="P6583">
        <v>0.98603269999999998</v>
      </c>
      <c r="Q6583">
        <v>-4.112246E-2</v>
      </c>
      <c r="R6583">
        <v>0.1613955</v>
      </c>
      <c r="S6583">
        <v>2.8495180000000002</v>
      </c>
      <c r="T6583">
        <v>-0.200071</v>
      </c>
      <c r="U6583">
        <v>1.133453</v>
      </c>
      <c r="V6583">
        <v>-3.0633510000000002E-3</v>
      </c>
      <c r="W6583">
        <v>-2.6812619999999999E-2</v>
      </c>
      <c r="X6583">
        <v>0.99963579999999996</v>
      </c>
      <c r="Y6583">
        <v>-0.21759609999999999</v>
      </c>
      <c r="Z6583">
        <v>-3.2393690000000002E-3</v>
      </c>
      <c r="AA6583">
        <v>0.9760335</v>
      </c>
      <c r="AB6583">
        <v>20</v>
      </c>
      <c r="AC6583">
        <v>15.736999999999901</v>
      </c>
      <c r="AD6583">
        <v>-1.1114009236169999</v>
      </c>
      <c r="AE6583">
        <v>6.2805699999999902</v>
      </c>
      <c r="AF6583">
        <v>-3.6921103907681498</v>
      </c>
      <c r="AG6583">
        <v>-1.1114009236169999</v>
      </c>
      <c r="AH6583">
        <v>16.4624566058935</v>
      </c>
      <c r="AI6583">
        <v>93.768905265723902</v>
      </c>
      <c r="AJ6583">
        <v>102.640816111381</v>
      </c>
      <c r="AK6583">
        <v>16.907967608543601</v>
      </c>
      <c r="AL6583">
        <v>91.536434070233298</v>
      </c>
      <c r="AM6583">
        <v>90.175580480456702</v>
      </c>
      <c r="AN6583">
        <v>1.00000001667612</v>
      </c>
    </row>
    <row r="6584" spans="1:40" x14ac:dyDescent="0.25">
      <c r="A6584" t="str">
        <f>"20190312161147572"</f>
        <v>20190312161147572</v>
      </c>
      <c r="B6584" t="str">
        <f>"1552378307563735"</f>
        <v>1552378307563735</v>
      </c>
      <c r="C6584" t="s">
        <v>40</v>
      </c>
      <c r="D6584">
        <v>5.3034549999999996</v>
      </c>
      <c r="E6584">
        <v>0.41757820000000001</v>
      </c>
      <c r="F6584" t="s">
        <v>78</v>
      </c>
      <c r="G6584">
        <v>-190.2328</v>
      </c>
      <c r="H6584" s="1">
        <v>-7.9124340000000003E-6</v>
      </c>
      <c r="I6584">
        <v>-55.645220000000002</v>
      </c>
      <c r="J6584">
        <v>-205.63339999999999</v>
      </c>
      <c r="K6584">
        <v>1.111389</v>
      </c>
      <c r="L6584">
        <v>-61.810699999999997</v>
      </c>
      <c r="M6584">
        <v>0.98712480000000002</v>
      </c>
      <c r="N6584">
        <v>0</v>
      </c>
      <c r="O6584">
        <v>0.1593099</v>
      </c>
      <c r="P6584">
        <v>0.98586859999999998</v>
      </c>
      <c r="Q6584">
        <v>-4.1281529999999997E-2</v>
      </c>
      <c r="R6584">
        <v>0.16235479999999899</v>
      </c>
      <c r="S6584">
        <v>2.8479000000000001</v>
      </c>
      <c r="T6584">
        <v>-0.20445360000000001</v>
      </c>
      <c r="U6584">
        <v>1.1367799999999999</v>
      </c>
      <c r="V6584">
        <v>-3.1315000000000002E-3</v>
      </c>
      <c r="W6584">
        <v>-2.6974060000000001E-2</v>
      </c>
      <c r="X6584">
        <v>0.99963120000000005</v>
      </c>
      <c r="Y6584">
        <v>-0.2178822</v>
      </c>
      <c r="Z6584">
        <v>-3.3612949999999998E-3</v>
      </c>
      <c r="AA6584">
        <v>0.97596930000000004</v>
      </c>
      <c r="AB6584">
        <v>20</v>
      </c>
      <c r="AC6584">
        <v>15.400599999999899</v>
      </c>
      <c r="AD6584">
        <v>-1.111396912434</v>
      </c>
      <c r="AE6584">
        <v>6.1654799999999996</v>
      </c>
      <c r="AF6584">
        <v>-3.6167686024758599</v>
      </c>
      <c r="AG6584">
        <v>-1.111396912434</v>
      </c>
      <c r="AH6584">
        <v>16.1138678282949</v>
      </c>
      <c r="AI6584">
        <v>93.850036506564507</v>
      </c>
      <c r="AJ6584">
        <v>102.650422869606</v>
      </c>
      <c r="AK6584">
        <v>16.5521284011628</v>
      </c>
      <c r="AL6584">
        <v>91.545687317976302</v>
      </c>
      <c r="AM6584">
        <v>90.179487341560005</v>
      </c>
      <c r="AN6584">
        <v>0.99999997110928596</v>
      </c>
    </row>
    <row r="6585" spans="1:40" x14ac:dyDescent="0.25">
      <c r="A6585" t="str">
        <f>"20190312161147582"</f>
        <v>20190312161147582</v>
      </c>
      <c r="B6585" t="str">
        <f>"1552378307573496"</f>
        <v>1552378307573496</v>
      </c>
      <c r="C6585" t="s">
        <v>40</v>
      </c>
      <c r="D6585">
        <v>5.3040890000000003</v>
      </c>
      <c r="E6585">
        <v>0.41775679999999998</v>
      </c>
      <c r="F6585" t="s">
        <v>78</v>
      </c>
      <c r="G6585">
        <v>-190.64840000000001</v>
      </c>
      <c r="H6585" s="1">
        <v>-7.8903290000000007E-6</v>
      </c>
      <c r="I6585">
        <v>-55.820210000000003</v>
      </c>
      <c r="J6585">
        <v>-205.54470000000001</v>
      </c>
      <c r="K6585">
        <v>1.1113850000000001</v>
      </c>
      <c r="L6585">
        <v>-61.795259999999999</v>
      </c>
      <c r="M6585">
        <v>0.98696510000000004</v>
      </c>
      <c r="N6585">
        <v>0</v>
      </c>
      <c r="O6585">
        <v>0.16029589999999999</v>
      </c>
      <c r="P6585">
        <v>0.98567210000000005</v>
      </c>
      <c r="Q6585">
        <v>-4.1581489999999999E-2</v>
      </c>
      <c r="R6585">
        <v>0.1634668</v>
      </c>
      <c r="S6585">
        <v>2.8467410000000002</v>
      </c>
      <c r="T6585">
        <v>-0.2111353</v>
      </c>
      <c r="U6585">
        <v>1.138031</v>
      </c>
      <c r="V6585">
        <v>-3.2616020000000002E-3</v>
      </c>
      <c r="W6585">
        <v>-2.727686E-2</v>
      </c>
      <c r="X6585">
        <v>0.99962260000000003</v>
      </c>
      <c r="Y6585">
        <v>-0.21740870000000001</v>
      </c>
      <c r="Z6585">
        <v>-3.5572820000000002E-3</v>
      </c>
      <c r="AA6585">
        <v>0.9760742</v>
      </c>
      <c r="AB6585">
        <v>20</v>
      </c>
      <c r="AC6585">
        <v>14.896299999999901</v>
      </c>
      <c r="AD6585">
        <v>-1.111392890329</v>
      </c>
      <c r="AE6585">
        <v>5.9750500000000004</v>
      </c>
      <c r="AF6585">
        <v>-3.4929612575698901</v>
      </c>
      <c r="AG6585">
        <v>-1.111392890329</v>
      </c>
      <c r="AH6585">
        <v>15.586772111084599</v>
      </c>
      <c r="AI6585">
        <v>93.980105670157002</v>
      </c>
      <c r="AJ6585">
        <v>102.63117228010999</v>
      </c>
      <c r="AK6585">
        <v>16.0119779336109</v>
      </c>
      <c r="AL6585">
        <v>91.563042815694402</v>
      </c>
      <c r="AM6585">
        <v>90.186945919279694</v>
      </c>
      <c r="AN6585">
        <v>1.0000000037849099</v>
      </c>
    </row>
    <row r="6586" spans="1:40" x14ac:dyDescent="0.25">
      <c r="A6586" t="str">
        <f>"20190312161147594"</f>
        <v>20190312161147594</v>
      </c>
      <c r="B6586" t="str">
        <f>"1552378307584231"</f>
        <v>1552378307584231</v>
      </c>
      <c r="C6586" t="s">
        <v>40</v>
      </c>
      <c r="D6586">
        <v>5.3105979999999997</v>
      </c>
      <c r="E6586">
        <v>0.41796929999999999</v>
      </c>
      <c r="F6586" t="s">
        <v>78</v>
      </c>
      <c r="G6586">
        <v>-190.79140000000001</v>
      </c>
      <c r="H6586" s="1">
        <v>-7.8811600000000006E-6</v>
      </c>
      <c r="I6586">
        <v>-55.884720000000002</v>
      </c>
      <c r="J6586">
        <v>-205.4452</v>
      </c>
      <c r="K6586">
        <v>1.1113820000000001</v>
      </c>
      <c r="L6586">
        <v>-61.777740000000001</v>
      </c>
      <c r="M6586">
        <v>0.98678489999999996</v>
      </c>
      <c r="N6586">
        <v>0</v>
      </c>
      <c r="O6586">
        <v>0.16140160000000001</v>
      </c>
      <c r="P6586">
        <v>0.98547589999999996</v>
      </c>
      <c r="Q6586">
        <v>-4.1642329999999998E-2</v>
      </c>
      <c r="R6586">
        <v>0.16463079999999999</v>
      </c>
      <c r="S6586">
        <v>2.8455050000000002</v>
      </c>
      <c r="T6586">
        <v>-0.21435770000000001</v>
      </c>
      <c r="U6586">
        <v>1.1399840000000001</v>
      </c>
      <c r="V6586">
        <v>-3.3226079999999999E-3</v>
      </c>
      <c r="W6586">
        <v>-2.7340489999999999E-2</v>
      </c>
      <c r="X6586">
        <v>0.99962070000000003</v>
      </c>
      <c r="Y6586">
        <v>-0.21703790000000001</v>
      </c>
      <c r="Z6586">
        <v>-3.703811E-3</v>
      </c>
      <c r="AA6586">
        <v>0.97615620000000003</v>
      </c>
      <c r="AB6586">
        <v>20</v>
      </c>
      <c r="AC6586">
        <v>14.653799999999899</v>
      </c>
      <c r="AD6586">
        <v>-1.11138988115999</v>
      </c>
      <c r="AE6586">
        <v>5.8930199999999999</v>
      </c>
      <c r="AF6586">
        <v>-3.4333502702758598</v>
      </c>
      <c r="AG6586">
        <v>-1.11138988115999</v>
      </c>
      <c r="AH6586">
        <v>15.3369324682828</v>
      </c>
      <c r="AI6586">
        <v>94.044920545105398</v>
      </c>
      <c r="AJ6586">
        <v>102.618285894872</v>
      </c>
      <c r="AK6586">
        <v>15.755779228048899</v>
      </c>
      <c r="AL6586">
        <v>91.566689844877104</v>
      </c>
      <c r="AM6586">
        <v>90.190442949310693</v>
      </c>
      <c r="AN6586">
        <v>1.0000000429929199</v>
      </c>
    </row>
    <row r="6587" spans="1:40" x14ac:dyDescent="0.25">
      <c r="A6587" t="str">
        <f>"20190312161147607"</f>
        <v>20190312161147607</v>
      </c>
      <c r="B6587" t="str">
        <f>"1552378307603752"</f>
        <v>1552378307603752</v>
      </c>
      <c r="C6587" t="s">
        <v>40</v>
      </c>
      <c r="D6587">
        <v>5.3685859999999996</v>
      </c>
      <c r="E6587">
        <v>0.41824810000000001</v>
      </c>
      <c r="F6587" t="s">
        <v>78</v>
      </c>
      <c r="G6587">
        <v>-190.8972</v>
      </c>
      <c r="H6587" s="1">
        <v>-7.8722120000000001E-6</v>
      </c>
      <c r="I6587">
        <v>-55.938380000000002</v>
      </c>
      <c r="J6587">
        <v>-205.3347</v>
      </c>
      <c r="K6587">
        <v>1.11138</v>
      </c>
      <c r="L6587">
        <v>-61.758240000000001</v>
      </c>
      <c r="M6587">
        <v>0.9865834</v>
      </c>
      <c r="N6587">
        <v>0</v>
      </c>
      <c r="O6587">
        <v>0.16262960000000001</v>
      </c>
      <c r="P6587">
        <v>0.98525039999999997</v>
      </c>
      <c r="Q6587">
        <v>-4.152542E-2</v>
      </c>
      <c r="R6587">
        <v>0.16600379999999901</v>
      </c>
      <c r="S6587">
        <v>2.8442989999999999</v>
      </c>
      <c r="T6587">
        <v>-0.2172896</v>
      </c>
      <c r="U6587">
        <v>1.1416630000000001</v>
      </c>
      <c r="V6587">
        <v>-3.4708590000000002E-3</v>
      </c>
      <c r="W6587">
        <v>-2.7226810000000001E-2</v>
      </c>
      <c r="X6587">
        <v>0.99962320000000005</v>
      </c>
      <c r="Y6587">
        <v>-0.21646270000000001</v>
      </c>
      <c r="Z6587">
        <v>-3.8643000000000002E-3</v>
      </c>
      <c r="AA6587">
        <v>0.97628329999999997</v>
      </c>
      <c r="AB6587">
        <v>20</v>
      </c>
      <c r="AC6587">
        <v>14.4375</v>
      </c>
      <c r="AD6587">
        <v>-1.1113878722120001</v>
      </c>
      <c r="AE6587">
        <v>5.8198599999999896</v>
      </c>
      <c r="AF6587">
        <v>-3.3769460733986301</v>
      </c>
      <c r="AG6587">
        <v>-1.1113878722120001</v>
      </c>
      <c r="AH6587">
        <v>15.114787702728201</v>
      </c>
      <c r="AI6587">
        <v>94.104545103110794</v>
      </c>
      <c r="AJ6587">
        <v>102.594189913379</v>
      </c>
      <c r="AK6587">
        <v>15.527258453561201</v>
      </c>
      <c r="AL6587">
        <v>91.5601741897772</v>
      </c>
      <c r="AM6587">
        <v>90.198939733311406</v>
      </c>
      <c r="AN6587">
        <v>0.99999994401160497</v>
      </c>
    </row>
    <row r="6588" spans="1:40" x14ac:dyDescent="0.25">
      <c r="A6588" t="str">
        <f>"20190312161147620"</f>
        <v>20190312161147620</v>
      </c>
      <c r="B6588" t="str">
        <f>"1552378307613513"</f>
        <v>1552378307613513</v>
      </c>
      <c r="C6588" t="s">
        <v>40</v>
      </c>
      <c r="D6588">
        <v>5.3728389999999999</v>
      </c>
      <c r="E6588">
        <v>0.41841790000000001</v>
      </c>
      <c r="F6588" t="s">
        <v>78</v>
      </c>
      <c r="G6588">
        <v>-191.3143</v>
      </c>
      <c r="H6588" s="1">
        <v>-7.8485499999999996E-6</v>
      </c>
      <c r="I6588">
        <v>-56.11806</v>
      </c>
      <c r="J6588">
        <v>-205.22300000000001</v>
      </c>
      <c r="K6588">
        <v>1.111381</v>
      </c>
      <c r="L6588">
        <v>-61.738370000000003</v>
      </c>
      <c r="M6588">
        <v>0.98637799999999998</v>
      </c>
      <c r="N6588">
        <v>0</v>
      </c>
      <c r="O6588">
        <v>0.16387060000000001</v>
      </c>
      <c r="P6588">
        <v>0.98509329999999995</v>
      </c>
      <c r="Q6588">
        <v>-4.1184859999999997E-2</v>
      </c>
      <c r="R6588">
        <v>0.16701839999999901</v>
      </c>
      <c r="S6588">
        <v>2.8427280000000001</v>
      </c>
      <c r="T6588">
        <v>-0.22534170000000001</v>
      </c>
      <c r="U6588">
        <v>1.1435850000000001</v>
      </c>
      <c r="V6588">
        <v>-3.241617E-3</v>
      </c>
      <c r="W6588">
        <v>-2.6888289999999999E-2</v>
      </c>
      <c r="X6588">
        <v>0.9996332</v>
      </c>
      <c r="Y6588">
        <v>-0.2159837</v>
      </c>
      <c r="Z6588">
        <v>-4.1188650000000002E-3</v>
      </c>
      <c r="AA6588">
        <v>0.97638829999999999</v>
      </c>
      <c r="AB6588">
        <v>20</v>
      </c>
      <c r="AC6588">
        <v>13.9086999999999</v>
      </c>
      <c r="AD6588">
        <v>-1.1113888485500001</v>
      </c>
      <c r="AE6588">
        <v>5.6203099999999901</v>
      </c>
      <c r="AF6588">
        <v>-3.2470354369397598</v>
      </c>
      <c r="AG6588">
        <v>-1.1113888485500001</v>
      </c>
      <c r="AH6588">
        <v>14.5618131327469</v>
      </c>
      <c r="AI6588">
        <v>94.260247154967701</v>
      </c>
      <c r="AJ6588">
        <v>102.57033407708001</v>
      </c>
      <c r="AK6588">
        <v>14.9607762503977</v>
      </c>
      <c r="AL6588">
        <v>91.540771213662197</v>
      </c>
      <c r="AM6588">
        <v>90.185798472745503</v>
      </c>
      <c r="AN6588">
        <v>1.0000000113810601</v>
      </c>
    </row>
    <row r="6589" spans="1:40" x14ac:dyDescent="0.25">
      <c r="A6589" t="str">
        <f>"20190312161147632"</f>
        <v>20190312161147632</v>
      </c>
      <c r="B6589" t="str">
        <f>"1552378307624247"</f>
        <v>1552378307624247</v>
      </c>
      <c r="C6589" t="s">
        <v>40</v>
      </c>
      <c r="D6589">
        <v>5.437862</v>
      </c>
      <c r="E6589">
        <v>0.41860979999999998</v>
      </c>
      <c r="F6589" t="s">
        <v>78</v>
      </c>
      <c r="G6589">
        <v>-191.28149999999999</v>
      </c>
      <c r="H6589" s="1">
        <v>-7.8446040000000004E-6</v>
      </c>
      <c r="I6589">
        <v>-56.119909999999997</v>
      </c>
      <c r="J6589">
        <v>-205.1232</v>
      </c>
      <c r="K6589">
        <v>1.1113789999999999</v>
      </c>
      <c r="L6589">
        <v>-61.720460000000003</v>
      </c>
      <c r="M6589">
        <v>0.98619319999999999</v>
      </c>
      <c r="N6589">
        <v>0</v>
      </c>
      <c r="O6589">
        <v>0.16497999999999999</v>
      </c>
      <c r="P6589">
        <v>0.98487610000000003</v>
      </c>
      <c r="Q6589">
        <v>-4.1156199999999997E-2</v>
      </c>
      <c r="R6589">
        <v>0.1683016</v>
      </c>
      <c r="S6589">
        <v>2.8417509999999999</v>
      </c>
      <c r="T6589">
        <v>-0.22653880000000001</v>
      </c>
      <c r="U6589">
        <v>1.1452329999999999</v>
      </c>
      <c r="V6589">
        <v>-3.419891E-3</v>
      </c>
      <c r="W6589">
        <v>-2.686272E-2</v>
      </c>
      <c r="X6589">
        <v>0.99963329999999995</v>
      </c>
      <c r="Y6589">
        <v>-0.21549160000000001</v>
      </c>
      <c r="Z6589">
        <v>-4.2430539999999996E-3</v>
      </c>
      <c r="AA6589">
        <v>0.97649649999999999</v>
      </c>
      <c r="AB6589">
        <v>20</v>
      </c>
      <c r="AC6589">
        <v>13.841699999999999</v>
      </c>
      <c r="AD6589">
        <v>-1.1113868446040001</v>
      </c>
      <c r="AE6589">
        <v>5.6005499999999904</v>
      </c>
      <c r="AF6589">
        <v>-3.2221017957856199</v>
      </c>
      <c r="AG6589">
        <v>-1.1113868446040001</v>
      </c>
      <c r="AH6589">
        <v>14.4957544025466</v>
      </c>
      <c r="AI6589">
        <v>94.280218573132004</v>
      </c>
      <c r="AJ6589">
        <v>102.53190772166199</v>
      </c>
      <c r="AK6589">
        <v>14.891071700845201</v>
      </c>
      <c r="AL6589">
        <v>91.539305621136407</v>
      </c>
      <c r="AM6589">
        <v>90.196016435463505</v>
      </c>
      <c r="AN6589">
        <v>1.0000000179245701</v>
      </c>
    </row>
    <row r="6590" spans="1:40" x14ac:dyDescent="0.25">
      <c r="A6590" t="str">
        <f>"20190312161147644"</f>
        <v>20190312161147644</v>
      </c>
      <c r="B6590" t="str">
        <f>"1552378307634008"</f>
        <v>1552378307634008</v>
      </c>
      <c r="C6590" t="s">
        <v>40</v>
      </c>
      <c r="D6590">
        <v>5.4167310000000004</v>
      </c>
      <c r="E6590">
        <v>0.41889959999999998</v>
      </c>
      <c r="F6590" t="s">
        <v>78</v>
      </c>
      <c r="G6590">
        <v>-191.33699999999999</v>
      </c>
      <c r="H6590" s="1">
        <v>-7.8384479999999905E-6</v>
      </c>
      <c r="I6590">
        <v>-56.152079999999998</v>
      </c>
      <c r="J6590">
        <v>-205.0187</v>
      </c>
      <c r="K6590">
        <v>1.1113789999999999</v>
      </c>
      <c r="L6590">
        <v>-61.701659999999997</v>
      </c>
      <c r="M6590">
        <v>0.98599829999999999</v>
      </c>
      <c r="N6590">
        <v>0</v>
      </c>
      <c r="O6590">
        <v>0.16614100000000001</v>
      </c>
      <c r="P6590">
        <v>0.98469850000000003</v>
      </c>
      <c r="Q6590">
        <v>-4.1293219999999999E-2</v>
      </c>
      <c r="R6590">
        <v>0.16930429999999999</v>
      </c>
      <c r="S6590">
        <v>2.8404389999999999</v>
      </c>
      <c r="T6590">
        <v>-0.22898389999999999</v>
      </c>
      <c r="U6590">
        <v>1.147278</v>
      </c>
      <c r="V6590">
        <v>-3.26115E-3</v>
      </c>
      <c r="W6590">
        <v>-2.70020999999999E-2</v>
      </c>
      <c r="X6590">
        <v>0.99963000000000002</v>
      </c>
      <c r="Y6590">
        <v>-0.21510399999999999</v>
      </c>
      <c r="Z6590">
        <v>-4.3923909999999998E-3</v>
      </c>
      <c r="AA6590">
        <v>0.97658129999999999</v>
      </c>
      <c r="AB6590">
        <v>20</v>
      </c>
      <c r="AC6590">
        <v>13.6816999999999</v>
      </c>
      <c r="AD6590">
        <v>-1.1113868384479999</v>
      </c>
      <c r="AE6590">
        <v>5.54957999999999</v>
      </c>
      <c r="AF6590">
        <v>-3.18108725555035</v>
      </c>
      <c r="AG6590">
        <v>-1.1113868384479999</v>
      </c>
      <c r="AH6590">
        <v>14.332407849587799</v>
      </c>
      <c r="AI6590">
        <v>94.329115575535297</v>
      </c>
      <c r="AJ6590">
        <v>102.51397921290101</v>
      </c>
      <c r="AK6590">
        <v>14.723192982469101</v>
      </c>
      <c r="AL6590">
        <v>91.547294521044606</v>
      </c>
      <c r="AM6590">
        <v>90.186918628375395</v>
      </c>
      <c r="AN6590">
        <v>0.99999994270186399</v>
      </c>
    </row>
    <row r="6591" spans="1:40" x14ac:dyDescent="0.25">
      <c r="A6591" t="str">
        <f>"20190312161147655"</f>
        <v>20190312161147655</v>
      </c>
      <c r="B6591" t="str">
        <f>"1552378307643768"</f>
        <v>1552378307643768</v>
      </c>
      <c r="C6591" t="s">
        <v>40</v>
      </c>
      <c r="D6591">
        <v>5.4206960000000004</v>
      </c>
      <c r="E6591">
        <v>0.41908089999999998</v>
      </c>
      <c r="F6591" t="s">
        <v>78</v>
      </c>
      <c r="G6591">
        <v>-191.4194</v>
      </c>
      <c r="H6591" s="1">
        <v>-7.8281679999999998E-6</v>
      </c>
      <c r="I6591">
        <v>-56.203000000000003</v>
      </c>
      <c r="J6591">
        <v>-204.92009999999999</v>
      </c>
      <c r="K6591">
        <v>1.111378</v>
      </c>
      <c r="L6591">
        <v>-61.683689999999999</v>
      </c>
      <c r="M6591">
        <v>0.98581260000000004</v>
      </c>
      <c r="N6591">
        <v>0</v>
      </c>
      <c r="O6591">
        <v>0.16723929999999901</v>
      </c>
      <c r="P6591">
        <v>0.98453250000000003</v>
      </c>
      <c r="Q6591">
        <v>-4.1535040000000002E-2</v>
      </c>
      <c r="R6591">
        <v>0.170208</v>
      </c>
      <c r="S6591">
        <v>2.839493</v>
      </c>
      <c r="T6591">
        <v>-0.23205390000000001</v>
      </c>
      <c r="U6591">
        <v>1.148102</v>
      </c>
      <c r="V6591">
        <v>-3.066175E-3</v>
      </c>
      <c r="W6591">
        <v>-2.724598E-2</v>
      </c>
      <c r="X6591">
        <v>0.99962410000000002</v>
      </c>
      <c r="Y6591">
        <v>-0.21437390000000001</v>
      </c>
      <c r="Z6591">
        <v>-4.564762E-3</v>
      </c>
      <c r="AA6591">
        <v>0.97674099999999997</v>
      </c>
      <c r="AB6591">
        <v>20</v>
      </c>
      <c r="AC6591">
        <v>13.500699999999901</v>
      </c>
      <c r="AD6591">
        <v>-1.111385828168</v>
      </c>
      <c r="AE6591">
        <v>5.4806900000000001</v>
      </c>
      <c r="AF6591">
        <v>-3.1272135378803001</v>
      </c>
      <c r="AG6591">
        <v>-1.111385828168</v>
      </c>
      <c r="AH6591">
        <v>14.144908423783299</v>
      </c>
      <c r="AI6591">
        <v>94.387073773355098</v>
      </c>
      <c r="AJ6591">
        <v>102.466648709906</v>
      </c>
      <c r="AK6591">
        <v>14.529042545459401</v>
      </c>
      <c r="AL6591">
        <v>91.561272802844201</v>
      </c>
      <c r="AM6591">
        <v>90.175744398112499</v>
      </c>
      <c r="AN6591">
        <v>1.00000004307804</v>
      </c>
    </row>
    <row r="6592" spans="1:40" x14ac:dyDescent="0.25">
      <c r="A6592" t="str">
        <f>"20190312161147664"</f>
        <v>20190312161147664</v>
      </c>
      <c r="B6592" t="str">
        <f>"1552378307653528"</f>
        <v>1552378307653528</v>
      </c>
      <c r="C6592" t="s">
        <v>40</v>
      </c>
      <c r="D6592">
        <v>5.4008580000000004</v>
      </c>
      <c r="E6592">
        <v>0.41884719999999998</v>
      </c>
      <c r="F6592" t="s">
        <v>78</v>
      </c>
      <c r="G6592">
        <v>-191.46680000000001</v>
      </c>
      <c r="H6592" s="1">
        <v>-7.8207930000000006E-6</v>
      </c>
      <c r="I6592">
        <v>-56.236310000000003</v>
      </c>
      <c r="J6592">
        <v>-204.8407</v>
      </c>
      <c r="K6592">
        <v>1.1113789999999999</v>
      </c>
      <c r="L6592">
        <v>-61.669249999999998</v>
      </c>
      <c r="M6592">
        <v>0.9856625</v>
      </c>
      <c r="N6592">
        <v>0</v>
      </c>
      <c r="O6592">
        <v>0.16812249999999901</v>
      </c>
      <c r="P6592">
        <v>0.98440070000000002</v>
      </c>
      <c r="Q6592">
        <v>-4.1264879999999997E-2</v>
      </c>
      <c r="R6592">
        <v>0.17103370000000001</v>
      </c>
      <c r="S6592">
        <v>2.8385310000000001</v>
      </c>
      <c r="T6592">
        <v>-0.23449349999999999</v>
      </c>
      <c r="U6592">
        <v>1.1493530000000001</v>
      </c>
      <c r="V6592">
        <v>-3.0085210000000001E-3</v>
      </c>
      <c r="W6592">
        <v>-2.697753E-2</v>
      </c>
      <c r="X6592">
        <v>0.99963150000000001</v>
      </c>
      <c r="Y6592">
        <v>-0.21398439999999999</v>
      </c>
      <c r="Z6592">
        <v>-4.6972300000000002E-3</v>
      </c>
      <c r="AA6592">
        <v>0.97682579999999997</v>
      </c>
      <c r="AB6592">
        <v>20</v>
      </c>
      <c r="AC6592">
        <v>13.3738999999999</v>
      </c>
      <c r="AD6592">
        <v>-1.111386820793</v>
      </c>
      <c r="AE6592">
        <v>5.4329400000000003</v>
      </c>
      <c r="AF6592">
        <v>-3.0886010695505699</v>
      </c>
      <c r="AG6592">
        <v>-1.111386820793</v>
      </c>
      <c r="AH6592">
        <v>14.0139221129213</v>
      </c>
      <c r="AI6592">
        <v>94.428560301382802</v>
      </c>
      <c r="AJ6592">
        <v>102.429014307203</v>
      </c>
      <c r="AK6592">
        <v>14.3932154232223</v>
      </c>
      <c r="AL6592">
        <v>91.545886182054403</v>
      </c>
      <c r="AM6592">
        <v>90.1724385790437</v>
      </c>
      <c r="AN6592">
        <v>0.99999998705787896</v>
      </c>
    </row>
    <row r="6593" spans="1:40" x14ac:dyDescent="0.25">
      <c r="A6593" t="str">
        <f>"20190312161147675"</f>
        <v>20190312161147675</v>
      </c>
      <c r="B6593" t="str">
        <f>"1552378307664264"</f>
        <v>1552378307664264</v>
      </c>
      <c r="C6593" t="s">
        <v>40</v>
      </c>
      <c r="D6593">
        <v>5.4251069999999997</v>
      </c>
      <c r="E6593">
        <v>0.41900890000000002</v>
      </c>
      <c r="F6593" t="s">
        <v>78</v>
      </c>
      <c r="G6593">
        <v>-191.24</v>
      </c>
      <c r="H6593" s="1">
        <v>-7.8333569999999993E-6</v>
      </c>
      <c r="I6593">
        <v>-56.13944</v>
      </c>
      <c r="J6593">
        <v>-204.75489999999999</v>
      </c>
      <c r="K6593">
        <v>1.1113789999999999</v>
      </c>
      <c r="L6593">
        <v>-61.653440000000003</v>
      </c>
      <c r="M6593">
        <v>0.98549850000000006</v>
      </c>
      <c r="N6593">
        <v>0</v>
      </c>
      <c r="O6593">
        <v>0.16908099999999901</v>
      </c>
      <c r="P6593">
        <v>0.98425200000000002</v>
      </c>
      <c r="Q6593">
        <v>-4.1520330000000001E-2</v>
      </c>
      <c r="R6593">
        <v>0.17182639999999999</v>
      </c>
      <c r="S6593">
        <v>2.8373719999999998</v>
      </c>
      <c r="T6593">
        <v>-0.2318568</v>
      </c>
      <c r="U6593">
        <v>1.1536249999999999</v>
      </c>
      <c r="V6593">
        <v>-2.8421470000000002E-3</v>
      </c>
      <c r="W6593">
        <v>-2.7234850000000001E-2</v>
      </c>
      <c r="X6593">
        <v>0.99962499999999999</v>
      </c>
      <c r="Y6593">
        <v>-0.21444060000000001</v>
      </c>
      <c r="Z6593">
        <v>-4.6999620000000002E-3</v>
      </c>
      <c r="AA6593">
        <v>0.97672579999999998</v>
      </c>
      <c r="AB6593">
        <v>19</v>
      </c>
      <c r="AC6593">
        <v>13.5148999999999</v>
      </c>
      <c r="AD6593">
        <v>-1.1113868333570001</v>
      </c>
      <c r="AE6593">
        <v>5.5140000000000002</v>
      </c>
      <c r="AF6593">
        <v>-3.1310953729916502</v>
      </c>
      <c r="AG6593">
        <v>-1.1113868333570001</v>
      </c>
      <c r="AH6593">
        <v>14.1705298466043</v>
      </c>
      <c r="AI6593">
        <v>94.379292070035604</v>
      </c>
      <c r="AJ6593">
        <v>102.45977660563599</v>
      </c>
      <c r="AK6593">
        <v>14.5548223988351</v>
      </c>
      <c r="AL6593">
        <v>91.560634966108495</v>
      </c>
      <c r="AM6593">
        <v>90.162903677936896</v>
      </c>
      <c r="AN6593">
        <v>0.99999997773954497</v>
      </c>
    </row>
    <row r="6594" spans="1:40" x14ac:dyDescent="0.25">
      <c r="A6594" t="str">
        <f>"20190312161147684"</f>
        <v>20190312161147684</v>
      </c>
      <c r="B6594" t="str">
        <f>"1552378307674023"</f>
        <v>1552378307674023</v>
      </c>
      <c r="C6594" t="s">
        <v>40</v>
      </c>
      <c r="D6594">
        <v>5.4415610000000001</v>
      </c>
      <c r="E6594">
        <v>0.41912690000000002</v>
      </c>
      <c r="F6594" t="s">
        <v>78</v>
      </c>
      <c r="G6594">
        <v>-191.29310000000001</v>
      </c>
      <c r="H6594" s="1">
        <v>-7.8263559999999998E-6</v>
      </c>
      <c r="I6594">
        <v>-56.173290000000001</v>
      </c>
      <c r="J6594">
        <v>-204.67240000000001</v>
      </c>
      <c r="K6594">
        <v>1.1113770000000001</v>
      </c>
      <c r="L6594">
        <v>-61.638240000000003</v>
      </c>
      <c r="M6594">
        <v>0.98533990000000005</v>
      </c>
      <c r="N6594">
        <v>0</v>
      </c>
      <c r="O6594">
        <v>0.17000270000000001</v>
      </c>
      <c r="P6594">
        <v>0.98416579999999998</v>
      </c>
      <c r="Q6594">
        <v>-4.1491390000000003E-2</v>
      </c>
      <c r="R6594">
        <v>0.17232529999999999</v>
      </c>
      <c r="S6594">
        <v>2.8365330000000002</v>
      </c>
      <c r="T6594">
        <v>-0.23418069999999999</v>
      </c>
      <c r="U6594">
        <v>1.1547240000000001</v>
      </c>
      <c r="V6594">
        <v>-2.4141089999999998E-3</v>
      </c>
      <c r="W6594">
        <v>-2.720682E-2</v>
      </c>
      <c r="X6594">
        <v>0.99962689999999998</v>
      </c>
      <c r="Y6594">
        <v>-0.2139538</v>
      </c>
      <c r="Z6594">
        <v>-4.8381470000000001E-3</v>
      </c>
      <c r="AA6594">
        <v>0.97683180000000003</v>
      </c>
      <c r="AB6594">
        <v>19</v>
      </c>
      <c r="AC6594">
        <v>13.379300000000001</v>
      </c>
      <c r="AD6594">
        <v>-1.111384826356</v>
      </c>
      <c r="AE6594">
        <v>5.46495</v>
      </c>
      <c r="AF6594">
        <v>-3.0923472036138699</v>
      </c>
      <c r="AG6594">
        <v>-1.111384826356</v>
      </c>
      <c r="AH6594">
        <v>14.0306851119089</v>
      </c>
      <c r="AI6594">
        <v>94.423279025115903</v>
      </c>
      <c r="AJ6594">
        <v>102.429215453401</v>
      </c>
      <c r="AK6594">
        <v>14.410340459874501</v>
      </c>
      <c r="AL6594">
        <v>91.559028352339396</v>
      </c>
      <c r="AM6594">
        <v>90.138369613785102</v>
      </c>
      <c r="AN6594">
        <v>0.99999998909019205</v>
      </c>
    </row>
    <row r="6595" spans="1:40" x14ac:dyDescent="0.25">
      <c r="A6595" t="str">
        <f>"20190312161147695"</f>
        <v>20190312161147695</v>
      </c>
      <c r="B6595" t="str">
        <f>"1552378307683785"</f>
        <v>1552378307683785</v>
      </c>
      <c r="C6595" t="s">
        <v>40</v>
      </c>
      <c r="D6595">
        <v>5.4638530000000003</v>
      </c>
      <c r="E6595">
        <v>0.41896280000000002</v>
      </c>
      <c r="F6595" t="s">
        <v>78</v>
      </c>
      <c r="G6595">
        <v>-191.28970000000001</v>
      </c>
      <c r="H6595" s="1">
        <v>-7.8211709999999996E-6</v>
      </c>
      <c r="I6595">
        <v>-56.186610000000002</v>
      </c>
      <c r="J6595">
        <v>-204.5797</v>
      </c>
      <c r="K6595">
        <v>1.111381</v>
      </c>
      <c r="L6595">
        <v>-61.621000000000002</v>
      </c>
      <c r="M6595">
        <v>0.98515960000000002</v>
      </c>
      <c r="N6595">
        <v>0</v>
      </c>
      <c r="O6595">
        <v>0.17104430000000001</v>
      </c>
      <c r="P6595">
        <v>0.98403640000000003</v>
      </c>
      <c r="Q6595">
        <v>-4.146656E-2</v>
      </c>
      <c r="R6595">
        <v>0.17306920000000001</v>
      </c>
      <c r="S6595">
        <v>2.8360439999999998</v>
      </c>
      <c r="T6595">
        <v>-0.2355237</v>
      </c>
      <c r="U6595">
        <v>1.1553040000000001</v>
      </c>
      <c r="V6595">
        <v>-2.1128620000000001E-3</v>
      </c>
      <c r="W6595">
        <v>-2.718342E-2</v>
      </c>
      <c r="X6595">
        <v>0.99962819999999997</v>
      </c>
      <c r="Y6595">
        <v>-0.2131547</v>
      </c>
      <c r="Z6595">
        <v>-4.9789830000000002E-3</v>
      </c>
      <c r="AA6595">
        <v>0.97700580000000004</v>
      </c>
      <c r="AB6595">
        <v>19</v>
      </c>
      <c r="AC6595">
        <v>13.2899999999999</v>
      </c>
      <c r="AD6595">
        <v>-1.1113888211709999</v>
      </c>
      <c r="AE6595">
        <v>5.4343899999999996</v>
      </c>
      <c r="AF6595">
        <v>-3.0625285295670999</v>
      </c>
      <c r="AG6595">
        <v>-1.1113888211709999</v>
      </c>
      <c r="AH6595">
        <v>13.9402033412871</v>
      </c>
      <c r="AI6595">
        <v>94.452549511821204</v>
      </c>
      <c r="AJ6595">
        <v>102.390496327062</v>
      </c>
      <c r="AK6595">
        <v>14.315849094715601</v>
      </c>
      <c r="AL6595">
        <v>91.557687164191606</v>
      </c>
      <c r="AM6595">
        <v>90.121102921084102</v>
      </c>
      <c r="AN6595">
        <v>0.99999997037198296</v>
      </c>
    </row>
    <row r="6596" spans="1:40" x14ac:dyDescent="0.25">
      <c r="A6596" t="str">
        <f>"20190312161147705"</f>
        <v>20190312161147705</v>
      </c>
      <c r="B6596" t="str">
        <f>"1552378307693544"</f>
        <v>1552378307693544</v>
      </c>
      <c r="C6596" t="s">
        <v>40</v>
      </c>
      <c r="D6596">
        <v>5.4500310000000001</v>
      </c>
      <c r="E6596">
        <v>0.41878320000000002</v>
      </c>
      <c r="F6596" t="s">
        <v>78</v>
      </c>
      <c r="G6596">
        <v>-191.04050000000001</v>
      </c>
      <c r="H6596" s="1">
        <v>-7.8322329999999996E-6</v>
      </c>
      <c r="I6596">
        <v>-56.087710000000001</v>
      </c>
      <c r="J6596">
        <v>-204.49619999999999</v>
      </c>
      <c r="K6596">
        <v>1.1113839999999999</v>
      </c>
      <c r="L6596">
        <v>-61.605440000000002</v>
      </c>
      <c r="M6596">
        <v>0.98499599999999998</v>
      </c>
      <c r="N6596">
        <v>0</v>
      </c>
      <c r="O6596">
        <v>0.17198379999999999</v>
      </c>
      <c r="P6596">
        <v>0.98397409999999996</v>
      </c>
      <c r="Q6596">
        <v>-4.1328589999999998E-2</v>
      </c>
      <c r="R6596">
        <v>0.1734561</v>
      </c>
      <c r="S6596">
        <v>2.835083</v>
      </c>
      <c r="T6596">
        <v>-0.23272280000000001</v>
      </c>
      <c r="U6596">
        <v>1.1586609999999999</v>
      </c>
      <c r="V6596">
        <v>-1.5523150000000001E-3</v>
      </c>
      <c r="W6596">
        <v>-2.7045860000000001E-2</v>
      </c>
      <c r="X6596">
        <v>0.99963299999999999</v>
      </c>
      <c r="Y6596">
        <v>-0.21333550000000001</v>
      </c>
      <c r="Z6596">
        <v>-4.9849660000000004E-3</v>
      </c>
      <c r="AA6596">
        <v>0.97696629999999995</v>
      </c>
      <c r="AB6596">
        <v>19</v>
      </c>
      <c r="AC6596">
        <v>13.455699999999901</v>
      </c>
      <c r="AD6596">
        <v>-1.1113918322330001</v>
      </c>
      <c r="AE6596">
        <v>5.5177300000000002</v>
      </c>
      <c r="AF6596">
        <v>-3.10297688773655</v>
      </c>
      <c r="AG6596">
        <v>-1.1113918322330001</v>
      </c>
      <c r="AH6596">
        <v>14.1217502940946</v>
      </c>
      <c r="AI6596">
        <v>94.395509227434403</v>
      </c>
      <c r="AJ6596">
        <v>102.39268018028</v>
      </c>
      <c r="AK6596">
        <v>14.501292657530399</v>
      </c>
      <c r="AL6596">
        <v>91.549802593940598</v>
      </c>
      <c r="AM6596">
        <v>90.088973679822999</v>
      </c>
      <c r="AN6596">
        <v>1.00000001145699</v>
      </c>
    </row>
    <row r="6597" spans="1:40" x14ac:dyDescent="0.25">
      <c r="A6597" t="str">
        <f>"20190312161147715"</f>
        <v>20190312161147715</v>
      </c>
      <c r="B6597" t="str">
        <f>"1552378307703304"</f>
        <v>1552378307703304</v>
      </c>
      <c r="C6597" t="s">
        <v>40</v>
      </c>
      <c r="D6597">
        <v>5.4367049999999999</v>
      </c>
      <c r="E6597">
        <v>0.41862890000000003</v>
      </c>
      <c r="F6597" t="s">
        <v>78</v>
      </c>
      <c r="G6597">
        <v>-190.81559999999999</v>
      </c>
      <c r="H6597" s="1">
        <v>-7.8413230000000002E-6</v>
      </c>
      <c r="I6597">
        <v>-56.000920000000001</v>
      </c>
      <c r="J6597">
        <v>-204.4128</v>
      </c>
      <c r="K6597">
        <v>1.111383</v>
      </c>
      <c r="L6597">
        <v>-61.5897199999999</v>
      </c>
      <c r="M6597">
        <v>0.9848306</v>
      </c>
      <c r="N6597">
        <v>0</v>
      </c>
      <c r="O6597">
        <v>0.17292920000000001</v>
      </c>
      <c r="P6597">
        <v>0.98387990000000003</v>
      </c>
      <c r="Q6597">
        <v>-4.109902E-2</v>
      </c>
      <c r="R6597">
        <v>0.17404430000000001</v>
      </c>
      <c r="S6597">
        <v>2.834473</v>
      </c>
      <c r="T6597">
        <v>-0.23026779999999999</v>
      </c>
      <c r="U6597">
        <v>1.1611940000000001</v>
      </c>
      <c r="V6597">
        <v>-1.1891060000000001E-3</v>
      </c>
      <c r="W6597">
        <v>-2.681712E-2</v>
      </c>
      <c r="X6597">
        <v>0.99963959999999996</v>
      </c>
      <c r="Y6597">
        <v>-0.21322459999999999</v>
      </c>
      <c r="Z6597">
        <v>-5.0084589999999998E-3</v>
      </c>
      <c r="AA6597">
        <v>0.97699029999999998</v>
      </c>
      <c r="AB6597">
        <v>19</v>
      </c>
      <c r="AC6597">
        <v>13.597200000000001</v>
      </c>
      <c r="AD6597">
        <v>-1.111390841323</v>
      </c>
      <c r="AE6597">
        <v>5.5887999999999902</v>
      </c>
      <c r="AF6597">
        <v>-3.1350722608688901</v>
      </c>
      <c r="AG6597">
        <v>-1.111390841323</v>
      </c>
      <c r="AH6597">
        <v>14.2772719492639</v>
      </c>
      <c r="AI6597">
        <v>94.347941950239303</v>
      </c>
      <c r="AJ6597">
        <v>102.38472694689401</v>
      </c>
      <c r="AK6597">
        <v>14.659616707004499</v>
      </c>
      <c r="AL6597">
        <v>91.536692095094196</v>
      </c>
      <c r="AM6597">
        <v>90.068155286223998</v>
      </c>
      <c r="AN6597">
        <v>0.99999995089316496</v>
      </c>
    </row>
    <row r="6598" spans="1:40" x14ac:dyDescent="0.25">
      <c r="A6598" t="str">
        <f>"20190312161147727"</f>
        <v>20190312161147727</v>
      </c>
      <c r="B6598" t="str">
        <f>"1552378307723800"</f>
        <v>1552378307723800</v>
      </c>
      <c r="C6598" t="s">
        <v>40</v>
      </c>
      <c r="D6598">
        <v>5.4765420000000002</v>
      </c>
      <c r="E6598">
        <v>0.41871380000000002</v>
      </c>
      <c r="F6598" t="s">
        <v>78</v>
      </c>
      <c r="G6598">
        <v>-190.6155</v>
      </c>
      <c r="H6598" s="1">
        <v>-7.8501309999999994E-6</v>
      </c>
      <c r="I6598">
        <v>-55.921709999999997</v>
      </c>
      <c r="J6598">
        <v>-204.31610000000001</v>
      </c>
      <c r="K6598">
        <v>1.111389</v>
      </c>
      <c r="L6598">
        <v>-61.5715</v>
      </c>
      <c r="M6598">
        <v>0.98463679999999998</v>
      </c>
      <c r="N6598">
        <v>0</v>
      </c>
      <c r="O6598">
        <v>0.1740292</v>
      </c>
      <c r="P6598">
        <v>0.98381850000000004</v>
      </c>
      <c r="Q6598">
        <v>-4.073732E-2</v>
      </c>
      <c r="R6598">
        <v>0.17447589999999999</v>
      </c>
      <c r="S6598">
        <v>2.8336939999999999</v>
      </c>
      <c r="T6598">
        <v>-0.22825680000000001</v>
      </c>
      <c r="U6598">
        <v>1.164093</v>
      </c>
      <c r="V6598">
        <v>-5.0890910000000002E-4</v>
      </c>
      <c r="W6598">
        <v>-2.6455590000000001E-2</v>
      </c>
      <c r="X6598">
        <v>0.99964989999999998</v>
      </c>
      <c r="Y6598">
        <v>-0.21308840000000001</v>
      </c>
      <c r="Z6598">
        <v>-5.0527999999999997E-3</v>
      </c>
      <c r="AA6598">
        <v>0.97701979999999999</v>
      </c>
      <c r="AB6598">
        <v>19</v>
      </c>
      <c r="AC6598">
        <v>13.7006</v>
      </c>
      <c r="AD6598">
        <v>-1.1113968501310001</v>
      </c>
      <c r="AE6598">
        <v>5.6497900000000003</v>
      </c>
      <c r="AF6598">
        <v>-3.16123219470881</v>
      </c>
      <c r="AG6598">
        <v>-1.1113968501310001</v>
      </c>
      <c r="AH6598">
        <v>14.3938687656838</v>
      </c>
      <c r="AI6598">
        <v>94.312843487460597</v>
      </c>
      <c r="AJ6598">
        <v>102.386842278033</v>
      </c>
      <c r="AK6598">
        <v>14.7787702462374</v>
      </c>
      <c r="AL6598">
        <v>91.515970463624399</v>
      </c>
      <c r="AM6598">
        <v>90.029168552977197</v>
      </c>
      <c r="AN6598">
        <v>1.0000000399003599</v>
      </c>
    </row>
    <row r="6599" spans="1:40" x14ac:dyDescent="0.25">
      <c r="A6599" t="str">
        <f>"20190312161147738"</f>
        <v>20190312161147738</v>
      </c>
      <c r="B6599" t="str">
        <f>"1552378307733560"</f>
        <v>1552378307733560</v>
      </c>
      <c r="C6599" t="s">
        <v>40</v>
      </c>
      <c r="D6599">
        <v>5.3691329999999997</v>
      </c>
      <c r="E6599">
        <v>0.41867650000000001</v>
      </c>
      <c r="F6599" t="s">
        <v>78</v>
      </c>
      <c r="G6599">
        <v>-190.49709999999999</v>
      </c>
      <c r="H6599" s="1">
        <v>-7.8495729999999997E-6</v>
      </c>
      <c r="I6599">
        <v>-55.890729999999998</v>
      </c>
      <c r="J6599">
        <v>-204.2183</v>
      </c>
      <c r="K6599">
        <v>1.1113980000000001</v>
      </c>
      <c r="L6599">
        <v>-61.552860000000003</v>
      </c>
      <c r="M6599">
        <v>0.98443769999999997</v>
      </c>
      <c r="N6599">
        <v>0</v>
      </c>
      <c r="O6599">
        <v>0.17515259999999999</v>
      </c>
      <c r="P6599">
        <v>0.98366390000000004</v>
      </c>
      <c r="Q6599">
        <v>-4.0496989999999997E-2</v>
      </c>
      <c r="R6599">
        <v>0.1754009</v>
      </c>
      <c r="S6599">
        <v>2.8333279999999998</v>
      </c>
      <c r="T6599">
        <v>-0.22787070000000001</v>
      </c>
      <c r="U6599">
        <v>1.1647339999999999</v>
      </c>
      <c r="V6599">
        <v>-3.0727949999999999E-4</v>
      </c>
      <c r="W6599">
        <v>-2.621675E-2</v>
      </c>
      <c r="X6599">
        <v>0.99965630000000005</v>
      </c>
      <c r="Y6599">
        <v>-0.2122126</v>
      </c>
      <c r="Z6599">
        <v>-5.162626E-3</v>
      </c>
      <c r="AA6599">
        <v>0.97720989999999996</v>
      </c>
      <c r="AB6599">
        <v>19</v>
      </c>
      <c r="AC6599">
        <v>13.7212</v>
      </c>
      <c r="AD6599">
        <v>-1.1114058495729999</v>
      </c>
      <c r="AE6599">
        <v>5.6621299999999897</v>
      </c>
      <c r="AF6599">
        <v>-3.1533554269290498</v>
      </c>
      <c r="AG6599">
        <v>-1.1114058495729999</v>
      </c>
      <c r="AH6599">
        <v>14.420040560493</v>
      </c>
      <c r="AI6599">
        <v>94.305927493604798</v>
      </c>
      <c r="AJ6599">
        <v>102.335187461503</v>
      </c>
      <c r="AK6599">
        <v>14.8025823144906</v>
      </c>
      <c r="AL6599">
        <v>91.5022811538242</v>
      </c>
      <c r="AM6599">
        <v>90.017611871126405</v>
      </c>
      <c r="AN6599">
        <v>1.0000000652654599</v>
      </c>
    </row>
    <row r="6600" spans="1:40" x14ac:dyDescent="0.25">
      <c r="A6600" t="str">
        <f>"20190312161147750"</f>
        <v>20190312161147750</v>
      </c>
      <c r="B6600" t="str">
        <f>"1552378307743322"</f>
        <v>1552378307743322</v>
      </c>
      <c r="C6600" t="s">
        <v>40</v>
      </c>
      <c r="D6600">
        <v>5.4261210000000002</v>
      </c>
      <c r="E6600">
        <v>0.41858889999999999</v>
      </c>
      <c r="F6600" t="s">
        <v>78</v>
      </c>
      <c r="G6600">
        <v>-190.45099999999999</v>
      </c>
      <c r="H6600" s="1">
        <v>-7.8499650000000003E-6</v>
      </c>
      <c r="I6600">
        <v>-55.876980000000003</v>
      </c>
      <c r="J6600">
        <v>-204.1207</v>
      </c>
      <c r="K6600">
        <v>1.11141</v>
      </c>
      <c r="L6600">
        <v>-61.534179999999999</v>
      </c>
      <c r="M6600">
        <v>0.98423590000000005</v>
      </c>
      <c r="N6600">
        <v>0</v>
      </c>
      <c r="O6600">
        <v>0.17628289999999999</v>
      </c>
      <c r="P6600">
        <v>0.98354419999999998</v>
      </c>
      <c r="Q6600">
        <v>-4.0470529999999998E-2</v>
      </c>
      <c r="R6600">
        <v>0.17607700000000001</v>
      </c>
      <c r="S6600">
        <v>2.8321990000000001</v>
      </c>
      <c r="T6600">
        <v>-0.2286366</v>
      </c>
      <c r="U6600">
        <v>1.1676329999999999</v>
      </c>
      <c r="V6600">
        <v>1.541704E-4</v>
      </c>
      <c r="W6600">
        <v>-2.619109E-2</v>
      </c>
      <c r="X6600">
        <v>0.99965689999999996</v>
      </c>
      <c r="Y6600">
        <v>-0.21208560000000001</v>
      </c>
      <c r="Z6600">
        <v>-5.27051E-3</v>
      </c>
      <c r="AA6600">
        <v>0.97723689999999996</v>
      </c>
      <c r="AB6600">
        <v>19</v>
      </c>
      <c r="AC6600">
        <v>13.669700000000001</v>
      </c>
      <c r="AD6600">
        <v>-1.111417849965</v>
      </c>
      <c r="AE6600">
        <v>5.6571999999999996</v>
      </c>
      <c r="AF6600">
        <v>-3.1408804106202499</v>
      </c>
      <c r="AG6600">
        <v>-1.111417849965</v>
      </c>
      <c r="AH6600">
        <v>14.371838417081401</v>
      </c>
      <c r="AI6600">
        <v>94.320482015244593</v>
      </c>
      <c r="AJ6600">
        <v>102.327828018267</v>
      </c>
      <c r="AK6600">
        <v>14.7529698324688</v>
      </c>
      <c r="AL6600">
        <v>91.500810601213104</v>
      </c>
      <c r="AM6600">
        <v>89.991163655074203</v>
      </c>
      <c r="AN6600">
        <v>0.99999995734075398</v>
      </c>
    </row>
    <row r="6601" spans="1:40" x14ac:dyDescent="0.25">
      <c r="A6601" t="str">
        <f>"20190312161147760"</f>
        <v>20190312161147760</v>
      </c>
      <c r="B6601" t="str">
        <f>"1552378307754056"</f>
        <v>1552378307754056</v>
      </c>
      <c r="C6601" t="s">
        <v>40</v>
      </c>
      <c r="D6601">
        <v>5.4323949999999996</v>
      </c>
      <c r="E6601">
        <v>0.41854360000000002</v>
      </c>
      <c r="F6601" t="s">
        <v>78</v>
      </c>
      <c r="G6601">
        <v>-190.30510000000001</v>
      </c>
      <c r="H6601" s="1">
        <v>-7.8547689999999999E-6</v>
      </c>
      <c r="I6601">
        <v>-55.8236699999999</v>
      </c>
      <c r="J6601">
        <v>-204.0257</v>
      </c>
      <c r="K6601">
        <v>1.111421</v>
      </c>
      <c r="L6601">
        <v>-61.5158699999999</v>
      </c>
      <c r="M6601">
        <v>0.98403700000000005</v>
      </c>
      <c r="N6601">
        <v>0</v>
      </c>
      <c r="O6601">
        <v>0.17738960000000001</v>
      </c>
      <c r="P6601">
        <v>0.98338270000000005</v>
      </c>
      <c r="Q6601">
        <v>-4.0337119999999997E-2</v>
      </c>
      <c r="R6601">
        <v>0.1770062</v>
      </c>
      <c r="S6601">
        <v>2.8313139999999999</v>
      </c>
      <c r="T6601">
        <v>-0.22776930000000001</v>
      </c>
      <c r="U6601">
        <v>1.170288</v>
      </c>
      <c r="V6601">
        <v>3.3507889999999997E-4</v>
      </c>
      <c r="W6601">
        <v>-2.605911E-2</v>
      </c>
      <c r="X6601">
        <v>0.9996604</v>
      </c>
      <c r="Y6601">
        <v>-0.2118814</v>
      </c>
      <c r="Z6601">
        <v>-5.3417100000000004E-3</v>
      </c>
      <c r="AA6601">
        <v>0.97728079999999995</v>
      </c>
      <c r="AB6601">
        <v>19</v>
      </c>
      <c r="AC6601">
        <v>13.7205999999999</v>
      </c>
      <c r="AD6601">
        <v>-1.1114288547690001</v>
      </c>
      <c r="AE6601">
        <v>5.6921999999999997</v>
      </c>
      <c r="AF6601">
        <v>-3.15013193739044</v>
      </c>
      <c r="AG6601">
        <v>-1.1114288547690001</v>
      </c>
      <c r="AH6601">
        <v>14.4320032530944</v>
      </c>
      <c r="AI6601">
        <v>94.302822098972698</v>
      </c>
      <c r="AJ6601">
        <v>102.31306060787399</v>
      </c>
      <c r="AK6601">
        <v>14.813552012245699</v>
      </c>
      <c r="AL6601">
        <v>91.493245980012603</v>
      </c>
      <c r="AM6601">
        <v>89.980794871883603</v>
      </c>
      <c r="AN6601">
        <v>1.0000000524099999</v>
      </c>
    </row>
    <row r="6602" spans="1:40" x14ac:dyDescent="0.25">
      <c r="A6602" t="str">
        <f>"20190312161147782"</f>
        <v>20190312161147782</v>
      </c>
      <c r="B6602" t="str">
        <f>"1552378307773576"</f>
        <v>1552378307773576</v>
      </c>
      <c r="C6602" t="s">
        <v>40</v>
      </c>
      <c r="D6602">
        <v>5.3933460000000002</v>
      </c>
      <c r="E6602">
        <v>0.41848059999999998</v>
      </c>
      <c r="F6602" t="s">
        <v>78</v>
      </c>
      <c r="G6602">
        <v>-190.17609999999999</v>
      </c>
      <c r="H6602" s="1">
        <v>-7.8598149999999999E-6</v>
      </c>
      <c r="I6602">
        <v>-55.774369999999998</v>
      </c>
      <c r="J6602">
        <v>-203.84370000000001</v>
      </c>
      <c r="K6602">
        <v>1.1114489999999999</v>
      </c>
      <c r="L6602">
        <v>-61.480440000000002</v>
      </c>
      <c r="M6602">
        <v>0.98364620000000003</v>
      </c>
      <c r="N6602">
        <v>0</v>
      </c>
      <c r="O6602">
        <v>0.17954489999999901</v>
      </c>
      <c r="P6602">
        <v>0.98310229999999998</v>
      </c>
      <c r="Q6602">
        <v>-4.0336980000000001E-2</v>
      </c>
      <c r="R6602">
        <v>0.17855789999999999</v>
      </c>
      <c r="S6602">
        <v>2.8301699999999999</v>
      </c>
      <c r="T6602">
        <v>-0.22712109999999999</v>
      </c>
      <c r="U6602">
        <v>1.173279</v>
      </c>
      <c r="V6602">
        <v>9.4844809999999999E-4</v>
      </c>
      <c r="W6602">
        <v>-2.6060699999999999E-2</v>
      </c>
      <c r="X6602">
        <v>0.99965990000000005</v>
      </c>
      <c r="Y6602">
        <v>-0.2107706</v>
      </c>
      <c r="Z6602">
        <v>-5.5309219999999997E-3</v>
      </c>
      <c r="AA6602">
        <v>0.9775199</v>
      </c>
      <c r="AB6602">
        <v>19</v>
      </c>
      <c r="AC6602">
        <v>13.6676</v>
      </c>
      <c r="AD6602">
        <v>-1.1114568598150001</v>
      </c>
      <c r="AE6602">
        <v>5.7060700000000004</v>
      </c>
      <c r="AF6602">
        <v>-3.1414371502509599</v>
      </c>
      <c r="AG6602">
        <v>-1.1114568598150001</v>
      </c>
      <c r="AH6602">
        <v>14.389021483363299</v>
      </c>
      <c r="AI6602">
        <v>94.315692226763005</v>
      </c>
      <c r="AJ6602">
        <v>102.315671817631</v>
      </c>
      <c r="AK6602">
        <v>14.769830837518001</v>
      </c>
      <c r="AL6602">
        <v>91.493337207972701</v>
      </c>
      <c r="AM6602">
        <v>89.945639455067095</v>
      </c>
      <c r="AN6602">
        <v>0.99999998765314901</v>
      </c>
    </row>
    <row r="6603" spans="1:40" x14ac:dyDescent="0.25">
      <c r="A6603" t="str">
        <f>"20190312161147794"</f>
        <v>20190312161147794</v>
      </c>
      <c r="B6603" t="str">
        <f>"1552378307784312"</f>
        <v>1552378307784312</v>
      </c>
      <c r="C6603" t="s">
        <v>40</v>
      </c>
      <c r="D6603">
        <v>5.3847950000000004</v>
      </c>
      <c r="E6603">
        <v>0.41849380000000003</v>
      </c>
      <c r="F6603" t="s">
        <v>78</v>
      </c>
      <c r="G6603">
        <v>-189.983</v>
      </c>
      <c r="H6603" s="1">
        <v>-7.8652799999999993E-6</v>
      </c>
      <c r="I6603">
        <v>-55.706290000000003</v>
      </c>
      <c r="J6603">
        <v>-203.74979999999999</v>
      </c>
      <c r="K6603">
        <v>1.111464</v>
      </c>
      <c r="L6603">
        <v>-61.461939999999998</v>
      </c>
      <c r="M6603">
        <v>0.98343860000000005</v>
      </c>
      <c r="N6603">
        <v>0</v>
      </c>
      <c r="O6603">
        <v>0.1806787</v>
      </c>
      <c r="P6603">
        <v>0.98290809999999995</v>
      </c>
      <c r="Q6603">
        <v>-4.0457199999999902E-2</v>
      </c>
      <c r="R6603">
        <v>0.1795966</v>
      </c>
      <c r="S6603">
        <v>2.8282780000000001</v>
      </c>
      <c r="T6603">
        <v>-0.22679440000000001</v>
      </c>
      <c r="U6603">
        <v>1.178223</v>
      </c>
      <c r="V6603">
        <v>1.0446959999999999E-3</v>
      </c>
      <c r="W6603">
        <v>-2.6182380000000002E-2</v>
      </c>
      <c r="X6603">
        <v>0.99965660000000001</v>
      </c>
      <c r="Y6603">
        <v>-0.21133379999999999</v>
      </c>
      <c r="Z6603">
        <v>-5.5869789999999997E-3</v>
      </c>
      <c r="AA6603">
        <v>0.97739799999999999</v>
      </c>
      <c r="AB6603">
        <v>19</v>
      </c>
      <c r="AC6603">
        <v>13.7667999999999</v>
      </c>
      <c r="AD6603">
        <v>-1.11147186528</v>
      </c>
      <c r="AE6603">
        <v>5.7556500000000002</v>
      </c>
      <c r="AF6603">
        <v>-3.1557745290100998</v>
      </c>
      <c r="AG6603">
        <v>-1.11147186528</v>
      </c>
      <c r="AH6603">
        <v>14.499760303740899</v>
      </c>
      <c r="AI6603">
        <v>94.283515347203505</v>
      </c>
      <c r="AJ6603">
        <v>102.278555397638</v>
      </c>
      <c r="AK6603">
        <v>14.8807705261252</v>
      </c>
      <c r="AL6603">
        <v>91.500311375010398</v>
      </c>
      <c r="AM6603">
        <v>89.940122788281897</v>
      </c>
      <c r="AN6603">
        <v>0.99999996316787698</v>
      </c>
    </row>
    <row r="6604" spans="1:40" x14ac:dyDescent="0.25">
      <c r="A6604" t="str">
        <f>"20190312161147817"</f>
        <v>20190312161147817</v>
      </c>
      <c r="B6604" t="str">
        <f>"1552378307813593"</f>
        <v>1552378307813593</v>
      </c>
      <c r="C6604" t="s">
        <v>40</v>
      </c>
      <c r="D6604">
        <v>5.2994209999999997</v>
      </c>
      <c r="E6604">
        <v>0.41848390000000002</v>
      </c>
      <c r="F6604" t="s">
        <v>78</v>
      </c>
      <c r="G6604">
        <v>-189.89599999999999</v>
      </c>
      <c r="H6604" s="1">
        <v>-1.1439660000000001E-5</v>
      </c>
      <c r="I6604">
        <v>-55.673850000000002</v>
      </c>
      <c r="J6604">
        <v>-203.5573</v>
      </c>
      <c r="K6604">
        <v>1.111494</v>
      </c>
      <c r="L6604">
        <v>-61.423679999999997</v>
      </c>
      <c r="M6604">
        <v>0.98300200000000004</v>
      </c>
      <c r="N6604">
        <v>0</v>
      </c>
      <c r="O6604">
        <v>0.18303910000000001</v>
      </c>
      <c r="P6604">
        <v>0.98254699999999995</v>
      </c>
      <c r="Q6604">
        <v>-4.022092E-2</v>
      </c>
      <c r="R6604">
        <v>0.18161440000000001</v>
      </c>
      <c r="S6604">
        <v>2.827026</v>
      </c>
      <c r="T6604">
        <v>-0.2268087</v>
      </c>
      <c r="U6604">
        <v>1.181122</v>
      </c>
      <c r="V6604">
        <v>1.39487799999999E-3</v>
      </c>
      <c r="W6604">
        <v>-2.5948249999999999E-2</v>
      </c>
      <c r="X6604">
        <v>0.9996623</v>
      </c>
      <c r="Y6604">
        <v>-0.2100041</v>
      </c>
      <c r="Z6604">
        <v>-5.8153390000000001E-3</v>
      </c>
      <c r="AA6604">
        <v>0.97768319999999997</v>
      </c>
      <c r="AB6604">
        <v>19</v>
      </c>
      <c r="AC6604">
        <v>13.661300000000001</v>
      </c>
      <c r="AD6604">
        <v>-1.1115054396599999</v>
      </c>
      <c r="AE6604">
        <v>5.7498300000000002</v>
      </c>
      <c r="AF6604">
        <v>-3.13423794933068</v>
      </c>
      <c r="AG6604">
        <v>-1.1115054396599999</v>
      </c>
      <c r="AH6604">
        <v>14.4020142350318</v>
      </c>
      <c r="AI6604">
        <v>94.312624207461297</v>
      </c>
      <c r="AJ6604">
        <v>102.277557136399</v>
      </c>
      <c r="AK6604">
        <v>14.780964308578699</v>
      </c>
      <c r="AL6604">
        <v>91.486892120826397</v>
      </c>
      <c r="AM6604">
        <v>89.920052431238702</v>
      </c>
      <c r="AN6604">
        <v>0.999999985701993</v>
      </c>
    </row>
    <row r="6605" spans="1:40" x14ac:dyDescent="0.25">
      <c r="A6605" t="str">
        <f>"20190312161147828"</f>
        <v>20190312161147828</v>
      </c>
      <c r="B6605" t="str">
        <f>"1552378307823352"</f>
        <v>1552378307823352</v>
      </c>
      <c r="C6605" t="s">
        <v>40</v>
      </c>
      <c r="D6605">
        <v>5.2675809999999998</v>
      </c>
      <c r="E6605">
        <v>0.41845890000000002</v>
      </c>
      <c r="F6605" t="s">
        <v>78</v>
      </c>
      <c r="G6605">
        <v>-189.6131</v>
      </c>
      <c r="H6605" s="1">
        <v>-1.14683E-5</v>
      </c>
      <c r="I6605">
        <v>-55.563580000000002</v>
      </c>
      <c r="J6605">
        <v>-203.46510000000001</v>
      </c>
      <c r="K6605">
        <v>1.1115090000000001</v>
      </c>
      <c r="L6605">
        <v>-61.405180000000001</v>
      </c>
      <c r="M6605">
        <v>0.98278750000000004</v>
      </c>
      <c r="N6605">
        <v>0</v>
      </c>
      <c r="O6605">
        <v>0.1841874</v>
      </c>
      <c r="P6605">
        <v>0.98239319999999997</v>
      </c>
      <c r="Q6605">
        <v>-4.0288770000000002E-2</v>
      </c>
      <c r="R6605">
        <v>0.18242990000000001</v>
      </c>
      <c r="S6605">
        <v>2.824646</v>
      </c>
      <c r="T6605">
        <v>-0.2251563</v>
      </c>
      <c r="U6605">
        <v>1.187073</v>
      </c>
      <c r="V6605">
        <v>1.7335569999999999E-3</v>
      </c>
      <c r="W6605">
        <v>-2.6016589999999999E-2</v>
      </c>
      <c r="X6605">
        <v>0.99965999999999999</v>
      </c>
      <c r="Y6605">
        <v>-0.2109085</v>
      </c>
      <c r="Z6605">
        <v>-5.8250999999999997E-3</v>
      </c>
      <c r="AA6605">
        <v>0.97748849999999998</v>
      </c>
      <c r="AB6605">
        <v>19</v>
      </c>
      <c r="AC6605">
        <v>13.852</v>
      </c>
      <c r="AD6605">
        <v>-1.1115204683</v>
      </c>
      <c r="AE6605">
        <v>5.8415999999999997</v>
      </c>
      <c r="AF6605">
        <v>-3.1726686556355101</v>
      </c>
      <c r="AG6605">
        <v>-1.1115204683</v>
      </c>
      <c r="AH6605">
        <v>14.6111439591626</v>
      </c>
      <c r="AI6605">
        <v>94.251608801334797</v>
      </c>
      <c r="AJ6605">
        <v>102.25104227832099</v>
      </c>
      <c r="AK6605">
        <v>14.9928927143922</v>
      </c>
      <c r="AL6605">
        <v>91.4908090275826</v>
      </c>
      <c r="AM6605">
        <v>89.900640817798504</v>
      </c>
      <c r="AN6605">
        <v>0.99999999188754995</v>
      </c>
    </row>
    <row r="6606" spans="1:40" x14ac:dyDescent="0.25">
      <c r="A6606" t="str">
        <f>"20190312161147838"</f>
        <v>20190312161147838</v>
      </c>
      <c r="B6606" t="str">
        <f>"1552378307834088"</f>
        <v>1552378307834088</v>
      </c>
      <c r="C6606" t="s">
        <v>40</v>
      </c>
      <c r="D6606">
        <v>5.2866780000000002</v>
      </c>
      <c r="E6606">
        <v>0.41851389999999999</v>
      </c>
      <c r="F6606" t="s">
        <v>78</v>
      </c>
      <c r="G6606">
        <v>-189.53540000000001</v>
      </c>
      <c r="H6606" s="1">
        <v>-1.147719E-5</v>
      </c>
      <c r="I6606">
        <v>-55.536650000000002</v>
      </c>
      <c r="J6606">
        <v>-203.3766</v>
      </c>
      <c r="K6606">
        <v>1.1115200000000001</v>
      </c>
      <c r="L6606">
        <v>-61.387270000000001</v>
      </c>
      <c r="M6606">
        <v>0.98257729999999999</v>
      </c>
      <c r="N6606">
        <v>0</v>
      </c>
      <c r="O6606">
        <v>0.1853059</v>
      </c>
      <c r="P6606">
        <v>0.98223059999999995</v>
      </c>
      <c r="Q6606">
        <v>-4.032935E-2</v>
      </c>
      <c r="R6606">
        <v>0.1832944</v>
      </c>
      <c r="S6606">
        <v>2.8236080000000001</v>
      </c>
      <c r="T6606">
        <v>-0.2253098</v>
      </c>
      <c r="U6606">
        <v>1.189575</v>
      </c>
      <c r="V6606">
        <v>1.9919809999999999E-3</v>
      </c>
      <c r="W6606">
        <v>-2.6057739999999999E-2</v>
      </c>
      <c r="X6606">
        <v>0.99965850000000001</v>
      </c>
      <c r="Y6606">
        <v>-0.2106635</v>
      </c>
      <c r="Z6606">
        <v>-5.9219650000000004E-3</v>
      </c>
      <c r="AA6606">
        <v>0.97754070000000004</v>
      </c>
      <c r="AB6606">
        <v>19</v>
      </c>
      <c r="AC6606">
        <v>13.841199999999899</v>
      </c>
      <c r="AD6606">
        <v>-1.11153147719</v>
      </c>
      <c r="AE6606">
        <v>5.8506199999999904</v>
      </c>
      <c r="AF6606">
        <v>-3.16682733592812</v>
      </c>
      <c r="AG6606">
        <v>-1.11153147719</v>
      </c>
      <c r="AH6606">
        <v>14.6057832742261</v>
      </c>
      <c r="AI6606">
        <v>94.253486711289</v>
      </c>
      <c r="AJ6606">
        <v>102.23351910097701</v>
      </c>
      <c r="AK6606">
        <v>14.986433953880701</v>
      </c>
      <c r="AL6606">
        <v>91.493167468884394</v>
      </c>
      <c r="AM6606">
        <v>89.885829057513902</v>
      </c>
      <c r="AN6606">
        <v>1.00000004521223</v>
      </c>
    </row>
    <row r="6607" spans="1:40" x14ac:dyDescent="0.25">
      <c r="A6607" t="str">
        <f>"20190312161147850"</f>
        <v>20190312161147850</v>
      </c>
      <c r="B6607" t="str">
        <f>"1552378307843850"</f>
        <v>1552378307843850</v>
      </c>
      <c r="C6607" t="s">
        <v>40</v>
      </c>
      <c r="D6607">
        <v>5.2379410000000002</v>
      </c>
      <c r="E6607">
        <v>0.41858319999999999</v>
      </c>
      <c r="F6607" t="s">
        <v>78</v>
      </c>
      <c r="G6607">
        <v>-189.42509999999999</v>
      </c>
      <c r="H6607" s="1">
        <v>-1.148956E-5</v>
      </c>
      <c r="I6607">
        <v>-55.497489999999999</v>
      </c>
      <c r="J6607">
        <v>-203.27529999999999</v>
      </c>
      <c r="K6607">
        <v>1.1115299999999999</v>
      </c>
      <c r="L6607">
        <v>-61.3666699999999</v>
      </c>
      <c r="M6607">
        <v>0.98233219999999999</v>
      </c>
      <c r="N6607">
        <v>0</v>
      </c>
      <c r="O6607">
        <v>0.18660080000000001</v>
      </c>
      <c r="P6607">
        <v>0.98204530000000001</v>
      </c>
      <c r="Q6607">
        <v>-4.049755E-2</v>
      </c>
      <c r="R6607">
        <v>0.1842471</v>
      </c>
      <c r="S6607">
        <v>2.8226779999999998</v>
      </c>
      <c r="T6607">
        <v>-0.2248851</v>
      </c>
      <c r="U6607">
        <v>1.1916199999999999</v>
      </c>
      <c r="V6607">
        <v>2.3400040000000001E-3</v>
      </c>
      <c r="W6607">
        <v>-2.6226449999999998E-2</v>
      </c>
      <c r="X6607">
        <v>0.99965329999999997</v>
      </c>
      <c r="Y6607">
        <v>-0.2100967</v>
      </c>
      <c r="Z6607">
        <v>-6.0288889999999999E-3</v>
      </c>
      <c r="AA6607">
        <v>0.97766200000000003</v>
      </c>
      <c r="AB6607">
        <v>19</v>
      </c>
      <c r="AC6607">
        <v>13.850199999999999</v>
      </c>
      <c r="AD6607">
        <v>-1.11154148956</v>
      </c>
      <c r="AE6607">
        <v>5.8691799999999903</v>
      </c>
      <c r="AF6607">
        <v>-3.1640732671083001</v>
      </c>
      <c r="AG6607">
        <v>-1.11154148956</v>
      </c>
      <c r="AH6607">
        <v>14.6223458396419</v>
      </c>
      <c r="AI6607">
        <v>94.249104687531499</v>
      </c>
      <c r="AJ6607">
        <v>102.209770592613</v>
      </c>
      <c r="AK6607">
        <v>15.001995933099501</v>
      </c>
      <c r="AL6607">
        <v>91.502837195209096</v>
      </c>
      <c r="AM6607">
        <v>89.865881392713803</v>
      </c>
      <c r="AN6607">
        <v>1.0000000112495999</v>
      </c>
    </row>
    <row r="6608" spans="1:40" x14ac:dyDescent="0.25">
      <c r="A6608" t="str">
        <f>"20190312161147861"</f>
        <v>20190312161147861</v>
      </c>
      <c r="B6608" t="str">
        <f>"1552378307853608"</f>
        <v>1552378307853608</v>
      </c>
      <c r="C6608" t="s">
        <v>40</v>
      </c>
      <c r="D6608">
        <v>5.2540579999999997</v>
      </c>
      <c r="E6608">
        <v>0.41864289999999998</v>
      </c>
      <c r="F6608" t="s">
        <v>78</v>
      </c>
      <c r="G6608">
        <v>-189.3355</v>
      </c>
      <c r="H6608" s="1">
        <v>-1.1500710000000001E-5</v>
      </c>
      <c r="I6608">
        <v>-55.469360000000002</v>
      </c>
      <c r="J6608">
        <v>-203.18709999999999</v>
      </c>
      <c r="K6608">
        <v>1.111542</v>
      </c>
      <c r="L6608">
        <v>-61.34854</v>
      </c>
      <c r="M6608">
        <v>0.98211510000000002</v>
      </c>
      <c r="N6608">
        <v>0</v>
      </c>
      <c r="O6608">
        <v>0.18773980000000001</v>
      </c>
      <c r="P6608">
        <v>0.98188819999999999</v>
      </c>
      <c r="Q6608">
        <v>-4.0481250000000003E-2</v>
      </c>
      <c r="R6608">
        <v>0.185086</v>
      </c>
      <c r="S6608">
        <v>2.821609</v>
      </c>
      <c r="T6608">
        <v>-0.2249911</v>
      </c>
      <c r="U6608">
        <v>1.193695</v>
      </c>
      <c r="V6608">
        <v>2.6458919999999999E-3</v>
      </c>
      <c r="W6608">
        <v>-2.6210509999999999E-2</v>
      </c>
      <c r="X6608">
        <v>0.99965289999999996</v>
      </c>
      <c r="Y6608">
        <v>-0.2097096</v>
      </c>
      <c r="Z6608">
        <v>-6.1317169999999897E-3</v>
      </c>
      <c r="AA6608">
        <v>0.97774450000000002</v>
      </c>
      <c r="AB6608">
        <v>19</v>
      </c>
      <c r="AC6608">
        <v>13.8515999999999</v>
      </c>
      <c r="AD6608">
        <v>-1.1115535007099999</v>
      </c>
      <c r="AE6608">
        <v>5.8791799999999999</v>
      </c>
      <c r="AF6608">
        <v>-3.1566335592742698</v>
      </c>
      <c r="AG6608">
        <v>-1.1115535007099999</v>
      </c>
      <c r="AH6608">
        <v>14.629293280297301</v>
      </c>
      <c r="AI6608">
        <v>94.247673962245898</v>
      </c>
      <c r="AJ6608">
        <v>102.17630751019099</v>
      </c>
      <c r="AK6608">
        <v>15.0072018875415</v>
      </c>
      <c r="AL6608">
        <v>91.501923669385306</v>
      </c>
      <c r="AM6608">
        <v>89.848349271396202</v>
      </c>
      <c r="AN6608">
        <v>0.99999995602867198</v>
      </c>
    </row>
    <row r="6609" spans="1:40" x14ac:dyDescent="0.25">
      <c r="A6609" t="str">
        <f>"20190312161147872"</f>
        <v>20190312161147872</v>
      </c>
      <c r="B6609" t="str">
        <f>"1552378307863369"</f>
        <v>1552378307863369</v>
      </c>
      <c r="C6609" t="s">
        <v>40</v>
      </c>
      <c r="D6609">
        <v>5.1902220000000003</v>
      </c>
      <c r="E6609">
        <v>0.41865449999999998</v>
      </c>
      <c r="F6609" t="s">
        <v>78</v>
      </c>
      <c r="G6609">
        <v>-189.24080000000001</v>
      </c>
      <c r="H6609" s="1">
        <v>-1.151157E-5</v>
      </c>
      <c r="I6609">
        <v>-55.436570000000003</v>
      </c>
      <c r="J6609">
        <v>-203.095</v>
      </c>
      <c r="K6609">
        <v>1.1115520000000001</v>
      </c>
      <c r="L6609">
        <v>-61.329529999999998</v>
      </c>
      <c r="M6609">
        <v>0.98188379999999997</v>
      </c>
      <c r="N6609">
        <v>0</v>
      </c>
      <c r="O6609">
        <v>0.1889469</v>
      </c>
      <c r="P6609">
        <v>0.98172040000000005</v>
      </c>
      <c r="Q6609">
        <v>-4.0450979999999997E-2</v>
      </c>
      <c r="R6609">
        <v>0.18598110000000001</v>
      </c>
      <c r="S6609">
        <v>2.8206630000000001</v>
      </c>
      <c r="T6609">
        <v>-0.22481409999999999</v>
      </c>
      <c r="U6609">
        <v>1.1957089999999999</v>
      </c>
      <c r="V6609">
        <v>2.9641250000000002E-3</v>
      </c>
      <c r="W6609">
        <v>-2.6180510000000001E-2</v>
      </c>
      <c r="X6609">
        <v>0.99965289999999996</v>
      </c>
      <c r="Y6609">
        <v>-0.20922180000000001</v>
      </c>
      <c r="Z6609">
        <v>-6.2354840000000003E-3</v>
      </c>
      <c r="AA6609">
        <v>0.97784839999999995</v>
      </c>
      <c r="AB6609">
        <v>19</v>
      </c>
      <c r="AC6609">
        <v>13.854199999999899</v>
      </c>
      <c r="AD6609">
        <v>-1.11156351157</v>
      </c>
      <c r="AE6609">
        <v>5.8929600000000004</v>
      </c>
      <c r="AF6609">
        <v>-3.1516360804783199</v>
      </c>
      <c r="AG6609">
        <v>-1.11156351157</v>
      </c>
      <c r="AH6609">
        <v>14.6383721124045</v>
      </c>
      <c r="AI6609">
        <v>94.245501260093604</v>
      </c>
      <c r="AJ6609">
        <v>102.150288115471</v>
      </c>
      <c r="AK6609">
        <v>15.015003214293699</v>
      </c>
      <c r="AL6609">
        <v>91.500204045641098</v>
      </c>
      <c r="AM6609">
        <v>89.830109676345202</v>
      </c>
      <c r="AN6609">
        <v>1.0000000628096399</v>
      </c>
    </row>
    <row r="6610" spans="1:40" x14ac:dyDescent="0.25">
      <c r="A6610" t="str">
        <f>"20190312161147882"</f>
        <v>20190312161147882</v>
      </c>
      <c r="B6610" t="str">
        <f>"1552378307874104"</f>
        <v>1552378307874104</v>
      </c>
      <c r="C6610" t="s">
        <v>40</v>
      </c>
      <c r="D6610">
        <v>5.231662</v>
      </c>
      <c r="E6610">
        <v>0.41870859999999899</v>
      </c>
      <c r="F6610" t="s">
        <v>78</v>
      </c>
      <c r="G6610">
        <v>-189.0985</v>
      </c>
      <c r="H6610" s="1">
        <v>-1.1526090000000001E-5</v>
      </c>
      <c r="I6610">
        <v>-55.381469999999901</v>
      </c>
      <c r="J6610">
        <v>-203.0044</v>
      </c>
      <c r="K6610">
        <v>1.111567</v>
      </c>
      <c r="L6610">
        <v>-61.31073</v>
      </c>
      <c r="M6610">
        <v>0.98165309999999995</v>
      </c>
      <c r="N6610">
        <v>0</v>
      </c>
      <c r="O6610">
        <v>0.19014110000000001</v>
      </c>
      <c r="P6610">
        <v>0.98157169999999905</v>
      </c>
      <c r="Q6610">
        <v>-4.046744E-2</v>
      </c>
      <c r="R6610">
        <v>0.18676039999999999</v>
      </c>
      <c r="S6610">
        <v>2.8196110000000001</v>
      </c>
      <c r="T6610">
        <v>-0.22392519999999999</v>
      </c>
      <c r="U6610">
        <v>1.198242</v>
      </c>
      <c r="V6610">
        <v>3.3870609999999998E-3</v>
      </c>
      <c r="W6610">
        <v>-2.619695E-2</v>
      </c>
      <c r="X6610">
        <v>0.99965110000000001</v>
      </c>
      <c r="Y6610">
        <v>-0.20891209999999999</v>
      </c>
      <c r="Z6610">
        <v>-6.3112869999999996E-3</v>
      </c>
      <c r="AA6610">
        <v>0.97791399999999995</v>
      </c>
      <c r="AB6610">
        <v>19</v>
      </c>
      <c r="AC6610">
        <v>13.905900000000001</v>
      </c>
      <c r="AD6610">
        <v>-1.11157852609</v>
      </c>
      <c r="AE6610">
        <v>5.92926000000001</v>
      </c>
      <c r="AF6610">
        <v>-3.1596333043420399</v>
      </c>
      <c r="AG6610">
        <v>-1.11157852609</v>
      </c>
      <c r="AH6610">
        <v>14.7001898307718</v>
      </c>
      <c r="AI6610">
        <v>94.228082693486698</v>
      </c>
      <c r="AJ6610">
        <v>102.130499279574</v>
      </c>
      <c r="AK6610">
        <v>15.076951631490299</v>
      </c>
      <c r="AL6610">
        <v>91.501146350054597</v>
      </c>
      <c r="AM6610">
        <v>89.805868709966205</v>
      </c>
      <c r="AN6610">
        <v>1.00000003705136</v>
      </c>
    </row>
    <row r="6611" spans="1:40" x14ac:dyDescent="0.25">
      <c r="A6611" t="str">
        <f>"20190312161147894"</f>
        <v>20190312161147894</v>
      </c>
      <c r="B6611" t="str">
        <f>"1552378307883602"</f>
        <v>1552378307883602</v>
      </c>
      <c r="C6611" t="s">
        <v>40</v>
      </c>
      <c r="D6611">
        <v>5.1806789999999996</v>
      </c>
      <c r="E6611">
        <v>0.41872559999999898</v>
      </c>
      <c r="F6611" t="s">
        <v>78</v>
      </c>
      <c r="G6611">
        <v>-189.005</v>
      </c>
      <c r="H6611" s="1">
        <v>-1.153736E-5</v>
      </c>
      <c r="I6611">
        <v>-55.350869999999901</v>
      </c>
      <c r="J6611">
        <v>-202.91640000000001</v>
      </c>
      <c r="K6611">
        <v>1.1115809999999999</v>
      </c>
      <c r="L6611">
        <v>-61.29224</v>
      </c>
      <c r="M6611">
        <v>0.98142269999999998</v>
      </c>
      <c r="N6611">
        <v>0</v>
      </c>
      <c r="O6611">
        <v>0.19132689999999999</v>
      </c>
      <c r="P6611">
        <v>0.98135050000000001</v>
      </c>
      <c r="Q6611">
        <v>-4.0531640000000001E-2</v>
      </c>
      <c r="R6611">
        <v>0.18790519999999999</v>
      </c>
      <c r="S6611">
        <v>2.8187709999999999</v>
      </c>
      <c r="T6611">
        <v>-0.2238154</v>
      </c>
      <c r="U6611">
        <v>1.2000120000000001</v>
      </c>
      <c r="V6611">
        <v>3.4291539999999998E-3</v>
      </c>
      <c r="W6611">
        <v>-2.6262190000000001E-2</v>
      </c>
      <c r="X6611">
        <v>0.99964920000000002</v>
      </c>
      <c r="Y6611">
        <v>-0.20835989999999999</v>
      </c>
      <c r="Z6611">
        <v>-6.4170919999999897E-3</v>
      </c>
      <c r="AA6611">
        <v>0.97803119999999999</v>
      </c>
      <c r="AB6611">
        <v>19</v>
      </c>
      <c r="AC6611">
        <v>13.9114</v>
      </c>
      <c r="AD6611">
        <v>-1.11159253736</v>
      </c>
      <c r="AE6611">
        <v>5.94137</v>
      </c>
      <c r="AF6611">
        <v>-3.15266885134348</v>
      </c>
      <c r="AG6611">
        <v>-1.11159253736</v>
      </c>
      <c r="AH6611">
        <v>14.711770945441501</v>
      </c>
      <c r="AI6611">
        <v>94.225374474121296</v>
      </c>
      <c r="AJ6611">
        <v>102.095302601301</v>
      </c>
      <c r="AK6611">
        <v>15.0867877033676</v>
      </c>
      <c r="AL6611">
        <v>91.504885680306501</v>
      </c>
      <c r="AM6611">
        <v>89.803455771446295</v>
      </c>
      <c r="AN6611">
        <v>0.99999999239069504</v>
      </c>
    </row>
    <row r="6612" spans="1:40" x14ac:dyDescent="0.25">
      <c r="A6612" t="str">
        <f>"20190312161147905"</f>
        <v>20190312161147905</v>
      </c>
      <c r="B6612" t="str">
        <f>"1552378307893362"</f>
        <v>1552378307893362</v>
      </c>
      <c r="C6612" t="s">
        <v>40</v>
      </c>
      <c r="D6612">
        <v>5.2469970000000004</v>
      </c>
      <c r="E6612">
        <v>0.41875410000000002</v>
      </c>
      <c r="F6612" t="s">
        <v>78</v>
      </c>
      <c r="G6612">
        <v>-188.9083</v>
      </c>
      <c r="H6612" s="1">
        <v>-1.15462799999999E-5</v>
      </c>
      <c r="I6612">
        <v>-55.31035</v>
      </c>
      <c r="J6612">
        <v>-202.82499999999999</v>
      </c>
      <c r="K6612">
        <v>1.11159599999999</v>
      </c>
      <c r="L6612">
        <v>-61.273009999999999</v>
      </c>
      <c r="M6612">
        <v>0.98118130000000003</v>
      </c>
      <c r="N6612">
        <v>0</v>
      </c>
      <c r="O6612">
        <v>0.19256090000000001</v>
      </c>
      <c r="P6612">
        <v>0.98119900000000004</v>
      </c>
      <c r="Q6612">
        <v>-4.0472370000000001E-2</v>
      </c>
      <c r="R6612">
        <v>0.18870799999999999</v>
      </c>
      <c r="S6612">
        <v>2.8174130000000002</v>
      </c>
      <c r="T6612">
        <v>-0.2235724</v>
      </c>
      <c r="U6612">
        <v>1.203125</v>
      </c>
      <c r="V6612">
        <v>3.8692470000000001E-3</v>
      </c>
      <c r="W6612">
        <v>-2.6202679999999999E-2</v>
      </c>
      <c r="X6612">
        <v>0.99964920000000002</v>
      </c>
      <c r="Y6612">
        <v>-0.20821780000000001</v>
      </c>
      <c r="Z6612">
        <v>-6.507245E-3</v>
      </c>
      <c r="AA6612">
        <v>0.97806079999999995</v>
      </c>
      <c r="AB6612">
        <v>19</v>
      </c>
      <c r="AC6612">
        <v>13.916699999999899</v>
      </c>
      <c r="AD6612">
        <v>-1.1116075462799999</v>
      </c>
      <c r="AE6612">
        <v>5.9626599999999996</v>
      </c>
      <c r="AF6612">
        <v>-3.15395929082865</v>
      </c>
      <c r="AG6612">
        <v>-1.1116075462799999</v>
      </c>
      <c r="AH6612">
        <v>14.725110919054</v>
      </c>
      <c r="AI6612">
        <v>94.221708971140004</v>
      </c>
      <c r="AJ6612">
        <v>102.089468260464</v>
      </c>
      <c r="AK6612">
        <v>15.100066957586399</v>
      </c>
      <c r="AL6612">
        <v>91.501474767243707</v>
      </c>
      <c r="AM6612">
        <v>89.778231787804103</v>
      </c>
      <c r="AN6612">
        <v>1.00000003728608</v>
      </c>
    </row>
    <row r="6613" spans="1:40" x14ac:dyDescent="0.25">
      <c r="A6613" t="str">
        <f>"20190312161147915"</f>
        <v>20190312161147915</v>
      </c>
      <c r="B6613" t="str">
        <f>"1552378307904098"</f>
        <v>1552378307904098</v>
      </c>
      <c r="C6613" t="s">
        <v>40</v>
      </c>
      <c r="D6613">
        <v>5.1676099999999998</v>
      </c>
      <c r="E6613">
        <v>0.41877300000000001</v>
      </c>
      <c r="F6613" t="s">
        <v>78</v>
      </c>
      <c r="G6613">
        <v>-188.82589999999999</v>
      </c>
      <c r="H6613" s="1">
        <v>-1.1555830000000001E-5</v>
      </c>
      <c r="I6613">
        <v>-55.282170000000001</v>
      </c>
      <c r="J6613">
        <v>-202.73230000000001</v>
      </c>
      <c r="K6613">
        <v>1.11161</v>
      </c>
      <c r="L6613">
        <v>-61.253269999999901</v>
      </c>
      <c r="M6613">
        <v>0.98092999999999997</v>
      </c>
      <c r="N6613">
        <v>0</v>
      </c>
      <c r="O6613">
        <v>0.1938376</v>
      </c>
      <c r="P6613">
        <v>0.98095670000000001</v>
      </c>
      <c r="Q6613">
        <v>-4.0349400000000001E-2</v>
      </c>
      <c r="R6613">
        <v>0.1899892</v>
      </c>
      <c r="S6613">
        <v>2.816452</v>
      </c>
      <c r="T6613">
        <v>-0.22364339999999999</v>
      </c>
      <c r="U6613">
        <v>1.205292</v>
      </c>
      <c r="V6613">
        <v>3.8663650000000001E-3</v>
      </c>
      <c r="W6613">
        <v>-2.6080760000000001E-2</v>
      </c>
      <c r="X6613">
        <v>0.9996524</v>
      </c>
      <c r="Y6613">
        <v>-0.20770630000000001</v>
      </c>
      <c r="Z6613">
        <v>-6.6232829999999998E-3</v>
      </c>
      <c r="AA6613">
        <v>0.97816879999999995</v>
      </c>
      <c r="AB6613">
        <v>19</v>
      </c>
      <c r="AC6613">
        <v>13.9064</v>
      </c>
      <c r="AD6613">
        <v>-1.11162155583</v>
      </c>
      <c r="AE6613">
        <v>5.9710999999999999</v>
      </c>
      <c r="AF6613">
        <v>-3.1450018124404302</v>
      </c>
      <c r="AG6613">
        <v>-1.11162155583</v>
      </c>
      <c r="AH6613">
        <v>14.7207137082326</v>
      </c>
      <c r="AI6613">
        <v>94.223487202242794</v>
      </c>
      <c r="AJ6613">
        <v>102.059635053777</v>
      </c>
      <c r="AK6613">
        <v>15.0939110558989</v>
      </c>
      <c r="AL6613">
        <v>91.494486877125794</v>
      </c>
      <c r="AM6613">
        <v>89.778397679083696</v>
      </c>
      <c r="AN6613">
        <v>1.00000003782312</v>
      </c>
    </row>
    <row r="6614" spans="1:40" x14ac:dyDescent="0.25">
      <c r="A6614" t="str">
        <f>"20190312161147928"</f>
        <v>20190312161147928</v>
      </c>
      <c r="B6614" t="str">
        <f>"1552378307923623"</f>
        <v>1552378307923623</v>
      </c>
      <c r="C6614" t="s">
        <v>40</v>
      </c>
      <c r="D6614">
        <v>5.0683290000000003</v>
      </c>
      <c r="E6614">
        <v>0.41894749999999997</v>
      </c>
      <c r="F6614" t="s">
        <v>78</v>
      </c>
      <c r="G6614">
        <v>-188.70140000000001</v>
      </c>
      <c r="H6614" s="1">
        <v>-1.156674E-5</v>
      </c>
      <c r="I6614">
        <v>-55.22813</v>
      </c>
      <c r="J6614">
        <v>-202.63679999999999</v>
      </c>
      <c r="K6614">
        <v>1.1116269999999999</v>
      </c>
      <c r="L6614">
        <v>-61.232849999999999</v>
      </c>
      <c r="M6614">
        <v>0.98066739999999997</v>
      </c>
      <c r="N6614">
        <v>0</v>
      </c>
      <c r="O6614">
        <v>0.1951619</v>
      </c>
      <c r="P6614">
        <v>0.98071459999999999</v>
      </c>
      <c r="Q6614">
        <v>-4.0292389999999997E-2</v>
      </c>
      <c r="R6614">
        <v>0.19124720000000001</v>
      </c>
      <c r="S6614">
        <v>2.8149570000000002</v>
      </c>
      <c r="T6614">
        <v>-0.22302069999999999</v>
      </c>
      <c r="U6614">
        <v>1.208801</v>
      </c>
      <c r="V6614">
        <v>3.9350820000000003E-3</v>
      </c>
      <c r="W6614">
        <v>-2.602461E-2</v>
      </c>
      <c r="X6614">
        <v>0.99965360000000003</v>
      </c>
      <c r="Y6614">
        <v>-0.2076074</v>
      </c>
      <c r="Z6614">
        <v>-6.7068060000000001E-3</v>
      </c>
      <c r="AA6614">
        <v>0.97818919999999998</v>
      </c>
      <c r="AB6614">
        <v>19</v>
      </c>
      <c r="AC6614">
        <v>13.9353999999999</v>
      </c>
      <c r="AD6614">
        <v>-1.1116385667399999</v>
      </c>
      <c r="AE6614">
        <v>6.0047199999999901</v>
      </c>
      <c r="AF6614">
        <v>-3.1523776532534198</v>
      </c>
      <c r="AG6614">
        <v>-1.1116385667399999</v>
      </c>
      <c r="AH6614">
        <v>14.7601769918823</v>
      </c>
      <c r="AI6614">
        <v>94.212361377708405</v>
      </c>
      <c r="AJ6614">
        <v>102.055717447623</v>
      </c>
      <c r="AK6614">
        <v>15.133937029189999</v>
      </c>
      <c r="AL6614">
        <v>91.491268619743593</v>
      </c>
      <c r="AM6614">
        <v>89.774459446668402</v>
      </c>
      <c r="AN6614">
        <v>1.00000004259447</v>
      </c>
    </row>
    <row r="6615" spans="1:40" x14ac:dyDescent="0.25">
      <c r="A6615" t="str">
        <f>"20190312161147941"</f>
        <v>20190312161147941</v>
      </c>
      <c r="B6615" t="str">
        <f>"1552378307933377"</f>
        <v>1552378307933377</v>
      </c>
      <c r="C6615" t="s">
        <v>40</v>
      </c>
      <c r="D6615">
        <v>5.0388140000000003</v>
      </c>
      <c r="E6615">
        <v>0.41907489999999997</v>
      </c>
      <c r="F6615" t="s">
        <v>78</v>
      </c>
      <c r="G6615">
        <v>-188.52600000000001</v>
      </c>
      <c r="H6615" s="1">
        <v>-1.15844E-5</v>
      </c>
      <c r="I6615">
        <v>-55.159390000000002</v>
      </c>
      <c r="J6615">
        <v>-202.5284</v>
      </c>
      <c r="K6615">
        <v>1.1116440000000001</v>
      </c>
      <c r="L6615">
        <v>-61.209499999999998</v>
      </c>
      <c r="M6615">
        <v>0.98036279999999998</v>
      </c>
      <c r="N6615">
        <v>0</v>
      </c>
      <c r="O6615">
        <v>0.19668579999999999</v>
      </c>
      <c r="P6615">
        <v>0.98036749999999995</v>
      </c>
      <c r="Q6615">
        <v>-4.0107329999999997E-2</v>
      </c>
      <c r="R6615">
        <v>0.19305710000000001</v>
      </c>
      <c r="S6615">
        <v>2.8137210000000001</v>
      </c>
      <c r="T6615">
        <v>-0.2216629</v>
      </c>
      <c r="U6615">
        <v>1.21106</v>
      </c>
      <c r="V6615">
        <v>3.6457360000000001E-3</v>
      </c>
      <c r="W6615">
        <v>-2.5841579999999999E-2</v>
      </c>
      <c r="X6615">
        <v>0.99965939999999998</v>
      </c>
      <c r="Y6615">
        <v>-0.2069114</v>
      </c>
      <c r="Z6615">
        <v>-6.8045319999999899E-3</v>
      </c>
      <c r="AA6615">
        <v>0.97833599999999998</v>
      </c>
      <c r="AB6615">
        <v>19</v>
      </c>
      <c r="AC6615">
        <v>14.0024</v>
      </c>
      <c r="AD6615">
        <v>-1.1116555844</v>
      </c>
      <c r="AE6615">
        <v>6.0501099999999903</v>
      </c>
      <c r="AF6615">
        <v>-3.16076515945382</v>
      </c>
      <c r="AG6615">
        <v>-1.1116555844</v>
      </c>
      <c r="AH6615">
        <v>14.8401009506081</v>
      </c>
      <c r="AI6615">
        <v>94.190318185763303</v>
      </c>
      <c r="AJ6615">
        <v>102.023655378144</v>
      </c>
      <c r="AK6615">
        <v>15.213638971521</v>
      </c>
      <c r="AL6615">
        <v>91.480778312581094</v>
      </c>
      <c r="AM6615">
        <v>89.791044469809506</v>
      </c>
      <c r="AN6615">
        <v>0.99999999732811895</v>
      </c>
    </row>
    <row r="6616" spans="1:40" x14ac:dyDescent="0.25">
      <c r="A6616" t="str">
        <f>"20190312161147961"</f>
        <v>20190312161147961</v>
      </c>
      <c r="B6616" t="str">
        <f>"1552378307953874"</f>
        <v>1552378307953874</v>
      </c>
      <c r="C6616" t="s">
        <v>40</v>
      </c>
      <c r="D6616">
        <v>4.9691369999999999</v>
      </c>
      <c r="E6616">
        <v>0.41921760000000002</v>
      </c>
      <c r="F6616" t="s">
        <v>78</v>
      </c>
      <c r="G6616">
        <v>-188.39670000000001</v>
      </c>
      <c r="H6616" s="1">
        <v>-1.159536E-5</v>
      </c>
      <c r="I6616">
        <v>-55.10201</v>
      </c>
      <c r="J6616">
        <v>-202.35499999999999</v>
      </c>
      <c r="K6616">
        <v>1.1116740000000001</v>
      </c>
      <c r="L6616">
        <v>-61.171689999999998</v>
      </c>
      <c r="M6616">
        <v>0.97986229999999996</v>
      </c>
      <c r="N6616">
        <v>0</v>
      </c>
      <c r="O6616">
        <v>0.19916490000000001</v>
      </c>
      <c r="P6616">
        <v>0.97982210000000003</v>
      </c>
      <c r="Q6616">
        <v>-4.0001189999999999E-2</v>
      </c>
      <c r="R6616">
        <v>0.19582759999999999</v>
      </c>
      <c r="S6616">
        <v>2.8117220000000001</v>
      </c>
      <c r="T6616">
        <v>-0.22118070000000001</v>
      </c>
      <c r="U6616">
        <v>1.215179</v>
      </c>
      <c r="V6616">
        <v>3.3508209999999999E-3</v>
      </c>
      <c r="W6616">
        <v>-2.5738279999999999E-2</v>
      </c>
      <c r="X6616">
        <v>0.99966310000000003</v>
      </c>
      <c r="Y6616">
        <v>-0.2059066</v>
      </c>
      <c r="Z6616">
        <v>-7.0094519999999898E-3</v>
      </c>
      <c r="AA6616">
        <v>0.97854660000000004</v>
      </c>
      <c r="AB6616">
        <v>19</v>
      </c>
      <c r="AC6616">
        <v>13.9582999999999</v>
      </c>
      <c r="AD6616">
        <v>-1.11168559536</v>
      </c>
      <c r="AE6616">
        <v>6.06968</v>
      </c>
      <c r="AF6616">
        <v>-3.1509606253925302</v>
      </c>
      <c r="AG6616">
        <v>-1.11168559536</v>
      </c>
      <c r="AH6616">
        <v>14.808597141247301</v>
      </c>
      <c r="AI6616">
        <v>94.199491852837298</v>
      </c>
      <c r="AJ6616">
        <v>102.012201203811</v>
      </c>
      <c r="AK6616">
        <v>15.1808743825072</v>
      </c>
      <c r="AL6616">
        <v>91.474857684892697</v>
      </c>
      <c r="AM6616">
        <v>89.807948115542601</v>
      </c>
      <c r="AN6616">
        <v>1.0000000002801701</v>
      </c>
    </row>
    <row r="6617" spans="1:40" x14ac:dyDescent="0.25">
      <c r="A6617" t="str">
        <f>"20190312161147973"</f>
        <v>20190312161147973</v>
      </c>
      <c r="B6617" t="str">
        <f>"1552378307963634"</f>
        <v>1552378307963634</v>
      </c>
      <c r="C6617" t="s">
        <v>40</v>
      </c>
      <c r="D6617">
        <v>5.0527920000000002</v>
      </c>
      <c r="E6617">
        <v>0.41927979999999998</v>
      </c>
      <c r="F6617" t="s">
        <v>78</v>
      </c>
      <c r="G6617">
        <v>-188.2013</v>
      </c>
      <c r="H6617" s="1">
        <v>-1.161139E-5</v>
      </c>
      <c r="I6617">
        <v>-55.0137</v>
      </c>
      <c r="J6617">
        <v>-202.26159999999999</v>
      </c>
      <c r="K6617">
        <v>1.1116889999999999</v>
      </c>
      <c r="L6617">
        <v>-61.151060000000001</v>
      </c>
      <c r="M6617">
        <v>0.97958449999999997</v>
      </c>
      <c r="N6617">
        <v>0</v>
      </c>
      <c r="O6617">
        <v>0.20052680000000001</v>
      </c>
      <c r="P6617">
        <v>0.97954260000000004</v>
      </c>
      <c r="Q6617">
        <v>-4.0045119999999997E-2</v>
      </c>
      <c r="R6617">
        <v>0.19721169999999999</v>
      </c>
      <c r="S6617">
        <v>2.8085629999999999</v>
      </c>
      <c r="T6617">
        <v>-0.2205963</v>
      </c>
      <c r="U6617">
        <v>1.221954</v>
      </c>
      <c r="V6617">
        <v>3.3287859999999998E-3</v>
      </c>
      <c r="W6617">
        <v>-2.5783299999999999E-2</v>
      </c>
      <c r="X6617">
        <v>0.99966200000000005</v>
      </c>
      <c r="Y6617">
        <v>-0.20693429999999999</v>
      </c>
      <c r="Z6617">
        <v>-7.0540749999999999E-3</v>
      </c>
      <c r="AA6617">
        <v>0.97832940000000002</v>
      </c>
      <c r="AB6617">
        <v>19</v>
      </c>
      <c r="AC6617">
        <v>14.0602999999999</v>
      </c>
      <c r="AD6617">
        <v>-1.1117006113900001</v>
      </c>
      <c r="AE6617">
        <v>6.1373600000000001</v>
      </c>
      <c r="AF6617">
        <v>-3.17624165484344</v>
      </c>
      <c r="AG6617">
        <v>-1.1117006113900001</v>
      </c>
      <c r="AH6617">
        <v>14.9270991753509</v>
      </c>
      <c r="AI6617">
        <v>94.166323457143903</v>
      </c>
      <c r="AJ6617">
        <v>102.012444547738</v>
      </c>
      <c r="AK6617">
        <v>15.301721442049899</v>
      </c>
      <c r="AL6617">
        <v>91.477438017105598</v>
      </c>
      <c r="AM6617">
        <v>89.809210829494205</v>
      </c>
      <c r="AN6617">
        <v>0.99999998680956104</v>
      </c>
    </row>
    <row r="6618" spans="1:40" x14ac:dyDescent="0.25">
      <c r="A6618" t="str">
        <f>"20190312161147995"</f>
        <v>20190312161147995</v>
      </c>
      <c r="B6618" t="str">
        <f>"1552378307984130"</f>
        <v>1552378307984130</v>
      </c>
      <c r="C6618" t="s">
        <v>40</v>
      </c>
      <c r="D6618">
        <v>4.9809460000000003</v>
      </c>
      <c r="E6618">
        <v>0.4194618</v>
      </c>
      <c r="F6618" t="s">
        <v>78</v>
      </c>
      <c r="G6618">
        <v>-188.07040000000001</v>
      </c>
      <c r="H6618" s="1">
        <v>-1.162253E-5</v>
      </c>
      <c r="I6618">
        <v>-54.955759999999998</v>
      </c>
      <c r="J6618">
        <v>-202.08670000000001</v>
      </c>
      <c r="K6618">
        <v>1.111723</v>
      </c>
      <c r="L6618">
        <v>-61.112090000000002</v>
      </c>
      <c r="M6618">
        <v>0.97905050000000005</v>
      </c>
      <c r="N6618">
        <v>0</v>
      </c>
      <c r="O6618">
        <v>0.2031184</v>
      </c>
      <c r="P6618">
        <v>0.97899599999999998</v>
      </c>
      <c r="Q6618">
        <v>-4.0056700000000001E-2</v>
      </c>
      <c r="R6618">
        <v>0.1999059</v>
      </c>
      <c r="S6618">
        <v>2.8069609999999998</v>
      </c>
      <c r="T6618">
        <v>-0.21988959999999999</v>
      </c>
      <c r="U6618">
        <v>1.225403</v>
      </c>
      <c r="V6618">
        <v>3.2256590000000001E-3</v>
      </c>
      <c r="W6618">
        <v>-2.5797E-2</v>
      </c>
      <c r="X6618">
        <v>0.99966200000000005</v>
      </c>
      <c r="Y6618">
        <v>-0.20556930000000001</v>
      </c>
      <c r="Z6618">
        <v>-7.2710659999999996E-3</v>
      </c>
      <c r="AA6618">
        <v>0.97861560000000003</v>
      </c>
      <c r="AB6618">
        <v>19</v>
      </c>
      <c r="AC6618">
        <v>14.016299999999999</v>
      </c>
      <c r="AD6618">
        <v>-1.11173462253</v>
      </c>
      <c r="AE6618">
        <v>6.1563299999999996</v>
      </c>
      <c r="AF6618">
        <v>-3.1640259859575299</v>
      </c>
      <c r="AG6618">
        <v>-1.11173462253</v>
      </c>
      <c r="AH6618">
        <v>14.896090578439001</v>
      </c>
      <c r="AI6618">
        <v>94.1754121019015</v>
      </c>
      <c r="AJ6618">
        <v>101.99177175509099</v>
      </c>
      <c r="AK6618">
        <v>15.268940003543401</v>
      </c>
      <c r="AL6618">
        <v>91.478223207770895</v>
      </c>
      <c r="AM6618">
        <v>89.815121505648094</v>
      </c>
      <c r="AN6618">
        <v>1.0000000021644899</v>
      </c>
    </row>
    <row r="6619" spans="1:40" x14ac:dyDescent="0.25">
      <c r="A6619" t="str">
        <f>"20190312161148010"</f>
        <v>20190312161148010</v>
      </c>
      <c r="B6619" t="str">
        <f>"1552378308003650"</f>
        <v>1552378308003650</v>
      </c>
      <c r="C6619" t="s">
        <v>40</v>
      </c>
      <c r="D6619">
        <v>4.9732289999999999</v>
      </c>
      <c r="E6619">
        <v>0.4196085</v>
      </c>
      <c r="F6619" t="s">
        <v>78</v>
      </c>
      <c r="G6619">
        <v>-187.79640000000001</v>
      </c>
      <c r="H6619" s="1">
        <v>-1.164595E-5</v>
      </c>
      <c r="I6619">
        <v>-54.834899999999998</v>
      </c>
      <c r="J6619">
        <v>-201.96690000000001</v>
      </c>
      <c r="K6619">
        <v>1.111745</v>
      </c>
      <c r="L6619">
        <v>-61.085079999999998</v>
      </c>
      <c r="M6619">
        <v>0.97867349999999997</v>
      </c>
      <c r="N6619">
        <v>0</v>
      </c>
      <c r="O6619">
        <v>0.20492730000000001</v>
      </c>
      <c r="P6619">
        <v>0.97866739999999997</v>
      </c>
      <c r="Q6619">
        <v>-3.9874659999999999E-2</v>
      </c>
      <c r="R6619">
        <v>0.20154430000000001</v>
      </c>
      <c r="S6619">
        <v>2.803925</v>
      </c>
      <c r="T6619">
        <v>-0.21813560000000001</v>
      </c>
      <c r="U6619">
        <v>1.2316590000000001</v>
      </c>
      <c r="V6619">
        <v>3.4018999999999998E-3</v>
      </c>
      <c r="W6619">
        <v>-2.561534E-2</v>
      </c>
      <c r="X6619">
        <v>0.9996661</v>
      </c>
      <c r="Y6619">
        <v>-0.20598459999999999</v>
      </c>
      <c r="Z6619">
        <v>-7.33039E-3</v>
      </c>
      <c r="AA6619">
        <v>0.97852779999999995</v>
      </c>
      <c r="AB6619">
        <v>19</v>
      </c>
      <c r="AC6619">
        <v>14.170500000000001</v>
      </c>
      <c r="AD6619">
        <v>-1.1117566459499999</v>
      </c>
      <c r="AE6619">
        <v>6.2501800000000003</v>
      </c>
      <c r="AF6619">
        <v>-3.1968166523477599</v>
      </c>
      <c r="AG6619">
        <v>-1.1117566459499999</v>
      </c>
      <c r="AH6619">
        <v>15.072994203955799</v>
      </c>
      <c r="AI6619">
        <v>94.126924433216104</v>
      </c>
      <c r="AJ6619">
        <v>101.974367681809</v>
      </c>
      <c r="AK6619">
        <v>15.4483265702479</v>
      </c>
      <c r="AL6619">
        <v>91.467811396925399</v>
      </c>
      <c r="AM6619">
        <v>89.805021136639297</v>
      </c>
      <c r="AN6619">
        <v>1.0000000150280599</v>
      </c>
    </row>
    <row r="6620" spans="1:40" x14ac:dyDescent="0.25">
      <c r="A6620" t="str">
        <f>"20190312161148022"</f>
        <v>20190312161148022</v>
      </c>
      <c r="B6620" t="str">
        <f>"1552378308013409"</f>
        <v>1552378308013409</v>
      </c>
      <c r="C6620" t="s">
        <v>40</v>
      </c>
      <c r="D6620">
        <v>5.0144380000000002</v>
      </c>
      <c r="E6620">
        <v>0.41973009999999999</v>
      </c>
      <c r="F6620" t="s">
        <v>78</v>
      </c>
      <c r="G6620">
        <v>-187.56739999999999</v>
      </c>
      <c r="H6620" s="1">
        <v>-1.1666479999999999E-5</v>
      </c>
      <c r="I6620">
        <v>-54.737000000000002</v>
      </c>
      <c r="J6620">
        <v>-201.8638</v>
      </c>
      <c r="K6620">
        <v>1.1117649999999999</v>
      </c>
      <c r="L6620">
        <v>-61.061610000000002</v>
      </c>
      <c r="M6620">
        <v>0.97834189999999999</v>
      </c>
      <c r="N6620">
        <v>0</v>
      </c>
      <c r="O6620">
        <v>0.2065043</v>
      </c>
      <c r="P6620">
        <v>0.97839339999999997</v>
      </c>
      <c r="Q6620">
        <v>-3.9646210000000001E-2</v>
      </c>
      <c r="R6620">
        <v>0.20291480000000001</v>
      </c>
      <c r="S6620">
        <v>2.8021699999999998</v>
      </c>
      <c r="T6620">
        <v>-0.21635070000000001</v>
      </c>
      <c r="U6620">
        <v>1.235352</v>
      </c>
      <c r="V6620">
        <v>3.6149760000000002E-3</v>
      </c>
      <c r="W6620">
        <v>-2.5386880000000001E-2</v>
      </c>
      <c r="X6620">
        <v>0.99967119999999998</v>
      </c>
      <c r="Y6620">
        <v>-0.20571780000000001</v>
      </c>
      <c r="Z6620">
        <v>-7.3940659999999899E-3</v>
      </c>
      <c r="AA6620">
        <v>0.97858339999999999</v>
      </c>
      <c r="AB6620">
        <v>19</v>
      </c>
      <c r="AC6620">
        <v>14.2964</v>
      </c>
      <c r="AD6620">
        <v>-1.11177666648</v>
      </c>
      <c r="AE6620">
        <v>6.3246099999999998</v>
      </c>
      <c r="AF6620">
        <v>-3.2194085909606902</v>
      </c>
      <c r="AG6620">
        <v>-1.11177666648</v>
      </c>
      <c r="AH6620">
        <v>15.2174139500402</v>
      </c>
      <c r="AI6620">
        <v>94.088401225519206</v>
      </c>
      <c r="AJ6620">
        <v>101.945403421564</v>
      </c>
      <c r="AK6620">
        <v>15.5939195316174</v>
      </c>
      <c r="AL6620">
        <v>91.454717316098197</v>
      </c>
      <c r="AM6620">
        <v>89.792809910874894</v>
      </c>
      <c r="AN6620">
        <v>1.0000000349185201</v>
      </c>
    </row>
    <row r="6621" spans="1:40" x14ac:dyDescent="0.25">
      <c r="A6621" t="str">
        <f>"20190312161148033"</f>
        <v>20190312161148033</v>
      </c>
      <c r="B6621" t="str">
        <f>"1552378308024145"</f>
        <v>1552378308024145</v>
      </c>
      <c r="C6621" t="s">
        <v>40</v>
      </c>
      <c r="D6621">
        <v>4.9927070000000002</v>
      </c>
      <c r="E6621">
        <v>0.41983310000000001</v>
      </c>
      <c r="F6621" t="s">
        <v>78</v>
      </c>
      <c r="G6621">
        <v>-187.41059999999999</v>
      </c>
      <c r="H6621" s="1">
        <v>-1.1681E-5</v>
      </c>
      <c r="I6621">
        <v>-54.671410000000002</v>
      </c>
      <c r="J6621">
        <v>-201.77019999999999</v>
      </c>
      <c r="K6621">
        <v>1.111782</v>
      </c>
      <c r="L6621">
        <v>-61.040100000000002</v>
      </c>
      <c r="M6621">
        <v>0.97803289999999998</v>
      </c>
      <c r="N6621">
        <v>0</v>
      </c>
      <c r="O6621">
        <v>0.20796249999999999</v>
      </c>
      <c r="P6621">
        <v>0.97818039999999995</v>
      </c>
      <c r="Q6621">
        <v>-3.9133660000000001E-2</v>
      </c>
      <c r="R6621">
        <v>0.20403879999999999</v>
      </c>
      <c r="S6621">
        <v>2.8007200000000001</v>
      </c>
      <c r="T6621">
        <v>-0.21543799999999999</v>
      </c>
      <c r="U6621">
        <v>1.238281</v>
      </c>
      <c r="V6621">
        <v>3.9595960000000001E-3</v>
      </c>
      <c r="W6621">
        <v>-2.4873490000000002E-2</v>
      </c>
      <c r="X6621">
        <v>0.99968279999999998</v>
      </c>
      <c r="Y6621">
        <v>-0.20530699999999999</v>
      </c>
      <c r="Z6621">
        <v>-7.4825930000000001E-3</v>
      </c>
      <c r="AA6621">
        <v>0.97866900000000001</v>
      </c>
      <c r="AB6621">
        <v>19</v>
      </c>
      <c r="AC6621">
        <v>14.3596</v>
      </c>
      <c r="AD6621">
        <v>-1.111793681</v>
      </c>
      <c r="AE6621">
        <v>6.36869</v>
      </c>
      <c r="AF6621">
        <v>-3.22669612722955</v>
      </c>
      <c r="AG6621">
        <v>-1.111793681</v>
      </c>
      <c r="AH6621">
        <v>15.293562000051001</v>
      </c>
      <c r="AI6621">
        <v>94.068648330090994</v>
      </c>
      <c r="AJ6621">
        <v>101.91376344871099</v>
      </c>
      <c r="AK6621">
        <v>15.6697380876642</v>
      </c>
      <c r="AL6621">
        <v>91.425292944184903</v>
      </c>
      <c r="AM6621">
        <v>89.773061061976506</v>
      </c>
      <c r="AN6621">
        <v>1.00000003476055</v>
      </c>
    </row>
    <row r="6622" spans="1:40" x14ac:dyDescent="0.25">
      <c r="A6622" t="str">
        <f>"20190312161148047"</f>
        <v>20190312161148047</v>
      </c>
      <c r="B6622" t="str">
        <f>"1552378308043666"</f>
        <v>1552378308043666</v>
      </c>
      <c r="C6622" t="s">
        <v>40</v>
      </c>
      <c r="D6622">
        <v>4.9960079999999998</v>
      </c>
      <c r="E6622">
        <v>0.4201223</v>
      </c>
      <c r="F6622" t="s">
        <v>78</v>
      </c>
      <c r="G6622">
        <v>-187.22470000000001</v>
      </c>
      <c r="H6622" s="1">
        <v>-1.1698220000000001E-5</v>
      </c>
      <c r="I6622">
        <v>-54.593730000000001</v>
      </c>
      <c r="J6622">
        <v>-201.6634</v>
      </c>
      <c r="K6622">
        <v>1.111802</v>
      </c>
      <c r="L6622">
        <v>-61.015410000000003</v>
      </c>
      <c r="M6622">
        <v>0.97767459999999995</v>
      </c>
      <c r="N6622">
        <v>0</v>
      </c>
      <c r="O6622">
        <v>0.20964089999999999</v>
      </c>
      <c r="P6622">
        <v>0.97795370000000004</v>
      </c>
      <c r="Q6622">
        <v>-3.8689130000000002E-2</v>
      </c>
      <c r="R6622">
        <v>0.20520749999999999</v>
      </c>
      <c r="S6622">
        <v>2.7995610000000002</v>
      </c>
      <c r="T6622">
        <v>-0.21398510000000001</v>
      </c>
      <c r="U6622">
        <v>1.240723</v>
      </c>
      <c r="V6622">
        <v>4.4840699999999997E-3</v>
      </c>
      <c r="W6622">
        <v>-2.4427569999999999E-2</v>
      </c>
      <c r="X6622">
        <v>0.99969149999999996</v>
      </c>
      <c r="Y6622">
        <v>-0.20449639999999999</v>
      </c>
      <c r="Z6622">
        <v>-7.5807340000000004E-3</v>
      </c>
      <c r="AA6622">
        <v>0.97883799999999999</v>
      </c>
      <c r="AB6622">
        <v>19</v>
      </c>
      <c r="AC6622">
        <v>14.4386999999999</v>
      </c>
      <c r="AD6622">
        <v>-1.11181369822</v>
      </c>
      <c r="AE6622">
        <v>6.4216799999999798</v>
      </c>
      <c r="AF6622">
        <v>-3.2356843164650702</v>
      </c>
      <c r="AG6622">
        <v>-1.11181369822</v>
      </c>
      <c r="AH6622">
        <v>15.387993894551199</v>
      </c>
      <c r="AI6622">
        <v>94.044413497871005</v>
      </c>
      <c r="AJ6622">
        <v>101.874776054576</v>
      </c>
      <c r="AK6622">
        <v>15.7637602999447</v>
      </c>
      <c r="AL6622">
        <v>91.399735957716103</v>
      </c>
      <c r="AM6622">
        <v>89.7430041537243</v>
      </c>
      <c r="AN6622">
        <v>0.99999995411605802</v>
      </c>
    </row>
    <row r="6623" spans="1:40" x14ac:dyDescent="0.25">
      <c r="A6623" t="str">
        <f>"20190312161148063"</f>
        <v>20190312161148063</v>
      </c>
      <c r="B6623" t="str">
        <f>"1552378308053426"</f>
        <v>1552378308053426</v>
      </c>
      <c r="C6623" t="s">
        <v>40</v>
      </c>
      <c r="D6623">
        <v>4.9400490000000001</v>
      </c>
      <c r="E6623">
        <v>0.42026330000000001</v>
      </c>
      <c r="F6623" t="s">
        <v>78</v>
      </c>
      <c r="G6623">
        <v>-187.04920000000001</v>
      </c>
      <c r="H6623" s="1">
        <v>-1.171759E-5</v>
      </c>
      <c r="I6623">
        <v>-54.53058</v>
      </c>
      <c r="J6623">
        <v>-201.5318</v>
      </c>
      <c r="K6623">
        <v>1.1118300000000001</v>
      </c>
      <c r="L6623">
        <v>-60.98471</v>
      </c>
      <c r="M6623">
        <v>0.97722100000000001</v>
      </c>
      <c r="N6623">
        <v>0</v>
      </c>
      <c r="O6623">
        <v>0.2117455</v>
      </c>
      <c r="P6623">
        <v>0.97779249999999995</v>
      </c>
      <c r="Q6623">
        <v>-3.8084149999999997E-2</v>
      </c>
      <c r="R6623">
        <v>0.2060862</v>
      </c>
      <c r="S6623">
        <v>2.7986300000000002</v>
      </c>
      <c r="T6623">
        <v>-0.2129134</v>
      </c>
      <c r="U6623">
        <v>1.241852</v>
      </c>
      <c r="V6623">
        <v>5.7418819999999898E-3</v>
      </c>
      <c r="W6623">
        <v>-2.3818510000000001E-2</v>
      </c>
      <c r="X6623">
        <v>0.99969980000000003</v>
      </c>
      <c r="Y6623">
        <v>-0.20284769999999999</v>
      </c>
      <c r="Z6623">
        <v>-7.7510089999999997E-3</v>
      </c>
      <c r="AA6623">
        <v>0.97917960000000004</v>
      </c>
      <c r="AB6623">
        <v>19</v>
      </c>
      <c r="AC6623">
        <v>14.4825999999999</v>
      </c>
      <c r="AD6623">
        <v>-1.1118417175899999</v>
      </c>
      <c r="AE6623">
        <v>6.4541299999999904</v>
      </c>
      <c r="AF6623">
        <v>-3.22495712323206</v>
      </c>
      <c r="AG6623">
        <v>-1.1118417175899999</v>
      </c>
      <c r="AH6623">
        <v>15.4449629766534</v>
      </c>
      <c r="AI6623">
        <v>94.030831419737495</v>
      </c>
      <c r="AJ6623">
        <v>101.79408600241101</v>
      </c>
      <c r="AK6623">
        <v>15.817187543993199</v>
      </c>
      <c r="AL6623">
        <v>91.364829180650304</v>
      </c>
      <c r="AM6623">
        <v>89.670919222453506</v>
      </c>
      <c r="AN6623">
        <v>0.99999999037378096</v>
      </c>
    </row>
    <row r="6624" spans="1:40" x14ac:dyDescent="0.25">
      <c r="A6624" t="str">
        <f>"20190312161148072"</f>
        <v>20190312161148072</v>
      </c>
      <c r="B6624" t="str">
        <f>"1552378308064162"</f>
        <v>1552378308064162</v>
      </c>
      <c r="C6624" t="s">
        <v>40</v>
      </c>
      <c r="D6624">
        <v>5.0070839999999999</v>
      </c>
      <c r="E6624">
        <v>0.4203479</v>
      </c>
      <c r="F6624" t="s">
        <v>78</v>
      </c>
      <c r="G6624">
        <v>-186.7912</v>
      </c>
      <c r="H6624" s="1">
        <v>-1.174519E-5</v>
      </c>
      <c r="I6624">
        <v>-54.43479</v>
      </c>
      <c r="J6624">
        <v>-201.45249999999999</v>
      </c>
      <c r="K6624">
        <v>1.111845</v>
      </c>
      <c r="L6624">
        <v>-60.965910000000001</v>
      </c>
      <c r="M6624">
        <v>0.97693920000000001</v>
      </c>
      <c r="N6624">
        <v>0</v>
      </c>
      <c r="O6624">
        <v>0.2130418</v>
      </c>
      <c r="P6624">
        <v>0.97770780000000002</v>
      </c>
      <c r="Q6624">
        <v>-3.7737409999999999E-2</v>
      </c>
      <c r="R6624">
        <v>0.20655119999999999</v>
      </c>
      <c r="S6624">
        <v>2.797882</v>
      </c>
      <c r="T6624">
        <v>-0.2110361</v>
      </c>
      <c r="U6624">
        <v>1.243225</v>
      </c>
      <c r="V6624">
        <v>6.5946980000000004E-3</v>
      </c>
      <c r="W6624">
        <v>-2.346879E-2</v>
      </c>
      <c r="X6624">
        <v>0.9997028</v>
      </c>
      <c r="Y6624">
        <v>-0.20205149999999999</v>
      </c>
      <c r="Z6624">
        <v>-7.8020069999999997E-3</v>
      </c>
      <c r="AA6624">
        <v>0.97934379999999999</v>
      </c>
      <c r="AB6624">
        <v>19</v>
      </c>
      <c r="AC6624">
        <v>14.661299999999899</v>
      </c>
      <c r="AD6624">
        <v>-1.1118567451900001</v>
      </c>
      <c r="AE6624">
        <v>6.5311199999999996</v>
      </c>
      <c r="AF6624">
        <v>-3.2418110993656901</v>
      </c>
      <c r="AG6624">
        <v>-1.1118567451900001</v>
      </c>
      <c r="AH6624">
        <v>15.6411361557465</v>
      </c>
      <c r="AI6624">
        <v>93.981712975892805</v>
      </c>
      <c r="AJ6624">
        <v>101.709439607443</v>
      </c>
      <c r="AK6624">
        <v>16.012204872171601</v>
      </c>
      <c r="AL6624">
        <v>91.344786109585797</v>
      </c>
      <c r="AM6624">
        <v>89.622044789809394</v>
      </c>
      <c r="AN6624">
        <v>0.999999981236807</v>
      </c>
    </row>
    <row r="6625" spans="1:40" x14ac:dyDescent="0.25">
      <c r="A6625" t="str">
        <f>"20190312161148083"</f>
        <v>20190312161148083</v>
      </c>
      <c r="B6625" t="str">
        <f>"1552378308073921"</f>
        <v>1552378308073921</v>
      </c>
      <c r="C6625" t="s">
        <v>40</v>
      </c>
      <c r="D6625">
        <v>4.9369329999999998</v>
      </c>
      <c r="E6625">
        <v>0.42050189999999998</v>
      </c>
      <c r="F6625" t="s">
        <v>78</v>
      </c>
      <c r="G6625">
        <v>-186.6336</v>
      </c>
      <c r="H6625" s="1">
        <v>-1.176216E-5</v>
      </c>
      <c r="I6625">
        <v>-54.376629999999999</v>
      </c>
      <c r="J6625">
        <v>-201.36619999999999</v>
      </c>
      <c r="K6625">
        <v>1.1118650000000001</v>
      </c>
      <c r="L6625">
        <v>-60.945500000000003</v>
      </c>
      <c r="M6625">
        <v>0.9766302</v>
      </c>
      <c r="N6625">
        <v>0</v>
      </c>
      <c r="O6625">
        <v>0.21445349999999999</v>
      </c>
      <c r="P6625">
        <v>0.97755239999999999</v>
      </c>
      <c r="Q6625">
        <v>-3.7642290000000002E-2</v>
      </c>
      <c r="R6625">
        <v>0.20730290000000001</v>
      </c>
      <c r="S6625">
        <v>2.7975159999999999</v>
      </c>
      <c r="T6625">
        <v>-0.20989669999999999</v>
      </c>
      <c r="U6625">
        <v>1.243927</v>
      </c>
      <c r="V6625">
        <v>7.2717880000000004E-3</v>
      </c>
      <c r="W6625">
        <v>-2.3371469999999998E-2</v>
      </c>
      <c r="X6625">
        <v>0.99970040000000004</v>
      </c>
      <c r="Y6625">
        <v>-0.20089409999999999</v>
      </c>
      <c r="Z6625">
        <v>-7.8988619999999996E-3</v>
      </c>
      <c r="AA6625">
        <v>0.97958109999999998</v>
      </c>
      <c r="AB6625">
        <v>19</v>
      </c>
      <c r="AC6625">
        <v>14.7325999999999</v>
      </c>
      <c r="AD6625">
        <v>-1.1118767621600001</v>
      </c>
      <c r="AE6625">
        <v>6.5688699999999898</v>
      </c>
      <c r="AF6625">
        <v>-3.2408319910808201</v>
      </c>
      <c r="AG6625">
        <v>-1.1118767621600001</v>
      </c>
      <c r="AH6625">
        <v>15.7239160020213</v>
      </c>
      <c r="AI6625">
        <v>93.961791683306799</v>
      </c>
      <c r="AJ6625">
        <v>101.64606120004299</v>
      </c>
      <c r="AK6625">
        <v>16.0928803005324</v>
      </c>
      <c r="AL6625">
        <v>91.339208533060003</v>
      </c>
      <c r="AM6625">
        <v>89.583239724747202</v>
      </c>
      <c r="AN6625">
        <v>0.99999999713541798</v>
      </c>
    </row>
    <row r="6626" spans="1:40" x14ac:dyDescent="0.25">
      <c r="A6626" t="str">
        <f>"20190312161148095"</f>
        <v>20190312161148095</v>
      </c>
      <c r="B6626" t="str">
        <f>"1552378308083682"</f>
        <v>1552378308083682</v>
      </c>
      <c r="C6626" t="s">
        <v>40</v>
      </c>
      <c r="D6626">
        <v>5.0123519999999999</v>
      </c>
      <c r="E6626">
        <v>0.42060920000000002</v>
      </c>
      <c r="F6626" t="s">
        <v>78</v>
      </c>
      <c r="G6626">
        <v>-186.5301</v>
      </c>
      <c r="H6626" s="1">
        <v>-1.1774310000000001E-5</v>
      </c>
      <c r="I6626">
        <v>-54.341760000000001</v>
      </c>
      <c r="J6626">
        <v>-201.2765</v>
      </c>
      <c r="K6626">
        <v>1.111883</v>
      </c>
      <c r="L6626">
        <v>-60.923920000000003</v>
      </c>
      <c r="M6626">
        <v>0.97629969999999999</v>
      </c>
      <c r="N6626">
        <v>0</v>
      </c>
      <c r="O6626">
        <v>0.21595349999999999</v>
      </c>
      <c r="P6626">
        <v>0.97740590000000005</v>
      </c>
      <c r="Q6626">
        <v>-3.7529E-2</v>
      </c>
      <c r="R6626">
        <v>0.2080129</v>
      </c>
      <c r="S6626">
        <v>2.7968139999999999</v>
      </c>
      <c r="T6626">
        <v>-0.2096055</v>
      </c>
      <c r="U6626">
        <v>1.244904</v>
      </c>
      <c r="V6626">
        <v>8.0826460000000006E-3</v>
      </c>
      <c r="W6626">
        <v>-2.325526E-2</v>
      </c>
      <c r="X6626">
        <v>0.9996969</v>
      </c>
      <c r="Y6626">
        <v>-0.1997718</v>
      </c>
      <c r="Z6626">
        <v>-8.0320670000000004E-3</v>
      </c>
      <c r="AA6626">
        <v>0.9798095</v>
      </c>
      <c r="AB6626">
        <v>19</v>
      </c>
      <c r="AC6626">
        <v>14.7463999999999</v>
      </c>
      <c r="AD6626">
        <v>-1.1118947743100001</v>
      </c>
      <c r="AE6626">
        <v>6.5821599999999902</v>
      </c>
      <c r="AF6626">
        <v>-3.2266562695826102</v>
      </c>
      <c r="AG6626">
        <v>-1.1118947743100001</v>
      </c>
      <c r="AH6626">
        <v>15.7453067722605</v>
      </c>
      <c r="AI6626">
        <v>93.957408432481401</v>
      </c>
      <c r="AJ6626">
        <v>101.581174382291</v>
      </c>
      <c r="AK6626">
        <v>16.1109374657022</v>
      </c>
      <c r="AL6626">
        <v>91.332548357734893</v>
      </c>
      <c r="AM6626">
        <v>89.536768181736306</v>
      </c>
      <c r="AN6626">
        <v>1.0000000140768099</v>
      </c>
    </row>
    <row r="6627" spans="1:40" x14ac:dyDescent="0.25">
      <c r="A6627" t="str">
        <f>"20190312161148107"</f>
        <v>20190312161148107</v>
      </c>
      <c r="B6627" t="str">
        <f>"1552378308093443"</f>
        <v>1552378308093443</v>
      </c>
      <c r="C6627" t="s">
        <v>40</v>
      </c>
      <c r="D6627">
        <v>4.9813789999999996</v>
      </c>
      <c r="E6627">
        <v>0.42066799999999999</v>
      </c>
      <c r="F6627" t="s">
        <v>78</v>
      </c>
      <c r="G6627">
        <v>-186.43299999999999</v>
      </c>
      <c r="H6627" s="1">
        <v>-1.1785520000000001E-5</v>
      </c>
      <c r="I6627">
        <v>-54.308340000000001</v>
      </c>
      <c r="J6627">
        <v>-201.18600000000001</v>
      </c>
      <c r="K6627">
        <v>1.111904</v>
      </c>
      <c r="L6627">
        <v>-60.902160000000002</v>
      </c>
      <c r="M6627">
        <v>0.97596179999999999</v>
      </c>
      <c r="N6627">
        <v>0</v>
      </c>
      <c r="O6627">
        <v>0.21747569999999999</v>
      </c>
      <c r="P6627">
        <v>0.97723729999999998</v>
      </c>
      <c r="Q6627">
        <v>-3.7490910000000002E-2</v>
      </c>
      <c r="R6627">
        <v>0.20881050000000001</v>
      </c>
      <c r="S6627">
        <v>2.7960970000000001</v>
      </c>
      <c r="T6627">
        <v>-0.2094492</v>
      </c>
      <c r="U6627">
        <v>1.2461850000000001</v>
      </c>
      <c r="V6627">
        <v>8.8264160000000001E-3</v>
      </c>
      <c r="W6627">
        <v>-2.3214510000000001E-2</v>
      </c>
      <c r="X6627">
        <v>0.99969149999999996</v>
      </c>
      <c r="Y6627">
        <v>-0.19871749999999999</v>
      </c>
      <c r="Z6627">
        <v>-8.1690349999999998E-3</v>
      </c>
      <c r="AA6627">
        <v>0.98002270000000002</v>
      </c>
      <c r="AB6627">
        <v>19</v>
      </c>
      <c r="AC6627">
        <v>14.752999999999901</v>
      </c>
      <c r="AD6627">
        <v>-1.1119157855199999</v>
      </c>
      <c r="AE6627">
        <v>6.5938199999999902</v>
      </c>
      <c r="AF6627">
        <v>-3.2120170507874599</v>
      </c>
      <c r="AG6627">
        <v>-1.1119157855199999</v>
      </c>
      <c r="AH6627">
        <v>15.759351356281099</v>
      </c>
      <c r="AI6627">
        <v>93.954826867720499</v>
      </c>
      <c r="AJ6627">
        <v>101.520040552097</v>
      </c>
      <c r="AK6627">
        <v>16.121742009452898</v>
      </c>
      <c r="AL6627">
        <v>91.330213000024798</v>
      </c>
      <c r="AM6627">
        <v>89.494140697586502</v>
      </c>
      <c r="AN6627">
        <v>0.99999995713309597</v>
      </c>
    </row>
    <row r="6628" spans="1:40" x14ac:dyDescent="0.25">
      <c r="A6628" t="str">
        <f>"20190312161148116"</f>
        <v>20190312161148116</v>
      </c>
      <c r="B6628" t="str">
        <f>"1552378308113937"</f>
        <v>1552378308113937</v>
      </c>
      <c r="C6628" t="s">
        <v>40</v>
      </c>
      <c r="D6628">
        <v>5.038303</v>
      </c>
      <c r="E6628">
        <v>0.42083179999999998</v>
      </c>
      <c r="F6628" t="s">
        <v>78</v>
      </c>
      <c r="G6628">
        <v>-186.32409999999999</v>
      </c>
      <c r="H6628" s="1">
        <v>-1.1796809999999999E-5</v>
      </c>
      <c r="I6628">
        <v>-54.266739999999999</v>
      </c>
      <c r="J6628">
        <v>-201.09569999999999</v>
      </c>
      <c r="K6628">
        <v>1.11192</v>
      </c>
      <c r="L6628">
        <v>-60.880159999999997</v>
      </c>
      <c r="M6628">
        <v>0.9756165</v>
      </c>
      <c r="N6628">
        <v>0</v>
      </c>
      <c r="O6628">
        <v>0.21901989999999999</v>
      </c>
      <c r="P6628">
        <v>0.97711689999999995</v>
      </c>
      <c r="Q6628">
        <v>-3.7107550000000003E-2</v>
      </c>
      <c r="R6628">
        <v>0.20944119999999999</v>
      </c>
      <c r="S6628">
        <v>2.7952119999999998</v>
      </c>
      <c r="T6628">
        <v>-0.20912829999999999</v>
      </c>
      <c r="U6628">
        <v>1.247986</v>
      </c>
      <c r="V6628">
        <v>9.7655720000000001E-3</v>
      </c>
      <c r="W6628">
        <v>-2.2827509999999999E-2</v>
      </c>
      <c r="X6628">
        <v>0.99969169999999996</v>
      </c>
      <c r="Y6628">
        <v>-0.19781370000000001</v>
      </c>
      <c r="Z6628">
        <v>-8.295485E-3</v>
      </c>
      <c r="AA6628">
        <v>0.98020450000000003</v>
      </c>
      <c r="AB6628">
        <v>19</v>
      </c>
      <c r="AC6628">
        <v>14.771599999999999</v>
      </c>
      <c r="AD6628">
        <v>-1.11193179681</v>
      </c>
      <c r="AE6628">
        <v>6.6134199999999899</v>
      </c>
      <c r="AF6628">
        <v>-3.20209895916993</v>
      </c>
      <c r="AG6628">
        <v>-1.11193179681</v>
      </c>
      <c r="AH6628">
        <v>15.786977757481001</v>
      </c>
      <c r="AI6628">
        <v>93.9487415913989</v>
      </c>
      <c r="AJ6628">
        <v>101.46584945718401</v>
      </c>
      <c r="AK6628">
        <v>16.146779765026601</v>
      </c>
      <c r="AL6628">
        <v>91.308033626595304</v>
      </c>
      <c r="AM6628">
        <v>89.4403191868889</v>
      </c>
      <c r="AN6628">
        <v>0.99999997832908805</v>
      </c>
    </row>
    <row r="6629" spans="1:40" x14ac:dyDescent="0.25">
      <c r="A6629" t="str">
        <f>"20190312161148129"</f>
        <v>20190312161148129</v>
      </c>
      <c r="B6629" t="str">
        <f>"1552378308123701"</f>
        <v>1552378308123701</v>
      </c>
      <c r="C6629" t="s">
        <v>40</v>
      </c>
      <c r="D6629">
        <v>5.02529</v>
      </c>
      <c r="E6629">
        <v>0.42091390000000001</v>
      </c>
      <c r="F6629" t="s">
        <v>78</v>
      </c>
      <c r="G6629">
        <v>-186.13669999999999</v>
      </c>
      <c r="H6629" s="1">
        <v>-1.1816540000000001E-5</v>
      </c>
      <c r="I6629">
        <v>-54.19699</v>
      </c>
      <c r="J6629">
        <v>-201.00049999999999</v>
      </c>
      <c r="K6629">
        <v>1.111942</v>
      </c>
      <c r="L6629">
        <v>-60.856839999999998</v>
      </c>
      <c r="M6629">
        <v>0.97524580000000005</v>
      </c>
      <c r="N6629">
        <v>0</v>
      </c>
      <c r="O6629">
        <v>0.22066440000000001</v>
      </c>
      <c r="P6629">
        <v>0.9769352</v>
      </c>
      <c r="Q6629">
        <v>-3.6791009999999999E-2</v>
      </c>
      <c r="R6629">
        <v>0.21034269999999999</v>
      </c>
      <c r="S6629">
        <v>2.7947540000000002</v>
      </c>
      <c r="T6629">
        <v>-0.20773910000000001</v>
      </c>
      <c r="U6629">
        <v>1.24859599999999</v>
      </c>
      <c r="V6629">
        <v>1.053052E-2</v>
      </c>
      <c r="W6629">
        <v>-2.2507989999999999E-2</v>
      </c>
      <c r="X6629">
        <v>0.9996912</v>
      </c>
      <c r="Y6629">
        <v>-0.1964053</v>
      </c>
      <c r="Z6629">
        <v>-8.4029159999999999E-3</v>
      </c>
      <c r="AA6629">
        <v>0.98048679999999999</v>
      </c>
      <c r="AB6629">
        <v>19</v>
      </c>
      <c r="AC6629">
        <v>14.8637999999999</v>
      </c>
      <c r="AD6629">
        <v>-1.11195381654</v>
      </c>
      <c r="AE6629">
        <v>6.6598499999999996</v>
      </c>
      <c r="AF6629">
        <v>-3.2004885908757301</v>
      </c>
      <c r="AG6629">
        <v>-1.11195381654</v>
      </c>
      <c r="AH6629">
        <v>15.892996073838599</v>
      </c>
      <c r="AI6629">
        <v>93.923664854873195</v>
      </c>
      <c r="AJ6629">
        <v>101.38579051668999</v>
      </c>
      <c r="AK6629">
        <v>16.250135159853102</v>
      </c>
      <c r="AL6629">
        <v>91.289721747579605</v>
      </c>
      <c r="AM6629">
        <v>89.396481596093807</v>
      </c>
      <c r="AN6629">
        <v>0.99999999841137499</v>
      </c>
    </row>
    <row r="6630" spans="1:40" x14ac:dyDescent="0.25">
      <c r="A6630" t="str">
        <f>"20190312161148140"</f>
        <v>20190312161148140</v>
      </c>
      <c r="B6630" t="str">
        <f>"1552378308133458"</f>
        <v>1552378308133458</v>
      </c>
      <c r="C6630" t="s">
        <v>40</v>
      </c>
      <c r="D6630">
        <v>5.1164540000000001</v>
      </c>
      <c r="E6630">
        <v>0.42091390000000001</v>
      </c>
      <c r="F6630" t="s">
        <v>78</v>
      </c>
      <c r="G6630">
        <v>-186.0027</v>
      </c>
      <c r="H6630" s="1">
        <v>-1.182353E-5</v>
      </c>
      <c r="I6630">
        <v>-54.143949999999997</v>
      </c>
      <c r="J6630">
        <v>-200.91569999999999</v>
      </c>
      <c r="K6630">
        <v>1.1119600000000001</v>
      </c>
      <c r="L6630">
        <v>-60.835880000000003</v>
      </c>
      <c r="M6630">
        <v>0.97490949999999998</v>
      </c>
      <c r="N6630">
        <v>0</v>
      </c>
      <c r="O6630">
        <v>0.22214510000000001</v>
      </c>
      <c r="P6630">
        <v>0.97672999999999999</v>
      </c>
      <c r="Q6630">
        <v>-3.6074189999999999E-2</v>
      </c>
      <c r="R6630">
        <v>0.21141779999999999</v>
      </c>
      <c r="S6630">
        <v>2.7938079999999998</v>
      </c>
      <c r="T6630">
        <v>-0.2071366</v>
      </c>
      <c r="U6630">
        <v>1.2504879999999901</v>
      </c>
      <c r="V6630">
        <v>1.095194E-2</v>
      </c>
      <c r="W6630">
        <v>-2.1789309999999999E-2</v>
      </c>
      <c r="X6630">
        <v>0.9997026</v>
      </c>
      <c r="Y6630">
        <v>-0.19559789999999999</v>
      </c>
      <c r="Z6630">
        <v>-8.5085869999999997E-3</v>
      </c>
      <c r="AA6630">
        <v>0.9806473</v>
      </c>
      <c r="AB6630">
        <v>19</v>
      </c>
      <c r="AC6630">
        <v>14.912999999999901</v>
      </c>
      <c r="AD6630">
        <v>-1.11197182352999</v>
      </c>
      <c r="AE6630">
        <v>6.6919300000000002</v>
      </c>
      <c r="AF6630">
        <v>-3.19670821032221</v>
      </c>
      <c r="AG6630">
        <v>-1.11197182352999</v>
      </c>
      <c r="AH6630">
        <v>15.9532019264143</v>
      </c>
      <c r="AI6630">
        <v>93.909716620531</v>
      </c>
      <c r="AJ6630">
        <v>101.33088530434701</v>
      </c>
      <c r="AK6630">
        <v>16.308282448597001</v>
      </c>
      <c r="AL6630">
        <v>91.248534305410999</v>
      </c>
      <c r="AM6630">
        <v>89.372338495601099</v>
      </c>
      <c r="AN6630">
        <v>1.00000000373339</v>
      </c>
    </row>
    <row r="6631" spans="1:40" x14ac:dyDescent="0.25">
      <c r="A6631" t="str">
        <f>"20190312161148152"</f>
        <v>20190312161148152</v>
      </c>
      <c r="B6631" t="str">
        <f>"1552378308144194"</f>
        <v>1552378308144194</v>
      </c>
      <c r="C6631" t="s">
        <v>40</v>
      </c>
      <c r="D6631">
        <v>5.22058</v>
      </c>
      <c r="E6631">
        <v>0.4219369</v>
      </c>
      <c r="F6631" t="s">
        <v>78</v>
      </c>
      <c r="G6631">
        <v>-185.78870000000001</v>
      </c>
      <c r="H6631" s="1">
        <v>-1.183012E-5</v>
      </c>
      <c r="I6631">
        <v>-54.045769999999997</v>
      </c>
      <c r="J6631">
        <v>-200.822</v>
      </c>
      <c r="K6631">
        <v>1.1119810000000001</v>
      </c>
      <c r="L6631">
        <v>-60.812530000000002</v>
      </c>
      <c r="M6631">
        <v>0.97453089999999998</v>
      </c>
      <c r="N6631">
        <v>0</v>
      </c>
      <c r="O6631">
        <v>0.2238002</v>
      </c>
      <c r="P6631">
        <v>0.97649220000000003</v>
      </c>
      <c r="Q6631">
        <v>-3.5716299999999999E-2</v>
      </c>
      <c r="R6631">
        <v>0.21257280000000001</v>
      </c>
      <c r="S6631">
        <v>2.792557</v>
      </c>
      <c r="T6631">
        <v>-0.20527909999999999</v>
      </c>
      <c r="U6631">
        <v>1.2535099999999999</v>
      </c>
      <c r="V6631">
        <v>1.1469389999999999E-2</v>
      </c>
      <c r="W6631">
        <v>-2.1429429999999999E-2</v>
      </c>
      <c r="X6631">
        <v>0.99970460000000005</v>
      </c>
      <c r="Y6631">
        <v>-0.19498380000000001</v>
      </c>
      <c r="Z6631">
        <v>-8.5662169999999992E-3</v>
      </c>
      <c r="AA6631">
        <v>0.980769</v>
      </c>
      <c r="AB6631">
        <v>19</v>
      </c>
      <c r="AC6631">
        <v>15.033299999999899</v>
      </c>
      <c r="AD6631">
        <v>-1.1119928301199999</v>
      </c>
      <c r="AE6631">
        <v>6.7667599999999997</v>
      </c>
      <c r="AF6631">
        <v>-3.21565913271262</v>
      </c>
      <c r="AG6631">
        <v>-1.1119928301199999</v>
      </c>
      <c r="AH6631">
        <v>16.093240981652499</v>
      </c>
      <c r="AI6631">
        <v>93.876293320316904</v>
      </c>
      <c r="AJ6631">
        <v>101.299699627862</v>
      </c>
      <c r="AK6631">
        <v>16.448993799183501</v>
      </c>
      <c r="AL6631">
        <v>91.227909855277403</v>
      </c>
      <c r="AM6631">
        <v>89.342687019157196</v>
      </c>
      <c r="AN6631">
        <v>1.0000000273191201</v>
      </c>
    </row>
    <row r="6632" spans="1:40" x14ac:dyDescent="0.25">
      <c r="A6632" t="str">
        <f>"20190312161148162"</f>
        <v>20190312161148162</v>
      </c>
      <c r="B6632" t="str">
        <f>"1552378308153954"</f>
        <v>1552378308153954</v>
      </c>
      <c r="C6632" t="s">
        <v>40</v>
      </c>
      <c r="D6632">
        <v>5.2279</v>
      </c>
      <c r="E6632">
        <v>0.4219369</v>
      </c>
      <c r="F6632" t="s">
        <v>78</v>
      </c>
      <c r="G6632">
        <v>-185.797</v>
      </c>
      <c r="H6632" s="1">
        <v>-1.184492E-5</v>
      </c>
      <c r="I6632">
        <v>-54.093679999999999</v>
      </c>
      <c r="J6632">
        <v>-200.73339999999999</v>
      </c>
      <c r="K6632">
        <v>1.1119950000000001</v>
      </c>
      <c r="L6632">
        <v>-60.79034</v>
      </c>
      <c r="M6632">
        <v>0.97416809999999998</v>
      </c>
      <c r="N6632">
        <v>0</v>
      </c>
      <c r="O6632">
        <v>0.22537470000000001</v>
      </c>
      <c r="P6632">
        <v>0.97624120000000003</v>
      </c>
      <c r="Q6632">
        <v>-3.5068809999999999E-2</v>
      </c>
      <c r="R6632">
        <v>0.2138304</v>
      </c>
      <c r="S6632">
        <v>2.792786</v>
      </c>
      <c r="T6632">
        <v>-0.2066925</v>
      </c>
      <c r="U6632">
        <v>1.2488709999999901</v>
      </c>
      <c r="V6632">
        <v>1.180024E-2</v>
      </c>
      <c r="W6632">
        <v>-2.0780549999999998E-2</v>
      </c>
      <c r="X6632">
        <v>0.9997144</v>
      </c>
      <c r="Y6632">
        <v>-0.1920219</v>
      </c>
      <c r="Z6632">
        <v>-8.8386479999999993E-3</v>
      </c>
      <c r="AA6632">
        <v>0.98135079999999997</v>
      </c>
      <c r="AB6632">
        <v>19</v>
      </c>
      <c r="AC6632">
        <v>14.9363999999999</v>
      </c>
      <c r="AD6632">
        <v>-1.11200684492</v>
      </c>
      <c r="AE6632">
        <v>6.6966599999999898</v>
      </c>
      <c r="AF6632">
        <v>-3.14320003314401</v>
      </c>
      <c r="AG6632">
        <v>-1.11200684492</v>
      </c>
      <c r="AH6632">
        <v>15.9876668335356</v>
      </c>
      <c r="AI6632">
        <v>93.904244602583404</v>
      </c>
      <c r="AJ6632">
        <v>101.122582803906</v>
      </c>
      <c r="AK6632">
        <v>16.331618304737599</v>
      </c>
      <c r="AL6632">
        <v>91.190723544771501</v>
      </c>
      <c r="AM6632">
        <v>89.323734306098999</v>
      </c>
      <c r="AN6632">
        <v>0.99999997924485895</v>
      </c>
    </row>
    <row r="6633" spans="1:40" x14ac:dyDescent="0.25">
      <c r="A6633" t="str">
        <f>"20190312161148174"</f>
        <v>20190312161148174</v>
      </c>
      <c r="B6633" t="str">
        <f>"1552378308163714"</f>
        <v>1552378308163714</v>
      </c>
      <c r="C6633" t="s">
        <v>40</v>
      </c>
      <c r="D6633">
        <v>5.2001799999999996</v>
      </c>
      <c r="E6633">
        <v>0.51447810000000005</v>
      </c>
      <c r="F6633" t="s">
        <v>78</v>
      </c>
      <c r="G6633">
        <v>-185.56639999999999</v>
      </c>
      <c r="H6633" s="1">
        <v>-1.185099E-5</v>
      </c>
      <c r="I6633">
        <v>-53.98489</v>
      </c>
      <c r="J6633">
        <v>-200.64019999999999</v>
      </c>
      <c r="K6633">
        <v>1.112012</v>
      </c>
      <c r="L6633">
        <v>-60.766689999999997</v>
      </c>
      <c r="M6633">
        <v>0.97377689999999995</v>
      </c>
      <c r="N6633">
        <v>0</v>
      </c>
      <c r="O6633">
        <v>0.2270586</v>
      </c>
      <c r="P6633">
        <v>0.97599239999999998</v>
      </c>
      <c r="Q6633">
        <v>-3.5049730000000001E-2</v>
      </c>
      <c r="R6633">
        <v>0.2149665</v>
      </c>
      <c r="S6633">
        <v>2.7913209999999999</v>
      </c>
      <c r="T6633">
        <v>-0.204653</v>
      </c>
      <c r="U6633">
        <v>1.252472</v>
      </c>
      <c r="V6633">
        <v>1.2365370000000001E-2</v>
      </c>
      <c r="W6633">
        <v>-2.075952E-2</v>
      </c>
      <c r="X6633">
        <v>0.99970809999999999</v>
      </c>
      <c r="Y6633">
        <v>-0.19157469999999999</v>
      </c>
      <c r="Z6633">
        <v>-8.8812590000000007E-3</v>
      </c>
      <c r="AA6633">
        <v>0.98143789999999997</v>
      </c>
      <c r="AB6633">
        <v>19</v>
      </c>
      <c r="AC6633">
        <v>15.0738</v>
      </c>
      <c r="AD6633">
        <v>-1.11202385099</v>
      </c>
      <c r="AE6633">
        <v>6.7817999999999996</v>
      </c>
      <c r="AF6633">
        <v>-3.1673114194842</v>
      </c>
      <c r="AG6633">
        <v>-1.11202385099</v>
      </c>
      <c r="AH6633">
        <v>16.1469468394511</v>
      </c>
      <c r="AI6633">
        <v>93.866232983388201</v>
      </c>
      <c r="AJ6633">
        <v>101.097971717127</v>
      </c>
      <c r="AK6633">
        <v>16.492190603713802</v>
      </c>
      <c r="AL6633">
        <v>91.189518243424899</v>
      </c>
      <c r="AM6633">
        <v>89.291345758086806</v>
      </c>
      <c r="AN6633">
        <v>1.0000000726257301</v>
      </c>
    </row>
    <row r="6634" spans="1:40" x14ac:dyDescent="0.25">
      <c r="A6634" t="str">
        <f>"20190312161148185"</f>
        <v>20190312161148185</v>
      </c>
      <c r="B6634" t="str">
        <f>"1552378308173475"</f>
        <v>1552378308173475</v>
      </c>
      <c r="C6634" t="s">
        <v>40</v>
      </c>
      <c r="D6634">
        <v>5.0968239999999998</v>
      </c>
      <c r="E6634">
        <v>0.52632900000000005</v>
      </c>
      <c r="F6634" t="s">
        <v>42</v>
      </c>
      <c r="G6634">
        <v>-199.88560000000001</v>
      </c>
      <c r="H6634">
        <v>0.9652056</v>
      </c>
      <c r="I6634">
        <v>-60.626730000000002</v>
      </c>
      <c r="J6634">
        <v>-200.56</v>
      </c>
      <c r="K6634">
        <v>1.1120239999999999</v>
      </c>
      <c r="L6634">
        <v>-60.746310000000001</v>
      </c>
      <c r="M6634">
        <v>0.97343710000000006</v>
      </c>
      <c r="N6634">
        <v>0</v>
      </c>
      <c r="O6634">
        <v>0.2285113</v>
      </c>
      <c r="P6634">
        <v>0.97578390000000004</v>
      </c>
      <c r="Q6634">
        <v>-3.5426099999999898E-2</v>
      </c>
      <c r="R6634">
        <v>0.21584890000000001</v>
      </c>
      <c r="S6634">
        <v>2.9334560000000001</v>
      </c>
      <c r="T6634">
        <v>-0.57069930000000002</v>
      </c>
      <c r="U6634">
        <v>0.54418949999999999</v>
      </c>
      <c r="V6634">
        <v>1.2951900000000001E-2</v>
      </c>
      <c r="W6634">
        <v>-2.1134010000000002E-2</v>
      </c>
      <c r="X6634">
        <v>0.99969269999999999</v>
      </c>
      <c r="Y6634">
        <v>4.2325059999999998E-2</v>
      </c>
      <c r="Z6634">
        <v>-4.72104E-2</v>
      </c>
      <c r="AA6634">
        <v>0.99798790000000004</v>
      </c>
      <c r="AB6634">
        <v>19</v>
      </c>
      <c r="AC6634">
        <v>0.67439999999999101</v>
      </c>
      <c r="AD6634">
        <v>-0.14681839999999899</v>
      </c>
      <c r="AE6634">
        <v>0.11957999999999901</v>
      </c>
      <c r="AF6634">
        <v>3.6051675390484698E-2</v>
      </c>
      <c r="AG6634">
        <v>-0.14681839999999899</v>
      </c>
      <c r="AH6634">
        <v>0.65383714339448296</v>
      </c>
      <c r="AI6634">
        <v>102.637201665495</v>
      </c>
      <c r="AJ6634">
        <v>86.843985782607305</v>
      </c>
      <c r="AK6634">
        <v>0.67108745775739098</v>
      </c>
      <c r="AL6634">
        <v>91.210979800301203</v>
      </c>
      <c r="AM6634">
        <v>89.257724208886302</v>
      </c>
      <c r="AN6634">
        <v>0.99999994626278799</v>
      </c>
    </row>
    <row r="6635" spans="1:40" x14ac:dyDescent="0.25">
      <c r="A6635" t="str">
        <f>"20190312161148194"</f>
        <v>20190312161148194</v>
      </c>
      <c r="B6635" t="str">
        <f>"1552378308184209"</f>
        <v>1552378308184209</v>
      </c>
      <c r="C6635" t="s">
        <v>40</v>
      </c>
      <c r="D6635">
        <v>5.3355430000000004</v>
      </c>
      <c r="E6635">
        <v>0.53265119999999999</v>
      </c>
      <c r="F6635" t="s">
        <v>42</v>
      </c>
      <c r="G6635">
        <v>-199.72890000000001</v>
      </c>
      <c r="H6635">
        <v>0.94698119999999997</v>
      </c>
      <c r="I6635">
        <v>-60.618110000000001</v>
      </c>
      <c r="J6635">
        <v>-200.4734</v>
      </c>
      <c r="K6635">
        <v>1.112036</v>
      </c>
      <c r="L6635">
        <v>-60.723999999999997</v>
      </c>
      <c r="M6635">
        <v>0.97306090000000001</v>
      </c>
      <c r="N6635">
        <v>0</v>
      </c>
      <c r="O6635">
        <v>0.2301076</v>
      </c>
      <c r="P6635">
        <v>0.97558429999999996</v>
      </c>
      <c r="Q6635">
        <v>-3.5465579999999997E-2</v>
      </c>
      <c r="R6635">
        <v>0.21674260000000001</v>
      </c>
      <c r="S6635">
        <v>2.9524379999999999</v>
      </c>
      <c r="T6635">
        <v>-0.5863005</v>
      </c>
      <c r="U6635">
        <v>0.45541379999999998</v>
      </c>
      <c r="V6635">
        <v>1.3675959999999999E-2</v>
      </c>
      <c r="W6635">
        <v>-2.1170930000000001E-2</v>
      </c>
      <c r="X6635">
        <v>0.99968230000000002</v>
      </c>
      <c r="Y6635">
        <v>7.3406289999999999E-2</v>
      </c>
      <c r="Z6635">
        <v>-5.1672570000000001E-2</v>
      </c>
      <c r="AA6635">
        <v>0.99596260000000003</v>
      </c>
      <c r="AB6635">
        <v>18</v>
      </c>
      <c r="AC6635">
        <v>0.74449999999998795</v>
      </c>
      <c r="AD6635">
        <v>-0.1650548</v>
      </c>
      <c r="AE6635">
        <v>0.105890000000002</v>
      </c>
      <c r="AF6635">
        <v>6.5146150644241299E-2</v>
      </c>
      <c r="AG6635">
        <v>-0.1650548</v>
      </c>
      <c r="AH6635">
        <v>0.71446595674372504</v>
      </c>
      <c r="AI6635">
        <v>102.956248179303</v>
      </c>
      <c r="AJ6635">
        <v>84.790085708537902</v>
      </c>
      <c r="AK6635">
        <v>0.73617165884902702</v>
      </c>
      <c r="AL6635">
        <v>91.213095604525705</v>
      </c>
      <c r="AM6635">
        <v>89.216225082641301</v>
      </c>
      <c r="AN6635">
        <v>0.99999997054613698</v>
      </c>
    </row>
    <row r="6636" spans="1:40" x14ac:dyDescent="0.25">
      <c r="A6636" t="str">
        <f>"20190312161148207"</f>
        <v>20190312161148207</v>
      </c>
      <c r="B6636" t="str">
        <f>"1552378308203729"</f>
        <v>1552378308203729</v>
      </c>
      <c r="C6636" t="s">
        <v>40</v>
      </c>
      <c r="D6636">
        <v>5.1796829999999998</v>
      </c>
      <c r="E6636">
        <v>0.53903230000000002</v>
      </c>
      <c r="F6636" t="s">
        <v>42</v>
      </c>
      <c r="G6636">
        <v>-199.72219999999999</v>
      </c>
      <c r="H6636">
        <v>0.95925059999999995</v>
      </c>
      <c r="I6636">
        <v>-60.620139999999999</v>
      </c>
      <c r="J6636">
        <v>-200.37780000000001</v>
      </c>
      <c r="K6636">
        <v>1.1120509999999999</v>
      </c>
      <c r="L6636">
        <v>-60.699309999999997</v>
      </c>
      <c r="M6636">
        <v>0.97264090000000003</v>
      </c>
      <c r="N6636">
        <v>0</v>
      </c>
      <c r="O6636">
        <v>0.23187669999999999</v>
      </c>
      <c r="P6636">
        <v>0.97532030000000003</v>
      </c>
      <c r="Q6636">
        <v>-3.5350140000000002E-2</v>
      </c>
      <c r="R6636">
        <v>0.21794630000000001</v>
      </c>
      <c r="S6636">
        <v>2.9622039999999998</v>
      </c>
      <c r="T6636">
        <v>-0.6024929</v>
      </c>
      <c r="U6636">
        <v>0.4096069</v>
      </c>
      <c r="V6636">
        <v>1.426113E-2</v>
      </c>
      <c r="W6636">
        <v>-2.105344E-2</v>
      </c>
      <c r="X6636">
        <v>0.99967660000000003</v>
      </c>
      <c r="Y6636">
        <v>9.0119729999999995E-2</v>
      </c>
      <c r="Z6636">
        <v>-5.4998569999999997E-2</v>
      </c>
      <c r="AA6636">
        <v>0.99441120000000005</v>
      </c>
      <c r="AB6636">
        <v>18</v>
      </c>
      <c r="AC6636">
        <v>0.65560000000002105</v>
      </c>
      <c r="AD6636">
        <v>-0.1528004</v>
      </c>
      <c r="AE6636">
        <v>7.9169999999997701E-2</v>
      </c>
      <c r="AF6636">
        <v>7.1209398143508906E-2</v>
      </c>
      <c r="AG6636">
        <v>-0.1528004</v>
      </c>
      <c r="AH6636">
        <v>0.62274541931257898</v>
      </c>
      <c r="AI6636">
        <v>103.70018771923201</v>
      </c>
      <c r="AJ6636">
        <v>83.476702372320801</v>
      </c>
      <c r="AK6636">
        <v>0.64515935853006201</v>
      </c>
      <c r="AL6636">
        <v>91.206362428084105</v>
      </c>
      <c r="AM6636">
        <v>89.1826885445263</v>
      </c>
      <c r="AN6636">
        <v>0.99999996587613404</v>
      </c>
    </row>
    <row r="6637" spans="1:40" x14ac:dyDescent="0.25">
      <c r="A6637" t="str">
        <f>"20190312161148218"</f>
        <v>20190312161148218</v>
      </c>
      <c r="B6637" t="str">
        <f>"1552378308213490"</f>
        <v>1552378308213490</v>
      </c>
      <c r="C6637" t="s">
        <v>40</v>
      </c>
      <c r="D6637">
        <v>5.2893179999999997</v>
      </c>
      <c r="E6637">
        <v>0.53903230000000002</v>
      </c>
      <c r="F6637" t="s">
        <v>42</v>
      </c>
      <c r="G6637">
        <v>-199.56639999999999</v>
      </c>
      <c r="H6637">
        <v>0.94349919999999998</v>
      </c>
      <c r="I6637">
        <v>-60.599919999999997</v>
      </c>
      <c r="J6637">
        <v>-200.29249999999999</v>
      </c>
      <c r="K6637">
        <v>1.1120570000000001</v>
      </c>
      <c r="L6637">
        <v>-60.677030000000002</v>
      </c>
      <c r="M6637">
        <v>0.97225859999999997</v>
      </c>
      <c r="N6637">
        <v>0</v>
      </c>
      <c r="O6637">
        <v>0.23347499999999999</v>
      </c>
      <c r="P6637">
        <v>0.97509990000000002</v>
      </c>
      <c r="Q6637">
        <v>-3.5031420000000001E-2</v>
      </c>
      <c r="R6637">
        <v>0.21898239999999999</v>
      </c>
      <c r="S6637">
        <v>2.9721679999999999</v>
      </c>
      <c r="T6637">
        <v>-0.61741359999999901</v>
      </c>
      <c r="U6637">
        <v>0.36407469999999997</v>
      </c>
      <c r="V6637">
        <v>1.4843530000000001E-2</v>
      </c>
      <c r="W6637">
        <v>-2.0732529999999999E-2</v>
      </c>
      <c r="X6637">
        <v>0.99967490000000003</v>
      </c>
      <c r="Y6637">
        <v>0.10650949999999999</v>
      </c>
      <c r="Z6637">
        <v>-5.82202E-2</v>
      </c>
      <c r="AA6637">
        <v>0.99260570000000004</v>
      </c>
      <c r="AB6637">
        <v>18</v>
      </c>
      <c r="AC6637">
        <v>0.72610000000000197</v>
      </c>
      <c r="AD6637">
        <v>-0.16855780000000001</v>
      </c>
      <c r="AE6637">
        <v>7.7110000000004605E-2</v>
      </c>
      <c r="AF6637">
        <v>8.9780634256231201E-2</v>
      </c>
      <c r="AG6637">
        <v>-0.16855780000000001</v>
      </c>
      <c r="AH6637">
        <v>0.68740285311100502</v>
      </c>
      <c r="AI6637">
        <v>103.66596825379099</v>
      </c>
      <c r="AJ6637">
        <v>82.558807222503006</v>
      </c>
      <c r="AK6637">
        <v>0.71343883878959202</v>
      </c>
      <c r="AL6637">
        <v>91.187971539958298</v>
      </c>
      <c r="AM6637">
        <v>89.149314313952502</v>
      </c>
      <c r="AN6637">
        <v>1.0000000369365301</v>
      </c>
    </row>
    <row r="6638" spans="1:40" x14ac:dyDescent="0.25">
      <c r="A6638" t="str">
        <f>"20190312161148230"</f>
        <v>20190312161148230</v>
      </c>
      <c r="B6638" t="str">
        <f>"1552378308224226"</f>
        <v>1552378308224226</v>
      </c>
      <c r="C6638" t="s">
        <v>40</v>
      </c>
      <c r="D6638">
        <v>5.1690440000000004</v>
      </c>
      <c r="E6638">
        <v>0.56231900000000001</v>
      </c>
      <c r="F6638" t="s">
        <v>42</v>
      </c>
      <c r="G6638">
        <v>-199.56139999999999</v>
      </c>
      <c r="H6638">
        <v>0.96039010000000002</v>
      </c>
      <c r="I6638">
        <v>-60.586660000000002</v>
      </c>
      <c r="J6638">
        <v>-200.2029</v>
      </c>
      <c r="K6638">
        <v>1.1120680000000001</v>
      </c>
      <c r="L6638">
        <v>-60.653469999999999</v>
      </c>
      <c r="M6638">
        <v>0.97185109999999997</v>
      </c>
      <c r="N6638">
        <v>0</v>
      </c>
      <c r="O6638">
        <v>0.23516509999999999</v>
      </c>
      <c r="P6638">
        <v>0.97487190000000001</v>
      </c>
      <c r="Q6638">
        <v>-3.469618E-2</v>
      </c>
      <c r="R6638">
        <v>0.22004799999999999</v>
      </c>
      <c r="S6638">
        <v>2.9719540000000002</v>
      </c>
      <c r="T6638">
        <v>-0.61656279999999997</v>
      </c>
      <c r="U6638">
        <v>0.36740109999999998</v>
      </c>
      <c r="V6638">
        <v>1.549071E-2</v>
      </c>
      <c r="W6638">
        <v>-2.0394820000000001E-2</v>
      </c>
      <c r="X6638">
        <v>0.99967200000000001</v>
      </c>
      <c r="Y6638">
        <v>0.1071077</v>
      </c>
      <c r="Z6638">
        <v>-5.8537239999999997E-2</v>
      </c>
      <c r="AA6638">
        <v>0.99252269999999998</v>
      </c>
      <c r="AB6638">
        <v>18</v>
      </c>
      <c r="AC6638">
        <v>0.64150000000000695</v>
      </c>
      <c r="AD6638">
        <v>-0.1516779</v>
      </c>
      <c r="AE6638">
        <v>6.6810000000003797E-2</v>
      </c>
      <c r="AF6638">
        <v>8.1434028429845595E-2</v>
      </c>
      <c r="AG6638">
        <v>-0.1516779</v>
      </c>
      <c r="AH6638">
        <v>0.60571925268482496</v>
      </c>
      <c r="AI6638">
        <v>103.937882788631</v>
      </c>
      <c r="AJ6638">
        <v>82.342960723465396</v>
      </c>
      <c r="AK6638">
        <v>0.62970905933437704</v>
      </c>
      <c r="AL6638">
        <v>91.168618122943002</v>
      </c>
      <c r="AM6638">
        <v>89.112227535302296</v>
      </c>
      <c r="AN6638">
        <v>1.00000000918156</v>
      </c>
    </row>
    <row r="6639" spans="1:40" x14ac:dyDescent="0.25">
      <c r="A6639" t="str">
        <f>"20190312161148241"</f>
        <v>20190312161148241</v>
      </c>
      <c r="B6639" t="str">
        <f>"1552378308233985"</f>
        <v>1552378308233985</v>
      </c>
      <c r="C6639" t="s">
        <v>40</v>
      </c>
      <c r="D6639">
        <v>5.1522560000000004</v>
      </c>
      <c r="E6639">
        <v>0.55249539999999997</v>
      </c>
      <c r="F6639" t="s">
        <v>42</v>
      </c>
      <c r="G6639">
        <v>-199.4068</v>
      </c>
      <c r="H6639">
        <v>0.92026039999999998</v>
      </c>
      <c r="I6639">
        <v>-60.602600000000002</v>
      </c>
      <c r="J6639">
        <v>-200.11099999999999</v>
      </c>
      <c r="K6639">
        <v>1.112079</v>
      </c>
      <c r="L6639">
        <v>-60.629119999999901</v>
      </c>
      <c r="M6639">
        <v>0.97142649999999997</v>
      </c>
      <c r="N6639">
        <v>0</v>
      </c>
      <c r="O6639">
        <v>0.23691319999999999</v>
      </c>
      <c r="P6639">
        <v>0.97462079999999995</v>
      </c>
      <c r="Q6639">
        <v>-3.4507309999999999E-2</v>
      </c>
      <c r="R6639">
        <v>0.2211873</v>
      </c>
      <c r="S6639">
        <v>3.0081329999999999</v>
      </c>
      <c r="T6639">
        <v>-0.72482659999999999</v>
      </c>
      <c r="U6639">
        <v>0.19241330000000001</v>
      </c>
      <c r="V6639">
        <v>1.612187E-2</v>
      </c>
      <c r="W6639">
        <v>-2.0203559999999999E-2</v>
      </c>
      <c r="X6639">
        <v>0.9996659</v>
      </c>
      <c r="Y6639">
        <v>0.16317479999999901</v>
      </c>
      <c r="Z6639">
        <v>-7.5077309999999994E-2</v>
      </c>
      <c r="AA6639">
        <v>0.98373650000000001</v>
      </c>
      <c r="AB6639">
        <v>18</v>
      </c>
      <c r="AC6639">
        <v>0.70419999999998595</v>
      </c>
      <c r="AD6639">
        <v>-0.19181860000000001</v>
      </c>
      <c r="AE6639">
        <v>2.65199999999907E-2</v>
      </c>
      <c r="AF6639">
        <v>0.13135400529371499</v>
      </c>
      <c r="AG6639">
        <v>-0.19181860000000001</v>
      </c>
      <c r="AH6639">
        <v>0.64280450200820105</v>
      </c>
      <c r="AI6639">
        <v>106.29718693311101</v>
      </c>
      <c r="AJ6639">
        <v>78.450883398732799</v>
      </c>
      <c r="AK6639">
        <v>0.68355385875194397</v>
      </c>
      <c r="AL6639">
        <v>91.157657478551499</v>
      </c>
      <c r="AM6639">
        <v>89.076056271591895</v>
      </c>
      <c r="AN6639">
        <v>1.0000000050758899</v>
      </c>
    </row>
    <row r="6640" spans="1:40" x14ac:dyDescent="0.25">
      <c r="A6640" t="str">
        <f>"20190312161148252"</f>
        <v>20190312161148252</v>
      </c>
      <c r="B6640" t="str">
        <f>"1552378308243746"</f>
        <v>1552378308243746</v>
      </c>
      <c r="C6640" t="s">
        <v>40</v>
      </c>
      <c r="D6640">
        <v>5.3291879999999896</v>
      </c>
      <c r="E6640">
        <v>0.55525389999999997</v>
      </c>
      <c r="F6640" t="s">
        <v>42</v>
      </c>
      <c r="G6640">
        <v>-199.40799999999999</v>
      </c>
      <c r="H6640">
        <v>0.94100839999999997</v>
      </c>
      <c r="I6640">
        <v>-60.565130000000003</v>
      </c>
      <c r="J6640">
        <v>-200.0274</v>
      </c>
      <c r="K6640">
        <v>1.1120909999999999</v>
      </c>
      <c r="L6640">
        <v>-60.606780000000001</v>
      </c>
      <c r="M6640">
        <v>0.97103249999999997</v>
      </c>
      <c r="N6640">
        <v>0</v>
      </c>
      <c r="O6640">
        <v>0.23852280000000001</v>
      </c>
      <c r="P6640">
        <v>0.9742807</v>
      </c>
      <c r="Q6640">
        <v>-3.440878E-2</v>
      </c>
      <c r="R6640">
        <v>0.22269510000000001</v>
      </c>
      <c r="S6640">
        <v>2.9905240000000002</v>
      </c>
      <c r="T6640">
        <v>-0.72779269999999996</v>
      </c>
      <c r="U6640">
        <v>0.27243040000000002</v>
      </c>
      <c r="V6640">
        <v>1.623262E-2</v>
      </c>
      <c r="W6640">
        <v>-2.0104650000000002E-2</v>
      </c>
      <c r="X6640">
        <v>0.9996661</v>
      </c>
      <c r="Y6640">
        <v>0.13870060000000001</v>
      </c>
      <c r="Z6640">
        <v>-7.3132100000000005E-2</v>
      </c>
      <c r="AA6640">
        <v>0.98763040000000002</v>
      </c>
      <c r="AB6640">
        <v>18</v>
      </c>
      <c r="AC6640">
        <v>0.61940000000001205</v>
      </c>
      <c r="AD6640">
        <v>-0.171082599999999</v>
      </c>
      <c r="AE6640">
        <v>4.16500000000041E-2</v>
      </c>
      <c r="AF6640">
        <v>9.9733916764598501E-2</v>
      </c>
      <c r="AG6640">
        <v>-0.171082599999999</v>
      </c>
      <c r="AH6640">
        <v>0.568293843984506</v>
      </c>
      <c r="AI6640">
        <v>106.51585067544499</v>
      </c>
      <c r="AJ6640">
        <v>80.046121899722706</v>
      </c>
      <c r="AK6640">
        <v>0.60180894251137096</v>
      </c>
      <c r="AL6640">
        <v>91.151989203881897</v>
      </c>
      <c r="AM6640">
        <v>89.069710491232399</v>
      </c>
      <c r="AN6640">
        <v>1.00000000319644</v>
      </c>
    </row>
    <row r="6641" spans="1:40" x14ac:dyDescent="0.25">
      <c r="A6641" t="str">
        <f>"20190312161148265"</f>
        <v>20190312161148265</v>
      </c>
      <c r="B6641" t="str">
        <f>"1552378308253505"</f>
        <v>1552378308253505</v>
      </c>
      <c r="C6641" t="s">
        <v>40</v>
      </c>
      <c r="D6641">
        <v>5.2076650000000004</v>
      </c>
      <c r="E6641">
        <v>0.55575220000000003</v>
      </c>
      <c r="F6641" t="s">
        <v>42</v>
      </c>
      <c r="G6641">
        <v>-199.25450000000001</v>
      </c>
      <c r="H6641">
        <v>0.92158620000000002</v>
      </c>
      <c r="I6641">
        <v>-60.54081</v>
      </c>
      <c r="J6641">
        <v>-199.92670000000001</v>
      </c>
      <c r="K6641">
        <v>1.1121049999999999</v>
      </c>
      <c r="L6641">
        <v>-60.579740000000001</v>
      </c>
      <c r="M6641">
        <v>0.97055210000000003</v>
      </c>
      <c r="N6641">
        <v>0</v>
      </c>
      <c r="O6641">
        <v>0.2404702</v>
      </c>
      <c r="P6641">
        <v>0.97385849999999996</v>
      </c>
      <c r="Q6641">
        <v>-3.4594859999999998E-2</v>
      </c>
      <c r="R6641">
        <v>0.2245057</v>
      </c>
      <c r="S6641">
        <v>2.994675</v>
      </c>
      <c r="T6641">
        <v>-0.73820609999999998</v>
      </c>
      <c r="U6641">
        <v>0.2557373</v>
      </c>
      <c r="V6641">
        <v>1.6379649999999999E-2</v>
      </c>
      <c r="W6641">
        <v>-2.0290300000000001E-2</v>
      </c>
      <c r="X6641">
        <v>0.99965999999999999</v>
      </c>
      <c r="Y6641">
        <v>0.1457204</v>
      </c>
      <c r="Z6641">
        <v>-7.5385729999999998E-2</v>
      </c>
      <c r="AA6641">
        <v>0.98644949999999998</v>
      </c>
      <c r="AB6641">
        <v>18</v>
      </c>
      <c r="AC6641">
        <v>0.67220000000000302</v>
      </c>
      <c r="AD6641">
        <v>-0.19051879999999999</v>
      </c>
      <c r="AE6641">
        <v>3.8930000000000499E-2</v>
      </c>
      <c r="AF6641">
        <v>0.11469070546278901</v>
      </c>
      <c r="AG6641">
        <v>-0.19051879999999999</v>
      </c>
      <c r="AH6641">
        <v>0.61277401956608901</v>
      </c>
      <c r="AI6641">
        <v>106.99342554509499</v>
      </c>
      <c r="AJ6641">
        <v>79.398810722658695</v>
      </c>
      <c r="AK6641">
        <v>0.65187680594432396</v>
      </c>
      <c r="AL6641">
        <v>91.162628278386094</v>
      </c>
      <c r="AM6641">
        <v>89.061279993485996</v>
      </c>
      <c r="AN6641">
        <v>1.0000000524040999</v>
      </c>
    </row>
    <row r="6642" spans="1:40" x14ac:dyDescent="0.25">
      <c r="A6642" t="str">
        <f>"20190312161148275"</f>
        <v>20190312161148275</v>
      </c>
      <c r="B6642" t="str">
        <f>"1552378308264242"</f>
        <v>1552378308264242</v>
      </c>
      <c r="C6642" t="s">
        <v>40</v>
      </c>
      <c r="D6642">
        <v>5.2990500000000003</v>
      </c>
      <c r="E6642">
        <v>0.55690819999999996</v>
      </c>
      <c r="F6642" t="s">
        <v>42</v>
      </c>
      <c r="G6642">
        <v>-199.10050000000001</v>
      </c>
      <c r="H6642">
        <v>0.90853870000000003</v>
      </c>
      <c r="I6642">
        <v>-60.508850000000002</v>
      </c>
      <c r="J6642">
        <v>-199.8416</v>
      </c>
      <c r="K6642">
        <v>1.1121190000000001</v>
      </c>
      <c r="L6642">
        <v>-60.556579999999997</v>
      </c>
      <c r="M6642">
        <v>0.970136</v>
      </c>
      <c r="N6642">
        <v>0</v>
      </c>
      <c r="O6642">
        <v>0.2421431</v>
      </c>
      <c r="P6642">
        <v>0.97352459999999996</v>
      </c>
      <c r="Q6642">
        <v>-3.4475190000000003E-2</v>
      </c>
      <c r="R6642">
        <v>0.22596769999999999</v>
      </c>
      <c r="S6642">
        <v>2.99498</v>
      </c>
      <c r="T6642">
        <v>-0.73810919999999902</v>
      </c>
      <c r="U6642">
        <v>0.25738529999999998</v>
      </c>
      <c r="V6642">
        <v>1.6603130000000001E-2</v>
      </c>
      <c r="W6642">
        <v>-2.0169639999999999E-2</v>
      </c>
      <c r="X6642">
        <v>0.99965870000000001</v>
      </c>
      <c r="Y6642">
        <v>0.14681949999999999</v>
      </c>
      <c r="Z6642">
        <v>-7.5893340000000004E-2</v>
      </c>
      <c r="AA6642">
        <v>0.98624750000000005</v>
      </c>
      <c r="AB6642">
        <v>18</v>
      </c>
      <c r="AC6642">
        <v>0.74109999999998799</v>
      </c>
      <c r="AD6642">
        <v>-0.20358029999999999</v>
      </c>
      <c r="AE6642">
        <v>4.7730000000001299E-2</v>
      </c>
      <c r="AF6642">
        <v>0.123853746904736</v>
      </c>
      <c r="AG6642">
        <v>-0.20358029999999999</v>
      </c>
      <c r="AH6642">
        <v>0.67953348199240005</v>
      </c>
      <c r="AI6642">
        <v>106.421976802611</v>
      </c>
      <c r="AJ6642">
        <v>79.670490050934305</v>
      </c>
      <c r="AK6642">
        <v>0.72010446625413205</v>
      </c>
      <c r="AL6642">
        <v>91.155713618496193</v>
      </c>
      <c r="AM6642">
        <v>89.0484734255418</v>
      </c>
      <c r="AN6642">
        <v>0.99999999739460799</v>
      </c>
    </row>
    <row r="6643" spans="1:40" x14ac:dyDescent="0.25">
      <c r="A6643" t="str">
        <f>"20190312161148286"</f>
        <v>20190312161148286</v>
      </c>
      <c r="B6643" t="str">
        <f>"1552378308274002"</f>
        <v>1552378308274002</v>
      </c>
      <c r="C6643" t="s">
        <v>40</v>
      </c>
      <c r="D6643">
        <v>5.147837</v>
      </c>
      <c r="E6643">
        <v>0.55657270000000003</v>
      </c>
      <c r="F6643" t="s">
        <v>42</v>
      </c>
      <c r="G6643">
        <v>-199.0967</v>
      </c>
      <c r="H6643">
        <v>0.92609379999999997</v>
      </c>
      <c r="I6643">
        <v>-60.493690000000001</v>
      </c>
      <c r="J6643">
        <v>-199.76349999999999</v>
      </c>
      <c r="K6643">
        <v>1.1121319999999999</v>
      </c>
      <c r="L6643">
        <v>-60.535220000000002</v>
      </c>
      <c r="M6643">
        <v>0.96974990000000005</v>
      </c>
      <c r="N6643">
        <v>0</v>
      </c>
      <c r="O6643">
        <v>0.2436854</v>
      </c>
      <c r="P6643">
        <v>0.97317410000000004</v>
      </c>
      <c r="Q6643">
        <v>-3.4408069999999999E-2</v>
      </c>
      <c r="R6643">
        <v>0.22748299999999999</v>
      </c>
      <c r="S6643">
        <v>2.9962770000000001</v>
      </c>
      <c r="T6643">
        <v>-0.74844739999999998</v>
      </c>
      <c r="U6643">
        <v>0.25341799999999998</v>
      </c>
      <c r="V6643">
        <v>1.6637209999999999E-2</v>
      </c>
      <c r="W6643">
        <v>-2.010232E-2</v>
      </c>
      <c r="X6643">
        <v>0.99965950000000003</v>
      </c>
      <c r="Y6643">
        <v>0.14929400000000001</v>
      </c>
      <c r="Z6643">
        <v>-7.7571009999999996E-2</v>
      </c>
      <c r="AA6643">
        <v>0.98574539999999999</v>
      </c>
      <c r="AB6643">
        <v>18</v>
      </c>
      <c r="AC6643">
        <v>0.66679999999999495</v>
      </c>
      <c r="AD6643">
        <v>-0.18603819999999999</v>
      </c>
      <c r="AE6643">
        <v>4.1529999999994502E-2</v>
      </c>
      <c r="AF6643">
        <v>0.11343242239137299</v>
      </c>
      <c r="AG6643">
        <v>-0.18603819999999999</v>
      </c>
      <c r="AH6643">
        <v>0.60955080561390895</v>
      </c>
      <c r="AI6643">
        <v>106.702091047366</v>
      </c>
      <c r="AJ6643">
        <v>79.458306836218398</v>
      </c>
      <c r="AK6643">
        <v>0.64732473375685295</v>
      </c>
      <c r="AL6643">
        <v>91.151855672216797</v>
      </c>
      <c r="AM6643">
        <v>89.046521421396307</v>
      </c>
      <c r="AN6643">
        <v>1.0000000079831</v>
      </c>
    </row>
    <row r="6644" spans="1:40" x14ac:dyDescent="0.25">
      <c r="A6644" t="str">
        <f>"20190312161148296"</f>
        <v>20190312161148296</v>
      </c>
      <c r="B6644" t="str">
        <f>"1552378308283762"</f>
        <v>1552378308283762</v>
      </c>
      <c r="C6644" t="s">
        <v>40</v>
      </c>
      <c r="D6644">
        <v>5.2702119999999999</v>
      </c>
      <c r="E6644">
        <v>0.5565158</v>
      </c>
      <c r="F6644" t="s">
        <v>42</v>
      </c>
      <c r="G6644">
        <v>-198.94380000000001</v>
      </c>
      <c r="H6644">
        <v>0.90984609999999999</v>
      </c>
      <c r="I6644">
        <v>-60.463909999999998</v>
      </c>
      <c r="J6644">
        <v>-199.6823</v>
      </c>
      <c r="K6644">
        <v>1.112144</v>
      </c>
      <c r="L6644">
        <v>-60.512819999999998</v>
      </c>
      <c r="M6644">
        <v>0.96934010000000004</v>
      </c>
      <c r="N6644">
        <v>0</v>
      </c>
      <c r="O6644">
        <v>0.24531030000000001</v>
      </c>
      <c r="P6644">
        <v>0.97270279999999998</v>
      </c>
      <c r="Q6644">
        <v>-3.4453959999999999E-2</v>
      </c>
      <c r="R6644">
        <v>0.2294832</v>
      </c>
      <c r="S6644">
        <v>2.9956360000000002</v>
      </c>
      <c r="T6644">
        <v>-0.73928899999999997</v>
      </c>
      <c r="U6644">
        <v>0.26062010000000002</v>
      </c>
      <c r="V6644">
        <v>1.6258000000000002E-2</v>
      </c>
      <c r="W6644">
        <v>-2.0149650000000002E-2</v>
      </c>
      <c r="X6644">
        <v>0.99966480000000002</v>
      </c>
      <c r="Y6644">
        <v>0.14882779999999901</v>
      </c>
      <c r="Z6644">
        <v>-7.6980019999999996E-2</v>
      </c>
      <c r="AA6644">
        <v>0.98586229999999997</v>
      </c>
      <c r="AB6644">
        <v>18</v>
      </c>
      <c r="AC6644">
        <v>0.73849999999998694</v>
      </c>
      <c r="AD6644">
        <v>-0.2022979</v>
      </c>
      <c r="AE6644">
        <v>4.8909999999999301E-2</v>
      </c>
      <c r="AF6644">
        <v>0.12446589028939201</v>
      </c>
      <c r="AG6644">
        <v>-0.2022979</v>
      </c>
      <c r="AH6644">
        <v>0.67732623806227099</v>
      </c>
      <c r="AI6644">
        <v>106.370295907139</v>
      </c>
      <c r="AJ6644">
        <v>79.587458289490201</v>
      </c>
      <c r="AK6644">
        <v>0.71776530353419099</v>
      </c>
      <c r="AL6644">
        <v>91.154568015030904</v>
      </c>
      <c r="AM6644">
        <v>89.068255011233106</v>
      </c>
      <c r="AN6644">
        <v>1.0000000216590801</v>
      </c>
    </row>
    <row r="6645" spans="1:40" x14ac:dyDescent="0.25">
      <c r="A6645" t="str">
        <f>"20190312161148308"</f>
        <v>20190312161148308</v>
      </c>
      <c r="B6645" t="str">
        <f>"1552378308304258"</f>
        <v>1552378308304258</v>
      </c>
      <c r="C6645" t="s">
        <v>40</v>
      </c>
      <c r="D6645">
        <v>5.2787030000000001</v>
      </c>
      <c r="E6645">
        <v>0.55609790000000003</v>
      </c>
      <c r="F6645" t="s">
        <v>42</v>
      </c>
      <c r="G6645">
        <v>-198.9401</v>
      </c>
      <c r="H6645">
        <v>0.92880399999999996</v>
      </c>
      <c r="I6645">
        <v>-60.446530000000003</v>
      </c>
      <c r="J6645">
        <v>-199.59309999999999</v>
      </c>
      <c r="K6645">
        <v>1.11216</v>
      </c>
      <c r="L6645">
        <v>-60.488100000000003</v>
      </c>
      <c r="M6645">
        <v>0.96888410000000003</v>
      </c>
      <c r="N6645">
        <v>0</v>
      </c>
      <c r="O6645">
        <v>0.24710509999999999</v>
      </c>
      <c r="P6645">
        <v>0.97221729999999995</v>
      </c>
      <c r="Q6645">
        <v>-3.4648819999999997E-2</v>
      </c>
      <c r="R6645">
        <v>0.23150180000000001</v>
      </c>
      <c r="S6645">
        <v>2.9948730000000001</v>
      </c>
      <c r="T6645">
        <v>-0.73978350000000004</v>
      </c>
      <c r="U6645">
        <v>0.26745609999999997</v>
      </c>
      <c r="V6645">
        <v>1.6034619999999999E-2</v>
      </c>
      <c r="W6645">
        <v>-2.03453E-2</v>
      </c>
      <c r="X6645">
        <v>0.99966440000000001</v>
      </c>
      <c r="Y6645">
        <v>0.148347799999999</v>
      </c>
      <c r="Z6645">
        <v>-7.7402319999999997E-2</v>
      </c>
      <c r="AA6645">
        <v>0.98590149999999999</v>
      </c>
      <c r="AB6645">
        <v>18</v>
      </c>
      <c r="AC6645">
        <v>0.65299999999999103</v>
      </c>
      <c r="AD6645">
        <v>-0.18335599999999999</v>
      </c>
      <c r="AE6645">
        <v>4.15700000000001E-2</v>
      </c>
      <c r="AF6645">
        <v>0.112278714605973</v>
      </c>
      <c r="AG6645">
        <v>-0.18335599999999999</v>
      </c>
      <c r="AH6645">
        <v>0.59620193885650996</v>
      </c>
      <c r="AI6645">
        <v>106.816257515183</v>
      </c>
      <c r="AJ6645">
        <v>79.334782151938299</v>
      </c>
      <c r="AK6645">
        <v>0.63378441475460001</v>
      </c>
      <c r="AL6645">
        <v>91.165780285297302</v>
      </c>
      <c r="AM6645">
        <v>89.081054327184006</v>
      </c>
      <c r="AN6645">
        <v>0.99999997644899696</v>
      </c>
    </row>
    <row r="6646" spans="1:40" x14ac:dyDescent="0.25">
      <c r="A6646" t="str">
        <f>"20190312161148318"</f>
        <v>20190312161148318</v>
      </c>
      <c r="B6646" t="str">
        <f>"1552378308314018"</f>
        <v>1552378308314018</v>
      </c>
      <c r="C6646" t="s">
        <v>40</v>
      </c>
      <c r="D6646">
        <v>5.2874629999999998</v>
      </c>
      <c r="E6646">
        <v>0.55584449999999996</v>
      </c>
      <c r="F6646" t="s">
        <v>42</v>
      </c>
      <c r="G6646">
        <v>-198.7877</v>
      </c>
      <c r="H6646">
        <v>0.91409739999999995</v>
      </c>
      <c r="I6646">
        <v>-60.413710000000002</v>
      </c>
      <c r="J6646">
        <v>-199.5035</v>
      </c>
      <c r="K6646">
        <v>1.112171</v>
      </c>
      <c r="L6646">
        <v>-60.463009999999997</v>
      </c>
      <c r="M6646">
        <v>0.9684161</v>
      </c>
      <c r="N6646">
        <v>0</v>
      </c>
      <c r="O6646">
        <v>0.24893299999999999</v>
      </c>
      <c r="P6646">
        <v>0.97170959999999995</v>
      </c>
      <c r="Q6646">
        <v>-3.4722099999999999E-2</v>
      </c>
      <c r="R6646">
        <v>0.23361290000000001</v>
      </c>
      <c r="S6646">
        <v>2.9935299999999998</v>
      </c>
      <c r="T6646">
        <v>-0.7364233</v>
      </c>
      <c r="U6646">
        <v>0.27691650000000001</v>
      </c>
      <c r="V6646">
        <v>1.575029E-2</v>
      </c>
      <c r="W6646">
        <v>-2.0419389999999999E-2</v>
      </c>
      <c r="X6646">
        <v>0.99966739999999998</v>
      </c>
      <c r="Y6646">
        <v>0.14716379999999901</v>
      </c>
      <c r="Z6646">
        <v>-7.736374E-2</v>
      </c>
      <c r="AA6646">
        <v>0.98608200000000001</v>
      </c>
      <c r="AB6646">
        <v>18</v>
      </c>
      <c r="AC6646">
        <v>0.71580000000000099</v>
      </c>
      <c r="AD6646">
        <v>-0.19807359999999999</v>
      </c>
      <c r="AE6646">
        <v>4.93000000000023E-2</v>
      </c>
      <c r="AF6646">
        <v>0.12121843313326799</v>
      </c>
      <c r="AG6646">
        <v>-0.19807359999999999</v>
      </c>
      <c r="AH6646">
        <v>0.65557449334032603</v>
      </c>
      <c r="AI6646">
        <v>106.546750247983</v>
      </c>
      <c r="AJ6646">
        <v>79.524092967034903</v>
      </c>
      <c r="AK6646">
        <v>0.69548901922796103</v>
      </c>
      <c r="AL6646">
        <v>91.170026222963699</v>
      </c>
      <c r="AM6646">
        <v>89.097349295839095</v>
      </c>
      <c r="AN6646">
        <v>0.99999996687290704</v>
      </c>
    </row>
    <row r="6647" spans="1:40" x14ac:dyDescent="0.25">
      <c r="A6647" t="str">
        <f>"20190312161148330"</f>
        <v>20190312161148330</v>
      </c>
      <c r="B6647" t="str">
        <f>"1552378308323778"</f>
        <v>1552378308323778</v>
      </c>
      <c r="C6647" t="s">
        <v>40</v>
      </c>
      <c r="D6647">
        <v>5.4634799999999997</v>
      </c>
      <c r="E6647">
        <v>0.55636940000000001</v>
      </c>
      <c r="F6647" t="s">
        <v>42</v>
      </c>
      <c r="G6647">
        <v>-198.78380000000001</v>
      </c>
      <c r="H6647">
        <v>0.9347955</v>
      </c>
      <c r="I6647">
        <v>-60.394440000000003</v>
      </c>
      <c r="J6647">
        <v>-199.41720000000001</v>
      </c>
      <c r="K6647">
        <v>1.1121890000000001</v>
      </c>
      <c r="L6647">
        <v>-60.438630000000003</v>
      </c>
      <c r="M6647">
        <v>0.96795589999999998</v>
      </c>
      <c r="N6647">
        <v>0</v>
      </c>
      <c r="O6647">
        <v>0.2507163</v>
      </c>
      <c r="P6647">
        <v>0.97115019999999996</v>
      </c>
      <c r="Q6647">
        <v>-3.4780859999999997E-2</v>
      </c>
      <c r="R6647">
        <v>0.2359193</v>
      </c>
      <c r="S6647">
        <v>2.9923250000000001</v>
      </c>
      <c r="T6647">
        <v>-0.73770829999999998</v>
      </c>
      <c r="U6647">
        <v>0.28558349999999999</v>
      </c>
      <c r="V6647">
        <v>1.5219069999999999E-2</v>
      </c>
      <c r="W6647">
        <v>-2.0479890000000001E-2</v>
      </c>
      <c r="X6647">
        <v>0.99967439999999996</v>
      </c>
      <c r="Y6647">
        <v>0.14605389999999999</v>
      </c>
      <c r="Z6647">
        <v>-7.7794089999999996E-2</v>
      </c>
      <c r="AA6647">
        <v>0.98621309999999995</v>
      </c>
      <c r="AB6647">
        <v>18</v>
      </c>
      <c r="AC6647">
        <v>0.63339999999999397</v>
      </c>
      <c r="AD6647">
        <v>-0.17739349999999901</v>
      </c>
      <c r="AE6647">
        <v>4.4190000000000403E-2</v>
      </c>
      <c r="AF6647">
        <v>0.107639503754568</v>
      </c>
      <c r="AG6647">
        <v>-0.17739349999999901</v>
      </c>
      <c r="AH6647">
        <v>0.57904714703017601</v>
      </c>
      <c r="AI6647">
        <v>106.762007651663</v>
      </c>
      <c r="AJ6647">
        <v>79.469442874252493</v>
      </c>
      <c r="AK6647">
        <v>0.615101873753093</v>
      </c>
      <c r="AL6647">
        <v>91.173493332056097</v>
      </c>
      <c r="AM6647">
        <v>89.127794888747701</v>
      </c>
      <c r="AN6647">
        <v>0.99999997600071799</v>
      </c>
    </row>
    <row r="6648" spans="1:40" x14ac:dyDescent="0.25">
      <c r="A6648" t="str">
        <f>"20190312161148341"</f>
        <v>20190312161148341</v>
      </c>
      <c r="B6648" t="str">
        <f>"1552378308333539"</f>
        <v>1552378308333539</v>
      </c>
      <c r="C6648" t="s">
        <v>40</v>
      </c>
      <c r="D6648">
        <v>5.3092050000000004</v>
      </c>
      <c r="E6648">
        <v>0.55616080000000001</v>
      </c>
      <c r="F6648" t="s">
        <v>42</v>
      </c>
      <c r="G6648">
        <v>-198.63229999999999</v>
      </c>
      <c r="H6648">
        <v>0.91803469999999998</v>
      </c>
      <c r="I6648">
        <v>-60.36298</v>
      </c>
      <c r="J6648">
        <v>-199.33099999999999</v>
      </c>
      <c r="K6648">
        <v>1.1122099999999999</v>
      </c>
      <c r="L6648">
        <v>-60.414119999999997</v>
      </c>
      <c r="M6648">
        <v>0.96748860000000003</v>
      </c>
      <c r="N6648">
        <v>0</v>
      </c>
      <c r="O6648">
        <v>0.2525133</v>
      </c>
      <c r="P6648">
        <v>0.97057669999999996</v>
      </c>
      <c r="Q6648">
        <v>-3.4535749999999997E-2</v>
      </c>
      <c r="R6648">
        <v>0.23830229999999999</v>
      </c>
      <c r="S6648">
        <v>2.9925079999999999</v>
      </c>
      <c r="T6648">
        <v>-0.7403843</v>
      </c>
      <c r="U6648">
        <v>0.28860469999999999</v>
      </c>
      <c r="V6648">
        <v>1.462403E-2</v>
      </c>
      <c r="W6648">
        <v>-2.023662E-2</v>
      </c>
      <c r="X6648">
        <v>0.99968829999999997</v>
      </c>
      <c r="Y6648">
        <v>0.14675589999999999</v>
      </c>
      <c r="Z6648">
        <v>-7.8566739999999996E-2</v>
      </c>
      <c r="AA6648">
        <v>0.98604769999999997</v>
      </c>
      <c r="AB6648">
        <v>18</v>
      </c>
      <c r="AC6648">
        <v>0.69870000000000199</v>
      </c>
      <c r="AD6648">
        <v>-0.1941753</v>
      </c>
      <c r="AE6648">
        <v>5.1139999999989499E-2</v>
      </c>
      <c r="AF6648">
        <v>0.11790857137540001</v>
      </c>
      <c r="AG6648">
        <v>-0.1941753</v>
      </c>
      <c r="AH6648">
        <v>0.63981571810698301</v>
      </c>
      <c r="AI6648">
        <v>106.618290996803</v>
      </c>
      <c r="AJ6648">
        <v>79.558386306998997</v>
      </c>
      <c r="AK6648">
        <v>0.67894818025430503</v>
      </c>
      <c r="AL6648">
        <v>91.159552023737405</v>
      </c>
      <c r="AM6648">
        <v>89.161903327760598</v>
      </c>
      <c r="AN6648">
        <v>1.00000004009967</v>
      </c>
    </row>
    <row r="6649" spans="1:40" x14ac:dyDescent="0.25">
      <c r="A6649" t="str">
        <f>"20190312161148352"</f>
        <v>20190312161148352</v>
      </c>
      <c r="B6649" t="str">
        <f>"1552378308343298"</f>
        <v>1552378308343298</v>
      </c>
      <c r="C6649" t="s">
        <v>40</v>
      </c>
      <c r="D6649">
        <v>5.3019100000000003</v>
      </c>
      <c r="E6649">
        <v>0.55594399999999999</v>
      </c>
      <c r="F6649" t="s">
        <v>42</v>
      </c>
      <c r="G6649">
        <v>-198.6284</v>
      </c>
      <c r="H6649">
        <v>0.93844039999999995</v>
      </c>
      <c r="I6649">
        <v>-60.344279999999998</v>
      </c>
      <c r="J6649">
        <v>-199.24639999999999</v>
      </c>
      <c r="K6649">
        <v>1.1122339999999999</v>
      </c>
      <c r="L6649">
        <v>-60.389800000000001</v>
      </c>
      <c r="M6649">
        <v>0.96701749999999997</v>
      </c>
      <c r="N6649">
        <v>0</v>
      </c>
      <c r="O6649">
        <v>0.25431169999999997</v>
      </c>
      <c r="P6649">
        <v>0.96998510000000004</v>
      </c>
      <c r="Q6649">
        <v>-3.4158109999999998E-2</v>
      </c>
      <c r="R6649">
        <v>0.24075350000000001</v>
      </c>
      <c r="S6649">
        <v>2.9915470000000002</v>
      </c>
      <c r="T6649">
        <v>-0.73995100000000003</v>
      </c>
      <c r="U6649">
        <v>0.2975159</v>
      </c>
      <c r="V6649">
        <v>1.396008E-2</v>
      </c>
      <c r="W6649">
        <v>-1.9860800000000001E-2</v>
      </c>
      <c r="X6649">
        <v>0.99970530000000002</v>
      </c>
      <c r="Y6649">
        <v>0.145646</v>
      </c>
      <c r="Z6649">
        <v>-7.8818340000000001E-2</v>
      </c>
      <c r="AA6649">
        <v>0.98619210000000002</v>
      </c>
      <c r="AB6649">
        <v>18</v>
      </c>
      <c r="AC6649">
        <v>0.617999999999995</v>
      </c>
      <c r="AD6649">
        <v>-0.17379359999999899</v>
      </c>
      <c r="AE6649">
        <v>4.5519999999996202E-2</v>
      </c>
      <c r="AF6649">
        <v>0.104905822027294</v>
      </c>
      <c r="AG6649">
        <v>-0.17379359999999899</v>
      </c>
      <c r="AH6649">
        <v>0.56482690148728998</v>
      </c>
      <c r="AI6649">
        <v>106.831612599924</v>
      </c>
      <c r="AJ6649">
        <v>79.478294196426305</v>
      </c>
      <c r="AK6649">
        <v>0.60019902993916596</v>
      </c>
      <c r="AL6649">
        <v>91.138014828817006</v>
      </c>
      <c r="AM6649">
        <v>89.199962547370404</v>
      </c>
      <c r="AN6649">
        <v>1.00000001102916</v>
      </c>
    </row>
    <row r="6650" spans="1:40" x14ac:dyDescent="0.25">
      <c r="A6650" t="str">
        <f>"20190312161148362"</f>
        <v>20190312161148362</v>
      </c>
      <c r="B6650" t="str">
        <f>"1552378308354034"</f>
        <v>1552378308354034</v>
      </c>
      <c r="C6650" t="s">
        <v>40</v>
      </c>
      <c r="D6650">
        <v>5.3125289999999996</v>
      </c>
      <c r="E6650">
        <v>0.55586950000000002</v>
      </c>
      <c r="F6650" t="s">
        <v>42</v>
      </c>
      <c r="G6650">
        <v>-198.4777</v>
      </c>
      <c r="H6650">
        <v>0.92209680000000005</v>
      </c>
      <c r="I6650">
        <v>-60.310920000000003</v>
      </c>
      <c r="J6650">
        <v>-199.16329999999999</v>
      </c>
      <c r="K6650">
        <v>1.1122570000000001</v>
      </c>
      <c r="L6650">
        <v>-60.365810000000003</v>
      </c>
      <c r="M6650">
        <v>0.96654870000000004</v>
      </c>
      <c r="N6650">
        <v>0</v>
      </c>
      <c r="O6650">
        <v>0.25608779999999998</v>
      </c>
      <c r="P6650">
        <v>0.96941520000000003</v>
      </c>
      <c r="Q6650">
        <v>-3.4262460000000002E-2</v>
      </c>
      <c r="R6650">
        <v>0.24302309999999999</v>
      </c>
      <c r="S6650">
        <v>2.9905849999999998</v>
      </c>
      <c r="T6650">
        <v>-0.7397629</v>
      </c>
      <c r="U6650">
        <v>0.30694579999999999</v>
      </c>
      <c r="V6650">
        <v>1.345761E-2</v>
      </c>
      <c r="W6650">
        <v>-1.996649E-2</v>
      </c>
      <c r="X6650">
        <v>0.99971010000000005</v>
      </c>
      <c r="Y6650">
        <v>0.14434379999999999</v>
      </c>
      <c r="Z6650">
        <v>-7.9064819999999994E-2</v>
      </c>
      <c r="AA6650">
        <v>0.98636380000000001</v>
      </c>
      <c r="AB6650">
        <v>18</v>
      </c>
      <c r="AC6650">
        <v>0.68559999999999299</v>
      </c>
      <c r="AD6650">
        <v>-0.1901602</v>
      </c>
      <c r="AE6650">
        <v>5.48900000000003E-2</v>
      </c>
      <c r="AF6650">
        <v>0.113831065110979</v>
      </c>
      <c r="AG6650">
        <v>-0.1901602</v>
      </c>
      <c r="AH6650">
        <v>0.62873062618191999</v>
      </c>
      <c r="AI6650">
        <v>106.573670171722</v>
      </c>
      <c r="AJ6650">
        <v>79.737818670519999</v>
      </c>
      <c r="AK6650">
        <v>0.66664879310432201</v>
      </c>
      <c r="AL6650">
        <v>91.144071603580898</v>
      </c>
      <c r="AM6650">
        <v>89.228758732207197</v>
      </c>
      <c r="AN6650">
        <v>1.0000000260159201</v>
      </c>
    </row>
    <row r="6651" spans="1:40" x14ac:dyDescent="0.25">
      <c r="A6651" t="str">
        <f>"20190312161148375"</f>
        <v>20190312161148375</v>
      </c>
      <c r="B6651" t="str">
        <f>"1552378308363796"</f>
        <v>1552378308363796</v>
      </c>
      <c r="C6651" t="s">
        <v>40</v>
      </c>
      <c r="D6651">
        <v>5.2898680000000002</v>
      </c>
      <c r="E6651">
        <v>0.55590769999999901</v>
      </c>
      <c r="F6651" t="s">
        <v>42</v>
      </c>
      <c r="G6651">
        <v>-198.47380000000001</v>
      </c>
      <c r="H6651">
        <v>0.94161570000000006</v>
      </c>
      <c r="I6651">
        <v>-60.293370000000003</v>
      </c>
      <c r="J6651">
        <v>-199.0675</v>
      </c>
      <c r="K6651">
        <v>1.1122879999999999</v>
      </c>
      <c r="L6651">
        <v>-60.337829999999997</v>
      </c>
      <c r="M6651">
        <v>0.96599009999999996</v>
      </c>
      <c r="N6651">
        <v>0</v>
      </c>
      <c r="O6651">
        <v>0.2581869</v>
      </c>
      <c r="P6651">
        <v>0.96877550000000001</v>
      </c>
      <c r="Q6651">
        <v>-3.4313639999999999E-2</v>
      </c>
      <c r="R6651">
        <v>0.24555350000000001</v>
      </c>
      <c r="S6651">
        <v>2.9896850000000001</v>
      </c>
      <c r="T6651">
        <v>-0.74002860000000004</v>
      </c>
      <c r="U6651">
        <v>0.3142395</v>
      </c>
      <c r="V6651">
        <v>1.3020469999999999E-2</v>
      </c>
      <c r="W6651">
        <v>-2.0018009999999999E-2</v>
      </c>
      <c r="X6651">
        <v>0.99971489999999996</v>
      </c>
      <c r="Y6651">
        <v>0.14401920000000001</v>
      </c>
      <c r="Z6651">
        <v>-7.9555310000000004E-2</v>
      </c>
      <c r="AA6651">
        <v>0.98637189999999997</v>
      </c>
      <c r="AB6651">
        <v>18</v>
      </c>
      <c r="AC6651">
        <v>0.59369999999998402</v>
      </c>
      <c r="AD6651">
        <v>-0.1706723</v>
      </c>
      <c r="AE6651">
        <v>4.4460000000007903E-2</v>
      </c>
      <c r="AF6651">
        <v>0.101969061983523</v>
      </c>
      <c r="AG6651">
        <v>-0.1706723</v>
      </c>
      <c r="AH6651">
        <v>0.54061883161699598</v>
      </c>
      <c r="AI6651">
        <v>107.23535109795</v>
      </c>
      <c r="AJ6651">
        <v>79.318617417281402</v>
      </c>
      <c r="AK6651">
        <v>0.57601687882215302</v>
      </c>
      <c r="AL6651">
        <v>91.147024024773899</v>
      </c>
      <c r="AM6651">
        <v>89.253811461259204</v>
      </c>
      <c r="AN6651">
        <v>1.0000000673226901</v>
      </c>
    </row>
    <row r="6652" spans="1:40" x14ac:dyDescent="0.25">
      <c r="A6652" t="str">
        <f>"20190312161148386"</f>
        <v>20190312161148386</v>
      </c>
      <c r="B6652" t="str">
        <f>"1552378308373554"</f>
        <v>1552378308373554</v>
      </c>
      <c r="C6652" t="s">
        <v>40</v>
      </c>
      <c r="D6652">
        <v>5.2305229999999998</v>
      </c>
      <c r="E6652">
        <v>0.55460719999999997</v>
      </c>
      <c r="F6652" t="s">
        <v>42</v>
      </c>
      <c r="G6652">
        <v>-198.3229</v>
      </c>
      <c r="H6652">
        <v>0.92799830000000005</v>
      </c>
      <c r="I6652">
        <v>-60.257779999999997</v>
      </c>
      <c r="J6652">
        <v>-198.98650000000001</v>
      </c>
      <c r="K6652">
        <v>1.112311</v>
      </c>
      <c r="L6652">
        <v>-60.314030000000002</v>
      </c>
      <c r="M6652">
        <v>0.96551070000000005</v>
      </c>
      <c r="N6652">
        <v>0</v>
      </c>
      <c r="O6652">
        <v>0.25997399999999998</v>
      </c>
      <c r="P6652">
        <v>0.96820600000000001</v>
      </c>
      <c r="Q6652">
        <v>-3.4181429999999999E-2</v>
      </c>
      <c r="R6652">
        <v>0.24780849999999999</v>
      </c>
      <c r="S6652">
        <v>2.9889679999999998</v>
      </c>
      <c r="T6652">
        <v>-0.73997259999999998</v>
      </c>
      <c r="U6652">
        <v>0.3215942</v>
      </c>
      <c r="V6652">
        <v>1.2544659999999999E-2</v>
      </c>
      <c r="W6652">
        <v>-1.9886480000000002E-2</v>
      </c>
      <c r="X6652">
        <v>0.99972360000000005</v>
      </c>
      <c r="Y6652">
        <v>0.143392299999999</v>
      </c>
      <c r="Z6652">
        <v>-7.9896919999999996E-2</v>
      </c>
      <c r="AA6652">
        <v>0.98643559999999997</v>
      </c>
      <c r="AB6652">
        <v>18</v>
      </c>
      <c r="AC6652">
        <v>0.66360000000000197</v>
      </c>
      <c r="AD6652">
        <v>-0.1843127</v>
      </c>
      <c r="AE6652">
        <v>5.6249999999998503E-2</v>
      </c>
      <c r="AF6652">
        <v>0.109810074915243</v>
      </c>
      <c r="AG6652">
        <v>-0.1843127</v>
      </c>
      <c r="AH6652">
        <v>0.60877499734437501</v>
      </c>
      <c r="AI6652">
        <v>106.591510565004</v>
      </c>
      <c r="AJ6652">
        <v>79.775007760340898</v>
      </c>
      <c r="AK6652">
        <v>0.64547379600246002</v>
      </c>
      <c r="AL6652">
        <v>91.139486420982095</v>
      </c>
      <c r="AM6652">
        <v>89.281082938372094</v>
      </c>
      <c r="AN6652">
        <v>1.00000005848913</v>
      </c>
    </row>
    <row r="6653" spans="1:40" x14ac:dyDescent="0.25">
      <c r="A6653" t="str">
        <f>"20190312161148396"</f>
        <v>20190312161148396</v>
      </c>
      <c r="B6653" t="str">
        <f>"1552378308383314"</f>
        <v>1552378308383314</v>
      </c>
      <c r="C6653" t="s">
        <v>40</v>
      </c>
      <c r="D6653">
        <v>5.558141</v>
      </c>
      <c r="E6653">
        <v>0.55460719999999997</v>
      </c>
      <c r="F6653" t="s">
        <v>42</v>
      </c>
      <c r="G6653">
        <v>-198.1737</v>
      </c>
      <c r="H6653">
        <v>0.91171409999999997</v>
      </c>
      <c r="I6653">
        <v>-60.222019999999901</v>
      </c>
      <c r="J6653">
        <v>-198.90170000000001</v>
      </c>
      <c r="K6653">
        <v>1.112341</v>
      </c>
      <c r="L6653">
        <v>-60.288849999999996</v>
      </c>
      <c r="M6653">
        <v>0.96499330000000005</v>
      </c>
      <c r="N6653">
        <v>0</v>
      </c>
      <c r="O6653">
        <v>0.2618876</v>
      </c>
      <c r="P6653">
        <v>0.96758129999999998</v>
      </c>
      <c r="Q6653">
        <v>-3.424017E-2</v>
      </c>
      <c r="R6653">
        <v>0.25022830000000001</v>
      </c>
      <c r="S6653">
        <v>2.9859010000000001</v>
      </c>
      <c r="T6653">
        <v>-0.73709119999999995</v>
      </c>
      <c r="U6653">
        <v>0.3383179</v>
      </c>
      <c r="V6653">
        <v>1.2028580000000001E-2</v>
      </c>
      <c r="W6653">
        <v>-1.994572E-2</v>
      </c>
      <c r="X6653">
        <v>0.99972870000000003</v>
      </c>
      <c r="Y6653">
        <v>0.13991099999999901</v>
      </c>
      <c r="Z6653">
        <v>-7.9665079999999999E-2</v>
      </c>
      <c r="AA6653">
        <v>0.98695409999999995</v>
      </c>
      <c r="AB6653">
        <v>18</v>
      </c>
      <c r="AC6653">
        <v>0.72800000000000797</v>
      </c>
      <c r="AD6653">
        <v>-0.2006269</v>
      </c>
      <c r="AE6653">
        <v>6.6830000000002998E-2</v>
      </c>
      <c r="AF6653">
        <v>0.117339271675952</v>
      </c>
      <c r="AG6653">
        <v>-0.2006269</v>
      </c>
      <c r="AH6653">
        <v>0.66965615613000296</v>
      </c>
      <c r="AI6653">
        <v>106.441375953283</v>
      </c>
      <c r="AJ6653">
        <v>80.061348454405305</v>
      </c>
      <c r="AK6653">
        <v>0.70884344189945303</v>
      </c>
      <c r="AL6653">
        <v>91.142881367496997</v>
      </c>
      <c r="AM6653">
        <v>89.310659368238404</v>
      </c>
      <c r="AN6653">
        <v>0.99999999604341205</v>
      </c>
    </row>
    <row r="6654" spans="1:40" x14ac:dyDescent="0.25">
      <c r="A6654" t="str">
        <f>"20190312161148408"</f>
        <v>20190312161148408</v>
      </c>
      <c r="B6654" t="str">
        <f>"1552378308403810"</f>
        <v>1552378308403810</v>
      </c>
      <c r="C6654" t="s">
        <v>40</v>
      </c>
      <c r="D6654">
        <v>5.105728</v>
      </c>
      <c r="E6654">
        <v>0.49415829999999999</v>
      </c>
      <c r="F6654" t="s">
        <v>42</v>
      </c>
      <c r="G6654">
        <v>-198.16980000000001</v>
      </c>
      <c r="H6654">
        <v>0.9316508</v>
      </c>
      <c r="I6654">
        <v>-60.2042</v>
      </c>
      <c r="J6654">
        <v>-198.815</v>
      </c>
      <c r="K6654">
        <v>1.112374</v>
      </c>
      <c r="L6654">
        <v>-60.262880000000003</v>
      </c>
      <c r="M6654">
        <v>0.96445440000000004</v>
      </c>
      <c r="N6654">
        <v>0</v>
      </c>
      <c r="O6654">
        <v>0.26386520000000002</v>
      </c>
      <c r="P6654">
        <v>0.96693119999999999</v>
      </c>
      <c r="Q6654">
        <v>-3.4347009999999997E-2</v>
      </c>
      <c r="R6654">
        <v>0.25271349999999998</v>
      </c>
      <c r="S6654">
        <v>2.9850460000000001</v>
      </c>
      <c r="T6654">
        <v>-0.73711369999999998</v>
      </c>
      <c r="U6654">
        <v>0.34558109999999997</v>
      </c>
      <c r="V6654">
        <v>1.151051E-2</v>
      </c>
      <c r="W6654">
        <v>-2.0053029999999999E-2</v>
      </c>
      <c r="X6654">
        <v>0.99973270000000003</v>
      </c>
      <c r="Y6654">
        <v>0.1394907</v>
      </c>
      <c r="Z6654">
        <v>-8.0085740000000002E-2</v>
      </c>
      <c r="AA6654">
        <v>0.98697950000000001</v>
      </c>
      <c r="AB6654">
        <v>18</v>
      </c>
      <c r="AC6654">
        <v>0.64519999999998801</v>
      </c>
      <c r="AD6654">
        <v>-0.1807232</v>
      </c>
      <c r="AE6654">
        <v>5.8680000000002501E-2</v>
      </c>
      <c r="AF6654">
        <v>0.105457064695426</v>
      </c>
      <c r="AG6654">
        <v>-0.1807232</v>
      </c>
      <c r="AH6654">
        <v>0.59176618975232298</v>
      </c>
      <c r="AI6654">
        <v>106.733902265495</v>
      </c>
      <c r="AJ6654">
        <v>79.895547013023105</v>
      </c>
      <c r="AK6654">
        <v>0.627669730707478</v>
      </c>
      <c r="AL6654">
        <v>91.149030952888197</v>
      </c>
      <c r="AM6654">
        <v>89.340349171833793</v>
      </c>
      <c r="AN6654">
        <v>1.00000004365096</v>
      </c>
    </row>
    <row r="6655" spans="1:40" x14ac:dyDescent="0.25">
      <c r="A6655" t="str">
        <f>"20190312161148419"</f>
        <v>20190312161148419</v>
      </c>
      <c r="B6655" t="str">
        <f>"1552378308413570"</f>
        <v>1552378308413570</v>
      </c>
      <c r="C6655" t="s">
        <v>40</v>
      </c>
      <c r="D6655">
        <v>5.1466979999999998</v>
      </c>
      <c r="E6655">
        <v>0.41728969999999999</v>
      </c>
      <c r="F6655" t="s">
        <v>42</v>
      </c>
      <c r="G6655">
        <v>-198.03710000000001</v>
      </c>
      <c r="H6655">
        <v>0.95316089999999998</v>
      </c>
      <c r="I6655">
        <v>-60.041620000000002</v>
      </c>
      <c r="J6655">
        <v>-198.72890000000001</v>
      </c>
      <c r="K6655">
        <v>1.112401</v>
      </c>
      <c r="L6655">
        <v>-60.236879999999999</v>
      </c>
      <c r="M6655">
        <v>0.96390690000000001</v>
      </c>
      <c r="N6655">
        <v>0</v>
      </c>
      <c r="O6655">
        <v>0.2658587</v>
      </c>
      <c r="P6655">
        <v>0.96629240000000005</v>
      </c>
      <c r="Q6655">
        <v>-3.4030730000000002E-2</v>
      </c>
      <c r="R6655">
        <v>0.25518839999999998</v>
      </c>
      <c r="S6655">
        <v>2.8685459999999998</v>
      </c>
      <c r="T6655">
        <v>-0.5870377</v>
      </c>
      <c r="U6655">
        <v>0.81573490000000004</v>
      </c>
      <c r="V6655">
        <v>1.1020820000000001E-2</v>
      </c>
      <c r="W6655">
        <v>-1.9736819999999999E-2</v>
      </c>
      <c r="X6655">
        <v>0.99974450000000004</v>
      </c>
      <c r="Y6655">
        <v>-1.261254E-2</v>
      </c>
      <c r="Z6655">
        <v>-5.06203E-2</v>
      </c>
      <c r="AA6655">
        <v>0.99863829999999998</v>
      </c>
      <c r="AB6655">
        <v>18</v>
      </c>
      <c r="AC6655">
        <v>0.69179999999999997</v>
      </c>
      <c r="AD6655">
        <v>-0.159240099999999</v>
      </c>
      <c r="AE6655">
        <v>0.19526000000001101</v>
      </c>
      <c r="AF6655">
        <v>-4.0910802425958501E-3</v>
      </c>
      <c r="AG6655">
        <v>-0.159240099999999</v>
      </c>
      <c r="AH6655">
        <v>0.68518992049993899</v>
      </c>
      <c r="AI6655">
        <v>103.083227440383</v>
      </c>
      <c r="AJ6655">
        <v>90.342093249125696</v>
      </c>
      <c r="AK6655">
        <v>0.70346241800132703</v>
      </c>
      <c r="AL6655">
        <v>91.130909880723607</v>
      </c>
      <c r="AM6655">
        <v>89.368417734003003</v>
      </c>
      <c r="AN6655">
        <v>1.00000003290871</v>
      </c>
    </row>
    <row r="6656" spans="1:40" x14ac:dyDescent="0.25">
      <c r="A6656" t="str">
        <f>"20190312161148432"</f>
        <v>20190312161148432</v>
      </c>
      <c r="B6656" t="str">
        <f>"1552378308423330"</f>
        <v>1552378308423330</v>
      </c>
      <c r="C6656" t="s">
        <v>40</v>
      </c>
      <c r="D6656">
        <v>5.265911</v>
      </c>
      <c r="E6656">
        <v>0.40766999999999998</v>
      </c>
      <c r="F6656" t="s">
        <v>78</v>
      </c>
      <c r="G6656">
        <v>-187.56610000000001</v>
      </c>
      <c r="H6656" s="1">
        <v>-1.158321E-5</v>
      </c>
      <c r="I6656">
        <v>-54.465159999999997</v>
      </c>
      <c r="J6656">
        <v>-198.6414</v>
      </c>
      <c r="K6656">
        <v>1.1124309999999999</v>
      </c>
      <c r="L6656">
        <v>-60.210209999999996</v>
      </c>
      <c r="M6656">
        <v>0.96333619999999998</v>
      </c>
      <c r="N6656">
        <v>0</v>
      </c>
      <c r="O6656">
        <v>0.2679185</v>
      </c>
      <c r="P6656">
        <v>0.96566320000000005</v>
      </c>
      <c r="Q6656">
        <v>-3.3627490000000003E-2</v>
      </c>
      <c r="R6656">
        <v>0.2576116</v>
      </c>
      <c r="S6656">
        <v>2.7232509999999999</v>
      </c>
      <c r="T6656">
        <v>-0.27138069999999997</v>
      </c>
      <c r="U6656">
        <v>1.4080509999999999</v>
      </c>
      <c r="V6656">
        <v>1.0653309999999999E-2</v>
      </c>
      <c r="W6656">
        <v>-1.9332990000000001E-2</v>
      </c>
      <c r="X6656">
        <v>0.99975630000000004</v>
      </c>
      <c r="Y6656">
        <v>-0.20469970000000001</v>
      </c>
      <c r="Z6656">
        <v>-1.486548E-2</v>
      </c>
      <c r="AA6656">
        <v>0.97871200000000003</v>
      </c>
      <c r="AB6656">
        <v>18</v>
      </c>
      <c r="AC6656">
        <v>11.0753</v>
      </c>
      <c r="AD6656">
        <v>-1.11244258321</v>
      </c>
      <c r="AE6656">
        <v>5.7450499999999902</v>
      </c>
      <c r="AF6656">
        <v>-2.54714821218086</v>
      </c>
      <c r="AG6656">
        <v>-1.11244258321</v>
      </c>
      <c r="AH6656">
        <v>12.113383223744</v>
      </c>
      <c r="AI6656">
        <v>95.135402631236005</v>
      </c>
      <c r="AJ6656">
        <v>101.874898810708</v>
      </c>
      <c r="AK6656">
        <v>12.4281754751467</v>
      </c>
      <c r="AL6656">
        <v>91.107767793084804</v>
      </c>
      <c r="AM6656">
        <v>89.389484617897594</v>
      </c>
      <c r="AN6656">
        <v>0.99999995845299205</v>
      </c>
    </row>
    <row r="6657" spans="1:40" x14ac:dyDescent="0.25">
      <c r="A6657" t="str">
        <f>"20190312161148443"</f>
        <v>20190312161148443</v>
      </c>
      <c r="B6657" t="str">
        <f>"1552378308434067"</f>
        <v>1552378308434067</v>
      </c>
      <c r="C6657" t="s">
        <v>40</v>
      </c>
      <c r="D6657">
        <v>5.2531420000000004</v>
      </c>
      <c r="E6657">
        <v>0.40060279999999998</v>
      </c>
      <c r="F6657" t="s">
        <v>78</v>
      </c>
      <c r="G6657">
        <v>-186.10849999999999</v>
      </c>
      <c r="H6657" s="1">
        <v>-1.1517520000000001E-5</v>
      </c>
      <c r="I6657">
        <v>-53.305149999999998</v>
      </c>
      <c r="J6657">
        <v>-198.5489</v>
      </c>
      <c r="K6657">
        <v>1.1124639999999999</v>
      </c>
      <c r="L6657">
        <v>-60.181789999999999</v>
      </c>
      <c r="M6657">
        <v>0.96272210000000003</v>
      </c>
      <c r="N6657">
        <v>0</v>
      </c>
      <c r="O6657">
        <v>0.2701173</v>
      </c>
      <c r="P6657">
        <v>0.96502469999999996</v>
      </c>
      <c r="Q6657">
        <v>-3.3437939999999999E-2</v>
      </c>
      <c r="R6657">
        <v>0.26001770000000002</v>
      </c>
      <c r="S6657">
        <v>2.7012939999999999</v>
      </c>
      <c r="T6657">
        <v>-0.2397705</v>
      </c>
      <c r="U6657">
        <v>1.488281</v>
      </c>
      <c r="V6657">
        <v>1.044634E-2</v>
      </c>
      <c r="W6657">
        <v>-1.9142079999999999E-2</v>
      </c>
      <c r="X6657">
        <v>0.99976220000000005</v>
      </c>
      <c r="Y6657">
        <v>-0.2281136</v>
      </c>
      <c r="Z6657">
        <v>-1.2330509999999999E-2</v>
      </c>
      <c r="AA6657">
        <v>0.97355650000000005</v>
      </c>
      <c r="AB6657">
        <v>18</v>
      </c>
      <c r="AC6657">
        <v>12.4404</v>
      </c>
      <c r="AD6657">
        <v>-1.1124755175199901</v>
      </c>
      <c r="AE6657">
        <v>6.8766400000000001</v>
      </c>
      <c r="AF6657">
        <v>-3.2404085907072799</v>
      </c>
      <c r="AG6657">
        <v>-1.1124755175199901</v>
      </c>
      <c r="AH6657">
        <v>13.7513212353865</v>
      </c>
      <c r="AI6657">
        <v>94.502343443283607</v>
      </c>
      <c r="AJ6657">
        <v>103.25948298646399</v>
      </c>
      <c r="AK6657">
        <v>14.1716860440317</v>
      </c>
      <c r="AL6657">
        <v>91.096827384179704</v>
      </c>
      <c r="AM6657">
        <v>89.401348227957001</v>
      </c>
      <c r="AN6657">
        <v>1.0000000008974801</v>
      </c>
    </row>
    <row r="6658" spans="1:40" x14ac:dyDescent="0.25">
      <c r="A6658" t="str">
        <f>"20190312161148466"</f>
        <v>20190312161148466</v>
      </c>
      <c r="B6658" t="str">
        <f>"1552378308453586"</f>
        <v>1552378308453586</v>
      </c>
      <c r="C6658" t="s">
        <v>40</v>
      </c>
      <c r="D6658">
        <v>5.2279920000000004</v>
      </c>
      <c r="E6658">
        <v>0.39551560000000002</v>
      </c>
      <c r="F6658" t="s">
        <v>78</v>
      </c>
      <c r="G6658">
        <v>-184.4659</v>
      </c>
      <c r="H6658" s="1">
        <v>-1.1398640000000001E-5</v>
      </c>
      <c r="I6658">
        <v>-52.054949999999998</v>
      </c>
      <c r="J6658">
        <v>-198.3802</v>
      </c>
      <c r="K6658">
        <v>1.112522</v>
      </c>
      <c r="L6658">
        <v>-60.129150000000003</v>
      </c>
      <c r="M6658">
        <v>0.96155489999999999</v>
      </c>
      <c r="N6658">
        <v>0</v>
      </c>
      <c r="O6658">
        <v>0.27424280000000001</v>
      </c>
      <c r="P6658">
        <v>0.9639702</v>
      </c>
      <c r="Q6658">
        <v>-3.2798630000000002E-2</v>
      </c>
      <c r="R6658">
        <v>0.26398080000000002</v>
      </c>
      <c r="S6658">
        <v>2.6840670000000002</v>
      </c>
      <c r="T6658">
        <v>-0.21202599999999999</v>
      </c>
      <c r="U6658">
        <v>1.548889</v>
      </c>
      <c r="V6658">
        <v>1.063006E-2</v>
      </c>
      <c r="W6658">
        <v>-1.8496930000000002E-2</v>
      </c>
      <c r="X6658">
        <v>0.99977240000000001</v>
      </c>
      <c r="Y6658">
        <v>-0.24315320000000001</v>
      </c>
      <c r="Z6658">
        <v>-1.0631109999999999E-2</v>
      </c>
      <c r="AA6658">
        <v>0.96992959999999995</v>
      </c>
      <c r="AB6658">
        <v>18</v>
      </c>
      <c r="AC6658">
        <v>13.9142999999999</v>
      </c>
      <c r="AD6658">
        <v>-1.1125333986399999</v>
      </c>
      <c r="AE6658">
        <v>8.0741999999999994</v>
      </c>
      <c r="AF6658">
        <v>-3.9294977861964702</v>
      </c>
      <c r="AG6658">
        <v>-1.1125333986399999</v>
      </c>
      <c r="AH6658">
        <v>15.5210077692164</v>
      </c>
      <c r="AI6658">
        <v>93.974914031105598</v>
      </c>
      <c r="AJ6658">
        <v>104.207212703332</v>
      </c>
      <c r="AK6658">
        <v>16.0493104396073</v>
      </c>
      <c r="AL6658">
        <v>91.059856471933998</v>
      </c>
      <c r="AM6658">
        <v>89.390826727880196</v>
      </c>
      <c r="AN6658">
        <v>0.99999999319839405</v>
      </c>
    </row>
    <row r="6659" spans="1:40" x14ac:dyDescent="0.25">
      <c r="A6659" t="str">
        <f>"20190312161148476"</f>
        <v>20190312161148476</v>
      </c>
      <c r="B6659" t="str">
        <f>"1552378308463346"</f>
        <v>1552378308463346</v>
      </c>
      <c r="C6659" t="s">
        <v>40</v>
      </c>
      <c r="D6659">
        <v>5.1502800000000004</v>
      </c>
      <c r="E6659">
        <v>0.39463710000000002</v>
      </c>
      <c r="F6659" t="s">
        <v>78</v>
      </c>
      <c r="G6659">
        <v>-182.17689999999999</v>
      </c>
      <c r="H6659" s="1">
        <v>-1.1270369999999999E-5</v>
      </c>
      <c r="I6659">
        <v>-50.422370000000001</v>
      </c>
      <c r="J6659">
        <v>-198.3039</v>
      </c>
      <c r="K6659">
        <v>1.1125480000000001</v>
      </c>
      <c r="L6659">
        <v>-60.104979999999998</v>
      </c>
      <c r="M6659">
        <v>0.96100620000000003</v>
      </c>
      <c r="N6659">
        <v>0</v>
      </c>
      <c r="O6659">
        <v>0.27615980000000001</v>
      </c>
      <c r="P6659">
        <v>0.96346050000000005</v>
      </c>
      <c r="Q6659">
        <v>-3.2514380000000002E-2</v>
      </c>
      <c r="R6659">
        <v>0.265870099999999</v>
      </c>
      <c r="S6659">
        <v>2.6681520000000001</v>
      </c>
      <c r="T6659">
        <v>-0.1831979</v>
      </c>
      <c r="U6659">
        <v>1.5983889999999901</v>
      </c>
      <c r="V6659">
        <v>1.066607E-2</v>
      </c>
      <c r="W6659">
        <v>-1.8210049999999998E-2</v>
      </c>
      <c r="X6659">
        <v>0.99977729999999998</v>
      </c>
      <c r="Y6659">
        <v>-0.25701049999999998</v>
      </c>
      <c r="Z6659">
        <v>-8.8605639999999996E-3</v>
      </c>
      <c r="AA6659">
        <v>0.966368</v>
      </c>
      <c r="AB6659">
        <v>18</v>
      </c>
      <c r="AC6659">
        <v>16.126999999999999</v>
      </c>
      <c r="AD6659">
        <v>-1.11255927036999</v>
      </c>
      <c r="AE6659">
        <v>9.6826100000000004</v>
      </c>
      <c r="AF6659">
        <v>-4.8349973589701198</v>
      </c>
      <c r="AG6659">
        <v>-1.11255927036999</v>
      </c>
      <c r="AH6659">
        <v>18.110583081537602</v>
      </c>
      <c r="AI6659">
        <v>93.396675027575299</v>
      </c>
      <c r="AJ6659">
        <v>104.947686110982</v>
      </c>
      <c r="AK6659">
        <v>18.7778648185732</v>
      </c>
      <c r="AL6659">
        <v>91.0434166716025</v>
      </c>
      <c r="AM6659">
        <v>89.388766266727899</v>
      </c>
      <c r="AN6659">
        <v>1.00000001028276</v>
      </c>
    </row>
    <row r="6660" spans="1:40" x14ac:dyDescent="0.25">
      <c r="A6660" t="str">
        <f>"20190312161148485"</f>
        <v>20190312161148485</v>
      </c>
      <c r="B6660" t="str">
        <f>"1552378308474082"</f>
        <v>1552378308474082</v>
      </c>
      <c r="C6660" t="s">
        <v>40</v>
      </c>
      <c r="D6660">
        <v>5.1640759999999997</v>
      </c>
      <c r="E6660">
        <v>0.39396700000000001</v>
      </c>
      <c r="F6660" t="s">
        <v>78</v>
      </c>
      <c r="G6660">
        <v>-181.7542</v>
      </c>
      <c r="H6660" s="1">
        <v>-1.8786009999999999E-6</v>
      </c>
      <c r="I6660">
        <v>-50.09825</v>
      </c>
      <c r="J6660">
        <v>-198.22720000000001</v>
      </c>
      <c r="K6660">
        <v>1.112579</v>
      </c>
      <c r="L6660">
        <v>-60.080599999999997</v>
      </c>
      <c r="M6660">
        <v>0.96044799999999997</v>
      </c>
      <c r="N6660">
        <v>0</v>
      </c>
      <c r="O6660">
        <v>0.27809440000000002</v>
      </c>
      <c r="P6660">
        <v>0.96288390000000001</v>
      </c>
      <c r="Q6660">
        <v>-3.2535599999999998E-2</v>
      </c>
      <c r="R6660">
        <v>0.26794800000000002</v>
      </c>
      <c r="S6660">
        <v>2.6633450000000001</v>
      </c>
      <c r="T6660">
        <v>-0.1790427</v>
      </c>
      <c r="U6660">
        <v>1.610382</v>
      </c>
      <c r="V6660">
        <v>1.052341E-2</v>
      </c>
      <c r="W6660">
        <v>-1.8229780000000001E-2</v>
      </c>
      <c r="X6660">
        <v>0.99977839999999996</v>
      </c>
      <c r="Y6660">
        <v>-0.25902409999999998</v>
      </c>
      <c r="Z6660">
        <v>-8.7110769999999994E-3</v>
      </c>
      <c r="AA6660">
        <v>0.96583160000000001</v>
      </c>
      <c r="AB6660">
        <v>18</v>
      </c>
      <c r="AC6660">
        <v>16.472999999999999</v>
      </c>
      <c r="AD6660">
        <v>-1.1125808786010001</v>
      </c>
      <c r="AE6660">
        <v>9.9823499999999896</v>
      </c>
      <c r="AF6660">
        <v>-4.9903377623007197</v>
      </c>
      <c r="AG6660">
        <v>-1.1125808786010001</v>
      </c>
      <c r="AH6660">
        <v>18.53753576027</v>
      </c>
      <c r="AI6660">
        <v>93.316837597988595</v>
      </c>
      <c r="AJ6660">
        <v>105.06693984575099</v>
      </c>
      <c r="AK6660">
        <v>19.2297046065862</v>
      </c>
      <c r="AL6660">
        <v>91.044547359544694</v>
      </c>
      <c r="AM6660">
        <v>89.396941648787703</v>
      </c>
      <c r="AN6660">
        <v>0.99999995807171704</v>
      </c>
    </row>
    <row r="6661" spans="1:40" x14ac:dyDescent="0.25">
      <c r="A6661" t="str">
        <f>"20190312161148496"</f>
        <v>20190312161148496</v>
      </c>
      <c r="B6661" t="str">
        <f>"1552378308483842"</f>
        <v>1552378308483842</v>
      </c>
      <c r="C6661" t="s">
        <v>40</v>
      </c>
      <c r="D6661">
        <v>5.1342869999999996</v>
      </c>
      <c r="E6661">
        <v>0.39357550000000002</v>
      </c>
      <c r="F6661" t="s">
        <v>78</v>
      </c>
      <c r="G6661">
        <v>-181.58090000000001</v>
      </c>
      <c r="H6661" s="1">
        <v>-1.9400230000000001E-6</v>
      </c>
      <c r="I6661">
        <v>-49.929369999999999</v>
      </c>
      <c r="J6661">
        <v>-198.142</v>
      </c>
      <c r="K6661">
        <v>1.112603</v>
      </c>
      <c r="L6661">
        <v>-60.053190000000001</v>
      </c>
      <c r="M6661">
        <v>0.95981130000000003</v>
      </c>
      <c r="N6661">
        <v>0</v>
      </c>
      <c r="O6661">
        <v>0.28028380000000003</v>
      </c>
      <c r="P6661">
        <v>0.96237569999999995</v>
      </c>
      <c r="Q6661">
        <v>-3.2349419999999997E-2</v>
      </c>
      <c r="R6661">
        <v>0.26979049999999999</v>
      </c>
      <c r="S6661">
        <v>2.6584780000000001</v>
      </c>
      <c r="T6661">
        <v>-0.17768310000000001</v>
      </c>
      <c r="U6661">
        <v>1.6211850000000001</v>
      </c>
      <c r="V6661">
        <v>1.089125E-2</v>
      </c>
      <c r="W6661">
        <v>-1.8039019999999999E-2</v>
      </c>
      <c r="X6661">
        <v>0.99977800000000006</v>
      </c>
      <c r="Y6661">
        <v>-0.2604708</v>
      </c>
      <c r="Z6661">
        <v>-8.7289410000000005E-3</v>
      </c>
      <c r="AA6661">
        <v>0.96544220000000003</v>
      </c>
      <c r="AB6661">
        <v>18</v>
      </c>
      <c r="AC6661">
        <v>16.5610999999999</v>
      </c>
      <c r="AD6661">
        <v>-1.112604940023</v>
      </c>
      <c r="AE6661">
        <v>10.12382</v>
      </c>
      <c r="AF6661">
        <v>-5.0590426526402599</v>
      </c>
      <c r="AG6661">
        <v>-1.112604940023</v>
      </c>
      <c r="AH6661">
        <v>18.673623669395301</v>
      </c>
      <c r="AI6661">
        <v>93.291369950914998</v>
      </c>
      <c r="AJ6661">
        <v>105.15865001572899</v>
      </c>
      <c r="AK6661">
        <v>19.378751849899899</v>
      </c>
      <c r="AL6661">
        <v>91.033615736536703</v>
      </c>
      <c r="AM6661">
        <v>89.375863465984693</v>
      </c>
      <c r="AN6661">
        <v>1.0000000374265601</v>
      </c>
    </row>
    <row r="6662" spans="1:40" x14ac:dyDescent="0.25">
      <c r="A6662" t="str">
        <f>"20190312161148509"</f>
        <v>20190312161148509</v>
      </c>
      <c r="B6662" t="str">
        <f>"1552378308503364"</f>
        <v>1552378308503364</v>
      </c>
      <c r="C6662" t="s">
        <v>40</v>
      </c>
      <c r="D6662">
        <v>5.1283089999999998</v>
      </c>
      <c r="E6662">
        <v>0.39297609999999999</v>
      </c>
      <c r="F6662" t="s">
        <v>78</v>
      </c>
      <c r="G6662">
        <v>-181.3271</v>
      </c>
      <c r="H6662" s="1">
        <v>-1.998859E-6</v>
      </c>
      <c r="I6662">
        <v>-49.734659999999998</v>
      </c>
      <c r="J6662">
        <v>-198.05189999999999</v>
      </c>
      <c r="K6662">
        <v>1.11263</v>
      </c>
      <c r="L6662">
        <v>-60.023989999999998</v>
      </c>
      <c r="M6662">
        <v>0.95912520000000001</v>
      </c>
      <c r="N6662">
        <v>0</v>
      </c>
      <c r="O6662">
        <v>0.28262280000000001</v>
      </c>
      <c r="P6662">
        <v>0.96170770000000005</v>
      </c>
      <c r="Q6662">
        <v>-3.2618069999999999E-2</v>
      </c>
      <c r="R6662">
        <v>0.27212950000000002</v>
      </c>
      <c r="S6662">
        <v>2.6546780000000001</v>
      </c>
      <c r="T6662">
        <v>-0.175654799999999</v>
      </c>
      <c r="U6662">
        <v>1.629059</v>
      </c>
      <c r="V6662">
        <v>1.089791E-2</v>
      </c>
      <c r="W6662">
        <v>-1.8305040000000002E-2</v>
      </c>
      <c r="X6662">
        <v>0.99977300000000002</v>
      </c>
      <c r="Y6662">
        <v>-0.2608163</v>
      </c>
      <c r="Z6662">
        <v>-8.7541570000000003E-3</v>
      </c>
      <c r="AA6662">
        <v>0.96534880000000001</v>
      </c>
      <c r="AB6662">
        <v>18</v>
      </c>
      <c r="AC6662">
        <v>16.724799999999899</v>
      </c>
      <c r="AD6662">
        <v>-1.1126319988590001</v>
      </c>
      <c r="AE6662">
        <v>10.28933</v>
      </c>
      <c r="AF6662">
        <v>-5.1260111320912101</v>
      </c>
      <c r="AG6662">
        <v>-1.1126319988590001</v>
      </c>
      <c r="AH6662">
        <v>18.890453394823801</v>
      </c>
      <c r="AI6662">
        <v>93.253394282415101</v>
      </c>
      <c r="AJ6662">
        <v>105.181888931744</v>
      </c>
      <c r="AK6662">
        <v>19.6051822116811</v>
      </c>
      <c r="AL6662">
        <v>91.048860173210002</v>
      </c>
      <c r="AM6662">
        <v>89.375478713625398</v>
      </c>
      <c r="AN6662">
        <v>0.99999994523038305</v>
      </c>
    </row>
    <row r="6663" spans="1:40" x14ac:dyDescent="0.25">
      <c r="A6663" t="str">
        <f>"20190312161148519"</f>
        <v>20190312161148519</v>
      </c>
      <c r="B6663" t="str">
        <f>"1552378308514098"</f>
        <v>1552378308514098</v>
      </c>
      <c r="C6663" t="s">
        <v>40</v>
      </c>
      <c r="D6663">
        <v>5.0837250000000003</v>
      </c>
      <c r="E6663">
        <v>0.39289669999999999</v>
      </c>
      <c r="F6663" t="s">
        <v>78</v>
      </c>
      <c r="G6663">
        <v>-180.92169999999999</v>
      </c>
      <c r="H6663" s="1">
        <v>-2.094659E-6</v>
      </c>
      <c r="I6663">
        <v>-49.420479999999998</v>
      </c>
      <c r="J6663">
        <v>-197.96469999999999</v>
      </c>
      <c r="K6663">
        <v>1.1126549999999999</v>
      </c>
      <c r="L6663">
        <v>-59.995449999999998</v>
      </c>
      <c r="M6663">
        <v>0.95844600000000002</v>
      </c>
      <c r="N6663">
        <v>0</v>
      </c>
      <c r="O6663">
        <v>0.28491729999999998</v>
      </c>
      <c r="P6663">
        <v>0.96109719999999998</v>
      </c>
      <c r="Q6663">
        <v>-3.2562229999999998E-2</v>
      </c>
      <c r="R6663">
        <v>0.27428469999999999</v>
      </c>
      <c r="S6663">
        <v>2.6495359999999999</v>
      </c>
      <c r="T6663">
        <v>-0.17209089999999999</v>
      </c>
      <c r="U6663">
        <v>1.640045</v>
      </c>
      <c r="V6663">
        <v>1.10505E-2</v>
      </c>
      <c r="W6663">
        <v>-1.82457E-2</v>
      </c>
      <c r="X6663">
        <v>0.99977249999999995</v>
      </c>
      <c r="Y6663">
        <v>-0.26223999999999997</v>
      </c>
      <c r="Z6663">
        <v>-8.6649129999999998E-3</v>
      </c>
      <c r="AA6663">
        <v>0.96496380000000004</v>
      </c>
      <c r="AB6663">
        <v>18</v>
      </c>
      <c r="AC6663">
        <v>17.042999999999999</v>
      </c>
      <c r="AD6663">
        <v>-1.112657094659</v>
      </c>
      <c r="AE6663">
        <v>10.57497</v>
      </c>
      <c r="AF6663">
        <v>-5.2640298200874902</v>
      </c>
      <c r="AG6663">
        <v>-1.112657094659</v>
      </c>
      <c r="AH6663">
        <v>19.290391406386298</v>
      </c>
      <c r="AI6663">
        <v>93.184924002482504</v>
      </c>
      <c r="AJ6663">
        <v>105.263450660345</v>
      </c>
      <c r="AK6663">
        <v>20.026662636811199</v>
      </c>
      <c r="AL6663">
        <v>91.045459579236194</v>
      </c>
      <c r="AM6663">
        <v>89.366734702418995</v>
      </c>
      <c r="AN6663">
        <v>1.0000000354374901</v>
      </c>
    </row>
    <row r="6664" spans="1:40" x14ac:dyDescent="0.25">
      <c r="A6664" t="str">
        <f>"20190312161148531"</f>
        <v>20190312161148531</v>
      </c>
      <c r="B6664" t="str">
        <f>"1552378308523859"</f>
        <v>1552378308523859</v>
      </c>
      <c r="C6664" t="s">
        <v>40</v>
      </c>
      <c r="D6664">
        <v>5.0726360000000001</v>
      </c>
      <c r="E6664">
        <v>0.3928662</v>
      </c>
      <c r="F6664" t="s">
        <v>78</v>
      </c>
      <c r="G6664">
        <v>-180.78219999999999</v>
      </c>
      <c r="H6664" s="1">
        <v>-2.13373E-6</v>
      </c>
      <c r="I6664">
        <v>-49.30209</v>
      </c>
      <c r="J6664">
        <v>-197.88499999999999</v>
      </c>
      <c r="K6664">
        <v>1.112679</v>
      </c>
      <c r="L6664">
        <v>-59.969090000000001</v>
      </c>
      <c r="M6664">
        <v>0.95780980000000004</v>
      </c>
      <c r="N6664">
        <v>0</v>
      </c>
      <c r="O6664">
        <v>0.287049</v>
      </c>
      <c r="P6664">
        <v>0.96050659999999999</v>
      </c>
      <c r="Q6664">
        <v>-3.2521689999999999E-2</v>
      </c>
      <c r="R6664">
        <v>0.2763505</v>
      </c>
      <c r="S6664">
        <v>2.645721</v>
      </c>
      <c r="T6664">
        <v>-0.17132500000000001</v>
      </c>
      <c r="U6664">
        <v>1.6465449999999999</v>
      </c>
      <c r="V6664">
        <v>1.112637E-2</v>
      </c>
      <c r="W6664">
        <v>-1.820213E-2</v>
      </c>
      <c r="X6664">
        <v>0.99977240000000001</v>
      </c>
      <c r="Y6664">
        <v>-0.26242870000000001</v>
      </c>
      <c r="Z6664">
        <v>-8.7424259999999993E-3</v>
      </c>
      <c r="AA6664">
        <v>0.96491179999999999</v>
      </c>
      <c r="AB6664">
        <v>18</v>
      </c>
      <c r="AC6664">
        <v>17.102799999999998</v>
      </c>
      <c r="AD6664">
        <v>-1.11268113373</v>
      </c>
      <c r="AE6664">
        <v>10.667</v>
      </c>
      <c r="AF6664">
        <v>-5.2920289845620196</v>
      </c>
      <c r="AG6664">
        <v>-1.11268113373</v>
      </c>
      <c r="AH6664">
        <v>19.386083657719599</v>
      </c>
      <c r="AI6664">
        <v>93.169225086694496</v>
      </c>
      <c r="AJ6664">
        <v>105.268639213264</v>
      </c>
      <c r="AK6664">
        <v>20.126198589472999</v>
      </c>
      <c r="AL6664">
        <v>91.042962842554999</v>
      </c>
      <c r="AM6664">
        <v>89.362387153465704</v>
      </c>
      <c r="AN6664">
        <v>0.99999998272383595</v>
      </c>
    </row>
    <row r="6665" spans="1:40" x14ac:dyDescent="0.25">
      <c r="A6665" t="str">
        <f>"20190312161148545"</f>
        <v>20190312161148545</v>
      </c>
      <c r="B6665" t="str">
        <f>"1552378308533618"</f>
        <v>1552378308533618</v>
      </c>
      <c r="C6665" t="s">
        <v>40</v>
      </c>
      <c r="D6665">
        <v>5.0790519999999999</v>
      </c>
      <c r="E6665">
        <v>0.3927813</v>
      </c>
      <c r="F6665" t="s">
        <v>78</v>
      </c>
      <c r="G6665">
        <v>-180.6935</v>
      </c>
      <c r="H6665" s="1">
        <v>-2.16463E-6</v>
      </c>
      <c r="I6665">
        <v>-49.216529999999999</v>
      </c>
      <c r="J6665">
        <v>-197.78360000000001</v>
      </c>
      <c r="K6665">
        <v>1.1127100000000001</v>
      </c>
      <c r="L6665">
        <v>-59.935299999999998</v>
      </c>
      <c r="M6665">
        <v>0.9569839</v>
      </c>
      <c r="N6665">
        <v>0</v>
      </c>
      <c r="O6665">
        <v>0.2897904</v>
      </c>
      <c r="P6665">
        <v>0.95973629999999999</v>
      </c>
      <c r="Q6665">
        <v>-3.264885E-2</v>
      </c>
      <c r="R6665">
        <v>0.27899859999999999</v>
      </c>
      <c r="S6665">
        <v>2.6420750000000002</v>
      </c>
      <c r="T6665">
        <v>-0.1710014</v>
      </c>
      <c r="U6665">
        <v>1.652496</v>
      </c>
      <c r="V6665">
        <v>1.123248E-2</v>
      </c>
      <c r="W6665">
        <v>-1.832543E-2</v>
      </c>
      <c r="X6665">
        <v>0.99976900000000002</v>
      </c>
      <c r="Y6665">
        <v>-0.26183119999999999</v>
      </c>
      <c r="Z6665">
        <v>-8.8986789999999996E-3</v>
      </c>
      <c r="AA6665">
        <v>0.96507270000000001</v>
      </c>
      <c r="AB6665">
        <v>18</v>
      </c>
      <c r="AC6665">
        <v>17.0901</v>
      </c>
      <c r="AD6665">
        <v>-1.11271216463</v>
      </c>
      <c r="AE6665">
        <v>10.718769999999999</v>
      </c>
      <c r="AF6665">
        <v>-5.2895900360932799</v>
      </c>
      <c r="AG6665">
        <v>-1.11271216463</v>
      </c>
      <c r="AH6665">
        <v>19.4040919310589</v>
      </c>
      <c r="AI6665">
        <v>93.166682063275502</v>
      </c>
      <c r="AJ6665">
        <v>105.248426169639</v>
      </c>
      <c r="AK6665">
        <v>20.142906314140401</v>
      </c>
      <c r="AL6665">
        <v>91.0500285499336</v>
      </c>
      <c r="AM6665">
        <v>89.356304685641206</v>
      </c>
      <c r="AN6665">
        <v>1.0000000216763101</v>
      </c>
    </row>
    <row r="6666" spans="1:40" x14ac:dyDescent="0.25">
      <c r="A6666" t="str">
        <f>"20190312161148554"</f>
        <v>20190312161148554</v>
      </c>
      <c r="B6666" t="str">
        <f>"1552378308543378"</f>
        <v>1552378308543378</v>
      </c>
      <c r="C6666" t="s">
        <v>40</v>
      </c>
      <c r="D6666">
        <v>5.0772599999999999</v>
      </c>
      <c r="E6666">
        <v>0.3926963</v>
      </c>
      <c r="F6666" t="s">
        <v>78</v>
      </c>
      <c r="G6666">
        <v>-180.5291</v>
      </c>
      <c r="H6666" s="1">
        <v>-2.2129999999999998E-6</v>
      </c>
      <c r="I6666">
        <v>-49.073059999999998</v>
      </c>
      <c r="J6666">
        <v>-197.71109999999999</v>
      </c>
      <c r="K6666">
        <v>1.1127359999999999</v>
      </c>
      <c r="L6666">
        <v>-59.910829999999997</v>
      </c>
      <c r="M6666">
        <v>0.95637499999999998</v>
      </c>
      <c r="N6666">
        <v>0</v>
      </c>
      <c r="O6666">
        <v>0.29179339999999998</v>
      </c>
      <c r="P6666">
        <v>0.9590938</v>
      </c>
      <c r="Q6666">
        <v>-3.2348830000000002E-2</v>
      </c>
      <c r="R6666">
        <v>0.281234599999999</v>
      </c>
      <c r="S6666">
        <v>2.6374209999999998</v>
      </c>
      <c r="T6666">
        <v>-0.17008280000000001</v>
      </c>
      <c r="U6666">
        <v>1.660339</v>
      </c>
      <c r="V6666">
        <v>1.099806E-2</v>
      </c>
      <c r="W6666">
        <v>-1.8023850000000001E-2</v>
      </c>
      <c r="X6666">
        <v>0.99977709999999997</v>
      </c>
      <c r="Y6666">
        <v>-0.26263500000000001</v>
      </c>
      <c r="Z6666">
        <v>-8.9418569999999992E-3</v>
      </c>
      <c r="AA6666">
        <v>0.96485379999999998</v>
      </c>
      <c r="AB6666">
        <v>18</v>
      </c>
      <c r="AC6666">
        <v>17.181999999999899</v>
      </c>
      <c r="AD6666">
        <v>-1.1127382130000001</v>
      </c>
      <c r="AE6666">
        <v>10.837770000000001</v>
      </c>
      <c r="AF6666">
        <v>-5.3359128999265</v>
      </c>
      <c r="AG6666">
        <v>-1.1127382130000001</v>
      </c>
      <c r="AH6666">
        <v>19.5381970523067</v>
      </c>
      <c r="AI6666">
        <v>93.144665669143393</v>
      </c>
      <c r="AJ6666">
        <v>105.275079425339</v>
      </c>
      <c r="AK6666">
        <v>20.2842622952139</v>
      </c>
      <c r="AL6666">
        <v>91.032746422741297</v>
      </c>
      <c r="AM6666">
        <v>89.369742511038993</v>
      </c>
      <c r="AN6666">
        <v>1.0000000330884899</v>
      </c>
    </row>
    <row r="6667" spans="1:40" x14ac:dyDescent="0.25">
      <c r="A6667" t="str">
        <f>"20190312161148564"</f>
        <v>20190312161148564</v>
      </c>
      <c r="B6667" t="str">
        <f>"1552378308554115"</f>
        <v>1552378308554115</v>
      </c>
      <c r="C6667" t="s">
        <v>40</v>
      </c>
      <c r="D6667">
        <v>5.0446470000000003</v>
      </c>
      <c r="E6667">
        <v>0.39265919999999999</v>
      </c>
      <c r="F6667" t="s">
        <v>78</v>
      </c>
      <c r="G6667">
        <v>-180.19659999999999</v>
      </c>
      <c r="H6667" s="1">
        <v>-2.2865980000000002E-6</v>
      </c>
      <c r="I6667">
        <v>-48.823839999999997</v>
      </c>
      <c r="J6667">
        <v>-197.6403</v>
      </c>
      <c r="K6667">
        <v>1.112762</v>
      </c>
      <c r="L6667">
        <v>-59.886870000000002</v>
      </c>
      <c r="M6667">
        <v>0.95577500000000004</v>
      </c>
      <c r="N6667">
        <v>0</v>
      </c>
      <c r="O6667">
        <v>0.29375289999999998</v>
      </c>
      <c r="P6667">
        <v>0.9585437</v>
      </c>
      <c r="Q6667">
        <v>-3.2535769999999999E-2</v>
      </c>
      <c r="R6667">
        <v>0.28308220000000001</v>
      </c>
      <c r="S6667">
        <v>2.633499</v>
      </c>
      <c r="T6667">
        <v>-0.16731260000000001</v>
      </c>
      <c r="U6667">
        <v>1.6670529999999999</v>
      </c>
      <c r="V6667">
        <v>1.112084E-2</v>
      </c>
      <c r="W6667">
        <v>-1.8207569999999999E-2</v>
      </c>
      <c r="X6667">
        <v>0.99977240000000001</v>
      </c>
      <c r="Y6667">
        <v>-0.26306400000000002</v>
      </c>
      <c r="Z6667">
        <v>-8.8934949999999995E-3</v>
      </c>
      <c r="AA6667">
        <v>0.96473739999999997</v>
      </c>
      <c r="AB6667">
        <v>18</v>
      </c>
      <c r="AC6667">
        <v>17.4437</v>
      </c>
      <c r="AD6667">
        <v>-1.1127642865979901</v>
      </c>
      <c r="AE6667">
        <v>11.0630299999999</v>
      </c>
      <c r="AF6667">
        <v>-5.4344131459690699</v>
      </c>
      <c r="AG6667">
        <v>-1.1127642865979901</v>
      </c>
      <c r="AH6667">
        <v>19.866421581174301</v>
      </c>
      <c r="AI6667">
        <v>93.092534718438898</v>
      </c>
      <c r="AJ6667">
        <v>105.298860166577</v>
      </c>
      <c r="AK6667">
        <v>20.626337460624399</v>
      </c>
      <c r="AL6667">
        <v>91.043274544114396</v>
      </c>
      <c r="AM6667">
        <v>89.362704032030194</v>
      </c>
      <c r="AN6667">
        <v>1.0000000202446799</v>
      </c>
    </row>
    <row r="6668" spans="1:40" x14ac:dyDescent="0.25">
      <c r="A6668" t="str">
        <f>"20190312161148575"</f>
        <v>20190312161148575</v>
      </c>
      <c r="B6668" t="str">
        <f>"1552378308563875"</f>
        <v>1552378308563875</v>
      </c>
      <c r="C6668" t="s">
        <v>40</v>
      </c>
      <c r="D6668">
        <v>5.06142</v>
      </c>
      <c r="E6668">
        <v>0.39266570000000001</v>
      </c>
      <c r="F6668" t="s">
        <v>78</v>
      </c>
      <c r="G6668">
        <v>-180.0214</v>
      </c>
      <c r="H6668" s="1">
        <v>-2.3302039999999998E-6</v>
      </c>
      <c r="I6668">
        <v>-48.684330000000003</v>
      </c>
      <c r="J6668">
        <v>-197.55619999999999</v>
      </c>
      <c r="K6668">
        <v>1.1127910000000001</v>
      </c>
      <c r="L6668">
        <v>-59.857970000000002</v>
      </c>
      <c r="M6668">
        <v>0.95503979999999999</v>
      </c>
      <c r="N6668">
        <v>0</v>
      </c>
      <c r="O6668">
        <v>0.29613420000000001</v>
      </c>
      <c r="P6668">
        <v>0.9577987</v>
      </c>
      <c r="Q6668">
        <v>-3.2452450000000001E-2</v>
      </c>
      <c r="R6668">
        <v>0.28560229999999998</v>
      </c>
      <c r="S6668">
        <v>2.6302340000000002</v>
      </c>
      <c r="T6668">
        <v>-0.16611809999999999</v>
      </c>
      <c r="U6668">
        <v>1.672363</v>
      </c>
      <c r="V6668">
        <v>1.098477E-2</v>
      </c>
      <c r="W6668">
        <v>-1.812157E-2</v>
      </c>
      <c r="X6668">
        <v>0.99977550000000004</v>
      </c>
      <c r="Y6668">
        <v>-0.26259179999999999</v>
      </c>
      <c r="Z6668">
        <v>-8.9745840000000007E-3</v>
      </c>
      <c r="AA6668">
        <v>0.96486530000000004</v>
      </c>
      <c r="AB6668">
        <v>18</v>
      </c>
      <c r="AC6668">
        <v>17.534799999999901</v>
      </c>
      <c r="AD6668">
        <v>-1.1127933302040001</v>
      </c>
      <c r="AE6668">
        <v>11.173640000000001</v>
      </c>
      <c r="AF6668">
        <v>-5.4635251364021302</v>
      </c>
      <c r="AG6668">
        <v>-1.1127933302040001</v>
      </c>
      <c r="AH6668">
        <v>20.0000829322024</v>
      </c>
      <c r="AI6668">
        <v>93.072277472996205</v>
      </c>
      <c r="AJ6668">
        <v>105.27899951756</v>
      </c>
      <c r="AK6668">
        <v>20.762748691028801</v>
      </c>
      <c r="AL6668">
        <v>91.038346259597901</v>
      </c>
      <c r="AM6668">
        <v>89.370503042334207</v>
      </c>
      <c r="AN6668">
        <v>1.0000000534357301</v>
      </c>
    </row>
    <row r="6669" spans="1:40" x14ac:dyDescent="0.25">
      <c r="A6669" t="str">
        <f>"20190312161148586"</f>
        <v>20190312161148586</v>
      </c>
      <c r="B6669" t="str">
        <f>"1552378308573634"</f>
        <v>1552378308573634</v>
      </c>
      <c r="C6669" t="s">
        <v>40</v>
      </c>
      <c r="D6669">
        <v>5.0600230000000002</v>
      </c>
      <c r="E6669">
        <v>0.39273069999999999</v>
      </c>
      <c r="F6669" t="s">
        <v>78</v>
      </c>
      <c r="G6669">
        <v>-179.95779999999999</v>
      </c>
      <c r="H6669">
        <v>1.1895899999999999E-2</v>
      </c>
      <c r="I6669">
        <v>-48.603760000000001</v>
      </c>
      <c r="J6669">
        <v>-197.47649999999999</v>
      </c>
      <c r="K6669">
        <v>1.112814</v>
      </c>
      <c r="L6669">
        <v>-59.830440000000003</v>
      </c>
      <c r="M6669">
        <v>0.95433250000000003</v>
      </c>
      <c r="N6669">
        <v>0</v>
      </c>
      <c r="O6669">
        <v>0.29840559999999899</v>
      </c>
      <c r="P6669">
        <v>0.95706119999999995</v>
      </c>
      <c r="Q6669">
        <v>-3.2655370000000003E-2</v>
      </c>
      <c r="R6669">
        <v>0.288041099999999</v>
      </c>
      <c r="S6669">
        <v>2.6259000000000001</v>
      </c>
      <c r="T6669">
        <v>-0.16426660000000001</v>
      </c>
      <c r="U6669">
        <v>1.67925999999999</v>
      </c>
      <c r="V6669">
        <v>1.0817139999999999E-2</v>
      </c>
      <c r="W6669">
        <v>-1.8322310000000001E-2</v>
      </c>
      <c r="X6669">
        <v>0.99977360000000004</v>
      </c>
      <c r="Y6669">
        <v>-0.26281929999999998</v>
      </c>
      <c r="Z6669">
        <v>-8.9931159999999902E-3</v>
      </c>
      <c r="AA6669">
        <v>0.96480319999999997</v>
      </c>
      <c r="AB6669">
        <v>18</v>
      </c>
      <c r="AC6669">
        <v>17.5186999999999</v>
      </c>
      <c r="AD6669">
        <v>-1.1009180999999999</v>
      </c>
      <c r="AE6669">
        <v>11.22668</v>
      </c>
      <c r="AF6669">
        <v>-5.4715483839887602</v>
      </c>
      <c r="AG6669">
        <v>-1.1009180999999999</v>
      </c>
      <c r="AH6669">
        <v>20.014780831404899</v>
      </c>
      <c r="AI6669">
        <v>93.037171020233899</v>
      </c>
      <c r="AJ6669">
        <v>105.289676205272</v>
      </c>
      <c r="AK6669">
        <v>20.7783857436137</v>
      </c>
      <c r="AL6669">
        <v>91.049849796215895</v>
      </c>
      <c r="AM6669">
        <v>89.380107370612606</v>
      </c>
      <c r="AN6669">
        <v>0.99999998440923699</v>
      </c>
    </row>
    <row r="6670" spans="1:40" x14ac:dyDescent="0.25">
      <c r="A6670" t="str">
        <f>"20190312161148598"</f>
        <v>20190312161148598</v>
      </c>
      <c r="B6670" t="str">
        <f>"1552378308594130"</f>
        <v>1552378308594130</v>
      </c>
      <c r="C6670" t="s">
        <v>40</v>
      </c>
      <c r="D6670">
        <v>5.0706020000000001</v>
      </c>
      <c r="E6670">
        <v>0.3929936</v>
      </c>
      <c r="F6670" t="s">
        <v>78</v>
      </c>
      <c r="G6670">
        <v>-179.95779999999999</v>
      </c>
      <c r="H6670">
        <v>2.4043709999999999E-2</v>
      </c>
      <c r="I6670">
        <v>-48.569220000000001</v>
      </c>
      <c r="J6670">
        <v>-197.38669999999999</v>
      </c>
      <c r="K6670">
        <v>1.112846</v>
      </c>
      <c r="L6670">
        <v>-59.799069999999901</v>
      </c>
      <c r="M6670">
        <v>0.9535148</v>
      </c>
      <c r="N6670">
        <v>0</v>
      </c>
      <c r="O6670">
        <v>0.301008</v>
      </c>
      <c r="P6670">
        <v>0.95621789999999995</v>
      </c>
      <c r="Q6670">
        <v>-3.2761980000000003E-2</v>
      </c>
      <c r="R6670">
        <v>0.29081590000000002</v>
      </c>
      <c r="S6670">
        <v>2.6218110000000001</v>
      </c>
      <c r="T6670">
        <v>-0.162943</v>
      </c>
      <c r="U6670">
        <v>1.685333</v>
      </c>
      <c r="V6670">
        <v>1.0645969999999999E-2</v>
      </c>
      <c r="W6670">
        <v>-1.842599E-2</v>
      </c>
      <c r="X6670">
        <v>0.99977360000000004</v>
      </c>
      <c r="Y6670">
        <v>-0.26245590000000002</v>
      </c>
      <c r="Z6670">
        <v>-9.0724429999999995E-3</v>
      </c>
      <c r="AA6670">
        <v>0.96490129999999996</v>
      </c>
      <c r="AB6670">
        <v>18</v>
      </c>
      <c r="AC6670">
        <v>17.428899999999999</v>
      </c>
      <c r="AD6670">
        <v>-1.0888022900000001</v>
      </c>
      <c r="AE6670">
        <v>11.2298499999999</v>
      </c>
      <c r="AF6670">
        <v>-5.4471244182109499</v>
      </c>
      <c r="AG6670">
        <v>-1.0888022900000001</v>
      </c>
      <c r="AH6670">
        <v>19.946019975619599</v>
      </c>
      <c r="AI6670">
        <v>93.014359827255603</v>
      </c>
      <c r="AJ6670">
        <v>105.274636814828</v>
      </c>
      <c r="AK6670">
        <v>20.705080722421702</v>
      </c>
      <c r="AL6670">
        <v>91.055791153837205</v>
      </c>
      <c r="AM6670">
        <v>89.389915779938093</v>
      </c>
      <c r="AN6670">
        <v>1.0000000525208299</v>
      </c>
    </row>
    <row r="6671" spans="1:40" x14ac:dyDescent="0.25">
      <c r="A6671" t="str">
        <f>"20190312161148609"</f>
        <v>20190312161148609</v>
      </c>
      <c r="B6671" t="str">
        <f>"1552378308603894"</f>
        <v>1552378308603894</v>
      </c>
      <c r="C6671" t="s">
        <v>40</v>
      </c>
      <c r="D6671">
        <v>5.0359150000000001</v>
      </c>
      <c r="E6671">
        <v>0.39311420000000002</v>
      </c>
      <c r="F6671" t="s">
        <v>78</v>
      </c>
      <c r="G6671">
        <v>-179.95779999999999</v>
      </c>
      <c r="H6671">
        <v>3.3098660000000002E-2</v>
      </c>
      <c r="I6671">
        <v>-48.53942</v>
      </c>
      <c r="J6671">
        <v>-197.30520000000001</v>
      </c>
      <c r="K6671">
        <v>1.112876</v>
      </c>
      <c r="L6671">
        <v>-59.770319999999998</v>
      </c>
      <c r="M6671">
        <v>0.95275589999999999</v>
      </c>
      <c r="N6671">
        <v>0</v>
      </c>
      <c r="O6671">
        <v>0.30340109999999998</v>
      </c>
      <c r="P6671">
        <v>0.95540519999999995</v>
      </c>
      <c r="Q6671">
        <v>-3.3023669999999998E-2</v>
      </c>
      <c r="R6671">
        <v>0.29344609999999999</v>
      </c>
      <c r="S6671">
        <v>2.6175229999999998</v>
      </c>
      <c r="T6671">
        <v>-0.16215959999999999</v>
      </c>
      <c r="U6671">
        <v>1.6910099999999999</v>
      </c>
      <c r="V6671">
        <v>1.0405279999999999E-2</v>
      </c>
      <c r="W6671">
        <v>-1.8685480000000001E-2</v>
      </c>
      <c r="X6671">
        <v>0.99977119999999997</v>
      </c>
      <c r="Y6671">
        <v>-0.26223229999999997</v>
      </c>
      <c r="Z6671">
        <v>-9.1659800000000007E-3</v>
      </c>
      <c r="AA6671">
        <v>0.96496119999999996</v>
      </c>
      <c r="AB6671">
        <v>18</v>
      </c>
      <c r="AC6671">
        <v>17.3474</v>
      </c>
      <c r="AD6671">
        <v>-1.0797773399999999</v>
      </c>
      <c r="AE6671">
        <v>11.230899999999901</v>
      </c>
      <c r="AF6671">
        <v>-5.4228358446452596</v>
      </c>
      <c r="AG6671">
        <v>-1.0797773399999999</v>
      </c>
      <c r="AH6671">
        <v>19.883056335742399</v>
      </c>
      <c r="AI6671">
        <v>92.999140278054398</v>
      </c>
      <c r="AJ6671">
        <v>105.25561252877699</v>
      </c>
      <c r="AK6671">
        <v>20.6375627667672</v>
      </c>
      <c r="AL6671">
        <v>91.070661521350104</v>
      </c>
      <c r="AM6671">
        <v>89.403706463894494</v>
      </c>
      <c r="AN6671">
        <v>0.99999993468207204</v>
      </c>
    </row>
    <row r="6672" spans="1:40" x14ac:dyDescent="0.25">
      <c r="A6672" t="str">
        <f>"20190312161148620"</f>
        <v>20190312161148620</v>
      </c>
      <c r="B6672" t="str">
        <f>"1552378308613650"</f>
        <v>1552378308613650</v>
      </c>
      <c r="C6672" t="s">
        <v>40</v>
      </c>
      <c r="D6672">
        <v>5.0758000000000001</v>
      </c>
      <c r="E6672">
        <v>0.3932679</v>
      </c>
      <c r="F6672" t="s">
        <v>78</v>
      </c>
      <c r="G6672">
        <v>-179.95779999999999</v>
      </c>
      <c r="H6672">
        <v>3.4958179999999998E-2</v>
      </c>
      <c r="I6672">
        <v>-48.503869999999999</v>
      </c>
      <c r="J6672">
        <v>-197.2234</v>
      </c>
      <c r="K6672">
        <v>1.1129100000000001</v>
      </c>
      <c r="L6672">
        <v>-59.741269999999901</v>
      </c>
      <c r="M6672">
        <v>0.95197860000000001</v>
      </c>
      <c r="N6672">
        <v>0</v>
      </c>
      <c r="O6672">
        <v>0.30583100000000002</v>
      </c>
      <c r="P6672">
        <v>0.95460120000000004</v>
      </c>
      <c r="Q6672">
        <v>-3.3086549999999999E-2</v>
      </c>
      <c r="R6672">
        <v>0.29604409999999998</v>
      </c>
      <c r="S6672">
        <v>2.613159</v>
      </c>
      <c r="T6672">
        <v>-0.16237409999999999</v>
      </c>
      <c r="U6672">
        <v>1.69714399999999</v>
      </c>
      <c r="V6672">
        <v>1.0237339999999999E-2</v>
      </c>
      <c r="W6672">
        <v>-1.874555E-2</v>
      </c>
      <c r="X6672">
        <v>0.99977190000000005</v>
      </c>
      <c r="Y6672">
        <v>-0.26210240000000001</v>
      </c>
      <c r="Z6672">
        <v>-9.3143840000000002E-3</v>
      </c>
      <c r="AA6672">
        <v>0.96499509999999999</v>
      </c>
      <c r="AB6672">
        <v>18</v>
      </c>
      <c r="AC6672">
        <v>17.265599999999999</v>
      </c>
      <c r="AD6672">
        <v>-1.07795182</v>
      </c>
      <c r="AE6672">
        <v>11.2373999999999</v>
      </c>
      <c r="AF6672">
        <v>-5.4031674366432103</v>
      </c>
      <c r="AG6672">
        <v>-1.07795182</v>
      </c>
      <c r="AH6672">
        <v>19.820984675903901</v>
      </c>
      <c r="AI6672">
        <v>93.003543340003603</v>
      </c>
      <c r="AJ6672">
        <v>105.24824238167</v>
      </c>
      <c r="AK6672">
        <v>20.572496980120299</v>
      </c>
      <c r="AL6672">
        <v>91.074103784527907</v>
      </c>
      <c r="AM6672">
        <v>89.413330304244894</v>
      </c>
      <c r="AN6672">
        <v>1.00000002540234</v>
      </c>
    </row>
    <row r="6673" spans="1:40" x14ac:dyDescent="0.25">
      <c r="A6673" t="str">
        <f>"20190312161148633"</f>
        <v>20190312161148633</v>
      </c>
      <c r="B6673" t="str">
        <f>"1552378308623410"</f>
        <v>1552378308623410</v>
      </c>
      <c r="C6673" t="s">
        <v>40</v>
      </c>
      <c r="D6673">
        <v>5.0705220000000004</v>
      </c>
      <c r="E6673">
        <v>0.39339010000000002</v>
      </c>
      <c r="F6673" t="s">
        <v>78</v>
      </c>
      <c r="G6673">
        <v>-179.95779999999999</v>
      </c>
      <c r="H6673">
        <v>3.9114900000000001E-2</v>
      </c>
      <c r="I6673">
        <v>-48.469790000000003</v>
      </c>
      <c r="J6673">
        <v>-197.1377</v>
      </c>
      <c r="K6673">
        <v>1.1129420000000001</v>
      </c>
      <c r="L6673">
        <v>-59.7104199999999</v>
      </c>
      <c r="M6673">
        <v>0.95114120000000002</v>
      </c>
      <c r="N6673">
        <v>0</v>
      </c>
      <c r="O6673">
        <v>0.30842580000000003</v>
      </c>
      <c r="P6673">
        <v>0.95380430000000005</v>
      </c>
      <c r="Q6673">
        <v>-3.299759E-2</v>
      </c>
      <c r="R6673">
        <v>0.29861149999999997</v>
      </c>
      <c r="S6673">
        <v>2.608841</v>
      </c>
      <c r="T6673">
        <v>-0.1622509</v>
      </c>
      <c r="U6673">
        <v>1.703125</v>
      </c>
      <c r="V6673">
        <v>1.027555E-2</v>
      </c>
      <c r="W6673">
        <v>-1.865201E-2</v>
      </c>
      <c r="X6673">
        <v>0.99977320000000003</v>
      </c>
      <c r="Y6673">
        <v>-0.26175660000000001</v>
      </c>
      <c r="Z6673">
        <v>-9.4582590000000001E-3</v>
      </c>
      <c r="AA6673">
        <v>0.96508760000000005</v>
      </c>
      <c r="AB6673">
        <v>18</v>
      </c>
      <c r="AC6673">
        <v>17.1799</v>
      </c>
      <c r="AD6673">
        <v>-1.0738270999999999</v>
      </c>
      <c r="AE6673">
        <v>11.2406299999999</v>
      </c>
      <c r="AF6673">
        <v>-5.3785377622016703</v>
      </c>
      <c r="AG6673">
        <v>-1.0738270999999999</v>
      </c>
      <c r="AH6673">
        <v>19.7553860592704</v>
      </c>
      <c r="AI6673">
        <v>93.002248109837794</v>
      </c>
      <c r="AJ6673">
        <v>105.230024639365</v>
      </c>
      <c r="AK6673">
        <v>20.502610844742101</v>
      </c>
      <c r="AL6673">
        <v>91.068743461689806</v>
      </c>
      <c r="AM6673">
        <v>89.411141529093001</v>
      </c>
      <c r="AN6673">
        <v>0.99999996792154</v>
      </c>
    </row>
    <row r="6674" spans="1:40" x14ac:dyDescent="0.25">
      <c r="A6674" t="str">
        <f>"20190312161148644"</f>
        <v>20190312161148644</v>
      </c>
      <c r="B6674" t="str">
        <f>"1552378308634146"</f>
        <v>1552378308634146</v>
      </c>
      <c r="C6674" t="s">
        <v>40</v>
      </c>
      <c r="D6674">
        <v>5.0948469999999997</v>
      </c>
      <c r="E6674">
        <v>0.39356849999999999</v>
      </c>
      <c r="F6674" t="s">
        <v>78</v>
      </c>
      <c r="G6674">
        <v>-179.95779999999999</v>
      </c>
      <c r="H6674">
        <v>4.6332829999999998E-2</v>
      </c>
      <c r="I6674">
        <v>-48.437530000000002</v>
      </c>
      <c r="J6674">
        <v>-197.04990000000001</v>
      </c>
      <c r="K6674">
        <v>1.1129770000000001</v>
      </c>
      <c r="L6674">
        <v>-59.678620000000002</v>
      </c>
      <c r="M6674">
        <v>0.95026690000000003</v>
      </c>
      <c r="N6674">
        <v>0</v>
      </c>
      <c r="O6674">
        <v>0.31110900000000002</v>
      </c>
      <c r="P6674">
        <v>0.95290399999999997</v>
      </c>
      <c r="Q6674">
        <v>-3.2740320000000003E-2</v>
      </c>
      <c r="R6674">
        <v>0.30149999999999999</v>
      </c>
      <c r="S6674">
        <v>2.6046450000000001</v>
      </c>
      <c r="T6674">
        <v>-0.16170799999999999</v>
      </c>
      <c r="U6674">
        <v>1.70907599999999</v>
      </c>
      <c r="V6674">
        <v>1.007098E-2</v>
      </c>
      <c r="W6674">
        <v>-1.839151E-2</v>
      </c>
      <c r="X6674">
        <v>0.99978009999999995</v>
      </c>
      <c r="Y6674">
        <v>-0.26129049999999998</v>
      </c>
      <c r="Z6674">
        <v>-9.5847510000000007E-3</v>
      </c>
      <c r="AA6674">
        <v>0.96521259999999998</v>
      </c>
      <c r="AB6674">
        <v>18</v>
      </c>
      <c r="AC6674">
        <v>17.092099999999999</v>
      </c>
      <c r="AD6674">
        <v>-1.06664417</v>
      </c>
      <c r="AE6674">
        <v>11.24109</v>
      </c>
      <c r="AF6674">
        <v>-5.3505310680649201</v>
      </c>
      <c r="AG6674">
        <v>-1.06664417</v>
      </c>
      <c r="AH6674">
        <v>19.687752284452198</v>
      </c>
      <c r="AI6674">
        <v>92.992797043326604</v>
      </c>
      <c r="AJ6674">
        <v>105.20403037468699</v>
      </c>
      <c r="AK6674">
        <v>20.429721058048699</v>
      </c>
      <c r="AL6674">
        <v>91.053815357814202</v>
      </c>
      <c r="AM6674">
        <v>89.422867954669002</v>
      </c>
      <c r="AN6674">
        <v>0.99999996031712401</v>
      </c>
    </row>
    <row r="6675" spans="1:40" x14ac:dyDescent="0.25">
      <c r="A6675" t="str">
        <f>"20190312161148655"</f>
        <v>20190312161148655</v>
      </c>
      <c r="B6675" t="str">
        <f>"1552378308643907"</f>
        <v>1552378308643907</v>
      </c>
      <c r="C6675" t="s">
        <v>40</v>
      </c>
      <c r="D6675">
        <v>5.0723880000000001</v>
      </c>
      <c r="E6675">
        <v>0.39370939999999999</v>
      </c>
      <c r="F6675" t="s">
        <v>78</v>
      </c>
      <c r="G6675">
        <v>-179.95359999999999</v>
      </c>
      <c r="H6675">
        <v>5.4117810000000002E-2</v>
      </c>
      <c r="I6675">
        <v>-48.396520000000002</v>
      </c>
      <c r="J6675">
        <v>-196.9708</v>
      </c>
      <c r="K6675">
        <v>1.113008</v>
      </c>
      <c r="L6675">
        <v>-59.649509999999999</v>
      </c>
      <c r="M6675">
        <v>0.9494515</v>
      </c>
      <c r="N6675">
        <v>0</v>
      </c>
      <c r="O6675">
        <v>0.31358809999999998</v>
      </c>
      <c r="P6675">
        <v>0.95209080000000001</v>
      </c>
      <c r="Q6675">
        <v>-3.2692510000000001E-2</v>
      </c>
      <c r="R6675">
        <v>0.30406309999999998</v>
      </c>
      <c r="S6675">
        <v>2.599869</v>
      </c>
      <c r="T6675">
        <v>-0.16102350000000001</v>
      </c>
      <c r="U6675">
        <v>1.7156979999999999</v>
      </c>
      <c r="V6675">
        <v>9.9915230000000004E-3</v>
      </c>
      <c r="W6675">
        <v>-1.8339600000000001E-2</v>
      </c>
      <c r="X6675">
        <v>0.9997819</v>
      </c>
      <c r="Y6675">
        <v>-0.26130120000000001</v>
      </c>
      <c r="Z6675">
        <v>-9.6786919999999992E-3</v>
      </c>
      <c r="AA6675">
        <v>0.96520879999999998</v>
      </c>
      <c r="AB6675">
        <v>18</v>
      </c>
      <c r="AC6675">
        <v>17.017199999999999</v>
      </c>
      <c r="AD6675">
        <v>-1.0588901900000001</v>
      </c>
      <c r="AE6675">
        <v>11.252989999999899</v>
      </c>
      <c r="AF6675">
        <v>-5.3339540889001302</v>
      </c>
      <c r="AG6675">
        <v>-1.0588901900000001</v>
      </c>
      <c r="AH6675">
        <v>19.634926684377099</v>
      </c>
      <c r="AI6675">
        <v>92.979144079548405</v>
      </c>
      <c r="AJ6675">
        <v>105.19799607023801</v>
      </c>
      <c r="AK6675">
        <v>20.374068335946902</v>
      </c>
      <c r="AL6675">
        <v>91.050840580357303</v>
      </c>
      <c r="AM6675">
        <v>89.427422079182605</v>
      </c>
      <c r="AN6675">
        <v>1.00000000951381</v>
      </c>
    </row>
    <row r="6676" spans="1:40" x14ac:dyDescent="0.25">
      <c r="A6676" t="str">
        <f>"20190312161148667"</f>
        <v>20190312161148667</v>
      </c>
      <c r="B6676" t="str">
        <f>"1552378308653666"</f>
        <v>1552378308653666</v>
      </c>
      <c r="C6676" t="s">
        <v>40</v>
      </c>
      <c r="D6676">
        <v>5.0715199999999996</v>
      </c>
      <c r="E6676">
        <v>0.39386399999999999</v>
      </c>
      <c r="F6676" t="s">
        <v>78</v>
      </c>
      <c r="G6676">
        <v>-179.94970000000001</v>
      </c>
      <c r="H6676">
        <v>5.8090660000000002E-2</v>
      </c>
      <c r="I6676">
        <v>-48.358710000000002</v>
      </c>
      <c r="J6676">
        <v>-196.88929999999999</v>
      </c>
      <c r="K6676">
        <v>1.1130450000000001</v>
      </c>
      <c r="L6676">
        <v>-59.61938</v>
      </c>
      <c r="M6676">
        <v>0.94859819999999995</v>
      </c>
      <c r="N6676">
        <v>0</v>
      </c>
      <c r="O6676">
        <v>0.31615959999999899</v>
      </c>
      <c r="P6676">
        <v>0.95124509999999995</v>
      </c>
      <c r="Q6676">
        <v>-3.2556519999999999E-2</v>
      </c>
      <c r="R6676">
        <v>0.3067126</v>
      </c>
      <c r="S6676">
        <v>2.5955659999999998</v>
      </c>
      <c r="T6676">
        <v>-0.16086510000000001</v>
      </c>
      <c r="U6676">
        <v>1.721741</v>
      </c>
      <c r="V6676">
        <v>9.9193360000000008E-3</v>
      </c>
      <c r="W6676">
        <v>-1.819931E-2</v>
      </c>
      <c r="X6676">
        <v>0.99978520000000004</v>
      </c>
      <c r="Y6676">
        <v>-0.2609863</v>
      </c>
      <c r="Z6676">
        <v>-9.8166710000000008E-3</v>
      </c>
      <c r="AA6676">
        <v>0.96529259999999995</v>
      </c>
      <c r="AB6676">
        <v>18</v>
      </c>
      <c r="AC6676">
        <v>16.939599999999899</v>
      </c>
      <c r="AD6676">
        <v>-1.0549543400000001</v>
      </c>
      <c r="AE6676">
        <v>11.260669999999999</v>
      </c>
      <c r="AF6676">
        <v>-5.3124892435065902</v>
      </c>
      <c r="AG6676">
        <v>-1.0549543400000001</v>
      </c>
      <c r="AH6676">
        <v>19.578388248942701</v>
      </c>
      <c r="AI6676">
        <v>92.976880739746207</v>
      </c>
      <c r="AJ6676">
        <v>105.181354228839</v>
      </c>
      <c r="AK6676">
        <v>20.313757826857099</v>
      </c>
      <c r="AL6676">
        <v>91.042801195378502</v>
      </c>
      <c r="AM6676">
        <v>89.431560457863696</v>
      </c>
      <c r="AN6676">
        <v>1.00000002712509</v>
      </c>
    </row>
    <row r="6677" spans="1:40" x14ac:dyDescent="0.25">
      <c r="A6677" t="str">
        <f>"20190312161148678"</f>
        <v>20190312161148678</v>
      </c>
      <c r="B6677" t="str">
        <f>"1552378308674163"</f>
        <v>1552378308674163</v>
      </c>
      <c r="C6677" t="s">
        <v>40</v>
      </c>
      <c r="D6677">
        <v>5.1124939999999999</v>
      </c>
      <c r="E6677">
        <v>0.39430199999999999</v>
      </c>
      <c r="F6677" t="s">
        <v>78</v>
      </c>
      <c r="G6677">
        <v>-179.94450000000001</v>
      </c>
      <c r="H6677">
        <v>6.3242519999999997E-2</v>
      </c>
      <c r="I6677">
        <v>-48.320680000000003</v>
      </c>
      <c r="J6677">
        <v>-196.8074</v>
      </c>
      <c r="K6677">
        <v>1.1130799999999901</v>
      </c>
      <c r="L6677">
        <v>-59.588679999999997</v>
      </c>
      <c r="M6677">
        <v>0.94771669999999997</v>
      </c>
      <c r="N6677">
        <v>0</v>
      </c>
      <c r="O6677">
        <v>0.31879239999999998</v>
      </c>
      <c r="P6677">
        <v>0.95028140000000005</v>
      </c>
      <c r="Q6677">
        <v>-3.2506630000000002E-2</v>
      </c>
      <c r="R6677">
        <v>0.3096912</v>
      </c>
      <c r="S6677">
        <v>2.5911710000000001</v>
      </c>
      <c r="T6677">
        <v>-0.16053439999999999</v>
      </c>
      <c r="U6677">
        <v>1.7277830000000001</v>
      </c>
      <c r="V6677">
        <v>9.5651429999999999E-3</v>
      </c>
      <c r="W6677">
        <v>-1.8146570000000001E-2</v>
      </c>
      <c r="X6677">
        <v>0.99978959999999995</v>
      </c>
      <c r="Y6677">
        <v>-0.26062269999999998</v>
      </c>
      <c r="Z6677">
        <v>-9.9485000000000007E-3</v>
      </c>
      <c r="AA6677">
        <v>0.96538950000000001</v>
      </c>
      <c r="AB6677">
        <v>18</v>
      </c>
      <c r="AC6677">
        <v>16.8628999999999</v>
      </c>
      <c r="AD6677">
        <v>-1.0498374800000001</v>
      </c>
      <c r="AE6677">
        <v>11.268000000000001</v>
      </c>
      <c r="AF6677">
        <v>-5.2894763229177899</v>
      </c>
      <c r="AG6677">
        <v>-1.0498374800000001</v>
      </c>
      <c r="AH6677">
        <v>19.523093285352498</v>
      </c>
      <c r="AI6677">
        <v>92.971150537859003</v>
      </c>
      <c r="AJ6677">
        <v>105.159459484396</v>
      </c>
      <c r="AK6677">
        <v>20.254182035661099</v>
      </c>
      <c r="AL6677">
        <v>91.039778927353694</v>
      </c>
      <c r="AM6677">
        <v>89.4518590667479</v>
      </c>
      <c r="AN6677">
        <v>1.0000000171157599</v>
      </c>
    </row>
    <row r="6678" spans="1:40" x14ac:dyDescent="0.25">
      <c r="A6678" t="str">
        <f>"20190312161148687"</f>
        <v>20190312161148687</v>
      </c>
      <c r="B6678" t="str">
        <f>"1552378308674163"</f>
        <v>1552378308674163</v>
      </c>
      <c r="C6678" t="s">
        <v>40</v>
      </c>
      <c r="D6678">
        <v>5.1124939999999999</v>
      </c>
      <c r="E6678">
        <v>0.39430199999999999</v>
      </c>
      <c r="F6678" t="s">
        <v>78</v>
      </c>
      <c r="G6678">
        <v>-179.9444</v>
      </c>
      <c r="H6678">
        <v>6.330819E-2</v>
      </c>
      <c r="I6678">
        <v>-48.294119999999999</v>
      </c>
      <c r="J6678">
        <v>-196.73910000000001</v>
      </c>
      <c r="K6678">
        <v>1.1131120000000001</v>
      </c>
      <c r="L6678">
        <v>-59.562930000000001</v>
      </c>
      <c r="M6678">
        <v>0.94696780000000003</v>
      </c>
      <c r="N6678">
        <v>0</v>
      </c>
      <c r="O6678">
        <v>0.32101010000000002</v>
      </c>
      <c r="P6678">
        <v>0.94942769999999999</v>
      </c>
      <c r="Q6678">
        <v>-3.2376000000000002E-2</v>
      </c>
      <c r="R6678">
        <v>0.31231189999999998</v>
      </c>
      <c r="S6678">
        <v>2.5868069999999999</v>
      </c>
      <c r="T6678">
        <v>-0.1610367</v>
      </c>
      <c r="U6678">
        <v>1.732605</v>
      </c>
      <c r="V6678">
        <v>9.1491460000000004E-3</v>
      </c>
      <c r="W6678">
        <v>-1.801432E-2</v>
      </c>
      <c r="X6678">
        <v>0.99979589999999996</v>
      </c>
      <c r="Y6678">
        <v>-0.2603607</v>
      </c>
      <c r="Z6678">
        <v>-1.0109129999999999E-2</v>
      </c>
      <c r="AA6678">
        <v>0.9654585</v>
      </c>
      <c r="AB6678">
        <v>18</v>
      </c>
      <c r="AC6678">
        <v>16.794699999999999</v>
      </c>
      <c r="AD6678">
        <v>-1.04980381</v>
      </c>
      <c r="AE6678">
        <v>11.26881</v>
      </c>
      <c r="AF6678">
        <v>-5.2662830306992596</v>
      </c>
      <c r="AG6678">
        <v>-1.04980381</v>
      </c>
      <c r="AH6678">
        <v>19.470978145960199</v>
      </c>
      <c r="AI6678">
        <v>92.979342831058105</v>
      </c>
      <c r="AJ6678">
        <v>105.134582511429</v>
      </c>
      <c r="AK6678">
        <v>20.197891349331101</v>
      </c>
      <c r="AL6678">
        <v>91.032200306307004</v>
      </c>
      <c r="AM6678">
        <v>89.475700170281797</v>
      </c>
      <c r="AN6678">
        <v>1.0000000321272</v>
      </c>
    </row>
    <row r="6679" spans="1:40" x14ac:dyDescent="0.25">
      <c r="A6679" t="str">
        <f>"20190312161148698"</f>
        <v>20190312161148698</v>
      </c>
      <c r="B6679" t="str">
        <f>"1552378308683922"</f>
        <v>1552378308683922</v>
      </c>
      <c r="C6679" t="s">
        <v>40</v>
      </c>
      <c r="D6679">
        <v>5.105982</v>
      </c>
      <c r="E6679">
        <v>0.39456649999999999</v>
      </c>
      <c r="F6679" t="s">
        <v>78</v>
      </c>
      <c r="G6679">
        <v>-179.93889999999999</v>
      </c>
      <c r="H6679">
        <v>6.8817999999999893E-2</v>
      </c>
      <c r="I6679">
        <v>-48.243479999999998</v>
      </c>
      <c r="J6679">
        <v>-196.6591</v>
      </c>
      <c r="K6679">
        <v>1.113146</v>
      </c>
      <c r="L6679">
        <v>-59.532409999999999</v>
      </c>
      <c r="M6679">
        <v>0.94606820000000003</v>
      </c>
      <c r="N6679">
        <v>0</v>
      </c>
      <c r="O6679">
        <v>0.32365159999999998</v>
      </c>
      <c r="P6679">
        <v>0.94844689999999998</v>
      </c>
      <c r="Q6679">
        <v>-3.2163379999999998E-2</v>
      </c>
      <c r="R6679">
        <v>0.31530029999999998</v>
      </c>
      <c r="S6679">
        <v>2.5820620000000001</v>
      </c>
      <c r="T6679">
        <v>-0.16050039999999999</v>
      </c>
      <c r="U6679">
        <v>1.739716</v>
      </c>
      <c r="V6679">
        <v>8.7932240000000005E-3</v>
      </c>
      <c r="W6679">
        <v>-1.7798709999999999E-2</v>
      </c>
      <c r="X6679">
        <v>0.99980290000000005</v>
      </c>
      <c r="Y6679">
        <v>-0.26031979999999999</v>
      </c>
      <c r="Z6679">
        <v>-1.0218700000000001E-2</v>
      </c>
      <c r="AA6679">
        <v>0.9654684</v>
      </c>
      <c r="AB6679">
        <v>18</v>
      </c>
      <c r="AC6679">
        <v>16.720199999999998</v>
      </c>
      <c r="AD6679">
        <v>-1.0443279999999999</v>
      </c>
      <c r="AE6679">
        <v>11.288930000000001</v>
      </c>
      <c r="AF6679">
        <v>-5.2550357415428897</v>
      </c>
      <c r="AG6679">
        <v>-1.0443279999999999</v>
      </c>
      <c r="AH6679">
        <v>19.4220782138195</v>
      </c>
      <c r="AI6679">
        <v>92.971202929047607</v>
      </c>
      <c r="AJ6679">
        <v>105.140021407844</v>
      </c>
      <c r="AK6679">
        <v>20.147534433776201</v>
      </c>
      <c r="AL6679">
        <v>91.019844839015406</v>
      </c>
      <c r="AM6679">
        <v>89.496099047241003</v>
      </c>
      <c r="AN6679">
        <v>0.999999976857193</v>
      </c>
    </row>
    <row r="6680" spans="1:40" x14ac:dyDescent="0.25">
      <c r="A6680" t="str">
        <f>"20190312161148710"</f>
        <v>20190312161148710</v>
      </c>
      <c r="B6680" t="str">
        <f>"1552378308703442"</f>
        <v>1552378308703442</v>
      </c>
      <c r="C6680" t="s">
        <v>40</v>
      </c>
      <c r="D6680">
        <v>5.0704739999999999</v>
      </c>
      <c r="E6680">
        <v>0.3950224</v>
      </c>
      <c r="F6680" t="s">
        <v>78</v>
      </c>
      <c r="G6680">
        <v>-179.9392</v>
      </c>
      <c r="H6680">
        <v>6.854288E-2</v>
      </c>
      <c r="I6680">
        <v>-48.205939999999998</v>
      </c>
      <c r="J6680">
        <v>-196.57589999999999</v>
      </c>
      <c r="K6680">
        <v>1.1131819999999999</v>
      </c>
      <c r="L6680">
        <v>-59.500369999999997</v>
      </c>
      <c r="M6680">
        <v>0.94511060000000002</v>
      </c>
      <c r="N6680">
        <v>0</v>
      </c>
      <c r="O6680">
        <v>0.32643719999999998</v>
      </c>
      <c r="P6680">
        <v>0.94736299999999996</v>
      </c>
      <c r="Q6680">
        <v>-3.1941869999999997E-2</v>
      </c>
      <c r="R6680">
        <v>0.31856410000000002</v>
      </c>
      <c r="S6680">
        <v>2.5772249999999999</v>
      </c>
      <c r="T6680">
        <v>-0.16101670000000001</v>
      </c>
      <c r="U6680">
        <v>1.7458800000000001</v>
      </c>
      <c r="V6680">
        <v>8.2987340000000003E-3</v>
      </c>
      <c r="W6680">
        <v>-1.757481E-2</v>
      </c>
      <c r="X6680">
        <v>0.99981109999999895</v>
      </c>
      <c r="Y6680">
        <v>-0.25990360000000001</v>
      </c>
      <c r="Z6680">
        <v>-1.04146E-2</v>
      </c>
      <c r="AA6680">
        <v>0.96557839999999995</v>
      </c>
      <c r="AB6680">
        <v>18</v>
      </c>
      <c r="AC6680">
        <v>16.636699999999902</v>
      </c>
      <c r="AD6680">
        <v>-1.04463911999999</v>
      </c>
      <c r="AE6680">
        <v>11.294429999999901</v>
      </c>
      <c r="AF6680">
        <v>-5.2300692736821004</v>
      </c>
      <c r="AG6680">
        <v>-1.04463911999999</v>
      </c>
      <c r="AH6680">
        <v>19.360180097962999</v>
      </c>
      <c r="AI6680">
        <v>92.981890034155199</v>
      </c>
      <c r="AJ6680">
        <v>105.11735525213901</v>
      </c>
      <c r="AK6680">
        <v>20.0813711913333</v>
      </c>
      <c r="AL6680">
        <v>91.007014294129306</v>
      </c>
      <c r="AM6680">
        <v>89.524438651964203</v>
      </c>
      <c r="AN6680">
        <v>0.99999998930787404</v>
      </c>
    </row>
    <row r="6681" spans="1:40" x14ac:dyDescent="0.25">
      <c r="A6681" t="str">
        <f>"20190312161148721"</f>
        <v>20190312161148721</v>
      </c>
      <c r="B6681" t="str">
        <f>"1552378308714178"</f>
        <v>1552378308714178</v>
      </c>
      <c r="C6681" t="s">
        <v>40</v>
      </c>
      <c r="D6681">
        <v>5.0834820000000001</v>
      </c>
      <c r="E6681">
        <v>0.3950224</v>
      </c>
      <c r="F6681" t="s">
        <v>78</v>
      </c>
      <c r="G6681">
        <v>-179.9359</v>
      </c>
      <c r="H6681">
        <v>7.1884840000000005E-2</v>
      </c>
      <c r="I6681">
        <v>-48.171590000000002</v>
      </c>
      <c r="J6681">
        <v>-196.4906</v>
      </c>
      <c r="K6681">
        <v>1.113221</v>
      </c>
      <c r="L6681">
        <v>-59.46725</v>
      </c>
      <c r="M6681">
        <v>0.94410680000000002</v>
      </c>
      <c r="N6681">
        <v>0</v>
      </c>
      <c r="O6681">
        <v>0.32932850000000002</v>
      </c>
      <c r="P6681">
        <v>0.9462081</v>
      </c>
      <c r="Q6681">
        <v>-3.2026449999999998E-2</v>
      </c>
      <c r="R6681">
        <v>0.32196999999999998</v>
      </c>
      <c r="S6681">
        <v>2.5723720000000001</v>
      </c>
      <c r="T6681">
        <v>-0.1609737</v>
      </c>
      <c r="U6681">
        <v>1.751312</v>
      </c>
      <c r="V6681">
        <v>7.7635890000000004E-3</v>
      </c>
      <c r="W6681">
        <v>-1.7657160000000002E-2</v>
      </c>
      <c r="X6681">
        <v>0.99981399999999998</v>
      </c>
      <c r="Y6681">
        <v>-0.25919209999999998</v>
      </c>
      <c r="Z6681">
        <v>-1.0589640000000001E-2</v>
      </c>
      <c r="AA6681">
        <v>0.96576770000000001</v>
      </c>
      <c r="AB6681">
        <v>17</v>
      </c>
      <c r="AC6681">
        <v>16.554699999999901</v>
      </c>
      <c r="AD6681">
        <v>-1.04133616</v>
      </c>
      <c r="AE6681">
        <v>11.2956599999999</v>
      </c>
      <c r="AF6681">
        <v>-5.1988734812849904</v>
      </c>
      <c r="AG6681">
        <v>-1.04133616</v>
      </c>
      <c r="AH6681">
        <v>19.299267624217901</v>
      </c>
      <c r="AI6681">
        <v>92.982415353972897</v>
      </c>
      <c r="AJ6681">
        <v>105.076562045881</v>
      </c>
      <c r="AK6681">
        <v>20.014354781099499</v>
      </c>
      <c r="AL6681">
        <v>91.011733280978007</v>
      </c>
      <c r="AM6681">
        <v>89.555105305957696</v>
      </c>
      <c r="AN6681">
        <v>1.0000000416047099</v>
      </c>
    </row>
    <row r="6682" spans="1:40" x14ac:dyDescent="0.25">
      <c r="A6682" t="str">
        <f>"20190312161148732"</f>
        <v>20190312161148732</v>
      </c>
      <c r="B6682" t="str">
        <f>"1552378308723938"</f>
        <v>1552378308723938</v>
      </c>
      <c r="C6682" t="s">
        <v>40</v>
      </c>
      <c r="D6682">
        <v>5.1020969999999997</v>
      </c>
      <c r="E6682">
        <v>0.4048639</v>
      </c>
      <c r="F6682" t="s">
        <v>78</v>
      </c>
      <c r="G6682">
        <v>-179.93360000000001</v>
      </c>
      <c r="H6682">
        <v>7.4141520000000002E-2</v>
      </c>
      <c r="I6682">
        <v>-48.107280000000003</v>
      </c>
      <c r="J6682">
        <v>-196.41329999999999</v>
      </c>
      <c r="K6682">
        <v>1.1132569999999999</v>
      </c>
      <c r="L6682">
        <v>-59.436799999999998</v>
      </c>
      <c r="M6682">
        <v>0.94316770000000005</v>
      </c>
      <c r="N6682">
        <v>0</v>
      </c>
      <c r="O6682">
        <v>0.33200819999999998</v>
      </c>
      <c r="P6682">
        <v>0.94520479999999996</v>
      </c>
      <c r="Q6682">
        <v>-3.1917790000000001E-2</v>
      </c>
      <c r="R6682">
        <v>0.32491419999999999</v>
      </c>
      <c r="S6682">
        <v>2.5660249999999998</v>
      </c>
      <c r="T6682">
        <v>-0.1610385</v>
      </c>
      <c r="U6682">
        <v>1.7605900000000001</v>
      </c>
      <c r="V6682">
        <v>7.49222E-3</v>
      </c>
      <c r="W6682">
        <v>-1.75446E-2</v>
      </c>
      <c r="X6682">
        <v>0.99981799999999998</v>
      </c>
      <c r="Y6682">
        <v>-0.25994010000000001</v>
      </c>
      <c r="Z6682">
        <v>-1.0719670000000001E-2</v>
      </c>
      <c r="AA6682">
        <v>0.96556529999999996</v>
      </c>
      <c r="AB6682">
        <v>17</v>
      </c>
      <c r="AC6682">
        <v>16.479699999999902</v>
      </c>
      <c r="AD6682">
        <v>-1.03911548</v>
      </c>
      <c r="AE6682">
        <v>11.32952</v>
      </c>
      <c r="AF6682">
        <v>-5.2007359304934901</v>
      </c>
      <c r="AG6682">
        <v>-1.03911548</v>
      </c>
      <c r="AH6682">
        <v>19.2546117446343</v>
      </c>
      <c r="AI6682">
        <v>92.982416315573403</v>
      </c>
      <c r="AJ6682">
        <v>105.115096355715</v>
      </c>
      <c r="AK6682">
        <v>19.971667147139001</v>
      </c>
      <c r="AL6682">
        <v>91.005283121262096</v>
      </c>
      <c r="AM6682">
        <v>89.570657309271496</v>
      </c>
      <c r="AN6682">
        <v>0.99999998973684401</v>
      </c>
    </row>
    <row r="6683" spans="1:40" x14ac:dyDescent="0.25">
      <c r="A6683" t="str">
        <f>"20190312161148743"</f>
        <v>20190312161148743</v>
      </c>
      <c r="B6683" t="str">
        <f>"1552378308733698"</f>
        <v>1552378308733698</v>
      </c>
      <c r="C6683" t="s">
        <v>40</v>
      </c>
      <c r="D6683">
        <v>5.1147879999999999</v>
      </c>
      <c r="E6683">
        <v>0.40528629999999999</v>
      </c>
      <c r="F6683" t="s">
        <v>78</v>
      </c>
      <c r="G6683">
        <v>-180.89570000000001</v>
      </c>
      <c r="H6683" s="1">
        <v>-2.1820340000000001E-6</v>
      </c>
      <c r="I6683">
        <v>-49.263120000000001</v>
      </c>
      <c r="J6683">
        <v>-196.3373</v>
      </c>
      <c r="K6683">
        <v>1.1132919999999999</v>
      </c>
      <c r="L6683">
        <v>-59.406739999999999</v>
      </c>
      <c r="M6683">
        <v>0.94223239999999997</v>
      </c>
      <c r="N6683">
        <v>0</v>
      </c>
      <c r="O6683">
        <v>0.33465309999999998</v>
      </c>
      <c r="P6683">
        <v>0.94414410000000004</v>
      </c>
      <c r="Q6683">
        <v>-3.1644819999999997E-2</v>
      </c>
      <c r="R6683">
        <v>0.32801000000000002</v>
      </c>
      <c r="S6683">
        <v>2.5850520000000001</v>
      </c>
      <c r="T6683">
        <v>-0.18545690000000001</v>
      </c>
      <c r="U6683">
        <v>1.6948240000000001</v>
      </c>
      <c r="V6683">
        <v>7.0234759999999999E-3</v>
      </c>
      <c r="W6683">
        <v>-1.7269299999999901E-2</v>
      </c>
      <c r="X6683">
        <v>0.9998262</v>
      </c>
      <c r="Y6683">
        <v>-0.23692469999999999</v>
      </c>
      <c r="Z6683">
        <v>-1.327274E-2</v>
      </c>
      <c r="AA6683">
        <v>0.97143729999999995</v>
      </c>
      <c r="AB6683">
        <v>17</v>
      </c>
      <c r="AC6683">
        <v>15.4415999999999</v>
      </c>
      <c r="AD6683">
        <v>-1.1132941820340001</v>
      </c>
      <c r="AE6683">
        <v>10.14362</v>
      </c>
      <c r="AF6683">
        <v>-4.3746343358250401</v>
      </c>
      <c r="AG6683">
        <v>-1.1132941820340001</v>
      </c>
      <c r="AH6683">
        <v>17.881084982507801</v>
      </c>
      <c r="AI6683">
        <v>93.460883398302002</v>
      </c>
      <c r="AJ6683">
        <v>103.747462495579</v>
      </c>
      <c r="AK6683">
        <v>18.4420728135315</v>
      </c>
      <c r="AL6683">
        <v>90.989507198412397</v>
      </c>
      <c r="AM6683">
        <v>89.597521135914107</v>
      </c>
      <c r="AN6683">
        <v>0.999999994072026</v>
      </c>
    </row>
    <row r="6684" spans="1:40" x14ac:dyDescent="0.25">
      <c r="A6684" t="str">
        <f>"20190312161148755"</f>
        <v>20190312161148755</v>
      </c>
      <c r="B6684" t="str">
        <f>"1552378308743459"</f>
        <v>1552378308743459</v>
      </c>
      <c r="C6684" t="s">
        <v>40</v>
      </c>
      <c r="D6684">
        <v>5.0784039999999999</v>
      </c>
      <c r="E6684">
        <v>0.40567900000000001</v>
      </c>
      <c r="F6684" t="s">
        <v>78</v>
      </c>
      <c r="G6684">
        <v>-180.9622</v>
      </c>
      <c r="H6684" s="1">
        <v>-2.188612E-6</v>
      </c>
      <c r="I6684">
        <v>-49.276969999999999</v>
      </c>
      <c r="J6684">
        <v>-196.2527</v>
      </c>
      <c r="K6684">
        <v>1.113337</v>
      </c>
      <c r="L6684">
        <v>-59.372680000000003</v>
      </c>
      <c r="M6684">
        <v>0.94115130000000002</v>
      </c>
      <c r="N6684">
        <v>0</v>
      </c>
      <c r="O6684">
        <v>0.33768160000000003</v>
      </c>
      <c r="P6684">
        <v>0.94295870000000004</v>
      </c>
      <c r="Q6684">
        <v>-3.1507970000000003E-2</v>
      </c>
      <c r="R6684">
        <v>0.33141559999999998</v>
      </c>
      <c r="S6684">
        <v>2.5805359999999999</v>
      </c>
      <c r="T6684">
        <v>-0.18685379999999999</v>
      </c>
      <c r="U6684">
        <v>1.7001649999999999</v>
      </c>
      <c r="V6684">
        <v>6.6326609999999998E-3</v>
      </c>
      <c r="W6684">
        <v>-1.7128310000000001E-2</v>
      </c>
      <c r="X6684">
        <v>0.99983129999999998</v>
      </c>
      <c r="Y6684">
        <v>-0.23599139999999999</v>
      </c>
      <c r="Z6684">
        <v>-1.359461E-2</v>
      </c>
      <c r="AA6684">
        <v>0.97166010000000003</v>
      </c>
      <c r="AB6684">
        <v>17</v>
      </c>
      <c r="AC6684">
        <v>15.2905</v>
      </c>
      <c r="AD6684">
        <v>-1.1133391886120001</v>
      </c>
      <c r="AE6684">
        <v>10.09571</v>
      </c>
      <c r="AF6684">
        <v>-4.3227555507997302</v>
      </c>
      <c r="AG6684">
        <v>-1.1133391886120001</v>
      </c>
      <c r="AH6684">
        <v>17.736153723209799</v>
      </c>
      <c r="AI6684">
        <v>93.489977889286493</v>
      </c>
      <c r="AJ6684">
        <v>103.697399956574</v>
      </c>
      <c r="AK6684">
        <v>18.289256097342999</v>
      </c>
      <c r="AL6684">
        <v>90.981427865738695</v>
      </c>
      <c r="AM6684">
        <v>89.619917972343003</v>
      </c>
      <c r="AN6684">
        <v>0.99999999982754295</v>
      </c>
    </row>
    <row r="6685" spans="1:40" x14ac:dyDescent="0.25">
      <c r="A6685" t="str">
        <f>"20190312161148765"</f>
        <v>20190312161148765</v>
      </c>
      <c r="B6685" t="str">
        <f>"1552378308754195"</f>
        <v>1552378308754195</v>
      </c>
      <c r="C6685" t="s">
        <v>40</v>
      </c>
      <c r="D6685">
        <v>5.1093950000000001</v>
      </c>
      <c r="E6685">
        <v>0.40607110000000002</v>
      </c>
      <c r="F6685" t="s">
        <v>78</v>
      </c>
      <c r="G6685">
        <v>-181.05709999999999</v>
      </c>
      <c r="H6685" s="1">
        <v>-2.1937580000000002E-6</v>
      </c>
      <c r="I6685">
        <v>-49.303919999999998</v>
      </c>
      <c r="J6685">
        <v>-196.18100000000001</v>
      </c>
      <c r="K6685">
        <v>1.1133710000000001</v>
      </c>
      <c r="L6685">
        <v>-59.34375</v>
      </c>
      <c r="M6685">
        <v>0.94022320000000004</v>
      </c>
      <c r="N6685">
        <v>0</v>
      </c>
      <c r="O6685">
        <v>0.34025699999999998</v>
      </c>
      <c r="P6685">
        <v>0.94191950000000002</v>
      </c>
      <c r="Q6685">
        <v>-3.0887689999999999E-2</v>
      </c>
      <c r="R6685">
        <v>0.33441589999999999</v>
      </c>
      <c r="S6685">
        <v>2.5753940000000002</v>
      </c>
      <c r="T6685">
        <v>-0.188692</v>
      </c>
      <c r="U6685">
        <v>1.7064820000000001</v>
      </c>
      <c r="V6685">
        <v>6.1910380000000003E-3</v>
      </c>
      <c r="W6685">
        <v>-1.6505260000000001E-2</v>
      </c>
      <c r="X6685">
        <v>0.99984459999999997</v>
      </c>
      <c r="Y6685">
        <v>-0.2358874</v>
      </c>
      <c r="Z6685">
        <v>-1.389868E-2</v>
      </c>
      <c r="AA6685">
        <v>0.97168100000000002</v>
      </c>
      <c r="AB6685">
        <v>17</v>
      </c>
      <c r="AC6685">
        <v>15.1238999999999</v>
      </c>
      <c r="AD6685">
        <v>-1.11337319375799</v>
      </c>
      <c r="AE6685">
        <v>10.03983</v>
      </c>
      <c r="AF6685">
        <v>-4.2780168288357503</v>
      </c>
      <c r="AG6685">
        <v>-1.11337319375799</v>
      </c>
      <c r="AH6685">
        <v>17.571676901813099</v>
      </c>
      <c r="AI6685">
        <v>93.522884598535001</v>
      </c>
      <c r="AJ6685">
        <v>103.68308242253001</v>
      </c>
      <c r="AK6685">
        <v>18.119184777414599</v>
      </c>
      <c r="AL6685">
        <v>90.945724691717203</v>
      </c>
      <c r="AM6685">
        <v>89.645229053714104</v>
      </c>
      <c r="AN6685">
        <v>0.99999998835417203</v>
      </c>
    </row>
    <row r="6686" spans="1:40" x14ac:dyDescent="0.25">
      <c r="A6686" t="str">
        <f>"20190312161148776"</f>
        <v>20190312161148776</v>
      </c>
      <c r="B6686" t="str">
        <f>"1552378308763955"</f>
        <v>1552378308763955</v>
      </c>
      <c r="C6686" t="s">
        <v>40</v>
      </c>
      <c r="D6686">
        <v>5.0927860000000003</v>
      </c>
      <c r="E6686">
        <v>0.4062442</v>
      </c>
      <c r="F6686" t="s">
        <v>78</v>
      </c>
      <c r="G6686">
        <v>-180.83320000000001</v>
      </c>
      <c r="H6686" s="1">
        <v>-2.249805E-6</v>
      </c>
      <c r="I6686">
        <v>-49.125140000000002</v>
      </c>
      <c r="J6686">
        <v>-196.10210000000001</v>
      </c>
      <c r="K6686">
        <v>1.113413</v>
      </c>
      <c r="L6686">
        <v>-59.311340000000001</v>
      </c>
      <c r="M6686">
        <v>0.93916520000000003</v>
      </c>
      <c r="N6686">
        <v>0</v>
      </c>
      <c r="O6686">
        <v>0.34316600000000003</v>
      </c>
      <c r="P6686">
        <v>0.94078969999999995</v>
      </c>
      <c r="Q6686">
        <v>-3.077614E-2</v>
      </c>
      <c r="R6686">
        <v>0.33759099999999997</v>
      </c>
      <c r="S6686">
        <v>2.5711059999999999</v>
      </c>
      <c r="T6686">
        <v>-0.18651580000000001</v>
      </c>
      <c r="U6686">
        <v>1.7118529999999901</v>
      </c>
      <c r="V6686">
        <v>5.9159579999999998E-3</v>
      </c>
      <c r="W6686">
        <v>-1.6388650000000001E-2</v>
      </c>
      <c r="X6686">
        <v>0.99984819999999996</v>
      </c>
      <c r="Y6686">
        <v>-0.23503460000000001</v>
      </c>
      <c r="Z6686">
        <v>-1.3949680000000001E-2</v>
      </c>
      <c r="AA6686">
        <v>0.9718869</v>
      </c>
      <c r="AB6686">
        <v>17</v>
      </c>
      <c r="AC6686">
        <v>15.2689</v>
      </c>
      <c r="AD6686">
        <v>-1.1134152498050001</v>
      </c>
      <c r="AE6686">
        <v>10.186199999999999</v>
      </c>
      <c r="AF6686">
        <v>-4.3113380070381204</v>
      </c>
      <c r="AG6686">
        <v>-1.1134152498050001</v>
      </c>
      <c r="AH6686">
        <v>17.7720165872406</v>
      </c>
      <c r="AI6686">
        <v>93.484094981482102</v>
      </c>
      <c r="AJ6686">
        <v>103.63603916965</v>
      </c>
      <c r="AK6686">
        <v>18.321351001129401</v>
      </c>
      <c r="AL6686">
        <v>90.939042511580098</v>
      </c>
      <c r="AM6686">
        <v>89.660993069052793</v>
      </c>
      <c r="AN6686">
        <v>1.0000000047255599</v>
      </c>
    </row>
    <row r="6687" spans="1:40" x14ac:dyDescent="0.25">
      <c r="A6687" t="str">
        <f>"20190312161148789"</f>
        <v>20190312161148789</v>
      </c>
      <c r="B6687" t="str">
        <f>"1552378308783475"</f>
        <v>1552378308783475</v>
      </c>
      <c r="C6687" t="s">
        <v>40</v>
      </c>
      <c r="D6687">
        <v>5.107367</v>
      </c>
      <c r="E6687">
        <v>0.40677029999999997</v>
      </c>
      <c r="F6687" t="s">
        <v>78</v>
      </c>
      <c r="G6687">
        <v>-180.82810000000001</v>
      </c>
      <c r="H6687" s="1">
        <v>-2.2771319999999998E-6</v>
      </c>
      <c r="I6687">
        <v>-49.077069999999999</v>
      </c>
      <c r="J6687">
        <v>-196.01589999999999</v>
      </c>
      <c r="K6687">
        <v>1.113459</v>
      </c>
      <c r="L6687">
        <v>-59.275700000000001</v>
      </c>
      <c r="M6687">
        <v>0.93798729999999997</v>
      </c>
      <c r="N6687">
        <v>0</v>
      </c>
      <c r="O6687">
        <v>0.34637250000000003</v>
      </c>
      <c r="P6687">
        <v>0.93955279999999997</v>
      </c>
      <c r="Q6687">
        <v>-3.059079E-2</v>
      </c>
      <c r="R6687">
        <v>0.34103499999999998</v>
      </c>
      <c r="S6687">
        <v>2.5657960000000002</v>
      </c>
      <c r="T6687">
        <v>-0.1870376</v>
      </c>
      <c r="U6687">
        <v>1.7192080000000001</v>
      </c>
      <c r="V6687">
        <v>5.6715189999999999E-3</v>
      </c>
      <c r="W6687">
        <v>-1.6197329999999999E-2</v>
      </c>
      <c r="X6687">
        <v>0.99985270000000004</v>
      </c>
      <c r="Y6687">
        <v>-0.23457349999999999</v>
      </c>
      <c r="Z6687">
        <v>-1.420624E-2</v>
      </c>
      <c r="AA6687">
        <v>0.97199460000000004</v>
      </c>
      <c r="AB6687">
        <v>17</v>
      </c>
      <c r="AC6687">
        <v>15.1877999999999</v>
      </c>
      <c r="AD6687">
        <v>-1.113461277132</v>
      </c>
      <c r="AE6687">
        <v>10.19863</v>
      </c>
      <c r="AF6687">
        <v>-4.29010024202233</v>
      </c>
      <c r="AG6687">
        <v>-1.113461277132</v>
      </c>
      <c r="AH6687">
        <v>17.714696751249601</v>
      </c>
      <c r="AI6687">
        <v>93.495815203128302</v>
      </c>
      <c r="AJ6687">
        <v>103.613639298866</v>
      </c>
      <c r="AK6687">
        <v>18.2607567502282</v>
      </c>
      <c r="AL6687">
        <v>90.928079259433503</v>
      </c>
      <c r="AM6687">
        <v>89.675001510725295</v>
      </c>
      <c r="AN6687">
        <v>0.99999997066209201</v>
      </c>
    </row>
    <row r="6688" spans="1:40" x14ac:dyDescent="0.25">
      <c r="A6688" t="str">
        <f>"20190312161148799"</f>
        <v>20190312161148799</v>
      </c>
      <c r="B6688" t="str">
        <f>"1552378308794210"</f>
        <v>1552378308794210</v>
      </c>
      <c r="C6688" t="s">
        <v>40</v>
      </c>
      <c r="D6688">
        <v>5.0830390000000003</v>
      </c>
      <c r="E6688">
        <v>0.40689439999999999</v>
      </c>
      <c r="F6688" t="s">
        <v>78</v>
      </c>
      <c r="G6688">
        <v>-180.82130000000001</v>
      </c>
      <c r="H6688" s="1">
        <v>-2.2959779999999999E-6</v>
      </c>
      <c r="I6688">
        <v>-49.042670000000001</v>
      </c>
      <c r="J6688">
        <v>-195.9408</v>
      </c>
      <c r="K6688">
        <v>1.113497</v>
      </c>
      <c r="L6688">
        <v>-59.244320000000002</v>
      </c>
      <c r="M6688">
        <v>0.93693490000000001</v>
      </c>
      <c r="N6688">
        <v>0</v>
      </c>
      <c r="O6688">
        <v>0.34920859999999998</v>
      </c>
      <c r="P6688">
        <v>0.93854850000000001</v>
      </c>
      <c r="Q6688">
        <v>-3.0565660000000001E-2</v>
      </c>
      <c r="R6688">
        <v>0.34379130000000002</v>
      </c>
      <c r="S6688">
        <v>2.560883</v>
      </c>
      <c r="T6688">
        <v>-0.18766240000000001</v>
      </c>
      <c r="U6688">
        <v>1.7246699999999999</v>
      </c>
      <c r="V6688">
        <v>5.7632819999999998E-3</v>
      </c>
      <c r="W6688">
        <v>-1.6164560000000001E-2</v>
      </c>
      <c r="X6688">
        <v>0.99985270000000004</v>
      </c>
      <c r="Y6688">
        <v>-0.2339291</v>
      </c>
      <c r="Z6688">
        <v>-1.445726E-2</v>
      </c>
      <c r="AA6688">
        <v>0.97214619999999996</v>
      </c>
      <c r="AB6688">
        <v>17</v>
      </c>
      <c r="AC6688">
        <v>15.119499999999899</v>
      </c>
      <c r="AD6688">
        <v>-1.1134992959779999</v>
      </c>
      <c r="AE6688">
        <v>10.2016499999999</v>
      </c>
      <c r="AF6688">
        <v>-4.2629757615391997</v>
      </c>
      <c r="AG6688">
        <v>-1.1134992959779999</v>
      </c>
      <c r="AH6688">
        <v>17.664484535225998</v>
      </c>
      <c r="AI6688">
        <v>93.506523614052995</v>
      </c>
      <c r="AJ6688">
        <v>103.56778212662</v>
      </c>
      <c r="AK6688">
        <v>18.205681995488401</v>
      </c>
      <c r="AL6688">
        <v>90.926201436028805</v>
      </c>
      <c r="AM6688">
        <v>89.669743275485601</v>
      </c>
      <c r="AN6688">
        <v>0.99999996505834698</v>
      </c>
    </row>
    <row r="6689" spans="1:40" x14ac:dyDescent="0.25">
      <c r="A6689" t="str">
        <f>"20190312161148810"</f>
        <v>20190312161148810</v>
      </c>
      <c r="B6689" t="str">
        <f>"1552378308803970"</f>
        <v>1552378308803970</v>
      </c>
      <c r="C6689" t="s">
        <v>40</v>
      </c>
      <c r="D6689">
        <v>5.0978940000000001</v>
      </c>
      <c r="E6689">
        <v>0.40689439999999999</v>
      </c>
      <c r="F6689" t="s">
        <v>78</v>
      </c>
      <c r="G6689">
        <v>-180.84950000000001</v>
      </c>
      <c r="H6689" s="1">
        <v>-2.3141520000000002E-6</v>
      </c>
      <c r="I6689">
        <v>-49.022550000000003</v>
      </c>
      <c r="J6689">
        <v>-195.8605</v>
      </c>
      <c r="K6689">
        <v>1.1135349999999999</v>
      </c>
      <c r="L6689">
        <v>-59.210360000000001</v>
      </c>
      <c r="M6689">
        <v>0.93578170000000005</v>
      </c>
      <c r="N6689">
        <v>0</v>
      </c>
      <c r="O6689">
        <v>0.35228720000000002</v>
      </c>
      <c r="P6689">
        <v>0.93738010000000005</v>
      </c>
      <c r="Q6689">
        <v>-3.060947E-2</v>
      </c>
      <c r="R6689">
        <v>0.34696050000000001</v>
      </c>
      <c r="S6689">
        <v>2.5561069999999999</v>
      </c>
      <c r="T6689">
        <v>-0.18860009999999999</v>
      </c>
      <c r="U6689">
        <v>1.7313229999999999</v>
      </c>
      <c r="V6689">
        <v>5.6736850000000004E-3</v>
      </c>
      <c r="W6689">
        <v>-1.6201569999999998E-2</v>
      </c>
      <c r="X6689">
        <v>0.99985270000000004</v>
      </c>
      <c r="Y6689">
        <v>-0.23331789999999999</v>
      </c>
      <c r="Z6689">
        <v>-1.474486E-2</v>
      </c>
      <c r="AA6689">
        <v>0.97228870000000001</v>
      </c>
      <c r="AB6689">
        <v>17</v>
      </c>
      <c r="AC6689">
        <v>15.0109999999999</v>
      </c>
      <c r="AD6689">
        <v>-1.113537314152</v>
      </c>
      <c r="AE6689">
        <v>10.187809999999899</v>
      </c>
      <c r="AF6689">
        <v>-4.2298849746132801</v>
      </c>
      <c r="AG6689">
        <v>-1.113537314152</v>
      </c>
      <c r="AH6689">
        <v>17.571672676004599</v>
      </c>
      <c r="AI6689">
        <v>93.525605631328801</v>
      </c>
      <c r="AJ6689">
        <v>103.53483151176</v>
      </c>
      <c r="AK6689">
        <v>18.107887035242801</v>
      </c>
      <c r="AL6689">
        <v>90.928322150252498</v>
      </c>
      <c r="AM6689">
        <v>89.674877393778999</v>
      </c>
      <c r="AN6689">
        <v>1.0000000516346099</v>
      </c>
    </row>
    <row r="6690" spans="1:40" x14ac:dyDescent="0.25">
      <c r="A6690" t="str">
        <f>"20190312161148822"</f>
        <v>20190312161148822</v>
      </c>
      <c r="B6690" t="str">
        <f>"1552378308813730"</f>
        <v>1552378308813730</v>
      </c>
      <c r="C6690" t="s">
        <v>40</v>
      </c>
      <c r="D6690">
        <v>5.0973990000000002</v>
      </c>
      <c r="E6690">
        <v>0.41103420000000002</v>
      </c>
      <c r="F6690" t="s">
        <v>78</v>
      </c>
      <c r="G6690">
        <v>-180.79669999999999</v>
      </c>
      <c r="H6690" s="1">
        <v>-2.355648E-6</v>
      </c>
      <c r="I6690">
        <v>-48.932600000000001</v>
      </c>
      <c r="J6690">
        <v>-195.78129999999999</v>
      </c>
      <c r="K6690">
        <v>1.1135729999999999</v>
      </c>
      <c r="L6690">
        <v>-59.176569999999998</v>
      </c>
      <c r="M6690">
        <v>0.93462120000000004</v>
      </c>
      <c r="N6690">
        <v>0</v>
      </c>
      <c r="O6690">
        <v>0.35535430000000001</v>
      </c>
      <c r="P6690">
        <v>0.93618710000000005</v>
      </c>
      <c r="Q6690">
        <v>-3.0746289999999999E-2</v>
      </c>
      <c r="R6690">
        <v>0.35015540000000001</v>
      </c>
      <c r="S6690">
        <v>2.550217</v>
      </c>
      <c r="T6690">
        <v>-0.18851490000000001</v>
      </c>
      <c r="U6690">
        <v>1.73996</v>
      </c>
      <c r="V6690">
        <v>5.5436080000000002E-3</v>
      </c>
      <c r="W6690">
        <v>-1.6332119999999999E-2</v>
      </c>
      <c r="X6690">
        <v>0.99985119999999905</v>
      </c>
      <c r="Y6690">
        <v>-0.23342570000000001</v>
      </c>
      <c r="Z6690">
        <v>-1.4930540000000001E-2</v>
      </c>
      <c r="AA6690">
        <v>0.97226000000000001</v>
      </c>
      <c r="AB6690">
        <v>17</v>
      </c>
      <c r="AC6690">
        <v>14.9846</v>
      </c>
      <c r="AD6690">
        <v>-1.1135753556479999</v>
      </c>
      <c r="AE6690">
        <v>10.2439699999999</v>
      </c>
      <c r="AF6690">
        <v>-4.2338933157128098</v>
      </c>
      <c r="AG6690">
        <v>-1.1135753556479999</v>
      </c>
      <c r="AH6690">
        <v>17.580817311118899</v>
      </c>
      <c r="AI6690">
        <v>93.523814272568899</v>
      </c>
      <c r="AJ6690">
        <v>103.540397911193</v>
      </c>
      <c r="AK6690">
        <v>18.117699633465701</v>
      </c>
      <c r="AL6690">
        <v>90.935803202641495</v>
      </c>
      <c r="AM6690">
        <v>89.682330643743796</v>
      </c>
      <c r="AN6690">
        <v>0.99999994593739405</v>
      </c>
    </row>
    <row r="6691" spans="1:40" x14ac:dyDescent="0.25">
      <c r="A6691" t="str">
        <f>"20190312161148834"</f>
        <v>20190312161148834</v>
      </c>
      <c r="B6691" t="str">
        <f>"1552378308823491"</f>
        <v>1552378308823491</v>
      </c>
      <c r="C6691" t="s">
        <v>40</v>
      </c>
      <c r="D6691">
        <v>5.0975250000000001</v>
      </c>
      <c r="E6691">
        <v>0.41108790000000001</v>
      </c>
      <c r="F6691" t="s">
        <v>78</v>
      </c>
      <c r="G6691">
        <v>-181.547</v>
      </c>
      <c r="H6691" s="1">
        <v>-2.1233219999999998E-6</v>
      </c>
      <c r="I6691">
        <v>-49.60698</v>
      </c>
      <c r="J6691">
        <v>-195.70349999999999</v>
      </c>
      <c r="K6691">
        <v>1.1136079999999999</v>
      </c>
      <c r="L6691">
        <v>-59.142879999999998</v>
      </c>
      <c r="M6691">
        <v>0.93344590000000005</v>
      </c>
      <c r="N6691">
        <v>0</v>
      </c>
      <c r="O6691">
        <v>0.35842980000000002</v>
      </c>
      <c r="P6691">
        <v>0.93511040000000001</v>
      </c>
      <c r="Q6691">
        <v>-3.0933490000000001E-2</v>
      </c>
      <c r="R6691">
        <v>0.35300330000000002</v>
      </c>
      <c r="S6691">
        <v>2.555374</v>
      </c>
      <c r="T6691">
        <v>-0.19991159999999999</v>
      </c>
      <c r="U6691">
        <v>1.717957</v>
      </c>
      <c r="V6691">
        <v>5.7931800000000002E-3</v>
      </c>
      <c r="W6691">
        <v>-1.6510210000000001E-2</v>
      </c>
      <c r="X6691">
        <v>0.99984689999999998</v>
      </c>
      <c r="Y6691">
        <v>-0.2236041</v>
      </c>
      <c r="Z6691">
        <v>-1.6390350000000001E-2</v>
      </c>
      <c r="AA6691">
        <v>0.97454220000000003</v>
      </c>
      <c r="AB6691">
        <v>17</v>
      </c>
      <c r="AC6691">
        <v>14.1564999999999</v>
      </c>
      <c r="AD6691">
        <v>-1.1136101233219999</v>
      </c>
      <c r="AE6691">
        <v>9.5358999999999998</v>
      </c>
      <c r="AF6691">
        <v>-3.8113077933963599</v>
      </c>
      <c r="AG6691">
        <v>-1.1136101233219999</v>
      </c>
      <c r="AH6691">
        <v>16.5634931659106</v>
      </c>
      <c r="AI6691">
        <v>93.748696044851897</v>
      </c>
      <c r="AJ6691">
        <v>102.95836384872</v>
      </c>
      <c r="AK6691">
        <v>17.032777238604901</v>
      </c>
      <c r="AL6691">
        <v>90.946008346987298</v>
      </c>
      <c r="AM6691">
        <v>89.668028125443897</v>
      </c>
      <c r="AN6691">
        <v>0.99999998570418303</v>
      </c>
    </row>
    <row r="6692" spans="1:40" x14ac:dyDescent="0.25">
      <c r="A6692" t="str">
        <f>"20190312161148844"</f>
        <v>20190312161148844</v>
      </c>
      <c r="B6692" t="str">
        <f>"1552378308834227"</f>
        <v>1552378308834227</v>
      </c>
      <c r="C6692" t="s">
        <v>40</v>
      </c>
      <c r="D6692">
        <v>5.0864739999999999</v>
      </c>
      <c r="E6692">
        <v>0.4115009</v>
      </c>
      <c r="F6692" t="s">
        <v>78</v>
      </c>
      <c r="G6692">
        <v>-181.57769999999999</v>
      </c>
      <c r="H6692" s="1">
        <v>-2.1430430000000002E-6</v>
      </c>
      <c r="I6692">
        <v>-49.585169999999998</v>
      </c>
      <c r="J6692">
        <v>-195.6267</v>
      </c>
      <c r="K6692">
        <v>1.1136410000000001</v>
      </c>
      <c r="L6692">
        <v>-59.109470000000002</v>
      </c>
      <c r="M6692">
        <v>0.9322684</v>
      </c>
      <c r="N6692">
        <v>0</v>
      </c>
      <c r="O6692">
        <v>0.3614812</v>
      </c>
      <c r="P6692">
        <v>0.93392379999999997</v>
      </c>
      <c r="Q6692">
        <v>-3.121415E-2</v>
      </c>
      <c r="R6692">
        <v>0.35610710000000001</v>
      </c>
      <c r="S6692">
        <v>2.5501559999999999</v>
      </c>
      <c r="T6692">
        <v>-0.20104130000000001</v>
      </c>
      <c r="U6692">
        <v>1.7254640000000001</v>
      </c>
      <c r="V6692">
        <v>5.743125E-3</v>
      </c>
      <c r="W6692">
        <v>-1.678437E-2</v>
      </c>
      <c r="X6692">
        <v>0.99984260000000003</v>
      </c>
      <c r="Y6692">
        <v>-0.2233183</v>
      </c>
      <c r="Z6692">
        <v>-1.670015E-2</v>
      </c>
      <c r="AA6692">
        <v>0.97460250000000004</v>
      </c>
      <c r="AB6692">
        <v>17</v>
      </c>
      <c r="AC6692">
        <v>14.048999999999999</v>
      </c>
      <c r="AD6692">
        <v>-1.1136431430429901</v>
      </c>
      <c r="AE6692">
        <v>9.5242999999999896</v>
      </c>
      <c r="AF6692">
        <v>-3.78485429203407</v>
      </c>
      <c r="AG6692">
        <v>-1.1136431430429901</v>
      </c>
      <c r="AH6692">
        <v>16.471098717839599</v>
      </c>
      <c r="AI6692">
        <v>93.7700341501656</v>
      </c>
      <c r="AJ6692">
        <v>102.941205941768</v>
      </c>
      <c r="AK6692">
        <v>16.937013196983401</v>
      </c>
      <c r="AL6692">
        <v>90.9617187583694</v>
      </c>
      <c r="AM6692">
        <v>89.670894994036999</v>
      </c>
      <c r="AN6692">
        <v>0.99999996166791005</v>
      </c>
    </row>
    <row r="6693" spans="1:40" x14ac:dyDescent="0.25">
      <c r="A6693" t="str">
        <f>"20190312161148855"</f>
        <v>20190312161148855</v>
      </c>
      <c r="B6693" t="str">
        <f>"1552378308843987"</f>
        <v>1552378308843987</v>
      </c>
      <c r="C6693" t="s">
        <v>40</v>
      </c>
      <c r="D6693">
        <v>5.10398</v>
      </c>
      <c r="E6693">
        <v>0.4121417</v>
      </c>
      <c r="F6693" t="s">
        <v>78</v>
      </c>
      <c r="G6693">
        <v>-181.48519999999999</v>
      </c>
      <c r="H6693" s="1">
        <v>-2.176331E-6</v>
      </c>
      <c r="I6693">
        <v>-49.494210000000002</v>
      </c>
      <c r="J6693">
        <v>-195.54990000000001</v>
      </c>
      <c r="K6693">
        <v>1.113672</v>
      </c>
      <c r="L6693">
        <v>-59.075530000000001</v>
      </c>
      <c r="M6693">
        <v>0.93105130000000003</v>
      </c>
      <c r="N6693">
        <v>0</v>
      </c>
      <c r="O6693">
        <v>0.36460409999999999</v>
      </c>
      <c r="P6693">
        <v>0.9328012</v>
      </c>
      <c r="Q6693">
        <v>-3.1176490000000001E-2</v>
      </c>
      <c r="R6693">
        <v>0.35904059999999999</v>
      </c>
      <c r="S6693">
        <v>2.5455930000000002</v>
      </c>
      <c r="T6693">
        <v>-0.20046600000000001</v>
      </c>
      <c r="U6693">
        <v>1.7308349999999999</v>
      </c>
      <c r="V6693">
        <v>5.9534030000000003E-3</v>
      </c>
      <c r="W6693">
        <v>-1.6737749999999999E-2</v>
      </c>
      <c r="X6693">
        <v>0.99984220000000001</v>
      </c>
      <c r="Y6693">
        <v>-0.222275</v>
      </c>
      <c r="Z6693">
        <v>-1.6901449999999998E-2</v>
      </c>
      <c r="AA6693">
        <v>0.97483750000000002</v>
      </c>
      <c r="AB6693">
        <v>17</v>
      </c>
      <c r="AC6693">
        <v>14.0647</v>
      </c>
      <c r="AD6693">
        <v>-1.1136741763310001</v>
      </c>
      <c r="AE6693">
        <v>9.5813200000000105</v>
      </c>
      <c r="AF6693">
        <v>-3.7768721399722298</v>
      </c>
      <c r="AG6693">
        <v>-1.1136741763310001</v>
      </c>
      <c r="AH6693">
        <v>16.5193226007326</v>
      </c>
      <c r="AI6693">
        <v>93.760106678340804</v>
      </c>
      <c r="AJ6693">
        <v>102.87838662600301</v>
      </c>
      <c r="AK6693">
        <v>16.982139220952099</v>
      </c>
      <c r="AL6693">
        <v>90.959047207297402</v>
      </c>
      <c r="AM6693">
        <v>89.658845331266505</v>
      </c>
      <c r="AN6693">
        <v>1.00000001009159</v>
      </c>
    </row>
    <row r="6694" spans="1:40" x14ac:dyDescent="0.25">
      <c r="A6694" t="str">
        <f>"20190312161148868"</f>
        <v>20190312161148868</v>
      </c>
      <c r="B6694" t="str">
        <f>"1552378308863508"</f>
        <v>1552378308863508</v>
      </c>
      <c r="C6694" t="s">
        <v>40</v>
      </c>
      <c r="D6694">
        <v>5.1063080000000003</v>
      </c>
      <c r="E6694">
        <v>0.41322219999999998</v>
      </c>
      <c r="F6694" t="s">
        <v>78</v>
      </c>
      <c r="G6694">
        <v>-181.60919999999999</v>
      </c>
      <c r="H6694" s="1">
        <v>-2.162052E-6</v>
      </c>
      <c r="I6694">
        <v>-49.564929999999997</v>
      </c>
      <c r="J6694">
        <v>-195.4658</v>
      </c>
      <c r="K6694">
        <v>1.1137079999999999</v>
      </c>
      <c r="L6694">
        <v>-59.038020000000003</v>
      </c>
      <c r="M6694">
        <v>0.92969420000000003</v>
      </c>
      <c r="N6694">
        <v>0</v>
      </c>
      <c r="O6694">
        <v>0.36805060000000001</v>
      </c>
      <c r="P6694">
        <v>0.93158439999999998</v>
      </c>
      <c r="Q6694">
        <v>-3.1127740000000001E-2</v>
      </c>
      <c r="R6694">
        <v>0.36219050000000003</v>
      </c>
      <c r="S6694">
        <v>2.541855</v>
      </c>
      <c r="T6694">
        <v>-0.20305989999999999</v>
      </c>
      <c r="U6694">
        <v>1.7341</v>
      </c>
      <c r="V6694">
        <v>6.2802020000000004E-3</v>
      </c>
      <c r="W6694">
        <v>-1.6678499999999999E-2</v>
      </c>
      <c r="X6694">
        <v>0.99984119999999999</v>
      </c>
      <c r="Y6694">
        <v>-0.22020149999999999</v>
      </c>
      <c r="Z6694">
        <v>-1.7429710000000001E-2</v>
      </c>
      <c r="AA6694">
        <v>0.97529860000000002</v>
      </c>
      <c r="AB6694">
        <v>17</v>
      </c>
      <c r="AC6694">
        <v>13.8566</v>
      </c>
      <c r="AD6694">
        <v>-1.113710162052</v>
      </c>
      <c r="AE6694">
        <v>9.4730899999999991</v>
      </c>
      <c r="AF6694">
        <v>-3.69128101278242</v>
      </c>
      <c r="AG6694">
        <v>-1.113710162052</v>
      </c>
      <c r="AH6694">
        <v>16.298921051023601</v>
      </c>
      <c r="AI6694">
        <v>93.812702316355995</v>
      </c>
      <c r="AJ6694">
        <v>102.760739798763</v>
      </c>
      <c r="AK6694">
        <v>16.7487531854728</v>
      </c>
      <c r="AL6694">
        <v>90.955651949689596</v>
      </c>
      <c r="AM6694">
        <v>89.640118513786405</v>
      </c>
      <c r="AN6694">
        <v>1.00000001925842</v>
      </c>
    </row>
    <row r="6695" spans="1:40" x14ac:dyDescent="0.25">
      <c r="A6695" t="str">
        <f>"20190312161148888"</f>
        <v>20190312161148888</v>
      </c>
      <c r="B6695" t="str">
        <f>"1552378308884002"</f>
        <v>1552378308884002</v>
      </c>
      <c r="C6695" t="s">
        <v>40</v>
      </c>
      <c r="D6695">
        <v>5.1615859999999998</v>
      </c>
      <c r="E6695">
        <v>0.4137672</v>
      </c>
      <c r="F6695" t="s">
        <v>78</v>
      </c>
      <c r="G6695">
        <v>-181.63130000000001</v>
      </c>
      <c r="H6695" s="1">
        <v>-2.1546530000000001E-6</v>
      </c>
      <c r="I6695">
        <v>-49.585720000000002</v>
      </c>
      <c r="J6695">
        <v>-195.32069999999999</v>
      </c>
      <c r="K6695">
        <v>1.113764</v>
      </c>
      <c r="L6695">
        <v>-58.972290000000001</v>
      </c>
      <c r="M6695">
        <v>0.92726869999999995</v>
      </c>
      <c r="N6695">
        <v>0</v>
      </c>
      <c r="O6695">
        <v>0.37411889999999998</v>
      </c>
      <c r="P6695">
        <v>0.92929260000000002</v>
      </c>
      <c r="Q6695">
        <v>-3.0231919999999999E-2</v>
      </c>
      <c r="R6695">
        <v>0.36810490000000001</v>
      </c>
      <c r="S6695">
        <v>2.5390320000000002</v>
      </c>
      <c r="T6695">
        <v>-0.2043982</v>
      </c>
      <c r="U6695">
        <v>1.734772</v>
      </c>
      <c r="V6695">
        <v>6.465139E-3</v>
      </c>
      <c r="W6695">
        <v>-1.5767059999999999E-2</v>
      </c>
      <c r="X6695">
        <v>0.99985480000000004</v>
      </c>
      <c r="Y6695">
        <v>-0.2145292</v>
      </c>
      <c r="Z6695">
        <v>-1.8157179999999998E-2</v>
      </c>
      <c r="AA6695">
        <v>0.97654879999999999</v>
      </c>
      <c r="AB6695">
        <v>17</v>
      </c>
      <c r="AC6695">
        <v>13.6893999999999</v>
      </c>
      <c r="AD6695">
        <v>-1.113766154653</v>
      </c>
      <c r="AE6695">
        <v>9.3865700000000007</v>
      </c>
      <c r="AF6695">
        <v>-3.5667223661429301</v>
      </c>
      <c r="AG6695">
        <v>-1.113766154653</v>
      </c>
      <c r="AH6695">
        <v>16.1344837514104</v>
      </c>
      <c r="AI6695">
        <v>93.8560678703127</v>
      </c>
      <c r="AJ6695">
        <v>102.46544839395</v>
      </c>
      <c r="AK6695">
        <v>16.56150806566</v>
      </c>
      <c r="AL6695">
        <v>90.903423419125104</v>
      </c>
      <c r="AM6695">
        <v>89.629526190920302</v>
      </c>
      <c r="AN6695">
        <v>1.00000000964318</v>
      </c>
    </row>
    <row r="6696" spans="1:40" x14ac:dyDescent="0.25">
      <c r="A6696" t="str">
        <f>"20190312161148899"</f>
        <v>20190312161148899</v>
      </c>
      <c r="B6696" t="str">
        <f>"1552378308893764"</f>
        <v>1552378308893764</v>
      </c>
      <c r="C6696" t="s">
        <v>40</v>
      </c>
      <c r="D6696">
        <v>5.0698189999999999</v>
      </c>
      <c r="E6696">
        <v>0.4141357</v>
      </c>
      <c r="F6696" t="s">
        <v>78</v>
      </c>
      <c r="G6696">
        <v>-181.51499999999999</v>
      </c>
      <c r="H6696" s="1">
        <v>-2.2162660000000002E-6</v>
      </c>
      <c r="I6696">
        <v>-49.437950000000001</v>
      </c>
      <c r="J6696">
        <v>-195.24379999999999</v>
      </c>
      <c r="K6696">
        <v>1.1137950000000001</v>
      </c>
      <c r="L6696">
        <v>-58.936919999999901</v>
      </c>
      <c r="M6696">
        <v>0.92594299999999996</v>
      </c>
      <c r="N6696">
        <v>0</v>
      </c>
      <c r="O6696">
        <v>0.3773879</v>
      </c>
      <c r="P6696">
        <v>0.927956</v>
      </c>
      <c r="Q6696">
        <v>-2.9840470000000001E-2</v>
      </c>
      <c r="R6696">
        <v>0.37149330000000003</v>
      </c>
      <c r="S6696">
        <v>2.529617</v>
      </c>
      <c r="T6696">
        <v>-0.2040756</v>
      </c>
      <c r="U6696">
        <v>1.7469790000000001</v>
      </c>
      <c r="V6696">
        <v>6.3467430000000002E-3</v>
      </c>
      <c r="W6696">
        <v>-1.536911E-2</v>
      </c>
      <c r="X6696">
        <v>0.99986169999999996</v>
      </c>
      <c r="Y6696">
        <v>-0.21597469999999999</v>
      </c>
      <c r="Z6696">
        <v>-1.831385E-2</v>
      </c>
      <c r="AA6696">
        <v>0.97622719999999996</v>
      </c>
      <c r="AB6696">
        <v>17</v>
      </c>
      <c r="AC6696">
        <v>13.7288</v>
      </c>
      <c r="AD6696">
        <v>-1.1137972162659999</v>
      </c>
      <c r="AE6696">
        <v>9.4989699999999893</v>
      </c>
      <c r="AF6696">
        <v>-3.5987793927656599</v>
      </c>
      <c r="AG6696">
        <v>-1.1137972162659999</v>
      </c>
      <c r="AH6696">
        <v>16.2263534469697</v>
      </c>
      <c r="AI6696">
        <v>93.833823480617895</v>
      </c>
      <c r="AJ6696">
        <v>102.50499259284599</v>
      </c>
      <c r="AK6696">
        <v>16.657920144566202</v>
      </c>
      <c r="AL6696">
        <v>90.880619848371893</v>
      </c>
      <c r="AM6696">
        <v>89.636312998399603</v>
      </c>
      <c r="AN6696">
        <v>0.99999995490789395</v>
      </c>
    </row>
    <row r="6697" spans="1:40" x14ac:dyDescent="0.25">
      <c r="A6697" t="str">
        <f>"20190312161148912"</f>
        <v>20190312161148912</v>
      </c>
      <c r="B6697" t="str">
        <f>"1552378308903523"</f>
        <v>1552378308903523</v>
      </c>
      <c r="C6697" t="s">
        <v>40</v>
      </c>
      <c r="D6697">
        <v>5.0749040000000001</v>
      </c>
      <c r="E6697">
        <v>0.41430489999999998</v>
      </c>
      <c r="F6697" t="s">
        <v>78</v>
      </c>
      <c r="G6697">
        <v>-181.43010000000001</v>
      </c>
      <c r="H6697" s="1">
        <v>-2.2545979999999999E-6</v>
      </c>
      <c r="I6697">
        <v>-49.341270000000002</v>
      </c>
      <c r="J6697">
        <v>-195.16390000000001</v>
      </c>
      <c r="K6697">
        <v>1.113823</v>
      </c>
      <c r="L6697">
        <v>-58.89969</v>
      </c>
      <c r="M6697">
        <v>0.92453370000000001</v>
      </c>
      <c r="N6697">
        <v>0</v>
      </c>
      <c r="O6697">
        <v>0.38082739999999998</v>
      </c>
      <c r="P6697">
        <v>0.92638339999999997</v>
      </c>
      <c r="Q6697">
        <v>-2.9595469999999999E-2</v>
      </c>
      <c r="R6697">
        <v>0.37541730000000001</v>
      </c>
      <c r="S6697">
        <v>2.5243679999999999</v>
      </c>
      <c r="T6697">
        <v>-0.20353889999999999</v>
      </c>
      <c r="U6697">
        <v>1.7535400000000001</v>
      </c>
      <c r="V6697">
        <v>5.8341209999999899E-3</v>
      </c>
      <c r="W6697">
        <v>-1.512087E-2</v>
      </c>
      <c r="X6697">
        <v>0.9998686</v>
      </c>
      <c r="Y6697">
        <v>-0.21501390000000001</v>
      </c>
      <c r="Z6697">
        <v>-1.8537310000000001E-2</v>
      </c>
      <c r="AA6697">
        <v>0.9764351</v>
      </c>
      <c r="AB6697">
        <v>17</v>
      </c>
      <c r="AC6697">
        <v>13.7338</v>
      </c>
      <c r="AD6697">
        <v>-1.1138252545980001</v>
      </c>
      <c r="AE6697">
        <v>9.5584199999999893</v>
      </c>
      <c r="AF6697">
        <v>-3.5913357400335499</v>
      </c>
      <c r="AG6697">
        <v>-1.1138252545980001</v>
      </c>
      <c r="AH6697">
        <v>16.2670877601618</v>
      </c>
      <c r="AI6697">
        <v>93.825162601557395</v>
      </c>
      <c r="AJ6697">
        <v>102.44966327838</v>
      </c>
      <c r="AK6697">
        <v>16.6960008173284</v>
      </c>
      <c r="AL6697">
        <v>90.866395096748604</v>
      </c>
      <c r="AM6697">
        <v>89.665689354550096</v>
      </c>
      <c r="AN6697">
        <v>0.99999994747167797</v>
      </c>
    </row>
    <row r="6698" spans="1:40" x14ac:dyDescent="0.25">
      <c r="A6698" t="str">
        <f>"20190312161148922"</f>
        <v>20190312161148922</v>
      </c>
      <c r="B6698" t="str">
        <f>"1552378308914259"</f>
        <v>1552378308914259</v>
      </c>
      <c r="C6698" t="s">
        <v>40</v>
      </c>
      <c r="D6698">
        <v>5.067545</v>
      </c>
      <c r="E6698">
        <v>0.41458349999999999</v>
      </c>
      <c r="F6698" t="s">
        <v>78</v>
      </c>
      <c r="G6698">
        <v>-181.34190000000001</v>
      </c>
      <c r="H6698" s="1">
        <v>-2.3065179999999999E-6</v>
      </c>
      <c r="I6698">
        <v>-49.220440000000004</v>
      </c>
      <c r="J6698">
        <v>-195.09200000000001</v>
      </c>
      <c r="K6698">
        <v>1.1138509999999999</v>
      </c>
      <c r="L6698">
        <v>-58.865969999999997</v>
      </c>
      <c r="M6698">
        <v>0.92324459999999997</v>
      </c>
      <c r="N6698">
        <v>0</v>
      </c>
      <c r="O6698">
        <v>0.38394159999999999</v>
      </c>
      <c r="P6698">
        <v>0.92491449999999997</v>
      </c>
      <c r="Q6698">
        <v>-2.9357169999999998E-2</v>
      </c>
      <c r="R6698">
        <v>0.3790405</v>
      </c>
      <c r="S6698">
        <v>2.517487</v>
      </c>
      <c r="T6698">
        <v>-0.20286760000000001</v>
      </c>
      <c r="U6698">
        <v>1.762939</v>
      </c>
      <c r="V6698">
        <v>5.2925480000000002E-3</v>
      </c>
      <c r="W6698">
        <v>-1.4880559999999999E-2</v>
      </c>
      <c r="X6698">
        <v>0.99987519999999996</v>
      </c>
      <c r="Y6698">
        <v>-0.21542500000000001</v>
      </c>
      <c r="Z6698">
        <v>-1.8679479999999998E-2</v>
      </c>
      <c r="AA6698">
        <v>0.97634169999999998</v>
      </c>
      <c r="AB6698">
        <v>17</v>
      </c>
      <c r="AC6698">
        <v>13.7501</v>
      </c>
      <c r="AD6698">
        <v>-1.1138533065180001</v>
      </c>
      <c r="AE6698">
        <v>9.6455299999999902</v>
      </c>
      <c r="AF6698">
        <v>-3.6104471373185199</v>
      </c>
      <c r="AG6698">
        <v>-1.1138533065180001</v>
      </c>
      <c r="AH6698">
        <v>16.327924112837099</v>
      </c>
      <c r="AI6698">
        <v>93.810769696934003</v>
      </c>
      <c r="AJ6698">
        <v>102.46866828352201</v>
      </c>
      <c r="AK6698">
        <v>16.759388519703801</v>
      </c>
      <c r="AL6698">
        <v>90.852624813700004</v>
      </c>
      <c r="AM6698">
        <v>89.696724319948501</v>
      </c>
      <c r="AN6698">
        <v>0.99999992885264</v>
      </c>
    </row>
    <row r="6699" spans="1:40" x14ac:dyDescent="0.25">
      <c r="A6699" t="str">
        <f>"20190312161148933"</f>
        <v>20190312161148933</v>
      </c>
      <c r="B6699" t="str">
        <f>"1552378308924020"</f>
        <v>1552378308924020</v>
      </c>
      <c r="C6699" t="s">
        <v>40</v>
      </c>
      <c r="D6699">
        <v>5.0979049999999999</v>
      </c>
      <c r="E6699">
        <v>0.4148211</v>
      </c>
      <c r="F6699" t="s">
        <v>78</v>
      </c>
      <c r="G6699">
        <v>-181.273</v>
      </c>
      <c r="H6699" s="1">
        <v>-2.3489769999999999E-6</v>
      </c>
      <c r="I6699">
        <v>-49.12283</v>
      </c>
      <c r="J6699">
        <v>-195.0163</v>
      </c>
      <c r="K6699">
        <v>1.113874</v>
      </c>
      <c r="L6699">
        <v>-58.829900000000002</v>
      </c>
      <c r="M6699">
        <v>0.92184949999999999</v>
      </c>
      <c r="N6699">
        <v>0</v>
      </c>
      <c r="O6699">
        <v>0.38727899999999998</v>
      </c>
      <c r="P6699">
        <v>0.92329559999999999</v>
      </c>
      <c r="Q6699">
        <v>-2.9185550000000001E-2</v>
      </c>
      <c r="R6699">
        <v>0.38298019999999999</v>
      </c>
      <c r="S6699">
        <v>2.5114589999999999</v>
      </c>
      <c r="T6699">
        <v>-0.20243220000000001</v>
      </c>
      <c r="U6699">
        <v>1.770721</v>
      </c>
      <c r="V6699">
        <v>4.6485850000000002E-3</v>
      </c>
      <c r="W6699">
        <v>-1.470755E-2</v>
      </c>
      <c r="X6699">
        <v>0.99988100000000002</v>
      </c>
      <c r="Y6699">
        <v>-0.21502170000000001</v>
      </c>
      <c r="Z6699">
        <v>-1.888447E-2</v>
      </c>
      <c r="AA6699">
        <v>0.97642669999999998</v>
      </c>
      <c r="AB6699">
        <v>17</v>
      </c>
      <c r="AC6699">
        <v>13.7433</v>
      </c>
      <c r="AD6699">
        <v>-1.1138763489770001</v>
      </c>
      <c r="AE6699">
        <v>9.7070699999999999</v>
      </c>
      <c r="AF6699">
        <v>-3.6105209231158701</v>
      </c>
      <c r="AG6699">
        <v>-1.1138763489770001</v>
      </c>
      <c r="AH6699">
        <v>16.358619080146301</v>
      </c>
      <c r="AI6699">
        <v>93.804046572627101</v>
      </c>
      <c r="AJ6699">
        <v>102.44624848025499</v>
      </c>
      <c r="AK6699">
        <v>16.7893120784145</v>
      </c>
      <c r="AL6699">
        <v>90.842710952424397</v>
      </c>
      <c r="AM6699">
        <v>89.733625919216706</v>
      </c>
      <c r="AN6699">
        <v>0.99999996776525102</v>
      </c>
    </row>
    <row r="6700" spans="1:40" x14ac:dyDescent="0.25">
      <c r="A6700" t="str">
        <f>"20190312161148944"</f>
        <v>20190312161148944</v>
      </c>
      <c r="B6700" t="str">
        <f>"1552378308933780"</f>
        <v>1552378308933780</v>
      </c>
      <c r="C6700" t="s">
        <v>40</v>
      </c>
      <c r="D6700">
        <v>5.0628789999999997</v>
      </c>
      <c r="E6700">
        <v>0.41505579999999997</v>
      </c>
      <c r="F6700" t="s">
        <v>78</v>
      </c>
      <c r="G6700">
        <v>-181.29419999999999</v>
      </c>
      <c r="H6700" s="1">
        <v>-2.3791409999999999E-6</v>
      </c>
      <c r="I6700">
        <v>-49.079810000000002</v>
      </c>
      <c r="J6700">
        <v>-194.94159999999999</v>
      </c>
      <c r="K6700">
        <v>1.1138980000000001</v>
      </c>
      <c r="L6700">
        <v>-58.79419</v>
      </c>
      <c r="M6700">
        <v>0.92045560000000004</v>
      </c>
      <c r="N6700">
        <v>0</v>
      </c>
      <c r="O6700">
        <v>0.39058029999999999</v>
      </c>
      <c r="P6700">
        <v>0.92159219999999997</v>
      </c>
      <c r="Q6700">
        <v>-2.9182840000000002E-2</v>
      </c>
      <c r="R6700">
        <v>0.38706119999999999</v>
      </c>
      <c r="S6700">
        <v>2.504623</v>
      </c>
      <c r="T6700">
        <v>-0.2033103</v>
      </c>
      <c r="U6700">
        <v>1.779633</v>
      </c>
      <c r="V6700">
        <v>3.8096219999999999E-3</v>
      </c>
      <c r="W6700">
        <v>-1.470549E-2</v>
      </c>
      <c r="X6700">
        <v>0.99988460000000001</v>
      </c>
      <c r="Y6700">
        <v>-0.21509690000000001</v>
      </c>
      <c r="Z6700">
        <v>-1.9194630000000001E-2</v>
      </c>
      <c r="AA6700">
        <v>0.9764041</v>
      </c>
      <c r="AB6700">
        <v>17</v>
      </c>
      <c r="AC6700">
        <v>13.647399999999999</v>
      </c>
      <c r="AD6700">
        <v>-1.113900379141</v>
      </c>
      <c r="AE6700">
        <v>9.7143800000000002</v>
      </c>
      <c r="AF6700">
        <v>-3.5957278153141501</v>
      </c>
      <c r="AG6700">
        <v>-1.113900379141</v>
      </c>
      <c r="AH6700">
        <v>16.285768658347401</v>
      </c>
      <c r="AI6700">
        <v>93.821031629003798</v>
      </c>
      <c r="AJ6700">
        <v>102.450561766154</v>
      </c>
      <c r="AK6700">
        <v>16.715151610729801</v>
      </c>
      <c r="AL6700">
        <v>90.842592892466797</v>
      </c>
      <c r="AM6700">
        <v>89.781700602302806</v>
      </c>
      <c r="AN6700">
        <v>0.99999998898654097</v>
      </c>
    </row>
    <row r="6701" spans="1:40" x14ac:dyDescent="0.25">
      <c r="A6701" t="str">
        <f>"20190312161148955"</f>
        <v>20190312161148955</v>
      </c>
      <c r="B6701" t="str">
        <f>"1552378308943539"</f>
        <v>1552378308943539</v>
      </c>
      <c r="C6701" t="s">
        <v>40</v>
      </c>
      <c r="D6701">
        <v>5.0324929999999997</v>
      </c>
      <c r="E6701">
        <v>0.41539320000000002</v>
      </c>
      <c r="F6701" t="s">
        <v>78</v>
      </c>
      <c r="G6701">
        <v>-181.29300000000001</v>
      </c>
      <c r="H6701" s="1">
        <v>-2.415693E-6</v>
      </c>
      <c r="I6701">
        <v>-49.017620000000001</v>
      </c>
      <c r="J6701">
        <v>-194.8681</v>
      </c>
      <c r="K6701">
        <v>1.1139239999999999</v>
      </c>
      <c r="L6701">
        <v>-58.758389999999999</v>
      </c>
      <c r="M6701">
        <v>0.9190412</v>
      </c>
      <c r="N6701">
        <v>0</v>
      </c>
      <c r="O6701">
        <v>0.39389639999999998</v>
      </c>
      <c r="P6701">
        <v>0.91998449999999998</v>
      </c>
      <c r="Q6701">
        <v>-2.9460549999999999E-2</v>
      </c>
      <c r="R6701">
        <v>0.39084609999999997</v>
      </c>
      <c r="S6701">
        <v>2.497452</v>
      </c>
      <c r="T6701">
        <v>-0.20382430000000001</v>
      </c>
      <c r="U6701">
        <v>1.78894</v>
      </c>
      <c r="V6701">
        <v>3.3046009999999999E-3</v>
      </c>
      <c r="W6701">
        <v>-1.4981090000000001E-2</v>
      </c>
      <c r="X6701">
        <v>0.9998823</v>
      </c>
      <c r="Y6701">
        <v>-0.21531520000000001</v>
      </c>
      <c r="Z6701">
        <v>-1.946875E-2</v>
      </c>
      <c r="AA6701">
        <v>0.97635050000000001</v>
      </c>
      <c r="AB6701">
        <v>17</v>
      </c>
      <c r="AC6701">
        <v>13.5750999999999</v>
      </c>
      <c r="AD6701">
        <v>-1.113926415693</v>
      </c>
      <c r="AE6701">
        <v>9.7407699999999995</v>
      </c>
      <c r="AF6701">
        <v>-3.58940838583518</v>
      </c>
      <c r="AG6701">
        <v>-1.113926415693</v>
      </c>
      <c r="AH6701">
        <v>16.242440447714099</v>
      </c>
      <c r="AI6701">
        <v>93.831122727175497</v>
      </c>
      <c r="AJ6701">
        <v>102.46148276875699</v>
      </c>
      <c r="AK6701">
        <v>16.671579298837401</v>
      </c>
      <c r="AL6701">
        <v>90.858385353924902</v>
      </c>
      <c r="AM6701">
        <v>89.810638711280305</v>
      </c>
      <c r="AN6701">
        <v>0.99999998364932297</v>
      </c>
    </row>
    <row r="6702" spans="1:40" x14ac:dyDescent="0.25">
      <c r="A6702" t="str">
        <f>"20190312161148967"</f>
        <v>20190312161148967</v>
      </c>
      <c r="B6702" t="str">
        <f>"1552378308964034"</f>
        <v>1552378308964034</v>
      </c>
      <c r="C6702" t="s">
        <v>40</v>
      </c>
      <c r="D6702">
        <v>5.0388060000000001</v>
      </c>
      <c r="E6702">
        <v>0.41559040000000003</v>
      </c>
      <c r="F6702" t="s">
        <v>78</v>
      </c>
      <c r="G6702">
        <v>-181.2937</v>
      </c>
      <c r="H6702" s="1">
        <v>-2.4453070000000001E-6</v>
      </c>
      <c r="I6702">
        <v>-48.967860000000002</v>
      </c>
      <c r="J6702">
        <v>-194.79220000000001</v>
      </c>
      <c r="K6702">
        <v>1.11395</v>
      </c>
      <c r="L6702">
        <v>-58.72128</v>
      </c>
      <c r="M6702">
        <v>0.91756040000000005</v>
      </c>
      <c r="N6702">
        <v>0</v>
      </c>
      <c r="O6702">
        <v>0.39733350000000001</v>
      </c>
      <c r="P6702">
        <v>0.91833679999999995</v>
      </c>
      <c r="Q6702">
        <v>-2.9308919999999999E-2</v>
      </c>
      <c r="R6702">
        <v>0.39471349999999999</v>
      </c>
      <c r="S6702">
        <v>2.4910739999999998</v>
      </c>
      <c r="T6702">
        <v>-0.2044202</v>
      </c>
      <c r="U6702">
        <v>1.79669199999999</v>
      </c>
      <c r="V6702">
        <v>2.8416779999999998E-3</v>
      </c>
      <c r="W6702">
        <v>-1.482677E-2</v>
      </c>
      <c r="X6702">
        <v>0.99988600000000005</v>
      </c>
      <c r="Y6702">
        <v>-0.2148533</v>
      </c>
      <c r="Z6702">
        <v>-1.9783419999999999E-2</v>
      </c>
      <c r="AA6702">
        <v>0.97644589999999998</v>
      </c>
      <c r="AB6702">
        <v>17</v>
      </c>
      <c r="AC6702">
        <v>13.4985</v>
      </c>
      <c r="AD6702">
        <v>-1.113952445307</v>
      </c>
      <c r="AE6702">
        <v>9.7534200000000109</v>
      </c>
      <c r="AF6702">
        <v>-3.5703457864024899</v>
      </c>
      <c r="AG6702">
        <v>-1.113952445307</v>
      </c>
      <c r="AH6702">
        <v>16.190309208080599</v>
      </c>
      <c r="AI6702">
        <v>93.843886982626898</v>
      </c>
      <c r="AJ6702">
        <v>102.43603221773</v>
      </c>
      <c r="AK6702">
        <v>16.616689542088299</v>
      </c>
      <c r="AL6702">
        <v>90.849542506468595</v>
      </c>
      <c r="AM6702">
        <v>89.837165719108697</v>
      </c>
      <c r="AN6702">
        <v>0.99999996061924301</v>
      </c>
    </row>
    <row r="6703" spans="1:40" x14ac:dyDescent="0.25">
      <c r="A6703" t="str">
        <f>"20190312161148978"</f>
        <v>20190312161148978</v>
      </c>
      <c r="B6703" t="str">
        <f>"1552378308973795"</f>
        <v>1552378308973795</v>
      </c>
      <c r="C6703" t="s">
        <v>40</v>
      </c>
      <c r="D6703">
        <v>4.9481820000000001</v>
      </c>
      <c r="E6703">
        <v>0.41604400000000002</v>
      </c>
      <c r="F6703" t="s">
        <v>78</v>
      </c>
      <c r="G6703">
        <v>-181.2037</v>
      </c>
      <c r="H6703" s="1">
        <v>-2.4989619999999999E-6</v>
      </c>
      <c r="I6703">
        <v>-48.843380000000003</v>
      </c>
      <c r="J6703">
        <v>-194.71440000000001</v>
      </c>
      <c r="K6703">
        <v>1.1139790000000001</v>
      </c>
      <c r="L6703">
        <v>-58.682650000000002</v>
      </c>
      <c r="M6703">
        <v>0.91600289999999995</v>
      </c>
      <c r="N6703">
        <v>0</v>
      </c>
      <c r="O6703">
        <v>0.40091060000000001</v>
      </c>
      <c r="P6703">
        <v>0.91672889999999996</v>
      </c>
      <c r="Q6703">
        <v>-2.9017029999999999E-2</v>
      </c>
      <c r="R6703">
        <v>0.3984548</v>
      </c>
      <c r="S6703">
        <v>2.4841310000000001</v>
      </c>
      <c r="T6703">
        <v>-0.2036424</v>
      </c>
      <c r="U6703">
        <v>1.8057859999999999</v>
      </c>
      <c r="V6703">
        <v>2.6681489999999999E-3</v>
      </c>
      <c r="W6703">
        <v>-1.452935E-2</v>
      </c>
      <c r="X6703">
        <v>0.99989090000000003</v>
      </c>
      <c r="Y6703">
        <v>-0.2146835</v>
      </c>
      <c r="Z6703">
        <v>-1.9963580000000002E-2</v>
      </c>
      <c r="AA6703">
        <v>0.9764796</v>
      </c>
      <c r="AB6703">
        <v>17</v>
      </c>
      <c r="AC6703">
        <v>13.5107</v>
      </c>
      <c r="AD6703">
        <v>-1.113981498962</v>
      </c>
      <c r="AE6703">
        <v>9.8392700000000008</v>
      </c>
      <c r="AF6703">
        <v>-3.5806871039008898</v>
      </c>
      <c r="AG6703">
        <v>-1.113981498962</v>
      </c>
      <c r="AH6703">
        <v>16.250029524733002</v>
      </c>
      <c r="AI6703">
        <v>93.830041783852096</v>
      </c>
      <c r="AJ6703">
        <v>102.426521653782</v>
      </c>
      <c r="AK6703">
        <v>16.677102100507899</v>
      </c>
      <c r="AL6703">
        <v>90.832499712505495</v>
      </c>
      <c r="AM6703">
        <v>89.847110005737406</v>
      </c>
      <c r="AN6703">
        <v>1.00000001646665</v>
      </c>
    </row>
    <row r="6704" spans="1:40" x14ac:dyDescent="0.25">
      <c r="A6704" t="str">
        <f>"20190312161148990"</f>
        <v>20190312161148990</v>
      </c>
      <c r="B6704" t="str">
        <f>"1552378308983555"</f>
        <v>1552378308983555</v>
      </c>
      <c r="C6704" t="s">
        <v>40</v>
      </c>
      <c r="D6704">
        <v>4.9754759999999996</v>
      </c>
      <c r="E6704">
        <v>0.4161649</v>
      </c>
      <c r="F6704" t="s">
        <v>78</v>
      </c>
      <c r="G6704">
        <v>-180.8415</v>
      </c>
      <c r="H6704" s="1">
        <v>-2.6002070000000001E-6</v>
      </c>
      <c r="I6704">
        <v>-48.536290000000001</v>
      </c>
      <c r="J6704">
        <v>-194.63990000000001</v>
      </c>
      <c r="K6704">
        <v>1.114007</v>
      </c>
      <c r="L6704">
        <v>-58.645290000000003</v>
      </c>
      <c r="M6704">
        <v>0.91448410000000002</v>
      </c>
      <c r="N6704">
        <v>0</v>
      </c>
      <c r="O6704">
        <v>0.40436280000000002</v>
      </c>
      <c r="P6704">
        <v>0.91515559999999996</v>
      </c>
      <c r="Q6704">
        <v>-2.873914E-2</v>
      </c>
      <c r="R6704">
        <v>0.40207490000000001</v>
      </c>
      <c r="S6704">
        <v>2.478348</v>
      </c>
      <c r="T6704">
        <v>-0.1990101</v>
      </c>
      <c r="U6704">
        <v>1.812622</v>
      </c>
      <c r="V6704">
        <v>2.4897420000000001E-3</v>
      </c>
      <c r="W6704">
        <v>-1.424621E-2</v>
      </c>
      <c r="X6704">
        <v>0.99989539999999999</v>
      </c>
      <c r="Y6704">
        <v>-0.21383160000000001</v>
      </c>
      <c r="Z6704">
        <v>-1.9774920000000001E-2</v>
      </c>
      <c r="AA6704">
        <v>0.97667040000000005</v>
      </c>
      <c r="AB6704">
        <v>17</v>
      </c>
      <c r="AC6704">
        <v>13.798400000000001</v>
      </c>
      <c r="AD6704">
        <v>-1.1140096002069999</v>
      </c>
      <c r="AE6704">
        <v>10.109</v>
      </c>
      <c r="AF6704">
        <v>-3.6498631998503601</v>
      </c>
      <c r="AG6704">
        <v>-1.1140096002069999</v>
      </c>
      <c r="AH6704">
        <v>16.637304167979</v>
      </c>
      <c r="AI6704">
        <v>93.741998351543799</v>
      </c>
      <c r="AJ6704">
        <v>102.373436764117</v>
      </c>
      <c r="AK6704">
        <v>17.0693411924663</v>
      </c>
      <c r="AL6704">
        <v>90.816275334359304</v>
      </c>
      <c r="AM6704">
        <v>89.8573336632424</v>
      </c>
      <c r="AN6704">
        <v>0.999999982127875</v>
      </c>
    </row>
    <row r="6705" spans="1:40" x14ac:dyDescent="0.25">
      <c r="A6705" t="str">
        <f>"20190312161149003"</f>
        <v>20190312161149003</v>
      </c>
      <c r="B6705" t="str">
        <f>"1552378308994290"</f>
        <v>1552378308994290</v>
      </c>
      <c r="C6705" t="s">
        <v>40</v>
      </c>
      <c r="D6705">
        <v>5.0228289999999998</v>
      </c>
      <c r="E6705">
        <v>0.41621770000000002</v>
      </c>
      <c r="F6705" t="s">
        <v>78</v>
      </c>
      <c r="G6705">
        <v>-180.62860000000001</v>
      </c>
      <c r="H6705" s="1">
        <v>-2.6810350000000002E-6</v>
      </c>
      <c r="I6705">
        <v>-48.319740000000003</v>
      </c>
      <c r="J6705">
        <v>-194.54910000000001</v>
      </c>
      <c r="K6705">
        <v>1.1140429999999999</v>
      </c>
      <c r="L6705">
        <v>-58.599369999999901</v>
      </c>
      <c r="M6705">
        <v>0.9125972</v>
      </c>
      <c r="N6705">
        <v>0</v>
      </c>
      <c r="O6705">
        <v>0.4086033</v>
      </c>
      <c r="P6705">
        <v>0.91319419999999996</v>
      </c>
      <c r="Q6705">
        <v>-2.821624E-2</v>
      </c>
      <c r="R6705">
        <v>0.40654669999999998</v>
      </c>
      <c r="S6705">
        <v>2.471695</v>
      </c>
      <c r="T6705">
        <v>-0.19651940000000001</v>
      </c>
      <c r="U6705">
        <v>1.8215030000000001</v>
      </c>
      <c r="V6705">
        <v>2.2430649999999998E-3</v>
      </c>
      <c r="W6705">
        <v>-1.3717099999999999E-2</v>
      </c>
      <c r="X6705">
        <v>0.9999034</v>
      </c>
      <c r="Y6705">
        <v>-0.21282699999999999</v>
      </c>
      <c r="Z6705">
        <v>-1.9843139999999999E-2</v>
      </c>
      <c r="AA6705">
        <v>0.97688839999999999</v>
      </c>
      <c r="AB6705">
        <v>17</v>
      </c>
      <c r="AC6705">
        <v>13.920500000000001</v>
      </c>
      <c r="AD6705">
        <v>-1.1140456810349999</v>
      </c>
      <c r="AE6705">
        <v>10.2796299999999</v>
      </c>
      <c r="AF6705">
        <v>-3.6783414345730798</v>
      </c>
      <c r="AG6705">
        <v>-1.1140456810349999</v>
      </c>
      <c r="AH6705">
        <v>16.836094219064801</v>
      </c>
      <c r="AI6705">
        <v>93.698750463332203</v>
      </c>
      <c r="AJ6705">
        <v>102.32429565527001</v>
      </c>
      <c r="AK6705">
        <v>17.269202704292901</v>
      </c>
      <c r="AL6705">
        <v>90.785956586113301</v>
      </c>
      <c r="AM6705">
        <v>89.871469641874398</v>
      </c>
      <c r="AN6705">
        <v>0.99999999975228204</v>
      </c>
    </row>
    <row r="6706" spans="1:40" x14ac:dyDescent="0.25">
      <c r="A6706" t="str">
        <f>"20190312161149015"</f>
        <v>20190312161149015</v>
      </c>
      <c r="B6706" t="str">
        <f>"1552378309004051"</f>
        <v>1552378309004051</v>
      </c>
      <c r="C6706" t="s">
        <v>40</v>
      </c>
      <c r="D6706">
        <v>4.9871470000000002</v>
      </c>
      <c r="E6706">
        <v>0.41643920000000001</v>
      </c>
      <c r="F6706" t="s">
        <v>78</v>
      </c>
      <c r="G6706">
        <v>-180.31120000000001</v>
      </c>
      <c r="H6706" s="1">
        <v>-2.7981450000000001E-6</v>
      </c>
      <c r="I6706">
        <v>-48.00264</v>
      </c>
      <c r="J6706">
        <v>-194.4684</v>
      </c>
      <c r="K6706">
        <v>1.1140680000000001</v>
      </c>
      <c r="L6706">
        <v>-58.557830000000003</v>
      </c>
      <c r="M6706">
        <v>0.9108714</v>
      </c>
      <c r="N6706">
        <v>0</v>
      </c>
      <c r="O6706">
        <v>0.41243590000000002</v>
      </c>
      <c r="P6706">
        <v>0.91139269999999994</v>
      </c>
      <c r="Q6706">
        <v>-2.7373000000000001E-2</v>
      </c>
      <c r="R6706">
        <v>0.41062650000000001</v>
      </c>
      <c r="S6706">
        <v>2.463104</v>
      </c>
      <c r="T6706">
        <v>-0.19272529999999999</v>
      </c>
      <c r="U6706">
        <v>1.833191</v>
      </c>
      <c r="V6706">
        <v>1.9784820000000002E-3</v>
      </c>
      <c r="W6706">
        <v>-1.2868650000000001E-2</v>
      </c>
      <c r="X6706">
        <v>0.9999152</v>
      </c>
      <c r="Y6706">
        <v>-0.21332770000000001</v>
      </c>
      <c r="Z6706">
        <v>-1.969769E-2</v>
      </c>
      <c r="AA6706">
        <v>0.97678209999999999</v>
      </c>
      <c r="AB6706">
        <v>17</v>
      </c>
      <c r="AC6706">
        <v>14.1571999999999</v>
      </c>
      <c r="AD6706">
        <v>-1.114070798145</v>
      </c>
      <c r="AE6706">
        <v>10.55519</v>
      </c>
      <c r="AF6706">
        <v>-3.7609106361832798</v>
      </c>
      <c r="AG6706">
        <v>-1.114070798145</v>
      </c>
      <c r="AH6706">
        <v>17.182151583498499</v>
      </c>
      <c r="AI6706">
        <v>93.624232127946897</v>
      </c>
      <c r="AJ6706">
        <v>102.346454094603</v>
      </c>
      <c r="AK6706">
        <v>17.624186097376398</v>
      </c>
      <c r="AL6706">
        <v>90.737339712944006</v>
      </c>
      <c r="AM6706">
        <v>89.886631865874406</v>
      </c>
      <c r="AN6706">
        <v>0.999999961867442</v>
      </c>
    </row>
    <row r="6707" spans="1:40" x14ac:dyDescent="0.25">
      <c r="A6707" t="str">
        <f>"20190312161149028"</f>
        <v>20190312161149028</v>
      </c>
      <c r="B6707" t="str">
        <f>"1552378309023571"</f>
        <v>1552378309023571</v>
      </c>
      <c r="C6707" t="s">
        <v>40</v>
      </c>
      <c r="D6707">
        <v>4.9429970000000001</v>
      </c>
      <c r="E6707">
        <v>0.4171301</v>
      </c>
      <c r="F6707" t="s">
        <v>78</v>
      </c>
      <c r="G6707">
        <v>-180.0479</v>
      </c>
      <c r="H6707" s="1">
        <v>-2.8965000000000001E-6</v>
      </c>
      <c r="I6707">
        <v>-47.737589999999997</v>
      </c>
      <c r="J6707">
        <v>-194.39150000000001</v>
      </c>
      <c r="K6707">
        <v>1.114093</v>
      </c>
      <c r="L6707">
        <v>-58.517940000000003</v>
      </c>
      <c r="M6707">
        <v>0.90919879999999997</v>
      </c>
      <c r="N6707">
        <v>0</v>
      </c>
      <c r="O6707">
        <v>0.41610979999999997</v>
      </c>
      <c r="P6707">
        <v>0.90970099999999998</v>
      </c>
      <c r="Q6707">
        <v>-2.7157939999999998E-2</v>
      </c>
      <c r="R6707">
        <v>0.41437499999999999</v>
      </c>
      <c r="S6707">
        <v>2.455765</v>
      </c>
      <c r="T6707">
        <v>-0.18972269999999999</v>
      </c>
      <c r="U6707">
        <v>1.842651</v>
      </c>
      <c r="V6707">
        <v>1.9002629999999999E-3</v>
      </c>
      <c r="W6707">
        <v>-1.2647459999999999E-2</v>
      </c>
      <c r="X6707">
        <v>0.99991819999999998</v>
      </c>
      <c r="Y6707">
        <v>-0.21318799999999999</v>
      </c>
      <c r="Z6707">
        <v>-1.9634800000000001E-2</v>
      </c>
      <c r="AA6707">
        <v>0.97681390000000001</v>
      </c>
      <c r="AB6707">
        <v>17</v>
      </c>
      <c r="AC6707">
        <v>14.3436</v>
      </c>
      <c r="AD6707">
        <v>-1.1140958965000001</v>
      </c>
      <c r="AE6707">
        <v>10.78035</v>
      </c>
      <c r="AF6707">
        <v>-3.8186498481306499</v>
      </c>
      <c r="AG6707">
        <v>-1.1140958965000001</v>
      </c>
      <c r="AH6707">
        <v>17.461517204801901</v>
      </c>
      <c r="AI6707">
        <v>93.566624325399303</v>
      </c>
      <c r="AJ6707">
        <v>102.335777202266</v>
      </c>
      <c r="AK6707">
        <v>17.908877112281999</v>
      </c>
      <c r="AL6707">
        <v>90.724665408523606</v>
      </c>
      <c r="AM6707">
        <v>89.891114174347393</v>
      </c>
      <c r="AN6707">
        <v>0.99999998796758005</v>
      </c>
    </row>
    <row r="6708" spans="1:40" x14ac:dyDescent="0.25">
      <c r="A6708" t="str">
        <f>"20190312161149039"</f>
        <v>20190312161149039</v>
      </c>
      <c r="B6708" t="str">
        <f>"1552378309034307"</f>
        <v>1552378309034307</v>
      </c>
      <c r="C6708" t="s">
        <v>40</v>
      </c>
      <c r="D6708">
        <v>4.975187</v>
      </c>
      <c r="E6708">
        <v>0.41736489999999998</v>
      </c>
      <c r="F6708" t="s">
        <v>78</v>
      </c>
      <c r="G6708">
        <v>-179.95779999999999</v>
      </c>
      <c r="H6708">
        <v>1.257342E-2</v>
      </c>
      <c r="I6708">
        <v>-47.636099999999999</v>
      </c>
      <c r="J6708">
        <v>-194.3117</v>
      </c>
      <c r="K6708">
        <v>1.114117</v>
      </c>
      <c r="L6708">
        <v>-58.476039999999998</v>
      </c>
      <c r="M6708">
        <v>0.90742330000000004</v>
      </c>
      <c r="N6708">
        <v>0</v>
      </c>
      <c r="O6708">
        <v>0.4199677</v>
      </c>
      <c r="P6708">
        <v>0.90787090000000004</v>
      </c>
      <c r="Q6708">
        <v>-2.7076360000000001E-2</v>
      </c>
      <c r="R6708">
        <v>0.41837469999999999</v>
      </c>
      <c r="S6708">
        <v>2.4506230000000002</v>
      </c>
      <c r="T6708">
        <v>-0.18702079999999999</v>
      </c>
      <c r="U6708">
        <v>1.8475649999999999</v>
      </c>
      <c r="V6708">
        <v>1.7475220000000001E-3</v>
      </c>
      <c r="W6708">
        <v>-1.25603E-2</v>
      </c>
      <c r="X6708">
        <v>0.99991960000000002</v>
      </c>
      <c r="Y6708">
        <v>-0.21127119999999999</v>
      </c>
      <c r="Z6708">
        <v>-1.9664319999999999E-2</v>
      </c>
      <c r="AA6708">
        <v>0.97722969999999998</v>
      </c>
      <c r="AB6708">
        <v>17</v>
      </c>
      <c r="AC6708">
        <v>14.353899999999999</v>
      </c>
      <c r="AD6708">
        <v>-1.10154358</v>
      </c>
      <c r="AE6708">
        <v>10.83994</v>
      </c>
      <c r="AF6708">
        <v>-3.7944093130296199</v>
      </c>
      <c r="AG6708">
        <v>-1.10154358</v>
      </c>
      <c r="AH6708">
        <v>17.513651534796001</v>
      </c>
      <c r="AI6708">
        <v>93.517554101925199</v>
      </c>
      <c r="AJ6708">
        <v>102.22445026016101</v>
      </c>
      <c r="AK6708">
        <v>17.953799886812401</v>
      </c>
      <c r="AL6708">
        <v>90.719671095239605</v>
      </c>
      <c r="AM6708">
        <v>89.899866415992093</v>
      </c>
      <c r="AN6708">
        <v>1.00000001071669</v>
      </c>
    </row>
    <row r="6709" spans="1:40" x14ac:dyDescent="0.25">
      <c r="A6709" t="str">
        <f>"20190312161149062"</f>
        <v>20190312161149062</v>
      </c>
      <c r="B6709" t="str">
        <f>"1552378309053827"</f>
        <v>1552378309053827</v>
      </c>
      <c r="C6709" t="s">
        <v>40</v>
      </c>
      <c r="D6709">
        <v>4.9460989999999896</v>
      </c>
      <c r="E6709">
        <v>0.4177379</v>
      </c>
      <c r="F6709" t="s">
        <v>78</v>
      </c>
      <c r="G6709">
        <v>-179.95779999999999</v>
      </c>
      <c r="H6709">
        <v>2.5016699999999999E-2</v>
      </c>
      <c r="I6709">
        <v>-47.56926</v>
      </c>
      <c r="J6709">
        <v>-194.1566</v>
      </c>
      <c r="K6709">
        <v>1.114158</v>
      </c>
      <c r="L6709">
        <v>-58.393279999999997</v>
      </c>
      <c r="M6709">
        <v>0.90386999999999995</v>
      </c>
      <c r="N6709">
        <v>0</v>
      </c>
      <c r="O6709">
        <v>0.42756100000000002</v>
      </c>
      <c r="P6709">
        <v>0.90436119999999998</v>
      </c>
      <c r="Q6709">
        <v>-2.7041300000000001E-2</v>
      </c>
      <c r="R6709">
        <v>0.42591020000000002</v>
      </c>
      <c r="S6709">
        <v>2.4433440000000002</v>
      </c>
      <c r="T6709">
        <v>-0.185388</v>
      </c>
      <c r="U6709">
        <v>1.8565670000000001</v>
      </c>
      <c r="V6709">
        <v>1.8168119999999999E-3</v>
      </c>
      <c r="W6709">
        <v>-1.25118E-2</v>
      </c>
      <c r="X6709">
        <v>0.99992009999999998</v>
      </c>
      <c r="Y6709">
        <v>-0.20677090000000001</v>
      </c>
      <c r="Z6709">
        <v>-2.0103340000000001E-2</v>
      </c>
      <c r="AA6709">
        <v>0.97818289999999997</v>
      </c>
      <c r="AB6709">
        <v>17</v>
      </c>
      <c r="AC6709">
        <v>14.1988</v>
      </c>
      <c r="AD6709">
        <v>-1.0891413000000001</v>
      </c>
      <c r="AE6709">
        <v>10.824020000000001</v>
      </c>
      <c r="AF6709">
        <v>-3.6992786506005202</v>
      </c>
      <c r="AG6709">
        <v>-1.0891413000000001</v>
      </c>
      <c r="AH6709">
        <v>17.398890422662902</v>
      </c>
      <c r="AI6709">
        <v>93.503826680718205</v>
      </c>
      <c r="AJ6709">
        <v>102.003246228447</v>
      </c>
      <c r="AK6709">
        <v>17.8211189111679</v>
      </c>
      <c r="AL6709">
        <v>90.716892020510699</v>
      </c>
      <c r="AM6709">
        <v>89.895896136883806</v>
      </c>
      <c r="AN6709">
        <v>1.0000000261645401</v>
      </c>
    </row>
    <row r="6710" spans="1:40" x14ac:dyDescent="0.25">
      <c r="A6710" t="str">
        <f>"20190312161149075"</f>
        <v>20190312161149075</v>
      </c>
      <c r="B6710" t="str">
        <f>"1552378309063586"</f>
        <v>1552378309063586</v>
      </c>
      <c r="C6710" t="s">
        <v>40</v>
      </c>
      <c r="D6710">
        <v>4.9398269999999904</v>
      </c>
      <c r="E6710">
        <v>0.41805589999999998</v>
      </c>
      <c r="F6710" t="s">
        <v>78</v>
      </c>
      <c r="G6710">
        <v>-179.95779999999999</v>
      </c>
      <c r="H6710">
        <v>3.4357249999999999E-2</v>
      </c>
      <c r="I6710">
        <v>-47.438040000000001</v>
      </c>
      <c r="J6710">
        <v>-194.08609999999999</v>
      </c>
      <c r="K6710">
        <v>1.1141730000000001</v>
      </c>
      <c r="L6710">
        <v>-58.35483</v>
      </c>
      <c r="M6710">
        <v>0.90219689999999997</v>
      </c>
      <c r="N6710">
        <v>0</v>
      </c>
      <c r="O6710">
        <v>0.43108000000000002</v>
      </c>
      <c r="P6710">
        <v>0.902841</v>
      </c>
      <c r="Q6710">
        <v>-2.682909E-2</v>
      </c>
      <c r="R6710">
        <v>0.42913689999999999</v>
      </c>
      <c r="S6710">
        <v>2.4290769999999999</v>
      </c>
      <c r="T6710">
        <v>-0.18472749999999999</v>
      </c>
      <c r="U6710">
        <v>1.8741760000000001</v>
      </c>
      <c r="V6710">
        <v>2.1438809999999998E-3</v>
      </c>
      <c r="W6710">
        <v>-1.229073E-2</v>
      </c>
      <c r="X6710">
        <v>0.99992219999999998</v>
      </c>
      <c r="Y6710">
        <v>-0.21017730000000001</v>
      </c>
      <c r="Z6710">
        <v>-2.016252E-2</v>
      </c>
      <c r="AA6710">
        <v>0.97745539999999997</v>
      </c>
      <c r="AB6710">
        <v>17</v>
      </c>
      <c r="AC6710">
        <v>14.1282999999999</v>
      </c>
      <c r="AD6710">
        <v>-1.0798157500000001</v>
      </c>
      <c r="AE6710">
        <v>10.916790000000001</v>
      </c>
      <c r="AF6710">
        <v>-3.74536353452977</v>
      </c>
      <c r="AG6710">
        <v>-1.0798157500000001</v>
      </c>
      <c r="AH6710">
        <v>17.390748834437701</v>
      </c>
      <c r="AI6710">
        <v>93.473572004266998</v>
      </c>
      <c r="AJ6710">
        <v>102.153883105191</v>
      </c>
      <c r="AK6710">
        <v>17.8222303621693</v>
      </c>
      <c r="AL6710">
        <v>90.704224664513902</v>
      </c>
      <c r="AM6710">
        <v>89.877155297825595</v>
      </c>
      <c r="AN6710">
        <v>1.0000000321612501</v>
      </c>
    </row>
    <row r="6711" spans="1:40" x14ac:dyDescent="0.25">
      <c r="A6711" t="str">
        <f>"20190312161149085"</f>
        <v>20190312161149085</v>
      </c>
      <c r="B6711" t="str">
        <f>"1552378309074322"</f>
        <v>1552378309074322</v>
      </c>
      <c r="C6711" t="s">
        <v>40</v>
      </c>
      <c r="D6711">
        <v>4.9459169999999997</v>
      </c>
      <c r="E6711">
        <v>0.41841040000000002</v>
      </c>
      <c r="F6711" t="s">
        <v>78</v>
      </c>
      <c r="G6711">
        <v>-179.95769999999999</v>
      </c>
      <c r="H6711">
        <v>5.0052630000000001E-2</v>
      </c>
      <c r="I6711">
        <v>-47.391080000000002</v>
      </c>
      <c r="J6711">
        <v>-194.01609999999999</v>
      </c>
      <c r="K6711">
        <v>1.11419</v>
      </c>
      <c r="L6711">
        <v>-58.316589999999998</v>
      </c>
      <c r="M6711">
        <v>0.90051970000000003</v>
      </c>
      <c r="N6711">
        <v>0</v>
      </c>
      <c r="O6711">
        <v>0.43457259999999998</v>
      </c>
      <c r="P6711">
        <v>0.90116790000000002</v>
      </c>
      <c r="Q6711">
        <v>-2.6731169999999999E-2</v>
      </c>
      <c r="R6711">
        <v>0.43264540000000001</v>
      </c>
      <c r="S6711">
        <v>2.4235229999999999</v>
      </c>
      <c r="T6711">
        <v>-0.18253469999999999</v>
      </c>
      <c r="U6711">
        <v>1.880676</v>
      </c>
      <c r="V6711">
        <v>2.1298649999999999E-3</v>
      </c>
      <c r="W6711">
        <v>-1.218724E-2</v>
      </c>
      <c r="X6711">
        <v>0.99992349999999997</v>
      </c>
      <c r="Y6711">
        <v>-0.20910860000000001</v>
      </c>
      <c r="Z6711">
        <v>-2.0174109999999999E-2</v>
      </c>
      <c r="AA6711">
        <v>0.97768429999999995</v>
      </c>
      <c r="AB6711">
        <v>17</v>
      </c>
      <c r="AC6711">
        <v>14.058400000000001</v>
      </c>
      <c r="AD6711">
        <v>-1.0641373700000001</v>
      </c>
      <c r="AE6711">
        <v>10.925509999999999</v>
      </c>
      <c r="AF6711">
        <v>-3.7163595402013501</v>
      </c>
      <c r="AG6711">
        <v>-1.0641373700000001</v>
      </c>
      <c r="AH6711">
        <v>17.347661283862902</v>
      </c>
      <c r="AI6711">
        <v>93.432539924706404</v>
      </c>
      <c r="AJ6711">
        <v>102.091610457863</v>
      </c>
      <c r="AK6711">
        <v>17.7731558422783</v>
      </c>
      <c r="AL6711">
        <v>90.698294677999101</v>
      </c>
      <c r="AM6711">
        <v>89.877958572951897</v>
      </c>
      <c r="AN6711">
        <v>1.0000000354979901</v>
      </c>
    </row>
    <row r="6712" spans="1:40" x14ac:dyDescent="0.25">
      <c r="A6712" t="str">
        <f>"20190312161149095"</f>
        <v>20190312161149095</v>
      </c>
      <c r="B6712" t="str">
        <f>"1552378309084083"</f>
        <v>1552378309084083</v>
      </c>
      <c r="C6712" t="s">
        <v>40</v>
      </c>
      <c r="D6712">
        <v>4.9402879999999998</v>
      </c>
      <c r="E6712">
        <v>0.41878939999999998</v>
      </c>
      <c r="F6712" t="s">
        <v>78</v>
      </c>
      <c r="G6712">
        <v>-179.9494</v>
      </c>
      <c r="H6712">
        <v>5.8341160000000003E-2</v>
      </c>
      <c r="I6712">
        <v>-47.333240000000004</v>
      </c>
      <c r="J6712">
        <v>-193.9479</v>
      </c>
      <c r="K6712">
        <v>1.1142069999999999</v>
      </c>
      <c r="L6712">
        <v>-58.278590000000001</v>
      </c>
      <c r="M6712">
        <v>0.89884109999999995</v>
      </c>
      <c r="N6712">
        <v>0</v>
      </c>
      <c r="O6712">
        <v>0.43803379999999997</v>
      </c>
      <c r="P6712">
        <v>0.89952710000000002</v>
      </c>
      <c r="Q6712">
        <v>-2.6482780000000001E-2</v>
      </c>
      <c r="R6712">
        <v>0.4360617</v>
      </c>
      <c r="S6712">
        <v>2.4174349999999998</v>
      </c>
      <c r="T6712">
        <v>-0.1814528</v>
      </c>
      <c r="U6712">
        <v>1.887543</v>
      </c>
      <c r="V6712">
        <v>2.1839939999999999E-3</v>
      </c>
      <c r="W6712">
        <v>-1.1932659999999999E-2</v>
      </c>
      <c r="X6712">
        <v>0.99992639999999999</v>
      </c>
      <c r="Y6712">
        <v>-0.20826790000000001</v>
      </c>
      <c r="Z6712">
        <v>-2.0296709999999999E-2</v>
      </c>
      <c r="AA6712">
        <v>0.97786119999999999</v>
      </c>
      <c r="AB6712">
        <v>17</v>
      </c>
      <c r="AC6712">
        <v>13.9985</v>
      </c>
      <c r="AD6712">
        <v>-1.0558658400000001</v>
      </c>
      <c r="AE6712">
        <v>10.9453499999999</v>
      </c>
      <c r="AF6712">
        <v>-3.6936642259821402</v>
      </c>
      <c r="AG6712">
        <v>-1.0558658400000001</v>
      </c>
      <c r="AH6712">
        <v>17.317551254014699</v>
      </c>
      <c r="AI6712">
        <v>93.412482537263202</v>
      </c>
      <c r="AJ6712">
        <v>102.040212150925</v>
      </c>
      <c r="AK6712">
        <v>17.7385340296713</v>
      </c>
      <c r="AL6712">
        <v>90.683707294784</v>
      </c>
      <c r="AM6712">
        <v>89.874857349803094</v>
      </c>
      <c r="AN6712">
        <v>0.99999998181071303</v>
      </c>
    </row>
    <row r="6713" spans="1:40" x14ac:dyDescent="0.25">
      <c r="A6713" t="str">
        <f>"20190312161149106"</f>
        <v>20190312161149106</v>
      </c>
      <c r="B6713" t="str">
        <f>"1552378309093843"</f>
        <v>1552378309093843</v>
      </c>
      <c r="C6713" t="s">
        <v>40</v>
      </c>
      <c r="D6713">
        <v>4.9365209999999999</v>
      </c>
      <c r="E6713">
        <v>0.41912359999999999</v>
      </c>
      <c r="F6713" t="s">
        <v>78</v>
      </c>
      <c r="G6713">
        <v>-179.94390000000001</v>
      </c>
      <c r="H6713">
        <v>6.3885129999999998E-2</v>
      </c>
      <c r="I6713">
        <v>-47.280479999999997</v>
      </c>
      <c r="J6713">
        <v>-193.88409999999999</v>
      </c>
      <c r="K6713">
        <v>1.114223</v>
      </c>
      <c r="L6713">
        <v>-58.243040000000001</v>
      </c>
      <c r="M6713">
        <v>0.89725689999999902</v>
      </c>
      <c r="N6713">
        <v>0</v>
      </c>
      <c r="O6713">
        <v>0.44126969999999999</v>
      </c>
      <c r="P6713">
        <v>0.89792799999999995</v>
      </c>
      <c r="Q6713">
        <v>-2.649814E-2</v>
      </c>
      <c r="R6713">
        <v>0.43934400000000001</v>
      </c>
      <c r="S6713">
        <v>2.4116209999999998</v>
      </c>
      <c r="T6713">
        <v>-0.1808757</v>
      </c>
      <c r="U6713">
        <v>1.8939820000000001</v>
      </c>
      <c r="V6713">
        <v>2.1353349999999999E-3</v>
      </c>
      <c r="W6713">
        <v>-1.194336E-2</v>
      </c>
      <c r="X6713">
        <v>0.99992639999999999</v>
      </c>
      <c r="Y6713">
        <v>-0.20750669999999999</v>
      </c>
      <c r="Z6713">
        <v>-2.0457550000000001E-2</v>
      </c>
      <c r="AA6713">
        <v>0.97801970000000005</v>
      </c>
      <c r="AB6713">
        <v>17</v>
      </c>
      <c r="AC6713">
        <v>13.9401999999999</v>
      </c>
      <c r="AD6713">
        <v>-1.0503378699999999</v>
      </c>
      <c r="AE6713">
        <v>10.96256</v>
      </c>
      <c r="AF6713">
        <v>-3.6723520696210001</v>
      </c>
      <c r="AG6713">
        <v>-1.0503378699999999</v>
      </c>
      <c r="AH6713">
        <v>17.286580461702599</v>
      </c>
      <c r="AI6713">
        <v>93.401313884252204</v>
      </c>
      <c r="AJ6713">
        <v>101.99358124238699</v>
      </c>
      <c r="AK6713">
        <v>17.703537596292001</v>
      </c>
      <c r="AL6713">
        <v>90.684320387826105</v>
      </c>
      <c r="AM6713">
        <v>89.877645497340296</v>
      </c>
      <c r="AN6713">
        <v>1.0000000044602999</v>
      </c>
    </row>
    <row r="6714" spans="1:40" x14ac:dyDescent="0.25">
      <c r="A6714" t="str">
        <f>"20190312161149115"</f>
        <v>20190312161149115</v>
      </c>
      <c r="B6714" t="str">
        <f>"1552378309103603"</f>
        <v>1552378309103603</v>
      </c>
      <c r="C6714" t="s">
        <v>40</v>
      </c>
      <c r="D6714">
        <v>4.9445189999999997</v>
      </c>
      <c r="E6714">
        <v>0.41949229999999998</v>
      </c>
      <c r="F6714" t="s">
        <v>78</v>
      </c>
      <c r="G6714">
        <v>-179.9401</v>
      </c>
      <c r="H6714">
        <v>6.7670140000000004E-2</v>
      </c>
      <c r="I6714">
        <v>-47.22992</v>
      </c>
      <c r="J6714">
        <v>-193.8228</v>
      </c>
      <c r="K6714">
        <v>1.1142350000000001</v>
      </c>
      <c r="L6714">
        <v>-58.208309999999997</v>
      </c>
      <c r="M6714">
        <v>0.89569969999999999</v>
      </c>
      <c r="N6714">
        <v>0</v>
      </c>
      <c r="O6714">
        <v>0.44442179999999998</v>
      </c>
      <c r="P6714">
        <v>0.89643039999999996</v>
      </c>
      <c r="Q6714">
        <v>-2.653471E-2</v>
      </c>
      <c r="R6714">
        <v>0.44238959999999999</v>
      </c>
      <c r="S6714">
        <v>2.405945</v>
      </c>
      <c r="T6714">
        <v>-0.1805755</v>
      </c>
      <c r="U6714">
        <v>1.9002380000000001</v>
      </c>
      <c r="V6714">
        <v>2.2570839999999999E-3</v>
      </c>
      <c r="W6714">
        <v>-1.1973859999999999E-2</v>
      </c>
      <c r="X6714">
        <v>0.99992579999999998</v>
      </c>
      <c r="Y6714">
        <v>-0.20675959999999999</v>
      </c>
      <c r="Z6714">
        <v>-2.0642979999999998E-2</v>
      </c>
      <c r="AA6714">
        <v>0.97817399999999999</v>
      </c>
      <c r="AB6714">
        <v>17</v>
      </c>
      <c r="AC6714">
        <v>13.8827</v>
      </c>
      <c r="AD6714">
        <v>-1.0465648599999999</v>
      </c>
      <c r="AE6714">
        <v>10.9783899999999</v>
      </c>
      <c r="AF6714">
        <v>-3.6511868230258702</v>
      </c>
      <c r="AG6714">
        <v>-1.0465648599999999</v>
      </c>
      <c r="AH6714">
        <v>17.255262411613302</v>
      </c>
      <c r="AI6714">
        <v>93.395839161438403</v>
      </c>
      <c r="AJ6714">
        <v>101.94746715209</v>
      </c>
      <c r="AK6714">
        <v>17.6683486527875</v>
      </c>
      <c r="AL6714">
        <v>90.686068011991395</v>
      </c>
      <c r="AM6714">
        <v>89.870669236088901</v>
      </c>
      <c r="AN6714">
        <v>1.00000003662856</v>
      </c>
    </row>
    <row r="6715" spans="1:40" x14ac:dyDescent="0.25">
      <c r="A6715" t="str">
        <f>"20190312161149125"</f>
        <v>20190312161149125</v>
      </c>
      <c r="B6715" t="str">
        <f>"1552378309114338"</f>
        <v>1552378309114338</v>
      </c>
      <c r="C6715" t="s">
        <v>40</v>
      </c>
      <c r="D6715">
        <v>4.9604290000000004</v>
      </c>
      <c r="E6715">
        <v>0.41989490000000002</v>
      </c>
      <c r="F6715" t="s">
        <v>78</v>
      </c>
      <c r="G6715">
        <v>-179.94059999999999</v>
      </c>
      <c r="H6715">
        <v>6.7142629999999995E-2</v>
      </c>
      <c r="I6715">
        <v>-47.187980000000003</v>
      </c>
      <c r="J6715">
        <v>-193.7646</v>
      </c>
      <c r="K6715">
        <v>1.1142399999999999</v>
      </c>
      <c r="L6715">
        <v>-58.175289999999997</v>
      </c>
      <c r="M6715">
        <v>0.89421030000000001</v>
      </c>
      <c r="N6715">
        <v>0</v>
      </c>
      <c r="O6715">
        <v>0.44741069999999999</v>
      </c>
      <c r="P6715">
        <v>0.89486909999999897</v>
      </c>
      <c r="Q6715">
        <v>-2.673147E-2</v>
      </c>
      <c r="R6715">
        <v>0.44552740000000002</v>
      </c>
      <c r="S6715">
        <v>2.4007420000000002</v>
      </c>
      <c r="T6715">
        <v>-0.18108089999999999</v>
      </c>
      <c r="U6715">
        <v>1.905823</v>
      </c>
      <c r="V6715">
        <v>2.0930359999999999E-3</v>
      </c>
      <c r="W6715">
        <v>-1.216763E-2</v>
      </c>
      <c r="X6715">
        <v>0.99992380000000003</v>
      </c>
      <c r="Y6715">
        <v>-0.2059271</v>
      </c>
      <c r="Z6715">
        <v>-2.0912989999999999E-2</v>
      </c>
      <c r="AA6715">
        <v>0.97834379999999999</v>
      </c>
      <c r="AB6715">
        <v>17</v>
      </c>
      <c r="AC6715">
        <v>13.824</v>
      </c>
      <c r="AD6715">
        <v>-1.0470973699999999</v>
      </c>
      <c r="AE6715">
        <v>10.987310000000001</v>
      </c>
      <c r="AF6715">
        <v>-3.6275903608083699</v>
      </c>
      <c r="AG6715">
        <v>-1.0470973699999999</v>
      </c>
      <c r="AH6715">
        <v>17.218688417136001</v>
      </c>
      <c r="AI6715">
        <v>93.405395093278997</v>
      </c>
      <c r="AJ6715">
        <v>101.89695279667001</v>
      </c>
      <c r="AK6715">
        <v>17.627792134425199</v>
      </c>
      <c r="AL6715">
        <v>90.697171036049497</v>
      </c>
      <c r="AM6715">
        <v>89.880068907226303</v>
      </c>
      <c r="AN6715">
        <v>1.0000000189129701</v>
      </c>
    </row>
    <row r="6716" spans="1:40" x14ac:dyDescent="0.25">
      <c r="A6716" t="str">
        <f>"20190312161149134"</f>
        <v>20190312161149134</v>
      </c>
      <c r="B6716" t="str">
        <f>"1552378309124099"</f>
        <v>1552378309124099</v>
      </c>
      <c r="C6716" t="s">
        <v>40</v>
      </c>
      <c r="D6716">
        <v>4.928051</v>
      </c>
      <c r="E6716">
        <v>0.42032190000000003</v>
      </c>
      <c r="F6716" t="s">
        <v>78</v>
      </c>
      <c r="G6716">
        <v>-179.94309999999999</v>
      </c>
      <c r="H6716">
        <v>6.4697820000000003E-2</v>
      </c>
      <c r="I6716">
        <v>-47.146590000000003</v>
      </c>
      <c r="J6716">
        <v>-193.69659999999999</v>
      </c>
      <c r="K6716">
        <v>1.114252</v>
      </c>
      <c r="L6716">
        <v>-58.13608</v>
      </c>
      <c r="M6716">
        <v>0.89242909999999998</v>
      </c>
      <c r="N6716">
        <v>0</v>
      </c>
      <c r="O6716">
        <v>0.45095289999999999</v>
      </c>
      <c r="P6716">
        <v>0.89301430000000004</v>
      </c>
      <c r="Q6716">
        <v>-2.700557E-2</v>
      </c>
      <c r="R6716">
        <v>0.44921739999999999</v>
      </c>
      <c r="S6716">
        <v>2.3954010000000001</v>
      </c>
      <c r="T6716">
        <v>-0.18189540000000001</v>
      </c>
      <c r="U6716">
        <v>1.9113770000000001</v>
      </c>
      <c r="V6716">
        <v>1.9297170000000001E-3</v>
      </c>
      <c r="W6716">
        <v>-1.2438019999999999E-2</v>
      </c>
      <c r="X6716">
        <v>0.99992080000000005</v>
      </c>
      <c r="Y6716">
        <v>-0.20450570000000001</v>
      </c>
      <c r="Z6716">
        <v>-2.127159E-2</v>
      </c>
      <c r="AA6716">
        <v>0.97863420000000001</v>
      </c>
      <c r="AB6716">
        <v>17</v>
      </c>
      <c r="AC6716">
        <v>13.753500000000001</v>
      </c>
      <c r="AD6716">
        <v>-1.0495541799999999</v>
      </c>
      <c r="AE6716">
        <v>10.98949</v>
      </c>
      <c r="AF6716">
        <v>-3.5927721250167401</v>
      </c>
      <c r="AG6716">
        <v>-1.0495541799999999</v>
      </c>
      <c r="AH6716">
        <v>17.170562120593502</v>
      </c>
      <c r="AI6716">
        <v>93.4238978314647</v>
      </c>
      <c r="AJ6716">
        <v>101.818079026354</v>
      </c>
      <c r="AK6716">
        <v>17.5737810119568</v>
      </c>
      <c r="AL6716">
        <v>90.712664415418701</v>
      </c>
      <c r="AM6716">
        <v>89.889426740104994</v>
      </c>
      <c r="AN6716">
        <v>1.00000001721093</v>
      </c>
    </row>
    <row r="6717" spans="1:40" x14ac:dyDescent="0.25">
      <c r="A6717" t="str">
        <f>"20190312161149145"</f>
        <v>20190312161149145</v>
      </c>
      <c r="B6717" t="str">
        <f>"1552378309133859"</f>
        <v>1552378309133859</v>
      </c>
      <c r="C6717" t="s">
        <v>40</v>
      </c>
      <c r="D6717">
        <v>4.969608</v>
      </c>
      <c r="E6717">
        <v>0.4206628</v>
      </c>
      <c r="F6717" t="s">
        <v>78</v>
      </c>
      <c r="G6717">
        <v>-179.9451</v>
      </c>
      <c r="H6717">
        <v>6.261833E-2</v>
      </c>
      <c r="I6717">
        <v>-47.094839999999998</v>
      </c>
      <c r="J6717">
        <v>-193.63499999999999</v>
      </c>
      <c r="K6717">
        <v>1.1142639999999999</v>
      </c>
      <c r="L6717">
        <v>-58.100430000000003</v>
      </c>
      <c r="M6717">
        <v>0.89079909999999995</v>
      </c>
      <c r="N6717">
        <v>0</v>
      </c>
      <c r="O6717">
        <v>0.45416410000000002</v>
      </c>
      <c r="P6717">
        <v>0.89133439999999997</v>
      </c>
      <c r="Q6717">
        <v>-2.6948070000000001E-2</v>
      </c>
      <c r="R6717">
        <v>0.45254480000000002</v>
      </c>
      <c r="S6717">
        <v>2.388992</v>
      </c>
      <c r="T6717">
        <v>-0.18269630000000001</v>
      </c>
      <c r="U6717">
        <v>1.9181520000000001</v>
      </c>
      <c r="V6717">
        <v>1.8022520000000001E-3</v>
      </c>
      <c r="W6717">
        <v>-1.2376979999999999E-2</v>
      </c>
      <c r="X6717">
        <v>0.99992179999999997</v>
      </c>
      <c r="Y6717">
        <v>-0.20395730000000001</v>
      </c>
      <c r="Z6717">
        <v>-2.1586709999999999E-2</v>
      </c>
      <c r="AA6717">
        <v>0.9787418</v>
      </c>
      <c r="AB6717">
        <v>17</v>
      </c>
      <c r="AC6717">
        <v>13.6898999999999</v>
      </c>
      <c r="AD6717">
        <v>-1.0516456700000001</v>
      </c>
      <c r="AE6717">
        <v>11.0055899999999</v>
      </c>
      <c r="AF6717">
        <v>-3.5738779634120701</v>
      </c>
      <c r="AG6717">
        <v>-1.0516456700000001</v>
      </c>
      <c r="AH6717">
        <v>17.133700381877102</v>
      </c>
      <c r="AI6717">
        <v>93.438515760942295</v>
      </c>
      <c r="AJ6717">
        <v>101.78225229450101</v>
      </c>
      <c r="AK6717">
        <v>17.5340312275451</v>
      </c>
      <c r="AL6717">
        <v>90.709166808518106</v>
      </c>
      <c r="AM6717">
        <v>89.896730602932905</v>
      </c>
      <c r="AN6717">
        <v>1.0000000219307099</v>
      </c>
    </row>
    <row r="6718" spans="1:40" x14ac:dyDescent="0.25">
      <c r="A6718" t="str">
        <f>"20190312161149156"</f>
        <v>20190312161149156</v>
      </c>
      <c r="B6718" t="str">
        <f>"1552378309143618"</f>
        <v>1552378309143618</v>
      </c>
      <c r="C6718" t="s">
        <v>40</v>
      </c>
      <c r="D6718">
        <v>4.9755029999999998</v>
      </c>
      <c r="E6718">
        <v>0.4210275</v>
      </c>
      <c r="F6718" t="s">
        <v>78</v>
      </c>
      <c r="G6718">
        <v>-179.93709999999999</v>
      </c>
      <c r="H6718">
        <v>7.0634600000000006E-2</v>
      </c>
      <c r="I6718">
        <v>-47.037709999999997</v>
      </c>
      <c r="J6718">
        <v>-193.56389999999999</v>
      </c>
      <c r="K6718">
        <v>1.114282</v>
      </c>
      <c r="L6718">
        <v>-58.05856</v>
      </c>
      <c r="M6718">
        <v>0.88887380000000005</v>
      </c>
      <c r="N6718">
        <v>0</v>
      </c>
      <c r="O6718">
        <v>0.45792070000000001</v>
      </c>
      <c r="P6718">
        <v>0.88935010000000003</v>
      </c>
      <c r="Q6718">
        <v>-2.6894890000000001E-2</v>
      </c>
      <c r="R6718">
        <v>0.45643529999999999</v>
      </c>
      <c r="S6718">
        <v>2.3830719999999999</v>
      </c>
      <c r="T6718">
        <v>-0.181564</v>
      </c>
      <c r="U6718">
        <v>1.9246220000000001</v>
      </c>
      <c r="V6718">
        <v>1.6550779999999999E-3</v>
      </c>
      <c r="W6718">
        <v>-1.2319800000000001E-2</v>
      </c>
      <c r="X6718">
        <v>0.9999228</v>
      </c>
      <c r="Y6718">
        <v>-0.20262330000000001</v>
      </c>
      <c r="Z6718">
        <v>-2.1727429999999999E-2</v>
      </c>
      <c r="AA6718">
        <v>0.97901570000000004</v>
      </c>
      <c r="AB6718">
        <v>17</v>
      </c>
      <c r="AC6718">
        <v>13.626799999999999</v>
      </c>
      <c r="AD6718">
        <v>-1.0436474</v>
      </c>
      <c r="AE6718">
        <v>11.020849999999999</v>
      </c>
      <c r="AF6718">
        <v>-3.5439605727873502</v>
      </c>
      <c r="AG6718">
        <v>-1.0436474</v>
      </c>
      <c r="AH6718">
        <v>17.100359339102798</v>
      </c>
      <c r="AI6718">
        <v>93.419976749349303</v>
      </c>
      <c r="AJ6718">
        <v>101.708502020948</v>
      </c>
      <c r="AK6718">
        <v>17.494889138358101</v>
      </c>
      <c r="AL6718">
        <v>90.705890358276093</v>
      </c>
      <c r="AM6718">
        <v>89.905163781080006</v>
      </c>
      <c r="AN6718">
        <v>1.0000000613575299</v>
      </c>
    </row>
    <row r="6719" spans="1:40" x14ac:dyDescent="0.25">
      <c r="A6719" t="str">
        <f>"20190312161149168"</f>
        <v>20190312161149168</v>
      </c>
      <c r="B6719" t="str">
        <f>"1552378309164115"</f>
        <v>1552378309164115</v>
      </c>
      <c r="C6719" t="s">
        <v>40</v>
      </c>
      <c r="D6719">
        <v>4.9701139999999997</v>
      </c>
      <c r="E6719">
        <v>0.42168230000000001</v>
      </c>
      <c r="F6719" t="s">
        <v>78</v>
      </c>
      <c r="G6719">
        <v>-179.92930000000001</v>
      </c>
      <c r="H6719">
        <v>7.8483339999999999E-2</v>
      </c>
      <c r="I6719">
        <v>-46.96846</v>
      </c>
      <c r="J6719">
        <v>-193.49250000000001</v>
      </c>
      <c r="K6719">
        <v>1.1142989999999999</v>
      </c>
      <c r="L6719">
        <v>-58.016359999999999</v>
      </c>
      <c r="M6719">
        <v>0.88691439999999999</v>
      </c>
      <c r="N6719">
        <v>0</v>
      </c>
      <c r="O6719">
        <v>0.461704</v>
      </c>
      <c r="P6719">
        <v>0.88727049999999996</v>
      </c>
      <c r="Q6719">
        <v>-2.6850929999999999E-2</v>
      </c>
      <c r="R6719">
        <v>0.46046730000000002</v>
      </c>
      <c r="S6719">
        <v>2.3759610000000002</v>
      </c>
      <c r="T6719">
        <v>-0.18049789999999999</v>
      </c>
      <c r="U6719">
        <v>1.9325559999999999</v>
      </c>
      <c r="V6719">
        <v>1.3779949999999999E-3</v>
      </c>
      <c r="W6719">
        <v>-1.22731E-2</v>
      </c>
      <c r="X6719">
        <v>0.99992369999999997</v>
      </c>
      <c r="Y6719">
        <v>-0.20185400000000001</v>
      </c>
      <c r="Z6719">
        <v>-2.185906E-2</v>
      </c>
      <c r="AA6719">
        <v>0.97917160000000003</v>
      </c>
      <c r="AB6719">
        <v>17</v>
      </c>
      <c r="AC6719">
        <v>13.563199999999901</v>
      </c>
      <c r="AD6719">
        <v>-1.0358156599999999</v>
      </c>
      <c r="AE6719">
        <v>11.047899999999901</v>
      </c>
      <c r="AF6719">
        <v>-3.5243765887022098</v>
      </c>
      <c r="AG6719">
        <v>-1.0358156599999999</v>
      </c>
      <c r="AH6719">
        <v>17.072219034050299</v>
      </c>
      <c r="AI6719">
        <v>93.400496665805605</v>
      </c>
      <c r="AJ6719">
        <v>101.664242577783</v>
      </c>
      <c r="AK6719">
        <v>17.462955281597701</v>
      </c>
      <c r="AL6719">
        <v>90.703214509697403</v>
      </c>
      <c r="AM6719">
        <v>89.921040727698895</v>
      </c>
      <c r="AN6719">
        <v>0.99999996683775905</v>
      </c>
    </row>
    <row r="6720" spans="1:40" x14ac:dyDescent="0.25">
      <c r="A6720" t="str">
        <f>"20190312161149179"</f>
        <v>20190312161149179</v>
      </c>
      <c r="B6720" t="str">
        <f>"1552378309173875"</f>
        <v>1552378309173875</v>
      </c>
      <c r="C6720" t="s">
        <v>40</v>
      </c>
      <c r="D6720">
        <v>4.9516169999999997</v>
      </c>
      <c r="E6720">
        <v>0.42203990000000002</v>
      </c>
      <c r="F6720" t="s">
        <v>78</v>
      </c>
      <c r="G6720">
        <v>-179.7388</v>
      </c>
      <c r="H6720">
        <v>7.9986570000000007E-2</v>
      </c>
      <c r="I6720">
        <v>-46.763739999999999</v>
      </c>
      <c r="J6720">
        <v>-193.41849999999999</v>
      </c>
      <c r="K6720">
        <v>1.114317</v>
      </c>
      <c r="L6720">
        <v>-57.97195</v>
      </c>
      <c r="M6720">
        <v>0.88484030000000002</v>
      </c>
      <c r="N6720">
        <v>0</v>
      </c>
      <c r="O6720">
        <v>0.46566649999999998</v>
      </c>
      <c r="P6720">
        <v>0.88497199999999998</v>
      </c>
      <c r="Q6720">
        <v>-2.6718530000000001E-2</v>
      </c>
      <c r="R6720">
        <v>0.46487679999999998</v>
      </c>
      <c r="S6720">
        <v>2.3696440000000001</v>
      </c>
      <c r="T6720">
        <v>-0.17820250000000001</v>
      </c>
      <c r="U6720">
        <v>1.9387209999999999</v>
      </c>
      <c r="V6720">
        <v>8.7594660000000005E-4</v>
      </c>
      <c r="W6720">
        <v>-1.2139789999999999E-2</v>
      </c>
      <c r="X6720">
        <v>0.99992590000000003</v>
      </c>
      <c r="Y6720">
        <v>-0.2002756</v>
      </c>
      <c r="Z6720">
        <v>-2.1873210000000001E-2</v>
      </c>
      <c r="AA6720">
        <v>0.97949540000000002</v>
      </c>
      <c r="AB6720">
        <v>17</v>
      </c>
      <c r="AC6720">
        <v>13.679699999999899</v>
      </c>
      <c r="AD6720">
        <v>-1.03433043</v>
      </c>
      <c r="AE6720">
        <v>11.2082099999999</v>
      </c>
      <c r="AF6720">
        <v>-3.5355805606236501</v>
      </c>
      <c r="AG6720">
        <v>-1.03433043</v>
      </c>
      <c r="AH6720">
        <v>17.266414900880299</v>
      </c>
      <c r="AI6720">
        <v>93.358634955207293</v>
      </c>
      <c r="AJ6720">
        <v>101.57227775651999</v>
      </c>
      <c r="AK6720">
        <v>17.655006453366799</v>
      </c>
      <c r="AL6720">
        <v>90.695575835249898</v>
      </c>
      <c r="AM6720">
        <v>89.949808250370495</v>
      </c>
      <c r="AN6720">
        <v>0.99999997363724902</v>
      </c>
    </row>
    <row r="6721" spans="1:40" x14ac:dyDescent="0.25">
      <c r="A6721" t="str">
        <f>"20190312161149191"</f>
        <v>20190312161149191</v>
      </c>
      <c r="B6721" t="str">
        <f>"1552378309183635"</f>
        <v>1552378309183635</v>
      </c>
      <c r="C6721" t="s">
        <v>40</v>
      </c>
      <c r="D6721">
        <v>4.9668060000000001</v>
      </c>
      <c r="E6721">
        <v>0.42236380000000001</v>
      </c>
      <c r="F6721" t="s">
        <v>78</v>
      </c>
      <c r="G6721">
        <v>-179.61660000000001</v>
      </c>
      <c r="H6721">
        <v>7.9986580000000002E-2</v>
      </c>
      <c r="I6721">
        <v>-46.58511</v>
      </c>
      <c r="J6721">
        <v>-193.34870000000001</v>
      </c>
      <c r="K6721">
        <v>1.1143339999999999</v>
      </c>
      <c r="L6721">
        <v>-57.929690000000001</v>
      </c>
      <c r="M6721">
        <v>0.88284750000000001</v>
      </c>
      <c r="N6721">
        <v>0</v>
      </c>
      <c r="O6721">
        <v>0.46943360000000001</v>
      </c>
      <c r="P6721">
        <v>0.88266339999999999</v>
      </c>
      <c r="Q6721">
        <v>-2.667781E-2</v>
      </c>
      <c r="R6721">
        <v>0.4692481</v>
      </c>
      <c r="S6721">
        <v>2.3612519999999999</v>
      </c>
      <c r="T6721">
        <v>-0.1769559</v>
      </c>
      <c r="U6721">
        <v>1.9480900000000001</v>
      </c>
      <c r="V6721">
        <v>1.9310829999999999E-4</v>
      </c>
      <c r="W6721">
        <v>-1.210018E-2</v>
      </c>
      <c r="X6721">
        <v>0.99992669999999995</v>
      </c>
      <c r="Y6721">
        <v>-0.20012079999999999</v>
      </c>
      <c r="Z6721">
        <v>-2.1957529999999999E-2</v>
      </c>
      <c r="AA6721">
        <v>0.97952510000000004</v>
      </c>
      <c r="AB6721">
        <v>17</v>
      </c>
      <c r="AC6721">
        <v>13.732100000000001</v>
      </c>
      <c r="AD6721">
        <v>-1.03434742</v>
      </c>
      <c r="AE6721">
        <v>11.344580000000001</v>
      </c>
      <c r="AF6721">
        <v>-3.5576073421235002</v>
      </c>
      <c r="AG6721">
        <v>-1.03434742</v>
      </c>
      <c r="AH6721">
        <v>17.392082147099501</v>
      </c>
      <c r="AI6721">
        <v>93.334615841255697</v>
      </c>
      <c r="AJ6721">
        <v>101.56056081467899</v>
      </c>
      <c r="AK6721">
        <v>17.7823217268569</v>
      </c>
      <c r="AL6721">
        <v>90.693306213946698</v>
      </c>
      <c r="AM6721">
        <v>89.988934898486605</v>
      </c>
      <c r="AN6721">
        <v>0.99999992850986597</v>
      </c>
    </row>
    <row r="6722" spans="1:40" x14ac:dyDescent="0.25">
      <c r="A6722" t="str">
        <f>"20190312161149201"</f>
        <v>20190312161149201</v>
      </c>
      <c r="B6722" t="str">
        <f>"1552378309193395"</f>
        <v>1552378309193395</v>
      </c>
      <c r="C6722" t="s">
        <v>40</v>
      </c>
      <c r="D6722">
        <v>4.9646939999999997</v>
      </c>
      <c r="E6722">
        <v>0.42271540000000002</v>
      </c>
      <c r="F6722" t="s">
        <v>78</v>
      </c>
      <c r="G6722">
        <v>-179.51650000000001</v>
      </c>
      <c r="H6722">
        <v>7.9986580000000002E-2</v>
      </c>
      <c r="I6722">
        <v>-46.423720000000003</v>
      </c>
      <c r="J6722">
        <v>-193.2808</v>
      </c>
      <c r="K6722">
        <v>1.11435</v>
      </c>
      <c r="L6722">
        <v>-57.888210000000001</v>
      </c>
      <c r="M6722">
        <v>0.88087669999999996</v>
      </c>
      <c r="N6722">
        <v>0</v>
      </c>
      <c r="O6722">
        <v>0.47312109999999902</v>
      </c>
      <c r="P6722">
        <v>0.88049439999999901</v>
      </c>
      <c r="Q6722">
        <v>-2.622408E-2</v>
      </c>
      <c r="R6722">
        <v>0.4733311</v>
      </c>
      <c r="S6722">
        <v>2.352951</v>
      </c>
      <c r="T6722">
        <v>-0.17594979999999999</v>
      </c>
      <c r="U6722">
        <v>1.9572449999999999</v>
      </c>
      <c r="V6722">
        <v>-2.5396210000000003E-4</v>
      </c>
      <c r="W6722">
        <v>-1.1645340000000001E-2</v>
      </c>
      <c r="X6722">
        <v>0.99993220000000005</v>
      </c>
      <c r="Y6722">
        <v>-0.19997570000000001</v>
      </c>
      <c r="Z6722">
        <v>-2.2063820000000001E-2</v>
      </c>
      <c r="AA6722">
        <v>0.97955239999999999</v>
      </c>
      <c r="AB6722">
        <v>17</v>
      </c>
      <c r="AC6722">
        <v>13.764299999999899</v>
      </c>
      <c r="AD6722">
        <v>-1.03436342</v>
      </c>
      <c r="AE6722">
        <v>11.4644899999999</v>
      </c>
      <c r="AF6722">
        <v>-3.5750828140821098</v>
      </c>
      <c r="AG6722">
        <v>-1.03436342</v>
      </c>
      <c r="AH6722">
        <v>17.492287082595698</v>
      </c>
      <c r="AI6722">
        <v>93.315719498982006</v>
      </c>
      <c r="AJ6722">
        <v>101.551060213198</v>
      </c>
      <c r="AK6722">
        <v>17.8838259942364</v>
      </c>
      <c r="AL6722">
        <v>90.667243887133196</v>
      </c>
      <c r="AM6722">
        <v>90.014551942795094</v>
      </c>
      <c r="AN6722">
        <v>1.0000000415186501</v>
      </c>
    </row>
    <row r="6723" spans="1:40" x14ac:dyDescent="0.25">
      <c r="A6723" t="str">
        <f>"20190312161149212"</f>
        <v>20190312161149212</v>
      </c>
      <c r="B6723" t="str">
        <f>"1552378309204131"</f>
        <v>1552378309204131</v>
      </c>
      <c r="C6723" t="s">
        <v>40</v>
      </c>
      <c r="D6723">
        <v>5.051526</v>
      </c>
      <c r="E6723">
        <v>0.42271540000000002</v>
      </c>
      <c r="F6723" t="s">
        <v>78</v>
      </c>
      <c r="G6723">
        <v>-179.34379999999999</v>
      </c>
      <c r="H6723">
        <v>7.9986559999999998E-2</v>
      </c>
      <c r="I6723">
        <v>-46.206859999999999</v>
      </c>
      <c r="J6723">
        <v>-193.21459999999999</v>
      </c>
      <c r="K6723">
        <v>1.1143700000000001</v>
      </c>
      <c r="L6723">
        <v>-57.847200000000001</v>
      </c>
      <c r="M6723">
        <v>0.87891269999999999</v>
      </c>
      <c r="N6723">
        <v>0</v>
      </c>
      <c r="O6723">
        <v>0.4767594</v>
      </c>
      <c r="P6723">
        <v>0.87819899999999995</v>
      </c>
      <c r="Q6723">
        <v>-2.6045929999999998E-2</v>
      </c>
      <c r="R6723">
        <v>0.4775858</v>
      </c>
      <c r="S6723">
        <v>2.3452609999999998</v>
      </c>
      <c r="T6723">
        <v>-0.1740592</v>
      </c>
      <c r="U6723">
        <v>1.9656979999999999</v>
      </c>
      <c r="V6723">
        <v>-9.5629760000000004E-4</v>
      </c>
      <c r="W6723">
        <v>-1.1468330000000001E-2</v>
      </c>
      <c r="X6723">
        <v>0.99993379999999998</v>
      </c>
      <c r="Y6723">
        <v>-0.19957639999999999</v>
      </c>
      <c r="Z6723">
        <v>-2.2058919999999999E-2</v>
      </c>
      <c r="AA6723">
        <v>0.97963389999999995</v>
      </c>
      <c r="AB6723">
        <v>17</v>
      </c>
      <c r="AC6723">
        <v>13.870799999999999</v>
      </c>
      <c r="AD6723">
        <v>-1.03438344</v>
      </c>
      <c r="AE6723">
        <v>11.64034</v>
      </c>
      <c r="AF6723">
        <v>-3.6064256090148801</v>
      </c>
      <c r="AG6723">
        <v>-1.03438344</v>
      </c>
      <c r="AH6723">
        <v>17.685045452233599</v>
      </c>
      <c r="AI6723">
        <v>93.280014510722495</v>
      </c>
      <c r="AJ6723">
        <v>101.526013276782</v>
      </c>
      <c r="AK6723">
        <v>18.078636215762302</v>
      </c>
      <c r="AL6723">
        <v>90.657101297915702</v>
      </c>
      <c r="AM6723">
        <v>90.054795427191095</v>
      </c>
      <c r="AN6723">
        <v>1.00000002074026</v>
      </c>
    </row>
    <row r="6724" spans="1:40" x14ac:dyDescent="0.25">
      <c r="A6724" t="str">
        <f>"20190312161149224"</f>
        <v>20190312161149224</v>
      </c>
      <c r="B6724" t="str">
        <f>"1552378309213891"</f>
        <v>1552378309213891</v>
      </c>
      <c r="C6724" t="s">
        <v>40</v>
      </c>
      <c r="D6724">
        <v>5.3112760000000003</v>
      </c>
      <c r="E6724">
        <v>0.42245579999999999</v>
      </c>
      <c r="F6724" t="s">
        <v>78</v>
      </c>
      <c r="G6724">
        <v>-179.28909999999999</v>
      </c>
      <c r="H6724">
        <v>7.9986570000000007E-2</v>
      </c>
      <c r="I6724">
        <v>-46.05968</v>
      </c>
      <c r="J6724">
        <v>-193.1446</v>
      </c>
      <c r="K6724">
        <v>1.11439</v>
      </c>
      <c r="L6724">
        <v>-57.803620000000002</v>
      </c>
      <c r="M6724">
        <v>0.87681039999999999</v>
      </c>
      <c r="N6724">
        <v>0</v>
      </c>
      <c r="O6724">
        <v>0.48061500000000001</v>
      </c>
      <c r="P6724">
        <v>0.87584879999999998</v>
      </c>
      <c r="Q6724">
        <v>-2.5757700000000001E-2</v>
      </c>
      <c r="R6724">
        <v>0.48189779999999999</v>
      </c>
      <c r="S6724">
        <v>2.3357239999999999</v>
      </c>
      <c r="T6724">
        <v>-0.17349619999999999</v>
      </c>
      <c r="U6724">
        <v>1.977112</v>
      </c>
      <c r="V6724">
        <v>-1.4784049999999999E-3</v>
      </c>
      <c r="W6724">
        <v>-1.117924E-2</v>
      </c>
      <c r="X6724">
        <v>0.99993639999999995</v>
      </c>
      <c r="Y6724">
        <v>-0.2000362</v>
      </c>
      <c r="Z6724">
        <v>-2.2205860000000001E-2</v>
      </c>
      <c r="AA6724">
        <v>0.97953679999999999</v>
      </c>
      <c r="AB6724">
        <v>17</v>
      </c>
      <c r="AC6724">
        <v>13.855499999999999</v>
      </c>
      <c r="AD6724">
        <v>-1.03440343</v>
      </c>
      <c r="AE6724">
        <v>11.743939999999901</v>
      </c>
      <c r="AF6724">
        <v>-3.62667179889793</v>
      </c>
      <c r="AG6724">
        <v>-1.03440343</v>
      </c>
      <c r="AH6724">
        <v>17.737323478775</v>
      </c>
      <c r="AI6724">
        <v>93.270085579990294</v>
      </c>
      <c r="AJ6724">
        <v>101.555737000932</v>
      </c>
      <c r="AK6724">
        <v>18.133818764496901</v>
      </c>
      <c r="AL6724">
        <v>90.640536623690707</v>
      </c>
      <c r="AM6724">
        <v>90.084711692853205</v>
      </c>
      <c r="AN6724">
        <v>0.99999998256664002</v>
      </c>
    </row>
    <row r="6725" spans="1:40" x14ac:dyDescent="0.25">
      <c r="A6725" t="str">
        <f>"20190312161149235"</f>
        <v>20190312161149235</v>
      </c>
      <c r="B6725" t="str">
        <f>"1552378309223651"</f>
        <v>1552378309223651</v>
      </c>
      <c r="C6725" t="s">
        <v>40</v>
      </c>
      <c r="D6725">
        <v>5.1004139999999998</v>
      </c>
      <c r="E6725">
        <v>0.42245579999999999</v>
      </c>
      <c r="F6725" t="s">
        <v>78</v>
      </c>
      <c r="G6725">
        <v>-179.2902</v>
      </c>
      <c r="H6725">
        <v>7.9986559999999998E-2</v>
      </c>
      <c r="I6725">
        <v>-45.942149999999998</v>
      </c>
      <c r="J6725">
        <v>-193.07910000000001</v>
      </c>
      <c r="K6725">
        <v>1.114414</v>
      </c>
      <c r="L6725">
        <v>-57.7620199999999</v>
      </c>
      <c r="M6725">
        <v>0.87478579999999995</v>
      </c>
      <c r="N6725">
        <v>0</v>
      </c>
      <c r="O6725">
        <v>0.48428969999999999</v>
      </c>
      <c r="P6725">
        <v>0.87355509999999903</v>
      </c>
      <c r="Q6725">
        <v>-2.5771680000000002E-2</v>
      </c>
      <c r="R6725">
        <v>0.48604249999999999</v>
      </c>
      <c r="S6725">
        <v>2.324951</v>
      </c>
      <c r="T6725">
        <v>-0.1735865</v>
      </c>
      <c r="U6725">
        <v>1.9905090000000001</v>
      </c>
      <c r="V6725">
        <v>-2.0205330000000001E-3</v>
      </c>
      <c r="W6725">
        <v>-1.11924E-2</v>
      </c>
      <c r="X6725">
        <v>0.99993529999999997</v>
      </c>
      <c r="Y6725">
        <v>-0.2014283</v>
      </c>
      <c r="Z6725">
        <v>-2.2398069999999999E-2</v>
      </c>
      <c r="AA6725">
        <v>0.97924719999999998</v>
      </c>
      <c r="AB6725">
        <v>16</v>
      </c>
      <c r="AC6725">
        <v>13.7889</v>
      </c>
      <c r="AD6725">
        <v>-1.03442744</v>
      </c>
      <c r="AE6725">
        <v>11.8198699999999</v>
      </c>
      <c r="AF6725">
        <v>-3.6505799864706399</v>
      </c>
      <c r="AG6725">
        <v>-1.03442744</v>
      </c>
      <c r="AH6725">
        <v>17.730951598356999</v>
      </c>
      <c r="AI6725">
        <v>93.270420260319199</v>
      </c>
      <c r="AJ6725">
        <v>101.63391284815199</v>
      </c>
      <c r="AK6725">
        <v>18.132385914421899</v>
      </c>
      <c r="AL6725">
        <v>90.641290686088595</v>
      </c>
      <c r="AM6725">
        <v>90.115775346368693</v>
      </c>
      <c r="AN6725">
        <v>0.999999978278726</v>
      </c>
    </row>
    <row r="6726" spans="1:40" x14ac:dyDescent="0.25">
      <c r="A6726" t="str">
        <f>"20190312161149247"</f>
        <v>20190312161149247</v>
      </c>
      <c r="B6726" t="str">
        <f>"1552378309244146"</f>
        <v>1552378309244146</v>
      </c>
      <c r="C6726" t="s">
        <v>40</v>
      </c>
      <c r="D6726">
        <v>5.063434</v>
      </c>
      <c r="E6726">
        <v>0.36860979999999999</v>
      </c>
      <c r="F6726" t="s">
        <v>78</v>
      </c>
      <c r="G6726">
        <v>-179.2492</v>
      </c>
      <c r="H6726">
        <v>7.9986570000000007E-2</v>
      </c>
      <c r="I6726">
        <v>-45.80791</v>
      </c>
      <c r="J6726">
        <v>-193.0051</v>
      </c>
      <c r="K6726">
        <v>1.114439</v>
      </c>
      <c r="L6726">
        <v>-57.714840000000002</v>
      </c>
      <c r="M6726">
        <v>0.87247219999999903</v>
      </c>
      <c r="N6726">
        <v>0</v>
      </c>
      <c r="O6726">
        <v>0.48844530000000003</v>
      </c>
      <c r="P6726">
        <v>0.87088690000000002</v>
      </c>
      <c r="Q6726">
        <v>-2.517645E-2</v>
      </c>
      <c r="R6726">
        <v>0.49083830000000001</v>
      </c>
      <c r="S6726">
        <v>2.3155209999999999</v>
      </c>
      <c r="T6726">
        <v>-0.17319309999999999</v>
      </c>
      <c r="U6726">
        <v>2.001465</v>
      </c>
      <c r="V6726">
        <v>-2.759123E-3</v>
      </c>
      <c r="W6726">
        <v>-1.059742E-2</v>
      </c>
      <c r="X6726">
        <v>0.99994000000000005</v>
      </c>
      <c r="Y6726">
        <v>-0.20139760000000001</v>
      </c>
      <c r="Z6726">
        <v>-2.2596390000000001E-2</v>
      </c>
      <c r="AA6726">
        <v>0.97924889999999998</v>
      </c>
      <c r="AB6726">
        <v>16</v>
      </c>
      <c r="AC6726">
        <v>13.755899999999899</v>
      </c>
      <c r="AD6726">
        <v>-1.03445243</v>
      </c>
      <c r="AE6726">
        <v>11.906929999999999</v>
      </c>
      <c r="AF6726">
        <v>-3.65802633140208</v>
      </c>
      <c r="AG6726">
        <v>-1.03445243</v>
      </c>
      <c r="AH6726">
        <v>17.762003279541901</v>
      </c>
      <c r="AI6726">
        <v>93.264755803721698</v>
      </c>
      <c r="AJ6726">
        <v>101.6371719954</v>
      </c>
      <c r="AK6726">
        <v>18.164250850877998</v>
      </c>
      <c r="AL6726">
        <v>90.607198829145901</v>
      </c>
      <c r="AM6726">
        <v>90.158095187565195</v>
      </c>
      <c r="AN6726">
        <v>0.99999996083519205</v>
      </c>
    </row>
    <row r="6727" spans="1:40" x14ac:dyDescent="0.25">
      <c r="A6727" t="str">
        <f>"20190312161149259"</f>
        <v>20190312161149259</v>
      </c>
      <c r="B6727" t="str">
        <f>"1552378309253907"</f>
        <v>1552378309253907</v>
      </c>
      <c r="C6727" t="s">
        <v>40</v>
      </c>
      <c r="D6727">
        <v>5.0801439999999998</v>
      </c>
      <c r="E6727">
        <v>0.36465320000000001</v>
      </c>
      <c r="F6727" t="s">
        <v>78</v>
      </c>
      <c r="G6727">
        <v>-180.98769999999999</v>
      </c>
      <c r="H6727" s="1">
        <v>-5.1007509999999996E-6</v>
      </c>
      <c r="I6727">
        <v>-43.993380000000002</v>
      </c>
      <c r="J6727">
        <v>-192.92949999999999</v>
      </c>
      <c r="K6727">
        <v>1.114468</v>
      </c>
      <c r="L6727">
        <v>-57.665990000000001</v>
      </c>
      <c r="M6727">
        <v>0.87005560000000004</v>
      </c>
      <c r="N6727">
        <v>0</v>
      </c>
      <c r="O6727">
        <v>0.49273699999999998</v>
      </c>
      <c r="P6727">
        <v>0.86819820000000003</v>
      </c>
      <c r="Q6727">
        <v>-2.5041069999999999E-2</v>
      </c>
      <c r="R6727">
        <v>0.49558540000000001</v>
      </c>
      <c r="S6727">
        <v>2.0925600000000002</v>
      </c>
      <c r="T6727">
        <v>-0.19405520000000001</v>
      </c>
      <c r="U6727">
        <v>2.3892820000000001</v>
      </c>
      <c r="V6727">
        <v>-3.2902930000000001E-3</v>
      </c>
      <c r="W6727">
        <v>-1.046003E-2</v>
      </c>
      <c r="X6727">
        <v>0.99993989999999999</v>
      </c>
      <c r="Y6727">
        <v>-0.3301229</v>
      </c>
      <c r="Z6727">
        <v>-2.105572E-2</v>
      </c>
      <c r="AA6727">
        <v>0.94370310000000002</v>
      </c>
      <c r="AB6727">
        <v>16</v>
      </c>
      <c r="AC6727">
        <v>11.941800000000001</v>
      </c>
      <c r="AD6727">
        <v>-1.114473100751</v>
      </c>
      <c r="AE6727">
        <v>13.672610000000001</v>
      </c>
      <c r="AF6727">
        <v>-5.9898305971425501</v>
      </c>
      <c r="AG6727">
        <v>-1.114473100751</v>
      </c>
      <c r="AH6727">
        <v>17.064543761015599</v>
      </c>
      <c r="AI6727">
        <v>93.526294435053103</v>
      </c>
      <c r="AJ6727">
        <v>109.341598636117</v>
      </c>
      <c r="AK6727">
        <v>18.1195688316907</v>
      </c>
      <c r="AL6727">
        <v>90.599326489313597</v>
      </c>
      <c r="AM6727">
        <v>90.188530552562995</v>
      </c>
      <c r="AN6727">
        <v>1.00000002093381</v>
      </c>
    </row>
    <row r="6728" spans="1:40" x14ac:dyDescent="0.25">
      <c r="A6728" t="str">
        <f>"20190312161149270"</f>
        <v>20190312161149270</v>
      </c>
      <c r="B6728" t="str">
        <f>"1552378309263666"</f>
        <v>1552378309263666</v>
      </c>
      <c r="C6728" t="s">
        <v>40</v>
      </c>
      <c r="D6728">
        <v>5.0617210000000004</v>
      </c>
      <c r="E6728">
        <v>0.36255569999999998</v>
      </c>
      <c r="F6728" t="s">
        <v>78</v>
      </c>
      <c r="G6728">
        <v>-180.5247</v>
      </c>
      <c r="H6728" s="1">
        <v>-5.4460780000000001E-6</v>
      </c>
      <c r="I6728">
        <v>-43.075139999999998</v>
      </c>
      <c r="J6728">
        <v>-192.86449999999999</v>
      </c>
      <c r="K6728">
        <v>1.1144889999999901</v>
      </c>
      <c r="L6728">
        <v>-57.6235</v>
      </c>
      <c r="M6728">
        <v>0.86793759999999998</v>
      </c>
      <c r="N6728">
        <v>0</v>
      </c>
      <c r="O6728">
        <v>0.49645800000000001</v>
      </c>
      <c r="P6728">
        <v>0.86575170000000001</v>
      </c>
      <c r="Q6728">
        <v>-2.468563E-2</v>
      </c>
      <c r="R6728">
        <v>0.49986449999999999</v>
      </c>
      <c r="S6728">
        <v>2.0641780000000001</v>
      </c>
      <c r="T6728">
        <v>-0.1854508</v>
      </c>
      <c r="U6728">
        <v>2.4279480000000002</v>
      </c>
      <c r="V6728">
        <v>-3.9425800000000002E-3</v>
      </c>
      <c r="W6728">
        <v>-1.0104709999999999E-2</v>
      </c>
      <c r="X6728">
        <v>0.99994119999999997</v>
      </c>
      <c r="Y6728">
        <v>-0.33990330000000002</v>
      </c>
      <c r="Z6728">
        <v>-2.0024030000000002E-2</v>
      </c>
      <c r="AA6728">
        <v>0.94024719999999995</v>
      </c>
      <c r="AB6728">
        <v>16</v>
      </c>
      <c r="AC6728">
        <v>12.339799999999901</v>
      </c>
      <c r="AD6728">
        <v>-1.11449444607799</v>
      </c>
      <c r="AE6728">
        <v>14.548359999999899</v>
      </c>
      <c r="AF6728">
        <v>-6.47945646647816</v>
      </c>
      <c r="AG6728">
        <v>-1.11449444607799</v>
      </c>
      <c r="AH6728">
        <v>17.8737391528914</v>
      </c>
      <c r="AI6728">
        <v>93.354882771173095</v>
      </c>
      <c r="AJ6728">
        <v>109.92622104234999</v>
      </c>
      <c r="AK6728">
        <v>19.0445794197962</v>
      </c>
      <c r="AL6728">
        <v>90.578967073861506</v>
      </c>
      <c r="AM6728">
        <v>90.225905307074797</v>
      </c>
      <c r="AN6728">
        <v>1.00000002627933</v>
      </c>
    </row>
    <row r="6729" spans="1:40" x14ac:dyDescent="0.25">
      <c r="A6729" t="str">
        <f>"20190312161149282"</f>
        <v>20190312161149282</v>
      </c>
      <c r="B6729" t="str">
        <f>"1552378309273427"</f>
        <v>1552378309273427</v>
      </c>
      <c r="C6729" t="s">
        <v>40</v>
      </c>
      <c r="D6729">
        <v>5.0614019999999904</v>
      </c>
      <c r="E6729">
        <v>0.36150470000000001</v>
      </c>
      <c r="F6729" t="s">
        <v>78</v>
      </c>
      <c r="G6729">
        <v>-180.29519999999999</v>
      </c>
      <c r="H6729" s="1">
        <v>-5.6537260000000001E-6</v>
      </c>
      <c r="I6729">
        <v>-42.541649999999997</v>
      </c>
      <c r="J6729">
        <v>-192.79509999999999</v>
      </c>
      <c r="K6729">
        <v>1.114511</v>
      </c>
      <c r="L6729">
        <v>-57.577759999999998</v>
      </c>
      <c r="M6729">
        <v>0.86563959999999995</v>
      </c>
      <c r="N6729">
        <v>0</v>
      </c>
      <c r="O6729">
        <v>0.50045379999999995</v>
      </c>
      <c r="P6729">
        <v>0.86316409999999999</v>
      </c>
      <c r="Q6729">
        <v>-2.42337E-2</v>
      </c>
      <c r="R6729">
        <v>0.50434179999999995</v>
      </c>
      <c r="S6729">
        <v>2.0439759999999998</v>
      </c>
      <c r="T6729">
        <v>-0.18123410000000001</v>
      </c>
      <c r="U6729">
        <v>2.4525450000000002</v>
      </c>
      <c r="V6729">
        <v>-4.5090490000000002E-3</v>
      </c>
      <c r="W6729">
        <v>-9.6516640000000008E-3</v>
      </c>
      <c r="X6729">
        <v>0.99994329999999998</v>
      </c>
      <c r="Y6729">
        <v>-0.3447789</v>
      </c>
      <c r="Z6729">
        <v>-1.9652180000000002E-2</v>
      </c>
      <c r="AA6729">
        <v>0.93847820000000004</v>
      </c>
      <c r="AB6729">
        <v>16</v>
      </c>
      <c r="AC6729">
        <v>12.499899999999901</v>
      </c>
      <c r="AD6729">
        <v>-1.1145166537260001</v>
      </c>
      <c r="AE6729">
        <v>15.036110000000001</v>
      </c>
      <c r="AF6729">
        <v>-6.73905918389202</v>
      </c>
      <c r="AG6729">
        <v>-1.1145166537260001</v>
      </c>
      <c r="AH6729">
        <v>18.2878359848782</v>
      </c>
      <c r="AI6729">
        <v>93.272840019939494</v>
      </c>
      <c r="AJ6729">
        <v>110.228818978511</v>
      </c>
      <c r="AK6729">
        <v>19.521834213650099</v>
      </c>
      <c r="AL6729">
        <v>90.5530081738749</v>
      </c>
      <c r="AM6729">
        <v>90.2583623754077</v>
      </c>
      <c r="AN6729">
        <v>1.0000000446778701</v>
      </c>
    </row>
    <row r="6730" spans="1:40" x14ac:dyDescent="0.25">
      <c r="A6730" t="str">
        <f>"20190312161149293"</f>
        <v>20190312161149293</v>
      </c>
      <c r="B6730" t="str">
        <f>"1552378309284163"</f>
        <v>1552378309284163</v>
      </c>
      <c r="C6730" t="s">
        <v>40</v>
      </c>
      <c r="D6730">
        <v>5.037814</v>
      </c>
      <c r="E6730">
        <v>0.36098449999999999</v>
      </c>
      <c r="F6730" t="s">
        <v>78</v>
      </c>
      <c r="G6730">
        <v>-180.1233</v>
      </c>
      <c r="H6730" s="1">
        <v>-5.8131189999999998E-6</v>
      </c>
      <c r="I6730">
        <v>-42.133789999999998</v>
      </c>
      <c r="J6730">
        <v>-192.72659999999999</v>
      </c>
      <c r="K6730">
        <v>1.1145320000000001</v>
      </c>
      <c r="L6730">
        <v>-57.531829999999999</v>
      </c>
      <c r="M6730">
        <v>0.86331519999999995</v>
      </c>
      <c r="N6730">
        <v>0</v>
      </c>
      <c r="O6730">
        <v>0.50445280000000003</v>
      </c>
      <c r="P6730">
        <v>0.86081010000000002</v>
      </c>
      <c r="Q6730">
        <v>-2.415498E-2</v>
      </c>
      <c r="R6730">
        <v>0.50835280000000005</v>
      </c>
      <c r="S6730">
        <v>2.027069</v>
      </c>
      <c r="T6730">
        <v>-0.17828550000000001</v>
      </c>
      <c r="U6730">
        <v>2.47052</v>
      </c>
      <c r="V6730">
        <v>-4.5357540000000003E-3</v>
      </c>
      <c r="W6730">
        <v>-9.5666080000000007E-3</v>
      </c>
      <c r="X6730">
        <v>0.99994400000000006</v>
      </c>
      <c r="Y6730">
        <v>-0.3476244</v>
      </c>
      <c r="Z6730">
        <v>-1.948507E-2</v>
      </c>
      <c r="AA6730">
        <v>0.93743140000000003</v>
      </c>
      <c r="AB6730">
        <v>16</v>
      </c>
      <c r="AC6730">
        <v>12.6032999999999</v>
      </c>
      <c r="AD6730">
        <v>-1.114537813119</v>
      </c>
      <c r="AE6730">
        <v>15.39804</v>
      </c>
      <c r="AF6730">
        <v>-6.9146417003617504</v>
      </c>
      <c r="AG6730">
        <v>-1.114537813119</v>
      </c>
      <c r="AH6730">
        <v>18.591874314843501</v>
      </c>
      <c r="AI6730">
        <v>93.215919668514104</v>
      </c>
      <c r="AJ6730">
        <v>110.401043994643</v>
      </c>
      <c r="AK6730">
        <v>19.867366582418299</v>
      </c>
      <c r="AL6730">
        <v>90.548134597388895</v>
      </c>
      <c r="AM6730">
        <v>90.259892332729606</v>
      </c>
      <c r="AN6730">
        <v>1.00000004809448</v>
      </c>
    </row>
    <row r="6731" spans="1:40" x14ac:dyDescent="0.25">
      <c r="A6731" t="str">
        <f>"20190312161149303"</f>
        <v>20190312161149303</v>
      </c>
      <c r="B6731" t="str">
        <f>"1552378309293922"</f>
        <v>1552378309293922</v>
      </c>
      <c r="C6731" t="s">
        <v>40</v>
      </c>
      <c r="D6731">
        <v>5.1043659999999997</v>
      </c>
      <c r="E6731">
        <v>0.36105029999999999</v>
      </c>
      <c r="F6731" t="s">
        <v>78</v>
      </c>
      <c r="G6731">
        <v>-180.178</v>
      </c>
      <c r="H6731" s="1">
        <v>-5.8600039999999999E-6</v>
      </c>
      <c r="I6731">
        <v>-42.054040000000001</v>
      </c>
      <c r="J6731">
        <v>-192.66329999999999</v>
      </c>
      <c r="K6731">
        <v>1.1145499999999999</v>
      </c>
      <c r="L6731">
        <v>-57.4893199999999</v>
      </c>
      <c r="M6731">
        <v>0.86114639999999998</v>
      </c>
      <c r="N6731">
        <v>0</v>
      </c>
      <c r="O6731">
        <v>0.50814619999999999</v>
      </c>
      <c r="P6731">
        <v>0.85852309999999998</v>
      </c>
      <c r="Q6731">
        <v>-2.4162240000000001E-2</v>
      </c>
      <c r="R6731">
        <v>0.51220529999999997</v>
      </c>
      <c r="S6731">
        <v>2.013458</v>
      </c>
      <c r="T6731">
        <v>-0.17883109999999999</v>
      </c>
      <c r="U6731">
        <v>2.4834589999999999</v>
      </c>
      <c r="V6731">
        <v>-4.7326770000000002E-3</v>
      </c>
      <c r="W6731">
        <v>-9.5699389999999995E-3</v>
      </c>
      <c r="X6731">
        <v>0.99994300000000003</v>
      </c>
      <c r="Y6731">
        <v>-0.34910279999999999</v>
      </c>
      <c r="Z6731">
        <v>-1.9724800000000001E-2</v>
      </c>
      <c r="AA6731">
        <v>0.93687679999999995</v>
      </c>
      <c r="AB6731">
        <v>16</v>
      </c>
      <c r="AC6731">
        <v>12.485299999999899</v>
      </c>
      <c r="AD6731">
        <v>-1.114555860004</v>
      </c>
      <c r="AE6731">
        <v>15.435279999999899</v>
      </c>
      <c r="AF6731">
        <v>-6.9265912012729096</v>
      </c>
      <c r="AG6731">
        <v>-1.114555860004</v>
      </c>
      <c r="AH6731">
        <v>18.538612309435099</v>
      </c>
      <c r="AI6731">
        <v>93.223387737956898</v>
      </c>
      <c r="AJ6731">
        <v>110.487222238264</v>
      </c>
      <c r="AK6731">
        <v>19.821706455150601</v>
      </c>
      <c r="AL6731">
        <v>90.548325488784698</v>
      </c>
      <c r="AM6731">
        <v>90.271175850198901</v>
      </c>
      <c r="AN6731">
        <v>0.99999999260652495</v>
      </c>
    </row>
    <row r="6732" spans="1:40" x14ac:dyDescent="0.25">
      <c r="A6732" t="str">
        <f>"20190312161149313"</f>
        <v>20190312161149313</v>
      </c>
      <c r="B6732" t="str">
        <f>"1552378309303682"</f>
        <v>1552378309303682</v>
      </c>
      <c r="C6732" t="s">
        <v>40</v>
      </c>
      <c r="D6732">
        <v>5.0734719999999998</v>
      </c>
      <c r="E6732">
        <v>0.36113659999999997</v>
      </c>
      <c r="F6732" t="s">
        <v>78</v>
      </c>
      <c r="G6732">
        <v>-180.3057</v>
      </c>
      <c r="H6732" s="1">
        <v>-5.8559070000000001E-6</v>
      </c>
      <c r="I6732">
        <v>-42.111629999999998</v>
      </c>
      <c r="J6732">
        <v>-192.60499999999999</v>
      </c>
      <c r="K6732">
        <v>1.114565</v>
      </c>
      <c r="L6732">
        <v>-57.449370000000002</v>
      </c>
      <c r="M6732">
        <v>0.859093</v>
      </c>
      <c r="N6732">
        <v>0</v>
      </c>
      <c r="O6732">
        <v>0.51160989999999995</v>
      </c>
      <c r="P6732">
        <v>0.85642859999999998</v>
      </c>
      <c r="Q6732">
        <v>-2.4189510000000001E-2</v>
      </c>
      <c r="R6732">
        <v>0.51569880000000001</v>
      </c>
      <c r="S6732">
        <v>2.002548</v>
      </c>
      <c r="T6732">
        <v>-0.180613</v>
      </c>
      <c r="U6732">
        <v>2.491943</v>
      </c>
      <c r="V6732">
        <v>-4.7803569999999998E-3</v>
      </c>
      <c r="W6732">
        <v>-9.5921440000000004E-3</v>
      </c>
      <c r="X6732">
        <v>0.99994249999999996</v>
      </c>
      <c r="Y6732">
        <v>-0.34938550000000002</v>
      </c>
      <c r="Z6732">
        <v>-2.013129E-2</v>
      </c>
      <c r="AA6732">
        <v>0.93676280000000001</v>
      </c>
      <c r="AB6732">
        <v>16</v>
      </c>
      <c r="AC6732">
        <v>12.299299999999899</v>
      </c>
      <c r="AD6732">
        <v>-1.114570855907</v>
      </c>
      <c r="AE6732">
        <v>15.337739999999901</v>
      </c>
      <c r="AF6732">
        <v>-6.86278304720497</v>
      </c>
      <c r="AG6732">
        <v>-1.114570855907</v>
      </c>
      <c r="AH6732">
        <v>18.356161037815699</v>
      </c>
      <c r="AI6732">
        <v>93.255148685978696</v>
      </c>
      <c r="AJ6732">
        <v>110.499166556848</v>
      </c>
      <c r="AK6732">
        <v>19.6287724372174</v>
      </c>
      <c r="AL6732">
        <v>90.549597833191498</v>
      </c>
      <c r="AM6732">
        <v>90.273907943834203</v>
      </c>
      <c r="AN6732">
        <v>0.99999993217290395</v>
      </c>
    </row>
    <row r="6733" spans="1:40" x14ac:dyDescent="0.25">
      <c r="A6733" t="str">
        <f>"20190312161149324"</f>
        <v>20190312161149324</v>
      </c>
      <c r="B6733" t="str">
        <f>"1552378309313443"</f>
        <v>1552378309313443</v>
      </c>
      <c r="C6733" t="s">
        <v>40</v>
      </c>
      <c r="D6733">
        <v>5.0353450000000004</v>
      </c>
      <c r="E6733">
        <v>0.36140889999999998</v>
      </c>
      <c r="F6733" t="s">
        <v>78</v>
      </c>
      <c r="G6733">
        <v>-180.33930000000001</v>
      </c>
      <c r="H6733" s="1">
        <v>-5.8839300000000001E-6</v>
      </c>
      <c r="I6733">
        <v>-42.064329999999998</v>
      </c>
      <c r="J6733">
        <v>-192.54429999999999</v>
      </c>
      <c r="K6733">
        <v>1.1145830000000001</v>
      </c>
      <c r="L6733">
        <v>-57.407809999999998</v>
      </c>
      <c r="M6733">
        <v>0.85694219999999899</v>
      </c>
      <c r="N6733">
        <v>0</v>
      </c>
      <c r="O6733">
        <v>0.5152042</v>
      </c>
      <c r="P6733">
        <v>0.85414899999999905</v>
      </c>
      <c r="Q6733">
        <v>-2.4152880000000002E-2</v>
      </c>
      <c r="R6733">
        <v>0.51946740000000002</v>
      </c>
      <c r="S6733">
        <v>1.9927220000000001</v>
      </c>
      <c r="T6733">
        <v>-0.1810774</v>
      </c>
      <c r="U6733">
        <v>2.4995120000000002</v>
      </c>
      <c r="V6733">
        <v>-4.9963530000000003E-3</v>
      </c>
      <c r="W6733">
        <v>-9.5520799999999993E-3</v>
      </c>
      <c r="X6733">
        <v>0.99994190000000005</v>
      </c>
      <c r="Y6733">
        <v>-0.34909980000000002</v>
      </c>
      <c r="Z6733">
        <v>-2.0417339999999999E-2</v>
      </c>
      <c r="AA6733">
        <v>0.93686309999999995</v>
      </c>
      <c r="AB6733">
        <v>16</v>
      </c>
      <c r="AC6733">
        <v>12.204999999999901</v>
      </c>
      <c r="AD6733">
        <v>-1.11458888393</v>
      </c>
      <c r="AE6733">
        <v>15.34348</v>
      </c>
      <c r="AF6733">
        <v>-6.83904143271387</v>
      </c>
      <c r="AG6733">
        <v>-1.11458888393</v>
      </c>
      <c r="AH6733">
        <v>18.306810004566</v>
      </c>
      <c r="AI6733">
        <v>93.264266245555703</v>
      </c>
      <c r="AJ6733">
        <v>110.48463689464199</v>
      </c>
      <c r="AK6733">
        <v>19.574322175795398</v>
      </c>
      <c r="AL6733">
        <v>90.547302190127795</v>
      </c>
      <c r="AM6733">
        <v>90.286284190623803</v>
      </c>
      <c r="AN6733">
        <v>1.0000000045756099</v>
      </c>
    </row>
    <row r="6734" spans="1:40" x14ac:dyDescent="0.25">
      <c r="A6734" t="str">
        <f>"20190312161149334"</f>
        <v>20190312161149334</v>
      </c>
      <c r="B6734" t="str">
        <f>"1552378309324180"</f>
        <v>1552378309324180</v>
      </c>
      <c r="C6734" t="s">
        <v>40</v>
      </c>
      <c r="D6734">
        <v>5.0181909999999998</v>
      </c>
      <c r="E6734">
        <v>0.36173490000000003</v>
      </c>
      <c r="F6734" t="s">
        <v>78</v>
      </c>
      <c r="G6734">
        <v>-180.41149999999999</v>
      </c>
      <c r="H6734" s="1">
        <v>-5.8942290000000004E-6</v>
      </c>
      <c r="I6734">
        <v>-42.069809999999997</v>
      </c>
      <c r="J6734">
        <v>-192.4811</v>
      </c>
      <c r="K6734">
        <v>1.114598</v>
      </c>
      <c r="L6734">
        <v>-57.36365</v>
      </c>
      <c r="M6734">
        <v>0.8546454</v>
      </c>
      <c r="N6734">
        <v>0</v>
      </c>
      <c r="O6734">
        <v>0.51900519999999895</v>
      </c>
      <c r="P6734">
        <v>0.8516994</v>
      </c>
      <c r="Q6734">
        <v>-2.4273510000000002E-2</v>
      </c>
      <c r="R6734">
        <v>0.52346839999999994</v>
      </c>
      <c r="S6734">
        <v>1.982712</v>
      </c>
      <c r="T6734">
        <v>-0.18214369999999999</v>
      </c>
      <c r="U6734">
        <v>2.5065</v>
      </c>
      <c r="V6734">
        <v>-5.2461950000000004E-3</v>
      </c>
      <c r="W6734">
        <v>-9.6694970000000009E-3</v>
      </c>
      <c r="X6734">
        <v>0.99993949999999998</v>
      </c>
      <c r="Y6734">
        <v>-0.3485162</v>
      </c>
      <c r="Z6734">
        <v>-2.0797710000000001E-2</v>
      </c>
      <c r="AA6734">
        <v>0.93707200000000002</v>
      </c>
      <c r="AB6734">
        <v>16</v>
      </c>
      <c r="AC6734">
        <v>12.069599999999999</v>
      </c>
      <c r="AD6734">
        <v>-1.114603894229</v>
      </c>
      <c r="AE6734">
        <v>15.293839999999999</v>
      </c>
      <c r="AF6734">
        <v>-6.7851485775789104</v>
      </c>
      <c r="AG6734">
        <v>-1.114603894229</v>
      </c>
      <c r="AH6734">
        <v>18.195219334054801</v>
      </c>
      <c r="AI6734">
        <v>93.285006541935203</v>
      </c>
      <c r="AJ6734">
        <v>110.450903673507</v>
      </c>
      <c r="AK6734">
        <v>19.451133377652202</v>
      </c>
      <c r="AL6734">
        <v>90.554029994865999</v>
      </c>
      <c r="AM6734">
        <v>90.300600260408601</v>
      </c>
      <c r="AN6734">
        <v>1.0000000126972299</v>
      </c>
    </row>
    <row r="6735" spans="1:40" x14ac:dyDescent="0.25">
      <c r="A6735" t="str">
        <f>"20190312161149346"</f>
        <v>20190312161149346</v>
      </c>
      <c r="B6735" t="str">
        <f>"1552378309333938"</f>
        <v>1552378309333938</v>
      </c>
      <c r="C6735" t="s">
        <v>40</v>
      </c>
      <c r="D6735">
        <v>5.053712</v>
      </c>
      <c r="E6735">
        <v>0.36210779999999998</v>
      </c>
      <c r="F6735" t="s">
        <v>78</v>
      </c>
      <c r="G6735">
        <v>-180.50729999999999</v>
      </c>
      <c r="H6735" s="1">
        <v>-5.8951130000000003E-6</v>
      </c>
      <c r="I6735">
        <v>-42.104529999999997</v>
      </c>
      <c r="J6735">
        <v>-192.416</v>
      </c>
      <c r="K6735">
        <v>1.1146100000000001</v>
      </c>
      <c r="L6735">
        <v>-57.317990000000002</v>
      </c>
      <c r="M6735">
        <v>0.85225419999999996</v>
      </c>
      <c r="N6735">
        <v>0</v>
      </c>
      <c r="O6735">
        <v>0.52292229999999995</v>
      </c>
      <c r="P6735">
        <v>0.84916999999999998</v>
      </c>
      <c r="Q6735">
        <v>-2.40457E-2</v>
      </c>
      <c r="R6735">
        <v>0.52757189999999998</v>
      </c>
      <c r="S6735">
        <v>1.972321</v>
      </c>
      <c r="T6735">
        <v>-0.18359800000000001</v>
      </c>
      <c r="U6735">
        <v>2.5134889999999999</v>
      </c>
      <c r="V6735">
        <v>-5.4798429999999999E-3</v>
      </c>
      <c r="W6735">
        <v>-9.4382189999999994E-3</v>
      </c>
      <c r="X6735">
        <v>0.99994050000000001</v>
      </c>
      <c r="Y6735">
        <v>-0.34788459999999899</v>
      </c>
      <c r="Z6735">
        <v>-2.1236089999999999E-2</v>
      </c>
      <c r="AA6735">
        <v>0.93729689999999999</v>
      </c>
      <c r="AB6735">
        <v>16</v>
      </c>
      <c r="AC6735">
        <v>11.9087</v>
      </c>
      <c r="AD6735">
        <v>-1.1146158951130001</v>
      </c>
      <c r="AE6735">
        <v>15.21346</v>
      </c>
      <c r="AF6735">
        <v>-6.71677912261661</v>
      </c>
      <c r="AG6735">
        <v>-1.1146158951130001</v>
      </c>
      <c r="AH6735">
        <v>18.046578408418</v>
      </c>
      <c r="AI6735">
        <v>93.312814420808095</v>
      </c>
      <c r="AJ6735">
        <v>110.414827729442</v>
      </c>
      <c r="AK6735">
        <v>19.2882472668419</v>
      </c>
      <c r="AL6735">
        <v>90.540778113435806</v>
      </c>
      <c r="AM6735">
        <v>90.313987415507896</v>
      </c>
      <c r="AN6735">
        <v>1.0000000560987199</v>
      </c>
    </row>
    <row r="6736" spans="1:40" x14ac:dyDescent="0.25">
      <c r="A6736" t="str">
        <f>"20190312161149358"</f>
        <v>20190312161149358</v>
      </c>
      <c r="B6736" t="str">
        <f>"1552378309353459"</f>
        <v>1552378309353459</v>
      </c>
      <c r="C6736" t="s">
        <v>40</v>
      </c>
      <c r="D6736">
        <v>5.0113029999999998</v>
      </c>
      <c r="E6736">
        <v>0.362904</v>
      </c>
      <c r="F6736" t="s">
        <v>78</v>
      </c>
      <c r="G6736">
        <v>-180.5052</v>
      </c>
      <c r="H6736" s="1">
        <v>-5.9364020000000001E-6</v>
      </c>
      <c r="I6736">
        <v>-42.015079999999998</v>
      </c>
      <c r="J6736">
        <v>-192.34690000000001</v>
      </c>
      <c r="K6736">
        <v>1.1146240000000001</v>
      </c>
      <c r="L6736">
        <v>-57.268830000000001</v>
      </c>
      <c r="M6736">
        <v>0.84966489999999995</v>
      </c>
      <c r="N6736">
        <v>0</v>
      </c>
      <c r="O6736">
        <v>0.527119</v>
      </c>
      <c r="P6736">
        <v>0.84646149999999998</v>
      </c>
      <c r="Q6736">
        <v>-2.4046330000000001E-2</v>
      </c>
      <c r="R6736">
        <v>0.53190669999999995</v>
      </c>
      <c r="S6736">
        <v>1.961746</v>
      </c>
      <c r="T6736">
        <v>-0.18358140000000001</v>
      </c>
      <c r="U6736">
        <v>2.5204469999999999</v>
      </c>
      <c r="V6736">
        <v>-5.6610310000000004E-3</v>
      </c>
      <c r="W6736">
        <v>-9.4348360000000003E-3</v>
      </c>
      <c r="X6736">
        <v>0.99993940000000003</v>
      </c>
      <c r="Y6736">
        <v>-0.34696860000000002</v>
      </c>
      <c r="Z6736">
        <v>-2.1533179999999999E-2</v>
      </c>
      <c r="AA6736">
        <v>0.9376295</v>
      </c>
      <c r="AB6736">
        <v>16</v>
      </c>
      <c r="AC6736">
        <v>11.841699999999999</v>
      </c>
      <c r="AD6736">
        <v>-1.114629936402</v>
      </c>
      <c r="AE6736">
        <v>15.25375</v>
      </c>
      <c r="AF6736">
        <v>-6.6970012703672097</v>
      </c>
      <c r="AG6736">
        <v>-1.114629936402</v>
      </c>
      <c r="AH6736">
        <v>18.0438489552924</v>
      </c>
      <c r="AI6736">
        <v>93.314478829107102</v>
      </c>
      <c r="AJ6736">
        <v>110.362482583854</v>
      </c>
      <c r="AK6736">
        <v>19.278815083708601</v>
      </c>
      <c r="AL6736">
        <v>90.540584339450504</v>
      </c>
      <c r="AM6736">
        <v>90.324369375545302</v>
      </c>
      <c r="AN6736">
        <v>0.99999993353734196</v>
      </c>
    </row>
    <row r="6737" spans="1:40" x14ac:dyDescent="0.25">
      <c r="A6737" t="str">
        <f>"20190312161149370"</f>
        <v>20190312161149370</v>
      </c>
      <c r="B6737" t="str">
        <f>"1552378309364195"</f>
        <v>1552378309364195</v>
      </c>
      <c r="C6737" t="s">
        <v>40</v>
      </c>
      <c r="D6737">
        <v>5.0015700000000001</v>
      </c>
      <c r="E6737">
        <v>0.3633149</v>
      </c>
      <c r="F6737" t="s">
        <v>78</v>
      </c>
      <c r="G6737">
        <v>-180.6129</v>
      </c>
      <c r="H6737" s="1">
        <v>-5.9207919999999999E-6</v>
      </c>
      <c r="I6737">
        <v>-42.089750000000002</v>
      </c>
      <c r="J6737">
        <v>-192.2817</v>
      </c>
      <c r="K6737">
        <v>1.1146320000000001</v>
      </c>
      <c r="L6737">
        <v>-57.222079999999998</v>
      </c>
      <c r="M6737">
        <v>0.84718660000000001</v>
      </c>
      <c r="N6737">
        <v>0</v>
      </c>
      <c r="O6737">
        <v>0.53109259999999903</v>
      </c>
      <c r="P6737">
        <v>0.84382769999999996</v>
      </c>
      <c r="Q6737">
        <v>-2.4203889999999999E-2</v>
      </c>
      <c r="R6737">
        <v>0.53606809999999905</v>
      </c>
      <c r="S6737">
        <v>1.952072</v>
      </c>
      <c r="T6737">
        <v>-0.18543100000000001</v>
      </c>
      <c r="U6737">
        <v>2.5252080000000001</v>
      </c>
      <c r="V6737">
        <v>-5.9018100000000004E-3</v>
      </c>
      <c r="W6737">
        <v>-9.5898110000000002E-3</v>
      </c>
      <c r="X6737">
        <v>0.99993659999999995</v>
      </c>
      <c r="Y6737">
        <v>-0.34568769999999999</v>
      </c>
      <c r="Z6737">
        <v>-2.205534E-2</v>
      </c>
      <c r="AA6737">
        <v>0.93809039999999999</v>
      </c>
      <c r="AB6737">
        <v>16</v>
      </c>
      <c r="AC6737">
        <v>11.668799999999999</v>
      </c>
      <c r="AD6737">
        <v>-1.1146379207920001</v>
      </c>
      <c r="AE6737">
        <v>15.13233</v>
      </c>
      <c r="AF6737">
        <v>-6.6009478963793997</v>
      </c>
      <c r="AG6737">
        <v>-1.1146379207920001</v>
      </c>
      <c r="AH6737">
        <v>17.8634705710734</v>
      </c>
      <c r="AI6737">
        <v>93.349668244038995</v>
      </c>
      <c r="AJ6737">
        <v>110.280387559888</v>
      </c>
      <c r="AK6737">
        <v>19.0766483342538</v>
      </c>
      <c r="AL6737">
        <v>90.549464118750393</v>
      </c>
      <c r="AM6737">
        <v>90.338166317755693</v>
      </c>
      <c r="AN6737">
        <v>0.99999999992792499</v>
      </c>
    </row>
    <row r="6738" spans="1:40" x14ac:dyDescent="0.25">
      <c r="A6738" t="str">
        <f>"20190312161149380"</f>
        <v>20190312161149380</v>
      </c>
      <c r="B6738" t="str">
        <f>"1552378309373956"</f>
        <v>1552378309373956</v>
      </c>
      <c r="C6738" t="s">
        <v>40</v>
      </c>
      <c r="D6738">
        <v>5.0273029999999999</v>
      </c>
      <c r="E6738">
        <v>0.36375560000000001</v>
      </c>
      <c r="F6738" t="s">
        <v>78</v>
      </c>
      <c r="G6738">
        <v>-180.7132</v>
      </c>
      <c r="H6738" s="1">
        <v>-5.9186270000000001E-6</v>
      </c>
      <c r="I6738">
        <v>-42.132719999999999</v>
      </c>
      <c r="J6738">
        <v>-192.214</v>
      </c>
      <c r="K6738">
        <v>1.114636</v>
      </c>
      <c r="L6738">
        <v>-57.173000000000002</v>
      </c>
      <c r="M6738">
        <v>0.84457269999999895</v>
      </c>
      <c r="N6738">
        <v>0</v>
      </c>
      <c r="O6738">
        <v>0.53523959999999904</v>
      </c>
      <c r="P6738">
        <v>0.84116569999999902</v>
      </c>
      <c r="Q6738">
        <v>-2.4450900000000001E-2</v>
      </c>
      <c r="R6738">
        <v>0.54022429999999999</v>
      </c>
      <c r="S6738">
        <v>1.941284</v>
      </c>
      <c r="T6738">
        <v>-0.1870444</v>
      </c>
      <c r="U6738">
        <v>2.5321039999999999</v>
      </c>
      <c r="V6738">
        <v>-5.933743E-3</v>
      </c>
      <c r="W6738">
        <v>-9.8322830000000007E-3</v>
      </c>
      <c r="X6738">
        <v>0.99993410000000005</v>
      </c>
      <c r="Y6738">
        <v>-0.3448465</v>
      </c>
      <c r="Z6738">
        <v>-2.2547500000000002E-2</v>
      </c>
      <c r="AA6738">
        <v>0.93838820000000001</v>
      </c>
      <c r="AB6738">
        <v>16</v>
      </c>
      <c r="AC6738">
        <v>11.5008</v>
      </c>
      <c r="AD6738">
        <v>-1.114641918627</v>
      </c>
      <c r="AE6738">
        <v>15.040279999999999</v>
      </c>
      <c r="AF6738">
        <v>-6.5250172989261097</v>
      </c>
      <c r="AG6738">
        <v>-1.114641918627</v>
      </c>
      <c r="AH6738">
        <v>17.703970680248499</v>
      </c>
      <c r="AI6738">
        <v>93.380840105693693</v>
      </c>
      <c r="AJ6738">
        <v>110.231988050045</v>
      </c>
      <c r="AK6738">
        <v>18.901027887528802</v>
      </c>
      <c r="AL6738">
        <v>90.563357371479</v>
      </c>
      <c r="AM6738">
        <v>90.339996845830896</v>
      </c>
      <c r="AN6738">
        <v>1.0000000437188901</v>
      </c>
    </row>
    <row r="6739" spans="1:40" x14ac:dyDescent="0.25">
      <c r="A6739" t="str">
        <f>"20190312161149392"</f>
        <v>20190312161149392</v>
      </c>
      <c r="B6739" t="str">
        <f>"1552378309383715"</f>
        <v>1552378309383715</v>
      </c>
      <c r="C6739" t="s">
        <v>40</v>
      </c>
      <c r="D6739">
        <v>5.0107670000000004</v>
      </c>
      <c r="E6739">
        <v>0.36421759999999997</v>
      </c>
      <c r="F6739" t="s">
        <v>78</v>
      </c>
      <c r="G6739">
        <v>-180.816</v>
      </c>
      <c r="H6739" s="1">
        <v>-5.9136239999999901E-6</v>
      </c>
      <c r="I6739">
        <v>-42.182760000000002</v>
      </c>
      <c r="J6739">
        <v>-192.15219999999999</v>
      </c>
      <c r="K6739">
        <v>1.114635</v>
      </c>
      <c r="L6739">
        <v>-57.127560000000003</v>
      </c>
      <c r="M6739">
        <v>0.84214230000000001</v>
      </c>
      <c r="N6739">
        <v>0</v>
      </c>
      <c r="O6739">
        <v>0.53905539999999996</v>
      </c>
      <c r="P6739">
        <v>0.8387097</v>
      </c>
      <c r="Q6739">
        <v>-2.478435E-2</v>
      </c>
      <c r="R6739">
        <v>0.54401460000000001</v>
      </c>
      <c r="S6739">
        <v>1.930466</v>
      </c>
      <c r="T6739">
        <v>-0.1887856</v>
      </c>
      <c r="U6739">
        <v>2.5388790000000001</v>
      </c>
      <c r="V6739">
        <v>-5.9237100000000004E-3</v>
      </c>
      <c r="W6739">
        <v>-1.0161959999999999E-2</v>
      </c>
      <c r="X6739">
        <v>0.99993080000000001</v>
      </c>
      <c r="Y6739">
        <v>-0.34434759999999998</v>
      </c>
      <c r="Z6739">
        <v>-2.3030060000000002E-2</v>
      </c>
      <c r="AA6739">
        <v>0.9385597</v>
      </c>
      <c r="AB6739">
        <v>16</v>
      </c>
      <c r="AC6739">
        <v>11.3362</v>
      </c>
      <c r="AD6739">
        <v>-1.1146409136239901</v>
      </c>
      <c r="AE6739">
        <v>14.944800000000001</v>
      </c>
      <c r="AF6739">
        <v>-6.4527216776165197</v>
      </c>
      <c r="AG6739">
        <v>-1.1146409136239901</v>
      </c>
      <c r="AH6739">
        <v>17.542722457221899</v>
      </c>
      <c r="AI6739">
        <v>93.412649267437203</v>
      </c>
      <c r="AJ6739">
        <v>110.19498458970401</v>
      </c>
      <c r="AK6739">
        <v>18.725040791043</v>
      </c>
      <c r="AL6739">
        <v>90.582247452361798</v>
      </c>
      <c r="AM6739">
        <v>90.339423099743001</v>
      </c>
      <c r="AN6739">
        <v>0.99999998027992199</v>
      </c>
    </row>
    <row r="6740" spans="1:40" x14ac:dyDescent="0.25">
      <c r="A6740" t="str">
        <f>"20190312161149402"</f>
        <v>20190312161149402</v>
      </c>
      <c r="B6740" t="str">
        <f>"1552378309393475"</f>
        <v>1552378309393475</v>
      </c>
      <c r="C6740" t="s">
        <v>40</v>
      </c>
      <c r="D6740">
        <v>4.9890569999999999</v>
      </c>
      <c r="E6740">
        <v>0.36465229999999998</v>
      </c>
      <c r="F6740" t="s">
        <v>78</v>
      </c>
      <c r="G6740">
        <v>-180.94829999999999</v>
      </c>
      <c r="H6740" s="1">
        <v>-5.8878139999999997E-6</v>
      </c>
      <c r="I6740">
        <v>-42.288730000000001</v>
      </c>
      <c r="J6740">
        <v>-192.0907</v>
      </c>
      <c r="K6740">
        <v>1.1146320000000001</v>
      </c>
      <c r="L6740">
        <v>-57.082149999999999</v>
      </c>
      <c r="M6740">
        <v>0.83970059999999902</v>
      </c>
      <c r="N6740">
        <v>0</v>
      </c>
      <c r="O6740">
        <v>0.54285090000000003</v>
      </c>
      <c r="P6740">
        <v>0.83632799999999996</v>
      </c>
      <c r="Q6740">
        <v>-2.5095240000000001E-2</v>
      </c>
      <c r="R6740">
        <v>0.54765469999999905</v>
      </c>
      <c r="S6740">
        <v>1.9210050000000001</v>
      </c>
      <c r="T6740">
        <v>-0.19111510000000001</v>
      </c>
      <c r="U6740">
        <v>2.5442499999999999</v>
      </c>
      <c r="V6740">
        <v>-5.7587169999999896E-3</v>
      </c>
      <c r="W6740">
        <v>-1.04677E-2</v>
      </c>
      <c r="X6740">
        <v>0.9999287</v>
      </c>
      <c r="Y6740">
        <v>-0.34329579999999998</v>
      </c>
      <c r="Z6740">
        <v>-2.3606240000000001E-2</v>
      </c>
      <c r="AA6740">
        <v>0.93893059999999995</v>
      </c>
      <c r="AB6740">
        <v>16</v>
      </c>
      <c r="AC6740">
        <v>11.1424</v>
      </c>
      <c r="AD6740">
        <v>-1.114637887814</v>
      </c>
      <c r="AE6740">
        <v>14.7934199999999</v>
      </c>
      <c r="AF6740">
        <v>-6.3510645972262196</v>
      </c>
      <c r="AG6740">
        <v>-1.114637887814</v>
      </c>
      <c r="AH6740">
        <v>17.3260189408476</v>
      </c>
      <c r="AI6740">
        <v>93.456633569963202</v>
      </c>
      <c r="AJ6740">
        <v>110.13102994830901</v>
      </c>
      <c r="AK6740">
        <v>18.4870054762177</v>
      </c>
      <c r="AL6740">
        <v>90.599765942370198</v>
      </c>
      <c r="AM6740">
        <v>90.329970058568193</v>
      </c>
      <c r="AN6740">
        <v>1.00000007032423</v>
      </c>
    </row>
    <row r="6741" spans="1:40" x14ac:dyDescent="0.25">
      <c r="A6741" t="str">
        <f>"20190312161149414"</f>
        <v>20190312161149414</v>
      </c>
      <c r="B6741" t="str">
        <f>"1552378309404211"</f>
        <v>1552378309404211</v>
      </c>
      <c r="C6741" t="s">
        <v>40</v>
      </c>
      <c r="D6741">
        <v>5.0120570000000004</v>
      </c>
      <c r="E6741">
        <v>0.36512440000000002</v>
      </c>
      <c r="F6741" t="s">
        <v>78</v>
      </c>
      <c r="G6741">
        <v>-181.05799999999999</v>
      </c>
      <c r="H6741" s="1">
        <v>-5.8711770000000002E-6</v>
      </c>
      <c r="I6741">
        <v>-42.366349999999997</v>
      </c>
      <c r="J6741">
        <v>-192.029</v>
      </c>
      <c r="K6741">
        <v>1.1146199999999999</v>
      </c>
      <c r="L6741">
        <v>-57.0357699999999</v>
      </c>
      <c r="M6741">
        <v>0.83719959999999904</v>
      </c>
      <c r="N6741">
        <v>0</v>
      </c>
      <c r="O6741">
        <v>0.54670010000000002</v>
      </c>
      <c r="P6741">
        <v>0.83411190000000002</v>
      </c>
      <c r="Q6741">
        <v>-2.5862570000000001E-2</v>
      </c>
      <c r="R6741">
        <v>0.55098849999999999</v>
      </c>
      <c r="S6741">
        <v>1.911621</v>
      </c>
      <c r="T6741">
        <v>-0.19313089999999999</v>
      </c>
      <c r="U6741">
        <v>2.5497740000000002</v>
      </c>
      <c r="V6741">
        <v>-5.1640999999999996E-3</v>
      </c>
      <c r="W6741">
        <v>-1.1226359999999999E-2</v>
      </c>
      <c r="X6741">
        <v>0.99992360000000002</v>
      </c>
      <c r="Y6741">
        <v>-0.34218209999999999</v>
      </c>
      <c r="Z6741">
        <v>-2.4154479999999999E-2</v>
      </c>
      <c r="AA6741">
        <v>0.93932309999999997</v>
      </c>
      <c r="AB6741">
        <v>16</v>
      </c>
      <c r="AC6741">
        <v>10.971</v>
      </c>
      <c r="AD6741">
        <v>-1.1146258711769901</v>
      </c>
      <c r="AE6741">
        <v>14.669419999999899</v>
      </c>
      <c r="AF6741">
        <v>-6.26088303233192</v>
      </c>
      <c r="AG6741">
        <v>-1.1146258711769901</v>
      </c>
      <c r="AH6741">
        <v>17.143074933202001</v>
      </c>
      <c r="AI6741">
        <v>93.494909874811995</v>
      </c>
      <c r="AJ6741">
        <v>110.062877822489</v>
      </c>
      <c r="AK6741">
        <v>18.284585457226399</v>
      </c>
      <c r="AL6741">
        <v>90.643236589664397</v>
      </c>
      <c r="AM6741">
        <v>90.295901111289496</v>
      </c>
      <c r="AN6741">
        <v>0.99999995246230799</v>
      </c>
    </row>
    <row r="6742" spans="1:40" x14ac:dyDescent="0.25">
      <c r="A6742" t="str">
        <f>"20190312161149425"</f>
        <v>20190312161149425</v>
      </c>
      <c r="B6742" t="str">
        <f>"1552378309413971"</f>
        <v>1552378309413971</v>
      </c>
      <c r="C6742" t="s">
        <v>40</v>
      </c>
      <c r="D6742">
        <v>5.0143800000000001</v>
      </c>
      <c r="E6742">
        <v>0.36512440000000002</v>
      </c>
      <c r="F6742" t="s">
        <v>78</v>
      </c>
      <c r="G6742">
        <v>-181.22460000000001</v>
      </c>
      <c r="H6742" s="1">
        <v>-5.8216329999999997E-6</v>
      </c>
      <c r="I6742">
        <v>-42.5364</v>
      </c>
      <c r="J6742">
        <v>-191.96600000000001</v>
      </c>
      <c r="K6742">
        <v>1.1146130000000001</v>
      </c>
      <c r="L6742">
        <v>-56.988340000000001</v>
      </c>
      <c r="M6742">
        <v>0.83462729999999996</v>
      </c>
      <c r="N6742">
        <v>0</v>
      </c>
      <c r="O6742">
        <v>0.55061910000000003</v>
      </c>
      <c r="P6742">
        <v>0.83185980000000004</v>
      </c>
      <c r="Q6742">
        <v>-2.6445949999999999E-2</v>
      </c>
      <c r="R6742">
        <v>0.55435540000000005</v>
      </c>
      <c r="S6742">
        <v>1.903305</v>
      </c>
      <c r="T6742">
        <v>-0.19635430000000001</v>
      </c>
      <c r="U6742">
        <v>2.55423</v>
      </c>
      <c r="V6742">
        <v>-4.5222960000000003E-3</v>
      </c>
      <c r="W6742">
        <v>-1.1800649999999999E-2</v>
      </c>
      <c r="X6742">
        <v>0.99992009999999998</v>
      </c>
      <c r="Y6742">
        <v>-0.34054200000000001</v>
      </c>
      <c r="Z6742">
        <v>-2.4882810000000002E-2</v>
      </c>
      <c r="AA6742">
        <v>0.93989999999999996</v>
      </c>
      <c r="AB6742">
        <v>16</v>
      </c>
      <c r="AC6742">
        <v>10.741399999999899</v>
      </c>
      <c r="AD6742">
        <v>-1.11461882163299</v>
      </c>
      <c r="AE6742">
        <v>14.451939999999899</v>
      </c>
      <c r="AF6742">
        <v>-6.1247591043864098</v>
      </c>
      <c r="AG6742">
        <v>-1.11461882163299</v>
      </c>
      <c r="AH6742">
        <v>16.8598050998161</v>
      </c>
      <c r="AI6742">
        <v>93.555667228590593</v>
      </c>
      <c r="AJ6742">
        <v>109.964858094888</v>
      </c>
      <c r="AK6742">
        <v>17.9724254681467</v>
      </c>
      <c r="AL6742">
        <v>90.676143163339603</v>
      </c>
      <c r="AM6742">
        <v>90.259127412172106</v>
      </c>
      <c r="AN6742">
        <v>0.99999995644277095</v>
      </c>
    </row>
    <row r="6743" spans="1:40" x14ac:dyDescent="0.25">
      <c r="A6743" t="str">
        <f>"20190312161149436"</f>
        <v>20190312161149436</v>
      </c>
      <c r="B6743" t="str">
        <f>"1552378309423731"</f>
        <v>1552378309423731</v>
      </c>
      <c r="C6743" t="s">
        <v>40</v>
      </c>
      <c r="D6743">
        <v>5.0132629999999896</v>
      </c>
      <c r="E6743">
        <v>0.3754403</v>
      </c>
      <c r="F6743" t="s">
        <v>78</v>
      </c>
      <c r="G6743">
        <v>-181.31129999999999</v>
      </c>
      <c r="H6743" s="1">
        <v>-5.8227229999999997E-6</v>
      </c>
      <c r="I6743">
        <v>-42.567189999999997</v>
      </c>
      <c r="J6743">
        <v>-191.90520000000001</v>
      </c>
      <c r="K6743">
        <v>1.1146069999999999</v>
      </c>
      <c r="L6743">
        <v>-56.941740000000003</v>
      </c>
      <c r="M6743">
        <v>0.83209679999999997</v>
      </c>
      <c r="N6743">
        <v>0</v>
      </c>
      <c r="O6743">
        <v>0.55443569999999998</v>
      </c>
      <c r="P6743">
        <v>0.82972610000000002</v>
      </c>
      <c r="Q6743">
        <v>-2.7010699999999999E-2</v>
      </c>
      <c r="R6743">
        <v>0.55751689999999998</v>
      </c>
      <c r="S6743">
        <v>1.8928069999999999</v>
      </c>
      <c r="T6743">
        <v>-0.19801240000000001</v>
      </c>
      <c r="U6743">
        <v>2.5619200000000002</v>
      </c>
      <c r="V6743">
        <v>-3.7527160000000001E-3</v>
      </c>
      <c r="W6743">
        <v>-1.235584E-2</v>
      </c>
      <c r="X6743">
        <v>0.99991660000000004</v>
      </c>
      <c r="Y6743">
        <v>-0.34008569999999999</v>
      </c>
      <c r="Z6743">
        <v>-2.5370380000000001E-2</v>
      </c>
      <c r="AA6743">
        <v>0.9400522</v>
      </c>
      <c r="AB6743">
        <v>16</v>
      </c>
      <c r="AC6743">
        <v>10.5939</v>
      </c>
      <c r="AD6743">
        <v>-1.1146128227230001</v>
      </c>
      <c r="AE6743">
        <v>14.374549999999999</v>
      </c>
      <c r="AF6743">
        <v>-6.0644095067639201</v>
      </c>
      <c r="AG6743">
        <v>-1.1146128227230001</v>
      </c>
      <c r="AH6743">
        <v>16.721574849612399</v>
      </c>
      <c r="AI6743">
        <v>93.585659901556397</v>
      </c>
      <c r="AJ6743">
        <v>109.93417694889899</v>
      </c>
      <c r="AK6743">
        <v>17.8221909388688</v>
      </c>
      <c r="AL6743">
        <v>90.707955514024206</v>
      </c>
      <c r="AM6743">
        <v>90.215031712653897</v>
      </c>
      <c r="AN6743">
        <v>0.99999997830752096</v>
      </c>
    </row>
    <row r="6744" spans="1:40" x14ac:dyDescent="0.25">
      <c r="A6744" t="str">
        <f>"20190312161149448"</f>
        <v>20190312161149448</v>
      </c>
      <c r="B6744" t="str">
        <f>"1552378309444227"</f>
        <v>1552378309444227</v>
      </c>
      <c r="C6744" t="s">
        <v>40</v>
      </c>
      <c r="D6744">
        <v>5.0031939999999997</v>
      </c>
      <c r="E6744">
        <v>0.3766892</v>
      </c>
      <c r="F6744" t="s">
        <v>78</v>
      </c>
      <c r="G6744">
        <v>-182.7593</v>
      </c>
      <c r="H6744" s="1">
        <v>-4.9151310000000004E-6</v>
      </c>
      <c r="I6744">
        <v>-45.068910000000002</v>
      </c>
      <c r="J6744">
        <v>-191.8391</v>
      </c>
      <c r="K6744">
        <v>1.1146</v>
      </c>
      <c r="L6744">
        <v>-56.890839999999997</v>
      </c>
      <c r="M6744">
        <v>0.82932030000000001</v>
      </c>
      <c r="N6744">
        <v>0</v>
      </c>
      <c r="O6744">
        <v>0.55858019999999997</v>
      </c>
      <c r="P6744">
        <v>0.82732249999999996</v>
      </c>
      <c r="Q6744">
        <v>-2.739685E-2</v>
      </c>
      <c r="R6744">
        <v>0.56105869999999902</v>
      </c>
      <c r="S6744">
        <v>1.9270780000000001</v>
      </c>
      <c r="T6744">
        <v>-0.2348527</v>
      </c>
      <c r="U6744">
        <v>2.5016479999999999</v>
      </c>
      <c r="V6744">
        <v>-3.0422719999999999E-3</v>
      </c>
      <c r="W6744">
        <v>-1.273314E-2</v>
      </c>
      <c r="X6744">
        <v>0.99991430000000003</v>
      </c>
      <c r="Y6744">
        <v>-0.31658910000000001</v>
      </c>
      <c r="Z6744">
        <v>-3.146682E-2</v>
      </c>
      <c r="AA6744">
        <v>0.94804069999999996</v>
      </c>
      <c r="AB6744">
        <v>16</v>
      </c>
      <c r="AC6744">
        <v>9.0798000000000005</v>
      </c>
      <c r="AD6744">
        <v>-1.114604915131</v>
      </c>
      <c r="AE6744">
        <v>11.82193</v>
      </c>
      <c r="AF6744">
        <v>-4.7065663885182003</v>
      </c>
      <c r="AG6744">
        <v>-1.114604915131</v>
      </c>
      <c r="AH6744">
        <v>14.0564940671718</v>
      </c>
      <c r="AI6744">
        <v>94.300071977221293</v>
      </c>
      <c r="AJ6744">
        <v>108.51220326939</v>
      </c>
      <c r="AK6744">
        <v>14.865367023615599</v>
      </c>
      <c r="AL6744">
        <v>90.729574899130398</v>
      </c>
      <c r="AM6744">
        <v>90.1743237474181</v>
      </c>
      <c r="AN6744">
        <v>0.99999999780883497</v>
      </c>
    </row>
    <row r="6745" spans="1:40" x14ac:dyDescent="0.25">
      <c r="A6745" t="str">
        <f>"20190312161149460"</f>
        <v>20190312161149460</v>
      </c>
      <c r="B6745" t="str">
        <f>"1552378309453986"</f>
        <v>1552378309453986</v>
      </c>
      <c r="C6745" t="s">
        <v>40</v>
      </c>
      <c r="D6745">
        <v>5.0170019999999997</v>
      </c>
      <c r="E6745">
        <v>0.37709549999999997</v>
      </c>
      <c r="F6745" t="s">
        <v>78</v>
      </c>
      <c r="G6745">
        <v>-182.89019999999999</v>
      </c>
      <c r="H6745" s="1">
        <v>-4.8579009999999999E-6</v>
      </c>
      <c r="I6745">
        <v>-45.241799999999998</v>
      </c>
      <c r="J6745">
        <v>-191.7672</v>
      </c>
      <c r="K6745">
        <v>1.11459</v>
      </c>
      <c r="L6745">
        <v>-56.834719999999997</v>
      </c>
      <c r="M6745">
        <v>0.82624909999999996</v>
      </c>
      <c r="N6745">
        <v>0</v>
      </c>
      <c r="O6745">
        <v>0.56311309999999903</v>
      </c>
      <c r="P6745">
        <v>0.82463750000000002</v>
      </c>
      <c r="Q6745">
        <v>-2.7774E-2</v>
      </c>
      <c r="R6745">
        <v>0.56497929999999996</v>
      </c>
      <c r="S6745">
        <v>1.921753</v>
      </c>
      <c r="T6745">
        <v>-0.23935719999999999</v>
      </c>
      <c r="U6745">
        <v>2.5015869999999998</v>
      </c>
      <c r="V6745">
        <v>-2.3165759999999999E-3</v>
      </c>
      <c r="W6745">
        <v>-1.310183E-2</v>
      </c>
      <c r="X6745">
        <v>0.99991149999999995</v>
      </c>
      <c r="Y6745">
        <v>-0.31268299999999999</v>
      </c>
      <c r="Z6745">
        <v>-3.2614400000000002E-2</v>
      </c>
      <c r="AA6745">
        <v>0.94929739999999996</v>
      </c>
      <c r="AB6745">
        <v>16</v>
      </c>
      <c r="AC6745">
        <v>8.8770000000000095</v>
      </c>
      <c r="AD6745">
        <v>-1.1145948579010001</v>
      </c>
      <c r="AE6745">
        <v>11.592919999999999</v>
      </c>
      <c r="AF6745">
        <v>-4.5538438318025696</v>
      </c>
      <c r="AG6745">
        <v>-1.1145948579010001</v>
      </c>
      <c r="AH6745">
        <v>13.783915844433499</v>
      </c>
      <c r="AI6745">
        <v>94.390573885313799</v>
      </c>
      <c r="AJ6745">
        <v>108.28219858365399</v>
      </c>
      <c r="AK6745">
        <v>14.559400789460099</v>
      </c>
      <c r="AL6745">
        <v>90.750701029116001</v>
      </c>
      <c r="AM6745">
        <v>90.132741537873102</v>
      </c>
      <c r="AN6745">
        <v>1.0000000161529801</v>
      </c>
    </row>
    <row r="6746" spans="1:40" x14ac:dyDescent="0.25">
      <c r="A6746" t="str">
        <f>"20190312161149473"</f>
        <v>20190312161149473</v>
      </c>
      <c r="B6746" t="str">
        <f>"1552378309463747"</f>
        <v>1552378309463747</v>
      </c>
      <c r="C6746" t="s">
        <v>40</v>
      </c>
      <c r="D6746">
        <v>4.9882099999999996</v>
      </c>
      <c r="E6746">
        <v>0.37736969999999997</v>
      </c>
      <c r="F6746" t="s">
        <v>78</v>
      </c>
      <c r="G6746">
        <v>-182.8997</v>
      </c>
      <c r="H6746" s="1">
        <v>-4.8782689999999997E-6</v>
      </c>
      <c r="I6746">
        <v>-45.201709999999999</v>
      </c>
      <c r="J6746">
        <v>-191.70359999999999</v>
      </c>
      <c r="K6746">
        <v>1.114576</v>
      </c>
      <c r="L6746">
        <v>-56.784480000000002</v>
      </c>
      <c r="M6746">
        <v>0.82349719999999904</v>
      </c>
      <c r="N6746">
        <v>0</v>
      </c>
      <c r="O6746">
        <v>0.56713000000000002</v>
      </c>
      <c r="P6746">
        <v>0.82215389999999999</v>
      </c>
      <c r="Q6746">
        <v>-2.7868759999999999E-2</v>
      </c>
      <c r="R6746">
        <v>0.56858280000000005</v>
      </c>
      <c r="S6746">
        <v>1.911667</v>
      </c>
      <c r="T6746">
        <v>-0.24028720000000001</v>
      </c>
      <c r="U6746">
        <v>2.5078740000000002</v>
      </c>
      <c r="V6746">
        <v>-1.824521E-3</v>
      </c>
      <c r="W6746">
        <v>-1.319127E-2</v>
      </c>
      <c r="X6746">
        <v>0.99991129999999995</v>
      </c>
      <c r="Y6746">
        <v>-0.31163220000000003</v>
      </c>
      <c r="Z6746">
        <v>-3.312673E-2</v>
      </c>
      <c r="AA6746">
        <v>0.94962519999999995</v>
      </c>
      <c r="AB6746">
        <v>16</v>
      </c>
      <c r="AC6746">
        <v>8.8038999999999898</v>
      </c>
      <c r="AD6746">
        <v>-1.1145808782690001</v>
      </c>
      <c r="AE6746">
        <v>11.58277</v>
      </c>
      <c r="AF6746">
        <v>-4.5193892911188298</v>
      </c>
      <c r="AG6746">
        <v>-1.1145808782690001</v>
      </c>
      <c r="AH6746">
        <v>13.739776512384299</v>
      </c>
      <c r="AI6746">
        <v>94.406455369858705</v>
      </c>
      <c r="AJ6746">
        <v>108.207453297802</v>
      </c>
      <c r="AK6746">
        <v>14.506847648926</v>
      </c>
      <c r="AL6746">
        <v>90.755826038939404</v>
      </c>
      <c r="AM6746">
        <v>90.104546510190701</v>
      </c>
      <c r="AN6746">
        <v>0.99999997317439004</v>
      </c>
    </row>
    <row r="6747" spans="1:40" x14ac:dyDescent="0.25">
      <c r="A6747" t="str">
        <f>"20190312161149485"</f>
        <v>20190312161149485</v>
      </c>
      <c r="B6747" t="str">
        <f>"1552378309473508"</f>
        <v>1552378309473508</v>
      </c>
      <c r="C6747" t="s">
        <v>40</v>
      </c>
      <c r="D6747">
        <v>4.997039</v>
      </c>
      <c r="E6747">
        <v>0.37775310000000001</v>
      </c>
      <c r="F6747" t="s">
        <v>78</v>
      </c>
      <c r="G6747">
        <v>-182.9408</v>
      </c>
      <c r="H6747" s="1">
        <v>-4.886579E-6</v>
      </c>
      <c r="I6747">
        <v>-45.199579999999997</v>
      </c>
      <c r="J6747">
        <v>-191.6362</v>
      </c>
      <c r="K6747">
        <v>1.114563</v>
      </c>
      <c r="L6747">
        <v>-56.730899999999998</v>
      </c>
      <c r="M6747">
        <v>0.8205481</v>
      </c>
      <c r="N6747">
        <v>0</v>
      </c>
      <c r="O6747">
        <v>0.57138840000000002</v>
      </c>
      <c r="P6747">
        <v>0.81928069999999897</v>
      </c>
      <c r="Q6747">
        <v>-2.8116169999999999E-2</v>
      </c>
      <c r="R6747">
        <v>0.57270299999999996</v>
      </c>
      <c r="S6747">
        <v>1.901886</v>
      </c>
      <c r="T6747">
        <v>-0.24191029999999999</v>
      </c>
      <c r="U6747">
        <v>2.5144039999999999</v>
      </c>
      <c r="V6747">
        <v>-1.6671730000000001E-3</v>
      </c>
      <c r="W6747">
        <v>-1.343709E-2</v>
      </c>
      <c r="X6747">
        <v>0.99990829999999997</v>
      </c>
      <c r="Y6747">
        <v>-0.31026290000000001</v>
      </c>
      <c r="Z6747">
        <v>-3.3765539999999997E-2</v>
      </c>
      <c r="AA6747">
        <v>0.95005099999999998</v>
      </c>
      <c r="AB6747">
        <v>16</v>
      </c>
      <c r="AC6747">
        <v>8.6953999999999994</v>
      </c>
      <c r="AD6747">
        <v>-1.1145678865790001</v>
      </c>
      <c r="AE6747">
        <v>11.531319999999999</v>
      </c>
      <c r="AF6747">
        <v>-4.4674306845860503</v>
      </c>
      <c r="AG6747">
        <v>-1.1145678865790001</v>
      </c>
      <c r="AH6747">
        <v>13.6440786767205</v>
      </c>
      <c r="AI6747">
        <v>94.439153053076396</v>
      </c>
      <c r="AJ6747">
        <v>108.129809532992</v>
      </c>
      <c r="AK6747">
        <v>14.4000375496703</v>
      </c>
      <c r="AL6747">
        <v>90.769911737583598</v>
      </c>
      <c r="AM6747">
        <v>90.095530648262496</v>
      </c>
      <c r="AN6747">
        <v>0.99999997163118404</v>
      </c>
    </row>
    <row r="6748" spans="1:40" x14ac:dyDescent="0.25">
      <c r="A6748" t="str">
        <f>"20190312161149497"</f>
        <v>20190312161149497</v>
      </c>
      <c r="B6748" t="str">
        <f>"1552378309493547"</f>
        <v>1552378309493547</v>
      </c>
      <c r="C6748" t="s">
        <v>40</v>
      </c>
      <c r="D6748">
        <v>5.003603</v>
      </c>
      <c r="E6748">
        <v>0.3778512</v>
      </c>
      <c r="F6748" t="s">
        <v>78</v>
      </c>
      <c r="G6748">
        <v>-182.91139999999999</v>
      </c>
      <c r="H6748" s="1">
        <v>-4.929486E-6</v>
      </c>
      <c r="I6748">
        <v>-45.096240000000002</v>
      </c>
      <c r="J6748">
        <v>-191.56559999999999</v>
      </c>
      <c r="K6748">
        <v>1.1145449999999999</v>
      </c>
      <c r="L6748">
        <v>-56.67389</v>
      </c>
      <c r="M6748">
        <v>0.81741209999999997</v>
      </c>
      <c r="N6748">
        <v>0</v>
      </c>
      <c r="O6748">
        <v>0.57586590000000004</v>
      </c>
      <c r="P6748">
        <v>0.81646359999999996</v>
      </c>
      <c r="Q6748">
        <v>-2.841896E-2</v>
      </c>
      <c r="R6748">
        <v>0.57669709999999996</v>
      </c>
      <c r="S6748">
        <v>1.8908389999999999</v>
      </c>
      <c r="T6748">
        <v>-0.24155119999999999</v>
      </c>
      <c r="U6748">
        <v>2.5214840000000001</v>
      </c>
      <c r="V6748">
        <v>-1.0869110000000001E-3</v>
      </c>
      <c r="W6748">
        <v>-1.373514E-2</v>
      </c>
      <c r="X6748">
        <v>0.99990500000000004</v>
      </c>
      <c r="Y6748">
        <v>-0.30901879999999998</v>
      </c>
      <c r="Z6748">
        <v>-3.4148480000000002E-2</v>
      </c>
      <c r="AA6748">
        <v>0.95044269999999997</v>
      </c>
      <c r="AB6748">
        <v>16</v>
      </c>
      <c r="AC6748">
        <v>8.6541999999999994</v>
      </c>
      <c r="AD6748">
        <v>-1.114549929486</v>
      </c>
      <c r="AE6748">
        <v>11.577649999999901</v>
      </c>
      <c r="AF6748">
        <v>-4.4540550028423</v>
      </c>
      <c r="AG6748">
        <v>-1.114549929486</v>
      </c>
      <c r="AH6748">
        <v>13.6614819982229</v>
      </c>
      <c r="AI6748">
        <v>94.435269880883794</v>
      </c>
      <c r="AJ6748">
        <v>108.057529853955</v>
      </c>
      <c r="AK6748">
        <v>14.4123876544253</v>
      </c>
      <c r="AL6748">
        <v>90.786990360368307</v>
      </c>
      <c r="AM6748">
        <v>90.062281305202106</v>
      </c>
      <c r="AN6748">
        <v>0.99999992223566703</v>
      </c>
    </row>
    <row r="6749" spans="1:40" x14ac:dyDescent="0.25">
      <c r="A6749" t="str">
        <f>"20190312161149515"</f>
        <v>20190312161149515</v>
      </c>
      <c r="B6749" t="str">
        <f>"1552378309504282"</f>
        <v>1552378309504282</v>
      </c>
      <c r="C6749" t="s">
        <v>40</v>
      </c>
      <c r="D6749">
        <v>5.0219899999999997</v>
      </c>
      <c r="E6749">
        <v>0.3778512</v>
      </c>
      <c r="F6749" t="s">
        <v>78</v>
      </c>
      <c r="G6749">
        <v>-182.79810000000001</v>
      </c>
      <c r="H6749" s="1">
        <v>-5.0149729999999997E-6</v>
      </c>
      <c r="I6749">
        <v>-44.869419999999998</v>
      </c>
      <c r="J6749">
        <v>-191.47479999999999</v>
      </c>
      <c r="K6749">
        <v>1.1145229999999999</v>
      </c>
      <c r="L6749">
        <v>-56.599699999999999</v>
      </c>
      <c r="M6749">
        <v>0.81331940000000003</v>
      </c>
      <c r="N6749">
        <v>0</v>
      </c>
      <c r="O6749">
        <v>0.58163169999999897</v>
      </c>
      <c r="P6749">
        <v>0.81250239999999996</v>
      </c>
      <c r="Q6749">
        <v>-2.8811280000000002E-2</v>
      </c>
      <c r="R6749">
        <v>0.58224560000000003</v>
      </c>
      <c r="S6749">
        <v>1.8790739999999999</v>
      </c>
      <c r="T6749">
        <v>-0.23887359999999999</v>
      </c>
      <c r="U6749">
        <v>2.5299680000000002</v>
      </c>
      <c r="V6749">
        <v>-8.3277639999999897E-4</v>
      </c>
      <c r="W6749">
        <v>-1.412715E-2</v>
      </c>
      <c r="X6749">
        <v>0.99989989999999995</v>
      </c>
      <c r="Y6749">
        <v>-0.30667050000000001</v>
      </c>
      <c r="Z6749">
        <v>-3.4336680000000001E-2</v>
      </c>
      <c r="AA6749">
        <v>0.95119620000000005</v>
      </c>
      <c r="AB6749">
        <v>16</v>
      </c>
      <c r="AC6749">
        <v>8.6766999999999808</v>
      </c>
      <c r="AD6749">
        <v>-1.1145280149729999</v>
      </c>
      <c r="AE6749">
        <v>11.73028</v>
      </c>
      <c r="AF6749">
        <v>-4.4682342390274501</v>
      </c>
      <c r="AG6749">
        <v>-1.1145280149729999</v>
      </c>
      <c r="AH6749">
        <v>13.80060525108</v>
      </c>
      <c r="AI6749">
        <v>94.393552579533093</v>
      </c>
      <c r="AJ6749">
        <v>107.940443561492</v>
      </c>
      <c r="AK6749">
        <v>14.548676751069699</v>
      </c>
      <c r="AL6749">
        <v>90.809452965344306</v>
      </c>
      <c r="AM6749">
        <v>90.047719338671399</v>
      </c>
      <c r="AN6749">
        <v>1.0000000399518301</v>
      </c>
    </row>
    <row r="6750" spans="1:40" x14ac:dyDescent="0.25">
      <c r="A6750" t="str">
        <f>"20190312161149526"</f>
        <v>20190312161149526</v>
      </c>
      <c r="B6750" t="str">
        <f>"1552378309523803"</f>
        <v>1552378309523803</v>
      </c>
      <c r="C6750" t="s">
        <v>40</v>
      </c>
      <c r="D6750">
        <v>5.0730329999999997</v>
      </c>
      <c r="E6750">
        <v>0.34490539999999997</v>
      </c>
      <c r="F6750" t="s">
        <v>78</v>
      </c>
      <c r="G6750">
        <v>-182.8108</v>
      </c>
      <c r="H6750" s="1">
        <v>-5.065277E-6</v>
      </c>
      <c r="I6750">
        <v>-44.766280000000002</v>
      </c>
      <c r="J6750">
        <v>-191.4109</v>
      </c>
      <c r="K6750">
        <v>1.1145069999999999</v>
      </c>
      <c r="L6750">
        <v>-56.546909999999997</v>
      </c>
      <c r="M6750">
        <v>0.81039759999999905</v>
      </c>
      <c r="N6750">
        <v>0</v>
      </c>
      <c r="O6750">
        <v>0.58569609999999905</v>
      </c>
      <c r="P6750">
        <v>0.80948589999999998</v>
      </c>
      <c r="Q6750">
        <v>-2.8953070000000001E-2</v>
      </c>
      <c r="R6750">
        <v>0.58642510000000003</v>
      </c>
      <c r="S6750">
        <v>1.861694</v>
      </c>
      <c r="T6750">
        <v>-0.239486</v>
      </c>
      <c r="U6750">
        <v>2.5427249999999999</v>
      </c>
      <c r="V6750">
        <v>-9.8200970000000007E-4</v>
      </c>
      <c r="W6750">
        <v>-1.427261E-2</v>
      </c>
      <c r="X6750">
        <v>0.9998977</v>
      </c>
      <c r="Y6750">
        <v>-0.3084192</v>
      </c>
      <c r="Z6750">
        <v>-3.4709839999999999E-2</v>
      </c>
      <c r="AA6750">
        <v>0.95061709999999999</v>
      </c>
      <c r="AB6750">
        <v>16</v>
      </c>
      <c r="AC6750">
        <v>8.6000999999999905</v>
      </c>
      <c r="AD6750">
        <v>-1.114512065277</v>
      </c>
      <c r="AE6750">
        <v>11.780629999999899</v>
      </c>
      <c r="AF6750">
        <v>-4.4842541112034899</v>
      </c>
      <c r="AG6750">
        <v>-1.114512065277</v>
      </c>
      <c r="AH6750">
        <v>13.7903496308427</v>
      </c>
      <c r="AI6750">
        <v>94.3949417731815</v>
      </c>
      <c r="AJ6750">
        <v>108.013144219165</v>
      </c>
      <c r="AK6750">
        <v>14.543878953648401</v>
      </c>
      <c r="AL6750">
        <v>90.817788048537096</v>
      </c>
      <c r="AM6750">
        <v>90.056270749658594</v>
      </c>
      <c r="AN6750">
        <v>1.00000004110227</v>
      </c>
    </row>
    <row r="6751" spans="1:40" x14ac:dyDescent="0.25">
      <c r="A6751" t="str">
        <f>"20190312161149537"</f>
        <v>20190312161149537</v>
      </c>
      <c r="B6751" t="str">
        <f>"1552378309533563"</f>
        <v>1552378309533563</v>
      </c>
      <c r="C6751" t="s">
        <v>40</v>
      </c>
      <c r="D6751">
        <v>5.008381</v>
      </c>
      <c r="E6751">
        <v>0.30192099999999999</v>
      </c>
      <c r="F6751" t="s">
        <v>41</v>
      </c>
      <c r="G6751">
        <v>-180.55799999999999</v>
      </c>
      <c r="H6751" s="1">
        <v>-3.0145020000000002E-6</v>
      </c>
      <c r="I6751">
        <v>-38.876080000000002</v>
      </c>
      <c r="J6751">
        <v>-191.35329999999999</v>
      </c>
      <c r="K6751">
        <v>1.1144909999999999</v>
      </c>
      <c r="L6751">
        <v>-56.498719999999999</v>
      </c>
      <c r="M6751">
        <v>0.80773219999999901</v>
      </c>
      <c r="N6751">
        <v>0</v>
      </c>
      <c r="O6751">
        <v>0.58936659999999996</v>
      </c>
      <c r="P6751">
        <v>0.80638339999999997</v>
      </c>
      <c r="Q6751">
        <v>-2.8881449999999999E-2</v>
      </c>
      <c r="R6751">
        <v>0.59068759999999998</v>
      </c>
      <c r="S6751">
        <v>1.697525</v>
      </c>
      <c r="T6751">
        <v>-0.174323799999999</v>
      </c>
      <c r="U6751">
        <v>2.7639469999999999</v>
      </c>
      <c r="V6751">
        <v>-1.720079E-3</v>
      </c>
      <c r="W6751">
        <v>-1.4211379999999999E-2</v>
      </c>
      <c r="X6751">
        <v>0.99989749999999999</v>
      </c>
      <c r="Y6751">
        <v>-0.3800501</v>
      </c>
      <c r="Z6751">
        <v>-2.3083780000000002E-2</v>
      </c>
      <c r="AA6751">
        <v>0.92467779999999999</v>
      </c>
      <c r="AB6751">
        <v>16</v>
      </c>
      <c r="AC6751">
        <v>10.7952999999999</v>
      </c>
      <c r="AD6751">
        <v>-1.1144940145019999</v>
      </c>
      <c r="AE6751">
        <v>17.622639999999901</v>
      </c>
      <c r="AF6751">
        <v>-7.8500039816091203</v>
      </c>
      <c r="AG6751">
        <v>-1.1144940145019999</v>
      </c>
      <c r="AH6751">
        <v>19.052558395251801</v>
      </c>
      <c r="AI6751">
        <v>93.095821568799195</v>
      </c>
      <c r="AJ6751">
        <v>112.392560655327</v>
      </c>
      <c r="AK6751">
        <v>20.6364880932808</v>
      </c>
      <c r="AL6751">
        <v>90.814279533208094</v>
      </c>
      <c r="AM6751">
        <v>90.098563272649201</v>
      </c>
      <c r="AN6751">
        <v>0.99999996624975895</v>
      </c>
    </row>
    <row r="6752" spans="1:40" x14ac:dyDescent="0.25">
      <c r="A6752" t="str">
        <f>"20190312161149549"</f>
        <v>20190312161149549</v>
      </c>
      <c r="B6752" t="str">
        <f>"1552378309544298"</f>
        <v>1552378309544298</v>
      </c>
      <c r="C6752" t="s">
        <v>40</v>
      </c>
      <c r="D6752">
        <v>5.056972</v>
      </c>
      <c r="E6752">
        <v>0.29835040000000002</v>
      </c>
      <c r="F6752" t="s">
        <v>43</v>
      </c>
      <c r="G6752">
        <v>-161.58000000000001</v>
      </c>
      <c r="H6752">
        <v>-0.05</v>
      </c>
      <c r="I6752">
        <v>4.5439150000000001</v>
      </c>
      <c r="J6752">
        <v>-191.2936</v>
      </c>
      <c r="K6752">
        <v>1.114476</v>
      </c>
      <c r="L6752">
        <v>-56.448430000000002</v>
      </c>
      <c r="M6752">
        <v>0.8049444</v>
      </c>
      <c r="N6752">
        <v>0</v>
      </c>
      <c r="O6752">
        <v>0.59316849999999999</v>
      </c>
      <c r="P6752">
        <v>0.80314339999999995</v>
      </c>
      <c r="Q6752">
        <v>-2.878636E-2</v>
      </c>
      <c r="R6752">
        <v>0.59509000000000001</v>
      </c>
      <c r="S6752">
        <v>1.486191</v>
      </c>
      <c r="T6752">
        <v>-5.8127760000000001E-2</v>
      </c>
      <c r="U6752">
        <v>3.0470579999999998</v>
      </c>
      <c r="V6752">
        <v>-2.4748370000000001E-3</v>
      </c>
      <c r="W6752">
        <v>-1.412836E-2</v>
      </c>
      <c r="X6752">
        <v>0.99989709999999998</v>
      </c>
      <c r="Y6752">
        <v>-0.46349790000000002</v>
      </c>
      <c r="Z6752">
        <v>-6.7788269999999899E-3</v>
      </c>
      <c r="AA6752">
        <v>0.88607209999999903</v>
      </c>
      <c r="AB6752">
        <v>16</v>
      </c>
      <c r="AC6752">
        <v>29.7135999999999</v>
      </c>
      <c r="AD6752">
        <v>-1.1644760000000001</v>
      </c>
      <c r="AE6752">
        <v>60.992344999999901</v>
      </c>
      <c r="AF6752">
        <v>-31.4643995236767</v>
      </c>
      <c r="AG6752">
        <v>-1.1644760000000001</v>
      </c>
      <c r="AH6752">
        <v>60.085313724777102</v>
      </c>
      <c r="AI6752">
        <v>90.983602518971296</v>
      </c>
      <c r="AJ6752">
        <v>117.63934528183999</v>
      </c>
      <c r="AK6752">
        <v>67.835163205707701</v>
      </c>
      <c r="AL6752">
        <v>90.809522354372206</v>
      </c>
      <c r="AM6752">
        <v>90.141812017985799</v>
      </c>
      <c r="AN6752">
        <v>0.99999997298143695</v>
      </c>
    </row>
    <row r="6753" spans="1:40" x14ac:dyDescent="0.25">
      <c r="A6753" t="str">
        <f>"20190312161149559"</f>
        <v>20190312161149559</v>
      </c>
      <c r="B6753" t="str">
        <f>"1552378309554058"</f>
        <v>1552378309554058</v>
      </c>
      <c r="C6753" t="s">
        <v>40</v>
      </c>
      <c r="D6753">
        <v>5.0276759999999996</v>
      </c>
      <c r="E6753">
        <v>0.29671170000000002</v>
      </c>
      <c r="F6753" t="s">
        <v>57</v>
      </c>
      <c r="G6753">
        <v>-152.7501</v>
      </c>
      <c r="H6753">
        <v>-2.416745E-2</v>
      </c>
      <c r="I6753">
        <v>25.184979999999999</v>
      </c>
      <c r="J6753">
        <v>-191.2337</v>
      </c>
      <c r="K6753">
        <v>1.1144590000000001</v>
      </c>
      <c r="L6753">
        <v>-56.397519999999901</v>
      </c>
      <c r="M6753">
        <v>0.80212019999999995</v>
      </c>
      <c r="N6753">
        <v>0</v>
      </c>
      <c r="O6753">
        <v>0.59698219999999902</v>
      </c>
      <c r="P6753">
        <v>0.7998866</v>
      </c>
      <c r="Q6753">
        <v>-2.8678209999999999E-2</v>
      </c>
      <c r="R6753">
        <v>0.59946560000000004</v>
      </c>
      <c r="S6753">
        <v>1.4532320000000001</v>
      </c>
      <c r="T6753">
        <v>-4.2931080000000003E-2</v>
      </c>
      <c r="U6753">
        <v>3.0778810000000001</v>
      </c>
      <c r="V6753">
        <v>-3.1871619999999999E-3</v>
      </c>
      <c r="W6753">
        <v>-1.403388E-2</v>
      </c>
      <c r="X6753">
        <v>0.99989649999999997</v>
      </c>
      <c r="Y6753">
        <v>-0.47050429999999999</v>
      </c>
      <c r="Z6753">
        <v>-5.001241E-3</v>
      </c>
      <c r="AA6753">
        <v>0.88238349999999899</v>
      </c>
      <c r="AB6753">
        <v>16</v>
      </c>
      <c r="AC6753">
        <v>38.483600000000003</v>
      </c>
      <c r="AD6753">
        <v>-1.1386264500000001</v>
      </c>
      <c r="AE6753">
        <v>81.582499999999996</v>
      </c>
      <c r="AF6753">
        <v>-42.462756180121701</v>
      </c>
      <c r="AG6753">
        <v>-1.1386264500000001</v>
      </c>
      <c r="AH6753">
        <v>79.567668006576795</v>
      </c>
      <c r="AI6753">
        <v>90.723312698126605</v>
      </c>
      <c r="AJ6753">
        <v>118.087434743535</v>
      </c>
      <c r="AK6753">
        <v>90.196429666644406</v>
      </c>
      <c r="AL6753">
        <v>90.8041084428516</v>
      </c>
      <c r="AM6753">
        <v>90.182629214903201</v>
      </c>
      <c r="AN6753">
        <v>1.00000005925085</v>
      </c>
    </row>
    <row r="6754" spans="1:40" x14ac:dyDescent="0.25">
      <c r="A6754" t="str">
        <f>"20190312161149571"</f>
        <v>20190312161149571</v>
      </c>
      <c r="B6754" t="str">
        <f>"1552378309563819"</f>
        <v>1552378309563819</v>
      </c>
      <c r="C6754" t="s">
        <v>40</v>
      </c>
      <c r="D6754">
        <v>5.0532779999999997</v>
      </c>
      <c r="E6754">
        <v>0.2967342</v>
      </c>
      <c r="F6754" t="s">
        <v>57</v>
      </c>
      <c r="G6754">
        <v>-153.88399999999999</v>
      </c>
      <c r="H6754">
        <v>0.22562270000000001</v>
      </c>
      <c r="I6754">
        <v>24.52337</v>
      </c>
      <c r="J6754">
        <v>-191.17269999999999</v>
      </c>
      <c r="K6754">
        <v>1.1144419999999999</v>
      </c>
      <c r="L6754">
        <v>-56.344940000000001</v>
      </c>
      <c r="M6754">
        <v>0.79920239999999998</v>
      </c>
      <c r="N6754">
        <v>0</v>
      </c>
      <c r="O6754">
        <v>0.6008829</v>
      </c>
      <c r="P6754">
        <v>0.79654060000000004</v>
      </c>
      <c r="Q6754">
        <v>-2.8657229999999999E-2</v>
      </c>
      <c r="R6754">
        <v>0.60390559999999904</v>
      </c>
      <c r="S6754">
        <v>1.4290160000000001</v>
      </c>
      <c r="T6754">
        <v>-3.4007309999999999E-2</v>
      </c>
      <c r="U6754">
        <v>3.096069</v>
      </c>
      <c r="V6754">
        <v>-3.8775509999999999E-3</v>
      </c>
      <c r="W6754">
        <v>-1.402921E-2</v>
      </c>
      <c r="X6754">
        <v>0.99989410000000001</v>
      </c>
      <c r="Y6754">
        <v>-0.47387699999999999</v>
      </c>
      <c r="Z6754">
        <v>-3.9844729999999997E-3</v>
      </c>
      <c r="AA6754">
        <v>0.88058199999999998</v>
      </c>
      <c r="AB6754">
        <v>16</v>
      </c>
      <c r="AC6754">
        <v>37.288699999999999</v>
      </c>
      <c r="AD6754">
        <v>-0.88881929999999898</v>
      </c>
      <c r="AE6754">
        <v>80.868309999999994</v>
      </c>
      <c r="AF6754">
        <v>-42.224344247651104</v>
      </c>
      <c r="AG6754">
        <v>-0.88881929999999898</v>
      </c>
      <c r="AH6754">
        <v>78.394232564480404</v>
      </c>
      <c r="AI6754">
        <v>90.571906160167799</v>
      </c>
      <c r="AJ6754">
        <v>118.30759133127999</v>
      </c>
      <c r="AK6754">
        <v>89.046846919282004</v>
      </c>
      <c r="AL6754">
        <v>90.803840866597199</v>
      </c>
      <c r="AM6754">
        <v>90.222189723354305</v>
      </c>
      <c r="AN6754">
        <v>1.0000000326748899</v>
      </c>
    </row>
    <row r="6755" spans="1:40" x14ac:dyDescent="0.25">
      <c r="A6755" t="str">
        <f>"20190312161149582"</f>
        <v>20190312161149582</v>
      </c>
      <c r="B6755" t="str">
        <f>"1552378309573579"</f>
        <v>1552378309573579</v>
      </c>
      <c r="C6755" t="s">
        <v>40</v>
      </c>
      <c r="D6755">
        <v>5.0273709999999996</v>
      </c>
      <c r="E6755">
        <v>0.29670639999999998</v>
      </c>
      <c r="F6755" t="s">
        <v>57</v>
      </c>
      <c r="G6755">
        <v>-154.38929999999999</v>
      </c>
      <c r="H6755">
        <v>0.2142163</v>
      </c>
      <c r="I6755">
        <v>24.52337</v>
      </c>
      <c r="J6755">
        <v>-191.11349999999999</v>
      </c>
      <c r="K6755">
        <v>1.1144229999999999</v>
      </c>
      <c r="L6755">
        <v>-56.293729999999996</v>
      </c>
      <c r="M6755">
        <v>0.79635199999999995</v>
      </c>
      <c r="N6755">
        <v>0</v>
      </c>
      <c r="O6755">
        <v>0.60465590000000002</v>
      </c>
      <c r="P6755">
        <v>0.79347840000000003</v>
      </c>
      <c r="Q6755">
        <v>-2.860271E-2</v>
      </c>
      <c r="R6755">
        <v>0.60792599999999997</v>
      </c>
      <c r="S6755">
        <v>1.4118040000000001</v>
      </c>
      <c r="T6755">
        <v>-3.4552099999999898E-2</v>
      </c>
      <c r="U6755">
        <v>3.1038510000000001</v>
      </c>
      <c r="V6755">
        <v>-4.2051049999999998E-3</v>
      </c>
      <c r="W6755">
        <v>-1.398833E-2</v>
      </c>
      <c r="X6755">
        <v>0.99989329999999998</v>
      </c>
      <c r="Y6755">
        <v>-0.47459040000000002</v>
      </c>
      <c r="Z6755">
        <v>-4.090443E-3</v>
      </c>
      <c r="AA6755">
        <v>0.88019720000000001</v>
      </c>
      <c r="AB6755">
        <v>16</v>
      </c>
      <c r="AC6755">
        <v>36.724200000000003</v>
      </c>
      <c r="AD6755">
        <v>-0.90020669999999903</v>
      </c>
      <c r="AE6755">
        <v>80.817099999999996</v>
      </c>
      <c r="AF6755">
        <v>-42.153546645309497</v>
      </c>
      <c r="AG6755">
        <v>-0.90020669999999903</v>
      </c>
      <c r="AH6755">
        <v>78.112281550621503</v>
      </c>
      <c r="AI6755">
        <v>90.581071521948999</v>
      </c>
      <c r="AJ6755">
        <v>118.35366214868699</v>
      </c>
      <c r="AK6755">
        <v>88.765198112348997</v>
      </c>
      <c r="AL6755">
        <v>90.801498424492905</v>
      </c>
      <c r="AM6755">
        <v>90.240959058810404</v>
      </c>
      <c r="AN6755">
        <v>0.99999998383456901</v>
      </c>
    </row>
    <row r="6756" spans="1:40" x14ac:dyDescent="0.25">
      <c r="A6756" t="str">
        <f>"20190312161149593"</f>
        <v>20190312161149593</v>
      </c>
      <c r="B6756" t="str">
        <f>"1552378309584314"</f>
        <v>1552378309584314</v>
      </c>
      <c r="C6756" t="s">
        <v>40</v>
      </c>
      <c r="D6756">
        <v>5.0382480000000003</v>
      </c>
      <c r="E6756">
        <v>0.2972554</v>
      </c>
      <c r="F6756" t="s">
        <v>57</v>
      </c>
      <c r="G6756">
        <v>-154.8459</v>
      </c>
      <c r="H6756">
        <v>0.27474029999999999</v>
      </c>
      <c r="I6756">
        <v>24.52336</v>
      </c>
      <c r="J6756">
        <v>-191.0575</v>
      </c>
      <c r="K6756">
        <v>1.114406</v>
      </c>
      <c r="L6756">
        <v>-56.244540000000001</v>
      </c>
      <c r="M6756">
        <v>0.79362200000000005</v>
      </c>
      <c r="N6756">
        <v>0</v>
      </c>
      <c r="O6756">
        <v>0.60823490000000002</v>
      </c>
      <c r="P6756">
        <v>0.79068280000000002</v>
      </c>
      <c r="Q6756">
        <v>-2.864651E-2</v>
      </c>
      <c r="R6756">
        <v>0.61155559999999998</v>
      </c>
      <c r="S6756">
        <v>1.396118</v>
      </c>
      <c r="T6756">
        <v>-3.2323600000000001E-2</v>
      </c>
      <c r="U6756">
        <v>3.1110530000000001</v>
      </c>
      <c r="V6756">
        <v>-4.2861560000000002E-3</v>
      </c>
      <c r="W6756">
        <v>-1.404495E-2</v>
      </c>
      <c r="X6756">
        <v>0.99989220000000001</v>
      </c>
      <c r="Y6756">
        <v>-0.47508309999999998</v>
      </c>
      <c r="Z6756">
        <v>-3.8647429999999999E-3</v>
      </c>
      <c r="AA6756">
        <v>0.87993250000000001</v>
      </c>
      <c r="AB6756">
        <v>16</v>
      </c>
      <c r="AC6756">
        <v>36.211599999999997</v>
      </c>
      <c r="AD6756">
        <v>-0.83966569999999996</v>
      </c>
      <c r="AE6756">
        <v>80.767899999999997</v>
      </c>
      <c r="AF6756">
        <v>-42.074748811889698</v>
      </c>
      <c r="AG6756">
        <v>-0.83966569999999996</v>
      </c>
      <c r="AH6756">
        <v>77.865520422872606</v>
      </c>
      <c r="AI6756">
        <v>90.543554352635198</v>
      </c>
      <c r="AJ6756">
        <v>118.384635542765</v>
      </c>
      <c r="AK6756">
        <v>88.510049128876602</v>
      </c>
      <c r="AL6756">
        <v>90.804742799841804</v>
      </c>
      <c r="AM6756">
        <v>90.245603621044594</v>
      </c>
      <c r="AN6756">
        <v>1.00000002168729</v>
      </c>
    </row>
    <row r="6757" spans="1:40" x14ac:dyDescent="0.25">
      <c r="A6757" t="str">
        <f>"20190312161149605"</f>
        <v>20190312161149605</v>
      </c>
      <c r="B6757" t="str">
        <f>"1552378309593650"</f>
        <v>1552378309593650</v>
      </c>
      <c r="C6757" t="s">
        <v>40</v>
      </c>
      <c r="D6757">
        <v>5.048057</v>
      </c>
      <c r="E6757">
        <v>0.29813509999999999</v>
      </c>
      <c r="F6757" t="s">
        <v>57</v>
      </c>
      <c r="G6757">
        <v>-155.14930000000001</v>
      </c>
      <c r="H6757">
        <v>0.23312099999999999</v>
      </c>
      <c r="I6757">
        <v>24.52336</v>
      </c>
      <c r="J6757">
        <v>-190.99889999999999</v>
      </c>
      <c r="K6757">
        <v>1.114387</v>
      </c>
      <c r="L6757">
        <v>-56.1928699999999</v>
      </c>
      <c r="M6757">
        <v>0.79074440000000001</v>
      </c>
      <c r="N6757">
        <v>0</v>
      </c>
      <c r="O6757">
        <v>0.61197139999999906</v>
      </c>
      <c r="P6757">
        <v>0.78752330000000004</v>
      </c>
      <c r="Q6757">
        <v>-2.8649930000000001E-2</v>
      </c>
      <c r="R6757">
        <v>0.61561860000000002</v>
      </c>
      <c r="S6757">
        <v>1.3844299999999901</v>
      </c>
      <c r="T6757">
        <v>-3.3977750000000001E-2</v>
      </c>
      <c r="U6757">
        <v>3.1139830000000002</v>
      </c>
      <c r="V6757">
        <v>-4.7190749999999997E-3</v>
      </c>
      <c r="W6757">
        <v>-1.4065319999999999E-2</v>
      </c>
      <c r="X6757">
        <v>0.99988999999999995</v>
      </c>
      <c r="Y6757">
        <v>-0.47399570000000002</v>
      </c>
      <c r="Z6757">
        <v>-4.1146869999999997E-3</v>
      </c>
      <c r="AA6757">
        <v>0.88051749999999995</v>
      </c>
      <c r="AB6757">
        <v>16</v>
      </c>
      <c r="AC6757">
        <v>35.849599999999903</v>
      </c>
      <c r="AD6757">
        <v>-0.88126599999999999</v>
      </c>
      <c r="AE6757">
        <v>80.716229999999996</v>
      </c>
      <c r="AF6757">
        <v>-41.887295391263002</v>
      </c>
      <c r="AG6757">
        <v>-0.88126599999999999</v>
      </c>
      <c r="AH6757">
        <v>77.744485738828203</v>
      </c>
      <c r="AI6757">
        <v>90.571745448984103</v>
      </c>
      <c r="AJ6757">
        <v>118.314968429982</v>
      </c>
      <c r="AK6757">
        <v>88.314931963697603</v>
      </c>
      <c r="AL6757">
        <v>90.805910001280296</v>
      </c>
      <c r="AM6757">
        <v>90.270410818366997</v>
      </c>
      <c r="AN6757">
        <v>1.0000000574977701</v>
      </c>
    </row>
    <row r="6758" spans="1:40" x14ac:dyDescent="0.25">
      <c r="A6758" t="str">
        <f>"20190312161149617"</f>
        <v>20190312161149617</v>
      </c>
      <c r="B6758" t="str">
        <f>"1552378309614147"</f>
        <v>1552378309614147</v>
      </c>
      <c r="C6758" t="s">
        <v>40</v>
      </c>
      <c r="D6758">
        <v>5.0467579999999996</v>
      </c>
      <c r="E6758">
        <v>0.29971449999999999</v>
      </c>
      <c r="F6758" t="s">
        <v>57</v>
      </c>
      <c r="G6758">
        <v>-155.44299999999899</v>
      </c>
      <c r="H6758">
        <v>0.12670719999999999</v>
      </c>
      <c r="I6758">
        <v>24.52336</v>
      </c>
      <c r="J6758">
        <v>-190.9375</v>
      </c>
      <c r="K6758">
        <v>1.1143700000000001</v>
      </c>
      <c r="L6758">
        <v>-56.137970000000003</v>
      </c>
      <c r="M6758">
        <v>0.78769109999999998</v>
      </c>
      <c r="N6758">
        <v>0</v>
      </c>
      <c r="O6758">
        <v>0.61589689999999997</v>
      </c>
      <c r="P6758">
        <v>0.78423739999999997</v>
      </c>
      <c r="Q6758">
        <v>-2.8840299999999999E-2</v>
      </c>
      <c r="R6758">
        <v>0.61979019999999996</v>
      </c>
      <c r="S6758">
        <v>1.3724670000000001</v>
      </c>
      <c r="T6758">
        <v>-3.8124680000000001E-2</v>
      </c>
      <c r="U6758">
        <v>3.1156619999999999</v>
      </c>
      <c r="V6758">
        <v>-5.05567E-3</v>
      </c>
      <c r="W6758">
        <v>-1.427288E-2</v>
      </c>
      <c r="X6758">
        <v>0.99988540000000004</v>
      </c>
      <c r="Y6758">
        <v>-0.47261999999999998</v>
      </c>
      <c r="Z6758">
        <v>-4.6812219999999996E-3</v>
      </c>
      <c r="AA6758">
        <v>0.88125390000000003</v>
      </c>
      <c r="AB6758">
        <v>16</v>
      </c>
      <c r="AC6758">
        <v>35.494500000000002</v>
      </c>
      <c r="AD6758">
        <v>-0.98766279999999995</v>
      </c>
      <c r="AE6758">
        <v>80.661329999999893</v>
      </c>
      <c r="AF6758">
        <v>-41.674479171146899</v>
      </c>
      <c r="AG6758">
        <v>-0.98766279999999995</v>
      </c>
      <c r="AH6758">
        <v>77.636311641773105</v>
      </c>
      <c r="AI6758">
        <v>90.642193534410595</v>
      </c>
      <c r="AJ6758">
        <v>118.22650643091799</v>
      </c>
      <c r="AK6758">
        <v>88.120001006192595</v>
      </c>
      <c r="AL6758">
        <v>90.817803517588302</v>
      </c>
      <c r="AM6758">
        <v>90.289699284664295</v>
      </c>
      <c r="AN6758">
        <v>1.0000000440179</v>
      </c>
    </row>
    <row r="6759" spans="1:40" x14ac:dyDescent="0.25">
      <c r="A6759" t="str">
        <f>"20190312161149627"</f>
        <v>20190312161149627</v>
      </c>
      <c r="B6759" t="str">
        <f>"1552378309623908"</f>
        <v>1552378309623908</v>
      </c>
      <c r="C6759" t="s">
        <v>40</v>
      </c>
      <c r="D6759">
        <v>5.0436079999999999</v>
      </c>
      <c r="E6759">
        <v>0.30046489999999998</v>
      </c>
      <c r="F6759" t="s">
        <v>43</v>
      </c>
      <c r="G6759">
        <v>-156.16540000000001</v>
      </c>
      <c r="H6759">
        <v>-0.05</v>
      </c>
      <c r="I6759">
        <v>23.266749999999998</v>
      </c>
      <c r="J6759">
        <v>-190.88319999999999</v>
      </c>
      <c r="K6759">
        <v>1.1143510000000001</v>
      </c>
      <c r="L6759">
        <v>-56.089019999999998</v>
      </c>
      <c r="M6759">
        <v>0.78496519999999903</v>
      </c>
      <c r="N6759">
        <v>0</v>
      </c>
      <c r="O6759">
        <v>0.61936769999999997</v>
      </c>
      <c r="P6759">
        <v>0.7812559</v>
      </c>
      <c r="Q6759">
        <v>-2.8968810000000001E-2</v>
      </c>
      <c r="R6759">
        <v>0.62353829999999999</v>
      </c>
      <c r="S6759">
        <v>1.3633120000000001</v>
      </c>
      <c r="T6759">
        <v>-4.5651440000000001E-2</v>
      </c>
      <c r="U6759">
        <v>3.1132200000000001</v>
      </c>
      <c r="V6759">
        <v>-5.4323169999999999E-3</v>
      </c>
      <c r="W6759">
        <v>-1.44171E-2</v>
      </c>
      <c r="X6759">
        <v>0.99988129999999997</v>
      </c>
      <c r="Y6759">
        <v>-0.47064780000000001</v>
      </c>
      <c r="Z6759">
        <v>-5.683413E-3</v>
      </c>
      <c r="AA6759">
        <v>0.8823029</v>
      </c>
      <c r="AB6759">
        <v>16</v>
      </c>
      <c r="AC6759">
        <v>34.717799999999897</v>
      </c>
      <c r="AD6759">
        <v>-1.1643509999999999</v>
      </c>
      <c r="AE6759">
        <v>79.355769999999893</v>
      </c>
      <c r="AF6759">
        <v>-40.785414625175001</v>
      </c>
      <c r="AG6759">
        <v>-1.1643509999999999</v>
      </c>
      <c r="AH6759">
        <v>76.397009962618</v>
      </c>
      <c r="AI6759">
        <v>90.770284414743699</v>
      </c>
      <c r="AJ6759">
        <v>118.09603743281799</v>
      </c>
      <c r="AK6759">
        <v>86.610096932326499</v>
      </c>
      <c r="AL6759">
        <v>90.826067610772995</v>
      </c>
      <c r="AM6759">
        <v>90.311282724005594</v>
      </c>
      <c r="AN6759">
        <v>0.99999998846504401</v>
      </c>
    </row>
    <row r="6760" spans="1:40" x14ac:dyDescent="0.25">
      <c r="A6760" t="str">
        <f>"20190312161149638"</f>
        <v>20190312161149638</v>
      </c>
      <c r="B6760" t="str">
        <f>"1552378309633667"</f>
        <v>1552378309633667</v>
      </c>
      <c r="C6760" t="s">
        <v>40</v>
      </c>
      <c r="D6760">
        <v>5.0258200000000004</v>
      </c>
      <c r="E6760">
        <v>0.30104839999999999</v>
      </c>
      <c r="F6760" t="s">
        <v>43</v>
      </c>
      <c r="G6760">
        <v>-159.12870000000001</v>
      </c>
      <c r="H6760">
        <v>-0.05</v>
      </c>
      <c r="I6760">
        <v>17.078990000000001</v>
      </c>
      <c r="J6760">
        <v>-190.82669999999999</v>
      </c>
      <c r="K6760">
        <v>1.1143320000000001</v>
      </c>
      <c r="L6760">
        <v>-56.037599999999998</v>
      </c>
      <c r="M6760">
        <v>0.78210049999999998</v>
      </c>
      <c r="N6760">
        <v>0</v>
      </c>
      <c r="O6760">
        <v>0.62298149999999997</v>
      </c>
      <c r="P6760">
        <v>0.77831319999999904</v>
      </c>
      <c r="Q6760">
        <v>-2.9413089999999999E-2</v>
      </c>
      <c r="R6760">
        <v>0.62718699999999905</v>
      </c>
      <c r="S6760">
        <v>1.3519289999999999</v>
      </c>
      <c r="T6760">
        <v>-4.9571509999999999E-2</v>
      </c>
      <c r="U6760">
        <v>3.1150820000000001</v>
      </c>
      <c r="V6760">
        <v>-5.5057040000000002E-3</v>
      </c>
      <c r="W6760">
        <v>-1.4874439999999999E-2</v>
      </c>
      <c r="X6760">
        <v>0.99987420000000005</v>
      </c>
      <c r="Y6760">
        <v>-0.46948250000000002</v>
      </c>
      <c r="Z6760">
        <v>-6.247758E-3</v>
      </c>
      <c r="AA6760">
        <v>0.88291969999999997</v>
      </c>
      <c r="AB6760">
        <v>16</v>
      </c>
      <c r="AC6760">
        <v>31.697999999999901</v>
      </c>
      <c r="AD6760">
        <v>-1.1643319999999999</v>
      </c>
      <c r="AE6760">
        <v>73.116590000000002</v>
      </c>
      <c r="AF6760">
        <v>-37.433248403348401</v>
      </c>
      <c r="AG6760">
        <v>-1.1643319999999999</v>
      </c>
      <c r="AH6760">
        <v>70.333778379259002</v>
      </c>
      <c r="AI6760">
        <v>90.837234407956899</v>
      </c>
      <c r="AJ6760">
        <v>118.02293108495201</v>
      </c>
      <c r="AK6760">
        <v>79.683399376129401</v>
      </c>
      <c r="AL6760">
        <v>90.852274073610005</v>
      </c>
      <c r="AM6760">
        <v>90.315490102934206</v>
      </c>
      <c r="AN6760">
        <v>0.99999998878374396</v>
      </c>
    </row>
    <row r="6761" spans="1:40" x14ac:dyDescent="0.25">
      <c r="A6761" t="str">
        <f>"20190312161149650"</f>
        <v>20190312161149650</v>
      </c>
      <c r="B6761" t="str">
        <f>"1552378309643427"</f>
        <v>1552378309643427</v>
      </c>
      <c r="C6761" t="s">
        <v>40</v>
      </c>
      <c r="D6761">
        <v>5.0091010000000002</v>
      </c>
      <c r="E6761">
        <v>0.30175960000000002</v>
      </c>
      <c r="F6761" t="s">
        <v>43</v>
      </c>
      <c r="G6761">
        <v>-161.5368</v>
      </c>
      <c r="H6761">
        <v>-0.05</v>
      </c>
      <c r="I6761">
        <v>12.10652</v>
      </c>
      <c r="J6761">
        <v>-190.77109999999999</v>
      </c>
      <c r="K6761">
        <v>1.1143130000000001</v>
      </c>
      <c r="L6761">
        <v>-55.986569999999901</v>
      </c>
      <c r="M6761">
        <v>0.77925769999999905</v>
      </c>
      <c r="N6761">
        <v>0</v>
      </c>
      <c r="O6761">
        <v>0.62653389999999998</v>
      </c>
      <c r="P6761">
        <v>0.77569140000000003</v>
      </c>
      <c r="Q6761">
        <v>-2.991858E-2</v>
      </c>
      <c r="R6761">
        <v>0.63040280000000004</v>
      </c>
      <c r="S6761">
        <v>1.3400879999999999</v>
      </c>
      <c r="T6761">
        <v>-5.327117E-2</v>
      </c>
      <c r="U6761">
        <v>3.1177670000000002</v>
      </c>
      <c r="V6761">
        <v>-5.1027879999999996E-3</v>
      </c>
      <c r="W6761">
        <v>-1.538788E-2</v>
      </c>
      <c r="X6761">
        <v>0.9998686</v>
      </c>
      <c r="Y6761">
        <v>-0.46856969999999998</v>
      </c>
      <c r="Z6761">
        <v>-6.7919800000000004E-3</v>
      </c>
      <c r="AA6761">
        <v>0.88340039999999997</v>
      </c>
      <c r="AB6761">
        <v>16</v>
      </c>
      <c r="AC6761">
        <v>29.234299999999902</v>
      </c>
      <c r="AD6761">
        <v>-1.1643129999999999</v>
      </c>
      <c r="AE6761">
        <v>68.093089999999904</v>
      </c>
      <c r="AF6761">
        <v>-34.740904281640198</v>
      </c>
      <c r="AG6761">
        <v>-1.1643129999999999</v>
      </c>
      <c r="AH6761">
        <v>65.434490339998106</v>
      </c>
      <c r="AI6761">
        <v>90.900379751916205</v>
      </c>
      <c r="AJ6761">
        <v>117.965016536687</v>
      </c>
      <c r="AK6761">
        <v>74.094254710627595</v>
      </c>
      <c r="AL6761">
        <v>90.881695358868797</v>
      </c>
      <c r="AM6761">
        <v>90.292404099816693</v>
      </c>
      <c r="AN6761">
        <v>1.00000002128111</v>
      </c>
    </row>
    <row r="6762" spans="1:40" x14ac:dyDescent="0.25">
      <c r="A6762" t="str">
        <f>"20190312161149660"</f>
        <v>20190312161149660</v>
      </c>
      <c r="B6762" t="str">
        <f>"1552378309654162"</f>
        <v>1552378309654162</v>
      </c>
      <c r="C6762" t="s">
        <v>40</v>
      </c>
      <c r="D6762">
        <v>5.0290929999999996</v>
      </c>
      <c r="E6762">
        <v>0.30227659999999901</v>
      </c>
      <c r="F6762" t="s">
        <v>43</v>
      </c>
      <c r="G6762">
        <v>-163.91299999999899</v>
      </c>
      <c r="H6762">
        <v>-0.05</v>
      </c>
      <c r="I6762">
        <v>6.9786679999999901</v>
      </c>
      <c r="J6762">
        <v>-190.7133</v>
      </c>
      <c r="K6762">
        <v>1.1142920000000001</v>
      </c>
      <c r="L6762">
        <v>-55.933169999999997</v>
      </c>
      <c r="M6762">
        <v>0.77627619999999997</v>
      </c>
      <c r="N6762">
        <v>0</v>
      </c>
      <c r="O6762">
        <v>0.63022449999999997</v>
      </c>
      <c r="P6762">
        <v>0.77293080000000003</v>
      </c>
      <c r="Q6762">
        <v>-3.048412E-2</v>
      </c>
      <c r="R6762">
        <v>0.63375769999999998</v>
      </c>
      <c r="S6762">
        <v>1.330444</v>
      </c>
      <c r="T6762">
        <v>-5.7675480000000001E-2</v>
      </c>
      <c r="U6762">
        <v>3.119049</v>
      </c>
      <c r="V6762">
        <v>-4.699394E-3</v>
      </c>
      <c r="W6762">
        <v>-1.5961610000000001E-2</v>
      </c>
      <c r="X6762">
        <v>0.99986149999999996</v>
      </c>
      <c r="Y6762">
        <v>-0.46681859999999997</v>
      </c>
      <c r="Z6762">
        <v>-7.4483569999999897E-3</v>
      </c>
      <c r="AA6762">
        <v>0.88432169999999899</v>
      </c>
      <c r="AB6762">
        <v>16</v>
      </c>
      <c r="AC6762">
        <v>26.8003</v>
      </c>
      <c r="AD6762">
        <v>-1.1642920000000001</v>
      </c>
      <c r="AE6762">
        <v>62.911838000000003</v>
      </c>
      <c r="AF6762">
        <v>-31.940889832527098</v>
      </c>
      <c r="AG6762">
        <v>-1.1642920000000001</v>
      </c>
      <c r="AH6762">
        <v>60.441914463927397</v>
      </c>
      <c r="AI6762">
        <v>90.975717222796305</v>
      </c>
      <c r="AJ6762">
        <v>117.85447925917499</v>
      </c>
      <c r="AK6762">
        <v>68.372516724336094</v>
      </c>
      <c r="AL6762">
        <v>90.914571781222193</v>
      </c>
      <c r="AM6762">
        <v>90.269290756609607</v>
      </c>
      <c r="AN6762">
        <v>0.999999938240002</v>
      </c>
    </row>
    <row r="6763" spans="1:40" x14ac:dyDescent="0.25">
      <c r="A6763" t="str">
        <f>"20190312161149675"</f>
        <v>20190312161149675</v>
      </c>
      <c r="B6763" t="str">
        <f>"1552378309663922"</f>
        <v>1552378309663922</v>
      </c>
      <c r="C6763" t="s">
        <v>40</v>
      </c>
      <c r="D6763">
        <v>5.0756759999999996</v>
      </c>
      <c r="E6763">
        <v>0.30289509999999997</v>
      </c>
      <c r="F6763" t="s">
        <v>43</v>
      </c>
      <c r="G6763">
        <v>-164.68620000000001</v>
      </c>
      <c r="H6763">
        <v>-0.05</v>
      </c>
      <c r="I6763">
        <v>5.6352390000000003</v>
      </c>
      <c r="J6763">
        <v>-190.6456</v>
      </c>
      <c r="K6763">
        <v>1.114274</v>
      </c>
      <c r="L6763">
        <v>-55.869599999999998</v>
      </c>
      <c r="M6763">
        <v>0.77273389999999997</v>
      </c>
      <c r="N6763">
        <v>0</v>
      </c>
      <c r="O6763">
        <v>0.63456309999999905</v>
      </c>
      <c r="P6763">
        <v>0.76977559999999901</v>
      </c>
      <c r="Q6763">
        <v>-3.092079E-2</v>
      </c>
      <c r="R6763">
        <v>0.6375653</v>
      </c>
      <c r="S6763">
        <v>1.3195650000000001</v>
      </c>
      <c r="T6763">
        <v>-5.9029100000000001E-2</v>
      </c>
      <c r="U6763">
        <v>3.1214900000000001</v>
      </c>
      <c r="V6763">
        <v>-4.0414190000000001E-3</v>
      </c>
      <c r="W6763">
        <v>-1.6407599999999901E-2</v>
      </c>
      <c r="X6763">
        <v>0.9998572</v>
      </c>
      <c r="Y6763">
        <v>-0.46472560000000002</v>
      </c>
      <c r="Z6763">
        <v>-7.7353769999999999E-3</v>
      </c>
      <c r="AA6763">
        <v>0.88542099999999901</v>
      </c>
      <c r="AB6763">
        <v>16</v>
      </c>
      <c r="AC6763">
        <v>25.959399999999899</v>
      </c>
      <c r="AD6763">
        <v>-1.164274</v>
      </c>
      <c r="AE6763">
        <v>61.504838999999997</v>
      </c>
      <c r="AF6763">
        <v>-31.047845566483399</v>
      </c>
      <c r="AG6763">
        <v>-1.164274</v>
      </c>
      <c r="AH6763">
        <v>59.076705417053702</v>
      </c>
      <c r="AI6763">
        <v>90.999441580486504</v>
      </c>
      <c r="AJ6763">
        <v>117.72423403496801</v>
      </c>
      <c r="AK6763">
        <v>66.748643216177896</v>
      </c>
      <c r="AL6763">
        <v>90.940128434537499</v>
      </c>
      <c r="AM6763">
        <v>90.231588061696797</v>
      </c>
      <c r="AN6763">
        <v>0.99999998139856605</v>
      </c>
    </row>
    <row r="6764" spans="1:40" x14ac:dyDescent="0.25">
      <c r="A6764" t="str">
        <f>"20190312161149690"</f>
        <v>20190312161149690</v>
      </c>
      <c r="B6764" t="str">
        <f>"1552378309683443"</f>
        <v>1552378309683443</v>
      </c>
      <c r="C6764" t="s">
        <v>40</v>
      </c>
      <c r="D6764">
        <v>5.0802269999999998</v>
      </c>
      <c r="E6764">
        <v>0.30399510000000002</v>
      </c>
      <c r="F6764" t="s">
        <v>43</v>
      </c>
      <c r="G6764">
        <v>-165.78829999999999</v>
      </c>
      <c r="H6764">
        <v>-0.05</v>
      </c>
      <c r="I6764">
        <v>3.5484010000000001</v>
      </c>
      <c r="J6764">
        <v>-190.5746</v>
      </c>
      <c r="K6764">
        <v>1.1142590000000001</v>
      </c>
      <c r="L6764">
        <v>-55.802520000000001</v>
      </c>
      <c r="M6764">
        <v>0.76898389999999905</v>
      </c>
      <c r="N6764">
        <v>0</v>
      </c>
      <c r="O6764">
        <v>0.63910269999999902</v>
      </c>
      <c r="P6764">
        <v>0.76635940000000002</v>
      </c>
      <c r="Q6764">
        <v>-3.1100249999999999E-2</v>
      </c>
      <c r="R6764">
        <v>0.64165879999999997</v>
      </c>
      <c r="S6764">
        <v>1.307053</v>
      </c>
      <c r="T6764">
        <v>-6.1220049999999998E-2</v>
      </c>
      <c r="U6764">
        <v>3.1243289999999999</v>
      </c>
      <c r="V6764">
        <v>-3.485971E-3</v>
      </c>
      <c r="W6764">
        <v>-1.660033E-2</v>
      </c>
      <c r="X6764">
        <v>0.99985610000000003</v>
      </c>
      <c r="Y6764">
        <v>-0.46281339999999999</v>
      </c>
      <c r="Z6764">
        <v>-8.1423799999999994E-3</v>
      </c>
      <c r="AA6764">
        <v>0.88641829999999999</v>
      </c>
      <c r="AB6764">
        <v>16</v>
      </c>
      <c r="AC6764">
        <v>24.786300000000001</v>
      </c>
      <c r="AD6764">
        <v>-1.1642589999999999</v>
      </c>
      <c r="AE6764">
        <v>59.3509209999999</v>
      </c>
      <c r="AF6764">
        <v>-29.7923014066352</v>
      </c>
      <c r="AG6764">
        <v>-1.1642589999999999</v>
      </c>
      <c r="AH6764">
        <v>56.978957536511302</v>
      </c>
      <c r="AI6764">
        <v>91.037361053421094</v>
      </c>
      <c r="AJ6764">
        <v>117.603492256853</v>
      </c>
      <c r="AK6764">
        <v>64.308151303473494</v>
      </c>
      <c r="AL6764">
        <v>90.951172563655007</v>
      </c>
      <c r="AM6764">
        <v>90.199759361905095</v>
      </c>
      <c r="AN6764">
        <v>0.99999997182856504</v>
      </c>
    </row>
    <row r="6765" spans="1:40" x14ac:dyDescent="0.25">
      <c r="A6765" t="str">
        <f>"20190312161149704"</f>
        <v>20190312161149704</v>
      </c>
      <c r="B6765" t="str">
        <f>"1552378309693806"</f>
        <v>1552378309693806</v>
      </c>
      <c r="C6765" t="s">
        <v>40</v>
      </c>
      <c r="D6765">
        <v>5.0901709999999998</v>
      </c>
      <c r="E6765">
        <v>0.30463469999999998</v>
      </c>
      <c r="F6765" t="s">
        <v>43</v>
      </c>
      <c r="G6765">
        <v>-167.15989999999999</v>
      </c>
      <c r="H6765">
        <v>-0.05</v>
      </c>
      <c r="I6765">
        <v>0.64624019999999904</v>
      </c>
      <c r="J6765">
        <v>-190.4966</v>
      </c>
      <c r="K6765">
        <v>1.114239</v>
      </c>
      <c r="L6765">
        <v>-55.727809999999998</v>
      </c>
      <c r="M6765">
        <v>0.76480439999999905</v>
      </c>
      <c r="N6765">
        <v>0</v>
      </c>
      <c r="O6765">
        <v>0.64409899999999998</v>
      </c>
      <c r="P6765">
        <v>0.76293089999999997</v>
      </c>
      <c r="Q6765">
        <v>-3.1524009999999998E-2</v>
      </c>
      <c r="R6765">
        <v>0.64571089999999998</v>
      </c>
      <c r="S6765">
        <v>1.29599</v>
      </c>
      <c r="T6765">
        <v>-6.4440730000000002E-2</v>
      </c>
      <c r="U6765">
        <v>3.12439</v>
      </c>
      <c r="V6765">
        <v>-2.2787739999999999E-3</v>
      </c>
      <c r="W6765">
        <v>-1.7037400000000001E-2</v>
      </c>
      <c r="X6765">
        <v>0.99985219999999997</v>
      </c>
      <c r="Y6765">
        <v>-0.45971820000000002</v>
      </c>
      <c r="Z6765">
        <v>-8.7228979999999998E-3</v>
      </c>
      <c r="AA6765">
        <v>0.88802199999999998</v>
      </c>
      <c r="AB6765">
        <v>16</v>
      </c>
      <c r="AC6765">
        <v>23.3367</v>
      </c>
      <c r="AD6765">
        <v>-1.164239</v>
      </c>
      <c r="AE6765">
        <v>56.374050199999999</v>
      </c>
      <c r="AF6765">
        <v>-28.0767126911704</v>
      </c>
      <c r="AG6765">
        <v>-1.164239</v>
      </c>
      <c r="AH6765">
        <v>54.144472315171399</v>
      </c>
      <c r="AI6765">
        <v>91.093565759641905</v>
      </c>
      <c r="AJ6765">
        <v>117.409077511129</v>
      </c>
      <c r="AK6765">
        <v>61.002304303034499</v>
      </c>
      <c r="AL6765">
        <v>90.976218400907598</v>
      </c>
      <c r="AM6765">
        <v>90.130583206797695</v>
      </c>
      <c r="AN6765">
        <v>0.99999994382726998</v>
      </c>
    </row>
    <row r="6766" spans="1:40" x14ac:dyDescent="0.25">
      <c r="A6766" t="str">
        <f>"20190312161149716"</f>
        <v>20190312161149716</v>
      </c>
      <c r="B6766" t="str">
        <f>"1552378309703567"</f>
        <v>1552378309703567</v>
      </c>
      <c r="C6766" t="s">
        <v>40</v>
      </c>
      <c r="D6766">
        <v>5.0785419999999997</v>
      </c>
      <c r="E6766">
        <v>0.30516779999999999</v>
      </c>
      <c r="F6766" t="s">
        <v>43</v>
      </c>
      <c r="G6766">
        <v>-168.53469999999999</v>
      </c>
      <c r="H6766">
        <v>-0.05</v>
      </c>
      <c r="I6766">
        <v>-2.176971</v>
      </c>
      <c r="J6766">
        <v>-190.44149999999999</v>
      </c>
      <c r="K6766">
        <v>1.1142259999999999</v>
      </c>
      <c r="L6766">
        <v>-55.674259999999997</v>
      </c>
      <c r="M6766">
        <v>0.76181319999999997</v>
      </c>
      <c r="N6766">
        <v>0</v>
      </c>
      <c r="O6766">
        <v>0.64763470000000001</v>
      </c>
      <c r="P6766">
        <v>0.76031789999999999</v>
      </c>
      <c r="Q6766">
        <v>-3.1970799999999903E-2</v>
      </c>
      <c r="R6766">
        <v>0.64876389999999995</v>
      </c>
      <c r="S6766">
        <v>1.282562</v>
      </c>
      <c r="T6766">
        <v>-6.7991140000000005E-2</v>
      </c>
      <c r="U6766">
        <v>3.1273499999999999</v>
      </c>
      <c r="V6766">
        <v>-1.6637310000000001E-3</v>
      </c>
      <c r="W6766">
        <v>-1.749962E-2</v>
      </c>
      <c r="X6766">
        <v>0.99984550000000005</v>
      </c>
      <c r="Y6766">
        <v>-0.45916309999999999</v>
      </c>
      <c r="Z6766">
        <v>-9.3006749999999996E-3</v>
      </c>
      <c r="AA6766">
        <v>0.88830330000000002</v>
      </c>
      <c r="AB6766">
        <v>16</v>
      </c>
      <c r="AC6766">
        <v>21.9068</v>
      </c>
      <c r="AD6766">
        <v>-1.164226</v>
      </c>
      <c r="AE6766">
        <v>53.497289000000002</v>
      </c>
      <c r="AF6766">
        <v>-26.5593541788</v>
      </c>
      <c r="AG6766">
        <v>-1.164226</v>
      </c>
      <c r="AH6766">
        <v>51.3201649079069</v>
      </c>
      <c r="AI6766">
        <v>91.154204196916297</v>
      </c>
      <c r="AJ6766">
        <v>117.362594097445</v>
      </c>
      <c r="AK6766">
        <v>57.797180231813797</v>
      </c>
      <c r="AL6766">
        <v>91.002705536738006</v>
      </c>
      <c r="AM6766">
        <v>90.0953394065033</v>
      </c>
      <c r="AN6766">
        <v>1.00000001428561</v>
      </c>
    </row>
    <row r="6767" spans="1:40" x14ac:dyDescent="0.25">
      <c r="A6767" t="str">
        <f>"20190312161149727"</f>
        <v>20190312161149727</v>
      </c>
      <c r="B6767" t="str">
        <f>"1552378309724063"</f>
        <v>1552378309724063</v>
      </c>
      <c r="C6767" t="s">
        <v>40</v>
      </c>
      <c r="D6767">
        <v>5.0945830000000001</v>
      </c>
      <c r="E6767">
        <v>0.30614989999999997</v>
      </c>
      <c r="F6767" t="s">
        <v>43</v>
      </c>
      <c r="G6767">
        <v>-169.47309999999999</v>
      </c>
      <c r="H6767">
        <v>-0.05</v>
      </c>
      <c r="I6767">
        <v>-4.1101380000000001</v>
      </c>
      <c r="J6767">
        <v>-190.38489999999999</v>
      </c>
      <c r="K6767">
        <v>1.114214</v>
      </c>
      <c r="L6767">
        <v>-55.618989999999997</v>
      </c>
      <c r="M6767">
        <v>0.75871480000000002</v>
      </c>
      <c r="N6767">
        <v>0</v>
      </c>
      <c r="O6767">
        <v>0.65126219999999901</v>
      </c>
      <c r="P6767">
        <v>0.75749080000000002</v>
      </c>
      <c r="Q6767">
        <v>-3.2263409999999999E-2</v>
      </c>
      <c r="R6767">
        <v>0.65204819999999997</v>
      </c>
      <c r="S6767">
        <v>1.272537</v>
      </c>
      <c r="T6767">
        <v>-7.0654750000000002E-2</v>
      </c>
      <c r="U6767">
        <v>3.1293329999999999</v>
      </c>
      <c r="V6767">
        <v>-1.226055E-3</v>
      </c>
      <c r="W6767">
        <v>-1.7810889999999999E-2</v>
      </c>
      <c r="X6767">
        <v>0.99984059999999997</v>
      </c>
      <c r="Y6767">
        <v>-0.45756239999999998</v>
      </c>
      <c r="Z6767">
        <v>-9.7772529999999996E-3</v>
      </c>
      <c r="AA6767">
        <v>0.88912380000000002</v>
      </c>
      <c r="AB6767">
        <v>16</v>
      </c>
      <c r="AC6767">
        <v>20.911799999999999</v>
      </c>
      <c r="AD6767">
        <v>-1.1642139999999901</v>
      </c>
      <c r="AE6767">
        <v>51.508851999999997</v>
      </c>
      <c r="AF6767">
        <v>-25.452966711121999</v>
      </c>
      <c r="AG6767">
        <v>-1.1642139999999901</v>
      </c>
      <c r="AH6767">
        <v>49.3953711697771</v>
      </c>
      <c r="AI6767">
        <v>91.200246407179193</v>
      </c>
      <c r="AJ6767">
        <v>117.26162228151701</v>
      </c>
      <c r="AK6767">
        <v>55.579776912428599</v>
      </c>
      <c r="AL6767">
        <v>91.020542810885701</v>
      </c>
      <c r="AM6767">
        <v>90.070258941015794</v>
      </c>
      <c r="AN6767">
        <v>0.99999997821090703</v>
      </c>
    </row>
    <row r="6768" spans="1:40" x14ac:dyDescent="0.25">
      <c r="A6768" t="str">
        <f>"20190312161149738"</f>
        <v>20190312161149738</v>
      </c>
      <c r="B6768" t="str">
        <f>"1552378309733823"</f>
        <v>1552378309733823</v>
      </c>
      <c r="C6768" t="s">
        <v>40</v>
      </c>
      <c r="D6768">
        <v>5.1083470000000002</v>
      </c>
      <c r="E6768">
        <v>0.3067069</v>
      </c>
      <c r="F6768" t="s">
        <v>43</v>
      </c>
      <c r="G6768">
        <v>-170.45009999999999</v>
      </c>
      <c r="H6768">
        <v>-0.05</v>
      </c>
      <c r="I6768">
        <v>-6.2718959999999999</v>
      </c>
      <c r="J6768">
        <v>-190.33099999999999</v>
      </c>
      <c r="K6768">
        <v>1.1142030000000001</v>
      </c>
      <c r="L6768">
        <v>-55.565669999999997</v>
      </c>
      <c r="M6768">
        <v>0.7557275</v>
      </c>
      <c r="N6768">
        <v>0</v>
      </c>
      <c r="O6768">
        <v>0.6547269</v>
      </c>
      <c r="P6768">
        <v>0.75493180000000004</v>
      </c>
      <c r="Q6768">
        <v>-3.2318630000000001E-2</v>
      </c>
      <c r="R6768">
        <v>0.65500649999999905</v>
      </c>
      <c r="S6768">
        <v>1.2639769999999999</v>
      </c>
      <c r="T6768">
        <v>-7.3817489999999999E-2</v>
      </c>
      <c r="U6768">
        <v>3.128876</v>
      </c>
      <c r="V6768">
        <v>-5.6383349999999997E-4</v>
      </c>
      <c r="W6768">
        <v>-1.7883759999999999E-2</v>
      </c>
      <c r="X6768">
        <v>0.9998399</v>
      </c>
      <c r="Y6768">
        <v>-0.45553890000000002</v>
      </c>
      <c r="Z6768">
        <v>-1.0337280000000001E-2</v>
      </c>
      <c r="AA6768">
        <v>0.8901559</v>
      </c>
      <c r="AB6768">
        <v>16</v>
      </c>
      <c r="AC6768">
        <v>19.8809</v>
      </c>
      <c r="AD6768">
        <v>-1.1642030000000001</v>
      </c>
      <c r="AE6768">
        <v>49.293773999999999</v>
      </c>
      <c r="AF6768">
        <v>-24.227006146533999</v>
      </c>
      <c r="AG6768">
        <v>-1.1642030000000001</v>
      </c>
      <c r="AH6768">
        <v>47.2807542810623</v>
      </c>
      <c r="AI6768">
        <v>91.255368452187696</v>
      </c>
      <c r="AJ6768">
        <v>117.130935402052</v>
      </c>
      <c r="AK6768">
        <v>53.139184420120699</v>
      </c>
      <c r="AL6768">
        <v>91.024718611344099</v>
      </c>
      <c r="AM6768">
        <v>90.032310449376496</v>
      </c>
      <c r="AN6768">
        <v>0.99999998620598096</v>
      </c>
    </row>
    <row r="6769" spans="1:40" x14ac:dyDescent="0.25">
      <c r="A6769" t="str">
        <f>"20190312161149751"</f>
        <v>20190312161149751</v>
      </c>
      <c r="B6769" t="str">
        <f>"1552378309743582"</f>
        <v>1552378309743582</v>
      </c>
      <c r="C6769" t="s">
        <v>40</v>
      </c>
      <c r="D6769">
        <v>5.1440469999999996</v>
      </c>
      <c r="E6769">
        <v>0.30721179999999998</v>
      </c>
      <c r="F6769" t="s">
        <v>43</v>
      </c>
      <c r="G6769">
        <v>-171.11150000000001</v>
      </c>
      <c r="H6769">
        <v>-0.05</v>
      </c>
      <c r="I6769">
        <v>-7.6036219999999997</v>
      </c>
      <c r="J6769">
        <v>-190.27189999999999</v>
      </c>
      <c r="K6769">
        <v>1.114193</v>
      </c>
      <c r="L6769">
        <v>-55.506709999999998</v>
      </c>
      <c r="M6769">
        <v>0.75242200000000004</v>
      </c>
      <c r="N6769">
        <v>0</v>
      </c>
      <c r="O6769">
        <v>0.65852349999999904</v>
      </c>
      <c r="P6769">
        <v>0.75182689999999996</v>
      </c>
      <c r="Q6769">
        <v>-3.2315969999999999E-2</v>
      </c>
      <c r="R6769">
        <v>0.65856809999999999</v>
      </c>
      <c r="S6769">
        <v>1.2544709999999999</v>
      </c>
      <c r="T6769">
        <v>-7.5988529999999999E-2</v>
      </c>
      <c r="U6769">
        <v>3.1305239999999999</v>
      </c>
      <c r="V6769">
        <v>-2.5727600000000002E-4</v>
      </c>
      <c r="W6769">
        <v>-1.790545E-2</v>
      </c>
      <c r="X6769">
        <v>0.9998397</v>
      </c>
      <c r="Y6769">
        <v>-0.45354709999999998</v>
      </c>
      <c r="Z6769">
        <v>-1.0771080000000001E-2</v>
      </c>
      <c r="AA6769">
        <v>0.89116719999999905</v>
      </c>
      <c r="AB6769">
        <v>16</v>
      </c>
      <c r="AC6769">
        <v>19.1603999999999</v>
      </c>
      <c r="AD6769">
        <v>-1.164193</v>
      </c>
      <c r="AE6769">
        <v>47.903087999999997</v>
      </c>
      <c r="AF6769">
        <v>-23.416276426537902</v>
      </c>
      <c r="AG6769">
        <v>-1.164193</v>
      </c>
      <c r="AH6769">
        <v>45.943401535620303</v>
      </c>
      <c r="AI6769">
        <v>91.293317128190694</v>
      </c>
      <c r="AJ6769">
        <v>117.0068746589</v>
      </c>
      <c r="AK6769">
        <v>51.579777933687602</v>
      </c>
      <c r="AL6769">
        <v>91.025961491908902</v>
      </c>
      <c r="AM6769">
        <v>90.014743191978297</v>
      </c>
      <c r="AN6769">
        <v>1.00000004851336</v>
      </c>
    </row>
    <row r="6770" spans="1:40" x14ac:dyDescent="0.25">
      <c r="A6770" t="str">
        <f>"20190312161149762"</f>
        <v>20190312161149762</v>
      </c>
      <c r="B6770" t="str">
        <f>"1552378309753343"</f>
        <v>1552378309753343</v>
      </c>
      <c r="C6770" t="s">
        <v>40</v>
      </c>
      <c r="D6770">
        <v>5.1296140000000001</v>
      </c>
      <c r="E6770">
        <v>0.30721179999999998</v>
      </c>
      <c r="F6770" t="s">
        <v>43</v>
      </c>
      <c r="G6770">
        <v>-171.64109999999999</v>
      </c>
      <c r="H6770">
        <v>-0.05</v>
      </c>
      <c r="I6770">
        <v>-8.5100560000000005</v>
      </c>
      <c r="J6770">
        <v>-190.21709999999999</v>
      </c>
      <c r="K6770">
        <v>1.1141829999999999</v>
      </c>
      <c r="L6770">
        <v>-55.451659999999997</v>
      </c>
      <c r="M6770">
        <v>0.74933000000000005</v>
      </c>
      <c r="N6770">
        <v>0</v>
      </c>
      <c r="O6770">
        <v>0.66204039999999997</v>
      </c>
      <c r="P6770">
        <v>0.74884659999999903</v>
      </c>
      <c r="Q6770">
        <v>-3.2200640000000003E-2</v>
      </c>
      <c r="R6770">
        <v>0.66196080000000002</v>
      </c>
      <c r="S6770">
        <v>1.2421879999999901</v>
      </c>
      <c r="T6770">
        <v>-7.7621339999999997E-2</v>
      </c>
      <c r="U6770">
        <v>3.1334529999999998</v>
      </c>
      <c r="V6770" s="1">
        <v>-9.3473990000000006E-5</v>
      </c>
      <c r="W6770">
        <v>-1.7814549999999998E-2</v>
      </c>
      <c r="X6770">
        <v>0.99984130000000004</v>
      </c>
      <c r="Y6770">
        <v>-0.452677</v>
      </c>
      <c r="Z6770">
        <v>-1.111534E-2</v>
      </c>
      <c r="AA6770">
        <v>0.89160529999999905</v>
      </c>
      <c r="AB6770">
        <v>16</v>
      </c>
      <c r="AC6770">
        <v>18.576000000000001</v>
      </c>
      <c r="AD6770">
        <v>-1.164183</v>
      </c>
      <c r="AE6770">
        <v>46.941603999999998</v>
      </c>
      <c r="AF6770">
        <v>-22.8668979527122</v>
      </c>
      <c r="AG6770">
        <v>-1.164183</v>
      </c>
      <c r="AH6770">
        <v>44.9775327994397</v>
      </c>
      <c r="AI6770">
        <v>91.321747287724605</v>
      </c>
      <c r="AJ6770">
        <v>116.949107914309</v>
      </c>
      <c r="AK6770">
        <v>50.470078271802997</v>
      </c>
      <c r="AL6770">
        <v>91.020752528501006</v>
      </c>
      <c r="AM6770">
        <v>90.005356515184602</v>
      </c>
      <c r="AN6770">
        <v>0.99999999605738898</v>
      </c>
    </row>
    <row r="6771" spans="1:40" x14ac:dyDescent="0.25">
      <c r="A6771" t="str">
        <f>"20190312161149772"</f>
        <v>20190312161149772</v>
      </c>
      <c r="B6771" t="str">
        <f>"1552378309764079"</f>
        <v>1552378309764079</v>
      </c>
      <c r="C6771" t="s">
        <v>40</v>
      </c>
      <c r="D6771">
        <v>5.1539359999999999</v>
      </c>
      <c r="E6771">
        <v>0.32092320000000002</v>
      </c>
      <c r="F6771" t="s">
        <v>43</v>
      </c>
      <c r="G6771">
        <v>-171.79079999999999</v>
      </c>
      <c r="H6771">
        <v>-0.05</v>
      </c>
      <c r="I6771">
        <v>-8.3482210000000006</v>
      </c>
      <c r="J6771">
        <v>-190.16630000000001</v>
      </c>
      <c r="K6771">
        <v>1.1141749999999999</v>
      </c>
      <c r="L6771">
        <v>-55.399929999999998</v>
      </c>
      <c r="M6771">
        <v>0.74642629999999999</v>
      </c>
      <c r="N6771">
        <v>0</v>
      </c>
      <c r="O6771">
        <v>0.66531289999999998</v>
      </c>
      <c r="P6771">
        <v>0.7459829</v>
      </c>
      <c r="Q6771">
        <v>-3.2120160000000002E-2</v>
      </c>
      <c r="R6771">
        <v>0.66519010000000001</v>
      </c>
      <c r="S6771">
        <v>1.2279659999999999</v>
      </c>
      <c r="T6771">
        <v>-7.7583550000000001E-2</v>
      </c>
      <c r="U6771">
        <v>3.1390690000000001</v>
      </c>
      <c r="V6771" s="1">
        <v>-3.7048039999999998E-5</v>
      </c>
      <c r="W6771">
        <v>-1.775933E-2</v>
      </c>
      <c r="X6771">
        <v>0.99984229999999996</v>
      </c>
      <c r="Y6771">
        <v>-0.45282040000000001</v>
      </c>
      <c r="Z6771">
        <v>-1.119973E-2</v>
      </c>
      <c r="AA6771">
        <v>0.89153139999999997</v>
      </c>
      <c r="AB6771">
        <v>16</v>
      </c>
      <c r="AC6771">
        <v>18.375499999999999</v>
      </c>
      <c r="AD6771">
        <v>-1.164175</v>
      </c>
      <c r="AE6771">
        <v>47.051709000000002</v>
      </c>
      <c r="AF6771">
        <v>-22.885384297672701</v>
      </c>
      <c r="AG6771">
        <v>-1.164175</v>
      </c>
      <c r="AH6771">
        <v>45.0008117364155</v>
      </c>
      <c r="AI6771">
        <v>91.320975858886996</v>
      </c>
      <c r="AJ6771">
        <v>116.955836575904</v>
      </c>
      <c r="AK6771">
        <v>50.4991997443435</v>
      </c>
      <c r="AL6771">
        <v>91.017588140727497</v>
      </c>
      <c r="AM6771">
        <v>90.0021230311322</v>
      </c>
      <c r="AN6771">
        <v>1.0000000100219399</v>
      </c>
    </row>
    <row r="6772" spans="1:40" x14ac:dyDescent="0.25">
      <c r="A6772" t="str">
        <f>"20190312161149783"</f>
        <v>20190312161149783</v>
      </c>
      <c r="B6772" t="str">
        <f>"1552378309773840"</f>
        <v>1552378309773840</v>
      </c>
      <c r="C6772" t="s">
        <v>40</v>
      </c>
      <c r="D6772">
        <v>5.1907019999999999</v>
      </c>
      <c r="E6772">
        <v>0.32145190000000001</v>
      </c>
      <c r="F6772" t="s">
        <v>41</v>
      </c>
      <c r="G6772">
        <v>-179.12180000000001</v>
      </c>
      <c r="H6772">
        <v>7.9985769999999998E-2</v>
      </c>
      <c r="I6772">
        <v>-29.068819999999999</v>
      </c>
      <c r="J6772">
        <v>-190.11490000000001</v>
      </c>
      <c r="K6772">
        <v>1.114161</v>
      </c>
      <c r="L6772">
        <v>-55.347410000000004</v>
      </c>
      <c r="M6772">
        <v>0.74346909999999999</v>
      </c>
      <c r="N6772">
        <v>0</v>
      </c>
      <c r="O6772">
        <v>0.66861669999999995</v>
      </c>
      <c r="P6772">
        <v>0.74306810000000001</v>
      </c>
      <c r="Q6772">
        <v>-3.2463649999999997E-2</v>
      </c>
      <c r="R6772">
        <v>0.66842809999999997</v>
      </c>
      <c r="S6772">
        <v>1.2848660000000001</v>
      </c>
      <c r="T6772">
        <v>-0.1203125</v>
      </c>
      <c r="U6772">
        <v>3.0632320000000002</v>
      </c>
      <c r="V6772" s="1">
        <v>4.1485439999999997E-5</v>
      </c>
      <c r="W6772">
        <v>-1.812863E-2</v>
      </c>
      <c r="X6772">
        <v>0.99983569999999999</v>
      </c>
      <c r="Y6772">
        <v>-0.42708580000000002</v>
      </c>
      <c r="Z6772">
        <v>-1.8170249999999999E-2</v>
      </c>
      <c r="AA6772">
        <v>0.90402850000000001</v>
      </c>
      <c r="AB6772">
        <v>16</v>
      </c>
      <c r="AC6772">
        <v>10.993099999999901</v>
      </c>
      <c r="AD6772">
        <v>-1.03417523</v>
      </c>
      <c r="AE6772">
        <v>26.278589999999902</v>
      </c>
      <c r="AF6772">
        <v>-12.172356943661001</v>
      </c>
      <c r="AG6772">
        <v>-1.03417523</v>
      </c>
      <c r="AH6772">
        <v>25.712087651144099</v>
      </c>
      <c r="AI6772">
        <v>92.081981005495606</v>
      </c>
      <c r="AJ6772">
        <v>115.33333816078201</v>
      </c>
      <c r="AK6772">
        <v>28.466598731677699</v>
      </c>
      <c r="AL6772">
        <v>91.038750850306499</v>
      </c>
      <c r="AM6772">
        <v>89.997622668782597</v>
      </c>
      <c r="AN6772">
        <v>1.0000000379706</v>
      </c>
    </row>
    <row r="6773" spans="1:40" x14ac:dyDescent="0.25">
      <c r="A6773" t="str">
        <f>"20190312161149795"</f>
        <v>20190312161149795</v>
      </c>
      <c r="B6773" t="str">
        <f>"1552378309783600"</f>
        <v>1552378309783600</v>
      </c>
      <c r="C6773" t="s">
        <v>40</v>
      </c>
      <c r="D6773">
        <v>5.1971869999999996</v>
      </c>
      <c r="E6773">
        <v>0.3225845</v>
      </c>
      <c r="F6773" t="s">
        <v>41</v>
      </c>
      <c r="G6773">
        <v>-179.25450000000001</v>
      </c>
      <c r="H6773">
        <v>7.9985719999999996E-2</v>
      </c>
      <c r="I6773">
        <v>-29.21762</v>
      </c>
      <c r="J6773">
        <v>-190.06059999999999</v>
      </c>
      <c r="K6773">
        <v>1.1141509999999999</v>
      </c>
      <c r="L6773">
        <v>-55.290990000000001</v>
      </c>
      <c r="M6773">
        <v>0.74029840000000002</v>
      </c>
      <c r="N6773">
        <v>0</v>
      </c>
      <c r="O6773">
        <v>0.67212609999999995</v>
      </c>
      <c r="P6773">
        <v>0.73980699999999999</v>
      </c>
      <c r="Q6773">
        <v>-3.282653E-2</v>
      </c>
      <c r="R6773">
        <v>0.67201789999999995</v>
      </c>
      <c r="S6773">
        <v>1.274216</v>
      </c>
      <c r="T6773">
        <v>-0.12133679999999999</v>
      </c>
      <c r="U6773">
        <v>3.0657350000000001</v>
      </c>
      <c r="V6773" s="1">
        <v>-7.7289650000000003E-5</v>
      </c>
      <c r="W6773">
        <v>-1.8524450000000001E-2</v>
      </c>
      <c r="X6773">
        <v>0.99982839999999995</v>
      </c>
      <c r="Y6773">
        <v>-0.42574909999999999</v>
      </c>
      <c r="Z6773">
        <v>-1.8509830000000001E-2</v>
      </c>
      <c r="AA6773">
        <v>0.90465189999999995</v>
      </c>
      <c r="AB6773">
        <v>16</v>
      </c>
      <c r="AC6773">
        <v>10.806099999999899</v>
      </c>
      <c r="AD6773">
        <v>-1.0341652800000001</v>
      </c>
      <c r="AE6773">
        <v>26.073370000000001</v>
      </c>
      <c r="AF6773">
        <v>-12.024101685362499</v>
      </c>
      <c r="AG6773">
        <v>-1.0341652800000001</v>
      </c>
      <c r="AH6773">
        <v>25.492718634354901</v>
      </c>
      <c r="AI6773">
        <v>92.101272713093806</v>
      </c>
      <c r="AJ6773">
        <v>115.25175585036099</v>
      </c>
      <c r="AK6773">
        <v>28.2050921384186</v>
      </c>
      <c r="AL6773">
        <v>91.061433519737705</v>
      </c>
      <c r="AM6773">
        <v>90.004429130774994</v>
      </c>
      <c r="AN6773">
        <v>0.99999999533402595</v>
      </c>
    </row>
    <row r="6774" spans="1:40" x14ac:dyDescent="0.25">
      <c r="A6774" t="str">
        <f>"20190312161149806"</f>
        <v>20190312161149806</v>
      </c>
      <c r="B6774" t="str">
        <f>"1552378309803705"</f>
        <v>1552378309803705</v>
      </c>
      <c r="C6774" t="s">
        <v>40</v>
      </c>
      <c r="D6774">
        <v>5.2075849999999999</v>
      </c>
      <c r="E6774">
        <v>0.32301299999999999</v>
      </c>
      <c r="F6774" t="s">
        <v>41</v>
      </c>
      <c r="G6774">
        <v>-179.80850000000001</v>
      </c>
      <c r="H6774">
        <v>7.9986799999999997E-2</v>
      </c>
      <c r="I6774">
        <v>-30.449210000000001</v>
      </c>
      <c r="J6774">
        <v>-190.01079999999999</v>
      </c>
      <c r="K6774">
        <v>1.114142</v>
      </c>
      <c r="L6774">
        <v>-55.239199999999997</v>
      </c>
      <c r="M6774">
        <v>0.73737659999999905</v>
      </c>
      <c r="N6774">
        <v>0</v>
      </c>
      <c r="O6774">
        <v>0.67533100000000001</v>
      </c>
      <c r="P6774">
        <v>0.73697199999999996</v>
      </c>
      <c r="Q6774">
        <v>-3.2792620000000001E-2</v>
      </c>
      <c r="R6774">
        <v>0.67512740000000004</v>
      </c>
      <c r="S6774">
        <v>1.2650300000000001</v>
      </c>
      <c r="T6774">
        <v>-0.12760759999999999</v>
      </c>
      <c r="U6774">
        <v>3.065277</v>
      </c>
      <c r="V6774" s="1">
        <v>4.9544240000000002E-5</v>
      </c>
      <c r="W6774">
        <v>-1.851918E-2</v>
      </c>
      <c r="X6774">
        <v>0.99982850000000001</v>
      </c>
      <c r="Y6774">
        <v>-0.4240988</v>
      </c>
      <c r="Z6774">
        <v>-1.9663980000000001E-2</v>
      </c>
      <c r="AA6774">
        <v>0.90540240000000005</v>
      </c>
      <c r="AB6774">
        <v>16</v>
      </c>
      <c r="AC6774">
        <v>10.2022999999999</v>
      </c>
      <c r="AD6774">
        <v>-1.0341552000000001</v>
      </c>
      <c r="AE6774">
        <v>24.78999</v>
      </c>
      <c r="AF6774">
        <v>-11.3738630463452</v>
      </c>
      <c r="AG6774">
        <v>-1.0341552000000001</v>
      </c>
      <c r="AH6774">
        <v>24.2307981774597</v>
      </c>
      <c r="AI6774">
        <v>92.212510909020395</v>
      </c>
      <c r="AJ6774">
        <v>115.14521789486</v>
      </c>
      <c r="AK6774">
        <v>26.787419022583901</v>
      </c>
      <c r="AL6774">
        <v>91.061131518521094</v>
      </c>
      <c r="AM6774">
        <v>89.997160837234702</v>
      </c>
      <c r="AN6774">
        <v>0.99999999594737699</v>
      </c>
    </row>
    <row r="6775" spans="1:40" x14ac:dyDescent="0.25">
      <c r="A6775" t="str">
        <f>"20190312161149816"</f>
        <v>20190312161149816</v>
      </c>
      <c r="B6775" t="str">
        <f>"1552378309813465"</f>
        <v>1552378309813465</v>
      </c>
      <c r="C6775" t="s">
        <v>40</v>
      </c>
      <c r="D6775">
        <v>5.1891660000000002</v>
      </c>
      <c r="E6775">
        <v>0.32204339999999998</v>
      </c>
      <c r="F6775" t="s">
        <v>41</v>
      </c>
      <c r="G6775">
        <v>-179.73660000000001</v>
      </c>
      <c r="H6775">
        <v>7.9985440000000005E-2</v>
      </c>
      <c r="I6775">
        <v>-30.109909999999999</v>
      </c>
      <c r="J6775">
        <v>-189.95910000000001</v>
      </c>
      <c r="K6775">
        <v>1.1141350000000001</v>
      </c>
      <c r="L6775">
        <v>-55.184570000000001</v>
      </c>
      <c r="M6775">
        <v>0.73429860000000002</v>
      </c>
      <c r="N6775">
        <v>0</v>
      </c>
      <c r="O6775">
        <v>0.67867719999999998</v>
      </c>
      <c r="P6775">
        <v>0.73383500000000002</v>
      </c>
      <c r="Q6775">
        <v>-3.2783819999999998E-2</v>
      </c>
      <c r="R6775">
        <v>0.67853619999999903</v>
      </c>
      <c r="S6775">
        <v>1.2544249999999999</v>
      </c>
      <c r="T6775">
        <v>-0.12626480000000001</v>
      </c>
      <c r="U6775">
        <v>3.068146</v>
      </c>
      <c r="V6775" s="1">
        <v>-3.8482629999999999E-5</v>
      </c>
      <c r="W6775">
        <v>-1.854621E-2</v>
      </c>
      <c r="X6775">
        <v>0.99982800000000005</v>
      </c>
      <c r="Y6775">
        <v>-0.42295729999999998</v>
      </c>
      <c r="Z6775">
        <v>-1.963728E-2</v>
      </c>
      <c r="AA6775">
        <v>0.90593679999999999</v>
      </c>
      <c r="AB6775">
        <v>16</v>
      </c>
      <c r="AC6775">
        <v>10.222499999999901</v>
      </c>
      <c r="AD6775">
        <v>-1.0341495599999999</v>
      </c>
      <c r="AE6775">
        <v>25.074659999999898</v>
      </c>
      <c r="AF6775">
        <v>-11.458960406971199</v>
      </c>
      <c r="AG6775">
        <v>-1.0341495599999999</v>
      </c>
      <c r="AH6775">
        <v>24.4907338938221</v>
      </c>
      <c r="AI6775">
        <v>92.190306177829797</v>
      </c>
      <c r="AJ6775">
        <v>115.074406237235</v>
      </c>
      <c r="AK6775">
        <v>27.0587007370825</v>
      </c>
      <c r="AL6775">
        <v>91.062680488904405</v>
      </c>
      <c r="AM6775">
        <v>90.002205271589105</v>
      </c>
      <c r="AN6775">
        <v>0.99999999648513804</v>
      </c>
    </row>
    <row r="6776" spans="1:40" x14ac:dyDescent="0.25">
      <c r="A6776" t="str">
        <f>"20190312161149829"</f>
        <v>20190312161149829</v>
      </c>
      <c r="B6776" t="str">
        <f>"1552378309824200"</f>
        <v>1552378309824200</v>
      </c>
      <c r="C6776" t="s">
        <v>40</v>
      </c>
      <c r="D6776">
        <v>5.2428650000000001</v>
      </c>
      <c r="E6776">
        <v>0.32204339999999998</v>
      </c>
      <c r="F6776" t="s">
        <v>41</v>
      </c>
      <c r="G6776">
        <v>-179.35050000000001</v>
      </c>
      <c r="H6776">
        <v>7.9985860000000006E-2</v>
      </c>
      <c r="I6776">
        <v>-28.737539999999999</v>
      </c>
      <c r="J6776">
        <v>-189.90170000000001</v>
      </c>
      <c r="K6776">
        <v>1.114123</v>
      </c>
      <c r="L6776">
        <v>-55.123570000000001</v>
      </c>
      <c r="M6776">
        <v>0.73085369999999905</v>
      </c>
      <c r="N6776">
        <v>0</v>
      </c>
      <c r="O6776">
        <v>0.68238650000000001</v>
      </c>
      <c r="P6776">
        <v>0.73042390000000001</v>
      </c>
      <c r="Q6776">
        <v>-3.243468E-2</v>
      </c>
      <c r="R6776">
        <v>0.68222349999999998</v>
      </c>
      <c r="S6776">
        <v>1.2352749999999999</v>
      </c>
      <c r="T6776">
        <v>-0.1204177</v>
      </c>
      <c r="U6776">
        <v>3.079529</v>
      </c>
      <c r="V6776" s="1">
        <v>-4.4669429999999997E-6</v>
      </c>
      <c r="W6776">
        <v>-1.8237880000000001E-2</v>
      </c>
      <c r="X6776">
        <v>0.99983370000000005</v>
      </c>
      <c r="Y6776">
        <v>-0.42437930000000001</v>
      </c>
      <c r="Z6776">
        <v>-1.8850289999999999E-2</v>
      </c>
      <c r="AA6776">
        <v>0.90528830000000005</v>
      </c>
      <c r="AB6776">
        <v>16</v>
      </c>
      <c r="AC6776">
        <v>10.5511999999999</v>
      </c>
      <c r="AD6776">
        <v>-1.0341371399999999</v>
      </c>
      <c r="AE6776">
        <v>26.386029999999899</v>
      </c>
      <c r="AF6776">
        <v>-12.069565364966801</v>
      </c>
      <c r="AG6776">
        <v>-1.0341371399999999</v>
      </c>
      <c r="AH6776">
        <v>25.685430783664099</v>
      </c>
      <c r="AI6776">
        <v>92.086885376756697</v>
      </c>
      <c r="AJ6776">
        <v>115.168797516905</v>
      </c>
      <c r="AK6776">
        <v>28.398683107953001</v>
      </c>
      <c r="AL6776">
        <v>91.045011463673603</v>
      </c>
      <c r="AM6776">
        <v>90.000255979550602</v>
      </c>
      <c r="AN6776">
        <v>1.0000000239712601</v>
      </c>
    </row>
    <row r="6777" spans="1:40" x14ac:dyDescent="0.25">
      <c r="A6777" t="str">
        <f>"20190312161149840"</f>
        <v>20190312161149840</v>
      </c>
      <c r="B6777" t="str">
        <f>"1552378309833961"</f>
        <v>1552378309833961</v>
      </c>
      <c r="C6777" t="s">
        <v>40</v>
      </c>
      <c r="D6777">
        <v>5.2469769999999896</v>
      </c>
      <c r="E6777">
        <v>0.29364440000000003</v>
      </c>
      <c r="F6777" t="s">
        <v>41</v>
      </c>
      <c r="G6777">
        <v>-179.3271</v>
      </c>
      <c r="H6777">
        <v>7.9985979999999998E-2</v>
      </c>
      <c r="I6777">
        <v>-28.374639999999999</v>
      </c>
      <c r="J6777">
        <v>-189.84950000000001</v>
      </c>
      <c r="K6777">
        <v>1.114112</v>
      </c>
      <c r="L6777">
        <v>-55.067540000000001</v>
      </c>
      <c r="M6777">
        <v>0.7276861</v>
      </c>
      <c r="N6777">
        <v>0</v>
      </c>
      <c r="O6777">
        <v>0.68576409999999999</v>
      </c>
      <c r="P6777">
        <v>0.72716800000000004</v>
      </c>
      <c r="Q6777">
        <v>-3.2322459999999997E-2</v>
      </c>
      <c r="R6777">
        <v>0.68569820000000004</v>
      </c>
      <c r="S6777">
        <v>1.2198639999999901</v>
      </c>
      <c r="T6777">
        <v>-0.1192956</v>
      </c>
      <c r="U6777">
        <v>3.085693</v>
      </c>
      <c r="V6777">
        <v>-1.3856200000000001E-4</v>
      </c>
      <c r="W6777">
        <v>-1.8167329999999999E-2</v>
      </c>
      <c r="X6777">
        <v>0.99983500000000003</v>
      </c>
      <c r="Y6777">
        <v>-0.4247146</v>
      </c>
      <c r="Z6777">
        <v>-1.8816280000000001E-2</v>
      </c>
      <c r="AA6777">
        <v>0.90513180000000004</v>
      </c>
      <c r="AB6777">
        <v>16</v>
      </c>
      <c r="AC6777">
        <v>10.522399999999999</v>
      </c>
      <c r="AD6777">
        <v>-1.03412602</v>
      </c>
      <c r="AE6777">
        <v>26.692900000000002</v>
      </c>
      <c r="AF6777">
        <v>-12.193552429137601</v>
      </c>
      <c r="AG6777">
        <v>-1.03412602</v>
      </c>
      <c r="AH6777">
        <v>25.930954832729601</v>
      </c>
      <c r="AI6777">
        <v>92.066856807936801</v>
      </c>
      <c r="AJ6777">
        <v>115.184388811921</v>
      </c>
      <c r="AK6777">
        <v>28.673446880422901</v>
      </c>
      <c r="AL6777">
        <v>91.040968550479803</v>
      </c>
      <c r="AM6777">
        <v>90.007940327904095</v>
      </c>
      <c r="AN6777">
        <v>1.0000000491518699</v>
      </c>
    </row>
    <row r="6778" spans="1:40" x14ac:dyDescent="0.25">
      <c r="A6778" t="str">
        <f>"20190312161149853"</f>
        <v>20190312161149853</v>
      </c>
      <c r="B6778" t="str">
        <f>"1552378309843721"</f>
        <v>1552378309843721</v>
      </c>
      <c r="C6778" t="s">
        <v>40</v>
      </c>
      <c r="D6778">
        <v>5.2803279999999999</v>
      </c>
      <c r="E6778">
        <v>0.28928510000000002</v>
      </c>
      <c r="F6778" t="s">
        <v>57</v>
      </c>
      <c r="G6778">
        <v>-163.85669999999999</v>
      </c>
      <c r="H6778">
        <v>0.1379224</v>
      </c>
      <c r="I6778">
        <v>25.184909999999999</v>
      </c>
      <c r="J6778">
        <v>-189.79339999999999</v>
      </c>
      <c r="K6778">
        <v>1.1141019999999999</v>
      </c>
      <c r="L6778">
        <v>-55.00665</v>
      </c>
      <c r="M6778">
        <v>0.72424569999999999</v>
      </c>
      <c r="N6778">
        <v>0</v>
      </c>
      <c r="O6778">
        <v>0.68939759999999894</v>
      </c>
      <c r="P6778">
        <v>0.72367499999999996</v>
      </c>
      <c r="Q6778">
        <v>-3.2170169999999998E-2</v>
      </c>
      <c r="R6778">
        <v>0.68939079999999997</v>
      </c>
      <c r="S6778">
        <v>1.054306</v>
      </c>
      <c r="T6778">
        <v>-3.9595720000000001E-2</v>
      </c>
      <c r="U6778">
        <v>3.2551570000000001</v>
      </c>
      <c r="V6778">
        <v>-2.2104159999999999E-4</v>
      </c>
      <c r="W6778">
        <v>-1.806288E-2</v>
      </c>
      <c r="X6778">
        <v>0.99983679999999997</v>
      </c>
      <c r="Y6778">
        <v>-0.47663489999999997</v>
      </c>
      <c r="Z6778">
        <v>-5.8522340000000004E-3</v>
      </c>
      <c r="AA6778">
        <v>0.87908180000000002</v>
      </c>
      <c r="AB6778">
        <v>16</v>
      </c>
      <c r="AC6778">
        <v>25.936699999999998</v>
      </c>
      <c r="AD6778">
        <v>-0.97617960000000004</v>
      </c>
      <c r="AE6778">
        <v>80.191559999999996</v>
      </c>
      <c r="AF6778">
        <v>-40.1963039906435</v>
      </c>
      <c r="AG6778">
        <v>-0.97617960000000004</v>
      </c>
      <c r="AH6778">
        <v>74.065851631041696</v>
      </c>
      <c r="AI6778">
        <v>90.663679031904806</v>
      </c>
      <c r="AJ6778">
        <v>118.489141840343</v>
      </c>
      <c r="AK6778">
        <v>84.276011764624698</v>
      </c>
      <c r="AL6778">
        <v>91.034983104735502</v>
      </c>
      <c r="AM6778">
        <v>90.012666817795093</v>
      </c>
      <c r="AN6778">
        <v>0.99999997156376097</v>
      </c>
    </row>
    <row r="6779" spans="1:40" x14ac:dyDescent="0.25">
      <c r="A6779" t="str">
        <f>"20190312161149866"</f>
        <v>20190312161149866</v>
      </c>
      <c r="B6779" t="str">
        <f>"1552378309853481"</f>
        <v>1552378309853481</v>
      </c>
      <c r="C6779" t="s">
        <v>40</v>
      </c>
      <c r="D6779">
        <v>5.2699780000000001</v>
      </c>
      <c r="E6779">
        <v>0.2874795</v>
      </c>
      <c r="F6779" t="s">
        <v>57</v>
      </c>
      <c r="G6779">
        <v>-165.02269999999999</v>
      </c>
      <c r="H6779">
        <v>0.58184440000000004</v>
      </c>
      <c r="I6779">
        <v>25.184899999999999</v>
      </c>
      <c r="J6779">
        <v>-189.7353</v>
      </c>
      <c r="K6779">
        <v>1.1140920000000001</v>
      </c>
      <c r="L6779">
        <v>-54.943179999999998</v>
      </c>
      <c r="M6779">
        <v>0.72064759999999894</v>
      </c>
      <c r="N6779">
        <v>0</v>
      </c>
      <c r="O6779">
        <v>0.69315890000000002</v>
      </c>
      <c r="P6779">
        <v>0.72000180000000003</v>
      </c>
      <c r="Q6779">
        <v>-3.1962520000000001E-2</v>
      </c>
      <c r="R6779">
        <v>0.69323579999999996</v>
      </c>
      <c r="S6779">
        <v>1.014832</v>
      </c>
      <c r="T6779">
        <v>-2.1806119999999998E-2</v>
      </c>
      <c r="U6779">
        <v>3.2853699999999999</v>
      </c>
      <c r="V6779">
        <v>-3.3737170000000001E-4</v>
      </c>
      <c r="W6779">
        <v>-1.7907079999999999E-2</v>
      </c>
      <c r="X6779">
        <v>0.99983960000000005</v>
      </c>
      <c r="Y6779">
        <v>-0.48402060000000002</v>
      </c>
      <c r="Z6779">
        <v>-3.2163500000000002E-3</v>
      </c>
      <c r="AA6779">
        <v>0.87505069999999996</v>
      </c>
      <c r="AB6779">
        <v>16</v>
      </c>
      <c r="AC6779">
        <v>24.712599999999998</v>
      </c>
      <c r="AD6779">
        <v>-0.53224759999999904</v>
      </c>
      <c r="AE6779">
        <v>80.128079999999997</v>
      </c>
      <c r="AF6779">
        <v>-40.616730333785398</v>
      </c>
      <c r="AG6779">
        <v>-0.53224759999999904</v>
      </c>
      <c r="AH6779">
        <v>73.354866774213505</v>
      </c>
      <c r="AI6779">
        <v>90.363691046494907</v>
      </c>
      <c r="AJ6779">
        <v>118.97338306679799</v>
      </c>
      <c r="AK6779">
        <v>83.850692006552705</v>
      </c>
      <c r="AL6779">
        <v>91.0260549472126</v>
      </c>
      <c r="AM6779">
        <v>90.019333074828694</v>
      </c>
      <c r="AN6779">
        <v>1.00000000153097</v>
      </c>
    </row>
    <row r="6780" spans="1:40" x14ac:dyDescent="0.25">
      <c r="A6780" t="str">
        <f>"20190312161149878"</f>
        <v>20190312161149878</v>
      </c>
      <c r="B6780" t="str">
        <f>"1552378309873977"</f>
        <v>1552378309873977</v>
      </c>
      <c r="C6780" t="s">
        <v>40</v>
      </c>
      <c r="D6780">
        <v>5.320945</v>
      </c>
      <c r="E6780">
        <v>0.2877671</v>
      </c>
      <c r="F6780" t="s">
        <v>57</v>
      </c>
      <c r="G6780">
        <v>-165.76130000000001</v>
      </c>
      <c r="H6780">
        <v>0.73738780000000004</v>
      </c>
      <c r="I6780">
        <v>25.184889999999999</v>
      </c>
      <c r="J6780">
        <v>-189.67230000000001</v>
      </c>
      <c r="K6780">
        <v>1.114079</v>
      </c>
      <c r="L6780">
        <v>-54.8733199999999</v>
      </c>
      <c r="M6780">
        <v>0.7166922</v>
      </c>
      <c r="N6780">
        <v>0</v>
      </c>
      <c r="O6780">
        <v>0.69724900000000001</v>
      </c>
      <c r="P6780">
        <v>0.71588359999999995</v>
      </c>
      <c r="Q6780">
        <v>-3.1509950000000002E-2</v>
      </c>
      <c r="R6780">
        <v>0.69750849999999998</v>
      </c>
      <c r="S6780">
        <v>0.98765559999999997</v>
      </c>
      <c r="T6780">
        <v>-1.551902E-2</v>
      </c>
      <c r="U6780">
        <v>3.3010250000000001</v>
      </c>
      <c r="V6780">
        <v>-5.8815199999999999E-4</v>
      </c>
      <c r="W6780">
        <v>-1.7516230000000001E-2</v>
      </c>
      <c r="X6780">
        <v>0.99984640000000002</v>
      </c>
      <c r="Y6780">
        <v>-0.48680590000000001</v>
      </c>
      <c r="Z6780">
        <v>-2.3018700000000001E-3</v>
      </c>
      <c r="AA6780">
        <v>0.87350709999999998</v>
      </c>
      <c r="AB6780">
        <v>15</v>
      </c>
      <c r="AC6780">
        <v>23.910999999999898</v>
      </c>
      <c r="AD6780">
        <v>-0.3766912</v>
      </c>
      <c r="AE6780">
        <v>80.058209999999903</v>
      </c>
      <c r="AF6780">
        <v>-40.708338566496899</v>
      </c>
      <c r="AG6780">
        <v>-0.3766912</v>
      </c>
      <c r="AH6780">
        <v>72.9630063572734</v>
      </c>
      <c r="AI6780">
        <v>90.258317320444107</v>
      </c>
      <c r="AJ6780">
        <v>119.158511662636</v>
      </c>
      <c r="AK6780">
        <v>83.551846309918304</v>
      </c>
      <c r="AL6780">
        <v>91.003657385961802</v>
      </c>
      <c r="AM6780">
        <v>90.033703800328993</v>
      </c>
      <c r="AN6780">
        <v>0.99999999391457395</v>
      </c>
    </row>
    <row r="6781" spans="1:40" x14ac:dyDescent="0.25">
      <c r="A6781" t="str">
        <f>"20190312161149897"</f>
        <v>20190312161149897</v>
      </c>
      <c r="B6781" t="str">
        <f>"1552378309894107"</f>
        <v>1552378309894107</v>
      </c>
      <c r="C6781" t="s">
        <v>40</v>
      </c>
      <c r="D6781">
        <v>5.3030660000000003</v>
      </c>
      <c r="E6781">
        <v>0.28809010000000002</v>
      </c>
      <c r="F6781" t="s">
        <v>57</v>
      </c>
      <c r="G6781">
        <v>-166.40639999999999</v>
      </c>
      <c r="H6781">
        <v>0.4937974</v>
      </c>
      <c r="I6781">
        <v>24.492059999999999</v>
      </c>
      <c r="J6781">
        <v>-189.596</v>
      </c>
      <c r="K6781">
        <v>1.1140570000000001</v>
      </c>
      <c r="L6781">
        <v>-54.787689999999998</v>
      </c>
      <c r="M6781">
        <v>0.7118371</v>
      </c>
      <c r="N6781">
        <v>0</v>
      </c>
      <c r="O6781">
        <v>0.70220649999999996</v>
      </c>
      <c r="P6781">
        <v>0.71074910000000002</v>
      </c>
      <c r="Q6781">
        <v>-3.1116049999999999E-2</v>
      </c>
      <c r="R6781">
        <v>0.70275710000000002</v>
      </c>
      <c r="S6781">
        <v>0.96896360000000004</v>
      </c>
      <c r="T6781">
        <v>-2.5833129999999999E-2</v>
      </c>
      <c r="U6781">
        <v>3.3053590000000002</v>
      </c>
      <c r="V6781">
        <v>-9.9722089999999992E-4</v>
      </c>
      <c r="W6781">
        <v>-1.7202289999999999E-2</v>
      </c>
      <c r="X6781">
        <v>0.9998515</v>
      </c>
      <c r="Y6781">
        <v>-0.4856008</v>
      </c>
      <c r="Z6781">
        <v>-3.883517E-3</v>
      </c>
      <c r="AA6781">
        <v>0.87417199999999995</v>
      </c>
      <c r="AB6781">
        <v>15</v>
      </c>
      <c r="AC6781">
        <v>23.189599999999899</v>
      </c>
      <c r="AD6781">
        <v>-0.62025959999999902</v>
      </c>
      <c r="AE6781">
        <v>79.279750000000007</v>
      </c>
      <c r="AF6781">
        <v>-40.152010115321097</v>
      </c>
      <c r="AG6781">
        <v>-0.62025959999999902</v>
      </c>
      <c r="AH6781">
        <v>72.180904767483099</v>
      </c>
      <c r="AI6781">
        <v>90.430252705486396</v>
      </c>
      <c r="AJ6781">
        <v>119.085837413086</v>
      </c>
      <c r="AK6781">
        <v>82.599344133744296</v>
      </c>
      <c r="AL6781">
        <v>90.985667263842103</v>
      </c>
      <c r="AM6781">
        <v>90.057145015901696</v>
      </c>
      <c r="AN6781">
        <v>0.999999967641508</v>
      </c>
    </row>
    <row r="6782" spans="1:40" x14ac:dyDescent="0.25">
      <c r="A6782" t="str">
        <f>"20190312161149917"</f>
        <v>20190312161149917</v>
      </c>
      <c r="B6782" t="str">
        <f>"1552378309913629"</f>
        <v>1552378309913629</v>
      </c>
      <c r="C6782" t="s">
        <v>40</v>
      </c>
      <c r="D6782">
        <v>5.3194819999999998</v>
      </c>
      <c r="E6782">
        <v>0.28910819999999998</v>
      </c>
      <c r="F6782" t="s">
        <v>57</v>
      </c>
      <c r="G6782">
        <v>-166.9297</v>
      </c>
      <c r="H6782">
        <v>0.54514799999999997</v>
      </c>
      <c r="I6782">
        <v>24.492049999999999</v>
      </c>
      <c r="J6782">
        <v>-189.50139999999999</v>
      </c>
      <c r="K6782">
        <v>1.1140330000000001</v>
      </c>
      <c r="L6782">
        <v>-54.679870000000001</v>
      </c>
      <c r="M6782">
        <v>0.70571509999999904</v>
      </c>
      <c r="N6782">
        <v>0</v>
      </c>
      <c r="O6782">
        <v>0.70836089999999996</v>
      </c>
      <c r="P6782">
        <v>0.70440290000000005</v>
      </c>
      <c r="Q6782">
        <v>-3.0576599999999898E-2</v>
      </c>
      <c r="R6782">
        <v>0.70914160000000004</v>
      </c>
      <c r="S6782">
        <v>0.94650270000000003</v>
      </c>
      <c r="T6782">
        <v>-2.3756619999999999E-2</v>
      </c>
      <c r="U6782">
        <v>3.3105769999999999</v>
      </c>
      <c r="V6782">
        <v>-1.3257220000000001E-3</v>
      </c>
      <c r="W6782">
        <v>-1.6766670000000001E-2</v>
      </c>
      <c r="X6782">
        <v>0.99985860000000004</v>
      </c>
      <c r="Y6782">
        <v>-0.48385529999999999</v>
      </c>
      <c r="Z6782">
        <v>-3.6312340000000001E-3</v>
      </c>
      <c r="AA6782">
        <v>0.87514049999999999</v>
      </c>
      <c r="AB6782">
        <v>15</v>
      </c>
      <c r="AC6782">
        <v>22.5717</v>
      </c>
      <c r="AD6782">
        <v>-0.56888499999999997</v>
      </c>
      <c r="AE6782">
        <v>79.17192</v>
      </c>
      <c r="AF6782">
        <v>-39.885815305271997</v>
      </c>
      <c r="AG6782">
        <v>-0.56888499999999997</v>
      </c>
      <c r="AH6782">
        <v>72.014922626357006</v>
      </c>
      <c r="AI6782">
        <v>90.395931981325802</v>
      </c>
      <c r="AJ6782">
        <v>118.98008968132901</v>
      </c>
      <c r="AK6782">
        <v>82.324668074579506</v>
      </c>
      <c r="AL6782">
        <v>90.960704396033805</v>
      </c>
      <c r="AM6782">
        <v>90.075968972908001</v>
      </c>
      <c r="AN6782">
        <v>1.00000004937783</v>
      </c>
    </row>
    <row r="6783" spans="1:40" x14ac:dyDescent="0.25">
      <c r="A6783" t="str">
        <f>"20190312161149929"</f>
        <v>20190312161149929</v>
      </c>
      <c r="B6783" t="str">
        <f>"1552378309923389"</f>
        <v>1552378309923389</v>
      </c>
      <c r="C6783" t="s">
        <v>40</v>
      </c>
      <c r="D6783">
        <v>5.0734690000000002</v>
      </c>
      <c r="E6783">
        <v>0.28910819999999998</v>
      </c>
      <c r="F6783" t="s">
        <v>57</v>
      </c>
      <c r="G6783">
        <v>-167.4648</v>
      </c>
      <c r="H6783">
        <v>0.5228254</v>
      </c>
      <c r="I6783">
        <v>24.492049999999999</v>
      </c>
      <c r="J6783">
        <v>-189.4496</v>
      </c>
      <c r="K6783">
        <v>1.1140219999999901</v>
      </c>
      <c r="L6783">
        <v>-54.620089999999998</v>
      </c>
      <c r="M6783">
        <v>0.70231569999999899</v>
      </c>
      <c r="N6783">
        <v>0</v>
      </c>
      <c r="O6783">
        <v>0.71173240000000004</v>
      </c>
      <c r="P6783">
        <v>0.7008008</v>
      </c>
      <c r="Q6783">
        <v>-3.0532650000000001E-2</v>
      </c>
      <c r="R6783">
        <v>0.71270319999999898</v>
      </c>
      <c r="S6783">
        <v>0.92222599999999999</v>
      </c>
      <c r="T6783">
        <v>-2.4741889999999999E-2</v>
      </c>
      <c r="U6783">
        <v>3.3133240000000002</v>
      </c>
      <c r="V6783">
        <v>-1.605109E-3</v>
      </c>
      <c r="W6783">
        <v>-1.678354E-2</v>
      </c>
      <c r="X6783">
        <v>0.99985780000000002</v>
      </c>
      <c r="Y6783">
        <v>-0.48579539999999999</v>
      </c>
      <c r="Z6783">
        <v>-3.8107549999999999E-3</v>
      </c>
      <c r="AA6783">
        <v>0.87406430000000002</v>
      </c>
      <c r="AB6783">
        <v>15</v>
      </c>
      <c r="AC6783">
        <v>21.9848</v>
      </c>
      <c r="AD6783">
        <v>-0.59119659999999896</v>
      </c>
      <c r="AE6783">
        <v>79.112139999999997</v>
      </c>
      <c r="AF6783">
        <v>-39.916119622600597</v>
      </c>
      <c r="AG6783">
        <v>-0.59119659999999896</v>
      </c>
      <c r="AH6783">
        <v>71.750028210499394</v>
      </c>
      <c r="AI6783">
        <v>90.412546772031206</v>
      </c>
      <c r="AJ6783">
        <v>119.088150390319</v>
      </c>
      <c r="AK6783">
        <v>82.107933035444702</v>
      </c>
      <c r="AL6783">
        <v>90.961671215177802</v>
      </c>
      <c r="AM6783">
        <v>90.091978971766295</v>
      </c>
      <c r="AN6783">
        <v>0.99999994190533503</v>
      </c>
    </row>
    <row r="6784" spans="1:40" x14ac:dyDescent="0.25">
      <c r="A6784" t="str">
        <f>"20190312161149940"</f>
        <v>20190312161149940</v>
      </c>
      <c r="B6784" t="str">
        <f>"1552378309934124"</f>
        <v>1552378309934124</v>
      </c>
      <c r="C6784" t="s">
        <v>40</v>
      </c>
      <c r="D6784">
        <v>5.3181719999999997</v>
      </c>
      <c r="E6784">
        <v>0.257855</v>
      </c>
      <c r="F6784" t="s">
        <v>57</v>
      </c>
      <c r="G6784">
        <v>-167.8562</v>
      </c>
      <c r="H6784">
        <v>0.54861649999999995</v>
      </c>
      <c r="I6784">
        <v>24.492049999999999</v>
      </c>
      <c r="J6784">
        <v>-189.3974</v>
      </c>
      <c r="K6784">
        <v>1.114015</v>
      </c>
      <c r="L6784">
        <v>-54.559229999999999</v>
      </c>
      <c r="M6784">
        <v>0.69885169999999996</v>
      </c>
      <c r="N6784">
        <v>0</v>
      </c>
      <c r="O6784">
        <v>0.71513519999999997</v>
      </c>
      <c r="P6784">
        <v>0.69715950000000004</v>
      </c>
      <c r="Q6784">
        <v>-3.0301939999999999E-2</v>
      </c>
      <c r="R6784">
        <v>0.71627540000000001</v>
      </c>
      <c r="S6784">
        <v>0.90559389999999995</v>
      </c>
      <c r="T6784">
        <v>-2.3712279999999999E-2</v>
      </c>
      <c r="U6784">
        <v>3.317841</v>
      </c>
      <c r="V6784">
        <v>-1.853988E-3</v>
      </c>
      <c r="W6784">
        <v>-1.6615789999999998E-2</v>
      </c>
      <c r="X6784">
        <v>0.99986019999999998</v>
      </c>
      <c r="Y6784">
        <v>-0.48593059999999899</v>
      </c>
      <c r="Z6784">
        <v>-3.6815020000000001E-3</v>
      </c>
      <c r="AA6784">
        <v>0.87398960000000003</v>
      </c>
      <c r="AB6784">
        <v>15</v>
      </c>
      <c r="AC6784">
        <v>21.5412</v>
      </c>
      <c r="AD6784">
        <v>-0.56539849999999903</v>
      </c>
      <c r="AE6784">
        <v>79.051280000000006</v>
      </c>
      <c r="AF6784">
        <v>-39.842098244385099</v>
      </c>
      <c r="AG6784">
        <v>-0.56539849999999903</v>
      </c>
      <c r="AH6784">
        <v>71.589776290340197</v>
      </c>
      <c r="AI6784">
        <v>90.395392658474407</v>
      </c>
      <c r="AJ6784">
        <v>119.09739686860701</v>
      </c>
      <c r="AK6784">
        <v>81.931730954984701</v>
      </c>
      <c r="AL6784">
        <v>90.952058479745205</v>
      </c>
      <c r="AM6784">
        <v>90.106240418335702</v>
      </c>
      <c r="AN6784">
        <v>0.99999997064643298</v>
      </c>
    </row>
    <row r="6785" spans="1:40" x14ac:dyDescent="0.25">
      <c r="A6785" t="str">
        <f>"20190312161149953"</f>
        <v>20190312161149953</v>
      </c>
      <c r="B6785" t="str">
        <f>"1552378309943885"</f>
        <v>1552378309943885</v>
      </c>
      <c r="C6785" t="s">
        <v>40</v>
      </c>
      <c r="D6785">
        <v>5.322527</v>
      </c>
      <c r="E6785">
        <v>0.257855</v>
      </c>
      <c r="F6785" t="s">
        <v>57</v>
      </c>
      <c r="G6785">
        <v>-168.50219999999999</v>
      </c>
      <c r="H6785">
        <v>6.3963890000000001</v>
      </c>
      <c r="I6785">
        <v>46.512880000000003</v>
      </c>
      <c r="J6785">
        <v>-189.3432</v>
      </c>
      <c r="K6785">
        <v>1.1140139999999901</v>
      </c>
      <c r="L6785">
        <v>-54.495240000000003</v>
      </c>
      <c r="M6785">
        <v>0.69521029999999995</v>
      </c>
      <c r="N6785">
        <v>0</v>
      </c>
      <c r="O6785">
        <v>0.71867689999999995</v>
      </c>
      <c r="P6785">
        <v>0.69323089999999998</v>
      </c>
      <c r="Q6785">
        <v>-3.0102170000000001E-2</v>
      </c>
      <c r="R6785">
        <v>0.72008660000000002</v>
      </c>
      <c r="S6785">
        <v>0.72216800000000003</v>
      </c>
      <c r="T6785">
        <v>0.18256629999999999</v>
      </c>
      <c r="U6785">
        <v>3.4931950000000001</v>
      </c>
      <c r="V6785">
        <v>-2.2506660000000001E-3</v>
      </c>
      <c r="W6785">
        <v>-1.6483660000000001E-2</v>
      </c>
      <c r="X6785">
        <v>0.99986160000000002</v>
      </c>
      <c r="Y6785">
        <v>-0.53537250000000003</v>
      </c>
      <c r="Z6785">
        <v>2.643102E-2</v>
      </c>
      <c r="AA6785">
        <v>0.84420239999999902</v>
      </c>
      <c r="AB6785">
        <v>15</v>
      </c>
      <c r="AC6785">
        <v>20.841000000000001</v>
      </c>
      <c r="AD6785">
        <v>5.282375</v>
      </c>
      <c r="AE6785">
        <v>101.00812000000001</v>
      </c>
      <c r="AF6785">
        <v>-55.104529743828301</v>
      </c>
      <c r="AG6785">
        <v>5.282375</v>
      </c>
      <c r="AH6785">
        <v>86.861327674223801</v>
      </c>
      <c r="AI6785">
        <v>87.060327208068699</v>
      </c>
      <c r="AJ6785">
        <v>122.390902309485</v>
      </c>
      <c r="AK6785">
        <v>103.001470519881</v>
      </c>
      <c r="AL6785">
        <v>90.944486925508201</v>
      </c>
      <c r="AM6785">
        <v>90.128971294723002</v>
      </c>
      <c r="AN6785">
        <v>0.999999997849499</v>
      </c>
    </row>
    <row r="6786" spans="1:40" x14ac:dyDescent="0.25">
      <c r="A6786" t="str">
        <f>"20190312161149975"</f>
        <v>20190312161149975</v>
      </c>
      <c r="B6786" t="str">
        <f>"1552378309964380"</f>
        <v>1552378309964380</v>
      </c>
      <c r="C6786" t="s">
        <v>40</v>
      </c>
      <c r="D6786">
        <v>5.3412930000000003</v>
      </c>
      <c r="E6786">
        <v>0.30101129999999998</v>
      </c>
      <c r="F6786" t="s">
        <v>57</v>
      </c>
      <c r="G6786">
        <v>-168.50229999999999</v>
      </c>
      <c r="H6786">
        <v>6.5725020000000001</v>
      </c>
      <c r="I6786">
        <v>49.140349999999998</v>
      </c>
      <c r="J6786">
        <v>-189.2499</v>
      </c>
      <c r="K6786">
        <v>1.1140049999999999</v>
      </c>
      <c r="L6786">
        <v>-54.383789999999998</v>
      </c>
      <c r="M6786">
        <v>0.68886119999999995</v>
      </c>
      <c r="N6786">
        <v>0</v>
      </c>
      <c r="O6786">
        <v>0.72476700000000005</v>
      </c>
      <c r="P6786">
        <v>0.686145</v>
      </c>
      <c r="Q6786">
        <v>-2.9241570000000001E-2</v>
      </c>
      <c r="R6786">
        <v>0.72687690000000005</v>
      </c>
      <c r="S6786">
        <v>0.70321659999999997</v>
      </c>
      <c r="T6786">
        <v>0.18418109999999999</v>
      </c>
      <c r="U6786">
        <v>3.4968870000000001</v>
      </c>
      <c r="V6786">
        <v>-3.2767149999999999E-3</v>
      </c>
      <c r="W6786">
        <v>-1.5742829999999999E-2</v>
      </c>
      <c r="X6786">
        <v>0.9998707</v>
      </c>
      <c r="Y6786">
        <v>-0.5325124</v>
      </c>
      <c r="Z6786">
        <v>2.7139710000000001E-2</v>
      </c>
      <c r="AA6786">
        <v>0.84598700000000004</v>
      </c>
      <c r="AB6786">
        <v>15</v>
      </c>
      <c r="AC6786">
        <v>20.747599999999998</v>
      </c>
      <c r="AD6786">
        <v>5.4584970000000004</v>
      </c>
      <c r="AE6786">
        <v>103.52414</v>
      </c>
      <c r="AF6786">
        <v>-56.131711950707299</v>
      </c>
      <c r="AG6786">
        <v>5.4584970000000004</v>
      </c>
      <c r="AH6786">
        <v>89.093148226360498</v>
      </c>
      <c r="AI6786">
        <v>87.032617405713495</v>
      </c>
      <c r="AJ6786">
        <v>122.212321983439</v>
      </c>
      <c r="AK6786">
        <v>105.44265425766</v>
      </c>
      <c r="AL6786">
        <v>90.902034983156199</v>
      </c>
      <c r="AM6786">
        <v>90.187765546163106</v>
      </c>
      <c r="AN6786">
        <v>0.99999999513804505</v>
      </c>
    </row>
    <row r="6787" spans="1:40" x14ac:dyDescent="0.25">
      <c r="A6787" t="str">
        <f>"20190312161149997"</f>
        <v>20190312161149997</v>
      </c>
      <c r="B6787" t="str">
        <f>"1552378309994214"</f>
        <v>1552378309994214</v>
      </c>
      <c r="C6787" t="s">
        <v>40</v>
      </c>
      <c r="D6787">
        <v>5.3497510000000004</v>
      </c>
      <c r="E6787">
        <v>0.30358940000000001</v>
      </c>
      <c r="F6787" t="s">
        <v>43</v>
      </c>
      <c r="G6787">
        <v>-171.87289999999999</v>
      </c>
      <c r="H6787">
        <v>-0.05</v>
      </c>
      <c r="I6787">
        <v>8.4752960000000002</v>
      </c>
      <c r="J6787">
        <v>-189.15530000000001</v>
      </c>
      <c r="K6787">
        <v>1.1139969999999999</v>
      </c>
      <c r="L6787">
        <v>-54.268770000000004</v>
      </c>
      <c r="M6787">
        <v>0.68230069999999998</v>
      </c>
      <c r="N6787">
        <v>0</v>
      </c>
      <c r="O6787">
        <v>0.73094859999999995</v>
      </c>
      <c r="P6787">
        <v>0.67924419999999996</v>
      </c>
      <c r="Q6787">
        <v>-2.8680850000000001E-2</v>
      </c>
      <c r="R6787">
        <v>0.7333518</v>
      </c>
      <c r="S6787">
        <v>0.90429689999999996</v>
      </c>
      <c r="T6787">
        <v>-6.0574650000000001E-2</v>
      </c>
      <c r="U6787">
        <v>3.2711790000000001</v>
      </c>
      <c r="V6787">
        <v>-3.7334920000000001E-3</v>
      </c>
      <c r="W6787">
        <v>-1.529909E-2</v>
      </c>
      <c r="X6787">
        <v>0.99987599999999999</v>
      </c>
      <c r="Y6787">
        <v>-0.46292559999999999</v>
      </c>
      <c r="Z6787">
        <v>-1.005731E-2</v>
      </c>
      <c r="AA6787">
        <v>0.88634009999999996</v>
      </c>
      <c r="AB6787">
        <v>15</v>
      </c>
      <c r="AC6787">
        <v>17.282399999999999</v>
      </c>
      <c r="AD6787">
        <v>-1.1639969999999999</v>
      </c>
      <c r="AE6787">
        <v>62.744065999999997</v>
      </c>
      <c r="AF6787">
        <v>-30.170837594100998</v>
      </c>
      <c r="AG6787">
        <v>-1.1639969999999999</v>
      </c>
      <c r="AH6787">
        <v>57.641228721272803</v>
      </c>
      <c r="AI6787">
        <v>91.024978521736699</v>
      </c>
      <c r="AJ6787">
        <v>117.628666902597</v>
      </c>
      <c r="AK6787">
        <v>65.070312575272894</v>
      </c>
      <c r="AL6787">
        <v>90.876607479202093</v>
      </c>
      <c r="AM6787">
        <v>90.213938868717307</v>
      </c>
      <c r="AN6787">
        <v>1.00000000824667</v>
      </c>
    </row>
    <row r="6788" spans="1:40" x14ac:dyDescent="0.25">
      <c r="A6788" t="str">
        <f>"20190312161150009"</f>
        <v>20190312161150009</v>
      </c>
      <c r="B6788" t="str">
        <f>"1552378310003974"</f>
        <v>1552378310003974</v>
      </c>
      <c r="C6788" t="s">
        <v>40</v>
      </c>
      <c r="D6788">
        <v>5.3895410000000004</v>
      </c>
      <c r="E6788">
        <v>0.30447679999999999</v>
      </c>
      <c r="F6788" t="s">
        <v>41</v>
      </c>
      <c r="G6788">
        <v>-175.9795</v>
      </c>
      <c r="H6788">
        <v>7.9986870000000002E-2</v>
      </c>
      <c r="I6788">
        <v>-5.8024050000000003</v>
      </c>
      <c r="J6788">
        <v>-189.10120000000001</v>
      </c>
      <c r="K6788">
        <v>1.113991</v>
      </c>
      <c r="L6788">
        <v>-54.201900000000002</v>
      </c>
      <c r="M6788">
        <v>0.67848180000000002</v>
      </c>
      <c r="N6788">
        <v>0</v>
      </c>
      <c r="O6788">
        <v>0.73449589999999998</v>
      </c>
      <c r="P6788">
        <v>0.67540109999999998</v>
      </c>
      <c r="Q6788">
        <v>-2.8558030000000002E-2</v>
      </c>
      <c r="R6788">
        <v>0.73689740000000004</v>
      </c>
      <c r="S6788">
        <v>0.88781739999999998</v>
      </c>
      <c r="T6788">
        <v>-6.9674020000000003E-2</v>
      </c>
      <c r="U6788">
        <v>3.2657780000000001</v>
      </c>
      <c r="V6788">
        <v>-3.7520890000000001E-3</v>
      </c>
      <c r="W6788">
        <v>-1.5242510000000001E-2</v>
      </c>
      <c r="X6788">
        <v>0.99987680000000001</v>
      </c>
      <c r="Y6788">
        <v>-0.46209169999999999</v>
      </c>
      <c r="Z6788">
        <v>-1.1699569999999999E-2</v>
      </c>
      <c r="AA6788">
        <v>0.88675499999999996</v>
      </c>
      <c r="AB6788">
        <v>15</v>
      </c>
      <c r="AC6788">
        <v>13.121700000000001</v>
      </c>
      <c r="AD6788">
        <v>-1.03400413</v>
      </c>
      <c r="AE6788">
        <v>48.399495000000002</v>
      </c>
      <c r="AF6788">
        <v>-23.1925485757858</v>
      </c>
      <c r="AG6788">
        <v>-1.03400413</v>
      </c>
      <c r="AH6788">
        <v>44.437133701134798</v>
      </c>
      <c r="AI6788">
        <v>91.181750203680707</v>
      </c>
      <c r="AJ6788">
        <v>117.560875362972</v>
      </c>
      <c r="AK6788">
        <v>50.136038191639898</v>
      </c>
      <c r="AL6788">
        <v>90.873365301178595</v>
      </c>
      <c r="AM6788">
        <v>90.215004343516</v>
      </c>
      <c r="AN6788">
        <v>1.0000000137306</v>
      </c>
    </row>
    <row r="6789" spans="1:40" x14ac:dyDescent="0.25">
      <c r="A6789" t="str">
        <f>"20190312161150022"</f>
        <v>20190312161150022</v>
      </c>
      <c r="B6789" t="str">
        <f>"1552378310013734"</f>
        <v>1552378310013734</v>
      </c>
      <c r="C6789" t="s">
        <v>40</v>
      </c>
      <c r="D6789">
        <v>5.3498089999999996</v>
      </c>
      <c r="E6789">
        <v>0.30523270000000002</v>
      </c>
      <c r="F6789" t="s">
        <v>41</v>
      </c>
      <c r="G6789">
        <v>-176.9135</v>
      </c>
      <c r="H6789">
        <v>7.9985959999999995E-2</v>
      </c>
      <c r="I6789">
        <v>-8.7530649999999994</v>
      </c>
      <c r="J6789">
        <v>-189.04769999999999</v>
      </c>
      <c r="K6789">
        <v>1.1139859999999999</v>
      </c>
      <c r="L6789">
        <v>-54.135379999999998</v>
      </c>
      <c r="M6789">
        <v>0.67467829999999995</v>
      </c>
      <c r="N6789">
        <v>0</v>
      </c>
      <c r="O6789">
        <v>0.73799230000000005</v>
      </c>
      <c r="P6789">
        <v>0.67143819999999999</v>
      </c>
      <c r="Q6789">
        <v>-2.866316E-2</v>
      </c>
      <c r="R6789">
        <v>0.74050609999999994</v>
      </c>
      <c r="S6789">
        <v>0.87571719999999897</v>
      </c>
      <c r="T6789">
        <v>-7.4296119999999993E-2</v>
      </c>
      <c r="U6789">
        <v>3.265625</v>
      </c>
      <c r="V6789">
        <v>-3.9451740000000001E-3</v>
      </c>
      <c r="W6789">
        <v>-1.541579E-2</v>
      </c>
      <c r="X6789">
        <v>0.99987340000000002</v>
      </c>
      <c r="Y6789">
        <v>-0.46056320000000001</v>
      </c>
      <c r="Z6789">
        <v>-1.2598389999999999E-2</v>
      </c>
      <c r="AA6789">
        <v>0.88753749999999998</v>
      </c>
      <c r="AB6789">
        <v>15</v>
      </c>
      <c r="AC6789">
        <v>12.1341999999999</v>
      </c>
      <c r="AD6789">
        <v>-1.03400004</v>
      </c>
      <c r="AE6789">
        <v>45.382314999999998</v>
      </c>
      <c r="AF6789">
        <v>-21.6549381685528</v>
      </c>
      <c r="AG6789">
        <v>-1.03400004</v>
      </c>
      <c r="AH6789">
        <v>41.661975686635401</v>
      </c>
      <c r="AI6789">
        <v>91.261544357616103</v>
      </c>
      <c r="AJ6789">
        <v>117.46437482902201</v>
      </c>
      <c r="AK6789">
        <v>46.965154330422102</v>
      </c>
      <c r="AL6789">
        <v>90.883294680614796</v>
      </c>
      <c r="AM6789">
        <v>90.226069266992894</v>
      </c>
      <c r="AN6789">
        <v>1.00000001350338</v>
      </c>
    </row>
    <row r="6790" spans="1:40" x14ac:dyDescent="0.25">
      <c r="A6790" t="str">
        <f>"20190312161150034"</f>
        <v>20190312161150034</v>
      </c>
      <c r="B6790" t="str">
        <f>"1552378310023494"</f>
        <v>1552378310023494</v>
      </c>
      <c r="C6790" t="s">
        <v>40</v>
      </c>
      <c r="D6790">
        <v>5.3693220000000004</v>
      </c>
      <c r="E6790">
        <v>0.3059018</v>
      </c>
      <c r="F6790" t="s">
        <v>41</v>
      </c>
      <c r="G6790">
        <v>-177.52359999999999</v>
      </c>
      <c r="H6790">
        <v>7.9986890000000005E-2</v>
      </c>
      <c r="I6790">
        <v>-10.493309999999999</v>
      </c>
      <c r="J6790">
        <v>-188.99959999999999</v>
      </c>
      <c r="K6790">
        <v>1.1139810000000001</v>
      </c>
      <c r="L6790">
        <v>-54.074649999999998</v>
      </c>
      <c r="M6790">
        <v>0.67120930000000001</v>
      </c>
      <c r="N6790">
        <v>0</v>
      </c>
      <c r="O6790">
        <v>0.74114990000000003</v>
      </c>
      <c r="P6790">
        <v>0.66822219999999999</v>
      </c>
      <c r="Q6790">
        <v>-2.826333E-2</v>
      </c>
      <c r="R6790">
        <v>0.74342469999999905</v>
      </c>
      <c r="S6790">
        <v>0.86248780000000003</v>
      </c>
      <c r="T6790">
        <v>-7.7386739999999996E-2</v>
      </c>
      <c r="U6790">
        <v>3.2662659999999999</v>
      </c>
      <c r="V6790">
        <v>-3.601913E-3</v>
      </c>
      <c r="W6790">
        <v>-1.507288E-2</v>
      </c>
      <c r="X6790">
        <v>0.99987990000000004</v>
      </c>
      <c r="Y6790">
        <v>-0.45980140000000003</v>
      </c>
      <c r="Z6790">
        <v>-1.3231740000000001E-2</v>
      </c>
      <c r="AA6790">
        <v>0.88792320000000002</v>
      </c>
      <c r="AB6790">
        <v>15</v>
      </c>
      <c r="AC6790">
        <v>11.476000000000001</v>
      </c>
      <c r="AD6790">
        <v>-1.0339941100000001</v>
      </c>
      <c r="AE6790">
        <v>43.581339999999997</v>
      </c>
      <c r="AF6790">
        <v>-20.737662623992001</v>
      </c>
      <c r="AG6790">
        <v>-1.0339941100000001</v>
      </c>
      <c r="AH6790">
        <v>39.985553899770302</v>
      </c>
      <c r="AI6790">
        <v>91.315026865218996</v>
      </c>
      <c r="AJ6790">
        <v>117.412558151035</v>
      </c>
      <c r="AK6790">
        <v>45.0551252977668</v>
      </c>
      <c r="AL6790">
        <v>90.8636451220558</v>
      </c>
      <c r="AM6790">
        <v>90.206398308817498</v>
      </c>
      <c r="AN6790">
        <v>0.99999998995638195</v>
      </c>
    </row>
    <row r="6791" spans="1:40" x14ac:dyDescent="0.25">
      <c r="A6791" t="str">
        <f>"20190312161150045"</f>
        <v>20190312161150045</v>
      </c>
      <c r="B6791" t="str">
        <f>"1552378310034230"</f>
        <v>1552378310034230</v>
      </c>
      <c r="C6791" t="s">
        <v>40</v>
      </c>
      <c r="D6791">
        <v>5.3762589999999904</v>
      </c>
      <c r="E6791">
        <v>0.30662699999999998</v>
      </c>
      <c r="F6791" t="s">
        <v>41</v>
      </c>
      <c r="G6791">
        <v>-177.8664</v>
      </c>
      <c r="H6791">
        <v>7.9986619999999994E-2</v>
      </c>
      <c r="I6791">
        <v>-11.393649999999999</v>
      </c>
      <c r="J6791">
        <v>-188.95079999999999</v>
      </c>
      <c r="K6791">
        <v>1.1139779999999999</v>
      </c>
      <c r="L6791">
        <v>-54.012659999999997</v>
      </c>
      <c r="M6791">
        <v>0.66766159999999997</v>
      </c>
      <c r="N6791">
        <v>0</v>
      </c>
      <c r="O6791">
        <v>0.74434849999999997</v>
      </c>
      <c r="P6791">
        <v>0.66480839999999997</v>
      </c>
      <c r="Q6791">
        <v>-2.8438149999999999E-2</v>
      </c>
      <c r="R6791">
        <v>0.74647240000000004</v>
      </c>
      <c r="S6791">
        <v>0.8520508</v>
      </c>
      <c r="T6791">
        <v>-7.9134109999999994E-2</v>
      </c>
      <c r="U6791">
        <v>3.2664789999999999</v>
      </c>
      <c r="V6791">
        <v>-3.4006990000000001E-3</v>
      </c>
      <c r="W6791">
        <v>-1.530683E-2</v>
      </c>
      <c r="X6791">
        <v>0.99987700000000002</v>
      </c>
      <c r="Y6791">
        <v>-0.45822849999999998</v>
      </c>
      <c r="Z6791">
        <v>-1.365004E-2</v>
      </c>
      <c r="AA6791">
        <v>0.88872960000000001</v>
      </c>
      <c r="AB6791">
        <v>15</v>
      </c>
      <c r="AC6791">
        <v>11.084399999999899</v>
      </c>
      <c r="AD6791">
        <v>-1.03399138</v>
      </c>
      <c r="AE6791">
        <v>42.619010000000003</v>
      </c>
      <c r="AF6791">
        <v>-20.195036950908001</v>
      </c>
      <c r="AG6791">
        <v>-1.03399138</v>
      </c>
      <c r="AH6791">
        <v>39.1058551875158</v>
      </c>
      <c r="AI6791">
        <v>91.345807106424701</v>
      </c>
      <c r="AJ6791">
        <v>117.312724864985</v>
      </c>
      <c r="AK6791">
        <v>44.024726751785899</v>
      </c>
      <c r="AL6791">
        <v>90.877051060797896</v>
      </c>
      <c r="AM6791">
        <v>90.194868917677397</v>
      </c>
      <c r="AN6791">
        <v>0.99999993946366605</v>
      </c>
    </row>
    <row r="6792" spans="1:40" x14ac:dyDescent="0.25">
      <c r="A6792" t="str">
        <f>"20190312161150063"</f>
        <v>20190312161150063</v>
      </c>
      <c r="B6792" t="str">
        <f>"1552378310053753"</f>
        <v>1552378310053753</v>
      </c>
      <c r="C6792" t="s">
        <v>40</v>
      </c>
      <c r="D6792">
        <v>5.3840570000000003</v>
      </c>
      <c r="E6792">
        <v>0.30709979999999998</v>
      </c>
      <c r="F6792" t="s">
        <v>41</v>
      </c>
      <c r="G6792">
        <v>-178.30549999999999</v>
      </c>
      <c r="H6792">
        <v>7.9986219999999997E-2</v>
      </c>
      <c r="I6792">
        <v>-12.67788</v>
      </c>
      <c r="J6792">
        <v>-188.8749</v>
      </c>
      <c r="K6792">
        <v>1.113977</v>
      </c>
      <c r="L6792">
        <v>-53.91489</v>
      </c>
      <c r="M6792">
        <v>0.66206430000000005</v>
      </c>
      <c r="N6792">
        <v>0</v>
      </c>
      <c r="O6792">
        <v>0.74933300000000003</v>
      </c>
      <c r="P6792">
        <v>0.65948300000000004</v>
      </c>
      <c r="Q6792">
        <v>-2.769021E-2</v>
      </c>
      <c r="R6792">
        <v>0.75120940000000003</v>
      </c>
      <c r="S6792">
        <v>0.84126279999999998</v>
      </c>
      <c r="T6792">
        <v>-8.1712720000000003E-2</v>
      </c>
      <c r="U6792">
        <v>3.2665410000000001</v>
      </c>
      <c r="V6792">
        <v>-3.0417159999999999E-3</v>
      </c>
      <c r="W6792">
        <v>-1.4646950000000001E-2</v>
      </c>
      <c r="X6792">
        <v>0.99988809999999995</v>
      </c>
      <c r="Y6792">
        <v>-0.45431820000000001</v>
      </c>
      <c r="Z6792">
        <v>-1.429655E-2</v>
      </c>
      <c r="AA6792">
        <v>0.89072479999999998</v>
      </c>
      <c r="AB6792">
        <v>15</v>
      </c>
      <c r="AC6792">
        <v>10.5694</v>
      </c>
      <c r="AD6792">
        <v>-1.0339907800000001</v>
      </c>
      <c r="AE6792">
        <v>41.237009999999998</v>
      </c>
      <c r="AF6792">
        <v>-19.371779810716699</v>
      </c>
      <c r="AG6792">
        <v>-1.0339907800000001</v>
      </c>
      <c r="AH6792">
        <v>37.878766795825001</v>
      </c>
      <c r="AI6792">
        <v>91.392215642012701</v>
      </c>
      <c r="AJ6792">
        <v>117.085896040042</v>
      </c>
      <c r="AK6792">
        <v>42.557443108585801</v>
      </c>
      <c r="AL6792">
        <v>90.839238427937303</v>
      </c>
      <c r="AM6792">
        <v>90.174296455459597</v>
      </c>
      <c r="AN6792">
        <v>0.99999999885106805</v>
      </c>
    </row>
    <row r="6793" spans="1:40" x14ac:dyDescent="0.25">
      <c r="A6793" t="str">
        <f>"20190312161150076"</f>
        <v>20190312161150076</v>
      </c>
      <c r="B6793" t="str">
        <f>"1552378310063510"</f>
        <v>1552378310063510</v>
      </c>
      <c r="C6793" t="s">
        <v>40</v>
      </c>
      <c r="D6793">
        <v>5.4040910000000002</v>
      </c>
      <c r="E6793">
        <v>0.31573580000000001</v>
      </c>
      <c r="F6793" t="s">
        <v>41</v>
      </c>
      <c r="G6793">
        <v>-178.1925</v>
      </c>
      <c r="H6793">
        <v>7.9986619999999994E-2</v>
      </c>
      <c r="I6793">
        <v>-11.361370000000001</v>
      </c>
      <c r="J6793">
        <v>-188.82589999999999</v>
      </c>
      <c r="K6793">
        <v>1.1139749999999999</v>
      </c>
      <c r="L6793">
        <v>-53.850709999999999</v>
      </c>
      <c r="M6793">
        <v>0.65839490000000001</v>
      </c>
      <c r="N6793">
        <v>0</v>
      </c>
      <c r="O6793">
        <v>0.75256009999999995</v>
      </c>
      <c r="P6793">
        <v>0.65594219999999903</v>
      </c>
      <c r="Q6793">
        <v>-2.7302730000000001E-2</v>
      </c>
      <c r="R6793">
        <v>0.75431719999999902</v>
      </c>
      <c r="S6793">
        <v>0.82087710000000003</v>
      </c>
      <c r="T6793">
        <v>-7.9456089999999993E-2</v>
      </c>
      <c r="U6793">
        <v>3.2699889999999998</v>
      </c>
      <c r="V6793">
        <v>-2.8705639999999999E-3</v>
      </c>
      <c r="W6793">
        <v>-1.4312460000000001E-2</v>
      </c>
      <c r="X6793">
        <v>0.99989340000000004</v>
      </c>
      <c r="Y6793">
        <v>-0.45540639999999999</v>
      </c>
      <c r="Z6793">
        <v>-1.399561E-2</v>
      </c>
      <c r="AA6793">
        <v>0.89017369999999996</v>
      </c>
      <c r="AB6793">
        <v>15</v>
      </c>
      <c r="AC6793">
        <v>10.6333999999999</v>
      </c>
      <c r="AD6793">
        <v>-1.03398838</v>
      </c>
      <c r="AE6793">
        <v>42.489339999999999</v>
      </c>
      <c r="AF6793">
        <v>-19.9630591770321</v>
      </c>
      <c r="AG6793">
        <v>-1.03398838</v>
      </c>
      <c r="AH6793">
        <v>38.958349550576301</v>
      </c>
      <c r="AI6793">
        <v>91.353095437367898</v>
      </c>
      <c r="AJ6793">
        <v>117.131534607164</v>
      </c>
      <c r="AK6793">
        <v>43.787508074570198</v>
      </c>
      <c r="AL6793">
        <v>90.820071594029102</v>
      </c>
      <c r="AM6793">
        <v>90.164488284624099</v>
      </c>
      <c r="AN6793">
        <v>0.99999994900624301</v>
      </c>
    </row>
    <row r="6794" spans="1:40" x14ac:dyDescent="0.25">
      <c r="A6794" t="str">
        <f>"20190312161150098"</f>
        <v>20190312161150098</v>
      </c>
      <c r="B6794" t="str">
        <f>"1552378310093766"</f>
        <v>1552378310093766</v>
      </c>
      <c r="C6794" t="s">
        <v>40</v>
      </c>
      <c r="D6794">
        <v>5.4256149999999996</v>
      </c>
      <c r="E6794">
        <v>0.31868190000000002</v>
      </c>
      <c r="F6794" t="s">
        <v>41</v>
      </c>
      <c r="G6794">
        <v>-179.94049999999999</v>
      </c>
      <c r="H6794">
        <v>6.7255469999999998E-2</v>
      </c>
      <c r="I6794">
        <v>-20.336960000000001</v>
      </c>
      <c r="J6794">
        <v>-188.7353</v>
      </c>
      <c r="K6794">
        <v>1.113966</v>
      </c>
      <c r="L6794">
        <v>-53.730829999999997</v>
      </c>
      <c r="M6794">
        <v>0.65152399999999999</v>
      </c>
      <c r="N6794">
        <v>0</v>
      </c>
      <c r="O6794">
        <v>0.75851789999999997</v>
      </c>
      <c r="P6794">
        <v>0.64910159999999995</v>
      </c>
      <c r="Q6794">
        <v>-2.649228E-2</v>
      </c>
      <c r="R6794">
        <v>0.76024029999999998</v>
      </c>
      <c r="S6794">
        <v>0.85609439999999903</v>
      </c>
      <c r="T6794">
        <v>-0.10085</v>
      </c>
      <c r="U6794">
        <v>3.2290040000000002</v>
      </c>
      <c r="V6794">
        <v>-2.83388E-3</v>
      </c>
      <c r="W6794">
        <v>-1.359898E-2</v>
      </c>
      <c r="X6794">
        <v>0.99990349999999995</v>
      </c>
      <c r="Y6794">
        <v>-0.4354538</v>
      </c>
      <c r="Z6794">
        <v>-1.838656E-2</v>
      </c>
      <c r="AA6794">
        <v>0.90002329999999997</v>
      </c>
      <c r="AB6794">
        <v>15</v>
      </c>
      <c r="AC6794">
        <v>8.7948000000000093</v>
      </c>
      <c r="AD6794">
        <v>-1.0467105299999999</v>
      </c>
      <c r="AE6794">
        <v>33.39387</v>
      </c>
      <c r="AF6794">
        <v>-15.073306380514</v>
      </c>
      <c r="AG6794">
        <v>-1.0467105299999999</v>
      </c>
      <c r="AH6794">
        <v>31.033954075401301</v>
      </c>
      <c r="AI6794">
        <v>91.737744138509896</v>
      </c>
      <c r="AJ6794">
        <v>115.90601734603401</v>
      </c>
      <c r="AK6794">
        <v>34.516756419579401</v>
      </c>
      <c r="AL6794">
        <v>90.779188187848504</v>
      </c>
      <c r="AM6794">
        <v>90.162384599022403</v>
      </c>
      <c r="AN6794">
        <v>0.99999998622257202</v>
      </c>
    </row>
    <row r="6795" spans="1:40" x14ac:dyDescent="0.25">
      <c r="A6795" t="str">
        <f>"20190312161150112"</f>
        <v>20190312161150112</v>
      </c>
      <c r="B6795" t="str">
        <f>"1552378310103526"</f>
        <v>1552378310103526</v>
      </c>
      <c r="C6795" t="s">
        <v>40</v>
      </c>
      <c r="D6795">
        <v>5.3852690000000001</v>
      </c>
      <c r="E6795">
        <v>0.31983869999999998</v>
      </c>
      <c r="F6795" t="s">
        <v>41</v>
      </c>
      <c r="G6795">
        <v>-180.41319999999999</v>
      </c>
      <c r="H6795" s="1">
        <v>-5.4054409999999996E-6</v>
      </c>
      <c r="I6795">
        <v>-21.963460000000001</v>
      </c>
      <c r="J6795">
        <v>-188.68</v>
      </c>
      <c r="K6795">
        <v>1.1139600000000001</v>
      </c>
      <c r="L6795">
        <v>-53.656460000000003</v>
      </c>
      <c r="M6795">
        <v>0.647258</v>
      </c>
      <c r="N6795">
        <v>0</v>
      </c>
      <c r="O6795">
        <v>0.76216240000000002</v>
      </c>
      <c r="P6795">
        <v>0.64498040000000001</v>
      </c>
      <c r="Q6795">
        <v>-2.634276E-2</v>
      </c>
      <c r="R6795">
        <v>0.76374500000000001</v>
      </c>
      <c r="S6795">
        <v>0.84396360000000004</v>
      </c>
      <c r="T6795">
        <v>-0.112969899999999</v>
      </c>
      <c r="U6795">
        <v>3.2215880000000001</v>
      </c>
      <c r="V6795">
        <v>-2.6350610000000002E-3</v>
      </c>
      <c r="W6795">
        <v>-1.3504830000000001E-2</v>
      </c>
      <c r="X6795">
        <v>0.9999053</v>
      </c>
      <c r="Y6795">
        <v>-0.43306749999999999</v>
      </c>
      <c r="Z6795">
        <v>-2.0844930000000001E-2</v>
      </c>
      <c r="AA6795">
        <v>0.90112040000000004</v>
      </c>
      <c r="AB6795">
        <v>15</v>
      </c>
      <c r="AC6795">
        <v>8.2668000000000106</v>
      </c>
      <c r="AD6795">
        <v>-1.113965405441</v>
      </c>
      <c r="AE6795">
        <v>31.692999999999898</v>
      </c>
      <c r="AF6795">
        <v>-14.1976575489008</v>
      </c>
      <c r="AG6795">
        <v>-1.113965405441</v>
      </c>
      <c r="AH6795">
        <v>29.474314463444099</v>
      </c>
      <c r="AI6795">
        <v>91.950168123708806</v>
      </c>
      <c r="AJ6795">
        <v>115.719927943079</v>
      </c>
      <c r="AK6795">
        <v>32.734532406777603</v>
      </c>
      <c r="AL6795">
        <v>90.773793309993394</v>
      </c>
      <c r="AM6795">
        <v>90.150991823479799</v>
      </c>
      <c r="AN6795">
        <v>0.99999996647394496</v>
      </c>
    </row>
    <row r="6796" spans="1:40" x14ac:dyDescent="0.25">
      <c r="A6796" t="str">
        <f>"20190312161150131"</f>
        <v>20190312161150131</v>
      </c>
      <c r="B6796" t="str">
        <f>"1552378310124026"</f>
        <v>1552378310124026</v>
      </c>
      <c r="C6796" t="s">
        <v>40</v>
      </c>
      <c r="D6796">
        <v>5.4239920000000001</v>
      </c>
      <c r="E6796">
        <v>0.32138319999999998</v>
      </c>
      <c r="F6796" t="s">
        <v>41</v>
      </c>
      <c r="G6796">
        <v>-181.0692</v>
      </c>
      <c r="H6796" s="1">
        <v>-4.4594159999999996E-6</v>
      </c>
      <c r="I6796">
        <v>-24.23048</v>
      </c>
      <c r="J6796">
        <v>-188.60159999999999</v>
      </c>
      <c r="K6796">
        <v>1.1139559999999999</v>
      </c>
      <c r="L6796">
        <v>-53.549500000000002</v>
      </c>
      <c r="M6796">
        <v>0.64111669999999998</v>
      </c>
      <c r="N6796">
        <v>0</v>
      </c>
      <c r="O6796">
        <v>0.76733680000000004</v>
      </c>
      <c r="P6796">
        <v>0.63926340000000004</v>
      </c>
      <c r="Q6796">
        <v>-2.6776919999999999E-2</v>
      </c>
      <c r="R6796">
        <v>0.76852149999999997</v>
      </c>
      <c r="S6796">
        <v>0.83293150000000005</v>
      </c>
      <c r="T6796">
        <v>-0.12191299999999999</v>
      </c>
      <c r="U6796">
        <v>3.2203979999999999</v>
      </c>
      <c r="V6796">
        <v>-2.0519290000000001E-3</v>
      </c>
      <c r="W6796">
        <v>-1.4013589999999999E-2</v>
      </c>
      <c r="X6796">
        <v>0.99989969999999995</v>
      </c>
      <c r="Y6796">
        <v>-0.4286432</v>
      </c>
      <c r="Z6796">
        <v>-2.282112E-2</v>
      </c>
      <c r="AA6796">
        <v>0.90318560000000003</v>
      </c>
      <c r="AB6796">
        <v>15</v>
      </c>
      <c r="AC6796">
        <v>7.5323999999999902</v>
      </c>
      <c r="AD6796">
        <v>-1.113960459416</v>
      </c>
      <c r="AE6796">
        <v>29.319019999999998</v>
      </c>
      <c r="AF6796">
        <v>-13.0004854178821</v>
      </c>
      <c r="AG6796">
        <v>-1.113960459416</v>
      </c>
      <c r="AH6796">
        <v>27.291987447326701</v>
      </c>
      <c r="AI6796">
        <v>92.110351912610696</v>
      </c>
      <c r="AJ6796">
        <v>115.470704819376</v>
      </c>
      <c r="AK6796">
        <v>30.2507207820037</v>
      </c>
      <c r="AL6796">
        <v>90.802945844328207</v>
      </c>
      <c r="AM6796">
        <v>90.117578499649596</v>
      </c>
      <c r="AN6796">
        <v>1.00000000058869</v>
      </c>
    </row>
    <row r="6797" spans="1:40" x14ac:dyDescent="0.25">
      <c r="A6797" t="str">
        <f>"20190312161150154"</f>
        <v>20190312161150154</v>
      </c>
      <c r="B6797" t="str">
        <f>"1552378310143546"</f>
        <v>1552378310143546</v>
      </c>
      <c r="C6797" t="s">
        <v>40</v>
      </c>
      <c r="D6797">
        <v>5.4205569999999996</v>
      </c>
      <c r="E6797">
        <v>0.3303662</v>
      </c>
      <c r="F6797" t="s">
        <v>41</v>
      </c>
      <c r="G6797">
        <v>-181.6037</v>
      </c>
      <c r="H6797" s="1">
        <v>-3.711408E-6</v>
      </c>
      <c r="I6797">
        <v>-26.01061</v>
      </c>
      <c r="J6797">
        <v>-188.512</v>
      </c>
      <c r="K6797">
        <v>1.113947</v>
      </c>
      <c r="L6797">
        <v>-53.425049999999999</v>
      </c>
      <c r="M6797">
        <v>0.63396709999999901</v>
      </c>
      <c r="N6797">
        <v>0</v>
      </c>
      <c r="O6797">
        <v>0.7732559</v>
      </c>
      <c r="P6797">
        <v>0.6326389</v>
      </c>
      <c r="Q6797">
        <v>-2.6869359999999998E-2</v>
      </c>
      <c r="R6797">
        <v>0.77398069999999997</v>
      </c>
      <c r="S6797">
        <v>0.81790160000000001</v>
      </c>
      <c r="T6797">
        <v>-0.1301986</v>
      </c>
      <c r="U6797">
        <v>3.2187190000000001</v>
      </c>
      <c r="V6797">
        <v>-1.35486E-3</v>
      </c>
      <c r="W6797">
        <v>-1.419015E-2</v>
      </c>
      <c r="X6797">
        <v>0.99989839999999997</v>
      </c>
      <c r="Y6797">
        <v>-0.42410560000000003</v>
      </c>
      <c r="Z6797">
        <v>-2.4769820000000001E-2</v>
      </c>
      <c r="AA6797">
        <v>0.90527400000000002</v>
      </c>
      <c r="AB6797">
        <v>15</v>
      </c>
      <c r="AC6797">
        <v>6.9082999999999899</v>
      </c>
      <c r="AD6797">
        <v>-1.1139507114080001</v>
      </c>
      <c r="AE6797">
        <v>27.414439999999999</v>
      </c>
      <c r="AF6797">
        <v>-12.020277010109499</v>
      </c>
      <c r="AG6797">
        <v>-1.1139507114080001</v>
      </c>
      <c r="AH6797">
        <v>25.540420222903201</v>
      </c>
      <c r="AI6797">
        <v>92.259896842380996</v>
      </c>
      <c r="AJ6797">
        <v>115.203429889932</v>
      </c>
      <c r="AK6797">
        <v>28.249619656726299</v>
      </c>
      <c r="AL6797">
        <v>90.813062991085303</v>
      </c>
      <c r="AM6797">
        <v>90.077635600099399</v>
      </c>
      <c r="AN6797">
        <v>1.0000000031626</v>
      </c>
    </row>
    <row r="6798" spans="1:40" x14ac:dyDescent="0.25">
      <c r="A6798" t="str">
        <f>"20190312161150165"</f>
        <v>20190312161150165</v>
      </c>
      <c r="B6798" t="str">
        <f>"1552378310164039"</f>
        <v>1552378310164039</v>
      </c>
      <c r="C6798" t="s">
        <v>40</v>
      </c>
      <c r="D6798">
        <v>5.4312649999999998</v>
      </c>
      <c r="E6798">
        <v>0.33137879999999997</v>
      </c>
      <c r="F6798" t="s">
        <v>41</v>
      </c>
      <c r="G6798">
        <v>-183.2063</v>
      </c>
      <c r="H6798" s="1">
        <v>-4.1920690000000003E-6</v>
      </c>
      <c r="I6798">
        <v>-33.404499999999999</v>
      </c>
      <c r="J6798">
        <v>-188.4639</v>
      </c>
      <c r="K6798">
        <v>1.113945</v>
      </c>
      <c r="L6798">
        <v>-53.357390000000002</v>
      </c>
      <c r="M6798">
        <v>0.63007219999999997</v>
      </c>
      <c r="N6798">
        <v>0</v>
      </c>
      <c r="O6798">
        <v>0.7764335</v>
      </c>
      <c r="P6798">
        <v>0.62879379999999996</v>
      </c>
      <c r="Q6798">
        <v>-2.669212E-2</v>
      </c>
      <c r="R6798">
        <v>0.77711379999999997</v>
      </c>
      <c r="S6798">
        <v>0.84298709999999899</v>
      </c>
      <c r="T6798">
        <v>-0.1769869</v>
      </c>
      <c r="U6798">
        <v>3.1809080000000001</v>
      </c>
      <c r="V6798">
        <v>-1.290495E-3</v>
      </c>
      <c r="W6798">
        <v>-1.4060110000000001E-2</v>
      </c>
      <c r="X6798">
        <v>0.99990029999999996</v>
      </c>
      <c r="Y6798">
        <v>-0.410327</v>
      </c>
      <c r="Z6798">
        <v>-3.4448079999999999E-2</v>
      </c>
      <c r="AA6798">
        <v>0.91128759999999998</v>
      </c>
      <c r="AB6798">
        <v>16</v>
      </c>
      <c r="AC6798">
        <v>5.2575999999999903</v>
      </c>
      <c r="AD6798">
        <v>-1.1139491920689999</v>
      </c>
      <c r="AE6798">
        <v>19.95289</v>
      </c>
      <c r="AF6798">
        <v>-8.4655908998788796</v>
      </c>
      <c r="AG6798">
        <v>-1.1139491920689999</v>
      </c>
      <c r="AH6798">
        <v>18.7516129950037</v>
      </c>
      <c r="AI6798">
        <v>93.099171202727703</v>
      </c>
      <c r="AJ6798">
        <v>114.29724100813399</v>
      </c>
      <c r="AK6798">
        <v>20.6041282756882</v>
      </c>
      <c r="AL6798">
        <v>90.805611522392297</v>
      </c>
      <c r="AM6798">
        <v>90.073947248469295</v>
      </c>
      <c r="AN6798">
        <v>0.99999998100532295</v>
      </c>
    </row>
    <row r="6799" spans="1:40" x14ac:dyDescent="0.25">
      <c r="A6799" t="str">
        <f>"20190312161150186"</f>
        <v>20190312161150186</v>
      </c>
      <c r="B6799" t="str">
        <f>"1552378310183559"</f>
        <v>1552378310183559</v>
      </c>
      <c r="C6799" t="s">
        <v>40</v>
      </c>
      <c r="D6799">
        <v>5.3998179999999998</v>
      </c>
      <c r="E6799">
        <v>0.33121640000000002</v>
      </c>
      <c r="F6799" t="s">
        <v>41</v>
      </c>
      <c r="G6799">
        <v>-183.41839999999999</v>
      </c>
      <c r="H6799" s="1">
        <v>-3.8800019999999998E-6</v>
      </c>
      <c r="I6799">
        <v>-34.096359999999997</v>
      </c>
      <c r="J6799">
        <v>-188.3844</v>
      </c>
      <c r="K6799">
        <v>1.1139479999999999</v>
      </c>
      <c r="L6799">
        <v>-53.243650000000002</v>
      </c>
      <c r="M6799">
        <v>0.62352629999999998</v>
      </c>
      <c r="N6799">
        <v>0</v>
      </c>
      <c r="O6799">
        <v>0.78170130000000004</v>
      </c>
      <c r="P6799">
        <v>0.62238059999999995</v>
      </c>
      <c r="Q6799">
        <v>-2.657549E-2</v>
      </c>
      <c r="R6799">
        <v>0.7822635</v>
      </c>
      <c r="S6799">
        <v>0.83303830000000001</v>
      </c>
      <c r="T6799">
        <v>-0.183918</v>
      </c>
      <c r="U6799">
        <v>3.1800839999999999</v>
      </c>
      <c r="V6799">
        <v>-1.115991E-3</v>
      </c>
      <c r="W6799">
        <v>-1.4017180000000001E-2</v>
      </c>
      <c r="X6799">
        <v>0.99990109999999999</v>
      </c>
      <c r="Y6799">
        <v>-0.40528259999999999</v>
      </c>
      <c r="Z6799">
        <v>-3.630307E-2</v>
      </c>
      <c r="AA6799">
        <v>0.91347040000000002</v>
      </c>
      <c r="AB6799">
        <v>16</v>
      </c>
      <c r="AC6799">
        <v>4.9660000000000002</v>
      </c>
      <c r="AD6799">
        <v>-1.1139518800020001</v>
      </c>
      <c r="AE6799">
        <v>19.147290000000002</v>
      </c>
      <c r="AF6799">
        <v>-8.0320743401001202</v>
      </c>
      <c r="AG6799">
        <v>-1.1139518800020001</v>
      </c>
      <c r="AH6799">
        <v>18.008210092718802</v>
      </c>
      <c r="AI6799">
        <v>93.233397173979</v>
      </c>
      <c r="AJ6799">
        <v>114.037966474982</v>
      </c>
      <c r="AK6799">
        <v>19.7497022190046</v>
      </c>
      <c r="AL6799">
        <v>90.803151582335204</v>
      </c>
      <c r="AM6799">
        <v>90.063947872168796</v>
      </c>
      <c r="AN6799">
        <v>0.99999996827613602</v>
      </c>
    </row>
    <row r="6800" spans="1:40" x14ac:dyDescent="0.25">
      <c r="A6800" t="str">
        <f>"20190312161150209"</f>
        <v>20190312161150209</v>
      </c>
      <c r="B6800" t="str">
        <f>"1552378310204054"</f>
        <v>1552378310204054</v>
      </c>
      <c r="C6800" t="s">
        <v>40</v>
      </c>
      <c r="D6800">
        <v>5.4420400000000004</v>
      </c>
      <c r="E6800">
        <v>0.33245170000000002</v>
      </c>
      <c r="F6800" t="s">
        <v>41</v>
      </c>
      <c r="G6800">
        <v>-183.25989999999999</v>
      </c>
      <c r="H6800" s="1">
        <v>-4.3590449999999999E-6</v>
      </c>
      <c r="I6800">
        <v>-32.993099999999998</v>
      </c>
      <c r="J6800">
        <v>-188.29730000000001</v>
      </c>
      <c r="K6800">
        <v>1.113945</v>
      </c>
      <c r="L6800">
        <v>-53.1166699999999</v>
      </c>
      <c r="M6800">
        <v>0.61621179999999998</v>
      </c>
      <c r="N6800">
        <v>0</v>
      </c>
      <c r="O6800">
        <v>0.7874814</v>
      </c>
      <c r="P6800">
        <v>0.61509849999999999</v>
      </c>
      <c r="Q6800">
        <v>-2.6929979999999999E-2</v>
      </c>
      <c r="R6800">
        <v>0.78799019999999897</v>
      </c>
      <c r="S6800">
        <v>0.80656430000000001</v>
      </c>
      <c r="T6800">
        <v>-0.17533109999999999</v>
      </c>
      <c r="U6800">
        <v>3.1873469999999999</v>
      </c>
      <c r="V6800">
        <v>-1.055432E-3</v>
      </c>
      <c r="W6800">
        <v>-1.445071E-2</v>
      </c>
      <c r="X6800">
        <v>0.99989499999999998</v>
      </c>
      <c r="Y6800">
        <v>-0.40437479999999998</v>
      </c>
      <c r="Z6800">
        <v>-3.5014839999999998E-2</v>
      </c>
      <c r="AA6800">
        <v>0.91392280000000004</v>
      </c>
      <c r="AB6800">
        <v>16</v>
      </c>
      <c r="AC6800">
        <v>5.0374000000000096</v>
      </c>
      <c r="AD6800">
        <v>-1.113949359045</v>
      </c>
      <c r="AE6800">
        <v>20.123569999999901</v>
      </c>
      <c r="AF6800">
        <v>-8.4099302830696399</v>
      </c>
      <c r="AG6800">
        <v>-1.113949359045</v>
      </c>
      <c r="AH6800">
        <v>18.898028147691001</v>
      </c>
      <c r="AI6800">
        <v>93.082596650617106</v>
      </c>
      <c r="AJ6800">
        <v>113.98984284563301</v>
      </c>
      <c r="AK6800">
        <v>20.714808191521598</v>
      </c>
      <c r="AL6800">
        <v>90.827993534560704</v>
      </c>
      <c r="AM6800">
        <v>90.060478126907697</v>
      </c>
      <c r="AN6800">
        <v>0.99999997399060503</v>
      </c>
    </row>
    <row r="6801" spans="1:40" x14ac:dyDescent="0.25">
      <c r="A6801" t="str">
        <f>"20190312161150232"</f>
        <v>20190312161150232</v>
      </c>
      <c r="B6801" t="str">
        <f>"1552378310223577"</f>
        <v>1552378310223577</v>
      </c>
      <c r="C6801" t="s">
        <v>40</v>
      </c>
      <c r="D6801">
        <v>5.4611289999999997</v>
      </c>
      <c r="E6801">
        <v>0.31110460000000001</v>
      </c>
      <c r="F6801" t="s">
        <v>41</v>
      </c>
      <c r="G6801">
        <v>-183.53469999999999</v>
      </c>
      <c r="H6801" s="1">
        <v>-3.987003E-6</v>
      </c>
      <c r="I6801">
        <v>-33.746720000000003</v>
      </c>
      <c r="J6801">
        <v>-188.20939999999999</v>
      </c>
      <c r="K6801">
        <v>1.1139399999999999</v>
      </c>
      <c r="L6801">
        <v>-52.985930000000003</v>
      </c>
      <c r="M6801">
        <v>0.60867439999999995</v>
      </c>
      <c r="N6801">
        <v>0</v>
      </c>
      <c r="O6801">
        <v>0.793323</v>
      </c>
      <c r="P6801">
        <v>0.60775080000000004</v>
      </c>
      <c r="Q6801">
        <v>-2.7698899999999999E-2</v>
      </c>
      <c r="R6801">
        <v>0.79364460000000003</v>
      </c>
      <c r="S6801">
        <v>0.78405760000000002</v>
      </c>
      <c r="T6801">
        <v>-0.18338750000000001</v>
      </c>
      <c r="U6801">
        <v>3.1888429999999999</v>
      </c>
      <c r="V6801">
        <v>-7.8556079999999998E-4</v>
      </c>
      <c r="W6801">
        <v>-1.5295E-2</v>
      </c>
      <c r="X6801">
        <v>0.99988270000000001</v>
      </c>
      <c r="Y6801">
        <v>-0.40184350000000002</v>
      </c>
      <c r="Z6801">
        <v>-3.7127439999999998E-2</v>
      </c>
      <c r="AA6801">
        <v>0.91495539999999997</v>
      </c>
      <c r="AB6801">
        <v>16</v>
      </c>
      <c r="AC6801">
        <v>4.6746999999999996</v>
      </c>
      <c r="AD6801">
        <v>-1.1139439870029999</v>
      </c>
      <c r="AE6801">
        <v>19.23921</v>
      </c>
      <c r="AF6801">
        <v>-7.9772323300950196</v>
      </c>
      <c r="AG6801">
        <v>-1.1139439870029999</v>
      </c>
      <c r="AH6801">
        <v>18.052528293872001</v>
      </c>
      <c r="AI6801">
        <v>93.230390328243601</v>
      </c>
      <c r="AJ6801">
        <v>113.84015756911</v>
      </c>
      <c r="AK6801">
        <v>19.767925653834901</v>
      </c>
      <c r="AL6801">
        <v>90.876373133342298</v>
      </c>
      <c r="AM6801">
        <v>90.045014589341505</v>
      </c>
      <c r="AN6801">
        <v>0.99999998394502998</v>
      </c>
    </row>
    <row r="6802" spans="1:40" x14ac:dyDescent="0.25">
      <c r="A6802" t="str">
        <f>"20190312161150255"</f>
        <v>20190312161150255</v>
      </c>
      <c r="B6802" t="str">
        <f>"1552378310244071"</f>
        <v>1552378310244071</v>
      </c>
      <c r="C6802" t="s">
        <v>40</v>
      </c>
      <c r="D6802">
        <v>5.4590129999999997</v>
      </c>
      <c r="E6802">
        <v>0.30399310000000002</v>
      </c>
      <c r="F6802" t="s">
        <v>41</v>
      </c>
      <c r="G6802">
        <v>-180.14609999999999</v>
      </c>
      <c r="H6802" s="1">
        <v>-6.0038409999999997E-6</v>
      </c>
      <c r="I6802">
        <v>-10.44655</v>
      </c>
      <c r="J6802">
        <v>-188.1232</v>
      </c>
      <c r="K6802">
        <v>1.113934</v>
      </c>
      <c r="L6802">
        <v>-52.855069999999998</v>
      </c>
      <c r="M6802">
        <v>0.60111859999999995</v>
      </c>
      <c r="N6802">
        <v>0</v>
      </c>
      <c r="O6802">
        <v>0.79906449999999996</v>
      </c>
      <c r="P6802">
        <v>0.60029480000000002</v>
      </c>
      <c r="Q6802">
        <v>-2.7973250000000002E-2</v>
      </c>
      <c r="R6802">
        <v>0.79928949999999999</v>
      </c>
      <c r="S6802">
        <v>0.62518309999999999</v>
      </c>
      <c r="T6802">
        <v>-8.6368680000000003E-2</v>
      </c>
      <c r="U6802">
        <v>3.2982480000000001</v>
      </c>
      <c r="V6802">
        <v>-6.4729079999999997E-4</v>
      </c>
      <c r="W6802">
        <v>-1.5641789999999999E-2</v>
      </c>
      <c r="X6802">
        <v>0.99987749999999997</v>
      </c>
      <c r="Y6802">
        <v>-0.44184440000000003</v>
      </c>
      <c r="Z6802">
        <v>-1.695288E-2</v>
      </c>
      <c r="AA6802">
        <v>0.89693149999999999</v>
      </c>
      <c r="AB6802">
        <v>16</v>
      </c>
      <c r="AC6802">
        <v>7.9771000000000001</v>
      </c>
      <c r="AD6802">
        <v>-1.1139400038409999</v>
      </c>
      <c r="AE6802">
        <v>42.408520000000003</v>
      </c>
      <c r="AF6802">
        <v>-19.107056880359998</v>
      </c>
      <c r="AG6802">
        <v>-1.1139400038409999</v>
      </c>
      <c r="AH6802">
        <v>38.659511431627401</v>
      </c>
      <c r="AI6802">
        <v>91.479700170041895</v>
      </c>
      <c r="AJ6802">
        <v>116.300400521086</v>
      </c>
      <c r="AK6802">
        <v>43.137898756124002</v>
      </c>
      <c r="AL6802">
        <v>90.896245055656706</v>
      </c>
      <c r="AM6802">
        <v>90.037091569493995</v>
      </c>
      <c r="AN6802">
        <v>1.0000000497930099</v>
      </c>
    </row>
    <row r="6803" spans="1:40" x14ac:dyDescent="0.25">
      <c r="A6803" t="str">
        <f>"20190312161150268"</f>
        <v>20190312161150268</v>
      </c>
      <c r="B6803" t="str">
        <f>"1552378310263590"</f>
        <v>1552378310263590</v>
      </c>
      <c r="C6803" t="s">
        <v>40</v>
      </c>
      <c r="D6803">
        <v>5.461195</v>
      </c>
      <c r="E6803">
        <v>0.30114740000000001</v>
      </c>
      <c r="F6803" t="s">
        <v>41</v>
      </c>
      <c r="G6803">
        <v>-179.95779999999999</v>
      </c>
      <c r="H6803">
        <v>5.2531720000000004E-3</v>
      </c>
      <c r="I6803">
        <v>-3.252259</v>
      </c>
      <c r="J6803">
        <v>-188.0779</v>
      </c>
      <c r="K6803">
        <v>1.1139330000000001</v>
      </c>
      <c r="L6803">
        <v>-52.785249999999998</v>
      </c>
      <c r="M6803">
        <v>0.59708019999999995</v>
      </c>
      <c r="N6803">
        <v>0</v>
      </c>
      <c r="O6803">
        <v>0.802087199999999</v>
      </c>
      <c r="P6803">
        <v>0.5963714</v>
      </c>
      <c r="Q6803">
        <v>-2.78721E-2</v>
      </c>
      <c r="R6803">
        <v>0.80222459999999995</v>
      </c>
      <c r="S6803">
        <v>0.54949950000000003</v>
      </c>
      <c r="T6803">
        <v>-7.4609159999999994E-2</v>
      </c>
      <c r="U6803">
        <v>3.3380429999999999</v>
      </c>
      <c r="V6803">
        <v>-5.0425760000000002E-4</v>
      </c>
      <c r="W6803">
        <v>-1.5577529999999999E-2</v>
      </c>
      <c r="X6803">
        <v>0.9998785</v>
      </c>
      <c r="Y6803">
        <v>-0.45891349999999997</v>
      </c>
      <c r="Z6803">
        <v>-1.448762E-2</v>
      </c>
      <c r="AA6803">
        <v>0.88836280000000001</v>
      </c>
      <c r="AB6803">
        <v>16</v>
      </c>
      <c r="AC6803">
        <v>8.1201000000000008</v>
      </c>
      <c r="AD6803">
        <v>-1.1086798279999901</v>
      </c>
      <c r="AE6803">
        <v>49.532991000000003</v>
      </c>
      <c r="AF6803">
        <v>-23.052638682702401</v>
      </c>
      <c r="AG6803">
        <v>-1.1086798279999901</v>
      </c>
      <c r="AH6803">
        <v>44.559763544300402</v>
      </c>
      <c r="AI6803">
        <v>91.265950650791495</v>
      </c>
      <c r="AJ6803">
        <v>117.35442540178499</v>
      </c>
      <c r="AK6803">
        <v>50.1819275070239</v>
      </c>
      <c r="AL6803">
        <v>90.892562856774404</v>
      </c>
      <c r="AM6803">
        <v>90.028895340601807</v>
      </c>
      <c r="AN6803">
        <v>0.99999996423943804</v>
      </c>
    </row>
    <row r="6804" spans="1:40" x14ac:dyDescent="0.25">
      <c r="A6804" t="str">
        <f>"20190312161150288"</f>
        <v>20190312161150288</v>
      </c>
      <c r="B6804" t="str">
        <f>"1552378310284085"</f>
        <v>1552378310284085</v>
      </c>
      <c r="C6804" t="s">
        <v>40</v>
      </c>
      <c r="D6804">
        <v>5.4446029999999999</v>
      </c>
      <c r="E6804">
        <v>0.30025600000000002</v>
      </c>
      <c r="F6804" t="s">
        <v>41</v>
      </c>
      <c r="G6804">
        <v>-179.64240000000001</v>
      </c>
      <c r="H6804">
        <v>7.9986080000000001E-2</v>
      </c>
      <c r="I6804">
        <v>2.081493</v>
      </c>
      <c r="J6804">
        <v>-188.00020000000001</v>
      </c>
      <c r="K6804">
        <v>1.113931</v>
      </c>
      <c r="L6804">
        <v>-52.663510000000002</v>
      </c>
      <c r="M6804">
        <v>0.59004269999999903</v>
      </c>
      <c r="N6804">
        <v>0</v>
      </c>
      <c r="O6804">
        <v>0.80727930000000003</v>
      </c>
      <c r="P6804">
        <v>0.5890765</v>
      </c>
      <c r="Q6804">
        <v>-2.745044E-2</v>
      </c>
      <c r="R6804">
        <v>0.80761090000000002</v>
      </c>
      <c r="S6804">
        <v>0.51567079999999998</v>
      </c>
      <c r="T6804">
        <v>-6.3206319999999996E-2</v>
      </c>
      <c r="U6804">
        <v>3.3540649999999999</v>
      </c>
      <c r="V6804">
        <v>-8.327632E-4</v>
      </c>
      <c r="W6804">
        <v>-1.522314E-2</v>
      </c>
      <c r="X6804">
        <v>0.99988379999999999</v>
      </c>
      <c r="Y6804">
        <v>-0.46055869999999999</v>
      </c>
      <c r="Z6804">
        <v>-1.2353899999999999E-2</v>
      </c>
      <c r="AA6804">
        <v>0.88754330000000003</v>
      </c>
      <c r="AB6804">
        <v>16</v>
      </c>
      <c r="AC6804">
        <v>8.3577999999999903</v>
      </c>
      <c r="AD6804">
        <v>-1.0339449199999999</v>
      </c>
      <c r="AE6804">
        <v>54.745002999999997</v>
      </c>
      <c r="AF6804">
        <v>-25.547818600486298</v>
      </c>
      <c r="AG6804">
        <v>-1.0339449199999999</v>
      </c>
      <c r="AH6804">
        <v>49.112525615010497</v>
      </c>
      <c r="AI6804">
        <v>91.069974312565407</v>
      </c>
      <c r="AJ6804">
        <v>117.482976106987</v>
      </c>
      <c r="AK6804">
        <v>55.369669040242798</v>
      </c>
      <c r="AL6804">
        <v>90.872255342899905</v>
      </c>
      <c r="AM6804">
        <v>90.047719350649999</v>
      </c>
      <c r="AN6804">
        <v>1.0000000254942201</v>
      </c>
    </row>
    <row r="6805" spans="1:40" x14ac:dyDescent="0.25">
      <c r="A6805" t="str">
        <f>"20190312161150312"</f>
        <v>20190312161150312</v>
      </c>
      <c r="B6805" t="str">
        <f>"1552378310303606"</f>
        <v>1552378310303606</v>
      </c>
      <c r="C6805" t="s">
        <v>40</v>
      </c>
      <c r="D6805">
        <v>5.4631759999999998</v>
      </c>
      <c r="E6805">
        <v>0.30026180000000002</v>
      </c>
      <c r="F6805" t="s">
        <v>41</v>
      </c>
      <c r="G6805">
        <v>-179.32749999999999</v>
      </c>
      <c r="H6805">
        <v>7.9986409999999994E-2</v>
      </c>
      <c r="I6805">
        <v>8.12046799999999</v>
      </c>
      <c r="J6805">
        <v>-187.9169</v>
      </c>
      <c r="K6805">
        <v>1.113928</v>
      </c>
      <c r="L6805">
        <v>-52.530299999999997</v>
      </c>
      <c r="M6805">
        <v>0.58233509999999999</v>
      </c>
      <c r="N6805">
        <v>0</v>
      </c>
      <c r="O6805">
        <v>0.81285769999999902</v>
      </c>
      <c r="P6805">
        <v>0.5814838</v>
      </c>
      <c r="Q6805">
        <v>-2.7822050000000001E-2</v>
      </c>
      <c r="R6805">
        <v>0.81308210000000003</v>
      </c>
      <c r="S6805">
        <v>0.47979739999999999</v>
      </c>
      <c r="T6805">
        <v>-5.7200550000000003E-2</v>
      </c>
      <c r="U6805">
        <v>3.3627319999999998</v>
      </c>
      <c r="V6805">
        <v>-6.7542049999999999E-4</v>
      </c>
      <c r="W6805">
        <v>-1.5659940000000001E-2</v>
      </c>
      <c r="X6805">
        <v>0.99987720000000002</v>
      </c>
      <c r="Y6805">
        <v>-0.46172010000000002</v>
      </c>
      <c r="Z6805">
        <v>-1.128823E-2</v>
      </c>
      <c r="AA6805">
        <v>0.88695380000000001</v>
      </c>
      <c r="AB6805">
        <v>16</v>
      </c>
      <c r="AC6805">
        <v>8.5894000000000101</v>
      </c>
      <c r="AD6805">
        <v>-1.03394159</v>
      </c>
      <c r="AE6805">
        <v>60.650767999999999</v>
      </c>
      <c r="AF6805">
        <v>-28.331139410767101</v>
      </c>
      <c r="AG6805">
        <v>-1.03394159</v>
      </c>
      <c r="AH6805">
        <v>54.290909312496197</v>
      </c>
      <c r="AI6805">
        <v>90.967281075947895</v>
      </c>
      <c r="AJ6805">
        <v>117.55733037660499</v>
      </c>
      <c r="AK6805">
        <v>61.2472475259218</v>
      </c>
      <c r="AL6805">
        <v>90.897285098964005</v>
      </c>
      <c r="AM6805">
        <v>90.038703490949104</v>
      </c>
      <c r="AN6805">
        <v>1.0000000524967401</v>
      </c>
    </row>
    <row r="6806" spans="1:40" x14ac:dyDescent="0.25">
      <c r="A6806" t="str">
        <f>"20190312161150333"</f>
        <v>20190312161150333</v>
      </c>
      <c r="B6806" t="str">
        <f>"1552378310324102"</f>
        <v>1552378310324102</v>
      </c>
      <c r="C6806" t="s">
        <v>40</v>
      </c>
      <c r="D6806">
        <v>6.2623989999999896</v>
      </c>
      <c r="E6806">
        <v>0.30052099999999998</v>
      </c>
      <c r="F6806" t="s">
        <v>41</v>
      </c>
      <c r="G6806">
        <v>-178.92760000000001</v>
      </c>
      <c r="H6806">
        <v>7.9985479999999998E-2</v>
      </c>
      <c r="I6806">
        <v>14.909649999999999</v>
      </c>
      <c r="J6806">
        <v>-187.8389</v>
      </c>
      <c r="K6806">
        <v>1.113928</v>
      </c>
      <c r="L6806">
        <v>-52.403170000000003</v>
      </c>
      <c r="M6806">
        <v>0.57497219999999905</v>
      </c>
      <c r="N6806">
        <v>0</v>
      </c>
      <c r="O6806">
        <v>0.81808329999999996</v>
      </c>
      <c r="P6806">
        <v>0.57429370000000002</v>
      </c>
      <c r="Q6806">
        <v>-2.8339389999999999E-2</v>
      </c>
      <c r="R6806">
        <v>0.81815869999999902</v>
      </c>
      <c r="S6806">
        <v>0.44879150000000001</v>
      </c>
      <c r="T6806">
        <v>-5.1619650000000003E-2</v>
      </c>
      <c r="U6806">
        <v>3.366943</v>
      </c>
      <c r="V6806">
        <v>-4.4513240000000002E-4</v>
      </c>
      <c r="W6806">
        <v>-1.623691E-2</v>
      </c>
      <c r="X6806">
        <v>0.99986810000000004</v>
      </c>
      <c r="Y6806">
        <v>-0.46188040000000002</v>
      </c>
      <c r="Z6806">
        <v>-1.029324E-2</v>
      </c>
      <c r="AA6806">
        <v>0.88688250000000002</v>
      </c>
      <c r="AB6806">
        <v>16</v>
      </c>
      <c r="AC6806">
        <v>8.9112999999999793</v>
      </c>
      <c r="AD6806">
        <v>-1.0339425200000001</v>
      </c>
      <c r="AE6806">
        <v>67.312820000000002</v>
      </c>
      <c r="AF6806">
        <v>-31.407835962771401</v>
      </c>
      <c r="AG6806">
        <v>-1.0339425200000001</v>
      </c>
      <c r="AH6806">
        <v>60.181704141075201</v>
      </c>
      <c r="AI6806">
        <v>90.872600712778805</v>
      </c>
      <c r="AJ6806">
        <v>117.559311252342</v>
      </c>
      <c r="AK6806">
        <v>67.892258102989402</v>
      </c>
      <c r="AL6806">
        <v>90.930347272863798</v>
      </c>
      <c r="AM6806">
        <v>90.025507570608099</v>
      </c>
      <c r="AN6806">
        <v>1.0000000263933999</v>
      </c>
    </row>
    <row r="6807" spans="1:40" x14ac:dyDescent="0.25">
      <c r="A6807" t="str">
        <f>"20190312161150356"</f>
        <v>20190312161150356</v>
      </c>
      <c r="B6807" t="str">
        <f>"1552378310343626"</f>
        <v>1552378310343626</v>
      </c>
      <c r="C6807" t="s">
        <v>40</v>
      </c>
      <c r="D6807">
        <v>5.4716870000000002</v>
      </c>
      <c r="E6807">
        <v>0.30125220000000003</v>
      </c>
      <c r="F6807" t="s">
        <v>41</v>
      </c>
      <c r="G6807">
        <v>-179.5213</v>
      </c>
      <c r="H6807">
        <v>7.9986730000000006E-2</v>
      </c>
      <c r="I6807">
        <v>14.207979999999999</v>
      </c>
      <c r="J6807">
        <v>-187.7612</v>
      </c>
      <c r="K6807">
        <v>1.113928</v>
      </c>
      <c r="L6807">
        <v>-52.273739999999997</v>
      </c>
      <c r="M6807">
        <v>0.56747269999999905</v>
      </c>
      <c r="N6807">
        <v>0</v>
      </c>
      <c r="O6807">
        <v>0.82330409999999898</v>
      </c>
      <c r="P6807">
        <v>0.56652709999999995</v>
      </c>
      <c r="Q6807">
        <v>-2.8632729999999999E-2</v>
      </c>
      <c r="R6807">
        <v>0.82354550000000004</v>
      </c>
      <c r="S6807">
        <v>0.4207611</v>
      </c>
      <c r="T6807">
        <v>-5.2303549999999997E-2</v>
      </c>
      <c r="U6807">
        <v>3.3696290000000002</v>
      </c>
      <c r="V6807">
        <v>-7.5884550000000002E-4</v>
      </c>
      <c r="W6807">
        <v>-1.6593730000000001E-2</v>
      </c>
      <c r="X6807">
        <v>0.99986200000000003</v>
      </c>
      <c r="Y6807">
        <v>-0.46112449999999999</v>
      </c>
      <c r="Z6807">
        <v>-1.054504E-2</v>
      </c>
      <c r="AA6807">
        <v>0.88727279999999997</v>
      </c>
      <c r="AB6807">
        <v>16</v>
      </c>
      <c r="AC6807">
        <v>8.2399000000000004</v>
      </c>
      <c r="AD6807">
        <v>-1.0339412699999999</v>
      </c>
      <c r="AE6807">
        <v>66.481719999999996</v>
      </c>
      <c r="AF6807">
        <v>-30.937492998710301</v>
      </c>
      <c r="AG6807">
        <v>-1.0339412699999999</v>
      </c>
      <c r="AH6807">
        <v>59.4007514073392</v>
      </c>
      <c r="AI6807">
        <v>90.884453105665699</v>
      </c>
      <c r="AJ6807">
        <v>117.51170037133301</v>
      </c>
      <c r="AK6807">
        <v>66.982436319915706</v>
      </c>
      <c r="AL6807">
        <v>90.950794357927705</v>
      </c>
      <c r="AM6807">
        <v>90.043484636984402</v>
      </c>
      <c r="AN6807">
        <v>0.99999997338290203</v>
      </c>
    </row>
    <row r="6808" spans="1:40" x14ac:dyDescent="0.25">
      <c r="A6808" t="str">
        <f>"20190312161150378"</f>
        <v>20190312161150378</v>
      </c>
      <c r="B6808" t="str">
        <f>"1552378310373878"</f>
        <v>1552378310373878</v>
      </c>
      <c r="C6808" t="s">
        <v>40</v>
      </c>
      <c r="D6808">
        <v>5.5644729999999996</v>
      </c>
      <c r="E6808">
        <v>0.30229119999999998</v>
      </c>
      <c r="F6808" t="s">
        <v>41</v>
      </c>
      <c r="G6808">
        <v>-179.95779999999999</v>
      </c>
      <c r="H6808">
        <v>7.7305819999999997E-3</v>
      </c>
      <c r="I6808">
        <v>14.54114</v>
      </c>
      <c r="J6808">
        <v>-187.68389999999999</v>
      </c>
      <c r="K6808">
        <v>1.113926</v>
      </c>
      <c r="L6808">
        <v>-52.142240000000001</v>
      </c>
      <c r="M6808">
        <v>0.55984750000000005</v>
      </c>
      <c r="N6808">
        <v>0</v>
      </c>
      <c r="O6808">
        <v>0.82850889999999999</v>
      </c>
      <c r="P6808">
        <v>0.55839839999999996</v>
      </c>
      <c r="Q6808">
        <v>-2.8720119999999998E-2</v>
      </c>
      <c r="R6808">
        <v>0.82907569999999997</v>
      </c>
      <c r="S6808">
        <v>0.39360050000000002</v>
      </c>
      <c r="T6808">
        <v>-5.5795669999999999E-2</v>
      </c>
      <c r="U6808">
        <v>3.3700869999999998</v>
      </c>
      <c r="V6808">
        <v>-1.3595739999999999E-3</v>
      </c>
      <c r="W6808">
        <v>-1.674366E-2</v>
      </c>
      <c r="X6808">
        <v>0.99985889999999999</v>
      </c>
      <c r="Y6808">
        <v>-0.45999489999999998</v>
      </c>
      <c r="Z6808">
        <v>-1.1380639999999999E-2</v>
      </c>
      <c r="AA6808">
        <v>0.88784859999999899</v>
      </c>
      <c r="AB6808">
        <v>16</v>
      </c>
      <c r="AC6808">
        <v>7.7260999999999997</v>
      </c>
      <c r="AD6808">
        <v>-1.106195418</v>
      </c>
      <c r="AE6808">
        <v>66.68338</v>
      </c>
      <c r="AF6808">
        <v>-30.9252073616017</v>
      </c>
      <c r="AG6808">
        <v>-1.106195418</v>
      </c>
      <c r="AH6808">
        <v>59.561321333081104</v>
      </c>
      <c r="AI6808">
        <v>90.944321448090193</v>
      </c>
      <c r="AJ6808">
        <v>117.439073807924</v>
      </c>
      <c r="AK6808">
        <v>67.120362913227794</v>
      </c>
      <c r="AL6808">
        <v>90.959385873616995</v>
      </c>
      <c r="AM6808">
        <v>90.077908797056907</v>
      </c>
      <c r="AN6808">
        <v>1.00000000925043</v>
      </c>
    </row>
    <row r="6809" spans="1:40" x14ac:dyDescent="0.25">
      <c r="A6809" t="str">
        <f>"20190312161150400"</f>
        <v>20190312161150400</v>
      </c>
      <c r="B6809" t="str">
        <f>"1552378310393398"</f>
        <v>1552378310393398</v>
      </c>
      <c r="C6809" t="s">
        <v>40</v>
      </c>
      <c r="D6809">
        <v>5.4945890000000004</v>
      </c>
      <c r="E6809">
        <v>0.3167972</v>
      </c>
      <c r="F6809" t="s">
        <v>41</v>
      </c>
      <c r="G6809">
        <v>-180.81120000000001</v>
      </c>
      <c r="H6809" s="1">
        <v>-2.8797990000000001E-6</v>
      </c>
      <c r="I6809">
        <v>10.926019999999999</v>
      </c>
      <c r="J6809">
        <v>-187.60980000000001</v>
      </c>
      <c r="K6809">
        <v>1.1139250000000001</v>
      </c>
      <c r="L6809">
        <v>-52.01379</v>
      </c>
      <c r="M6809">
        <v>0.55239869999999902</v>
      </c>
      <c r="N6809">
        <v>0</v>
      </c>
      <c r="O6809">
        <v>0.83349439999999997</v>
      </c>
      <c r="P6809">
        <v>0.55033009999999905</v>
      </c>
      <c r="Q6809">
        <v>-2.90739E-2</v>
      </c>
      <c r="R6809">
        <v>0.83444079999999998</v>
      </c>
      <c r="S6809">
        <v>0.36714170000000002</v>
      </c>
      <c r="T6809">
        <v>-5.9506650000000001E-2</v>
      </c>
      <c r="U6809">
        <v>3.3691409999999999</v>
      </c>
      <c r="V6809">
        <v>-2.0852029999999999E-3</v>
      </c>
      <c r="W6809">
        <v>-1.7153910000000001E-2</v>
      </c>
      <c r="X6809">
        <v>0.99985069999999998</v>
      </c>
      <c r="Y6809">
        <v>-0.45889200000000002</v>
      </c>
      <c r="Z6809">
        <v>-1.2277120000000001E-2</v>
      </c>
      <c r="AA6809">
        <v>0.88840719999999995</v>
      </c>
      <c r="AB6809">
        <v>16</v>
      </c>
      <c r="AC6809">
        <v>6.7985999999999898</v>
      </c>
      <c r="AD6809">
        <v>-1.113927879799</v>
      </c>
      <c r="AE6809">
        <v>62.939809999999902</v>
      </c>
      <c r="AF6809">
        <v>-29.094343570936399</v>
      </c>
      <c r="AG6809">
        <v>-1.113927879799</v>
      </c>
      <c r="AH6809">
        <v>56.202128949059102</v>
      </c>
      <c r="AI6809">
        <v>91.008381619312999</v>
      </c>
      <c r="AJ6809">
        <v>117.36939780412</v>
      </c>
      <c r="AK6809">
        <v>63.296137019187398</v>
      </c>
      <c r="AL6809">
        <v>90.982894839788699</v>
      </c>
      <c r="AM6809">
        <v>90.119490998123197</v>
      </c>
      <c r="AN6809">
        <v>1.0000000134951601</v>
      </c>
    </row>
    <row r="6810" spans="1:40" x14ac:dyDescent="0.25">
      <c r="A6810" t="str">
        <f>"20190312161150423"</f>
        <v>20190312161150423</v>
      </c>
      <c r="B6810" t="str">
        <f>"1552378310413898"</f>
        <v>1552378310413898</v>
      </c>
      <c r="C6810" t="s">
        <v>40</v>
      </c>
      <c r="D6810">
        <v>5.5113570000000003</v>
      </c>
      <c r="E6810">
        <v>0.31607689999999999</v>
      </c>
      <c r="F6810" t="s">
        <v>41</v>
      </c>
      <c r="G6810">
        <v>-184.24250000000001</v>
      </c>
      <c r="H6810" s="1">
        <v>-3.057488E-6</v>
      </c>
      <c r="I6810">
        <v>-25.868970000000001</v>
      </c>
      <c r="J6810">
        <v>-187.5318</v>
      </c>
      <c r="K6810">
        <v>1.1139250000000001</v>
      </c>
      <c r="L6810">
        <v>-51.875459999999997</v>
      </c>
      <c r="M6810">
        <v>0.54437720000000001</v>
      </c>
      <c r="N6810">
        <v>0</v>
      </c>
      <c r="O6810">
        <v>0.83875619999999995</v>
      </c>
      <c r="P6810">
        <v>0.54197320000000004</v>
      </c>
      <c r="Q6810">
        <v>-2.945219E-2</v>
      </c>
      <c r="R6810">
        <v>0.8398795</v>
      </c>
      <c r="S6810">
        <v>0.42620849999999999</v>
      </c>
      <c r="T6810">
        <v>-0.14099220000000001</v>
      </c>
      <c r="U6810">
        <v>3.3092039999999998</v>
      </c>
      <c r="V6810">
        <v>-2.4613529999999999E-3</v>
      </c>
      <c r="W6810">
        <v>-1.758295E-2</v>
      </c>
      <c r="X6810">
        <v>0.99984240000000002</v>
      </c>
      <c r="Y6810">
        <v>-0.43284790000000001</v>
      </c>
      <c r="Z6810">
        <v>-3.0185010000000002E-2</v>
      </c>
      <c r="AA6810">
        <v>0.90096149999999997</v>
      </c>
      <c r="AB6810">
        <v>16</v>
      </c>
      <c r="AC6810">
        <v>3.2892999999999901</v>
      </c>
      <c r="AD6810">
        <v>-1.1139280574879999</v>
      </c>
      <c r="AE6810">
        <v>26.006489999999999</v>
      </c>
      <c r="AF6810">
        <v>-11.3786788878674</v>
      </c>
      <c r="AG6810">
        <v>-1.1139280574879999</v>
      </c>
      <c r="AH6810">
        <v>23.5628461294983</v>
      </c>
      <c r="AI6810">
        <v>92.437660136930404</v>
      </c>
      <c r="AJ6810">
        <v>115.77625255496299</v>
      </c>
      <c r="AK6810">
        <v>26.190129565790102</v>
      </c>
      <c r="AL6810">
        <v>91.007480721306393</v>
      </c>
      <c r="AM6810">
        <v>90.141047082934406</v>
      </c>
      <c r="AN6810">
        <v>1.0000000216135201</v>
      </c>
    </row>
    <row r="6811" spans="1:40" x14ac:dyDescent="0.25">
      <c r="A6811" t="str">
        <f>"20190312161150446"</f>
        <v>20190312161150446</v>
      </c>
      <c r="B6811" t="str">
        <f>"1552378310433414"</f>
        <v>1552378310433414</v>
      </c>
      <c r="C6811" t="s">
        <v>40</v>
      </c>
      <c r="D6811">
        <v>5.477131</v>
      </c>
      <c r="E6811">
        <v>0.31721700000000003</v>
      </c>
      <c r="F6811" t="s">
        <v>41</v>
      </c>
      <c r="G6811">
        <v>-183.93639999999999</v>
      </c>
      <c r="H6811" s="1">
        <v>-4.9762379999999997E-6</v>
      </c>
      <c r="I6811">
        <v>-21.27468</v>
      </c>
      <c r="J6811">
        <v>-187.45849999999999</v>
      </c>
      <c r="K6811">
        <v>1.1139190000000001</v>
      </c>
      <c r="L6811">
        <v>-51.742739999999998</v>
      </c>
      <c r="M6811">
        <v>0.53668769999999999</v>
      </c>
      <c r="N6811">
        <v>0</v>
      </c>
      <c r="O6811">
        <v>0.84369760000000005</v>
      </c>
      <c r="P6811">
        <v>0.53412720000000002</v>
      </c>
      <c r="Q6811">
        <v>-2.9699840000000002E-2</v>
      </c>
      <c r="R6811">
        <v>0.84488220000000003</v>
      </c>
      <c r="S6811">
        <v>0.38963320000000001</v>
      </c>
      <c r="T6811">
        <v>-0.1207184</v>
      </c>
      <c r="U6811">
        <v>3.3162539999999998</v>
      </c>
      <c r="V6811">
        <v>-2.6272520000000001E-3</v>
      </c>
      <c r="W6811">
        <v>-1.787178E-2</v>
      </c>
      <c r="X6811">
        <v>0.99983690000000003</v>
      </c>
      <c r="Y6811">
        <v>-0.43462879999999998</v>
      </c>
      <c r="Z6811">
        <v>-2.6052079999999998E-2</v>
      </c>
      <c r="AA6811">
        <v>0.90023280000000006</v>
      </c>
      <c r="AB6811">
        <v>16</v>
      </c>
      <c r="AC6811">
        <v>3.5220999999999898</v>
      </c>
      <c r="AD6811">
        <v>-1.113923976238</v>
      </c>
      <c r="AE6811">
        <v>30.468060000000001</v>
      </c>
      <c r="AF6811">
        <v>-13.363559939409599</v>
      </c>
      <c r="AG6811">
        <v>-1.113923976238</v>
      </c>
      <c r="AH6811">
        <v>27.561683231069999</v>
      </c>
      <c r="AI6811">
        <v>92.082724969478804</v>
      </c>
      <c r="AJ6811">
        <v>115.86689470064699</v>
      </c>
      <c r="AK6811">
        <v>30.650806570282501</v>
      </c>
      <c r="AL6811">
        <v>91.024032017698801</v>
      </c>
      <c r="AM6811">
        <v>90.1505546603277</v>
      </c>
      <c r="AN6811">
        <v>1.00000006478752</v>
      </c>
    </row>
    <row r="6812" spans="1:40" x14ac:dyDescent="0.25">
      <c r="A6812" t="str">
        <f>"20190312161150467"</f>
        <v>20190312161150467</v>
      </c>
      <c r="B6812" t="str">
        <f>"1552378310463670"</f>
        <v>1552378310463670</v>
      </c>
      <c r="C6812" t="s">
        <v>40</v>
      </c>
      <c r="D6812">
        <v>5.5367870000000003</v>
      </c>
      <c r="E6812">
        <v>0.31913730000000001</v>
      </c>
      <c r="F6812" t="s">
        <v>41</v>
      </c>
      <c r="G6812">
        <v>-184.04470000000001</v>
      </c>
      <c r="H6812" s="1">
        <v>-5.1290399999999998E-6</v>
      </c>
      <c r="I6812">
        <v>-20.873729999999998</v>
      </c>
      <c r="J6812">
        <v>-187.38640000000001</v>
      </c>
      <c r="K6812">
        <v>1.113912</v>
      </c>
      <c r="L6812">
        <v>-51.609099999999998</v>
      </c>
      <c r="M6812">
        <v>0.52894940000000001</v>
      </c>
      <c r="N6812">
        <v>0</v>
      </c>
      <c r="O6812">
        <v>0.84857109999999902</v>
      </c>
      <c r="P6812">
        <v>0.52635350000000003</v>
      </c>
      <c r="Q6812">
        <v>-2.9918690000000001E-2</v>
      </c>
      <c r="R6812">
        <v>0.84973929999999998</v>
      </c>
      <c r="S6812">
        <v>0.36659239999999998</v>
      </c>
      <c r="T6812">
        <v>-0.119617</v>
      </c>
      <c r="U6812">
        <v>3.314819</v>
      </c>
      <c r="V6812">
        <v>-2.6496480000000001E-3</v>
      </c>
      <c r="W6812">
        <v>-1.8130279999999999E-2</v>
      </c>
      <c r="X6812">
        <v>0.9998321</v>
      </c>
      <c r="Y6812">
        <v>-0.4325233</v>
      </c>
      <c r="Z6812">
        <v>-2.6107229999999999E-2</v>
      </c>
      <c r="AA6812">
        <v>0.90124470000000001</v>
      </c>
      <c r="AB6812">
        <v>16</v>
      </c>
      <c r="AC6812">
        <v>3.3416999999999999</v>
      </c>
      <c r="AD6812">
        <v>-1.1139171290400001</v>
      </c>
      <c r="AE6812">
        <v>30.73537</v>
      </c>
      <c r="AF6812">
        <v>-13.4053204244108</v>
      </c>
      <c r="AG6812">
        <v>-1.1139171290400001</v>
      </c>
      <c r="AH6812">
        <v>27.8145737597272</v>
      </c>
      <c r="AI6812">
        <v>92.066142674893499</v>
      </c>
      <c r="AJ6812">
        <v>115.73188673030801</v>
      </c>
      <c r="AK6812">
        <v>30.896503693570299</v>
      </c>
      <c r="AL6812">
        <v>91.038845466249697</v>
      </c>
      <c r="AM6812">
        <v>90.151838785933506</v>
      </c>
      <c r="AN6812">
        <v>0.99999997793890505</v>
      </c>
    </row>
    <row r="6813" spans="1:40" x14ac:dyDescent="0.25">
      <c r="A6813" t="str">
        <f>"20190312161150490"</f>
        <v>20190312161150490</v>
      </c>
      <c r="B6813" t="str">
        <f>"1552378310484166"</f>
        <v>1552378310484166</v>
      </c>
      <c r="C6813" t="s">
        <v>40</v>
      </c>
      <c r="D6813">
        <v>5.5426989999999998</v>
      </c>
      <c r="E6813">
        <v>0.32035219999999998</v>
      </c>
      <c r="F6813" t="s">
        <v>41</v>
      </c>
      <c r="G6813">
        <v>-184.28149999999999</v>
      </c>
      <c r="H6813" s="1">
        <v>-4.5408650000000001E-6</v>
      </c>
      <c r="I6813">
        <v>-22.14686</v>
      </c>
      <c r="J6813">
        <v>-187.31229999999999</v>
      </c>
      <c r="K6813">
        <v>1.1138969999999999</v>
      </c>
      <c r="L6813">
        <v>-51.468690000000002</v>
      </c>
      <c r="M6813">
        <v>0.52082070000000003</v>
      </c>
      <c r="N6813">
        <v>0</v>
      </c>
      <c r="O6813">
        <v>0.85358489999999998</v>
      </c>
      <c r="P6813">
        <v>0.51842840000000001</v>
      </c>
      <c r="Q6813">
        <v>-3.0469670000000001E-2</v>
      </c>
      <c r="R6813">
        <v>0.85457799999999995</v>
      </c>
      <c r="S6813">
        <v>0.34883120000000001</v>
      </c>
      <c r="T6813">
        <v>-0.12514529999999999</v>
      </c>
      <c r="U6813">
        <v>3.3099980000000002</v>
      </c>
      <c r="V6813">
        <v>-2.3821609999999998E-3</v>
      </c>
      <c r="W6813">
        <v>-1.8721129999999999E-2</v>
      </c>
      <c r="X6813">
        <v>0.99982190000000004</v>
      </c>
      <c r="Y6813">
        <v>-0.42854799999999899</v>
      </c>
      <c r="Z6813">
        <v>-2.767037E-2</v>
      </c>
      <c r="AA6813">
        <v>0.90309519999999999</v>
      </c>
      <c r="AB6813">
        <v>16</v>
      </c>
      <c r="AC6813">
        <v>3.0308000000000002</v>
      </c>
      <c r="AD6813">
        <v>-1.1139015408649999</v>
      </c>
      <c r="AE6813">
        <v>29.321829999999999</v>
      </c>
      <c r="AF6813">
        <v>-12.667162765910501</v>
      </c>
      <c r="AG6813">
        <v>-1.1139015408649999</v>
      </c>
      <c r="AH6813">
        <v>26.5710783062761</v>
      </c>
      <c r="AI6813">
        <v>92.167121153517996</v>
      </c>
      <c r="AJ6813">
        <v>115.488419863817</v>
      </c>
      <c r="AK6813">
        <v>29.4570872887845</v>
      </c>
      <c r="AL6813">
        <v>91.072704410215195</v>
      </c>
      <c r="AM6813">
        <v>90.136511825910404</v>
      </c>
      <c r="AN6813">
        <v>0.99999999355955804</v>
      </c>
    </row>
    <row r="6814" spans="1:40" x14ac:dyDescent="0.25">
      <c r="A6814" t="str">
        <f>"20190312161150513"</f>
        <v>20190312161150513</v>
      </c>
      <c r="B6814" t="str">
        <f>"1552378310503686"</f>
        <v>1552378310503686</v>
      </c>
      <c r="C6814" t="s">
        <v>40</v>
      </c>
      <c r="D6814">
        <v>5.5564460000000002</v>
      </c>
      <c r="E6814">
        <v>0.32146940000000002</v>
      </c>
      <c r="F6814" t="s">
        <v>41</v>
      </c>
      <c r="G6814">
        <v>-184.4665</v>
      </c>
      <c r="H6814" s="1">
        <v>-4.3019960000000004E-6</v>
      </c>
      <c r="I6814">
        <v>-22.627189999999999</v>
      </c>
      <c r="J6814">
        <v>-187.2397</v>
      </c>
      <c r="K6814">
        <v>1.1138920000000001</v>
      </c>
      <c r="L6814">
        <v>-51.327970000000001</v>
      </c>
      <c r="M6814">
        <v>0.51268019999999903</v>
      </c>
      <c r="N6814">
        <v>0</v>
      </c>
      <c r="O6814">
        <v>0.85849949999999997</v>
      </c>
      <c r="P6814">
        <v>0.51133079999999997</v>
      </c>
      <c r="Q6814">
        <v>-3.1179289999999998E-2</v>
      </c>
      <c r="R6814">
        <v>0.85881819999999898</v>
      </c>
      <c r="S6814">
        <v>0.32640079999999999</v>
      </c>
      <c r="T6814">
        <v>-0.1277568</v>
      </c>
      <c r="U6814">
        <v>3.307922</v>
      </c>
      <c r="V6814">
        <v>-1.1373430000000001E-3</v>
      </c>
      <c r="W6814">
        <v>-1.945966E-2</v>
      </c>
      <c r="X6814">
        <v>0.99980999999999998</v>
      </c>
      <c r="Y6814">
        <v>-0.4259578</v>
      </c>
      <c r="Z6814">
        <v>-2.8572589999999998E-2</v>
      </c>
      <c r="AA6814">
        <v>0.90429170000000003</v>
      </c>
      <c r="AB6814">
        <v>16</v>
      </c>
      <c r="AC6814">
        <v>2.7732000000000001</v>
      </c>
      <c r="AD6814">
        <v>-1.113896301996</v>
      </c>
      <c r="AE6814">
        <v>28.700779999999899</v>
      </c>
      <c r="AF6814">
        <v>-12.3159999874979</v>
      </c>
      <c r="AG6814">
        <v>-1.113896301996</v>
      </c>
      <c r="AH6814">
        <v>26.0243264867789</v>
      </c>
      <c r="AI6814">
        <v>92.215576932568794</v>
      </c>
      <c r="AJ6814">
        <v>115.325830742912</v>
      </c>
      <c r="AK6814">
        <v>28.813021184077702</v>
      </c>
      <c r="AL6814">
        <v>91.115026764594305</v>
      </c>
      <c r="AM6814">
        <v>90.065177309338793</v>
      </c>
      <c r="AN6814">
        <v>1.0000000040082</v>
      </c>
    </row>
    <row r="6815" spans="1:40" x14ac:dyDescent="0.25">
      <c r="A6815" t="str">
        <f>"20190312161150536"</f>
        <v>20190312161150536</v>
      </c>
      <c r="B6815" t="str">
        <f>"1552378310533942"</f>
        <v>1552378310533942</v>
      </c>
      <c r="C6815" t="s">
        <v>40</v>
      </c>
      <c r="D6815">
        <v>5.5384270000000004</v>
      </c>
      <c r="E6815">
        <v>0.32262780000000002</v>
      </c>
      <c r="F6815" t="s">
        <v>41</v>
      </c>
      <c r="G6815">
        <v>-184.58099999999999</v>
      </c>
      <c r="H6815" s="1">
        <v>-4.2672490000000003E-6</v>
      </c>
      <c r="I6815">
        <v>-22.660830000000001</v>
      </c>
      <c r="J6815">
        <v>-187.16739999999999</v>
      </c>
      <c r="K6815">
        <v>1.1138939999999999</v>
      </c>
      <c r="L6815">
        <v>-51.184690000000003</v>
      </c>
      <c r="M6815">
        <v>0.50439690000000004</v>
      </c>
      <c r="N6815">
        <v>0</v>
      </c>
      <c r="O6815">
        <v>0.86339270000000001</v>
      </c>
      <c r="P6815">
        <v>0.50396529999999995</v>
      </c>
      <c r="Q6815">
        <v>-3.1100599999999999E-2</v>
      </c>
      <c r="R6815">
        <v>0.86316380000000004</v>
      </c>
      <c r="S6815">
        <v>0.306610099999999</v>
      </c>
      <c r="T6815">
        <v>-0.128457399999999</v>
      </c>
      <c r="U6815">
        <v>3.3059690000000002</v>
      </c>
      <c r="V6815" s="1">
        <v>-7.2942349999999896E-5</v>
      </c>
      <c r="W6815">
        <v>-1.9407810000000001E-2</v>
      </c>
      <c r="X6815">
        <v>0.99981160000000002</v>
      </c>
      <c r="Y6815">
        <v>-0.42256349999999998</v>
      </c>
      <c r="Z6815">
        <v>-2.9061239999999999E-2</v>
      </c>
      <c r="AA6815">
        <v>0.90586730000000004</v>
      </c>
      <c r="AB6815">
        <v>16</v>
      </c>
      <c r="AC6815">
        <v>2.58639999999999</v>
      </c>
      <c r="AD6815">
        <v>-1.1138982672490001</v>
      </c>
      <c r="AE6815">
        <v>28.523859999999999</v>
      </c>
      <c r="AF6815">
        <v>-12.1367414053778</v>
      </c>
      <c r="AG6815">
        <v>-1.1138982672490001</v>
      </c>
      <c r="AH6815">
        <v>25.894471274263701</v>
      </c>
      <c r="AI6815">
        <v>92.230584666273899</v>
      </c>
      <c r="AJ6815">
        <v>115.112491059785</v>
      </c>
      <c r="AK6815">
        <v>28.619309982325898</v>
      </c>
      <c r="AL6815">
        <v>91.112055475187304</v>
      </c>
      <c r="AM6815">
        <v>90.004180076321703</v>
      </c>
      <c r="AN6815">
        <v>0.99999995195207003</v>
      </c>
    </row>
    <row r="6816" spans="1:40" x14ac:dyDescent="0.25">
      <c r="A6816" t="str">
        <f>"20190312161150556"</f>
        <v>20190312161150556</v>
      </c>
      <c r="B6816" t="str">
        <f>"1552378310553462"</f>
        <v>1552378310553462</v>
      </c>
      <c r="C6816" t="s">
        <v>40</v>
      </c>
      <c r="D6816">
        <v>5.1388420000000004</v>
      </c>
      <c r="E6816">
        <v>0.32363809999999998</v>
      </c>
      <c r="F6816" t="s">
        <v>41</v>
      </c>
      <c r="G6816">
        <v>-184.74189999999999</v>
      </c>
      <c r="H6816" s="1">
        <v>-4.0105610000000002E-6</v>
      </c>
      <c r="I6816">
        <v>-23.192640000000001</v>
      </c>
      <c r="J6816">
        <v>-187.10720000000001</v>
      </c>
      <c r="K6816">
        <v>1.1138889999999999</v>
      </c>
      <c r="L6816">
        <v>-51.062559999999998</v>
      </c>
      <c r="M6816">
        <v>0.49734109999999998</v>
      </c>
      <c r="N6816">
        <v>0</v>
      </c>
      <c r="O6816">
        <v>0.86747659999999904</v>
      </c>
      <c r="P6816">
        <v>0.49714720000000001</v>
      </c>
      <c r="Q6816">
        <v>-3.062923E-2</v>
      </c>
      <c r="R6816">
        <v>0.86712540000000005</v>
      </c>
      <c r="S6816">
        <v>0.28627010000000003</v>
      </c>
      <c r="T6816">
        <v>-0.131467</v>
      </c>
      <c r="U6816">
        <v>3.303741</v>
      </c>
      <c r="V6816">
        <v>1.868052E-4</v>
      </c>
      <c r="W6816">
        <v>-1.896134E-2</v>
      </c>
      <c r="X6816">
        <v>0.99982020000000005</v>
      </c>
      <c r="Y6816">
        <v>-0.42065170000000002</v>
      </c>
      <c r="Z6816">
        <v>-3.0022759999999999E-2</v>
      </c>
      <c r="AA6816">
        <v>0.90672529999999996</v>
      </c>
      <c r="AB6816">
        <v>16</v>
      </c>
      <c r="AC6816">
        <v>2.3653000000000102</v>
      </c>
      <c r="AD6816">
        <v>-1.1138930105610001</v>
      </c>
      <c r="AE6816">
        <v>27.86992</v>
      </c>
      <c r="AF6816">
        <v>-11.791117902702499</v>
      </c>
      <c r="AG6816">
        <v>-1.1138930105610001</v>
      </c>
      <c r="AH6816">
        <v>25.3144425027774</v>
      </c>
      <c r="AI6816">
        <v>92.284178300808605</v>
      </c>
      <c r="AJ6816">
        <v>114.97545388657799</v>
      </c>
      <c r="AK6816">
        <v>27.948027090670099</v>
      </c>
      <c r="AL6816">
        <v>91.086469866264295</v>
      </c>
      <c r="AM6816">
        <v>89.989294925801104</v>
      </c>
      <c r="AN6816">
        <v>0.99999999981940901</v>
      </c>
    </row>
    <row r="6817" spans="1:40" x14ac:dyDescent="0.25">
      <c r="A6817" t="str">
        <f>"20190312161150579"</f>
        <v>20190312161150579</v>
      </c>
      <c r="B6817" t="str">
        <f>"1552378310573958"</f>
        <v>1552378310573958</v>
      </c>
      <c r="C6817" t="s">
        <v>40</v>
      </c>
      <c r="D6817">
        <v>5.6048660000000003</v>
      </c>
      <c r="E6817">
        <v>0.32380829999999999</v>
      </c>
      <c r="F6817" t="s">
        <v>41</v>
      </c>
      <c r="G6817">
        <v>-184.88890000000001</v>
      </c>
      <c r="H6817" s="1">
        <v>-3.795104E-6</v>
      </c>
      <c r="I6817">
        <v>-23.63411</v>
      </c>
      <c r="J6817">
        <v>-187.0393</v>
      </c>
      <c r="K6817">
        <v>1.1138920000000001</v>
      </c>
      <c r="L6817">
        <v>-50.921909999999997</v>
      </c>
      <c r="M6817">
        <v>0.4892145</v>
      </c>
      <c r="N6817">
        <v>0</v>
      </c>
      <c r="O6817">
        <v>0.87208589999999997</v>
      </c>
      <c r="P6817">
        <v>0.48899110000000001</v>
      </c>
      <c r="Q6817">
        <v>-3.111653E-2</v>
      </c>
      <c r="R6817">
        <v>0.871733599999999</v>
      </c>
      <c r="S6817">
        <v>0.26704410000000001</v>
      </c>
      <c r="T6817">
        <v>-0.13409090000000001</v>
      </c>
      <c r="U6817">
        <v>3.3018489999999998</v>
      </c>
      <c r="V6817">
        <v>1.631347E-4</v>
      </c>
      <c r="W6817">
        <v>-1.947948E-2</v>
      </c>
      <c r="X6817">
        <v>0.99981019999999998</v>
      </c>
      <c r="Y6817">
        <v>-0.41737259999999998</v>
      </c>
      <c r="Z6817">
        <v>-3.0949609999999999E-2</v>
      </c>
      <c r="AA6817">
        <v>0.90820829999999997</v>
      </c>
      <c r="AB6817">
        <v>16</v>
      </c>
      <c r="AC6817">
        <v>2.1503999999999901</v>
      </c>
      <c r="AD6817">
        <v>-1.1138957951040001</v>
      </c>
      <c r="AE6817">
        <v>27.287800000000001</v>
      </c>
      <c r="AF6817">
        <v>-11.4560591795343</v>
      </c>
      <c r="AG6817">
        <v>-1.1138957951040001</v>
      </c>
      <c r="AH6817">
        <v>24.809908906847401</v>
      </c>
      <c r="AI6817">
        <v>92.334170503053102</v>
      </c>
      <c r="AJ6817">
        <v>114.7852909946</v>
      </c>
      <c r="AK6817">
        <v>27.349837947114199</v>
      </c>
      <c r="AL6817">
        <v>91.116162635391504</v>
      </c>
      <c r="AM6817">
        <v>89.990651295896697</v>
      </c>
      <c r="AN6817">
        <v>0.99999995638901895</v>
      </c>
    </row>
    <row r="6818" spans="1:40" x14ac:dyDescent="0.25">
      <c r="A6818" t="str">
        <f>"20190312161150602"</f>
        <v>20190312161150602</v>
      </c>
      <c r="B6818" t="str">
        <f>"1552378310593479"</f>
        <v>1552378310593479</v>
      </c>
      <c r="C6818" t="s">
        <v>40</v>
      </c>
      <c r="D6818">
        <v>5.5983739999999997</v>
      </c>
      <c r="E6818">
        <v>0.32453530000000003</v>
      </c>
      <c r="F6818" t="s">
        <v>41</v>
      </c>
      <c r="G6818">
        <v>-185.00290000000001</v>
      </c>
      <c r="H6818" s="1">
        <v>-4.2228779999999997E-6</v>
      </c>
      <c r="I6818">
        <v>-22.589790000000001</v>
      </c>
      <c r="J6818">
        <v>-186.9699</v>
      </c>
      <c r="K6818">
        <v>1.113901</v>
      </c>
      <c r="L6818">
        <v>-50.77469</v>
      </c>
      <c r="M6818">
        <v>0.4807051</v>
      </c>
      <c r="N6818">
        <v>0</v>
      </c>
      <c r="O6818">
        <v>0.87680550000000002</v>
      </c>
      <c r="P6818">
        <v>0.48018650000000002</v>
      </c>
      <c r="Q6818">
        <v>-3.1365089999999998E-2</v>
      </c>
      <c r="R6818">
        <v>0.87660550000000004</v>
      </c>
      <c r="S6818">
        <v>0.23744199999999999</v>
      </c>
      <c r="T6818">
        <v>-0.12988279999999999</v>
      </c>
      <c r="U6818">
        <v>3.3035890000000001</v>
      </c>
      <c r="V6818">
        <v>-1.7002279999999901E-4</v>
      </c>
      <c r="W6818">
        <v>-1.9764859999999999E-2</v>
      </c>
      <c r="X6818">
        <v>0.99980460000000004</v>
      </c>
      <c r="Y6818">
        <v>-0.41665819999999998</v>
      </c>
      <c r="Z6818">
        <v>-3.0249959999999999E-2</v>
      </c>
      <c r="AA6818">
        <v>0.90855980000000003</v>
      </c>
      <c r="AB6818">
        <v>16</v>
      </c>
      <c r="AC6818">
        <v>1.9669999999999801</v>
      </c>
      <c r="AD6818">
        <v>-1.113905222878</v>
      </c>
      <c r="AE6818">
        <v>28.184899999999999</v>
      </c>
      <c r="AF6818">
        <v>-11.806393847087</v>
      </c>
      <c r="AG6818">
        <v>-1.113905222878</v>
      </c>
      <c r="AH6818">
        <v>25.620127743258902</v>
      </c>
      <c r="AI6818">
        <v>92.261248459802204</v>
      </c>
      <c r="AJ6818">
        <v>114.74142891723</v>
      </c>
      <c r="AK6818">
        <v>28.231589861341401</v>
      </c>
      <c r="AL6818">
        <v>91.132516852183599</v>
      </c>
      <c r="AM6818">
        <v>90.009743492645498</v>
      </c>
      <c r="AN6818">
        <v>0.999999958389865</v>
      </c>
    </row>
    <row r="6819" spans="1:40" x14ac:dyDescent="0.25">
      <c r="A6819" t="str">
        <f>"20190312161150626"</f>
        <v>20190312161150626</v>
      </c>
      <c r="B6819" t="str">
        <f>"1552378310623735"</f>
        <v>1552378310623735</v>
      </c>
      <c r="C6819" t="s">
        <v>40</v>
      </c>
      <c r="D6819">
        <v>5.6428739999999999</v>
      </c>
      <c r="E6819">
        <v>0.32633060000000003</v>
      </c>
      <c r="F6819" t="s">
        <v>41</v>
      </c>
      <c r="G6819">
        <v>-185.15600000000001</v>
      </c>
      <c r="H6819" s="1">
        <v>-4.3918470000000003E-6</v>
      </c>
      <c r="I6819">
        <v>-22.132619999999999</v>
      </c>
      <c r="J6819">
        <v>-186.90270000000001</v>
      </c>
      <c r="K6819">
        <v>1.113912</v>
      </c>
      <c r="L6819">
        <v>-50.628390000000003</v>
      </c>
      <c r="M6819">
        <v>0.47224660000000002</v>
      </c>
      <c r="N6819">
        <v>0</v>
      </c>
      <c r="O6819">
        <v>0.88139049999999997</v>
      </c>
      <c r="P6819">
        <v>0.47183409999999898</v>
      </c>
      <c r="Q6819">
        <v>-3.1093880000000001E-2</v>
      </c>
      <c r="R6819">
        <v>0.88113889999999995</v>
      </c>
      <c r="S6819">
        <v>0.2091827</v>
      </c>
      <c r="T6819">
        <v>-0.12846050000000001</v>
      </c>
      <c r="U6819">
        <v>3.303131</v>
      </c>
      <c r="V6819" s="1">
        <v>-5.7850699999999998E-5</v>
      </c>
      <c r="W6819">
        <v>-1.9525899999999999E-2</v>
      </c>
      <c r="X6819">
        <v>0.99980930000000001</v>
      </c>
      <c r="Y6819">
        <v>-0.41564010000000001</v>
      </c>
      <c r="Z6819">
        <v>-3.0200589999999999E-2</v>
      </c>
      <c r="AA6819">
        <v>0.90902760000000005</v>
      </c>
      <c r="AB6819">
        <v>16</v>
      </c>
      <c r="AC6819">
        <v>1.7467000000000299</v>
      </c>
      <c r="AD6819">
        <v>-1.1139163918469901</v>
      </c>
      <c r="AE6819">
        <v>28.49577</v>
      </c>
      <c r="AF6819">
        <v>-11.9001875787716</v>
      </c>
      <c r="AG6819">
        <v>-1.1139163918469901</v>
      </c>
      <c r="AH6819">
        <v>25.903077815028801</v>
      </c>
      <c r="AI6819">
        <v>92.237794544121698</v>
      </c>
      <c r="AJ6819">
        <v>114.674622984162</v>
      </c>
      <c r="AK6819">
        <v>28.527613191948198</v>
      </c>
      <c r="AL6819">
        <v>91.118822818424704</v>
      </c>
      <c r="AM6819">
        <v>90.003315233163093</v>
      </c>
      <c r="AN6819">
        <v>0.99999995024199995</v>
      </c>
    </row>
    <row r="6820" spans="1:40" x14ac:dyDescent="0.25">
      <c r="A6820" t="str">
        <f>"20190312161150647"</f>
        <v>20190312161150647</v>
      </c>
      <c r="B6820" t="str">
        <f>"1552378310644230"</f>
        <v>1552378310644230</v>
      </c>
      <c r="C6820" t="s">
        <v>40</v>
      </c>
      <c r="D6820">
        <v>5.6672820000000002</v>
      </c>
      <c r="E6820">
        <v>0.32644430000000002</v>
      </c>
      <c r="F6820" t="s">
        <v>41</v>
      </c>
      <c r="G6820">
        <v>-185.2901</v>
      </c>
      <c r="H6820" s="1">
        <v>-4.1367779999999997E-6</v>
      </c>
      <c r="I6820">
        <v>-22.671749999999999</v>
      </c>
      <c r="J6820">
        <v>-186.84299999999999</v>
      </c>
      <c r="K6820">
        <v>1.11392</v>
      </c>
      <c r="L6820">
        <v>-50.494999999999997</v>
      </c>
      <c r="M6820">
        <v>0.46453169999999999</v>
      </c>
      <c r="N6820">
        <v>0</v>
      </c>
      <c r="O6820">
        <v>0.88548119999999997</v>
      </c>
      <c r="P6820">
        <v>0.4638272</v>
      </c>
      <c r="Q6820">
        <v>-3.1139779999999999E-2</v>
      </c>
      <c r="R6820">
        <v>0.885378199999999</v>
      </c>
      <c r="S6820">
        <v>0.19024659999999999</v>
      </c>
      <c r="T6820">
        <v>-0.13141439999999999</v>
      </c>
      <c r="U6820">
        <v>3.298187</v>
      </c>
      <c r="V6820">
        <v>-3.8789610000000002E-4</v>
      </c>
      <c r="W6820">
        <v>-1.9602560000000002E-2</v>
      </c>
      <c r="X6820">
        <v>0.99980780000000002</v>
      </c>
      <c r="Y6820">
        <v>-0.41281069999999997</v>
      </c>
      <c r="Z6820">
        <v>-3.1210129999999999E-2</v>
      </c>
      <c r="AA6820">
        <v>0.91028200000000004</v>
      </c>
      <c r="AB6820">
        <v>16</v>
      </c>
      <c r="AC6820">
        <v>1.55289999999999</v>
      </c>
      <c r="AD6820">
        <v>-1.113924136778</v>
      </c>
      <c r="AE6820">
        <v>27.823250000000002</v>
      </c>
      <c r="AF6820">
        <v>-11.532061112487099</v>
      </c>
      <c r="AG6820">
        <v>-1.113924136778</v>
      </c>
      <c r="AH6820">
        <v>25.3195692487858</v>
      </c>
      <c r="AI6820">
        <v>92.292748973243107</v>
      </c>
      <c r="AJ6820">
        <v>114.48738581038199</v>
      </c>
      <c r="AK6820">
        <v>27.844386282134099</v>
      </c>
      <c r="AL6820">
        <v>91.123215871215095</v>
      </c>
      <c r="AM6820">
        <v>90.022229080733794</v>
      </c>
      <c r="AN6820">
        <v>1.00000002388138</v>
      </c>
    </row>
    <row r="6821" spans="1:40" x14ac:dyDescent="0.25">
      <c r="A6821" t="str">
        <f>"20190312161150669"</f>
        <v>20190312161150669</v>
      </c>
      <c r="B6821" t="str">
        <f>"1552378310663752"</f>
        <v>1552378310663752</v>
      </c>
      <c r="C6821" t="s">
        <v>40</v>
      </c>
      <c r="D6821">
        <v>5.6936080000000002</v>
      </c>
      <c r="E6821">
        <v>0.31143549999999998</v>
      </c>
      <c r="F6821" t="s">
        <v>41</v>
      </c>
      <c r="G6821">
        <v>-185.4639</v>
      </c>
      <c r="H6821" s="1">
        <v>-4.2815200000000001E-6</v>
      </c>
      <c r="I6821">
        <v>-22.262499999999999</v>
      </c>
      <c r="J6821">
        <v>-186.78110000000001</v>
      </c>
      <c r="K6821">
        <v>1.1139300000000001</v>
      </c>
      <c r="L6821">
        <v>-50.353360000000002</v>
      </c>
      <c r="M6821">
        <v>0.45633279999999898</v>
      </c>
      <c r="N6821">
        <v>0</v>
      </c>
      <c r="O6821">
        <v>0.88973459999999904</v>
      </c>
      <c r="P6821">
        <v>0.45553840000000001</v>
      </c>
      <c r="Q6821">
        <v>-3.0660509999999998E-2</v>
      </c>
      <c r="R6821">
        <v>0.88968799999999904</v>
      </c>
      <c r="S6821">
        <v>0.16116329999999901</v>
      </c>
      <c r="T6821">
        <v>-0.13017819999999999</v>
      </c>
      <c r="U6821">
        <v>3.2993769999999998</v>
      </c>
      <c r="V6821">
        <v>-5.0136590000000002E-4</v>
      </c>
      <c r="W6821">
        <v>-1.9149490000000002E-2</v>
      </c>
      <c r="X6821">
        <v>0.9998165</v>
      </c>
      <c r="Y6821">
        <v>-0.4124177</v>
      </c>
      <c r="Z6821">
        <v>-3.1161540000000001E-2</v>
      </c>
      <c r="AA6821">
        <v>0.91046170000000004</v>
      </c>
      <c r="AB6821">
        <v>16</v>
      </c>
      <c r="AC6821">
        <v>1.3172000000000099</v>
      </c>
      <c r="AD6821">
        <v>-1.11393428152</v>
      </c>
      <c r="AE6821">
        <v>28.090859999999999</v>
      </c>
      <c r="AF6821">
        <v>-11.629348363633699</v>
      </c>
      <c r="AG6821">
        <v>-1.11393428152</v>
      </c>
      <c r="AH6821">
        <v>25.5560915927758</v>
      </c>
      <c r="AI6821">
        <v>92.271922087944503</v>
      </c>
      <c r="AJ6821">
        <v>114.46799929126399</v>
      </c>
      <c r="AK6821">
        <v>28.0997581919247</v>
      </c>
      <c r="AL6821">
        <v>91.097252031305999</v>
      </c>
      <c r="AM6821">
        <v>90.028731419869501</v>
      </c>
      <c r="AN6821">
        <v>0.99999999400363704</v>
      </c>
    </row>
    <row r="6822" spans="1:40" x14ac:dyDescent="0.25">
      <c r="A6822" t="str">
        <f>"20190312161150693"</f>
        <v>20190312161150693</v>
      </c>
      <c r="B6822" t="str">
        <f>"1552378310684246"</f>
        <v>1552378310684246</v>
      </c>
      <c r="C6822" t="s">
        <v>40</v>
      </c>
      <c r="D6822">
        <v>5.6218940000000002</v>
      </c>
      <c r="E6822">
        <v>0.3121428</v>
      </c>
      <c r="F6822" t="s">
        <v>46</v>
      </c>
      <c r="G6822">
        <v>-182.77770000000001</v>
      </c>
      <c r="H6822">
        <v>1.115154E-2</v>
      </c>
      <c r="I6822">
        <v>379.52910000000003</v>
      </c>
      <c r="J6822">
        <v>-186.71680000000001</v>
      </c>
      <c r="K6822">
        <v>1.113945</v>
      </c>
      <c r="L6822">
        <v>-50.202509999999997</v>
      </c>
      <c r="M6822">
        <v>0.4475925</v>
      </c>
      <c r="N6822">
        <v>0</v>
      </c>
      <c r="O6822">
        <v>0.89416369999999901</v>
      </c>
      <c r="P6822">
        <v>0.44664470000000001</v>
      </c>
      <c r="Q6822">
        <v>-2.995337E-2</v>
      </c>
      <c r="R6822">
        <v>0.8942099</v>
      </c>
      <c r="S6822">
        <v>3.125E-2</v>
      </c>
      <c r="T6822">
        <v>-8.6083410000000003E-3</v>
      </c>
      <c r="U6822">
        <v>3.3556819999999998</v>
      </c>
      <c r="V6822">
        <v>-6.8969080000000002E-4</v>
      </c>
      <c r="W6822">
        <v>-1.8468370000000001E-2</v>
      </c>
      <c r="X6822">
        <v>0.99982919999999997</v>
      </c>
      <c r="Y6822">
        <v>-0.43927549999999999</v>
      </c>
      <c r="Z6822">
        <v>-2.0281470000000001E-3</v>
      </c>
      <c r="AA6822">
        <v>0.89835010000000004</v>
      </c>
      <c r="AB6822">
        <v>16</v>
      </c>
      <c r="AC6822">
        <v>3.9390999999999901</v>
      </c>
      <c r="AD6822">
        <v>-1.10279346</v>
      </c>
      <c r="AE6822">
        <v>429.73160999999999</v>
      </c>
      <c r="AF6822">
        <v>-188.83368732432399</v>
      </c>
      <c r="AG6822">
        <v>-1.10279346</v>
      </c>
      <c r="AH6822">
        <v>386.036500075699</v>
      </c>
      <c r="AI6822">
        <v>90.147029058322104</v>
      </c>
      <c r="AJ6822">
        <v>116.066039725644</v>
      </c>
      <c r="AK6822">
        <v>429.74824841133602</v>
      </c>
      <c r="AL6822">
        <v>91.058219825345105</v>
      </c>
      <c r="AM6822">
        <v>90.039523116289502</v>
      </c>
      <c r="AN6822">
        <v>0.99999999276824802</v>
      </c>
    </row>
    <row r="6823" spans="1:40" x14ac:dyDescent="0.25">
      <c r="A6823" t="str">
        <f>"20190312161150715"</f>
        <v>20190312161150715</v>
      </c>
      <c r="B6823" t="str">
        <f>"1552378310703766"</f>
        <v>1552378310703766</v>
      </c>
      <c r="C6823" t="s">
        <v>40</v>
      </c>
      <c r="D6823">
        <v>5.7124730000000001</v>
      </c>
      <c r="E6823">
        <v>0.313218099999999</v>
      </c>
      <c r="F6823" t="s">
        <v>111</v>
      </c>
      <c r="G6823">
        <v>-186.34270000000001</v>
      </c>
      <c r="H6823">
        <v>0.1943493</v>
      </c>
      <c r="I6823">
        <v>391.87</v>
      </c>
      <c r="J6823">
        <v>-186.6557</v>
      </c>
      <c r="K6823">
        <v>1.113958</v>
      </c>
      <c r="L6823">
        <v>-50.055109999999999</v>
      </c>
      <c r="M6823">
        <v>0.43903959999999997</v>
      </c>
      <c r="N6823">
        <v>0</v>
      </c>
      <c r="O6823">
        <v>0.89839449999999998</v>
      </c>
      <c r="P6823">
        <v>0.43770989999999999</v>
      </c>
      <c r="Q6823">
        <v>-2.9491050000000001E-2</v>
      </c>
      <c r="R6823">
        <v>0.89863249999999995</v>
      </c>
      <c r="S6823">
        <v>2.8381349999999999E-3</v>
      </c>
      <c r="T6823">
        <v>-6.9755319999999996E-3</v>
      </c>
      <c r="U6823">
        <v>3.3533019999999998</v>
      </c>
      <c r="V6823">
        <v>-1.1240239999999999E-3</v>
      </c>
      <c r="W6823">
        <v>-1.8036150000000001E-2</v>
      </c>
      <c r="X6823">
        <v>0.99983670000000002</v>
      </c>
      <c r="Y6823">
        <v>-0.43830789999999997</v>
      </c>
      <c r="Z6823">
        <v>-1.6581279999999901E-3</v>
      </c>
      <c r="AA6823">
        <v>0.89882340000000005</v>
      </c>
      <c r="AB6823">
        <v>16</v>
      </c>
      <c r="AC6823">
        <v>0.31299999999998801</v>
      </c>
      <c r="AD6823">
        <v>-0.91960869999999995</v>
      </c>
      <c r="AE6823">
        <v>441.92510999999899</v>
      </c>
      <c r="AF6823">
        <v>-193.753331847656</v>
      </c>
      <c r="AG6823">
        <v>-0.91960869999999995</v>
      </c>
      <c r="AH6823">
        <v>397.18491394576802</v>
      </c>
      <c r="AI6823">
        <v>90.1192279755317</v>
      </c>
      <c r="AJ6823">
        <v>116.003881088626</v>
      </c>
      <c r="AK6823">
        <v>441.92426404117799</v>
      </c>
      <c r="AL6823">
        <v>91.033451313300304</v>
      </c>
      <c r="AM6823">
        <v>90.064412322672396</v>
      </c>
      <c r="AN6823">
        <v>0.99999999640183201</v>
      </c>
    </row>
    <row r="6824" spans="1:40" x14ac:dyDescent="0.25">
      <c r="A6824" t="str">
        <f>"20190312161150737"</f>
        <v>20190312161150737</v>
      </c>
      <c r="B6824" t="str">
        <f>"1552378310734022"</f>
        <v>1552378310734022</v>
      </c>
      <c r="C6824" t="s">
        <v>40</v>
      </c>
      <c r="D6824">
        <v>5.6797849999999999</v>
      </c>
      <c r="E6824">
        <v>0.31487720000000002</v>
      </c>
      <c r="F6824" t="s">
        <v>111</v>
      </c>
      <c r="G6824">
        <v>-189.67160000000001</v>
      </c>
      <c r="H6824">
        <v>0.34589959999999997</v>
      </c>
      <c r="I6824">
        <v>391.87</v>
      </c>
      <c r="J6824">
        <v>-186.5993</v>
      </c>
      <c r="K6824">
        <v>1.11396299999999</v>
      </c>
      <c r="L6824">
        <v>-49.915649999999999</v>
      </c>
      <c r="M6824">
        <v>0.43093890000000001</v>
      </c>
      <c r="N6824">
        <v>0</v>
      </c>
      <c r="O6824">
        <v>0.90230860000000002</v>
      </c>
      <c r="P6824">
        <v>0.4295061</v>
      </c>
      <c r="Q6824">
        <v>-2.9050240000000001E-2</v>
      </c>
      <c r="R6824">
        <v>0.90259659999999997</v>
      </c>
      <c r="S6824">
        <v>-2.285767E-2</v>
      </c>
      <c r="T6824">
        <v>-5.8211089999999997E-3</v>
      </c>
      <c r="U6824">
        <v>3.349335</v>
      </c>
      <c r="V6824">
        <v>-1.2451300000000001E-3</v>
      </c>
      <c r="W6824">
        <v>-1.762271E-2</v>
      </c>
      <c r="X6824">
        <v>0.99984399999999996</v>
      </c>
      <c r="Y6824">
        <v>-0.43711509999999998</v>
      </c>
      <c r="Z6824">
        <v>-1.39589799999999E-3</v>
      </c>
      <c r="AA6824">
        <v>0.89940450000000005</v>
      </c>
      <c r="AB6824">
        <v>16</v>
      </c>
      <c r="AC6824">
        <v>-3.07230000000001</v>
      </c>
      <c r="AD6824">
        <v>-0.76806339999999895</v>
      </c>
      <c r="AE6824">
        <v>441.78564999999998</v>
      </c>
      <c r="AF6824">
        <v>-193.16683979275399</v>
      </c>
      <c r="AG6824">
        <v>-0.76806339999999895</v>
      </c>
      <c r="AH6824">
        <v>397.32781395249498</v>
      </c>
      <c r="AI6824">
        <v>90.099608975070296</v>
      </c>
      <c r="AJ6824">
        <v>115.92739460216001</v>
      </c>
      <c r="AK6824">
        <v>441.79566505022899</v>
      </c>
      <c r="AL6824">
        <v>91.009759108341996</v>
      </c>
      <c r="AM6824">
        <v>90.071351787944906</v>
      </c>
      <c r="AN6824">
        <v>1.0000000672962199</v>
      </c>
    </row>
    <row r="6825" spans="1:40" x14ac:dyDescent="0.25">
      <c r="A6825" t="str">
        <f>"20190312161150759"</f>
        <v>20190312161150759</v>
      </c>
      <c r="B6825" t="str">
        <f>"1552378310753543"</f>
        <v>1552378310753543</v>
      </c>
      <c r="C6825" t="s">
        <v>40</v>
      </c>
      <c r="D6825">
        <v>5.7341639999999998</v>
      </c>
      <c r="E6825">
        <v>0.31638280000000002</v>
      </c>
      <c r="F6825" t="s">
        <v>111</v>
      </c>
      <c r="G6825">
        <v>-192.11179999999999</v>
      </c>
      <c r="H6825">
        <v>0.17318529999999999</v>
      </c>
      <c r="I6825">
        <v>391.87</v>
      </c>
      <c r="J6825">
        <v>-186.54390000000001</v>
      </c>
      <c r="K6825">
        <v>1.1139760000000001</v>
      </c>
      <c r="L6825">
        <v>-49.77496</v>
      </c>
      <c r="M6825">
        <v>0.4227609</v>
      </c>
      <c r="N6825">
        <v>0</v>
      </c>
      <c r="O6825">
        <v>0.90616940000000001</v>
      </c>
      <c r="P6825">
        <v>0.42188530000000002</v>
      </c>
      <c r="Q6825">
        <v>-2.9090700000000001E-2</v>
      </c>
      <c r="R6825">
        <v>0.90618240000000005</v>
      </c>
      <c r="S6825">
        <v>-4.1717530000000003E-2</v>
      </c>
      <c r="T6825">
        <v>-7.1196559999999898E-3</v>
      </c>
      <c r="U6825">
        <v>3.343353</v>
      </c>
      <c r="V6825">
        <v>-6.2629129999999995E-4</v>
      </c>
      <c r="W6825">
        <v>-1.76826E-2</v>
      </c>
      <c r="X6825">
        <v>0.9998435</v>
      </c>
      <c r="Y6825">
        <v>-0.43406230000000001</v>
      </c>
      <c r="Z6825">
        <v>-1.7240840000000001E-3</v>
      </c>
      <c r="AA6825">
        <v>0.90088120000000005</v>
      </c>
      <c r="AB6825">
        <v>16</v>
      </c>
      <c r="AC6825">
        <v>-5.5678999999999803</v>
      </c>
      <c r="AD6825">
        <v>-0.94079069999999998</v>
      </c>
      <c r="AE6825">
        <v>441.644959999999</v>
      </c>
      <c r="AF6825">
        <v>-191.76729966433001</v>
      </c>
      <c r="AG6825">
        <v>-0.94079069999999998</v>
      </c>
      <c r="AH6825">
        <v>397.87536342556598</v>
      </c>
      <c r="AI6825">
        <v>90.122041959504102</v>
      </c>
      <c r="AJ6825">
        <v>115.73305876493001</v>
      </c>
      <c r="AK6825">
        <v>441.67905443740102</v>
      </c>
      <c r="AL6825">
        <v>91.013191109166002</v>
      </c>
      <c r="AM6825">
        <v>90.035889460243098</v>
      </c>
      <c r="AN6825">
        <v>1.0000000455378999</v>
      </c>
    </row>
    <row r="6826" spans="1:40" x14ac:dyDescent="0.25">
      <c r="A6826" t="str">
        <f>"20190312161150781"</f>
        <v>20190312161150781</v>
      </c>
      <c r="B6826" t="str">
        <f>"1552378310774038"</f>
        <v>1552378310774038</v>
      </c>
      <c r="C6826" t="s">
        <v>40</v>
      </c>
      <c r="D6826">
        <v>5.7009629999999998</v>
      </c>
      <c r="E6826">
        <v>0.31712950000000001</v>
      </c>
      <c r="F6826" t="s">
        <v>41</v>
      </c>
      <c r="G6826">
        <v>-191.99870000000001</v>
      </c>
      <c r="H6826" s="1">
        <v>-4.2040610000000001E-6</v>
      </c>
      <c r="I6826">
        <v>258.29880000000003</v>
      </c>
      <c r="J6826">
        <v>-186.48560000000001</v>
      </c>
      <c r="K6826">
        <v>1.1139859999999999</v>
      </c>
      <c r="L6826">
        <v>-49.622709999999998</v>
      </c>
      <c r="M6826">
        <v>0.41390110000000002</v>
      </c>
      <c r="N6826">
        <v>0</v>
      </c>
      <c r="O6826">
        <v>0.91025049999999996</v>
      </c>
      <c r="P6826">
        <v>0.41327249999999999</v>
      </c>
      <c r="Q6826">
        <v>-2.8410410000000001E-2</v>
      </c>
      <c r="R6826">
        <v>0.91016410000000003</v>
      </c>
      <c r="S6826">
        <v>-5.9097289999999997E-2</v>
      </c>
      <c r="T6826">
        <v>-1.206899E-2</v>
      </c>
      <c r="U6826">
        <v>3.3377080000000001</v>
      </c>
      <c r="V6826">
        <v>-3.6979709999999998E-4</v>
      </c>
      <c r="W6826">
        <v>-1.7026989999999999E-2</v>
      </c>
      <c r="X6826">
        <v>0.99985500000000005</v>
      </c>
      <c r="Y6826">
        <v>-0.42997829999999898</v>
      </c>
      <c r="Z6826">
        <v>-2.9529399999999998E-3</v>
      </c>
      <c r="AA6826">
        <v>0.90283440000000004</v>
      </c>
      <c r="AB6826">
        <v>16</v>
      </c>
      <c r="AC6826">
        <v>-5.5130999999999997</v>
      </c>
      <c r="AD6826">
        <v>-1.1139902040609999</v>
      </c>
      <c r="AE6826">
        <v>307.92151000000001</v>
      </c>
      <c r="AF6826">
        <v>-132.474225464348</v>
      </c>
      <c r="AG6826">
        <v>-1.1139902040609999</v>
      </c>
      <c r="AH6826">
        <v>278.01825170350099</v>
      </c>
      <c r="AI6826">
        <v>90.2072517310677</v>
      </c>
      <c r="AJ6826">
        <v>115.477552515863</v>
      </c>
      <c r="AK6826">
        <v>307.96884528605398</v>
      </c>
      <c r="AL6826">
        <v>90.975621773311303</v>
      </c>
      <c r="AM6826">
        <v>90.021190884818395</v>
      </c>
      <c r="AN6826">
        <v>1.00000003808167</v>
      </c>
    </row>
    <row r="6827" spans="1:40" x14ac:dyDescent="0.25">
      <c r="A6827" t="str">
        <f>"20190312161150804"</f>
        <v>20190312161150804</v>
      </c>
      <c r="B6827" t="str">
        <f>"1552378310793562"</f>
        <v>1552378310793562</v>
      </c>
      <c r="C6827" t="s">
        <v>40</v>
      </c>
      <c r="D6827">
        <v>5.7240929999999999</v>
      </c>
      <c r="E6827">
        <v>0.32938489999999998</v>
      </c>
      <c r="F6827" t="s">
        <v>59</v>
      </c>
      <c r="G6827">
        <v>-193.53489999999999</v>
      </c>
      <c r="H6827" s="1">
        <v>1.426023E-6</v>
      </c>
      <c r="I6827">
        <v>224.6848</v>
      </c>
      <c r="J6827">
        <v>-186.43180000000001</v>
      </c>
      <c r="K6827">
        <v>1.1139920000000001</v>
      </c>
      <c r="L6827">
        <v>-49.478029999999997</v>
      </c>
      <c r="M6827">
        <v>0.4054739</v>
      </c>
      <c r="N6827">
        <v>0</v>
      </c>
      <c r="O6827">
        <v>0.91403599999999996</v>
      </c>
      <c r="P6827">
        <v>0.40562890000000001</v>
      </c>
      <c r="Q6827">
        <v>-2.7909610000000001E-2</v>
      </c>
      <c r="R6827">
        <v>0.91361170000000003</v>
      </c>
      <c r="S6827">
        <v>-8.5693359999999996E-2</v>
      </c>
      <c r="T6827">
        <v>-1.354206E-2</v>
      </c>
      <c r="U6827">
        <v>3.3345950000000002</v>
      </c>
      <c r="V6827">
        <v>4.7659420000000001E-4</v>
      </c>
      <c r="W6827">
        <v>-1.654597E-2</v>
      </c>
      <c r="X6827">
        <v>0.99986299999999995</v>
      </c>
      <c r="Y6827">
        <v>-0.42884889999999998</v>
      </c>
      <c r="Z6827">
        <v>-3.340052E-3</v>
      </c>
      <c r="AA6827">
        <v>0.90337009999999995</v>
      </c>
      <c r="AB6827">
        <v>16</v>
      </c>
      <c r="AC6827">
        <v>-7.10309999999998</v>
      </c>
      <c r="AD6827">
        <v>-1.113990573977</v>
      </c>
      <c r="AE6827">
        <v>274.16282999999999</v>
      </c>
      <c r="AF6827">
        <v>-117.66401570402</v>
      </c>
      <c r="AG6827">
        <v>-1.113990573977</v>
      </c>
      <c r="AH6827">
        <v>247.72648001989501</v>
      </c>
      <c r="AI6827">
        <v>90.232731217564606</v>
      </c>
      <c r="AJ6827">
        <v>115.406574086565</v>
      </c>
      <c r="AK6827">
        <v>274.25256693355198</v>
      </c>
      <c r="AL6827">
        <v>90.948057503324193</v>
      </c>
      <c r="AM6827">
        <v>89.972689424318801</v>
      </c>
      <c r="AN6827">
        <v>1.00000000751713</v>
      </c>
    </row>
    <row r="6828" spans="1:40" x14ac:dyDescent="0.25">
      <c r="A6828" t="str">
        <f>"20190312161150827"</f>
        <v>20190312161150827</v>
      </c>
      <c r="B6828" t="str">
        <f>"1552378310823814"</f>
        <v>1552378310823814</v>
      </c>
      <c r="C6828" t="s">
        <v>40</v>
      </c>
      <c r="D6828">
        <v>5.7479940000000003</v>
      </c>
      <c r="E6828">
        <v>0.33074179999999997</v>
      </c>
      <c r="F6828" t="s">
        <v>41</v>
      </c>
      <c r="G6828">
        <v>-186.89930000000001</v>
      </c>
      <c r="H6828" s="1">
        <v>-3.4818849999999999E-6</v>
      </c>
      <c r="I6828">
        <v>6.4670529999999999</v>
      </c>
      <c r="J6828">
        <v>-186.3775</v>
      </c>
      <c r="K6828">
        <v>1.114004</v>
      </c>
      <c r="L6828">
        <v>-49.327579999999998</v>
      </c>
      <c r="M6828">
        <v>0.39670699999999998</v>
      </c>
      <c r="N6828">
        <v>0</v>
      </c>
      <c r="O6828">
        <v>0.91787529999999995</v>
      </c>
      <c r="P6828">
        <v>0.3971345</v>
      </c>
      <c r="Q6828">
        <v>-2.7534869999999999E-2</v>
      </c>
      <c r="R6828">
        <v>0.91734729999999998</v>
      </c>
      <c r="S6828">
        <v>-2.752686E-2</v>
      </c>
      <c r="T6828">
        <v>-6.5588830000000001E-2</v>
      </c>
      <c r="U6828">
        <v>3.2938839999999998</v>
      </c>
      <c r="V6828">
        <v>7.6191309999999995E-4</v>
      </c>
      <c r="W6828">
        <v>-1.6198489999999999E-2</v>
      </c>
      <c r="X6828">
        <v>0.99986850000000005</v>
      </c>
      <c r="Y6828">
        <v>-0.40438479999999999</v>
      </c>
      <c r="Z6828">
        <v>-1.660592E-2</v>
      </c>
      <c r="AA6828">
        <v>0.91443819999999998</v>
      </c>
      <c r="AB6828">
        <v>16</v>
      </c>
      <c r="AC6828">
        <v>-0.52180000000001303</v>
      </c>
      <c r="AD6828">
        <v>-1.1140074818850001</v>
      </c>
      <c r="AE6828">
        <v>55.794632999999997</v>
      </c>
      <c r="AF6828">
        <v>-22.6055108290421</v>
      </c>
      <c r="AG6828">
        <v>-1.1140074818850001</v>
      </c>
      <c r="AH6828">
        <v>50.9884661951398</v>
      </c>
      <c r="AI6828">
        <v>91.144233513242696</v>
      </c>
      <c r="AJ6828">
        <v>113.909892175556</v>
      </c>
      <c r="AK6828">
        <v>55.785964340903398</v>
      </c>
      <c r="AL6828">
        <v>90.928145709188101</v>
      </c>
      <c r="AM6828">
        <v>89.956339862155602</v>
      </c>
      <c r="AN6828">
        <v>0.99999999444105103</v>
      </c>
    </row>
    <row r="6829" spans="1:40" x14ac:dyDescent="0.25">
      <c r="A6829" t="str">
        <f>"20190312161150850"</f>
        <v>20190312161150850</v>
      </c>
      <c r="B6829" t="str">
        <f>"1552378310844312"</f>
        <v>1552378310844312</v>
      </c>
      <c r="C6829" t="s">
        <v>40</v>
      </c>
      <c r="D6829">
        <v>5.753895</v>
      </c>
      <c r="E6829">
        <v>0.33170250000000001</v>
      </c>
      <c r="F6829" t="s">
        <v>41</v>
      </c>
      <c r="G6829">
        <v>-187.19409999999999</v>
      </c>
      <c r="H6829" s="1">
        <v>-3.3829540000000001E-6</v>
      </c>
      <c r="I6829">
        <v>6.3583299999999996</v>
      </c>
      <c r="J6829">
        <v>-186.3228</v>
      </c>
      <c r="K6829">
        <v>1.114012</v>
      </c>
      <c r="L6829">
        <v>-49.17136</v>
      </c>
      <c r="M6829">
        <v>0.3875963</v>
      </c>
      <c r="N6829">
        <v>0</v>
      </c>
      <c r="O6829">
        <v>0.92175989999999997</v>
      </c>
      <c r="P6829">
        <v>0.388687</v>
      </c>
      <c r="Q6829">
        <v>-2.6626770000000001E-2</v>
      </c>
      <c r="R6829">
        <v>0.92098500000000005</v>
      </c>
      <c r="S6829">
        <v>-4.8233030000000003E-2</v>
      </c>
      <c r="T6829">
        <v>-6.5800789999999998E-2</v>
      </c>
      <c r="U6829">
        <v>3.2891849999999998</v>
      </c>
      <c r="V6829">
        <v>1.4575089999999901E-3</v>
      </c>
      <c r="W6829">
        <v>-1.531214E-2</v>
      </c>
      <c r="X6829">
        <v>0.99988169999999998</v>
      </c>
      <c r="Y6829">
        <v>-0.40109</v>
      </c>
      <c r="Z6829">
        <v>-1.6812879999999999E-2</v>
      </c>
      <c r="AA6829">
        <v>0.91588440000000004</v>
      </c>
      <c r="AB6829">
        <v>16</v>
      </c>
      <c r="AC6829">
        <v>-0.87129999999998997</v>
      </c>
      <c r="AD6829">
        <v>-1.114015382954</v>
      </c>
      <c r="AE6829">
        <v>55.529690000000002</v>
      </c>
      <c r="AF6829">
        <v>-22.3186781583039</v>
      </c>
      <c r="AG6829">
        <v>-1.114015382954</v>
      </c>
      <c r="AH6829">
        <v>50.830125685068197</v>
      </c>
      <c r="AI6829">
        <v>91.149612672803102</v>
      </c>
      <c r="AJ6829">
        <v>113.70549353559301</v>
      </c>
      <c r="AK6829">
        <v>55.525364493781098</v>
      </c>
      <c r="AL6829">
        <v>90.877355283967802</v>
      </c>
      <c r="AM6829">
        <v>89.9164810645552</v>
      </c>
      <c r="AN6829">
        <v>0.99999999997937705</v>
      </c>
    </row>
    <row r="6830" spans="1:40" x14ac:dyDescent="0.25">
      <c r="A6830" t="str">
        <f>"20190312161150871"</f>
        <v>20190312161150871</v>
      </c>
      <c r="B6830" t="str">
        <f>"1552378310863831"</f>
        <v>1552378310863831</v>
      </c>
      <c r="C6830" t="s">
        <v>40</v>
      </c>
      <c r="D6830">
        <v>5.7593589999999999</v>
      </c>
      <c r="E6830">
        <v>0.33234049999999998</v>
      </c>
      <c r="F6830" t="s">
        <v>41</v>
      </c>
      <c r="G6830">
        <v>-187.63679999999999</v>
      </c>
      <c r="H6830" s="1">
        <v>-1.2215080000000001E-6</v>
      </c>
      <c r="I6830">
        <v>11.38979</v>
      </c>
      <c r="J6830">
        <v>-186.2748</v>
      </c>
      <c r="K6830">
        <v>1.114026</v>
      </c>
      <c r="L6830">
        <v>-49.029940000000003</v>
      </c>
      <c r="M6830">
        <v>0.37934390000000001</v>
      </c>
      <c r="N6830">
        <v>0</v>
      </c>
      <c r="O6830">
        <v>0.92518699999999998</v>
      </c>
      <c r="P6830">
        <v>0.38051750000000001</v>
      </c>
      <c r="Q6830">
        <v>-2.6253970000000001E-2</v>
      </c>
      <c r="R6830">
        <v>0.92440100000000003</v>
      </c>
      <c r="S6830">
        <v>-7.1289060000000001E-2</v>
      </c>
      <c r="T6830">
        <v>-6.0440059999999997E-2</v>
      </c>
      <c r="U6830">
        <v>3.2857059999999998</v>
      </c>
      <c r="V6830">
        <v>1.532706E-3</v>
      </c>
      <c r="W6830">
        <v>-1.4962609999999999E-2</v>
      </c>
      <c r="X6830">
        <v>0.99988690000000002</v>
      </c>
      <c r="Y6830">
        <v>-0.39934330000000001</v>
      </c>
      <c r="Z6830">
        <v>-1.5559699999999999E-2</v>
      </c>
      <c r="AA6830">
        <v>0.91666939999999997</v>
      </c>
      <c r="AB6830">
        <v>16</v>
      </c>
      <c r="AC6830">
        <v>-1.3619999999999901</v>
      </c>
      <c r="AD6830">
        <v>-1.114027221508</v>
      </c>
      <c r="AE6830">
        <v>60.419730000000001</v>
      </c>
      <c r="AF6830">
        <v>-24.173285056188799</v>
      </c>
      <c r="AG6830">
        <v>-1.114027221508</v>
      </c>
      <c r="AH6830">
        <v>55.367592128390598</v>
      </c>
      <c r="AI6830">
        <v>91.056398236132793</v>
      </c>
      <c r="AJ6830">
        <v>113.585902879016</v>
      </c>
      <c r="AK6830">
        <v>60.424821267040997</v>
      </c>
      <c r="AL6830">
        <v>90.857326377325194</v>
      </c>
      <c r="AM6830">
        <v>89.912172550463197</v>
      </c>
      <c r="AN6830">
        <v>1.0000000208386499</v>
      </c>
    </row>
    <row r="6831" spans="1:40" x14ac:dyDescent="0.25">
      <c r="A6831" t="str">
        <f>"20190312161150895"</f>
        <v>20190312161150895</v>
      </c>
      <c r="B6831" t="str">
        <f>"1552378310884326"</f>
        <v>1552378310884326</v>
      </c>
      <c r="C6831" t="s">
        <v>40</v>
      </c>
      <c r="D6831">
        <v>5.5776539999999999</v>
      </c>
      <c r="E6831">
        <v>0.33243299999999998</v>
      </c>
      <c r="F6831" t="s">
        <v>41</v>
      </c>
      <c r="G6831">
        <v>-187.97229999999999</v>
      </c>
      <c r="H6831" s="1">
        <v>-4.409557E-6</v>
      </c>
      <c r="I6831">
        <v>9.0731490000000008</v>
      </c>
      <c r="J6831">
        <v>-186.22290000000001</v>
      </c>
      <c r="K6831">
        <v>1.114034</v>
      </c>
      <c r="L6831">
        <v>-48.872340000000001</v>
      </c>
      <c r="M6831">
        <v>0.37014180000000002</v>
      </c>
      <c r="N6831">
        <v>0</v>
      </c>
      <c r="O6831">
        <v>0.92890720000000004</v>
      </c>
      <c r="P6831">
        <v>0.37111509999999998</v>
      </c>
      <c r="Q6831">
        <v>-2.6126369999999999E-2</v>
      </c>
      <c r="R6831">
        <v>0.92821929999999997</v>
      </c>
      <c r="S6831">
        <v>-9.5916749999999995E-2</v>
      </c>
      <c r="T6831">
        <v>-6.2947030000000001E-2</v>
      </c>
      <c r="U6831">
        <v>3.2830509999999999</v>
      </c>
      <c r="V6831">
        <v>1.306988E-3</v>
      </c>
      <c r="W6831">
        <v>-1.4865700000000001E-2</v>
      </c>
      <c r="X6831">
        <v>0.99988869999999996</v>
      </c>
      <c r="Y6831">
        <v>-0.39712910000000001</v>
      </c>
      <c r="Z6831">
        <v>-1.633182E-2</v>
      </c>
      <c r="AA6831">
        <v>0.91761740000000003</v>
      </c>
      <c r="AB6831">
        <v>16</v>
      </c>
      <c r="AC6831">
        <v>-1.7493999999999801</v>
      </c>
      <c r="AD6831">
        <v>-1.114038409557</v>
      </c>
      <c r="AE6831">
        <v>57.945489000000002</v>
      </c>
      <c r="AF6831">
        <v>-23.066018916474299</v>
      </c>
      <c r="AG6831">
        <v>-1.114038409557</v>
      </c>
      <c r="AH6831">
        <v>53.162186545246598</v>
      </c>
      <c r="AI6831">
        <v>91.101316618522205</v>
      </c>
      <c r="AJ6831">
        <v>113.45506608508001</v>
      </c>
      <c r="AK6831">
        <v>57.961197265970199</v>
      </c>
      <c r="AL6831">
        <v>90.851773196865096</v>
      </c>
      <c r="AM6831">
        <v>89.925106810763097</v>
      </c>
      <c r="AN6831">
        <v>1.0000000548209</v>
      </c>
    </row>
    <row r="6832" spans="1:40" x14ac:dyDescent="0.25">
      <c r="A6832" t="str">
        <f>"20190312161151009"</f>
        <v>20190312161151009</v>
      </c>
      <c r="B6832" t="str">
        <f>"1552378311004375"</f>
        <v>1552378311004375</v>
      </c>
      <c r="C6832" t="s">
        <v>40</v>
      </c>
      <c r="D6832">
        <v>5.4120299999999997</v>
      </c>
      <c r="E6832">
        <v>0.33441359999999998</v>
      </c>
      <c r="F6832" t="s">
        <v>41</v>
      </c>
      <c r="G6832">
        <v>-188.4143</v>
      </c>
      <c r="H6832" s="1">
        <v>-3.4566410000000001E-6</v>
      </c>
      <c r="I6832">
        <v>7.0346500000000001</v>
      </c>
      <c r="J6832">
        <v>-185.99260000000001</v>
      </c>
      <c r="K6832">
        <v>1.1140270000000001</v>
      </c>
      <c r="L6832">
        <v>-48.098999999999997</v>
      </c>
      <c r="M6832">
        <v>0.32508749999999997</v>
      </c>
      <c r="N6832">
        <v>0</v>
      </c>
      <c r="O6832">
        <v>0.94561859999999998</v>
      </c>
      <c r="P6832">
        <v>0.32609949999999999</v>
      </c>
      <c r="Q6832">
        <v>-2.7113410000000001E-2</v>
      </c>
      <c r="R6832">
        <v>0.94494650000000002</v>
      </c>
      <c r="S6832">
        <v>-0.12863160000000001</v>
      </c>
      <c r="T6832">
        <v>-6.5390939999999995E-2</v>
      </c>
      <c r="U6832">
        <v>3.2815859999999999</v>
      </c>
      <c r="V6832">
        <v>1.33545E-3</v>
      </c>
      <c r="W6832">
        <v>-1.5985249999999999E-2</v>
      </c>
      <c r="X6832">
        <v>0.99987130000000002</v>
      </c>
      <c r="Y6832">
        <v>-0.36188959999999998</v>
      </c>
      <c r="Z6832">
        <v>-1.761389E-2</v>
      </c>
      <c r="AA6832">
        <v>0.93205450000000001</v>
      </c>
      <c r="AB6832">
        <v>16</v>
      </c>
      <c r="AC6832">
        <v>-2.42169999999998</v>
      </c>
      <c r="AD6832">
        <v>-1.114030456641</v>
      </c>
      <c r="AE6832">
        <v>55.133650000000003</v>
      </c>
      <c r="AF6832">
        <v>-20.206280126200198</v>
      </c>
      <c r="AG6832">
        <v>-1.114030456641</v>
      </c>
      <c r="AH6832">
        <v>51.33039669942</v>
      </c>
      <c r="AI6832">
        <v>91.156917297812498</v>
      </c>
      <c r="AJ6832">
        <v>111.48714649358</v>
      </c>
      <c r="AK6832">
        <v>55.175578345103197</v>
      </c>
      <c r="AL6832">
        <v>90.915926402672298</v>
      </c>
      <c r="AM6832">
        <v>89.923474547921899</v>
      </c>
      <c r="AN6832">
        <v>0.99999996410397596</v>
      </c>
    </row>
    <row r="6833" spans="1:40" x14ac:dyDescent="0.25">
      <c r="A6833" t="str">
        <f>"20190312161151029"</f>
        <v>20190312161151029</v>
      </c>
      <c r="B6833" t="str">
        <f>"1552378311023896"</f>
        <v>1552378311023896</v>
      </c>
      <c r="C6833" t="s">
        <v>40</v>
      </c>
      <c r="D6833">
        <v>5.52203</v>
      </c>
      <c r="E6833">
        <v>0.33792680000000003</v>
      </c>
      <c r="F6833" t="s">
        <v>41</v>
      </c>
      <c r="G6833">
        <v>-191.2055</v>
      </c>
      <c r="H6833" s="1">
        <v>-2.5752980000000001E-6</v>
      </c>
      <c r="I6833">
        <v>14.84451</v>
      </c>
      <c r="J6833">
        <v>-185.95519999999999</v>
      </c>
      <c r="K6833">
        <v>1.114012</v>
      </c>
      <c r="L6833">
        <v>-47.95908</v>
      </c>
      <c r="M6833">
        <v>0.31700050000000002</v>
      </c>
      <c r="N6833">
        <v>0</v>
      </c>
      <c r="O6833">
        <v>0.94836039999999999</v>
      </c>
      <c r="P6833">
        <v>0.3182468</v>
      </c>
      <c r="Q6833">
        <v>-2.7556049999999999E-2</v>
      </c>
      <c r="R6833">
        <v>0.94760730000000004</v>
      </c>
      <c r="S6833">
        <v>-0.27052310000000002</v>
      </c>
      <c r="T6833">
        <v>-5.7813049999999998E-2</v>
      </c>
      <c r="U6833">
        <v>3.2664789999999999</v>
      </c>
      <c r="V6833">
        <v>1.5847210000000001E-3</v>
      </c>
      <c r="W6833">
        <v>-1.6445749999999999E-2</v>
      </c>
      <c r="X6833">
        <v>0.99986350000000002</v>
      </c>
      <c r="Y6833">
        <v>-0.3942039</v>
      </c>
      <c r="Z6833">
        <v>-1.557766E-2</v>
      </c>
      <c r="AA6833">
        <v>0.91889100000000001</v>
      </c>
      <c r="AB6833">
        <v>16</v>
      </c>
      <c r="AC6833">
        <v>-5.25030000000001</v>
      </c>
      <c r="AD6833">
        <v>-1.114014575298</v>
      </c>
      <c r="AE6833">
        <v>62.80359</v>
      </c>
      <c r="AF6833">
        <v>-24.881705285149799</v>
      </c>
      <c r="AG6833">
        <v>-1.114014575298</v>
      </c>
      <c r="AH6833">
        <v>57.881572326148799</v>
      </c>
      <c r="AI6833">
        <v>91.012994643366497</v>
      </c>
      <c r="AJ6833">
        <v>113.26154685949101</v>
      </c>
      <c r="AK6833">
        <v>63.012829656493203</v>
      </c>
      <c r="AL6833">
        <v>90.942314549460207</v>
      </c>
      <c r="AM6833">
        <v>89.9091898554382</v>
      </c>
      <c r="AN6833">
        <v>0.99999999633297998</v>
      </c>
    </row>
    <row r="6834" spans="1:40" x14ac:dyDescent="0.25">
      <c r="A6834" t="str">
        <f>"20190312161151052"</f>
        <v>20190312161151052</v>
      </c>
      <c r="B6834" t="str">
        <f>"1552378311044391"</f>
        <v>1552378311044391</v>
      </c>
      <c r="C6834" t="s">
        <v>40</v>
      </c>
      <c r="D6834">
        <v>5.5316340000000004</v>
      </c>
      <c r="E6834">
        <v>0.34094469999999999</v>
      </c>
      <c r="F6834" t="s">
        <v>41</v>
      </c>
      <c r="G6834">
        <v>-190.81540000000001</v>
      </c>
      <c r="H6834" s="1">
        <v>-5.5252590000000004E-7</v>
      </c>
      <c r="I6834">
        <v>10.37135</v>
      </c>
      <c r="J6834">
        <v>-185.9135</v>
      </c>
      <c r="K6834">
        <v>1.113988</v>
      </c>
      <c r="L6834">
        <v>-47.797580000000004</v>
      </c>
      <c r="M6834">
        <v>0.30771229999999999</v>
      </c>
      <c r="N6834">
        <v>0</v>
      </c>
      <c r="O6834">
        <v>0.95141509999999996</v>
      </c>
      <c r="P6834">
        <v>0.30975219999999998</v>
      </c>
      <c r="Q6834">
        <v>-2.8022579999999998E-2</v>
      </c>
      <c r="R6834">
        <v>0.95040429999999998</v>
      </c>
      <c r="S6834">
        <v>-0.27122499999999999</v>
      </c>
      <c r="T6834">
        <v>-6.2168000000000001E-2</v>
      </c>
      <c r="U6834">
        <v>3.2551570000000001</v>
      </c>
      <c r="V6834">
        <v>2.4201560000000001E-3</v>
      </c>
      <c r="W6834">
        <v>-1.6930859999999999E-2</v>
      </c>
      <c r="X6834">
        <v>0.99985369999999996</v>
      </c>
      <c r="Y6834">
        <v>-0.38565830000000001</v>
      </c>
      <c r="Z6834">
        <v>-1.693097E-2</v>
      </c>
      <c r="AA6834">
        <v>0.92248629999999998</v>
      </c>
      <c r="AB6834">
        <v>16</v>
      </c>
      <c r="AC6834">
        <v>-4.9019000000000101</v>
      </c>
      <c r="AD6834">
        <v>-1.1139885525258999</v>
      </c>
      <c r="AE6834">
        <v>58.168930000000003</v>
      </c>
      <c r="AF6834">
        <v>-22.556204113707899</v>
      </c>
      <c r="AG6834">
        <v>-1.1139885525258999</v>
      </c>
      <c r="AH6834">
        <v>53.818120657135303</v>
      </c>
      <c r="AI6834">
        <v>91.0936567941108</v>
      </c>
      <c r="AJ6834">
        <v>112.739490240771</v>
      </c>
      <c r="AK6834">
        <v>58.364487709397302</v>
      </c>
      <c r="AL6834">
        <v>90.970113205804694</v>
      </c>
      <c r="AM6834">
        <v>89.8613152566639</v>
      </c>
      <c r="AN6834">
        <v>0.99999996628954602</v>
      </c>
    </row>
    <row r="6835" spans="1:40" x14ac:dyDescent="0.25">
      <c r="A6835" t="str">
        <f>"20190312161151074"</f>
        <v>20190312161151074</v>
      </c>
      <c r="B6835" t="str">
        <f>"1552378311063911"</f>
        <v>1552378311063911</v>
      </c>
      <c r="C6835" t="s">
        <v>40</v>
      </c>
      <c r="D6835">
        <v>5.8092629999999996</v>
      </c>
      <c r="E6835">
        <v>0.34362670000000001</v>
      </c>
      <c r="F6835" t="s">
        <v>41</v>
      </c>
      <c r="G6835">
        <v>-190.75479999999999</v>
      </c>
      <c r="H6835" s="1">
        <v>-4.149561E-6</v>
      </c>
      <c r="I6835">
        <v>8.79371499999999</v>
      </c>
      <c r="J6835">
        <v>-185.875</v>
      </c>
      <c r="K6835">
        <v>1.113955</v>
      </c>
      <c r="L6835">
        <v>-47.642789999999998</v>
      </c>
      <c r="M6835">
        <v>0.29886030000000002</v>
      </c>
      <c r="N6835">
        <v>0</v>
      </c>
      <c r="O6835">
        <v>0.954233</v>
      </c>
      <c r="P6835">
        <v>0.30209370000000002</v>
      </c>
      <c r="Q6835">
        <v>-2.8173730000000001E-2</v>
      </c>
      <c r="R6835">
        <v>0.95286179999999998</v>
      </c>
      <c r="S6835">
        <v>-0.27761839999999999</v>
      </c>
      <c r="T6835">
        <v>-6.3880320000000004E-2</v>
      </c>
      <c r="U6835">
        <v>3.2451479999999999</v>
      </c>
      <c r="V6835">
        <v>3.6644529999999998E-3</v>
      </c>
      <c r="W6835">
        <v>-1.7099130000000001E-2</v>
      </c>
      <c r="X6835">
        <v>0.99984709999999999</v>
      </c>
      <c r="Y6835">
        <v>-0.37911620000000001</v>
      </c>
      <c r="Z6835">
        <v>-1.7559160000000001E-2</v>
      </c>
      <c r="AA6835">
        <v>0.92518250000000002</v>
      </c>
      <c r="AB6835">
        <v>16</v>
      </c>
      <c r="AC6835">
        <v>-4.8797999999999799</v>
      </c>
      <c r="AD6835">
        <v>-1.113959149561</v>
      </c>
      <c r="AE6835">
        <v>56.436504999999997</v>
      </c>
      <c r="AF6835">
        <v>-21.5160885414696</v>
      </c>
      <c r="AG6835">
        <v>-1.113959149561</v>
      </c>
      <c r="AH6835">
        <v>52.378135776483397</v>
      </c>
      <c r="AI6835">
        <v>91.127006121663598</v>
      </c>
      <c r="AJ6835">
        <v>112.332063249738</v>
      </c>
      <c r="AK6835">
        <v>56.636137567201601</v>
      </c>
      <c r="AL6835">
        <v>90.979755714238493</v>
      </c>
      <c r="AM6835">
        <v>89.790011141645095</v>
      </c>
      <c r="AN6835">
        <v>1.0000000159204701</v>
      </c>
    </row>
    <row r="6836" spans="1:40" x14ac:dyDescent="0.25">
      <c r="A6836" t="str">
        <f>"20190312161151098"</f>
        <v>20190312161151098</v>
      </c>
      <c r="B6836" t="str">
        <f>"1552378311094167"</f>
        <v>1552378311094167</v>
      </c>
      <c r="C6836" t="s">
        <v>40</v>
      </c>
      <c r="D6836">
        <v>5.776764</v>
      </c>
      <c r="E6836">
        <v>0.36983189999999999</v>
      </c>
      <c r="F6836" t="s">
        <v>41</v>
      </c>
      <c r="G6836">
        <v>-190.9734</v>
      </c>
      <c r="H6836" s="1">
        <v>-7.0813990000000005E-7</v>
      </c>
      <c r="I6836">
        <v>10.636049999999999</v>
      </c>
      <c r="J6836">
        <v>-185.83619999999999</v>
      </c>
      <c r="K6836">
        <v>1.113928</v>
      </c>
      <c r="L6836">
        <v>-47.48077</v>
      </c>
      <c r="M6836">
        <v>0.28966609999999998</v>
      </c>
      <c r="N6836">
        <v>0</v>
      </c>
      <c r="O6836">
        <v>0.95706440000000004</v>
      </c>
      <c r="P6836">
        <v>0.29396689999999998</v>
      </c>
      <c r="Q6836">
        <v>-2.7926200000000002E-2</v>
      </c>
      <c r="R6836">
        <v>0.95540760000000002</v>
      </c>
      <c r="S6836">
        <v>-0.28312680000000001</v>
      </c>
      <c r="T6836">
        <v>-6.185997E-2</v>
      </c>
      <c r="U6836">
        <v>3.2363279999999999</v>
      </c>
      <c r="V6836">
        <v>4.7621349999999998E-3</v>
      </c>
      <c r="W6836">
        <v>-1.6873180000000002E-2</v>
      </c>
      <c r="X6836">
        <v>0.99984629999999997</v>
      </c>
      <c r="Y6836">
        <v>-0.37198039999999999</v>
      </c>
      <c r="Z6836">
        <v>-1.71579E-2</v>
      </c>
      <c r="AA6836">
        <v>0.92808199999999996</v>
      </c>
      <c r="AB6836">
        <v>16</v>
      </c>
      <c r="AC6836">
        <v>-5.1372</v>
      </c>
      <c r="AD6836">
        <v>-1.1139287081398901</v>
      </c>
      <c r="AE6836">
        <v>58.116819999999997</v>
      </c>
      <c r="AF6836">
        <v>-21.744496510119699</v>
      </c>
      <c r="AG6836">
        <v>-1.1139287081398901</v>
      </c>
      <c r="AH6836">
        <v>54.117022684554897</v>
      </c>
      <c r="AI6836">
        <v>91.094192085379504</v>
      </c>
      <c r="AJ6836">
        <v>111.890513828038</v>
      </c>
      <c r="AK6836">
        <v>58.332804749009497</v>
      </c>
      <c r="AL6836">
        <v>90.966807877593794</v>
      </c>
      <c r="AM6836">
        <v>89.727109882983001</v>
      </c>
      <c r="AN6836">
        <v>1.00000000287838</v>
      </c>
    </row>
    <row r="6837" spans="1:40" x14ac:dyDescent="0.25">
      <c r="A6837" t="str">
        <f>"20190312161151122"</f>
        <v>20190312161151122</v>
      </c>
      <c r="B6837" t="str">
        <f>"1552378311113689"</f>
        <v>1552378311113689</v>
      </c>
      <c r="C6837" t="s">
        <v>40</v>
      </c>
      <c r="D6837">
        <v>5.8319669999999997</v>
      </c>
      <c r="E6837">
        <v>0.37187890000000001</v>
      </c>
      <c r="F6837" t="s">
        <v>41</v>
      </c>
      <c r="G6837">
        <v>-189.1935</v>
      </c>
      <c r="H6837" s="1">
        <v>-4.4896119999999998E-7</v>
      </c>
      <c r="I6837">
        <v>50.336779999999997</v>
      </c>
      <c r="J6837">
        <v>-185.7978</v>
      </c>
      <c r="K6837">
        <v>1.1138870000000001</v>
      </c>
      <c r="L6837">
        <v>-47.314120000000003</v>
      </c>
      <c r="M6837">
        <v>0.28029589999999999</v>
      </c>
      <c r="N6837">
        <v>0</v>
      </c>
      <c r="O6837">
        <v>0.95985089999999995</v>
      </c>
      <c r="P6837">
        <v>0.28506379999999998</v>
      </c>
      <c r="Q6837">
        <v>-2.794549E-2</v>
      </c>
      <c r="R6837">
        <v>0.95810110000000004</v>
      </c>
      <c r="S6837">
        <v>-0.1088867</v>
      </c>
      <c r="T6837">
        <v>-3.6127329999999999E-2</v>
      </c>
      <c r="U6837">
        <v>3.1724549999999998</v>
      </c>
      <c r="V6837">
        <v>5.232057E-3</v>
      </c>
      <c r="W6837">
        <v>-1.6920770000000002E-2</v>
      </c>
      <c r="X6837">
        <v>0.99984309999999998</v>
      </c>
      <c r="Y6837">
        <v>-0.31307259999999998</v>
      </c>
      <c r="Z6837">
        <v>-1.04119E-2</v>
      </c>
      <c r="AA6837">
        <v>0.94967219999999997</v>
      </c>
      <c r="AB6837">
        <v>16</v>
      </c>
      <c r="AC6837">
        <v>-3.3957000000000002</v>
      </c>
      <c r="AD6837">
        <v>-1.1138874489612001</v>
      </c>
      <c r="AE6837">
        <v>97.650899999999993</v>
      </c>
      <c r="AF6837">
        <v>-30.6283771941679</v>
      </c>
      <c r="AG6837">
        <v>-1.1138874489612001</v>
      </c>
      <c r="AH6837">
        <v>92.772035403492595</v>
      </c>
      <c r="AI6837">
        <v>90.653225140975806</v>
      </c>
      <c r="AJ6837">
        <v>108.270467147695</v>
      </c>
      <c r="AK6837">
        <v>97.703576125462504</v>
      </c>
      <c r="AL6837">
        <v>90.969535018763693</v>
      </c>
      <c r="AM6837">
        <v>89.700180910313506</v>
      </c>
      <c r="AN6837">
        <v>0.99999995574772604</v>
      </c>
    </row>
    <row r="6838" spans="1:40" x14ac:dyDescent="0.25">
      <c r="A6838" t="str">
        <f>"20190312161151142"</f>
        <v>20190312161151142</v>
      </c>
      <c r="B6838" t="str">
        <f>"1552378311134185"</f>
        <v>1552378311134185</v>
      </c>
      <c r="C6838" t="s">
        <v>40</v>
      </c>
      <c r="D6838">
        <v>5.8240420000000004</v>
      </c>
      <c r="E6838">
        <v>0.37397259999999999</v>
      </c>
      <c r="F6838" t="s">
        <v>41</v>
      </c>
      <c r="G6838">
        <v>-189.4718</v>
      </c>
      <c r="H6838" s="1">
        <v>-3.4563179999999999E-6</v>
      </c>
      <c r="I6838">
        <v>47.471130000000002</v>
      </c>
      <c r="J6838">
        <v>-185.7646</v>
      </c>
      <c r="K6838">
        <v>1.11385</v>
      </c>
      <c r="L6838">
        <v>-47.163699999999999</v>
      </c>
      <c r="M6838">
        <v>0.27191749999999998</v>
      </c>
      <c r="N6838">
        <v>0</v>
      </c>
      <c r="O6838">
        <v>0.96225830000000001</v>
      </c>
      <c r="P6838">
        <v>0.27733180000000002</v>
      </c>
      <c r="Q6838">
        <v>-2.8116269999999999E-2</v>
      </c>
      <c r="R6838">
        <v>0.96036270000000001</v>
      </c>
      <c r="S6838">
        <v>-0.1227417</v>
      </c>
      <c r="T6838">
        <v>-3.7213330000000003E-2</v>
      </c>
      <c r="U6838">
        <v>3.1666259999999999</v>
      </c>
      <c r="V6838">
        <v>5.89093E-3</v>
      </c>
      <c r="W6838">
        <v>-1.7117110000000001E-2</v>
      </c>
      <c r="X6838">
        <v>0.99983610000000001</v>
      </c>
      <c r="Y6838">
        <v>-0.30899929999999998</v>
      </c>
      <c r="Z6838">
        <v>-1.079392E-2</v>
      </c>
      <c r="AA6838">
        <v>0.95100099999999999</v>
      </c>
      <c r="AB6838">
        <v>16</v>
      </c>
      <c r="AC6838">
        <v>-3.7071999999999998</v>
      </c>
      <c r="AD6838">
        <v>-1.113853456318</v>
      </c>
      <c r="AE6838">
        <v>94.634829999999994</v>
      </c>
      <c r="AF6838">
        <v>-29.2978536304729</v>
      </c>
      <c r="AG6838">
        <v>-1.113853456318</v>
      </c>
      <c r="AH6838">
        <v>90.048039008681499</v>
      </c>
      <c r="AI6838">
        <v>90.673917521117204</v>
      </c>
      <c r="AJ6838">
        <v>108.02271411562</v>
      </c>
      <c r="AK6838">
        <v>94.700867082534103</v>
      </c>
      <c r="AL6838">
        <v>90.980786095346801</v>
      </c>
      <c r="AM6838">
        <v>89.662423150334106</v>
      </c>
      <c r="AN6838">
        <v>0.999999962687112</v>
      </c>
    </row>
    <row r="6839" spans="1:40" x14ac:dyDescent="0.25">
      <c r="A6839" t="str">
        <f>"20190312161151165"</f>
        <v>20190312161151165</v>
      </c>
      <c r="B6839" t="str">
        <f>"1552378311153703"</f>
        <v>1552378311153703</v>
      </c>
      <c r="C6839" t="s">
        <v>40</v>
      </c>
      <c r="D6839">
        <v>5.8212489999999999</v>
      </c>
      <c r="E6839">
        <v>0.37590689999999999</v>
      </c>
      <c r="F6839" t="s">
        <v>41</v>
      </c>
      <c r="G6839">
        <v>-189.26689999999999</v>
      </c>
      <c r="H6839" s="1">
        <v>-3.005269E-6</v>
      </c>
      <c r="I6839">
        <v>36.33502</v>
      </c>
      <c r="J6839">
        <v>-185.73230000000001</v>
      </c>
      <c r="K6839">
        <v>1.113807</v>
      </c>
      <c r="L6839">
        <v>-47.011470000000003</v>
      </c>
      <c r="M6839">
        <v>0.26352340000000002</v>
      </c>
      <c r="N6839">
        <v>0</v>
      </c>
      <c r="O6839">
        <v>0.96459130000000004</v>
      </c>
      <c r="P6839">
        <v>0.26927040000000002</v>
      </c>
      <c r="Q6839">
        <v>-2.7896489999999999E-2</v>
      </c>
      <c r="R6839">
        <v>0.96266050000000003</v>
      </c>
      <c r="S6839">
        <v>-0.1325836</v>
      </c>
      <c r="T6839">
        <v>-4.2165519999999998E-2</v>
      </c>
      <c r="U6839">
        <v>3.1608890000000001</v>
      </c>
      <c r="V6839">
        <v>6.2144770000000004E-3</v>
      </c>
      <c r="W6839">
        <v>-1.6930500000000001E-2</v>
      </c>
      <c r="X6839">
        <v>0.99983730000000004</v>
      </c>
      <c r="Y6839">
        <v>-0.30373040000000001</v>
      </c>
      <c r="Z6839">
        <v>-1.2309479999999999E-2</v>
      </c>
      <c r="AA6839">
        <v>0.95267849999999998</v>
      </c>
      <c r="AB6839">
        <v>16</v>
      </c>
      <c r="AC6839">
        <v>-3.5345999999999802</v>
      </c>
      <c r="AD6839">
        <v>-1.1138100052689901</v>
      </c>
      <c r="AE6839">
        <v>83.346490000000003</v>
      </c>
      <c r="AF6839">
        <v>-25.370182572218901</v>
      </c>
      <c r="AG6839">
        <v>-1.1138100052689901</v>
      </c>
      <c r="AH6839">
        <v>79.454415525966098</v>
      </c>
      <c r="AI6839">
        <v>90.765081757472103</v>
      </c>
      <c r="AJ6839">
        <v>107.708536369531</v>
      </c>
      <c r="AK6839">
        <v>83.413972948472093</v>
      </c>
      <c r="AL6839">
        <v>90.970092597978805</v>
      </c>
      <c r="AM6839">
        <v>89.643883340912893</v>
      </c>
      <c r="AN6839">
        <v>0.99999994401296</v>
      </c>
    </row>
    <row r="6840" spans="1:40" x14ac:dyDescent="0.25">
      <c r="A6840" t="str">
        <f>"20190312161151186"</f>
        <v>20190312161151186</v>
      </c>
      <c r="B6840" t="str">
        <f>"1552378311183959"</f>
        <v>1552378311183959</v>
      </c>
      <c r="C6840" t="s">
        <v>40</v>
      </c>
      <c r="D6840">
        <v>5.7788000000000004</v>
      </c>
      <c r="E6840">
        <v>0.37743090000000001</v>
      </c>
      <c r="F6840" t="s">
        <v>41</v>
      </c>
      <c r="G6840">
        <v>-189.1825</v>
      </c>
      <c r="H6840" s="1">
        <v>-3.8765530000000001E-6</v>
      </c>
      <c r="I6840">
        <v>28.331099999999999</v>
      </c>
      <c r="J6840">
        <v>-185.7002</v>
      </c>
      <c r="K6840">
        <v>1.1137649999999999</v>
      </c>
      <c r="L6840">
        <v>-46.853940000000001</v>
      </c>
      <c r="M6840">
        <v>0.25492569999999998</v>
      </c>
      <c r="N6840">
        <v>0</v>
      </c>
      <c r="O6840">
        <v>0.96689950000000002</v>
      </c>
      <c r="P6840">
        <v>0.26095930000000001</v>
      </c>
      <c r="Q6840">
        <v>-2.754742E-2</v>
      </c>
      <c r="R6840">
        <v>0.9649567</v>
      </c>
      <c r="S6840">
        <v>-0.14450070000000001</v>
      </c>
      <c r="T6840">
        <v>-4.6647550000000003E-2</v>
      </c>
      <c r="U6840">
        <v>3.1554259999999998</v>
      </c>
      <c r="V6840">
        <v>6.4868919999999898E-3</v>
      </c>
      <c r="W6840">
        <v>-1.661781E-2</v>
      </c>
      <c r="X6840">
        <v>0.99984090000000003</v>
      </c>
      <c r="Y6840">
        <v>-0.29890359999999899</v>
      </c>
      <c r="Z6840">
        <v>-1.3702519999999999E-2</v>
      </c>
      <c r="AA6840">
        <v>0.9541849</v>
      </c>
      <c r="AB6840">
        <v>17</v>
      </c>
      <c r="AC6840">
        <v>-3.4823</v>
      </c>
      <c r="AD6840">
        <v>-1.1137688765529901</v>
      </c>
      <c r="AE6840">
        <v>75.185040000000001</v>
      </c>
      <c r="AF6840">
        <v>-22.530031898721699</v>
      </c>
      <c r="AG6840">
        <v>-1.1137688765529901</v>
      </c>
      <c r="AH6840">
        <v>71.7971738175155</v>
      </c>
      <c r="AI6840">
        <v>90.847977495385607</v>
      </c>
      <c r="AJ6840">
        <v>107.421914490727</v>
      </c>
      <c r="AK6840">
        <v>75.257404862580401</v>
      </c>
      <c r="AL6840">
        <v>90.952174178261103</v>
      </c>
      <c r="AM6840">
        <v>89.628274539533507</v>
      </c>
      <c r="AN6840">
        <v>1.00000002834491</v>
      </c>
    </row>
    <row r="6841" spans="1:40" x14ac:dyDescent="0.25">
      <c r="A6841" t="str">
        <f>"20190312161151211"</f>
        <v>20190312161151211</v>
      </c>
      <c r="B6841" t="str">
        <f>"1552378311204455"</f>
        <v>1552378311204455</v>
      </c>
      <c r="C6841" t="s">
        <v>40</v>
      </c>
      <c r="D6841">
        <v>5.8157940000000004</v>
      </c>
      <c r="E6841">
        <v>0.39252399999999998</v>
      </c>
      <c r="F6841" t="s">
        <v>41</v>
      </c>
      <c r="G6841">
        <v>-189.5249</v>
      </c>
      <c r="H6841" s="1">
        <v>-3.8732789999999999E-6</v>
      </c>
      <c r="I6841">
        <v>28.465050000000002</v>
      </c>
      <c r="J6841">
        <v>-185.66669999999999</v>
      </c>
      <c r="K6841">
        <v>1.1137319999999999</v>
      </c>
      <c r="L6841">
        <v>-46.681519999999999</v>
      </c>
      <c r="M6841">
        <v>0.2455995</v>
      </c>
      <c r="N6841">
        <v>0</v>
      </c>
      <c r="O6841">
        <v>0.96931089999999998</v>
      </c>
      <c r="P6841">
        <v>0.251579</v>
      </c>
      <c r="Q6841">
        <v>-2.7359439999999999E-2</v>
      </c>
      <c r="R6841">
        <v>0.96745000000000003</v>
      </c>
      <c r="S6841">
        <v>-0.1600037</v>
      </c>
      <c r="T6841">
        <v>-4.659319E-2</v>
      </c>
      <c r="U6841">
        <v>3.1508790000000002</v>
      </c>
      <c r="V6841">
        <v>6.4081939999999999E-3</v>
      </c>
      <c r="W6841">
        <v>-1.647084E-2</v>
      </c>
      <c r="X6841">
        <v>0.99984379999999995</v>
      </c>
      <c r="Y6841">
        <v>-0.2944541</v>
      </c>
      <c r="Z6841">
        <v>-1.3768320000000001E-2</v>
      </c>
      <c r="AA6841">
        <v>0.95556649999999999</v>
      </c>
      <c r="AB6841">
        <v>17</v>
      </c>
      <c r="AC6841">
        <v>-3.8582000000000001</v>
      </c>
      <c r="AD6841">
        <v>-1.1137358732789999</v>
      </c>
      <c r="AE6841">
        <v>75.146569999999997</v>
      </c>
      <c r="AF6841">
        <v>-22.192194970668901</v>
      </c>
      <c r="AG6841">
        <v>-1.1137358732789999</v>
      </c>
      <c r="AH6841">
        <v>71.881285270961598</v>
      </c>
      <c r="AI6841">
        <v>90.848178838233906</v>
      </c>
      <c r="AJ6841">
        <v>107.157234378818</v>
      </c>
      <c r="AK6841">
        <v>75.237311869955704</v>
      </c>
      <c r="AL6841">
        <v>90.943752302270994</v>
      </c>
      <c r="AM6841">
        <v>89.632785197829506</v>
      </c>
      <c r="AN6841">
        <v>0.99999998895954301</v>
      </c>
    </row>
    <row r="6842" spans="1:40" x14ac:dyDescent="0.25">
      <c r="A6842" t="str">
        <f>"20190312161151231"</f>
        <v>20190312161151231</v>
      </c>
      <c r="B6842" t="str">
        <f>"1552378311223975"</f>
        <v>1552378311223975</v>
      </c>
      <c r="C6842" t="s">
        <v>40</v>
      </c>
      <c r="D6842">
        <v>5.7969309999999998</v>
      </c>
      <c r="E6842">
        <v>0.39390710000000001</v>
      </c>
      <c r="F6842" t="s">
        <v>41</v>
      </c>
      <c r="G6842">
        <v>-186.61259999999999</v>
      </c>
      <c r="H6842" s="1">
        <v>-1.634086E-6</v>
      </c>
      <c r="I6842">
        <v>-8.1986289999999897</v>
      </c>
      <c r="J6842">
        <v>-185.63900000000001</v>
      </c>
      <c r="K6842">
        <v>1.1137109999999999</v>
      </c>
      <c r="L6842">
        <v>-46.532620000000001</v>
      </c>
      <c r="M6842">
        <v>0.23760439999999999</v>
      </c>
      <c r="N6842">
        <v>0</v>
      </c>
      <c r="O6842">
        <v>0.971302</v>
      </c>
      <c r="P6842">
        <v>0.24356369999999999</v>
      </c>
      <c r="Q6842">
        <v>-2.719661E-2</v>
      </c>
      <c r="R6842">
        <v>0.96950349999999996</v>
      </c>
      <c r="S6842">
        <v>-7.6644900000000002E-2</v>
      </c>
      <c r="T6842">
        <v>-9.0246320000000005E-2</v>
      </c>
      <c r="U6842">
        <v>3.1182859999999999</v>
      </c>
      <c r="V6842">
        <v>6.3690509999999997E-3</v>
      </c>
      <c r="W6842">
        <v>-1.6343170000000001E-2</v>
      </c>
      <c r="X6842">
        <v>0.99984620000000002</v>
      </c>
      <c r="Y6842">
        <v>-0.26140350000000001</v>
      </c>
      <c r="Z6842">
        <v>-2.7177929999999999E-2</v>
      </c>
      <c r="AA6842">
        <v>0.96484689999999995</v>
      </c>
      <c r="AB6842">
        <v>17</v>
      </c>
      <c r="AC6842">
        <v>-0.97359999999997604</v>
      </c>
      <c r="AD6842">
        <v>-1.113712634086</v>
      </c>
      <c r="AE6842">
        <v>38.333990999999997</v>
      </c>
      <c r="AF6842">
        <v>-10.046096488042</v>
      </c>
      <c r="AG6842">
        <v>-1.113712634086</v>
      </c>
      <c r="AH6842">
        <v>36.973519333799501</v>
      </c>
      <c r="AI6842">
        <v>91.665005323965801</v>
      </c>
      <c r="AJ6842">
        <v>105.20088551679601</v>
      </c>
      <c r="AK6842">
        <v>38.330217093113603</v>
      </c>
      <c r="AL6842">
        <v>90.936436313868398</v>
      </c>
      <c r="AM6842">
        <v>89.635029061364094</v>
      </c>
      <c r="AN6842">
        <v>1.00000004383536</v>
      </c>
    </row>
    <row r="6843" spans="1:40" x14ac:dyDescent="0.25">
      <c r="A6843" t="str">
        <f>"20190312161151262"</f>
        <v>20190312161151262</v>
      </c>
      <c r="B6843" t="str">
        <f>"1552378311248375"</f>
        <v>1552378311248375</v>
      </c>
      <c r="C6843" t="s">
        <v>40</v>
      </c>
      <c r="D6843">
        <v>5.8464619999999998</v>
      </c>
      <c r="E6843">
        <v>0.39489190000000002</v>
      </c>
      <c r="F6843" t="s">
        <v>41</v>
      </c>
      <c r="G6843">
        <v>-186.75139999999999</v>
      </c>
      <c r="H6843" s="1">
        <v>-1.389193E-6</v>
      </c>
      <c r="I6843">
        <v>-8.8096829999999997</v>
      </c>
      <c r="J6843">
        <v>-185.60069999999999</v>
      </c>
      <c r="K6843">
        <v>1.1136919999999999</v>
      </c>
      <c r="L6843">
        <v>-46.316279999999999</v>
      </c>
      <c r="M6843">
        <v>0.22608819999999999</v>
      </c>
      <c r="N6843">
        <v>0</v>
      </c>
      <c r="O6843">
        <v>0.97404760000000001</v>
      </c>
      <c r="P6843">
        <v>0.2320142</v>
      </c>
      <c r="Q6843">
        <v>-2.692812E-2</v>
      </c>
      <c r="R6843">
        <v>0.97233959999999997</v>
      </c>
      <c r="S6843">
        <v>-9.1857910000000001E-2</v>
      </c>
      <c r="T6843">
        <v>-9.196174E-2</v>
      </c>
      <c r="U6843">
        <v>3.114868</v>
      </c>
      <c r="V6843">
        <v>6.3094800000000001E-3</v>
      </c>
      <c r="W6843">
        <v>-1.613003E-2</v>
      </c>
      <c r="X6843">
        <v>0.99985000000000002</v>
      </c>
      <c r="Y6843">
        <v>-0.25470359999999997</v>
      </c>
      <c r="Z6843">
        <v>-2.787046E-2</v>
      </c>
      <c r="AA6843">
        <v>0.96661750000000002</v>
      </c>
      <c r="AB6843">
        <v>17</v>
      </c>
      <c r="AC6843">
        <v>-1.1507000000000001</v>
      </c>
      <c r="AD6843">
        <v>-1.1136933891930001</v>
      </c>
      <c r="AE6843">
        <v>37.506596999999999</v>
      </c>
      <c r="AF6843">
        <v>-9.5927397058011099</v>
      </c>
      <c r="AG6843">
        <v>-1.1136933891930001</v>
      </c>
      <c r="AH6843">
        <v>36.243218976816301</v>
      </c>
      <c r="AI6843">
        <v>91.701496294167498</v>
      </c>
      <c r="AJ6843">
        <v>104.82492349080501</v>
      </c>
      <c r="AK6843">
        <v>37.507757728633202</v>
      </c>
      <c r="AL6843">
        <v>90.924222717845794</v>
      </c>
      <c r="AM6843">
        <v>89.638443990137603</v>
      </c>
      <c r="AN6843">
        <v>1.0000000049528299</v>
      </c>
    </row>
    <row r="6844" spans="1:40" x14ac:dyDescent="0.25">
      <c r="A6844" t="str">
        <f>"20190312161151279"</f>
        <v>20190312161151279</v>
      </c>
      <c r="B6844" t="str">
        <f>"1552378311273751"</f>
        <v>1552378311273751</v>
      </c>
      <c r="C6844" t="s">
        <v>40</v>
      </c>
      <c r="D6844">
        <v>5.8478709999999996</v>
      </c>
      <c r="E6844">
        <v>0.39706439999999998</v>
      </c>
      <c r="F6844" t="s">
        <v>41</v>
      </c>
      <c r="G6844">
        <v>-187.07740000000001</v>
      </c>
      <c r="H6844" s="1">
        <v>-1.4391919999999999E-6</v>
      </c>
      <c r="I6844">
        <v>-8.4078689999999998</v>
      </c>
      <c r="J6844">
        <v>-185.57980000000001</v>
      </c>
      <c r="K6844">
        <v>1.113677</v>
      </c>
      <c r="L6844">
        <v>-46.190730000000002</v>
      </c>
      <c r="M6844">
        <v>0.21946969999999999</v>
      </c>
      <c r="N6844">
        <v>0</v>
      </c>
      <c r="O6844">
        <v>0.97556050000000005</v>
      </c>
      <c r="P6844">
        <v>0.22573090000000001</v>
      </c>
      <c r="Q6844">
        <v>-2.761102E-2</v>
      </c>
      <c r="R6844">
        <v>0.97379830000000001</v>
      </c>
      <c r="S6844">
        <v>-0.1212158</v>
      </c>
      <c r="T6844">
        <v>-9.1417910000000005E-2</v>
      </c>
      <c r="U6844">
        <v>3.1117249999999999</v>
      </c>
      <c r="V6844">
        <v>6.6525169999999897E-3</v>
      </c>
      <c r="W6844">
        <v>-1.6845809999999999E-2</v>
      </c>
      <c r="X6844">
        <v>0.99983599999999995</v>
      </c>
      <c r="Y6844">
        <v>-0.25727480000000003</v>
      </c>
      <c r="Z6844">
        <v>-2.7785600000000001E-2</v>
      </c>
      <c r="AA6844">
        <v>0.96593870000000004</v>
      </c>
      <c r="AB6844">
        <v>17</v>
      </c>
      <c r="AC6844">
        <v>-1.4976</v>
      </c>
      <c r="AD6844">
        <v>-1.113678439192</v>
      </c>
      <c r="AE6844">
        <v>37.782860999999997</v>
      </c>
      <c r="AF6844">
        <v>-9.7452986363772993</v>
      </c>
      <c r="AG6844">
        <v>-1.113678439192</v>
      </c>
      <c r="AH6844">
        <v>36.501222037098202</v>
      </c>
      <c r="AI6844">
        <v>91.688486270079494</v>
      </c>
      <c r="AJ6844">
        <v>104.94847320202</v>
      </c>
      <c r="AK6844">
        <v>37.7961682631936</v>
      </c>
      <c r="AL6844">
        <v>90.965239440987801</v>
      </c>
      <c r="AM6844">
        <v>89.618781957584403</v>
      </c>
      <c r="AN6844">
        <v>1.0000000320964899</v>
      </c>
    </row>
    <row r="6845" spans="1:40" x14ac:dyDescent="0.25">
      <c r="A6845" t="str">
        <f>"20190312161151302"</f>
        <v>20190312161151302</v>
      </c>
      <c r="B6845" t="str">
        <f>"1552378311294247"</f>
        <v>1552378311294247</v>
      </c>
      <c r="C6845" t="s">
        <v>40</v>
      </c>
      <c r="D6845">
        <v>5.7480570000000002</v>
      </c>
      <c r="E6845">
        <v>0.39895160000000002</v>
      </c>
      <c r="F6845" t="s">
        <v>41</v>
      </c>
      <c r="G6845">
        <v>-187.0162</v>
      </c>
      <c r="H6845" s="1">
        <v>-4.8083929999999996E-6</v>
      </c>
      <c r="I6845">
        <v>-10.3925</v>
      </c>
      <c r="J6845">
        <v>-185.55350000000001</v>
      </c>
      <c r="K6845">
        <v>1.113659</v>
      </c>
      <c r="L6845">
        <v>-46.026760000000003</v>
      </c>
      <c r="M6845">
        <v>0.2108872</v>
      </c>
      <c r="N6845">
        <v>0</v>
      </c>
      <c r="O6845">
        <v>0.97745230000000005</v>
      </c>
      <c r="P6845">
        <v>0.2177684</v>
      </c>
      <c r="Q6845">
        <v>-2.7567810000000002E-2</v>
      </c>
      <c r="R6845">
        <v>0.97561109999999895</v>
      </c>
      <c r="S6845">
        <v>-0.12466430000000001</v>
      </c>
      <c r="T6845">
        <v>-9.6654649999999995E-2</v>
      </c>
      <c r="U6845">
        <v>3.1068730000000002</v>
      </c>
      <c r="V6845">
        <v>7.2712039999999999E-3</v>
      </c>
      <c r="W6845">
        <v>-1.6848120000000001E-2</v>
      </c>
      <c r="X6845">
        <v>0.99983160000000004</v>
      </c>
      <c r="Y6845">
        <v>-0.2499014</v>
      </c>
      <c r="Z6845">
        <v>-2.9539289999999999E-2</v>
      </c>
      <c r="AA6845">
        <v>0.96782060000000003</v>
      </c>
      <c r="AB6845">
        <v>17</v>
      </c>
      <c r="AC6845">
        <v>-1.4626999999999799</v>
      </c>
      <c r="AD6845">
        <v>-1.1136638083929999</v>
      </c>
      <c r="AE6845">
        <v>35.634259999999998</v>
      </c>
      <c r="AF6845">
        <v>-8.93632318590004</v>
      </c>
      <c r="AG6845">
        <v>-1.1136638083929999</v>
      </c>
      <c r="AH6845">
        <v>34.490654301114702</v>
      </c>
      <c r="AI6845">
        <v>91.790297987795398</v>
      </c>
      <c r="AJ6845">
        <v>104.525584912743</v>
      </c>
      <c r="AK6845">
        <v>35.646926280956997</v>
      </c>
      <c r="AL6845">
        <v>90.965371864324794</v>
      </c>
      <c r="AM6845">
        <v>89.583327875577197</v>
      </c>
      <c r="AN6845">
        <v>0.999999978956851</v>
      </c>
    </row>
    <row r="6846" spans="1:40" x14ac:dyDescent="0.25">
      <c r="A6846" t="str">
        <f>"20190312161151324"</f>
        <v>20190312161151324</v>
      </c>
      <c r="B6846" t="str">
        <f>"1552378311313766"</f>
        <v>1552378311313766</v>
      </c>
      <c r="C6846" t="s">
        <v>40</v>
      </c>
      <c r="D6846">
        <v>5.8432130000000004</v>
      </c>
      <c r="E6846">
        <v>0.4005302</v>
      </c>
      <c r="F6846" t="s">
        <v>41</v>
      </c>
      <c r="G6846">
        <v>-187.04810000000001</v>
      </c>
      <c r="H6846" s="1">
        <v>-4.1702710000000004E-6</v>
      </c>
      <c r="I6846">
        <v>-11.866759999999999</v>
      </c>
      <c r="J6846">
        <v>-185.52930000000001</v>
      </c>
      <c r="K6846">
        <v>1.1136250000000001</v>
      </c>
      <c r="L6846">
        <v>-45.867220000000003</v>
      </c>
      <c r="M6846">
        <v>0.20260919999999999</v>
      </c>
      <c r="N6846">
        <v>0</v>
      </c>
      <c r="O6846">
        <v>0.97920229999999997</v>
      </c>
      <c r="P6846">
        <v>0.2104895</v>
      </c>
      <c r="Q6846">
        <v>-2.765577E-2</v>
      </c>
      <c r="R6846">
        <v>0.97720490000000004</v>
      </c>
      <c r="S6846">
        <v>-0.13574220000000001</v>
      </c>
      <c r="T6846">
        <v>-0.1011441</v>
      </c>
      <c r="U6846">
        <v>3.1024479999999999</v>
      </c>
      <c r="V6846">
        <v>8.2784150000000008E-3</v>
      </c>
      <c r="W6846">
        <v>-1.698407E-2</v>
      </c>
      <c r="X6846">
        <v>0.99982150000000003</v>
      </c>
      <c r="Y6846">
        <v>-0.2452085</v>
      </c>
      <c r="Z6846">
        <v>-3.1056650000000002E-2</v>
      </c>
      <c r="AA6846">
        <v>0.96897279999999997</v>
      </c>
      <c r="AB6846">
        <v>17</v>
      </c>
      <c r="AC6846">
        <v>-1.5187999999999899</v>
      </c>
      <c r="AD6846">
        <v>-1.1136291702709999</v>
      </c>
      <c r="AE6846">
        <v>34.000459999999997</v>
      </c>
      <c r="AF6846">
        <v>-8.3675304277139002</v>
      </c>
      <c r="AG6846">
        <v>-1.1136291702709999</v>
      </c>
      <c r="AH6846">
        <v>32.952179078251099</v>
      </c>
      <c r="AI6846">
        <v>91.876095957074298</v>
      </c>
      <c r="AJ6846">
        <v>104.247946894992</v>
      </c>
      <c r="AK6846">
        <v>34.016199690628703</v>
      </c>
      <c r="AL6846">
        <v>90.9731623089354</v>
      </c>
      <c r="AM6846">
        <v>89.5256079192296</v>
      </c>
      <c r="AN6846">
        <v>1.0000000113254599</v>
      </c>
    </row>
    <row r="6847" spans="1:40" x14ac:dyDescent="0.25">
      <c r="A6847" t="str">
        <f>"20190312161151344"</f>
        <v>20190312161151344</v>
      </c>
      <c r="B6847" t="str">
        <f>"1552378311334263"</f>
        <v>1552378311334263</v>
      </c>
      <c r="C6847" t="s">
        <v>40</v>
      </c>
      <c r="D6847">
        <v>5.8489509999999996</v>
      </c>
      <c r="E6847">
        <v>0.4013369</v>
      </c>
      <c r="F6847" t="s">
        <v>41</v>
      </c>
      <c r="G6847">
        <v>-187.12209999999999</v>
      </c>
      <c r="H6847" s="1">
        <v>-4.0205900000000002E-6</v>
      </c>
      <c r="I6847">
        <v>-12.185090000000001</v>
      </c>
      <c r="J6847">
        <v>-185.50749999999999</v>
      </c>
      <c r="K6847">
        <v>1.1135930000000001</v>
      </c>
      <c r="L6847">
        <v>-45.715879999999999</v>
      </c>
      <c r="M6847">
        <v>0.1948328</v>
      </c>
      <c r="N6847">
        <v>0</v>
      </c>
      <c r="O6847">
        <v>0.98077979999999998</v>
      </c>
      <c r="P6847">
        <v>0.20356589999999999</v>
      </c>
      <c r="Q6847">
        <v>-2.7770280000000001E-2</v>
      </c>
      <c r="R6847">
        <v>0.97866730000000002</v>
      </c>
      <c r="S6847">
        <v>-0.1465302</v>
      </c>
      <c r="T6847">
        <v>-0.10244979999999999</v>
      </c>
      <c r="U6847">
        <v>3.098633</v>
      </c>
      <c r="V6847">
        <v>9.1345929999999999E-3</v>
      </c>
      <c r="W6847">
        <v>-1.715065E-2</v>
      </c>
      <c r="X6847">
        <v>0.99981120000000001</v>
      </c>
      <c r="Y6847">
        <v>-0.24093110000000001</v>
      </c>
      <c r="Z6847">
        <v>-3.158917E-2</v>
      </c>
      <c r="AA6847">
        <v>0.970028</v>
      </c>
      <c r="AB6847">
        <v>17</v>
      </c>
      <c r="AC6847">
        <v>-1.61459999999999</v>
      </c>
      <c r="AD6847">
        <v>-1.1135970205900001</v>
      </c>
      <c r="AE6847">
        <v>33.530790000000003</v>
      </c>
      <c r="AF6847">
        <v>-8.1079936481649302</v>
      </c>
      <c r="AG6847">
        <v>-1.1135970205900001</v>
      </c>
      <c r="AH6847">
        <v>32.537749483720901</v>
      </c>
      <c r="AI6847">
        <v>91.902050586498106</v>
      </c>
      <c r="AJ6847">
        <v>103.992409402709</v>
      </c>
      <c r="AK6847">
        <v>33.551226516899902</v>
      </c>
      <c r="AL6847">
        <v>90.982708030898493</v>
      </c>
      <c r="AM6847">
        <v>89.476542106351701</v>
      </c>
      <c r="AN6847">
        <v>1.0000000106150599</v>
      </c>
    </row>
    <row r="6848" spans="1:40" x14ac:dyDescent="0.25">
      <c r="A6848" t="str">
        <f>"20190312161151365"</f>
        <v>20190312161151365</v>
      </c>
      <c r="B6848" t="str">
        <f>"1552378311353783"</f>
        <v>1552378311353783</v>
      </c>
      <c r="C6848" t="s">
        <v>40</v>
      </c>
      <c r="D6848">
        <v>5.8984569999999996</v>
      </c>
      <c r="E6848">
        <v>0.41466409999999998</v>
      </c>
      <c r="F6848" t="s">
        <v>41</v>
      </c>
      <c r="G6848">
        <v>-187.30969999999999</v>
      </c>
      <c r="H6848" s="1">
        <v>-4.3929150000000001E-6</v>
      </c>
      <c r="I6848">
        <v>-11.239610000000001</v>
      </c>
      <c r="J6848">
        <v>-185.48679999999999</v>
      </c>
      <c r="K6848">
        <v>1.113553</v>
      </c>
      <c r="L6848">
        <v>-45.563870000000001</v>
      </c>
      <c r="M6848">
        <v>0.18710089999999999</v>
      </c>
      <c r="N6848">
        <v>0</v>
      </c>
      <c r="O6848">
        <v>0.98228479999999996</v>
      </c>
      <c r="P6848">
        <v>0.196108</v>
      </c>
      <c r="Q6848">
        <v>-2.7650000000000001E-2</v>
      </c>
      <c r="R6848">
        <v>0.98019239999999996</v>
      </c>
      <c r="S6848">
        <v>-0.16184999999999999</v>
      </c>
      <c r="T6848">
        <v>-0.10000920000000001</v>
      </c>
      <c r="U6848">
        <v>3.096222</v>
      </c>
      <c r="V6848">
        <v>9.3948850000000004E-3</v>
      </c>
      <c r="W6848">
        <v>-1.7088450000000002E-2</v>
      </c>
      <c r="X6848">
        <v>0.99980990000000003</v>
      </c>
      <c r="Y6848">
        <v>-0.2381094</v>
      </c>
      <c r="Z6848">
        <v>-3.0941639999999999E-2</v>
      </c>
      <c r="AA6848">
        <v>0.97074530000000003</v>
      </c>
      <c r="AB6848">
        <v>17</v>
      </c>
      <c r="AC6848">
        <v>-1.8229</v>
      </c>
      <c r="AD6848">
        <v>-1.113557392915</v>
      </c>
      <c r="AE6848">
        <v>34.324259999999903</v>
      </c>
      <c r="AF6848">
        <v>-8.2045469036604306</v>
      </c>
      <c r="AG6848">
        <v>-1.113557392915</v>
      </c>
      <c r="AH6848">
        <v>33.3419717143193</v>
      </c>
      <c r="AI6848">
        <v>91.857487251736799</v>
      </c>
      <c r="AJ6848">
        <v>103.82426377272201</v>
      </c>
      <c r="AK6848">
        <v>34.354645650336003</v>
      </c>
      <c r="AL6848">
        <v>90.979143665125093</v>
      </c>
      <c r="AM6848">
        <v>89.461626237925202</v>
      </c>
      <c r="AN6848">
        <v>1.0000000575627801</v>
      </c>
    </row>
    <row r="6849" spans="1:40" x14ac:dyDescent="0.25">
      <c r="A6849" t="str">
        <f>"20190312161151388"</f>
        <v>20190312161151388</v>
      </c>
      <c r="B6849" t="str">
        <f>"1552378311384038"</f>
        <v>1552378311384038</v>
      </c>
      <c r="C6849" t="s">
        <v>40</v>
      </c>
      <c r="D6849">
        <v>5.8480129999999999</v>
      </c>
      <c r="E6849">
        <v>0.41579060000000001</v>
      </c>
      <c r="F6849" t="s">
        <v>41</v>
      </c>
      <c r="G6849">
        <v>-186.22730000000001</v>
      </c>
      <c r="H6849" s="1">
        <v>-1.799374E-6</v>
      </c>
      <c r="I6849">
        <v>-18.01418</v>
      </c>
      <c r="J6849">
        <v>-185.465</v>
      </c>
      <c r="K6849">
        <v>1.113515</v>
      </c>
      <c r="L6849">
        <v>-45.394289999999998</v>
      </c>
      <c r="M6849">
        <v>0.17855850000000001</v>
      </c>
      <c r="N6849">
        <v>0</v>
      </c>
      <c r="O6849">
        <v>0.98387409999999997</v>
      </c>
      <c r="P6849">
        <v>0.1875656</v>
      </c>
      <c r="Q6849">
        <v>-2.8531910000000001E-2</v>
      </c>
      <c r="R6849">
        <v>0.98183759999999998</v>
      </c>
      <c r="S6849">
        <v>-8.2611080000000003E-2</v>
      </c>
      <c r="T6849">
        <v>-0.1242361</v>
      </c>
      <c r="U6849">
        <v>3.073639</v>
      </c>
      <c r="V6849">
        <v>9.3887889999999998E-3</v>
      </c>
      <c r="W6849">
        <v>-1.803364E-2</v>
      </c>
      <c r="X6849">
        <v>0.9997933</v>
      </c>
      <c r="Y6849">
        <v>-0.20491719999999999</v>
      </c>
      <c r="Z6849">
        <v>-3.8977119999999997E-2</v>
      </c>
      <c r="AA6849">
        <v>0.97800290000000001</v>
      </c>
      <c r="AB6849">
        <v>17</v>
      </c>
      <c r="AC6849">
        <v>-0.76230000000000997</v>
      </c>
      <c r="AD6849">
        <v>-1.1135167993740001</v>
      </c>
      <c r="AE6849">
        <v>27.380109999999998</v>
      </c>
      <c r="AF6849">
        <v>-5.6299603896971604</v>
      </c>
      <c r="AG6849">
        <v>-1.1135167993740001</v>
      </c>
      <c r="AH6849">
        <v>26.7596966651417</v>
      </c>
      <c r="AI6849">
        <v>92.331810472608893</v>
      </c>
      <c r="AJ6849">
        <v>101.88115398977</v>
      </c>
      <c r="AK6849">
        <v>27.368188454160499</v>
      </c>
      <c r="AL6849">
        <v>91.033307471582305</v>
      </c>
      <c r="AM6849">
        <v>89.4619666160565</v>
      </c>
      <c r="AN6849">
        <v>1.00000000212771</v>
      </c>
    </row>
    <row r="6850" spans="1:40" x14ac:dyDescent="0.25">
      <c r="A6850" t="str">
        <f>"20190312161151411"</f>
        <v>20190312161151411</v>
      </c>
      <c r="B6850" t="str">
        <f>"1552378311403559"</f>
        <v>1552378311403559</v>
      </c>
      <c r="C6850" t="s">
        <v>40</v>
      </c>
      <c r="D6850">
        <v>5.8259730000000003</v>
      </c>
      <c r="E6850">
        <v>0.41669689999999998</v>
      </c>
      <c r="F6850" t="s">
        <v>41</v>
      </c>
      <c r="G6850">
        <v>-186.33860000000001</v>
      </c>
      <c r="H6850" s="1">
        <v>-1.5215369999999999E-6</v>
      </c>
      <c r="I6850">
        <v>-18.743549999999999</v>
      </c>
      <c r="J6850">
        <v>-185.44470000000001</v>
      </c>
      <c r="K6850">
        <v>1.1134790000000001</v>
      </c>
      <c r="L6850">
        <v>-45.225490000000001</v>
      </c>
      <c r="M6850">
        <v>0.17013789999999901</v>
      </c>
      <c r="N6850">
        <v>0</v>
      </c>
      <c r="O6850">
        <v>0.98536579999999996</v>
      </c>
      <c r="P6850">
        <v>0.17929919999999999</v>
      </c>
      <c r="Q6850">
        <v>-2.9119969999999998E-2</v>
      </c>
      <c r="R6850">
        <v>0.98336349999999995</v>
      </c>
      <c r="S6850">
        <v>-0.10066219999999999</v>
      </c>
      <c r="T6850">
        <v>-0.12831139999999999</v>
      </c>
      <c r="U6850">
        <v>3.0709840000000002</v>
      </c>
      <c r="V6850">
        <v>9.5360429999999993E-3</v>
      </c>
      <c r="W6850">
        <v>-1.8681219999999998E-2</v>
      </c>
      <c r="X6850">
        <v>0.99978</v>
      </c>
      <c r="Y6850">
        <v>-0.2023102</v>
      </c>
      <c r="Z6850">
        <v>-4.0389300000000003E-2</v>
      </c>
      <c r="AA6850">
        <v>0.97848829999999998</v>
      </c>
      <c r="AB6850">
        <v>17</v>
      </c>
      <c r="AC6850">
        <v>-0.89390000000000203</v>
      </c>
      <c r="AD6850">
        <v>-1.1134805215369901</v>
      </c>
      <c r="AE6850">
        <v>26.481940000000002</v>
      </c>
      <c r="AF6850">
        <v>-5.3771935512878697</v>
      </c>
      <c r="AG6850">
        <v>-1.1134805215369901</v>
      </c>
      <c r="AH6850">
        <v>25.897970346732301</v>
      </c>
      <c r="AI6850">
        <v>92.410560770033001</v>
      </c>
      <c r="AJ6850">
        <v>101.729657463281</v>
      </c>
      <c r="AK6850">
        <v>26.473740148307002</v>
      </c>
      <c r="AL6850">
        <v>91.070417343498093</v>
      </c>
      <c r="AM6850">
        <v>89.453521325662194</v>
      </c>
      <c r="AN6850">
        <v>0.99999998624839304</v>
      </c>
    </row>
    <row r="6851" spans="1:40" x14ac:dyDescent="0.25">
      <c r="A6851" t="str">
        <f>"20190312161151432"</f>
        <v>20190312161151432</v>
      </c>
      <c r="B6851" t="str">
        <f>"1552378311424056"</f>
        <v>1552378311424056</v>
      </c>
      <c r="C6851" t="s">
        <v>40</v>
      </c>
      <c r="D6851">
        <v>5.8356940000000002</v>
      </c>
      <c r="E6851">
        <v>0.41741879999999998</v>
      </c>
      <c r="F6851" t="s">
        <v>41</v>
      </c>
      <c r="G6851">
        <v>-186.4855</v>
      </c>
      <c r="H6851" s="1">
        <v>-1.5885370000000001E-6</v>
      </c>
      <c r="I6851">
        <v>-18.431840000000001</v>
      </c>
      <c r="J6851">
        <v>-185.4265</v>
      </c>
      <c r="K6851">
        <v>1.1134520000000001</v>
      </c>
      <c r="L6851">
        <v>-45.064390000000003</v>
      </c>
      <c r="M6851">
        <v>0.1621908</v>
      </c>
      <c r="N6851">
        <v>0</v>
      </c>
      <c r="O6851">
        <v>0.98670570000000002</v>
      </c>
      <c r="P6851">
        <v>0.171755399999999</v>
      </c>
      <c r="Q6851">
        <v>-2.892349E-2</v>
      </c>
      <c r="R6851">
        <v>0.98471489999999995</v>
      </c>
      <c r="S6851">
        <v>-0.11920169999999999</v>
      </c>
      <c r="T6851">
        <v>-0.12752769999999999</v>
      </c>
      <c r="U6851">
        <v>3.068695</v>
      </c>
      <c r="V6851">
        <v>9.9264890000000001E-3</v>
      </c>
      <c r="W6851">
        <v>-1.8538510000000001E-2</v>
      </c>
      <c r="X6851">
        <v>0.99977890000000003</v>
      </c>
      <c r="Y6851">
        <v>-0.2003451</v>
      </c>
      <c r="Z6851">
        <v>-4.0260289999999997E-2</v>
      </c>
      <c r="AA6851">
        <v>0.97889780000000004</v>
      </c>
      <c r="AB6851">
        <v>17</v>
      </c>
      <c r="AC6851">
        <v>-1.0589999999999899</v>
      </c>
      <c r="AD6851">
        <v>-1.113453588537</v>
      </c>
      <c r="AE6851">
        <v>26.632549999999998</v>
      </c>
      <c r="AF6851">
        <v>-5.3554142848587301</v>
      </c>
      <c r="AG6851">
        <v>-1.113453588537</v>
      </c>
      <c r="AH6851">
        <v>26.062629496658602</v>
      </c>
      <c r="AI6851">
        <v>92.396309206398598</v>
      </c>
      <c r="AJ6851">
        <v>101.611654024244</v>
      </c>
      <c r="AK6851">
        <v>26.630450565778901</v>
      </c>
      <c r="AL6851">
        <v>91.062239199709296</v>
      </c>
      <c r="AM6851">
        <v>89.431146989168894</v>
      </c>
      <c r="AN6851">
        <v>1.0000000302110399</v>
      </c>
    </row>
    <row r="6852" spans="1:40" x14ac:dyDescent="0.25">
      <c r="A6852" t="str">
        <f>"20190312161151454"</f>
        <v>20190312161151454</v>
      </c>
      <c r="B6852" t="str">
        <f>"1552378311443575"</f>
        <v>1552378311443575</v>
      </c>
      <c r="C6852" t="s">
        <v>40</v>
      </c>
      <c r="D6852">
        <v>5.8335129999999999</v>
      </c>
      <c r="E6852">
        <v>0.41839029999999999</v>
      </c>
      <c r="F6852" t="s">
        <v>41</v>
      </c>
      <c r="G6852">
        <v>-186.60409999999999</v>
      </c>
      <c r="H6852" s="1">
        <v>-1.4633579999999999E-6</v>
      </c>
      <c r="I6852">
        <v>-18.706939999999999</v>
      </c>
      <c r="J6852">
        <v>-185.40969999999999</v>
      </c>
      <c r="K6852">
        <v>1.113426</v>
      </c>
      <c r="L6852">
        <v>-44.90448</v>
      </c>
      <c r="M6852">
        <v>0.15439620000000001</v>
      </c>
      <c r="N6852">
        <v>0</v>
      </c>
      <c r="O6852">
        <v>0.9879559</v>
      </c>
      <c r="P6852">
        <v>0.164497799999999</v>
      </c>
      <c r="Q6852">
        <v>-2.9390690000000001E-2</v>
      </c>
      <c r="R6852">
        <v>0.98593949999999997</v>
      </c>
      <c r="S6852">
        <v>-0.13700870000000001</v>
      </c>
      <c r="T6852">
        <v>-0.12954869999999999</v>
      </c>
      <c r="U6852">
        <v>3.0666500000000001</v>
      </c>
      <c r="V6852">
        <v>1.046128E-2</v>
      </c>
      <c r="W6852">
        <v>-1.905633E-2</v>
      </c>
      <c r="X6852">
        <v>0.99976370000000003</v>
      </c>
      <c r="Y6852">
        <v>-0.19830829999999999</v>
      </c>
      <c r="Z6852">
        <v>-4.1007229999999999E-2</v>
      </c>
      <c r="AA6852">
        <v>0.97928150000000003</v>
      </c>
      <c r="AB6852">
        <v>17</v>
      </c>
      <c r="AC6852">
        <v>-1.1943999999999999</v>
      </c>
      <c r="AD6852">
        <v>-1.1134274633579999</v>
      </c>
      <c r="AE6852">
        <v>26.19754</v>
      </c>
      <c r="AF6852">
        <v>-5.2156875197687604</v>
      </c>
      <c r="AG6852">
        <v>-1.1134274633579999</v>
      </c>
      <c r="AH6852">
        <v>25.652710261991</v>
      </c>
      <c r="AI6852">
        <v>92.435530735775899</v>
      </c>
      <c r="AJ6852">
        <v>101.492674727627</v>
      </c>
      <c r="AK6852">
        <v>26.201233955783302</v>
      </c>
      <c r="AL6852">
        <v>91.091913355011798</v>
      </c>
      <c r="AM6852">
        <v>89.400493018416796</v>
      </c>
      <c r="AN6852">
        <v>1.00000001896499</v>
      </c>
    </row>
    <row r="6853" spans="1:40" x14ac:dyDescent="0.25">
      <c r="A6853" t="str">
        <f>"20190312161151478"</f>
        <v>20190312161151478</v>
      </c>
      <c r="B6853" t="str">
        <f>"1552378311473831"</f>
        <v>1552378311473831</v>
      </c>
      <c r="C6853" t="s">
        <v>40</v>
      </c>
      <c r="D6853">
        <v>5.7964659999999997</v>
      </c>
      <c r="E6853">
        <v>0.41961140000000002</v>
      </c>
      <c r="F6853" t="s">
        <v>41</v>
      </c>
      <c r="G6853">
        <v>-186.70750000000001</v>
      </c>
      <c r="H6853" s="1">
        <v>-1.420079E-6</v>
      </c>
      <c r="I6853">
        <v>-18.75328</v>
      </c>
      <c r="J6853">
        <v>-185.392</v>
      </c>
      <c r="K6853">
        <v>1.113383</v>
      </c>
      <c r="L6853">
        <v>-44.723269999999999</v>
      </c>
      <c r="M6853">
        <v>0.1456827</v>
      </c>
      <c r="N6853">
        <v>0</v>
      </c>
      <c r="O6853">
        <v>0.98927889999999996</v>
      </c>
      <c r="P6853">
        <v>0.15643670000000001</v>
      </c>
      <c r="Q6853">
        <v>-2.9746290000000002E-2</v>
      </c>
      <c r="R6853">
        <v>0.98724000000000001</v>
      </c>
      <c r="S6853">
        <v>-0.15206910000000001</v>
      </c>
      <c r="T6853">
        <v>-0.130466</v>
      </c>
      <c r="U6853">
        <v>3.06427</v>
      </c>
      <c r="V6853">
        <v>1.110796E-2</v>
      </c>
      <c r="W6853">
        <v>-1.9467660000000001E-2</v>
      </c>
      <c r="X6853">
        <v>0.99974879999999999</v>
      </c>
      <c r="Y6853">
        <v>-0.1945036</v>
      </c>
      <c r="Z6853">
        <v>-4.1424860000000001E-2</v>
      </c>
      <c r="AA6853">
        <v>0.98002670000000003</v>
      </c>
      <c r="AB6853">
        <v>17</v>
      </c>
      <c r="AC6853">
        <v>-1.3155000000000101</v>
      </c>
      <c r="AD6853">
        <v>-1.113384420079</v>
      </c>
      <c r="AE6853">
        <v>25.969989999999999</v>
      </c>
      <c r="AF6853">
        <v>-5.07573325103857</v>
      </c>
      <c r="AG6853">
        <v>-1.113384420079</v>
      </c>
      <c r="AH6853">
        <v>25.4545753111308</v>
      </c>
      <c r="AI6853">
        <v>92.456228869524395</v>
      </c>
      <c r="AJ6853">
        <v>101.277070262157</v>
      </c>
      <c r="AK6853">
        <v>25.979570765749799</v>
      </c>
      <c r="AL6853">
        <v>91.115485200023002</v>
      </c>
      <c r="AM6853">
        <v>89.363427053153003</v>
      </c>
      <c r="AN6853">
        <v>1.0000000198313299</v>
      </c>
    </row>
    <row r="6854" spans="1:40" x14ac:dyDescent="0.25">
      <c r="A6854" t="str">
        <f>"20190312161151502"</f>
        <v>20190312161151502</v>
      </c>
      <c r="B6854" t="str">
        <f>"1552378311494327"</f>
        <v>1552378311494327</v>
      </c>
      <c r="C6854" t="s">
        <v>40</v>
      </c>
      <c r="D6854">
        <v>5.7641169999999997</v>
      </c>
      <c r="E6854">
        <v>0.419798</v>
      </c>
      <c r="F6854" t="s">
        <v>41</v>
      </c>
      <c r="G6854">
        <v>-187.57130000000001</v>
      </c>
      <c r="H6854" s="1">
        <v>-3.0688990000000001E-6</v>
      </c>
      <c r="I6854">
        <v>-4.2177660000000001</v>
      </c>
      <c r="J6854">
        <v>-185.37639999999999</v>
      </c>
      <c r="K6854">
        <v>1.1133280000000001</v>
      </c>
      <c r="L6854">
        <v>-44.550840000000001</v>
      </c>
      <c r="M6854">
        <v>0.13751459999999999</v>
      </c>
      <c r="N6854">
        <v>0</v>
      </c>
      <c r="O6854">
        <v>0.99044790000000005</v>
      </c>
      <c r="P6854">
        <v>0.148816899999999</v>
      </c>
      <c r="Q6854">
        <v>-3.0497099999999999E-2</v>
      </c>
      <c r="R6854">
        <v>0.98839440000000001</v>
      </c>
      <c r="S6854">
        <v>-0.16476440000000001</v>
      </c>
      <c r="T6854">
        <v>-8.4175589999999995E-2</v>
      </c>
      <c r="U6854">
        <v>3.0623469999999999</v>
      </c>
      <c r="V6854">
        <v>1.165396E-2</v>
      </c>
      <c r="W6854">
        <v>-2.027352E-2</v>
      </c>
      <c r="X6854">
        <v>0.99972649999999996</v>
      </c>
      <c r="Y6854">
        <v>-0.1905182</v>
      </c>
      <c r="Z6854">
        <v>-2.681383E-2</v>
      </c>
      <c r="AA6854">
        <v>0.98131740000000001</v>
      </c>
      <c r="AB6854">
        <v>17</v>
      </c>
      <c r="AC6854">
        <v>-2.1949000000000098</v>
      </c>
      <c r="AD6854">
        <v>-1.1133310688989999</v>
      </c>
      <c r="AE6854">
        <v>40.333073999999897</v>
      </c>
      <c r="AF6854">
        <v>-7.7148561010932903</v>
      </c>
      <c r="AG6854">
        <v>-1.1133310688989999</v>
      </c>
      <c r="AH6854">
        <v>39.6179157654474</v>
      </c>
      <c r="AI6854">
        <v>91.580022288760205</v>
      </c>
      <c r="AJ6854">
        <v>101.019387796377</v>
      </c>
      <c r="AK6854">
        <v>40.377441230563903</v>
      </c>
      <c r="AL6854">
        <v>91.161666773407205</v>
      </c>
      <c r="AM6854">
        <v>89.332124856482494</v>
      </c>
      <c r="AN6854">
        <v>0.99999995259955898</v>
      </c>
    </row>
    <row r="6855" spans="1:40" x14ac:dyDescent="0.25">
      <c r="A6855" t="str">
        <f>"20190312161151525"</f>
        <v>20190312161151525</v>
      </c>
      <c r="B6855" t="str">
        <f>"1552378311513964"</f>
        <v>1552378311513964</v>
      </c>
      <c r="C6855" t="s">
        <v>40</v>
      </c>
      <c r="D6855">
        <v>5.6886039999999998</v>
      </c>
      <c r="E6855">
        <v>0.4222515</v>
      </c>
      <c r="F6855" t="s">
        <v>41</v>
      </c>
      <c r="G6855">
        <v>-187.69110000000001</v>
      </c>
      <c r="H6855" s="1">
        <v>-2.0035520000000001E-6</v>
      </c>
      <c r="I6855">
        <v>-6.6516009999999897</v>
      </c>
      <c r="J6855">
        <v>-185.3621</v>
      </c>
      <c r="K6855">
        <v>1.113262</v>
      </c>
      <c r="L6855">
        <v>-44.377290000000002</v>
      </c>
      <c r="M6855">
        <v>0.12942519999999999</v>
      </c>
      <c r="N6855">
        <v>0</v>
      </c>
      <c r="O6855">
        <v>0.99153809999999998</v>
      </c>
      <c r="P6855">
        <v>0.1407737</v>
      </c>
      <c r="Q6855">
        <v>-3.0993550000000002E-2</v>
      </c>
      <c r="R6855">
        <v>0.98955660000000001</v>
      </c>
      <c r="S6855">
        <v>-0.18692020000000001</v>
      </c>
      <c r="T6855">
        <v>-8.9908600000000005E-2</v>
      </c>
      <c r="U6855">
        <v>3.0606080000000002</v>
      </c>
      <c r="V6855">
        <v>1.168835E-2</v>
      </c>
      <c r="W6855">
        <v>-2.0833939999999999E-2</v>
      </c>
      <c r="X6855">
        <v>0.99971460000000001</v>
      </c>
      <c r="Y6855">
        <v>-0.18961169999999999</v>
      </c>
      <c r="Z6855">
        <v>-2.869938E-2</v>
      </c>
      <c r="AA6855">
        <v>0.98143970000000003</v>
      </c>
      <c r="AB6855">
        <v>17</v>
      </c>
      <c r="AC6855">
        <v>-2.3290000000000002</v>
      </c>
      <c r="AD6855">
        <v>-1.1132640035519901</v>
      </c>
      <c r="AE6855">
        <v>37.725689000000003</v>
      </c>
      <c r="AF6855">
        <v>-7.1860774999131198</v>
      </c>
      <c r="AG6855">
        <v>-1.1132640035519901</v>
      </c>
      <c r="AH6855">
        <v>37.074744097690598</v>
      </c>
      <c r="AI6855">
        <v>91.688528628047607</v>
      </c>
      <c r="AJ6855">
        <v>100.969435484805</v>
      </c>
      <c r="AK6855">
        <v>37.781155573719602</v>
      </c>
      <c r="AL6855">
        <v>91.193783232760694</v>
      </c>
      <c r="AM6855">
        <v>89.330146211442297</v>
      </c>
      <c r="AN6855">
        <v>0.99999997601740198</v>
      </c>
    </row>
    <row r="6856" spans="1:40" x14ac:dyDescent="0.25">
      <c r="A6856" t="str">
        <f>"20190312161151548"</f>
        <v>20190312161151548</v>
      </c>
      <c r="B6856" t="str">
        <f>"1552378311544219"</f>
        <v>1552378311544219</v>
      </c>
      <c r="C6856" t="s">
        <v>40</v>
      </c>
      <c r="D6856">
        <v>5.668615</v>
      </c>
      <c r="E6856">
        <v>0.42340630000000001</v>
      </c>
      <c r="F6856" t="s">
        <v>41</v>
      </c>
      <c r="G6856">
        <v>-187.30289999999999</v>
      </c>
      <c r="H6856" s="1">
        <v>-3.3266870000000001E-6</v>
      </c>
      <c r="I6856">
        <v>-13.72785</v>
      </c>
      <c r="J6856">
        <v>-185.34909999999999</v>
      </c>
      <c r="K6856">
        <v>1.1131850000000001</v>
      </c>
      <c r="L6856">
        <v>-44.205199999999998</v>
      </c>
      <c r="M6856">
        <v>0.12156069999999999</v>
      </c>
      <c r="N6856">
        <v>0</v>
      </c>
      <c r="O6856">
        <v>0.99253369999999996</v>
      </c>
      <c r="P6856">
        <v>0.13287470000000001</v>
      </c>
      <c r="Q6856">
        <v>-3.111535E-2</v>
      </c>
      <c r="R6856">
        <v>0.99064430000000003</v>
      </c>
      <c r="S6856">
        <v>-0.19349669999999999</v>
      </c>
      <c r="T6856">
        <v>-0.110991699999999</v>
      </c>
      <c r="U6856">
        <v>3.0557249999999998</v>
      </c>
      <c r="V6856">
        <v>1.1637120000000001E-2</v>
      </c>
      <c r="W6856">
        <v>-2.1027460000000001E-2</v>
      </c>
      <c r="X6856">
        <v>0.99971120000000002</v>
      </c>
      <c r="Y6856">
        <v>-0.18401029999999999</v>
      </c>
      <c r="Z6856">
        <v>-3.554885E-2</v>
      </c>
      <c r="AA6856">
        <v>0.98228130000000002</v>
      </c>
      <c r="AB6856">
        <v>17</v>
      </c>
      <c r="AC6856">
        <v>-1.9538</v>
      </c>
      <c r="AD6856">
        <v>-1.113188326687</v>
      </c>
      <c r="AE6856">
        <v>30.477350000000001</v>
      </c>
      <c r="AF6856">
        <v>-5.6368528937573998</v>
      </c>
      <c r="AG6856">
        <v>-1.113188326687</v>
      </c>
      <c r="AH6856">
        <v>29.973966052587201</v>
      </c>
      <c r="AI6856">
        <v>92.090294094402694</v>
      </c>
      <c r="AJ6856">
        <v>100.65055360838601</v>
      </c>
      <c r="AK6856">
        <v>30.5196975692451</v>
      </c>
      <c r="AL6856">
        <v>91.204873476784897</v>
      </c>
      <c r="AM6856">
        <v>89.333079644677298</v>
      </c>
      <c r="AN6856">
        <v>1.0000000300206899</v>
      </c>
    </row>
    <row r="6857" spans="1:40" x14ac:dyDescent="0.25">
      <c r="A6857" t="str">
        <f>"20190312161151568"</f>
        <v>20190312161151568</v>
      </c>
      <c r="B6857" t="str">
        <f>"1552378311563739"</f>
        <v>1552378311563739</v>
      </c>
      <c r="C6857" t="s">
        <v>40</v>
      </c>
      <c r="D6857">
        <v>5.6786539999999999</v>
      </c>
      <c r="E6857">
        <v>0.42406349999999998</v>
      </c>
      <c r="F6857" t="s">
        <v>41</v>
      </c>
      <c r="G6857">
        <v>-187.578</v>
      </c>
      <c r="H6857" s="1">
        <v>-4.210855E-6</v>
      </c>
      <c r="I6857">
        <v>-11.55306</v>
      </c>
      <c r="J6857">
        <v>-185.3381</v>
      </c>
      <c r="K6857">
        <v>1.1131219999999999</v>
      </c>
      <c r="L6857">
        <v>-44.045200000000001</v>
      </c>
      <c r="M6857">
        <v>0.1143631</v>
      </c>
      <c r="N6857">
        <v>0</v>
      </c>
      <c r="O6857">
        <v>0.99338939999999998</v>
      </c>
      <c r="P6857">
        <v>0.12557789999999999</v>
      </c>
      <c r="Q6857">
        <v>-3.2014760000000003E-2</v>
      </c>
      <c r="R6857">
        <v>0.99156710000000003</v>
      </c>
      <c r="S6857">
        <v>-0.20840449999999999</v>
      </c>
      <c r="T6857">
        <v>-0.10408439999999999</v>
      </c>
      <c r="U6857">
        <v>3.0530089999999999</v>
      </c>
      <c r="V6857">
        <v>1.1532479999999999E-2</v>
      </c>
      <c r="W6857">
        <v>-2.1997539999999999E-2</v>
      </c>
      <c r="X6857">
        <v>0.99969149999999996</v>
      </c>
      <c r="Y6857">
        <v>-0.18172099999999999</v>
      </c>
      <c r="Z6857">
        <v>-3.3414340000000001E-2</v>
      </c>
      <c r="AA6857">
        <v>0.98278220000000005</v>
      </c>
      <c r="AB6857">
        <v>17</v>
      </c>
      <c r="AC6857">
        <v>-2.2399</v>
      </c>
      <c r="AD6857">
        <v>-1.113126210855</v>
      </c>
      <c r="AE6857">
        <v>32.492139999999999</v>
      </c>
      <c r="AF6857">
        <v>-5.9343558183163401</v>
      </c>
      <c r="AG6857">
        <v>-1.113126210855</v>
      </c>
      <c r="AH6857">
        <v>31.985402452848099</v>
      </c>
      <c r="AI6857">
        <v>91.959732603011602</v>
      </c>
      <c r="AJ6857">
        <v>100.510757484153</v>
      </c>
      <c r="AK6857">
        <v>32.550293378252903</v>
      </c>
      <c r="AL6857">
        <v>91.260467880048907</v>
      </c>
      <c r="AM6857">
        <v>89.339062978733494</v>
      </c>
      <c r="AN6857">
        <v>0.99999999251662497</v>
      </c>
    </row>
    <row r="6858" spans="1:40" x14ac:dyDescent="0.25">
      <c r="A6858" t="str">
        <f>"20190312161151591"</f>
        <v>20190312161151591</v>
      </c>
      <c r="B6858" t="str">
        <f>"1552378311584236"</f>
        <v>1552378311584236</v>
      </c>
      <c r="C6858" t="s">
        <v>40</v>
      </c>
      <c r="D6858">
        <v>5.642455</v>
      </c>
      <c r="E6858">
        <v>0.42470659999999999</v>
      </c>
      <c r="F6858" t="s">
        <v>41</v>
      </c>
      <c r="G6858">
        <v>-187.83179999999999</v>
      </c>
      <c r="H6858" s="1">
        <v>-6.0988110000000003E-7</v>
      </c>
      <c r="I6858">
        <v>-10.25502</v>
      </c>
      <c r="J6858">
        <v>-185.32740000000001</v>
      </c>
      <c r="K6858">
        <v>1.1130660000000001</v>
      </c>
      <c r="L6858">
        <v>-43.872590000000002</v>
      </c>
      <c r="M6858">
        <v>0.1067308</v>
      </c>
      <c r="N6858">
        <v>0</v>
      </c>
      <c r="O6858">
        <v>0.99423919999999999</v>
      </c>
      <c r="P6858">
        <v>0.1181846</v>
      </c>
      <c r="Q6858">
        <v>-3.2157989999999997E-2</v>
      </c>
      <c r="R6858">
        <v>0.99247079999999999</v>
      </c>
      <c r="S6858">
        <v>-0.22514339999999999</v>
      </c>
      <c r="T6858">
        <v>-0.1004994</v>
      </c>
      <c r="U6858">
        <v>3.0507810000000002</v>
      </c>
      <c r="V6858">
        <v>1.175932E-2</v>
      </c>
      <c r="W6858">
        <v>-2.2215929999999998E-2</v>
      </c>
      <c r="X6858">
        <v>0.99968400000000002</v>
      </c>
      <c r="Y6858">
        <v>-0.17958540000000001</v>
      </c>
      <c r="Z6858">
        <v>-3.2330299999999999E-2</v>
      </c>
      <c r="AA6858">
        <v>0.98321099999999995</v>
      </c>
      <c r="AB6858">
        <v>17</v>
      </c>
      <c r="AC6858">
        <v>-2.5043999999999702</v>
      </c>
      <c r="AD6858">
        <v>-1.1130666098811</v>
      </c>
      <c r="AE6858">
        <v>33.617570000000001</v>
      </c>
      <c r="AF6858">
        <v>-6.0716781014247498</v>
      </c>
      <c r="AG6858">
        <v>-1.1130666098811</v>
      </c>
      <c r="AH6858">
        <v>33.122106947803097</v>
      </c>
      <c r="AI6858">
        <v>91.893175180931195</v>
      </c>
      <c r="AJ6858">
        <v>100.38767262509801</v>
      </c>
      <c r="AK6858">
        <v>33.692405092350697</v>
      </c>
      <c r="AL6858">
        <v>91.272983799798794</v>
      </c>
      <c r="AM6858">
        <v>89.326058701840793</v>
      </c>
      <c r="AN6858">
        <v>0.99999996450431305</v>
      </c>
    </row>
    <row r="6859" spans="1:40" x14ac:dyDescent="0.25">
      <c r="A6859" t="str">
        <f>"20190312161151614"</f>
        <v>20190312161151614</v>
      </c>
      <c r="B6859" t="str">
        <f>"1552378311603755"</f>
        <v>1552378311603755</v>
      </c>
      <c r="C6859" t="s">
        <v>40</v>
      </c>
      <c r="D6859">
        <v>5.6895550000000004</v>
      </c>
      <c r="E6859">
        <v>0.42717699999999997</v>
      </c>
      <c r="F6859" t="s">
        <v>41</v>
      </c>
      <c r="G6859">
        <v>-188.00579999999999</v>
      </c>
      <c r="H6859" s="1">
        <v>-5.6501969999999903E-7</v>
      </c>
      <c r="I6859">
        <v>-10.2508</v>
      </c>
      <c r="J6859">
        <v>-185.3177</v>
      </c>
      <c r="K6859">
        <v>1.113019</v>
      </c>
      <c r="L6859">
        <v>-43.697299999999998</v>
      </c>
      <c r="M6859">
        <v>9.9129140000000004E-2</v>
      </c>
      <c r="N6859">
        <v>0</v>
      </c>
      <c r="O6859">
        <v>0.99502659999999998</v>
      </c>
      <c r="P6859">
        <v>0.1109605</v>
      </c>
      <c r="Q6859">
        <v>-3.2528550000000003E-2</v>
      </c>
      <c r="R6859">
        <v>0.99329230000000002</v>
      </c>
      <c r="S6859">
        <v>-0.24284359999999999</v>
      </c>
      <c r="T6859">
        <v>-0.10091890000000001</v>
      </c>
      <c r="U6859">
        <v>3.0484010000000001</v>
      </c>
      <c r="V6859">
        <v>1.2128369999999999E-2</v>
      </c>
      <c r="W6859">
        <v>-2.266108E-2</v>
      </c>
      <c r="X6859">
        <v>0.99966960000000005</v>
      </c>
      <c r="Y6859">
        <v>-0.17779800000000001</v>
      </c>
      <c r="Z6859">
        <v>-3.2527540000000001E-2</v>
      </c>
      <c r="AA6859">
        <v>0.98352930000000005</v>
      </c>
      <c r="AB6859">
        <v>17</v>
      </c>
      <c r="AC6859">
        <v>-2.6880999999999902</v>
      </c>
      <c r="AD6859">
        <v>-1.1130195650196999</v>
      </c>
      <c r="AE6859">
        <v>33.4465</v>
      </c>
      <c r="AF6859">
        <v>-5.9839556771444302</v>
      </c>
      <c r="AG6859">
        <v>-1.1130195650196999</v>
      </c>
      <c r="AH6859">
        <v>32.978977794740203</v>
      </c>
      <c r="AI6859">
        <v>91.901930581520602</v>
      </c>
      <c r="AJ6859">
        <v>100.284290636088</v>
      </c>
      <c r="AK6859">
        <v>33.535943620004304</v>
      </c>
      <c r="AL6859">
        <v>91.298495439019405</v>
      </c>
      <c r="AM6859">
        <v>89.304900017976394</v>
      </c>
      <c r="AN6859">
        <v>0.99999996553489101</v>
      </c>
    </row>
    <row r="6860" spans="1:40" x14ac:dyDescent="0.25">
      <c r="A6860" t="str">
        <f>"20190312161151634"</f>
        <v>20190312161151634</v>
      </c>
      <c r="B6860" t="str">
        <f>"1552378311624251"</f>
        <v>1552378311624251</v>
      </c>
      <c r="C6860" t="s">
        <v>40</v>
      </c>
      <c r="D6860">
        <v>5.9291929999999997</v>
      </c>
      <c r="E6860">
        <v>0.42867430000000001</v>
      </c>
      <c r="F6860" t="s">
        <v>41</v>
      </c>
      <c r="G6860">
        <v>-187.71100000000001</v>
      </c>
      <c r="H6860" s="1">
        <v>-3.0964300000000001E-6</v>
      </c>
      <c r="I6860">
        <v>-14.095829999999999</v>
      </c>
      <c r="J6860">
        <v>-185.31020000000001</v>
      </c>
      <c r="K6860">
        <v>1.11297</v>
      </c>
      <c r="L6860">
        <v>-43.545259999999999</v>
      </c>
      <c r="M6860">
        <v>9.2670370000000002E-2</v>
      </c>
      <c r="N6860">
        <v>0</v>
      </c>
      <c r="O6860">
        <v>0.99564949999999997</v>
      </c>
      <c r="P6860">
        <v>0.10487870000000001</v>
      </c>
      <c r="Q6860">
        <v>-3.2250479999999998E-2</v>
      </c>
      <c r="R6860">
        <v>0.99396189999999995</v>
      </c>
      <c r="S6860">
        <v>-0.24610899999999999</v>
      </c>
      <c r="T6860">
        <v>-0.1144553</v>
      </c>
      <c r="U6860">
        <v>3.044006</v>
      </c>
      <c r="V6860">
        <v>1.2491550000000001E-2</v>
      </c>
      <c r="W6860">
        <v>-2.244635E-2</v>
      </c>
      <c r="X6860">
        <v>0.99966999999999995</v>
      </c>
      <c r="Y6860">
        <v>-0.17255799999999999</v>
      </c>
      <c r="Z6860">
        <v>-3.6988750000000001E-2</v>
      </c>
      <c r="AA6860">
        <v>0.98430459999999997</v>
      </c>
      <c r="AB6860">
        <v>17</v>
      </c>
      <c r="AC6860">
        <v>-2.4007999999999701</v>
      </c>
      <c r="AD6860">
        <v>-1.11297309643</v>
      </c>
      <c r="AE6860">
        <v>29.44943</v>
      </c>
      <c r="AF6860">
        <v>-5.1124324173995896</v>
      </c>
      <c r="AG6860">
        <v>-1.11297309643</v>
      </c>
      <c r="AH6860">
        <v>29.058968447171502</v>
      </c>
      <c r="AI6860">
        <v>92.160239658234602</v>
      </c>
      <c r="AJ6860">
        <v>99.978107528937997</v>
      </c>
      <c r="AK6860">
        <v>29.526248010025999</v>
      </c>
      <c r="AL6860">
        <v>91.286189149970994</v>
      </c>
      <c r="AM6860">
        <v>89.284087901865604</v>
      </c>
      <c r="AN6860">
        <v>0.99999999317486199</v>
      </c>
    </row>
    <row r="6861" spans="1:40" x14ac:dyDescent="0.25">
      <c r="A6861" t="str">
        <f>"20190312161151656"</f>
        <v>20190312161151656</v>
      </c>
      <c r="B6861" t="str">
        <f>"1552378311644747"</f>
        <v>1552378311644747</v>
      </c>
      <c r="C6861" t="s">
        <v>40</v>
      </c>
      <c r="D6861">
        <v>5.527711</v>
      </c>
      <c r="E6861">
        <v>0.43006539999999999</v>
      </c>
      <c r="F6861" t="s">
        <v>41</v>
      </c>
      <c r="G6861">
        <v>-187.71879999999999</v>
      </c>
      <c r="H6861" s="1">
        <v>-2.8838959999999999E-6</v>
      </c>
      <c r="I6861">
        <v>-14.587999999999999</v>
      </c>
      <c r="J6861">
        <v>-185.30269999999999</v>
      </c>
      <c r="K6861">
        <v>1.1129020000000001</v>
      </c>
      <c r="L6861">
        <v>-43.371769999999998</v>
      </c>
      <c r="M6861">
        <v>8.5461819999999994E-2</v>
      </c>
      <c r="N6861">
        <v>0</v>
      </c>
      <c r="O6861">
        <v>0.99629489999999998</v>
      </c>
      <c r="P6861">
        <v>9.8123109999999999E-2</v>
      </c>
      <c r="Q6861">
        <v>-3.1599229999999999E-2</v>
      </c>
      <c r="R6861">
        <v>0.99467249999999996</v>
      </c>
      <c r="S6861">
        <v>-0.25296020000000002</v>
      </c>
      <c r="T6861">
        <v>-0.1168863</v>
      </c>
      <c r="U6861">
        <v>3.0411380000000001</v>
      </c>
      <c r="V6861">
        <v>1.292519E-2</v>
      </c>
      <c r="W6861">
        <v>-2.1868019999999998E-2</v>
      </c>
      <c r="X6861">
        <v>0.99967729999999999</v>
      </c>
      <c r="Y6861">
        <v>-0.1677015</v>
      </c>
      <c r="Z6861">
        <v>-3.7858410000000002E-2</v>
      </c>
      <c r="AA6861">
        <v>0.98511059999999995</v>
      </c>
      <c r="AB6861">
        <v>17</v>
      </c>
      <c r="AC6861">
        <v>-2.4161000000000001</v>
      </c>
      <c r="AD6861">
        <v>-1.1129048838959901</v>
      </c>
      <c r="AE6861">
        <v>28.783770000000001</v>
      </c>
      <c r="AF6861">
        <v>-4.8600725700871203</v>
      </c>
      <c r="AG6861">
        <v>-1.1129048838959901</v>
      </c>
      <c r="AH6861">
        <v>28.429756235012899</v>
      </c>
      <c r="AI6861">
        <v>92.209719762228104</v>
      </c>
      <c r="AJ6861">
        <v>99.700950360918796</v>
      </c>
      <c r="AK6861">
        <v>28.863643260152902</v>
      </c>
      <c r="AL6861">
        <v>91.253045151374707</v>
      </c>
      <c r="AM6861">
        <v>89.259243383310803</v>
      </c>
      <c r="AN6861">
        <v>0.99999998748527297</v>
      </c>
    </row>
    <row r="6862" spans="1:40" x14ac:dyDescent="0.25">
      <c r="A6862" t="str">
        <f>"20190312161151680"</f>
        <v>20190312161151680</v>
      </c>
      <c r="B6862" t="str">
        <f>"1552378311674026"</f>
        <v>1552378311674026</v>
      </c>
      <c r="C6862" t="s">
        <v>40</v>
      </c>
      <c r="D6862">
        <v>5.5567029999999997</v>
      </c>
      <c r="E6862">
        <v>0.44850689999999999</v>
      </c>
      <c r="F6862" t="s">
        <v>41</v>
      </c>
      <c r="G6862">
        <v>-187.7946</v>
      </c>
      <c r="H6862" s="1">
        <v>-2.8838260000000001E-6</v>
      </c>
      <c r="I6862">
        <v>-14.55682</v>
      </c>
      <c r="J6862">
        <v>-185.2955</v>
      </c>
      <c r="K6862">
        <v>1.1128180000000001</v>
      </c>
      <c r="L6862">
        <v>-43.18045</v>
      </c>
      <c r="M6862">
        <v>7.7704490000000001E-2</v>
      </c>
      <c r="N6862">
        <v>0</v>
      </c>
      <c r="O6862">
        <v>0.99693069999999895</v>
      </c>
      <c r="P6862">
        <v>9.0833040000000004E-2</v>
      </c>
      <c r="Q6862">
        <v>-3.130024E-2</v>
      </c>
      <c r="R6862">
        <v>0.99537410000000004</v>
      </c>
      <c r="S6862">
        <v>-0.2627563</v>
      </c>
      <c r="T6862">
        <v>-0.11734559999999999</v>
      </c>
      <c r="U6862">
        <v>3.0382690000000001</v>
      </c>
      <c r="V6862">
        <v>1.337556E-2</v>
      </c>
      <c r="W6862">
        <v>-2.1649450000000001E-2</v>
      </c>
      <c r="X6862">
        <v>0.99967620000000001</v>
      </c>
      <c r="Y6862">
        <v>-0.16325609999999999</v>
      </c>
      <c r="Z6862">
        <v>-3.8088610000000002E-2</v>
      </c>
      <c r="AA6862">
        <v>0.98584819999999995</v>
      </c>
      <c r="AB6862">
        <v>18</v>
      </c>
      <c r="AC6862">
        <v>-2.4990999999999901</v>
      </c>
      <c r="AD6862">
        <v>-1.1128208838259901</v>
      </c>
      <c r="AE6862">
        <v>28.623629999999999</v>
      </c>
      <c r="AF6862">
        <v>-4.70876576913866</v>
      </c>
      <c r="AG6862">
        <v>-1.1128208838259901</v>
      </c>
      <c r="AH6862">
        <v>28.300424752513599</v>
      </c>
      <c r="AI6862">
        <v>92.221301412904495</v>
      </c>
      <c r="AJ6862">
        <v>99.446618555999905</v>
      </c>
      <c r="AK6862">
        <v>28.711058610938998</v>
      </c>
      <c r="AL6862">
        <v>91.240518963887297</v>
      </c>
      <c r="AM6862">
        <v>89.233434376346906</v>
      </c>
      <c r="AN6862">
        <v>1.0000000545685199</v>
      </c>
    </row>
    <row r="6863" spans="1:40" x14ac:dyDescent="0.25">
      <c r="A6863" t="str">
        <f>"20190312161151703"</f>
        <v>20190312161151703</v>
      </c>
      <c r="B6863" t="str">
        <f>"1552378311693547"</f>
        <v>1552378311693547</v>
      </c>
      <c r="C6863" t="s">
        <v>40</v>
      </c>
      <c r="D6863">
        <v>5.5287499999999996</v>
      </c>
      <c r="E6863">
        <v>0.45054470000000002</v>
      </c>
      <c r="F6863" t="s">
        <v>41</v>
      </c>
      <c r="G6863">
        <v>-186.56360000000001</v>
      </c>
      <c r="H6863" s="1">
        <v>-2.6836480000000001E-6</v>
      </c>
      <c r="I6863">
        <v>-15.53246</v>
      </c>
      <c r="J6863">
        <v>-185.2901</v>
      </c>
      <c r="K6863">
        <v>1.11273</v>
      </c>
      <c r="L6863">
        <v>-43.005949999999999</v>
      </c>
      <c r="M6863">
        <v>7.081962E-2</v>
      </c>
      <c r="N6863">
        <v>0</v>
      </c>
      <c r="O6863">
        <v>0.99744409999999994</v>
      </c>
      <c r="P6863">
        <v>8.4516040000000001E-2</v>
      </c>
      <c r="Q6863">
        <v>-3.1018259999999999E-2</v>
      </c>
      <c r="R6863">
        <v>0.99593920000000002</v>
      </c>
      <c r="S6863">
        <v>-0.1386414</v>
      </c>
      <c r="T6863">
        <v>-0.1216651</v>
      </c>
      <c r="U6863">
        <v>3.0227659999999998</v>
      </c>
      <c r="V6863">
        <v>1.3928599999999999E-2</v>
      </c>
      <c r="W6863">
        <v>-2.1438970000000002E-2</v>
      </c>
      <c r="X6863">
        <v>0.99967309999999998</v>
      </c>
      <c r="Y6863">
        <v>-0.1164142</v>
      </c>
      <c r="Z6863">
        <v>-3.9907819999999997E-2</v>
      </c>
      <c r="AA6863">
        <v>0.99239869999999997</v>
      </c>
      <c r="AB6863">
        <v>18</v>
      </c>
      <c r="AC6863">
        <v>-1.2735000000000101</v>
      </c>
      <c r="AD6863">
        <v>-1.112732683648</v>
      </c>
      <c r="AE6863">
        <v>27.473490000000002</v>
      </c>
      <c r="AF6863">
        <v>-3.2107959172006302</v>
      </c>
      <c r="AG6863">
        <v>-1.112732683648</v>
      </c>
      <c r="AH6863">
        <v>27.269671131342999</v>
      </c>
      <c r="AI6863">
        <v>92.320632174922693</v>
      </c>
      <c r="AJ6863">
        <v>96.715223557678698</v>
      </c>
      <c r="AK6863">
        <v>27.4805812904089</v>
      </c>
      <c r="AL6863">
        <v>91.228456651679195</v>
      </c>
      <c r="AM6863">
        <v>89.201740691051796</v>
      </c>
      <c r="AN6863">
        <v>0.999999971098115</v>
      </c>
    </row>
    <row r="6864" spans="1:40" x14ac:dyDescent="0.25">
      <c r="A6864" t="str">
        <f>"20190312161151728"</f>
        <v>20190312161151728</v>
      </c>
      <c r="B6864" t="str">
        <f>"1552378311723803"</f>
        <v>1552378311723803</v>
      </c>
      <c r="C6864" t="s">
        <v>40</v>
      </c>
      <c r="D6864">
        <v>5.4908950000000001</v>
      </c>
      <c r="E6864">
        <v>0.45045679999999999</v>
      </c>
      <c r="F6864" t="s">
        <v>41</v>
      </c>
      <c r="G6864">
        <v>-186.5471</v>
      </c>
      <c r="H6864" s="1">
        <v>-2.3814249999999998E-6</v>
      </c>
      <c r="I6864">
        <v>-16.243790000000001</v>
      </c>
      <c r="J6864">
        <v>-185.28559999999999</v>
      </c>
      <c r="K6864">
        <v>1.112625</v>
      </c>
      <c r="L6864">
        <v>-42.830080000000002</v>
      </c>
      <c r="M6864">
        <v>6.4090099999999997E-2</v>
      </c>
      <c r="N6864">
        <v>0</v>
      </c>
      <c r="O6864">
        <v>0.9978998</v>
      </c>
      <c r="P6864">
        <v>7.8322210000000003E-2</v>
      </c>
      <c r="Q6864">
        <v>-3.0524929999999999E-2</v>
      </c>
      <c r="R6864">
        <v>0.99646069999999998</v>
      </c>
      <c r="S6864">
        <v>-0.14186099999999999</v>
      </c>
      <c r="T6864">
        <v>-0.1255821</v>
      </c>
      <c r="U6864">
        <v>3.0203549999999999</v>
      </c>
      <c r="V6864">
        <v>1.44475E-2</v>
      </c>
      <c r="W6864">
        <v>-2.101807E-2</v>
      </c>
      <c r="X6864">
        <v>0.99967470000000003</v>
      </c>
      <c r="Y6864">
        <v>-0.11080230000000001</v>
      </c>
      <c r="Z6864">
        <v>-4.1263920000000003E-2</v>
      </c>
      <c r="AA6864">
        <v>0.99298549999999997</v>
      </c>
      <c r="AB6864">
        <v>18</v>
      </c>
      <c r="AC6864">
        <v>-1.2615000000000101</v>
      </c>
      <c r="AD6864">
        <v>-1.1126273814250001</v>
      </c>
      <c r="AE6864">
        <v>26.586290000000002</v>
      </c>
      <c r="AF6864">
        <v>-2.9577310991881798</v>
      </c>
      <c r="AG6864">
        <v>-1.1126273814250001</v>
      </c>
      <c r="AH6864">
        <v>26.404632552695901</v>
      </c>
      <c r="AI6864">
        <v>92.397898977327102</v>
      </c>
      <c r="AJ6864">
        <v>96.391378784991005</v>
      </c>
      <c r="AK6864">
        <v>26.593057988653499</v>
      </c>
      <c r="AL6864">
        <v>91.204335389469193</v>
      </c>
      <c r="AM6864">
        <v>89.172007504091297</v>
      </c>
      <c r="AN6864">
        <v>0.99999999767143199</v>
      </c>
    </row>
    <row r="6865" spans="1:40" x14ac:dyDescent="0.25">
      <c r="A6865" t="str">
        <f>"20190312161151770"</f>
        <v>20190312161151770</v>
      </c>
      <c r="B6865" t="str">
        <f>"1552378311763819"</f>
        <v>1552378311763819</v>
      </c>
      <c r="C6865" t="s">
        <v>40</v>
      </c>
      <c r="D6865">
        <v>5.6261590000000004</v>
      </c>
      <c r="E6865">
        <v>0.451934</v>
      </c>
      <c r="F6865" t="s">
        <v>41</v>
      </c>
      <c r="G6865">
        <v>-186.9863</v>
      </c>
      <c r="H6865" s="1">
        <v>-4.6361759999999999E-6</v>
      </c>
      <c r="I6865">
        <v>-10.806290000000001</v>
      </c>
      <c r="J6865">
        <v>-185.27959999999999</v>
      </c>
      <c r="K6865">
        <v>1.1124559999999999</v>
      </c>
      <c r="L6865">
        <v>-42.486600000000003</v>
      </c>
      <c r="M6865">
        <v>5.1508650000000003E-2</v>
      </c>
      <c r="N6865">
        <v>0</v>
      </c>
      <c r="O6865">
        <v>0.99862960000000001</v>
      </c>
      <c r="P6865">
        <v>6.8176020000000004E-2</v>
      </c>
      <c r="Q6865">
        <v>-3.086639E-2</v>
      </c>
      <c r="R6865">
        <v>0.99719570000000002</v>
      </c>
      <c r="S6865">
        <v>-0.1603851</v>
      </c>
      <c r="T6865">
        <v>-0.1049281</v>
      </c>
      <c r="U6865">
        <v>3.0200499999999999</v>
      </c>
      <c r="V6865">
        <v>1.686704E-2</v>
      </c>
      <c r="W6865">
        <v>-2.1493600000000002E-2</v>
      </c>
      <c r="X6865">
        <v>0.99962669999999998</v>
      </c>
      <c r="Y6865">
        <v>-0.10436819999999999</v>
      </c>
      <c r="Z6865">
        <v>-3.4534589999999997E-2</v>
      </c>
      <c r="AA6865">
        <v>0.99393889999999996</v>
      </c>
      <c r="AB6865">
        <v>18</v>
      </c>
      <c r="AC6865">
        <v>-1.7067000000000101</v>
      </c>
      <c r="AD6865">
        <v>-1.1124606361760001</v>
      </c>
      <c r="AE6865">
        <v>31.680309999999999</v>
      </c>
      <c r="AF6865">
        <v>-3.3322172448059</v>
      </c>
      <c r="AG6865">
        <v>-1.1124606361760001</v>
      </c>
      <c r="AH6865">
        <v>31.511594926638299</v>
      </c>
      <c r="AI6865">
        <v>92.010684209512405</v>
      </c>
      <c r="AJ6865">
        <v>96.036352063318503</v>
      </c>
      <c r="AK6865">
        <v>31.706810865398602</v>
      </c>
      <c r="AL6865">
        <v>91.231587399105706</v>
      </c>
      <c r="AM6865">
        <v>89.033320633458899</v>
      </c>
      <c r="AN6865">
        <v>1.0000000056161</v>
      </c>
    </row>
    <row r="6866" spans="1:40" x14ac:dyDescent="0.25">
      <c r="A6866" t="str">
        <f>"20190312161151793"</f>
        <v>20190312161151793</v>
      </c>
      <c r="B6866" t="str">
        <f>"1552378311784318"</f>
        <v>1552378311784318</v>
      </c>
      <c r="C6866" t="s">
        <v>40</v>
      </c>
      <c r="D6866">
        <v>5.4108539999999996</v>
      </c>
      <c r="E6866">
        <v>0.45277119999999998</v>
      </c>
      <c r="F6866" t="s">
        <v>41</v>
      </c>
      <c r="G6866">
        <v>-187.15029999999999</v>
      </c>
      <c r="H6866" s="1">
        <v>-4.5278250000000001E-6</v>
      </c>
      <c r="I6866">
        <v>-10.991070000000001</v>
      </c>
      <c r="J6866">
        <v>-185.27780000000001</v>
      </c>
      <c r="K6866">
        <v>1.112398</v>
      </c>
      <c r="L6866">
        <v>-42.30359</v>
      </c>
      <c r="M6866">
        <v>4.5052040000000002E-2</v>
      </c>
      <c r="N6866">
        <v>0</v>
      </c>
      <c r="O6866">
        <v>0.99894240000000001</v>
      </c>
      <c r="P6866">
        <v>6.2382269999999997E-2</v>
      </c>
      <c r="Q6866">
        <v>-3.0527849999999999E-2</v>
      </c>
      <c r="R6866">
        <v>0.99758539999999996</v>
      </c>
      <c r="S6866">
        <v>-0.1792145</v>
      </c>
      <c r="T6866">
        <v>-0.1065781</v>
      </c>
      <c r="U6866">
        <v>3.017395</v>
      </c>
      <c r="V6866">
        <v>1.751726E-2</v>
      </c>
      <c r="W6866">
        <v>-2.1223780000000001E-2</v>
      </c>
      <c r="X6866">
        <v>0.99962130000000005</v>
      </c>
      <c r="Y6866">
        <v>-0.1041671</v>
      </c>
      <c r="Z6866">
        <v>-3.5118509999999999E-2</v>
      </c>
      <c r="AA6866">
        <v>0.99393960000000003</v>
      </c>
      <c r="AB6866">
        <v>18</v>
      </c>
      <c r="AC6866">
        <v>-1.8724999999999701</v>
      </c>
      <c r="AD6866">
        <v>-1.112402527825</v>
      </c>
      <c r="AE6866">
        <v>31.312519999999999</v>
      </c>
      <c r="AF6866">
        <v>-3.2772296184558898</v>
      </c>
      <c r="AG6866">
        <v>-1.112402527825</v>
      </c>
      <c r="AH6866">
        <v>31.1571775519357</v>
      </c>
      <c r="AI6866">
        <v>92.033549901818901</v>
      </c>
      <c r="AJ6866">
        <v>96.004507578510896</v>
      </c>
      <c r="AK6866">
        <v>31.348801992402201</v>
      </c>
      <c r="AL6866">
        <v>91.216124302897995</v>
      </c>
      <c r="AM6866">
        <v>88.996057458879406</v>
      </c>
      <c r="AN6866">
        <v>1.0000000233245401</v>
      </c>
    </row>
    <row r="6867" spans="1:40" x14ac:dyDescent="0.25">
      <c r="A6867" t="str">
        <f>"20190312161151813"</f>
        <v>20190312161151813</v>
      </c>
      <c r="B6867" t="str">
        <f>"1552378311803836"</f>
        <v>1552378311803836</v>
      </c>
      <c r="C6867" t="s">
        <v>40</v>
      </c>
      <c r="D6867">
        <v>5.4908919999999997</v>
      </c>
      <c r="E6867">
        <v>0.45363520000000002</v>
      </c>
      <c r="F6867" t="s">
        <v>41</v>
      </c>
      <c r="G6867">
        <v>-187.32320000000001</v>
      </c>
      <c r="H6867" s="1">
        <v>-8.9198679999999997E-7</v>
      </c>
      <c r="I6867">
        <v>-9.8236980000000003</v>
      </c>
      <c r="J6867">
        <v>-185.27709999999999</v>
      </c>
      <c r="K6867">
        <v>1.112365</v>
      </c>
      <c r="L6867">
        <v>-42.139830000000003</v>
      </c>
      <c r="M6867">
        <v>3.9407949999999997E-2</v>
      </c>
      <c r="N6867">
        <v>0</v>
      </c>
      <c r="O6867">
        <v>0.9991814</v>
      </c>
      <c r="P6867">
        <v>5.7865369999999999E-2</v>
      </c>
      <c r="Q6867">
        <v>-3.0492020000000002E-2</v>
      </c>
      <c r="R6867">
        <v>0.99785860000000004</v>
      </c>
      <c r="S6867">
        <v>-0.18992609999999999</v>
      </c>
      <c r="T6867">
        <v>-0.1032932</v>
      </c>
      <c r="U6867">
        <v>3.0159609999999999</v>
      </c>
      <c r="V6867">
        <v>1.86372E-2</v>
      </c>
      <c r="W6867">
        <v>-2.1238770000000001E-2</v>
      </c>
      <c r="X6867">
        <v>0.99960070000000001</v>
      </c>
      <c r="Y6867">
        <v>-0.10209550000000001</v>
      </c>
      <c r="Z6867">
        <v>-3.4065749999999999E-2</v>
      </c>
      <c r="AA6867">
        <v>0.99419120000000005</v>
      </c>
      <c r="AB6867">
        <v>18</v>
      </c>
      <c r="AC6867">
        <v>-2.04610000000002</v>
      </c>
      <c r="AD6867">
        <v>-1.1123658919868</v>
      </c>
      <c r="AE6867">
        <v>32.316132000000003</v>
      </c>
      <c r="AF6867">
        <v>-3.3141651326053099</v>
      </c>
      <c r="AG6867">
        <v>-1.1123658919868</v>
      </c>
      <c r="AH6867">
        <v>32.1724242186989</v>
      </c>
      <c r="AI6867">
        <v>91.969804921660796</v>
      </c>
      <c r="AJ6867">
        <v>95.881442048888005</v>
      </c>
      <c r="AK6867">
        <v>32.3617973621948</v>
      </c>
      <c r="AL6867">
        <v>91.216983394718298</v>
      </c>
      <c r="AM6867">
        <v>88.931864300019697</v>
      </c>
      <c r="AN6867">
        <v>0.99999999500772097</v>
      </c>
    </row>
    <row r="6868" spans="1:40" x14ac:dyDescent="0.25">
      <c r="A6868" t="str">
        <f>"20190312161151836"</f>
        <v>20190312161151836</v>
      </c>
      <c r="B6868" t="str">
        <f>"1552378311824331"</f>
        <v>1552378311824331</v>
      </c>
      <c r="C6868" t="s">
        <v>40</v>
      </c>
      <c r="D6868">
        <v>5.4417720000000003</v>
      </c>
      <c r="E6868">
        <v>0.45440190000000003</v>
      </c>
      <c r="F6868" t="s">
        <v>41</v>
      </c>
      <c r="G6868">
        <v>-187.36240000000001</v>
      </c>
      <c r="H6868" s="1">
        <v>-7.5216800000000004E-7</v>
      </c>
      <c r="I6868">
        <v>-10.20387</v>
      </c>
      <c r="J6868">
        <v>-185.27709999999999</v>
      </c>
      <c r="K6868">
        <v>1.1123149999999999</v>
      </c>
      <c r="L6868">
        <v>-41.966000000000001</v>
      </c>
      <c r="M6868">
        <v>3.3590080000000001E-2</v>
      </c>
      <c r="N6868">
        <v>0</v>
      </c>
      <c r="O6868">
        <v>0.99939449999999996</v>
      </c>
      <c r="P6868">
        <v>5.2804589999999998E-2</v>
      </c>
      <c r="Q6868">
        <v>-3.088198E-2</v>
      </c>
      <c r="R6868">
        <v>0.99812719999999999</v>
      </c>
      <c r="S6868">
        <v>-0.19685359999999999</v>
      </c>
      <c r="T6868">
        <v>-0.1050036</v>
      </c>
      <c r="U6868">
        <v>3.0146480000000002</v>
      </c>
      <c r="V6868">
        <v>1.9388849999999999E-2</v>
      </c>
      <c r="W6868">
        <v>-2.1680370000000001E-2</v>
      </c>
      <c r="X6868">
        <v>0.99957689999999999</v>
      </c>
      <c r="Y6868">
        <v>-9.8604349999999993E-2</v>
      </c>
      <c r="Z6868">
        <v>-3.4658849999999998E-2</v>
      </c>
      <c r="AA6868">
        <v>0.99452300000000005</v>
      </c>
      <c r="AB6868">
        <v>18</v>
      </c>
      <c r="AC6868">
        <v>-2.0853000000000099</v>
      </c>
      <c r="AD6868">
        <v>-1.112315752168</v>
      </c>
      <c r="AE6868">
        <v>31.762129999999999</v>
      </c>
      <c r="AF6868">
        <v>-3.1472163472401</v>
      </c>
      <c r="AG6868">
        <v>-1.112315752168</v>
      </c>
      <c r="AH6868">
        <v>31.6355249687197</v>
      </c>
      <c r="AI6868">
        <v>92.003826048751094</v>
      </c>
      <c r="AJ6868">
        <v>95.681297828532095</v>
      </c>
      <c r="AK6868">
        <v>31.811140456062599</v>
      </c>
      <c r="AL6868">
        <v>91.242291067195694</v>
      </c>
      <c r="AM6868">
        <v>88.888769856205101</v>
      </c>
      <c r="AN6868">
        <v>0.99999997248063399</v>
      </c>
    </row>
    <row r="6869" spans="1:40" x14ac:dyDescent="0.25">
      <c r="A6869" t="str">
        <f>"20190312161151858"</f>
        <v>20190312161151858</v>
      </c>
      <c r="B6869" t="str">
        <f>"1552378311853611"</f>
        <v>1552378311853611</v>
      </c>
      <c r="C6869" t="s">
        <v>40</v>
      </c>
      <c r="D6869">
        <v>5.3562770000000004</v>
      </c>
      <c r="E6869">
        <v>0.4555225</v>
      </c>
      <c r="F6869" t="s">
        <v>41</v>
      </c>
      <c r="G6869">
        <v>-187.3366</v>
      </c>
      <c r="H6869" s="1">
        <v>-4.1061509999999999E-6</v>
      </c>
      <c r="I6869">
        <v>-11.89695</v>
      </c>
      <c r="J6869">
        <v>-185.27799999999999</v>
      </c>
      <c r="K6869">
        <v>1.112244</v>
      </c>
      <c r="L6869">
        <v>-41.783389999999997</v>
      </c>
      <c r="M6869">
        <v>2.767853E-2</v>
      </c>
      <c r="N6869">
        <v>0</v>
      </c>
      <c r="O6869">
        <v>0.99957620000000003</v>
      </c>
      <c r="P6869">
        <v>4.7688540000000001E-2</v>
      </c>
      <c r="Q6869">
        <v>-3.0419479999999999E-2</v>
      </c>
      <c r="R6869">
        <v>0.99839900000000004</v>
      </c>
      <c r="S6869">
        <v>-0.20637510000000001</v>
      </c>
      <c r="T6869">
        <v>-0.1114608</v>
      </c>
      <c r="U6869">
        <v>3.0130919999999999</v>
      </c>
      <c r="V6869">
        <v>2.0171359999999999E-2</v>
      </c>
      <c r="W6869">
        <v>-2.1271149999999999E-2</v>
      </c>
      <c r="X6869">
        <v>0.99957030000000002</v>
      </c>
      <c r="Y6869">
        <v>-9.5875100000000005E-2</v>
      </c>
      <c r="Z6869">
        <v>-3.6817410000000002E-2</v>
      </c>
      <c r="AA6869">
        <v>0.99471220000000005</v>
      </c>
      <c r="AB6869">
        <v>18</v>
      </c>
      <c r="AC6869">
        <v>-2.05860000000001</v>
      </c>
      <c r="AD6869">
        <v>-1.1122481061509999</v>
      </c>
      <c r="AE6869">
        <v>29.88644</v>
      </c>
      <c r="AF6869">
        <v>-2.8810860903646298</v>
      </c>
      <c r="AG6869">
        <v>-1.1122481061509999</v>
      </c>
      <c r="AH6869">
        <v>29.7769606845557</v>
      </c>
      <c r="AI6869">
        <v>92.129220099744501</v>
      </c>
      <c r="AJ6869">
        <v>95.526481639287994</v>
      </c>
      <c r="AK6869">
        <v>29.936685529953198</v>
      </c>
      <c r="AL6869">
        <v>91.218838965822101</v>
      </c>
      <c r="AM6869">
        <v>88.843926286334096</v>
      </c>
      <c r="AN6869">
        <v>1.0000000651143199</v>
      </c>
    </row>
    <row r="6870" spans="1:40" x14ac:dyDescent="0.25">
      <c r="A6870" t="str">
        <f>"20190312161151881"</f>
        <v>20190312161151881</v>
      </c>
      <c r="B6870" t="str">
        <f>"1552378311874107"</f>
        <v>1552378311874107</v>
      </c>
      <c r="C6870" t="s">
        <v>40</v>
      </c>
      <c r="D6870">
        <v>5.1869050000000003</v>
      </c>
      <c r="E6870">
        <v>0.45582660000000003</v>
      </c>
      <c r="F6870" t="s">
        <v>41</v>
      </c>
      <c r="G6870">
        <v>-187.3877</v>
      </c>
      <c r="H6870" s="1">
        <v>-4.0835739999999999E-6</v>
      </c>
      <c r="I6870">
        <v>-11.92844</v>
      </c>
      <c r="J6870">
        <v>-185.27979999999999</v>
      </c>
      <c r="K6870">
        <v>1.112144</v>
      </c>
      <c r="L6870">
        <v>-41.595210000000002</v>
      </c>
      <c r="M6870">
        <v>2.1798439999999999E-2</v>
      </c>
      <c r="N6870">
        <v>0</v>
      </c>
      <c r="O6870">
        <v>0.99972220000000001</v>
      </c>
      <c r="P6870">
        <v>4.2187889999999999E-2</v>
      </c>
      <c r="Q6870">
        <v>-3.0679700000000001E-2</v>
      </c>
      <c r="R6870">
        <v>0.99863860000000004</v>
      </c>
      <c r="S6870">
        <v>-0.21281430000000001</v>
      </c>
      <c r="T6870">
        <v>-0.11219609999999999</v>
      </c>
      <c r="U6870">
        <v>3.0115660000000002</v>
      </c>
      <c r="V6870">
        <v>2.0541770000000001E-2</v>
      </c>
      <c r="W6870">
        <v>-2.159177E-2</v>
      </c>
      <c r="X6870">
        <v>0.99955579999999999</v>
      </c>
      <c r="Y6870">
        <v>-9.2169689999999999E-2</v>
      </c>
      <c r="Z6870">
        <v>-3.7090539999999998E-2</v>
      </c>
      <c r="AA6870">
        <v>0.9950523</v>
      </c>
      <c r="AB6870">
        <v>18</v>
      </c>
      <c r="AC6870">
        <v>-2.1078999999999999</v>
      </c>
      <c r="AD6870">
        <v>-1.1121480835740001</v>
      </c>
      <c r="AE6870">
        <v>29.66677</v>
      </c>
      <c r="AF6870">
        <v>-2.7502687039395899</v>
      </c>
      <c r="AG6870">
        <v>-1.1121480835740001</v>
      </c>
      <c r="AH6870">
        <v>29.572418549236001</v>
      </c>
      <c r="AI6870">
        <v>92.144497095522894</v>
      </c>
      <c r="AJ6870">
        <v>95.313289522872395</v>
      </c>
      <c r="AK6870">
        <v>29.720847736140801</v>
      </c>
      <c r="AL6870">
        <v>91.237213459273903</v>
      </c>
      <c r="AM6870">
        <v>88.822685962148796</v>
      </c>
      <c r="AN6870">
        <v>0.999999983080052</v>
      </c>
    </row>
    <row r="6871" spans="1:40" x14ac:dyDescent="0.25">
      <c r="A6871" t="str">
        <f>"20190312161151903"</f>
        <v>20190312161151903</v>
      </c>
      <c r="B6871" t="str">
        <f>"1552378311893627"</f>
        <v>1552378311893627</v>
      </c>
      <c r="C6871" t="s">
        <v>40</v>
      </c>
      <c r="D6871">
        <v>5.1784689999999998</v>
      </c>
      <c r="E6871">
        <v>0.45643450000000002</v>
      </c>
      <c r="F6871" t="s">
        <v>41</v>
      </c>
      <c r="G6871">
        <v>-187.51900000000001</v>
      </c>
      <c r="H6871" s="1">
        <v>-4.074296E-6</v>
      </c>
      <c r="I6871">
        <v>-11.89578</v>
      </c>
      <c r="J6871">
        <v>-185.28219999999999</v>
      </c>
      <c r="K6871">
        <v>1.112028</v>
      </c>
      <c r="L6871">
        <v>-41.422359999999998</v>
      </c>
      <c r="M6871">
        <v>1.658917E-2</v>
      </c>
      <c r="N6871">
        <v>0</v>
      </c>
      <c r="O6871">
        <v>0.99982269999999895</v>
      </c>
      <c r="P6871">
        <v>3.7449379999999997E-2</v>
      </c>
      <c r="Q6871">
        <v>-3.092893E-2</v>
      </c>
      <c r="R6871">
        <v>0.99881980000000004</v>
      </c>
      <c r="S6871">
        <v>-0.2269592</v>
      </c>
      <c r="T6871">
        <v>-0.11272310000000001</v>
      </c>
      <c r="U6871">
        <v>3.0102229999999999</v>
      </c>
      <c r="V6871">
        <v>2.1004020000000002E-2</v>
      </c>
      <c r="W6871">
        <v>-2.1896079999999998E-2</v>
      </c>
      <c r="X6871">
        <v>0.99953959999999997</v>
      </c>
      <c r="Y6871">
        <v>-9.166299E-2</v>
      </c>
      <c r="Z6871">
        <v>-3.72812E-2</v>
      </c>
      <c r="AA6871">
        <v>0.99509199999999998</v>
      </c>
      <c r="AB6871">
        <v>18</v>
      </c>
      <c r="AC6871">
        <v>-2.2368000000000099</v>
      </c>
      <c r="AD6871">
        <v>-1.1120320742959999</v>
      </c>
      <c r="AE6871">
        <v>29.526579999999999</v>
      </c>
      <c r="AF6871">
        <v>-2.7224934295521499</v>
      </c>
      <c r="AG6871">
        <v>-1.1120320742959999</v>
      </c>
      <c r="AH6871">
        <v>29.4438825888815</v>
      </c>
      <c r="AI6871">
        <v>92.153731845159498</v>
      </c>
      <c r="AJ6871">
        <v>95.282764880554595</v>
      </c>
      <c r="AK6871">
        <v>29.5903837034273</v>
      </c>
      <c r="AL6871">
        <v>91.254653228298395</v>
      </c>
      <c r="AM6871">
        <v>88.796181152813503</v>
      </c>
      <c r="AN6871">
        <v>1.00000000957184</v>
      </c>
    </row>
    <row r="6872" spans="1:40" x14ac:dyDescent="0.25">
      <c r="A6872" t="str">
        <f>"20190312161151928"</f>
        <v>20190312161151928</v>
      </c>
      <c r="B6872" t="str">
        <f>"1552378311923884"</f>
        <v>1552378311923884</v>
      </c>
      <c r="C6872" t="s">
        <v>40</v>
      </c>
      <c r="D6872">
        <v>5.001938</v>
      </c>
      <c r="E6872">
        <v>0.45711849999999998</v>
      </c>
      <c r="F6872" t="s">
        <v>41</v>
      </c>
      <c r="G6872">
        <v>-187.59559999999999</v>
      </c>
      <c r="H6872" s="1">
        <v>-4.0214689999999997E-6</v>
      </c>
      <c r="I6872">
        <v>-11.987259999999999</v>
      </c>
      <c r="J6872">
        <v>-185.28559999999999</v>
      </c>
      <c r="K6872">
        <v>1.111912</v>
      </c>
      <c r="L6872">
        <v>-41.23218</v>
      </c>
      <c r="M6872">
        <v>1.109636E-2</v>
      </c>
      <c r="N6872">
        <v>0</v>
      </c>
      <c r="O6872">
        <v>0.99989910000000004</v>
      </c>
      <c r="P6872">
        <v>3.1890639999999998E-2</v>
      </c>
      <c r="Q6872">
        <v>-3.0890259999999999E-2</v>
      </c>
      <c r="R6872">
        <v>0.99901390000000001</v>
      </c>
      <c r="S6872">
        <v>-0.23648069999999999</v>
      </c>
      <c r="T6872">
        <v>-0.113674</v>
      </c>
      <c r="U6872">
        <v>3.0089109999999999</v>
      </c>
      <c r="V6872">
        <v>2.0926810000000001E-2</v>
      </c>
      <c r="W6872">
        <v>-2.1917059999999999E-2</v>
      </c>
      <c r="X6872">
        <v>0.99954069999999995</v>
      </c>
      <c r="Y6872">
        <v>-8.9354249999999996E-2</v>
      </c>
      <c r="Z6872">
        <v>-3.7615299999999997E-2</v>
      </c>
      <c r="AA6872">
        <v>0.99528939999999999</v>
      </c>
      <c r="AB6872">
        <v>18</v>
      </c>
      <c r="AC6872">
        <v>-2.31</v>
      </c>
      <c r="AD6872">
        <v>-1.111916021469</v>
      </c>
      <c r="AE6872">
        <v>29.24492</v>
      </c>
      <c r="AF6872">
        <v>-2.6306035170156501</v>
      </c>
      <c r="AG6872">
        <v>-1.111916021469</v>
      </c>
      <c r="AH6872">
        <v>29.175571542013898</v>
      </c>
      <c r="AI6872">
        <v>92.173745085673602</v>
      </c>
      <c r="AJ6872">
        <v>95.152119099058595</v>
      </c>
      <c r="AK6872">
        <v>29.315020158712201</v>
      </c>
      <c r="AL6872">
        <v>91.2558556571976</v>
      </c>
      <c r="AM6872">
        <v>88.800606370851298</v>
      </c>
      <c r="AN6872">
        <v>0.99999994992615304</v>
      </c>
    </row>
    <row r="6873" spans="1:40" x14ac:dyDescent="0.25">
      <c r="A6873" t="str">
        <f>"20190312161151953"</f>
        <v>20190312161151953</v>
      </c>
      <c r="B6873" t="str">
        <f>"1552378311944380"</f>
        <v>1552378311944380</v>
      </c>
      <c r="C6873" t="s">
        <v>40</v>
      </c>
      <c r="D6873">
        <v>4.980518</v>
      </c>
      <c r="E6873">
        <v>0.45748050000000001</v>
      </c>
      <c r="F6873" t="s">
        <v>41</v>
      </c>
      <c r="G6873">
        <v>-187.7303</v>
      </c>
      <c r="H6873" s="1">
        <v>-4.18923E-6</v>
      </c>
      <c r="I6873">
        <v>-11.5405</v>
      </c>
      <c r="J6873">
        <v>-185.29040000000001</v>
      </c>
      <c r="K6873">
        <v>1.1117889999999999</v>
      </c>
      <c r="L6873">
        <v>-41.013579999999997</v>
      </c>
      <c r="M6873">
        <v>5.0859579999999998E-3</v>
      </c>
      <c r="N6873">
        <v>0</v>
      </c>
      <c r="O6873">
        <v>0.99994830000000001</v>
      </c>
      <c r="P6873">
        <v>2.5867850000000001E-2</v>
      </c>
      <c r="Q6873">
        <v>-3.0854349999999999E-2</v>
      </c>
      <c r="R6873">
        <v>0.99918910000000005</v>
      </c>
      <c r="S6873">
        <v>-0.2476196</v>
      </c>
      <c r="T6873">
        <v>-0.1126229</v>
      </c>
      <c r="U6873">
        <v>3.0073850000000002</v>
      </c>
      <c r="V6873">
        <v>2.0903149999999999E-2</v>
      </c>
      <c r="W6873">
        <v>-2.194107E-2</v>
      </c>
      <c r="X6873">
        <v>0.99954069999999995</v>
      </c>
      <c r="Y6873">
        <v>-8.7070389999999998E-2</v>
      </c>
      <c r="Z6873">
        <v>-3.728774E-2</v>
      </c>
      <c r="AA6873">
        <v>0.9955041</v>
      </c>
      <c r="AB6873">
        <v>18</v>
      </c>
      <c r="AC6873">
        <v>-2.43989999999999</v>
      </c>
      <c r="AD6873">
        <v>-1.1117931892299999</v>
      </c>
      <c r="AE6873">
        <v>29.47308</v>
      </c>
      <c r="AF6873">
        <v>-2.58611816811533</v>
      </c>
      <c r="AG6873">
        <v>-1.1117931892299999</v>
      </c>
      <c r="AH6873">
        <v>29.418711941511699</v>
      </c>
      <c r="AI6873">
        <v>92.155988031075793</v>
      </c>
      <c r="AJ6873">
        <v>95.023800391004798</v>
      </c>
      <c r="AK6873">
        <v>29.553082809966099</v>
      </c>
      <c r="AL6873">
        <v>91.257231620000297</v>
      </c>
      <c r="AM6873">
        <v>88.801962018361394</v>
      </c>
      <c r="AN6873">
        <v>0.99999998159457804</v>
      </c>
    </row>
    <row r="6874" spans="1:40" x14ac:dyDescent="0.25">
      <c r="A6874" t="str">
        <f>"20190312161151996"</f>
        <v>20190312161151996</v>
      </c>
      <c r="B6874" t="str">
        <f>"1552378311984395"</f>
        <v>1552378311984395</v>
      </c>
      <c r="C6874" t="s">
        <v>40</v>
      </c>
      <c r="D6874">
        <v>4.8213059999999999</v>
      </c>
      <c r="E6874">
        <v>0.45819409999999999</v>
      </c>
      <c r="F6874" t="s">
        <v>41</v>
      </c>
      <c r="G6874">
        <v>-187.91970000000001</v>
      </c>
      <c r="H6874" s="1">
        <v>-4.4136039999999997E-6</v>
      </c>
      <c r="I6874">
        <v>-10.939170000000001</v>
      </c>
      <c r="J6874">
        <v>-185.2998</v>
      </c>
      <c r="K6874">
        <v>1.11165</v>
      </c>
      <c r="L6874">
        <v>-40.674500000000002</v>
      </c>
      <c r="M6874">
        <v>-3.7160930000000002E-3</v>
      </c>
      <c r="N6874">
        <v>0</v>
      </c>
      <c r="O6874">
        <v>0.99995500000000004</v>
      </c>
      <c r="P6874">
        <v>1.763141E-2</v>
      </c>
      <c r="Q6874">
        <v>-3.0868630000000001E-2</v>
      </c>
      <c r="R6874">
        <v>0.99936800000000003</v>
      </c>
      <c r="S6874">
        <v>-0.26278689999999999</v>
      </c>
      <c r="T6874">
        <v>-0.1111197</v>
      </c>
      <c r="U6874">
        <v>3.0058289999999999</v>
      </c>
      <c r="V6874">
        <v>2.1456719999999999E-2</v>
      </c>
      <c r="W6874">
        <v>-2.203451E-2</v>
      </c>
      <c r="X6874">
        <v>0.9995269</v>
      </c>
      <c r="Y6874">
        <v>-8.3331820000000001E-2</v>
      </c>
      <c r="Z6874">
        <v>-3.6808130000000001E-2</v>
      </c>
      <c r="AA6874">
        <v>0.99584189999999995</v>
      </c>
      <c r="AB6874">
        <v>18</v>
      </c>
      <c r="AC6874">
        <v>-2.6198999999999999</v>
      </c>
      <c r="AD6874">
        <v>-1.1116544136040001</v>
      </c>
      <c r="AE6874">
        <v>29.735330000000001</v>
      </c>
      <c r="AF6874">
        <v>-2.5059030863027298</v>
      </c>
      <c r="AG6874">
        <v>-1.1116544136040001</v>
      </c>
      <c r="AH6874">
        <v>29.7036657158453</v>
      </c>
      <c r="AI6874">
        <v>92.1357045372241</v>
      </c>
      <c r="AJ6874">
        <v>94.822249758683697</v>
      </c>
      <c r="AK6874">
        <v>29.829902493503202</v>
      </c>
      <c r="AL6874">
        <v>91.262586650618204</v>
      </c>
      <c r="AM6874">
        <v>88.770227487891901</v>
      </c>
      <c r="AN6874">
        <v>0.99999996714385297</v>
      </c>
    </row>
    <row r="6875" spans="1:40" x14ac:dyDescent="0.25">
      <c r="A6875" t="str">
        <f>"20190312161152037"</f>
        <v>20190312161152037</v>
      </c>
      <c r="B6875" t="str">
        <f>"1552378312034172"</f>
        <v>1552378312034172</v>
      </c>
      <c r="C6875" t="s">
        <v>40</v>
      </c>
      <c r="D6875">
        <v>4.622763</v>
      </c>
      <c r="E6875">
        <v>0.51941369999999998</v>
      </c>
      <c r="F6875" t="s">
        <v>41</v>
      </c>
      <c r="G6875">
        <v>-188.2063</v>
      </c>
      <c r="H6875" s="1">
        <v>-7.034915E-7</v>
      </c>
      <c r="I6875">
        <v>-9.6871220000000005</v>
      </c>
      <c r="J6875">
        <v>-185.3117</v>
      </c>
      <c r="K6875">
        <v>1.1115469999999901</v>
      </c>
      <c r="L6875">
        <v>-40.32593</v>
      </c>
      <c r="M6875">
        <v>-1.2122320000000001E-2</v>
      </c>
      <c r="N6875">
        <v>0</v>
      </c>
      <c r="O6875">
        <v>0.99988909999999998</v>
      </c>
      <c r="P6875">
        <v>1.0604540000000001E-2</v>
      </c>
      <c r="Q6875">
        <v>-3.068835E-2</v>
      </c>
      <c r="R6875">
        <v>0.99947269999999999</v>
      </c>
      <c r="S6875">
        <v>-0.281723</v>
      </c>
      <c r="T6875">
        <v>-0.1077499</v>
      </c>
      <c r="U6875">
        <v>3.0035400000000001</v>
      </c>
      <c r="V6875">
        <v>2.2826030000000001E-2</v>
      </c>
      <c r="W6875">
        <v>-2.1927809999999999E-2</v>
      </c>
      <c r="X6875">
        <v>0.99949900000000003</v>
      </c>
      <c r="Y6875">
        <v>-8.1250879999999998E-2</v>
      </c>
      <c r="Z6875">
        <v>-3.5709770000000002E-2</v>
      </c>
      <c r="AA6875">
        <v>0.99605379999999999</v>
      </c>
      <c r="AB6875">
        <v>19</v>
      </c>
      <c r="AC6875">
        <v>-2.8945999999999898</v>
      </c>
      <c r="AD6875">
        <v>-1.11154770349149</v>
      </c>
      <c r="AE6875">
        <v>30.638808000000001</v>
      </c>
      <c r="AF6875">
        <v>-2.5196729773599502</v>
      </c>
      <c r="AG6875">
        <v>-1.11154770349149</v>
      </c>
      <c r="AH6875">
        <v>30.6316872421272</v>
      </c>
      <c r="AI6875">
        <v>92.071220159480205</v>
      </c>
      <c r="AJ6875">
        <v>94.702396442572706</v>
      </c>
      <c r="AK6875">
        <v>30.7552361966133</v>
      </c>
      <c r="AL6875">
        <v>91.256471604446006</v>
      </c>
      <c r="AM6875">
        <v>88.691736674104604</v>
      </c>
      <c r="AN6875">
        <v>1.0000000537489699</v>
      </c>
    </row>
    <row r="6876" spans="1:40" x14ac:dyDescent="0.25">
      <c r="A6876" t="str">
        <f>"20190312161152061"</f>
        <v>20190312161152061</v>
      </c>
      <c r="B6876" t="str">
        <f>"1552378312053692"</f>
        <v>1552378312053692</v>
      </c>
      <c r="C6876" t="s">
        <v>40</v>
      </c>
      <c r="D6876">
        <v>4.5556229999999998</v>
      </c>
      <c r="E6876">
        <v>0.52100590000000002</v>
      </c>
      <c r="F6876" t="s">
        <v>42</v>
      </c>
      <c r="G6876">
        <v>-185.2687</v>
      </c>
      <c r="H6876">
        <v>0.99375650000000004</v>
      </c>
      <c r="I6876">
        <v>-39.564830000000001</v>
      </c>
      <c r="J6876">
        <v>-185.31970000000001</v>
      </c>
      <c r="K6876">
        <v>1.1114740000000001</v>
      </c>
      <c r="L6876">
        <v>-40.122860000000003</v>
      </c>
      <c r="M6876">
        <v>-1.6746489999999999E-2</v>
      </c>
      <c r="N6876">
        <v>0</v>
      </c>
      <c r="O6876">
        <v>0.99982260000000001</v>
      </c>
      <c r="P6876">
        <v>7.5507959999999898E-3</v>
      </c>
      <c r="Q6876">
        <v>-3.135027E-2</v>
      </c>
      <c r="R6876">
        <v>0.99947989999999998</v>
      </c>
      <c r="S6876">
        <v>0.16784669999999999</v>
      </c>
      <c r="T6876">
        <v>-0.46240160000000002</v>
      </c>
      <c r="U6876">
        <v>2.9855960000000001</v>
      </c>
      <c r="V6876">
        <v>2.4393769999999999E-2</v>
      </c>
      <c r="W6876">
        <v>-2.2624600000000002E-2</v>
      </c>
      <c r="X6876">
        <v>0.99944639999999996</v>
      </c>
      <c r="Y6876">
        <v>7.2184410000000004E-2</v>
      </c>
      <c r="Z6876">
        <v>-0.1527029</v>
      </c>
      <c r="AA6876">
        <v>0.98563239999999996</v>
      </c>
      <c r="AB6876">
        <v>19</v>
      </c>
      <c r="AC6876">
        <v>5.1000000000016102E-2</v>
      </c>
      <c r="AD6876">
        <v>-0.1177175</v>
      </c>
      <c r="AE6876">
        <v>0.55802999999999503</v>
      </c>
      <c r="AF6876">
        <v>5.7787936223578397E-2</v>
      </c>
      <c r="AG6876">
        <v>-0.1177175</v>
      </c>
      <c r="AH6876">
        <v>0.53355091943036304</v>
      </c>
      <c r="AI6876">
        <v>102.37175440924</v>
      </c>
      <c r="AJ6876">
        <v>83.818493535577403</v>
      </c>
      <c r="AK6876">
        <v>0.54943010383871005</v>
      </c>
      <c r="AL6876">
        <v>91.296404685508705</v>
      </c>
      <c r="AM6876">
        <v>88.6018433497876</v>
      </c>
      <c r="AN6876">
        <v>1.0000000175064601</v>
      </c>
    </row>
    <row r="6877" spans="1:40" x14ac:dyDescent="0.25">
      <c r="A6877" t="str">
        <f>"20190312161152082"</f>
        <v>20190312161152082</v>
      </c>
      <c r="B6877" t="str">
        <f>"1552378312074188"</f>
        <v>1552378312074188</v>
      </c>
      <c r="C6877" t="s">
        <v>40</v>
      </c>
      <c r="D6877">
        <v>4.5681479999999999</v>
      </c>
      <c r="E6877">
        <v>0.52183250000000003</v>
      </c>
      <c r="F6877" t="s">
        <v>42</v>
      </c>
      <c r="G6877">
        <v>-185.2782</v>
      </c>
      <c r="H6877">
        <v>0.99624120000000005</v>
      </c>
      <c r="I6877">
        <v>-39.397469999999998</v>
      </c>
      <c r="J6877">
        <v>-185.3271</v>
      </c>
      <c r="K6877">
        <v>1.111391</v>
      </c>
      <c r="L6877">
        <v>-39.949129999999997</v>
      </c>
      <c r="M6877">
        <v>-2.051884E-2</v>
      </c>
      <c r="N6877">
        <v>0</v>
      </c>
      <c r="O6877">
        <v>0.99975259999999999</v>
      </c>
      <c r="P6877">
        <v>6.0499799999999999E-3</v>
      </c>
      <c r="Q6877">
        <v>-3.2392490000000003E-2</v>
      </c>
      <c r="R6877">
        <v>0.99945689999999998</v>
      </c>
      <c r="S6877">
        <v>0.1710052</v>
      </c>
      <c r="T6877">
        <v>-0.47409960000000001</v>
      </c>
      <c r="U6877">
        <v>2.9854129999999999</v>
      </c>
      <c r="V6877">
        <v>2.6663309999999999E-2</v>
      </c>
      <c r="W6877">
        <v>-2.3693990000000002E-2</v>
      </c>
      <c r="X6877">
        <v>0.99936360000000002</v>
      </c>
      <c r="Y6877">
        <v>7.695594E-2</v>
      </c>
      <c r="Z6877">
        <v>-0.1564325</v>
      </c>
      <c r="AA6877">
        <v>0.98468610000000001</v>
      </c>
      <c r="AB6877">
        <v>19</v>
      </c>
      <c r="AC6877">
        <v>4.8900000000003198E-2</v>
      </c>
      <c r="AD6877">
        <v>-0.115149799999999</v>
      </c>
      <c r="AE6877">
        <v>0.55165999999999804</v>
      </c>
      <c r="AF6877">
        <v>5.7714549874680103E-2</v>
      </c>
      <c r="AG6877">
        <v>-0.115149799999999</v>
      </c>
      <c r="AH6877">
        <v>0.52772685586644197</v>
      </c>
      <c r="AI6877">
        <v>102.238237132911</v>
      </c>
      <c r="AJ6877">
        <v>83.758683779167399</v>
      </c>
      <c r="AK6877">
        <v>0.54321826194445799</v>
      </c>
      <c r="AL6877">
        <v>91.3576927221837</v>
      </c>
      <c r="AM6877">
        <v>88.4716945912471</v>
      </c>
      <c r="AN6877">
        <v>0.99999997113361705</v>
      </c>
    </row>
    <row r="6878" spans="1:40" x14ac:dyDescent="0.25">
      <c r="A6878" t="str">
        <f>"20190312161152105"</f>
        <v>20190312161152105</v>
      </c>
      <c r="B6878" t="str">
        <f>"1552378312093707"</f>
        <v>1552378312093707</v>
      </c>
      <c r="C6878" t="s">
        <v>40</v>
      </c>
      <c r="D6878">
        <v>4.5378439999999998</v>
      </c>
      <c r="E6878">
        <v>0.52236009999999999</v>
      </c>
      <c r="F6878" t="s">
        <v>42</v>
      </c>
      <c r="G6878">
        <v>-185.28540000000001</v>
      </c>
      <c r="H6878">
        <v>0.99552260000000004</v>
      </c>
      <c r="I6878">
        <v>-39.231059999999999</v>
      </c>
      <c r="J6878">
        <v>-185.3355</v>
      </c>
      <c r="K6878">
        <v>1.111264</v>
      </c>
      <c r="L6878">
        <v>-39.761510000000001</v>
      </c>
      <c r="M6878">
        <v>-2.4369869999999998E-2</v>
      </c>
      <c r="N6878">
        <v>0</v>
      </c>
      <c r="O6878">
        <v>0.99966650000000001</v>
      </c>
      <c r="P6878">
        <v>3.8070249999999999E-3</v>
      </c>
      <c r="Q6878">
        <v>-3.2211620000000003E-2</v>
      </c>
      <c r="R6878">
        <v>0.99947379999999997</v>
      </c>
      <c r="S6878">
        <v>0.17260739999999999</v>
      </c>
      <c r="T6878">
        <v>-0.48183769999999998</v>
      </c>
      <c r="U6878">
        <v>2.984985</v>
      </c>
      <c r="V6878">
        <v>2.826296E-2</v>
      </c>
      <c r="W6878">
        <v>-2.3551160000000002E-2</v>
      </c>
      <c r="X6878">
        <v>0.99932310000000002</v>
      </c>
      <c r="Y6878">
        <v>8.1307599999999994E-2</v>
      </c>
      <c r="Z6878">
        <v>-0.15889310000000001</v>
      </c>
      <c r="AA6878">
        <v>0.98394210000000004</v>
      </c>
      <c r="AB6878">
        <v>19</v>
      </c>
      <c r="AC6878">
        <v>5.0099999999986197E-2</v>
      </c>
      <c r="AD6878">
        <v>-0.11574139999999999</v>
      </c>
      <c r="AE6878">
        <v>0.53044999999999398</v>
      </c>
      <c r="AF6878">
        <v>6.01731386684871E-2</v>
      </c>
      <c r="AG6878">
        <v>-0.11574139999999999</v>
      </c>
      <c r="AH6878">
        <v>0.505230648233435</v>
      </c>
      <c r="AI6878">
        <v>102.815479822212</v>
      </c>
      <c r="AJ6878">
        <v>83.208047338524096</v>
      </c>
      <c r="AK6878">
        <v>0.52179966098643005</v>
      </c>
      <c r="AL6878">
        <v>91.349506768117195</v>
      </c>
      <c r="AM6878">
        <v>88.3799866413666</v>
      </c>
      <c r="AN6878">
        <v>1.0000000551194499</v>
      </c>
    </row>
    <row r="6879" spans="1:40" x14ac:dyDescent="0.25">
      <c r="A6879" t="str">
        <f>"20190312161152128"</f>
        <v>20190312161152128</v>
      </c>
      <c r="B6879" t="str">
        <f>"1552378312123963"</f>
        <v>1552378312123963</v>
      </c>
      <c r="C6879" t="s">
        <v>40</v>
      </c>
      <c r="D6879">
        <v>4.4937199999999997</v>
      </c>
      <c r="E6879">
        <v>0.52284470000000005</v>
      </c>
      <c r="F6879" t="s">
        <v>42</v>
      </c>
      <c r="G6879">
        <v>-185.28659999999999</v>
      </c>
      <c r="H6879">
        <v>0.97350510000000001</v>
      </c>
      <c r="I6879">
        <v>-38.906039999999997</v>
      </c>
      <c r="J6879">
        <v>-185.34469999999999</v>
      </c>
      <c r="K6879">
        <v>1.1111279999999999</v>
      </c>
      <c r="L6879">
        <v>-39.567570000000003</v>
      </c>
      <c r="M6879">
        <v>-2.8091499999999998E-2</v>
      </c>
      <c r="N6879">
        <v>0</v>
      </c>
      <c r="O6879">
        <v>0.99956909999999999</v>
      </c>
      <c r="P6879">
        <v>1.700565E-3</v>
      </c>
      <c r="Q6879">
        <v>-3.269126E-2</v>
      </c>
      <c r="R6879">
        <v>0.99946400000000002</v>
      </c>
      <c r="S6879">
        <v>0.17025760000000001</v>
      </c>
      <c r="T6879">
        <v>-0.4809737</v>
      </c>
      <c r="U6879">
        <v>2.9854430000000001</v>
      </c>
      <c r="V6879">
        <v>2.987099E-2</v>
      </c>
      <c r="W6879">
        <v>-2.4073230000000001E-2</v>
      </c>
      <c r="X6879">
        <v>0.99926380000000004</v>
      </c>
      <c r="Y6879">
        <v>8.4240049999999997E-2</v>
      </c>
      <c r="Z6879">
        <v>-0.15855250000000001</v>
      </c>
      <c r="AA6879">
        <v>0.98375029999999997</v>
      </c>
      <c r="AB6879">
        <v>19</v>
      </c>
      <c r="AC6879">
        <v>5.8099999999996002E-2</v>
      </c>
      <c r="AD6879">
        <v>-0.13762289999999999</v>
      </c>
      <c r="AE6879">
        <v>0.66152999999999895</v>
      </c>
      <c r="AF6879">
        <v>7.3504236449459706E-2</v>
      </c>
      <c r="AG6879">
        <v>-0.13762289999999999</v>
      </c>
      <c r="AH6879">
        <v>0.63247313746270695</v>
      </c>
      <c r="AI6879">
        <v>102.196302791506</v>
      </c>
      <c r="AJ6879">
        <v>83.370984842793902</v>
      </c>
      <c r="AK6879">
        <v>0.65143319303850999</v>
      </c>
      <c r="AL6879">
        <v>91.3794277770196</v>
      </c>
      <c r="AM6879">
        <v>88.287767312630194</v>
      </c>
      <c r="AN6879">
        <v>0.99999996921832601</v>
      </c>
    </row>
    <row r="6880" spans="1:40" x14ac:dyDescent="0.25">
      <c r="A6880" t="str">
        <f>"20190312161152172"</f>
        <v>20190312161152172</v>
      </c>
      <c r="B6880" t="str">
        <f>"1552378312163980"</f>
        <v>1552378312163980</v>
      </c>
      <c r="C6880" t="s">
        <v>40</v>
      </c>
      <c r="D6880">
        <v>4.4595830000000003</v>
      </c>
      <c r="E6880">
        <v>0.52319129999999903</v>
      </c>
      <c r="F6880" t="s">
        <v>42</v>
      </c>
      <c r="G6880">
        <v>-185.2979</v>
      </c>
      <c r="H6880">
        <v>0.97741230000000001</v>
      </c>
      <c r="I6880">
        <v>-38.735610000000001</v>
      </c>
      <c r="J6880">
        <v>-185.36340000000001</v>
      </c>
      <c r="K6880">
        <v>1.110924</v>
      </c>
      <c r="L6880">
        <v>-39.198430000000002</v>
      </c>
      <c r="M6880">
        <v>-3.4629630000000002E-2</v>
      </c>
      <c r="N6880">
        <v>0</v>
      </c>
      <c r="O6880">
        <v>0.99936460000000005</v>
      </c>
      <c r="P6880">
        <v>-9.8463299999999995E-4</v>
      </c>
      <c r="Q6880">
        <v>-3.4104160000000001E-2</v>
      </c>
      <c r="R6880">
        <v>0.99941780000000002</v>
      </c>
      <c r="S6880">
        <v>0.16798399999999999</v>
      </c>
      <c r="T6880">
        <v>-0.47996519999999998</v>
      </c>
      <c r="U6880">
        <v>2.9856259999999999</v>
      </c>
      <c r="V6880">
        <v>3.3713930000000003E-2</v>
      </c>
      <c r="W6880">
        <v>-2.5552999999999999E-2</v>
      </c>
      <c r="X6880">
        <v>0.99910480000000002</v>
      </c>
      <c r="Y6880">
        <v>9.0009729999999996E-2</v>
      </c>
      <c r="Z6880">
        <v>-0.15813350000000001</v>
      </c>
      <c r="AA6880">
        <v>0.98330669999999998</v>
      </c>
      <c r="AB6880">
        <v>19</v>
      </c>
      <c r="AC6880">
        <v>6.5500000000014297E-2</v>
      </c>
      <c r="AD6880">
        <v>-0.13351170000000001</v>
      </c>
      <c r="AE6880">
        <v>0.46282000000000001</v>
      </c>
      <c r="AF6880">
        <v>7.5341915827740802E-2</v>
      </c>
      <c r="AG6880">
        <v>-0.13351170000000001</v>
      </c>
      <c r="AH6880">
        <v>0.42555577029824099</v>
      </c>
      <c r="AI6880">
        <v>107.167521083738</v>
      </c>
      <c r="AJ6880">
        <v>79.960184985528201</v>
      </c>
      <c r="AK6880">
        <v>0.45232675352184698</v>
      </c>
      <c r="AL6880">
        <v>91.464238440608</v>
      </c>
      <c r="AM6880">
        <v>88.067336654105901</v>
      </c>
      <c r="AN6880">
        <v>0.99999999313404198</v>
      </c>
    </row>
    <row r="6881" spans="1:40" x14ac:dyDescent="0.25">
      <c r="A6881" t="str">
        <f>"20190312161152192"</f>
        <v>20190312161152192</v>
      </c>
      <c r="B6881" t="str">
        <f>"1552378312184475"</f>
        <v>1552378312184475</v>
      </c>
      <c r="C6881" t="s">
        <v>40</v>
      </c>
      <c r="D6881">
        <v>4.4595079999999996</v>
      </c>
      <c r="E6881">
        <v>0.52315859999999903</v>
      </c>
      <c r="F6881" t="s">
        <v>42</v>
      </c>
      <c r="G6881">
        <v>-185.31960000000001</v>
      </c>
      <c r="H6881">
        <v>0.98159149999999995</v>
      </c>
      <c r="I6881">
        <v>-38.394779999999997</v>
      </c>
      <c r="J6881">
        <v>-185.37280000000001</v>
      </c>
      <c r="K6881">
        <v>1.1108549999999999</v>
      </c>
      <c r="L6881">
        <v>-39.023440000000001</v>
      </c>
      <c r="M6881">
        <v>-3.7485150000000002E-2</v>
      </c>
      <c r="N6881">
        <v>0</v>
      </c>
      <c r="O6881">
        <v>0.99926170000000003</v>
      </c>
      <c r="P6881">
        <v>-2.7897339999999999E-3</v>
      </c>
      <c r="Q6881">
        <v>-3.3862150000000001E-2</v>
      </c>
      <c r="R6881">
        <v>0.99942260000000005</v>
      </c>
      <c r="S6881">
        <v>0.16252139999999901</v>
      </c>
      <c r="T6881">
        <v>-0.48053770000000001</v>
      </c>
      <c r="U6881">
        <v>2.9855040000000002</v>
      </c>
      <c r="V6881">
        <v>3.4759930000000001E-2</v>
      </c>
      <c r="W6881">
        <v>-2.534167E-2</v>
      </c>
      <c r="X6881">
        <v>0.99907429999999997</v>
      </c>
      <c r="Y6881">
        <v>9.1062329999999997E-2</v>
      </c>
      <c r="Z6881">
        <v>-0.15829939999999901</v>
      </c>
      <c r="AA6881">
        <v>0.98318309999999998</v>
      </c>
      <c r="AB6881">
        <v>19</v>
      </c>
      <c r="AC6881">
        <v>5.3200000000003897E-2</v>
      </c>
      <c r="AD6881">
        <v>-0.129263499999999</v>
      </c>
      <c r="AE6881">
        <v>0.62866000000000299</v>
      </c>
      <c r="AF6881">
        <v>7.3637698630693693E-2</v>
      </c>
      <c r="AG6881">
        <v>-0.129263499999999</v>
      </c>
      <c r="AH6881">
        <v>0.600995310198991</v>
      </c>
      <c r="AI6881">
        <v>102.050933025001</v>
      </c>
      <c r="AJ6881">
        <v>83.014581047691095</v>
      </c>
      <c r="AK6881">
        <v>0.61913401293504799</v>
      </c>
      <c r="AL6881">
        <v>91.452126256505494</v>
      </c>
      <c r="AM6881">
        <v>88.007361150622998</v>
      </c>
      <c r="AN6881">
        <v>0.99999995494624005</v>
      </c>
    </row>
    <row r="6882" spans="1:40" x14ac:dyDescent="0.25">
      <c r="A6882" t="str">
        <f>"20190312161152215"</f>
        <v>20190312161152215</v>
      </c>
      <c r="B6882" t="str">
        <f>"1552378312203996"</f>
        <v>1552378312203996</v>
      </c>
      <c r="C6882" t="s">
        <v>40</v>
      </c>
      <c r="D6882">
        <v>4.4441449999999998</v>
      </c>
      <c r="E6882">
        <v>0.52311700000000005</v>
      </c>
      <c r="F6882" t="s">
        <v>42</v>
      </c>
      <c r="G6882">
        <v>-185.3305</v>
      </c>
      <c r="H6882">
        <v>0.98289499999999996</v>
      </c>
      <c r="I6882">
        <v>-38.223849999999999</v>
      </c>
      <c r="J6882">
        <v>-185.3837</v>
      </c>
      <c r="K6882">
        <v>1.1107990000000001</v>
      </c>
      <c r="L6882">
        <v>-38.828189999999999</v>
      </c>
      <c r="M6882">
        <v>-4.0502379999999998E-2</v>
      </c>
      <c r="N6882">
        <v>0</v>
      </c>
      <c r="O6882">
        <v>0.99914429999999999</v>
      </c>
      <c r="P6882">
        <v>-5.944291E-3</v>
      </c>
      <c r="Q6882">
        <v>-3.410316E-2</v>
      </c>
      <c r="R6882">
        <v>0.99940059999999997</v>
      </c>
      <c r="S6882">
        <v>0.15722659999999999</v>
      </c>
      <c r="T6882">
        <v>-0.47802280000000003</v>
      </c>
      <c r="U6882">
        <v>2.9859619999999998</v>
      </c>
      <c r="V6882">
        <v>3.4620900000000003E-2</v>
      </c>
      <c r="W6882">
        <v>-2.562033E-2</v>
      </c>
      <c r="X6882">
        <v>0.99907210000000002</v>
      </c>
      <c r="Y6882">
        <v>9.2329610000000006E-2</v>
      </c>
      <c r="Z6882">
        <v>-0.15743840000000001</v>
      </c>
      <c r="AA6882">
        <v>0.9832031</v>
      </c>
      <c r="AB6882">
        <v>19</v>
      </c>
      <c r="AC6882">
        <v>5.3200000000003897E-2</v>
      </c>
      <c r="AD6882">
        <v>-0.12790399999999899</v>
      </c>
      <c r="AE6882">
        <v>0.60433999999999999</v>
      </c>
      <c r="AF6882">
        <v>7.4330559824816206E-2</v>
      </c>
      <c r="AG6882">
        <v>-0.12790399999999899</v>
      </c>
      <c r="AH6882">
        <v>0.57608345867095301</v>
      </c>
      <c r="AI6882">
        <v>102.41823974684</v>
      </c>
      <c r="AJ6882">
        <v>82.647893551006703</v>
      </c>
      <c r="AK6882">
        <v>0.59477442505050504</v>
      </c>
      <c r="AL6882">
        <v>91.468097368112296</v>
      </c>
      <c r="AM6882">
        <v>88.015320395417206</v>
      </c>
      <c r="AN6882">
        <v>1.0000000345122599</v>
      </c>
    </row>
    <row r="6883" spans="1:40" x14ac:dyDescent="0.25">
      <c r="A6883" t="str">
        <f>"20190312161152238"</f>
        <v>20190312161152238</v>
      </c>
      <c r="B6883" t="str">
        <f>"1552378312234252"</f>
        <v>1552378312234252</v>
      </c>
      <c r="C6883" t="s">
        <v>40</v>
      </c>
      <c r="D6883">
        <v>4.4671200000000004</v>
      </c>
      <c r="E6883">
        <v>0.52298979999999995</v>
      </c>
      <c r="F6883" t="s">
        <v>42</v>
      </c>
      <c r="G6883">
        <v>-185.3451</v>
      </c>
      <c r="H6883">
        <v>0.98670380000000002</v>
      </c>
      <c r="I6883">
        <v>-38.051220000000001</v>
      </c>
      <c r="J6883">
        <v>-185.39490000000001</v>
      </c>
      <c r="K6883">
        <v>1.11073</v>
      </c>
      <c r="L6883">
        <v>-38.634740000000001</v>
      </c>
      <c r="M6883">
        <v>-4.3316E-2</v>
      </c>
      <c r="N6883">
        <v>0</v>
      </c>
      <c r="O6883">
        <v>0.99902650000000004</v>
      </c>
      <c r="P6883">
        <v>-7.8950280000000001E-3</v>
      </c>
      <c r="Q6883">
        <v>-3.549952E-2</v>
      </c>
      <c r="R6883">
        <v>0.99933850000000002</v>
      </c>
      <c r="S6883">
        <v>0.14807129999999999</v>
      </c>
      <c r="T6883">
        <v>-0.47707080000000002</v>
      </c>
      <c r="U6883">
        <v>2.9864199999999999</v>
      </c>
      <c r="V6883">
        <v>3.548337E-2</v>
      </c>
      <c r="W6883">
        <v>-2.7052619999999999E-2</v>
      </c>
      <c r="X6883">
        <v>0.99900409999999995</v>
      </c>
      <c r="Y6883">
        <v>9.2121980000000006E-2</v>
      </c>
      <c r="Z6883">
        <v>-0.15709489999999901</v>
      </c>
      <c r="AA6883">
        <v>0.98327759999999997</v>
      </c>
      <c r="AB6883">
        <v>19</v>
      </c>
      <c r="AC6883">
        <v>4.9800000000004702E-2</v>
      </c>
      <c r="AD6883">
        <v>-0.124026199999999</v>
      </c>
      <c r="AE6883">
        <v>0.58351999999999904</v>
      </c>
      <c r="AF6883">
        <v>7.1809236814612695E-2</v>
      </c>
      <c r="AG6883">
        <v>-0.124026199999999</v>
      </c>
      <c r="AH6883">
        <v>0.55588362306574501</v>
      </c>
      <c r="AI6883">
        <v>102.47717559981901</v>
      </c>
      <c r="AJ6883">
        <v>82.6392751338267</v>
      </c>
      <c r="AK6883">
        <v>0.57406068248142295</v>
      </c>
      <c r="AL6883">
        <v>91.550189991062098</v>
      </c>
      <c r="AM6883">
        <v>87.965781082283698</v>
      </c>
      <c r="AN6883">
        <v>1.0000000528061099</v>
      </c>
    </row>
    <row r="6884" spans="1:40" x14ac:dyDescent="0.25">
      <c r="A6884" t="str">
        <f>"20190312161152260"</f>
        <v>20190312161152260</v>
      </c>
      <c r="B6884" t="str">
        <f>"1552378312253772"</f>
        <v>1552378312253772</v>
      </c>
      <c r="C6884" t="s">
        <v>40</v>
      </c>
      <c r="D6884">
        <v>4.395505</v>
      </c>
      <c r="E6884">
        <v>0.5240783</v>
      </c>
      <c r="F6884" t="s">
        <v>42</v>
      </c>
      <c r="G6884">
        <v>-185.35910000000001</v>
      </c>
      <c r="H6884">
        <v>0.98953009999999997</v>
      </c>
      <c r="I6884">
        <v>-37.878480000000003</v>
      </c>
      <c r="J6884">
        <v>-185.4068</v>
      </c>
      <c r="K6884">
        <v>1.1106689999999999</v>
      </c>
      <c r="L6884">
        <v>-38.435180000000003</v>
      </c>
      <c r="M6884">
        <v>-4.6058250000000002E-2</v>
      </c>
      <c r="N6884">
        <v>0</v>
      </c>
      <c r="O6884">
        <v>0.99890420000000002</v>
      </c>
      <c r="P6884">
        <v>-9.8262160000000005E-3</v>
      </c>
      <c r="Q6884">
        <v>-3.6785379999999999E-2</v>
      </c>
      <c r="R6884">
        <v>0.99927480000000002</v>
      </c>
      <c r="S6884">
        <v>0.14073179999999999</v>
      </c>
      <c r="T6884">
        <v>-0.47867690000000002</v>
      </c>
      <c r="U6884">
        <v>2.9861149999999999</v>
      </c>
      <c r="V6884">
        <v>3.6292850000000001E-2</v>
      </c>
      <c r="W6884">
        <v>-2.8378190000000001E-2</v>
      </c>
      <c r="X6884">
        <v>0.9989382</v>
      </c>
      <c r="Y6884">
        <v>9.2445070000000004E-2</v>
      </c>
      <c r="Z6884">
        <v>-0.15760399999999999</v>
      </c>
      <c r="AA6884">
        <v>0.98316570000000003</v>
      </c>
      <c r="AB6884">
        <v>19</v>
      </c>
      <c r="AC6884">
        <v>4.7699999999991798E-2</v>
      </c>
      <c r="AD6884">
        <v>-0.12113889999999999</v>
      </c>
      <c r="AE6884">
        <v>0.55669999999999897</v>
      </c>
      <c r="AF6884">
        <v>7.0000485259533493E-2</v>
      </c>
      <c r="AG6884">
        <v>-0.12113889999999999</v>
      </c>
      <c r="AH6884">
        <v>0.52904416270409504</v>
      </c>
      <c r="AI6884">
        <v>102.78932347638801</v>
      </c>
      <c r="AJ6884">
        <v>82.462690584206896</v>
      </c>
      <c r="AK6884">
        <v>0.54723160281644601</v>
      </c>
      <c r="AL6884">
        <v>91.626168815570907</v>
      </c>
      <c r="AM6884">
        <v>87.919277762623494</v>
      </c>
      <c r="AN6884">
        <v>1.0000000100240101</v>
      </c>
    </row>
    <row r="6885" spans="1:40" x14ac:dyDescent="0.25">
      <c r="A6885" t="str">
        <f>"20190312161152283"</f>
        <v>20190312161152283</v>
      </c>
      <c r="B6885" t="str">
        <f>"1552378312274268"</f>
        <v>1552378312274268</v>
      </c>
      <c r="C6885" t="s">
        <v>40</v>
      </c>
      <c r="D6885">
        <v>4.3927360000000002</v>
      </c>
      <c r="E6885">
        <v>0.5480488</v>
      </c>
      <c r="F6885" t="s">
        <v>42</v>
      </c>
      <c r="G6885">
        <v>-185.37209999999999</v>
      </c>
      <c r="H6885">
        <v>0.99132290000000001</v>
      </c>
      <c r="I6885">
        <v>-37.70561</v>
      </c>
      <c r="J6885">
        <v>-185.4187</v>
      </c>
      <c r="K6885">
        <v>1.1106020000000001</v>
      </c>
      <c r="L6885">
        <v>-38.242249999999999</v>
      </c>
      <c r="M6885">
        <v>-4.8577000000000002E-2</v>
      </c>
      <c r="N6885">
        <v>0</v>
      </c>
      <c r="O6885">
        <v>0.99878509999999998</v>
      </c>
      <c r="P6885">
        <v>-1.1878089999999999E-2</v>
      </c>
      <c r="Q6885">
        <v>-3.5500459999999998E-2</v>
      </c>
      <c r="R6885">
        <v>0.99929900000000005</v>
      </c>
      <c r="S6885">
        <v>0.1424713</v>
      </c>
      <c r="T6885">
        <v>-0.48833110000000002</v>
      </c>
      <c r="U6885">
        <v>2.9855960000000001</v>
      </c>
      <c r="V6885">
        <v>3.6755210000000003E-2</v>
      </c>
      <c r="W6885">
        <v>-2.7132050000000001E-2</v>
      </c>
      <c r="X6885">
        <v>0.99895590000000001</v>
      </c>
      <c r="Y6885">
        <v>9.5510999999999999E-2</v>
      </c>
      <c r="Z6885">
        <v>-0.1606735</v>
      </c>
      <c r="AA6885">
        <v>0.98237549999999996</v>
      </c>
      <c r="AB6885">
        <v>19</v>
      </c>
      <c r="AC6885">
        <v>4.6600000000012097E-2</v>
      </c>
      <c r="AD6885">
        <v>-0.1192791</v>
      </c>
      <c r="AE6885">
        <v>0.53663999999999801</v>
      </c>
      <c r="AF6885">
        <v>6.9220078796741594E-2</v>
      </c>
      <c r="AG6885">
        <v>-0.1192791</v>
      </c>
      <c r="AH6885">
        <v>0.50879427877429995</v>
      </c>
      <c r="AI6885">
        <v>103.07758512199401</v>
      </c>
      <c r="AJ6885">
        <v>82.252629600137993</v>
      </c>
      <c r="AK6885">
        <v>0.52715324253854001</v>
      </c>
      <c r="AL6885">
        <v>91.554742760475605</v>
      </c>
      <c r="AM6885">
        <v>87.892831035986205</v>
      </c>
      <c r="AN6885">
        <v>0.999999991872078</v>
      </c>
    </row>
    <row r="6886" spans="1:40" x14ac:dyDescent="0.25">
      <c r="A6886" t="str">
        <f>"20190312161152307"</f>
        <v>20190312161152307</v>
      </c>
      <c r="B6886" t="str">
        <f>"1552378312293788"</f>
        <v>1552378312293788</v>
      </c>
      <c r="C6886" t="s">
        <v>40</v>
      </c>
      <c r="D6886">
        <v>4.3927319999999996</v>
      </c>
      <c r="E6886">
        <v>0.54735679999999998</v>
      </c>
      <c r="F6886" t="s">
        <v>42</v>
      </c>
      <c r="G6886">
        <v>-185.3432</v>
      </c>
      <c r="H6886">
        <v>0.96862110000000001</v>
      </c>
      <c r="I6886">
        <v>-37.541499999999999</v>
      </c>
      <c r="J6886">
        <v>-185.43109999999999</v>
      </c>
      <c r="K6886">
        <v>1.1105449999999999</v>
      </c>
      <c r="L6886">
        <v>-38.047089999999997</v>
      </c>
      <c r="M6886">
        <v>-5.1002699999999998E-2</v>
      </c>
      <c r="N6886">
        <v>0</v>
      </c>
      <c r="O6886">
        <v>0.99866449999999996</v>
      </c>
      <c r="P6886">
        <v>-1.4803530000000001E-2</v>
      </c>
      <c r="Q6886">
        <v>-3.4822829999999999E-2</v>
      </c>
      <c r="R6886">
        <v>0.9992839</v>
      </c>
      <c r="S6886">
        <v>0.3214417</v>
      </c>
      <c r="T6886">
        <v>-0.60474030000000001</v>
      </c>
      <c r="U6886">
        <v>2.9844360000000001</v>
      </c>
      <c r="V6886">
        <v>3.6252930000000003E-2</v>
      </c>
      <c r="W6886">
        <v>-2.649286E-2</v>
      </c>
      <c r="X6886">
        <v>0.99899139999999997</v>
      </c>
      <c r="Y6886">
        <v>0.1555626</v>
      </c>
      <c r="Z6886">
        <v>-0.19644980000000001</v>
      </c>
      <c r="AA6886">
        <v>0.96809489999999998</v>
      </c>
      <c r="AB6886">
        <v>19</v>
      </c>
      <c r="AC6886">
        <v>8.78999999999905E-2</v>
      </c>
      <c r="AD6886">
        <v>-0.14192389999999999</v>
      </c>
      <c r="AE6886">
        <v>0.50559000000000498</v>
      </c>
      <c r="AF6886">
        <v>0.105503396313152</v>
      </c>
      <c r="AG6886">
        <v>-0.14192389999999999</v>
      </c>
      <c r="AH6886">
        <v>0.46489102090251</v>
      </c>
      <c r="AI6886">
        <v>106.57900210310299</v>
      </c>
      <c r="AJ6886">
        <v>77.213742272418202</v>
      </c>
      <c r="AK6886">
        <v>0.49739021033852099</v>
      </c>
      <c r="AL6886">
        <v>91.518106714016696</v>
      </c>
      <c r="AM6886">
        <v>87.921675013649207</v>
      </c>
      <c r="AN6886">
        <v>0.99999998191926198</v>
      </c>
    </row>
    <row r="6887" spans="1:40" x14ac:dyDescent="0.25">
      <c r="A6887" t="str">
        <f>"20190312161152328"</f>
        <v>20190312161152328</v>
      </c>
      <c r="B6887" t="str">
        <f>"1552378312324043"</f>
        <v>1552378312324043</v>
      </c>
      <c r="C6887" t="s">
        <v>40</v>
      </c>
      <c r="D6887">
        <v>4.3880790000000003</v>
      </c>
      <c r="E6887">
        <v>0.54659809999999998</v>
      </c>
      <c r="F6887" t="s">
        <v>42</v>
      </c>
      <c r="G6887">
        <v>-185.3442</v>
      </c>
      <c r="H6887">
        <v>0.94084109999999999</v>
      </c>
      <c r="I6887">
        <v>-37.205179999999999</v>
      </c>
      <c r="J6887">
        <v>-185.44380000000001</v>
      </c>
      <c r="K6887">
        <v>1.1105</v>
      </c>
      <c r="L6887">
        <v>-37.852780000000003</v>
      </c>
      <c r="M6887">
        <v>-5.3315649999999999E-2</v>
      </c>
      <c r="N6887">
        <v>0</v>
      </c>
      <c r="O6887">
        <v>0.99854390000000004</v>
      </c>
      <c r="P6887">
        <v>-1.7128150000000002E-2</v>
      </c>
      <c r="Q6887">
        <v>-3.5923179999999999E-2</v>
      </c>
      <c r="R6887">
        <v>0.99920770000000003</v>
      </c>
      <c r="S6887">
        <v>0.307724</v>
      </c>
      <c r="T6887">
        <v>-0.60196159999999999</v>
      </c>
      <c r="U6887">
        <v>2.9857480000000001</v>
      </c>
      <c r="V6887">
        <v>3.624078E-2</v>
      </c>
      <c r="W6887">
        <v>-2.7629419999999998E-2</v>
      </c>
      <c r="X6887">
        <v>0.99896110000000005</v>
      </c>
      <c r="Y6887">
        <v>0.15342349999999999</v>
      </c>
      <c r="Z6887">
        <v>-0.19554279999999999</v>
      </c>
      <c r="AA6887">
        <v>0.96861980000000003</v>
      </c>
      <c r="AB6887">
        <v>20</v>
      </c>
      <c r="AC6887">
        <v>9.9600000000009403E-2</v>
      </c>
      <c r="AD6887">
        <v>-0.1696589</v>
      </c>
      <c r="AE6887">
        <v>0.64759999999999696</v>
      </c>
      <c r="AF6887">
        <v>0.12556764036503201</v>
      </c>
      <c r="AG6887">
        <v>-0.1696589</v>
      </c>
      <c r="AH6887">
        <v>0.60106798346698698</v>
      </c>
      <c r="AI6887">
        <v>105.445351118017</v>
      </c>
      <c r="AJ6887">
        <v>78.200183004034898</v>
      </c>
      <c r="AK6887">
        <v>0.63705109324537101</v>
      </c>
      <c r="AL6887">
        <v>91.583250592077604</v>
      </c>
      <c r="AM6887">
        <v>87.922307981624698</v>
      </c>
      <c r="AN6887">
        <v>1.00000002914887</v>
      </c>
    </row>
    <row r="6888" spans="1:40" x14ac:dyDescent="0.25">
      <c r="A6888" t="str">
        <f>"20190312161152354"</f>
        <v>20190312161152354</v>
      </c>
      <c r="B6888" t="str">
        <f>"1552378312343564"</f>
        <v>1552378312343564</v>
      </c>
      <c r="C6888" t="s">
        <v>40</v>
      </c>
      <c r="D6888">
        <v>4.3502809999999998</v>
      </c>
      <c r="E6888">
        <v>0.54639139999999997</v>
      </c>
      <c r="F6888" t="s">
        <v>42</v>
      </c>
      <c r="G6888">
        <v>-185.36240000000001</v>
      </c>
      <c r="H6888">
        <v>0.94460710000000003</v>
      </c>
      <c r="I6888">
        <v>-37.029559999999996</v>
      </c>
      <c r="J6888">
        <v>-185.4589</v>
      </c>
      <c r="K6888">
        <v>1.110468</v>
      </c>
      <c r="L6888">
        <v>-37.627079999999999</v>
      </c>
      <c r="M6888">
        <v>-5.5903729999999999E-2</v>
      </c>
      <c r="N6888">
        <v>0</v>
      </c>
      <c r="O6888">
        <v>0.99840269999999998</v>
      </c>
      <c r="P6888">
        <v>-1.908083E-2</v>
      </c>
      <c r="Q6888">
        <v>-3.7098609999999997E-2</v>
      </c>
      <c r="R6888">
        <v>0.99912939999999995</v>
      </c>
      <c r="S6888">
        <v>0.29504390000000003</v>
      </c>
      <c r="T6888">
        <v>-0.6017361</v>
      </c>
      <c r="U6888">
        <v>2.9858090000000002</v>
      </c>
      <c r="V6888">
        <v>3.6876630000000001E-2</v>
      </c>
      <c r="W6888">
        <v>-2.884366E-2</v>
      </c>
      <c r="X6888">
        <v>0.99890350000000006</v>
      </c>
      <c r="Y6888">
        <v>0.1519104</v>
      </c>
      <c r="Z6888">
        <v>-0.19548989999999999</v>
      </c>
      <c r="AA6888">
        <v>0.96886890000000003</v>
      </c>
      <c r="AB6888">
        <v>20</v>
      </c>
      <c r="AC6888">
        <v>9.6499999999991801E-2</v>
      </c>
      <c r="AD6888">
        <v>-0.16586089999999901</v>
      </c>
      <c r="AE6888">
        <v>0.59752000000000205</v>
      </c>
      <c r="AF6888">
        <v>0.12069073416730999</v>
      </c>
      <c r="AG6888">
        <v>-0.16586089999999901</v>
      </c>
      <c r="AH6888">
        <v>0.54989707061280502</v>
      </c>
      <c r="AI6888">
        <v>106.415467418663</v>
      </c>
      <c r="AJ6888">
        <v>77.621070016091707</v>
      </c>
      <c r="AK6888">
        <v>0.58690960098740896</v>
      </c>
      <c r="AL6888">
        <v>91.652849183830995</v>
      </c>
      <c r="AM6888">
        <v>87.885765556332501</v>
      </c>
      <c r="AN6888">
        <v>1.0000000224373</v>
      </c>
    </row>
    <row r="6889" spans="1:40" x14ac:dyDescent="0.25">
      <c r="A6889" t="str">
        <f>"20190312161152375"</f>
        <v>20190312161152375</v>
      </c>
      <c r="B6889" t="str">
        <f>"1552378312364059"</f>
        <v>1552378312364059</v>
      </c>
      <c r="C6889" t="s">
        <v>40</v>
      </c>
      <c r="D6889">
        <v>4.408474</v>
      </c>
      <c r="E6889">
        <v>0.54603310000000005</v>
      </c>
      <c r="F6889" t="s">
        <v>42</v>
      </c>
      <c r="G6889">
        <v>-185.3843</v>
      </c>
      <c r="H6889">
        <v>0.95248730000000004</v>
      </c>
      <c r="I6889">
        <v>-36.851480000000002</v>
      </c>
      <c r="J6889">
        <v>-185.47190000000001</v>
      </c>
      <c r="K6889">
        <v>1.110455</v>
      </c>
      <c r="L6889">
        <v>-37.438960000000002</v>
      </c>
      <c r="M6889">
        <v>-5.7990189999999997E-2</v>
      </c>
      <c r="N6889">
        <v>0</v>
      </c>
      <c r="O6889">
        <v>0.9982839</v>
      </c>
      <c r="P6889">
        <v>-2.1139189999999999E-2</v>
      </c>
      <c r="Q6889">
        <v>-3.700639E-2</v>
      </c>
      <c r="R6889">
        <v>0.99909139999999996</v>
      </c>
      <c r="S6889">
        <v>0.28672789999999998</v>
      </c>
      <c r="T6889">
        <v>-0.60825039999999997</v>
      </c>
      <c r="U6889">
        <v>2.9855040000000002</v>
      </c>
      <c r="V6889">
        <v>3.6905960000000002E-2</v>
      </c>
      <c r="W6889">
        <v>-2.8783300000000001E-2</v>
      </c>
      <c r="X6889">
        <v>0.99890409999999996</v>
      </c>
      <c r="Y6889">
        <v>0.15127179999999901</v>
      </c>
      <c r="Z6889">
        <v>-0.19754189999999999</v>
      </c>
      <c r="AA6889">
        <v>0.96855250000000004</v>
      </c>
      <c r="AB6889">
        <v>20</v>
      </c>
      <c r="AC6889">
        <v>8.7600000000008907E-2</v>
      </c>
      <c r="AD6889">
        <v>-0.15796769999999999</v>
      </c>
      <c r="AE6889">
        <v>0.58747999999999201</v>
      </c>
      <c r="AF6889">
        <v>0.113494390041378</v>
      </c>
      <c r="AG6889">
        <v>-0.15796769999999999</v>
      </c>
      <c r="AH6889">
        <v>0.54300478141251396</v>
      </c>
      <c r="AI6889">
        <v>105.894859032111</v>
      </c>
      <c r="AJ6889">
        <v>78.194461559253099</v>
      </c>
      <c r="AK6889">
        <v>0.57679195855265397</v>
      </c>
      <c r="AL6889">
        <v>91.649389469552901</v>
      </c>
      <c r="AM6889">
        <v>87.884086787731505</v>
      </c>
      <c r="AN6889">
        <v>0.99999996461961005</v>
      </c>
    </row>
    <row r="6890" spans="1:40" x14ac:dyDescent="0.25">
      <c r="A6890" t="str">
        <f>"20190312161152417"</f>
        <v>20190312161152417</v>
      </c>
      <c r="B6890" t="str">
        <f>"1552378312413835"</f>
        <v>1552378312413835</v>
      </c>
      <c r="C6890" t="s">
        <v>40</v>
      </c>
      <c r="D6890">
        <v>4.4465170000000001</v>
      </c>
      <c r="E6890">
        <v>0.5455044</v>
      </c>
      <c r="F6890" t="s">
        <v>42</v>
      </c>
      <c r="G6890">
        <v>-185.4007</v>
      </c>
      <c r="H6890">
        <v>0.95559729999999998</v>
      </c>
      <c r="I6890">
        <v>-36.67456</v>
      </c>
      <c r="J6890">
        <v>-185.49799999999999</v>
      </c>
      <c r="K6890">
        <v>1.1104369999999999</v>
      </c>
      <c r="L6890">
        <v>-37.074039999999997</v>
      </c>
      <c r="M6890">
        <v>-6.1873659999999997E-2</v>
      </c>
      <c r="N6890">
        <v>0</v>
      </c>
      <c r="O6890">
        <v>0.99805129999999997</v>
      </c>
      <c r="P6890">
        <v>-2.6688050000000001E-2</v>
      </c>
      <c r="Q6890">
        <v>-3.6104030000000002E-2</v>
      </c>
      <c r="R6890">
        <v>0.99899159999999998</v>
      </c>
      <c r="S6890">
        <v>0.277893099999999</v>
      </c>
      <c r="T6890">
        <v>-0.60499849999999999</v>
      </c>
      <c r="U6890">
        <v>2.9862060000000001</v>
      </c>
      <c r="V6890">
        <v>3.5244169999999998E-2</v>
      </c>
      <c r="W6890">
        <v>-2.794961E-2</v>
      </c>
      <c r="X6890">
        <v>0.99898779999999998</v>
      </c>
      <c r="Y6890">
        <v>0.15227449999999901</v>
      </c>
      <c r="Z6890">
        <v>-0.19642509999999999</v>
      </c>
      <c r="AA6890">
        <v>0.9686226</v>
      </c>
      <c r="AB6890">
        <v>20</v>
      </c>
      <c r="AC6890">
        <v>9.7299999999989895E-2</v>
      </c>
      <c r="AD6890">
        <v>-0.1548397</v>
      </c>
      <c r="AE6890">
        <v>0.399480000000004</v>
      </c>
      <c r="AF6890">
        <v>0.106699285538129</v>
      </c>
      <c r="AG6890">
        <v>-0.1548397</v>
      </c>
      <c r="AH6890">
        <v>0.343918605954393</v>
      </c>
      <c r="AI6890">
        <v>113.267844150447</v>
      </c>
      <c r="AJ6890">
        <v>72.7637188055092</v>
      </c>
      <c r="AK6890">
        <v>0.391969485740983</v>
      </c>
      <c r="AL6890">
        <v>91.601603296431307</v>
      </c>
      <c r="AM6890">
        <v>87.979449785363897</v>
      </c>
      <c r="AN6890">
        <v>0.99999997838348997</v>
      </c>
    </row>
    <row r="6891" spans="1:40" x14ac:dyDescent="0.25">
      <c r="A6891" t="str">
        <f>"20190312161152441"</f>
        <v>20190312161152441</v>
      </c>
      <c r="B6891" t="str">
        <f>"1552378312434332"</f>
        <v>1552378312434332</v>
      </c>
      <c r="C6891" t="s">
        <v>40</v>
      </c>
      <c r="D6891">
        <v>4.5084900000000001</v>
      </c>
      <c r="E6891">
        <v>0.52504399999999996</v>
      </c>
      <c r="F6891" t="s">
        <v>42</v>
      </c>
      <c r="G6891">
        <v>-185.43279999999999</v>
      </c>
      <c r="H6891">
        <v>0.95855449999999998</v>
      </c>
      <c r="I6891">
        <v>-36.320329999999998</v>
      </c>
      <c r="J6891">
        <v>-185.5138</v>
      </c>
      <c r="K6891">
        <v>1.110419</v>
      </c>
      <c r="L6891">
        <v>-36.860320000000002</v>
      </c>
      <c r="M6891">
        <v>-6.4073400000000003E-2</v>
      </c>
      <c r="N6891">
        <v>0</v>
      </c>
      <c r="O6891">
        <v>0.99791280000000004</v>
      </c>
      <c r="P6891">
        <v>-2.880334E-2</v>
      </c>
      <c r="Q6891">
        <v>-3.6998469999999999E-2</v>
      </c>
      <c r="R6891">
        <v>0.99890009999999996</v>
      </c>
      <c r="S6891">
        <v>0.2584534</v>
      </c>
      <c r="T6891">
        <v>-0.60218209999999905</v>
      </c>
      <c r="U6891">
        <v>2.988159</v>
      </c>
      <c r="V6891">
        <v>3.5330460000000001E-2</v>
      </c>
      <c r="W6891">
        <v>-2.8886680000000001E-2</v>
      </c>
      <c r="X6891">
        <v>0.99895809999999996</v>
      </c>
      <c r="Y6891">
        <v>0.1481575</v>
      </c>
      <c r="Z6891">
        <v>-0.1954997</v>
      </c>
      <c r="AA6891">
        <v>0.96944790000000003</v>
      </c>
      <c r="AB6891">
        <v>20</v>
      </c>
      <c r="AC6891">
        <v>8.1000000000017197E-2</v>
      </c>
      <c r="AD6891">
        <v>-0.15186450000000001</v>
      </c>
      <c r="AE6891">
        <v>0.53999000000000297</v>
      </c>
      <c r="AF6891">
        <v>0.10714562275249601</v>
      </c>
      <c r="AG6891">
        <v>-0.15186450000000001</v>
      </c>
      <c r="AH6891">
        <v>0.495371725213957</v>
      </c>
      <c r="AI6891">
        <v>106.68020899263701</v>
      </c>
      <c r="AJ6891">
        <v>77.795307863183197</v>
      </c>
      <c r="AK6891">
        <v>0.52908993278716099</v>
      </c>
      <c r="AL6891">
        <v>91.655315139984694</v>
      </c>
      <c r="AM6891">
        <v>87.974446720730498</v>
      </c>
      <c r="AN6891">
        <v>0.99999998362042097</v>
      </c>
    </row>
    <row r="6892" spans="1:40" x14ac:dyDescent="0.25">
      <c r="A6892" t="str">
        <f>"20190312161152462"</f>
        <v>20190312161152462</v>
      </c>
      <c r="B6892" t="str">
        <f>"1552378312453852"</f>
        <v>1552378312453852</v>
      </c>
      <c r="C6892" t="s">
        <v>40</v>
      </c>
      <c r="D6892">
        <v>4.5057980000000004</v>
      </c>
      <c r="E6892">
        <v>0.51520129999999997</v>
      </c>
      <c r="F6892" t="s">
        <v>42</v>
      </c>
      <c r="G6892">
        <v>-185.49029999999999</v>
      </c>
      <c r="H6892">
        <v>0.99542509999999995</v>
      </c>
      <c r="I6892">
        <v>-36.128329999999998</v>
      </c>
      <c r="J6892">
        <v>-185.5282</v>
      </c>
      <c r="K6892">
        <v>1.1104099999999999</v>
      </c>
      <c r="L6892">
        <v>-36.671970000000002</v>
      </c>
      <c r="M6892">
        <v>-6.5971409999999994E-2</v>
      </c>
      <c r="N6892">
        <v>0</v>
      </c>
      <c r="O6892">
        <v>0.99778940000000005</v>
      </c>
      <c r="P6892">
        <v>-3.0708320000000001E-2</v>
      </c>
      <c r="Q6892">
        <v>-3.7270610000000003E-2</v>
      </c>
      <c r="R6892">
        <v>0.99883330000000004</v>
      </c>
      <c r="S6892">
        <v>9.5367430000000003E-2</v>
      </c>
      <c r="T6892">
        <v>-0.46960809999999997</v>
      </c>
      <c r="U6892">
        <v>2.9886469999999998</v>
      </c>
      <c r="V6892">
        <v>3.5324750000000002E-2</v>
      </c>
      <c r="W6892">
        <v>-2.9196799999999998E-2</v>
      </c>
      <c r="X6892">
        <v>0.99894930000000004</v>
      </c>
      <c r="Y6892">
        <v>9.737933E-2</v>
      </c>
      <c r="Z6892">
        <v>-0.15431249999999999</v>
      </c>
      <c r="AA6892">
        <v>0.98321150000000002</v>
      </c>
      <c r="AB6892">
        <v>20</v>
      </c>
      <c r="AC6892">
        <v>3.7900000000007601E-2</v>
      </c>
      <c r="AD6892">
        <v>-0.1149849</v>
      </c>
      <c r="AE6892">
        <v>0.54364000000000301</v>
      </c>
      <c r="AF6892">
        <v>7.0542728793345694E-2</v>
      </c>
      <c r="AG6892">
        <v>-0.1149849</v>
      </c>
      <c r="AH6892">
        <v>0.51694110278274796</v>
      </c>
      <c r="AI6892">
        <v>102.42876859796699</v>
      </c>
      <c r="AJ6892">
        <v>82.229310690914204</v>
      </c>
      <c r="AK6892">
        <v>0.53425266266052895</v>
      </c>
      <c r="AL6892">
        <v>91.673091182158203</v>
      </c>
      <c r="AM6892">
        <v>87.974755985900302</v>
      </c>
      <c r="AN6892">
        <v>0.99999999753164603</v>
      </c>
    </row>
    <row r="6893" spans="1:40" x14ac:dyDescent="0.25">
      <c r="A6893" t="str">
        <f>"20190312161152484"</f>
        <v>20190312161152484</v>
      </c>
      <c r="B6893" t="str">
        <f>"1552378312474348"</f>
        <v>1552378312474348</v>
      </c>
      <c r="C6893" t="s">
        <v>40</v>
      </c>
      <c r="D6893">
        <v>4.4790989999999997</v>
      </c>
      <c r="E6893">
        <v>0.5113316</v>
      </c>
      <c r="F6893" t="s">
        <v>42</v>
      </c>
      <c r="G6893">
        <v>-185.52330000000001</v>
      </c>
      <c r="H6893">
        <v>1.03420499999999</v>
      </c>
      <c r="I6893">
        <v>-35.932479999999998</v>
      </c>
      <c r="J6893">
        <v>-185.54300000000001</v>
      </c>
      <c r="K6893">
        <v>1.110392</v>
      </c>
      <c r="L6893">
        <v>-36.480499999999999</v>
      </c>
      <c r="M6893">
        <v>-6.7854800000000007E-2</v>
      </c>
      <c r="N6893">
        <v>0</v>
      </c>
      <c r="O6893">
        <v>0.99766339999999998</v>
      </c>
      <c r="P6893">
        <v>-3.3145639999999997E-2</v>
      </c>
      <c r="Q6893">
        <v>-3.6708030000000003E-2</v>
      </c>
      <c r="R6893">
        <v>0.9987762</v>
      </c>
      <c r="S6893">
        <v>1.9332889999999998E-2</v>
      </c>
      <c r="T6893">
        <v>-0.3084422</v>
      </c>
      <c r="U6893">
        <v>2.9925839999999999</v>
      </c>
      <c r="V6893">
        <v>3.4771999999999997E-2</v>
      </c>
      <c r="W6893">
        <v>-2.8674479999999999E-2</v>
      </c>
      <c r="X6893">
        <v>0.99898379999999998</v>
      </c>
      <c r="Y6893">
        <v>7.4266490000000004E-2</v>
      </c>
      <c r="Z6893">
        <v>-0.1020292</v>
      </c>
      <c r="AA6893">
        <v>0.99200529999999998</v>
      </c>
      <c r="AB6893">
        <v>20</v>
      </c>
      <c r="AC6893">
        <v>1.97000000000002E-2</v>
      </c>
      <c r="AD6893">
        <v>-7.6187000000000199E-2</v>
      </c>
      <c r="AE6893">
        <v>0.54802000000000095</v>
      </c>
      <c r="AF6893">
        <v>5.5765166716665898E-2</v>
      </c>
      <c r="AG6893">
        <v>-7.6187000000000199E-2</v>
      </c>
      <c r="AH6893">
        <v>0.53509158997797401</v>
      </c>
      <c r="AI6893">
        <v>98.060303269972493</v>
      </c>
      <c r="AJ6893">
        <v>84.050334187258599</v>
      </c>
      <c r="AK6893">
        <v>0.54335736164433601</v>
      </c>
      <c r="AL6893">
        <v>91.643151950582094</v>
      </c>
      <c r="AM6893">
        <v>88.006489352780903</v>
      </c>
      <c r="AN6893">
        <v>0.99999997522485495</v>
      </c>
    </row>
    <row r="6894" spans="1:40" x14ac:dyDescent="0.25">
      <c r="A6894" t="str">
        <f>"20190312161152507"</f>
        <v>20190312161152507</v>
      </c>
      <c r="B6894" t="str">
        <f>"1552378312493868"</f>
        <v>1552378312493868</v>
      </c>
      <c r="C6894" t="s">
        <v>40</v>
      </c>
      <c r="D6894">
        <v>4.520232</v>
      </c>
      <c r="E6894">
        <v>0.51052739999999996</v>
      </c>
      <c r="F6894" t="s">
        <v>42</v>
      </c>
      <c r="G6894">
        <v>-185.54640000000001</v>
      </c>
      <c r="H6894">
        <v>1.056281</v>
      </c>
      <c r="I6894">
        <v>-35.734789999999997</v>
      </c>
      <c r="J6894">
        <v>-185.55930000000001</v>
      </c>
      <c r="K6894">
        <v>1.1103719999999999</v>
      </c>
      <c r="L6894">
        <v>-36.274380000000001</v>
      </c>
      <c r="M6894">
        <v>-6.9821010000000003E-2</v>
      </c>
      <c r="N6894">
        <v>0</v>
      </c>
      <c r="O6894">
        <v>0.99752810000000003</v>
      </c>
      <c r="P6894">
        <v>-3.5452949999999997E-2</v>
      </c>
      <c r="Q6894">
        <v>-3.6156929999999997E-2</v>
      </c>
      <c r="R6894">
        <v>0.99871710000000002</v>
      </c>
      <c r="S6894">
        <v>-1.426697E-2</v>
      </c>
      <c r="T6894">
        <v>-0.217417</v>
      </c>
      <c r="U6894">
        <v>2.995209</v>
      </c>
      <c r="V6894">
        <v>3.4432039999999997E-2</v>
      </c>
      <c r="W6894">
        <v>-2.8166989999999999E-2</v>
      </c>
      <c r="X6894">
        <v>0.99900999999999995</v>
      </c>
      <c r="Y6894">
        <v>6.5083039999999995E-2</v>
      </c>
      <c r="Z6894">
        <v>-7.2055850000000005E-2</v>
      </c>
      <c r="AA6894">
        <v>0.99527489999999996</v>
      </c>
      <c r="AB6894">
        <v>20</v>
      </c>
      <c r="AC6894">
        <v>1.29000000000019E-2</v>
      </c>
      <c r="AD6894">
        <v>-5.4090999999999799E-2</v>
      </c>
      <c r="AE6894">
        <v>0.53958999999999602</v>
      </c>
      <c r="AF6894">
        <v>5.0041833846975997E-2</v>
      </c>
      <c r="AG6894">
        <v>-5.4090999999999799E-2</v>
      </c>
      <c r="AH6894">
        <v>0.53202904924978001</v>
      </c>
      <c r="AI6894">
        <v>95.779934675830305</v>
      </c>
      <c r="AJ6894">
        <v>84.626655898195295</v>
      </c>
      <c r="AK6894">
        <v>0.53710793204103102</v>
      </c>
      <c r="AL6894">
        <v>91.614063184670201</v>
      </c>
      <c r="AM6894">
        <v>88.026015805246701</v>
      </c>
      <c r="AN6894">
        <v>0.99999996240210998</v>
      </c>
    </row>
    <row r="6895" spans="1:40" x14ac:dyDescent="0.25">
      <c r="A6895" t="str">
        <f>"20190312161152551"</f>
        <v>20190312161152551</v>
      </c>
      <c r="B6895" t="str">
        <f>"1552378312543645"</f>
        <v>1552378312543645</v>
      </c>
      <c r="C6895" t="s">
        <v>40</v>
      </c>
      <c r="D6895">
        <v>4.565601</v>
      </c>
      <c r="E6895">
        <v>0.51046170000000002</v>
      </c>
      <c r="F6895" t="s">
        <v>42</v>
      </c>
      <c r="G6895">
        <v>-185.5669</v>
      </c>
      <c r="H6895">
        <v>1.057274</v>
      </c>
      <c r="I6895">
        <v>-35.373370000000001</v>
      </c>
      <c r="J6895">
        <v>-185.59219999999999</v>
      </c>
      <c r="K6895">
        <v>1.1103419999999999</v>
      </c>
      <c r="L6895">
        <v>-35.871310000000001</v>
      </c>
      <c r="M6895">
        <v>-7.3512739999999993E-2</v>
      </c>
      <c r="N6895">
        <v>0</v>
      </c>
      <c r="O6895">
        <v>0.99726340000000002</v>
      </c>
      <c r="P6895">
        <v>-3.8362199999999999E-2</v>
      </c>
      <c r="Q6895">
        <v>-3.4101960000000001E-2</v>
      </c>
      <c r="R6895">
        <v>0.99868179999999995</v>
      </c>
      <c r="S6895">
        <v>-2.5680540000000002E-2</v>
      </c>
      <c r="T6895">
        <v>-0.17668149999999999</v>
      </c>
      <c r="U6895">
        <v>2.9965519999999999</v>
      </c>
      <c r="V6895">
        <v>3.5218020000000003E-2</v>
      </c>
      <c r="W6895">
        <v>-2.6186170000000002E-2</v>
      </c>
      <c r="X6895">
        <v>0.99903660000000005</v>
      </c>
      <c r="Y6895">
        <v>6.4980380000000004E-2</v>
      </c>
      <c r="Z6895">
        <v>-5.8557409999999997E-2</v>
      </c>
      <c r="AA6895">
        <v>0.99616689999999997</v>
      </c>
      <c r="AB6895">
        <v>20</v>
      </c>
      <c r="AC6895">
        <v>2.5299999999987201E-2</v>
      </c>
      <c r="AD6895">
        <v>-5.3067999999999803E-2</v>
      </c>
      <c r="AE6895">
        <v>0.49793999999999899</v>
      </c>
      <c r="AF6895">
        <v>6.1144891385625399E-2</v>
      </c>
      <c r="AG6895">
        <v>-5.3067999999999803E-2</v>
      </c>
      <c r="AH6895">
        <v>0.48919065777024601</v>
      </c>
      <c r="AI6895">
        <v>96.143868178095502</v>
      </c>
      <c r="AJ6895">
        <v>82.875438115478005</v>
      </c>
      <c r="AK6895">
        <v>0.49584514721457801</v>
      </c>
      <c r="AL6895">
        <v>91.500528430726703</v>
      </c>
      <c r="AM6895">
        <v>87.981046268185594</v>
      </c>
      <c r="AN6895">
        <v>1.0000000762857699</v>
      </c>
    </row>
    <row r="6896" spans="1:40" x14ac:dyDescent="0.25">
      <c r="A6896" t="str">
        <f>"20190312161152573"</f>
        <v>20190312161152573</v>
      </c>
      <c r="B6896" t="str">
        <f>"1552378312564140"</f>
        <v>1552378312564140</v>
      </c>
      <c r="C6896" t="s">
        <v>40</v>
      </c>
      <c r="D6896">
        <v>4.5054290000000004</v>
      </c>
      <c r="E6896">
        <v>0.51079140000000001</v>
      </c>
      <c r="F6896" t="s">
        <v>41</v>
      </c>
      <c r="G6896">
        <v>-185.87139999999999</v>
      </c>
      <c r="H6896" s="1">
        <v>-4.91933E-6</v>
      </c>
      <c r="I6896">
        <v>-10.60727</v>
      </c>
      <c r="J6896">
        <v>-185.60919999999999</v>
      </c>
      <c r="K6896">
        <v>1.1103289999999999</v>
      </c>
      <c r="L6896">
        <v>-35.668979999999998</v>
      </c>
      <c r="M6896">
        <v>-7.5305559999999994E-2</v>
      </c>
      <c r="N6896">
        <v>0</v>
      </c>
      <c r="O6896">
        <v>0.99712990000000001</v>
      </c>
      <c r="P6896">
        <v>-4.1003690000000002E-2</v>
      </c>
      <c r="Q6896">
        <v>-3.3572949999999997E-2</v>
      </c>
      <c r="R6896">
        <v>0.9985948</v>
      </c>
      <c r="S6896">
        <v>-3.3126830000000003E-2</v>
      </c>
      <c r="T6896">
        <v>-0.1317699</v>
      </c>
      <c r="U6896">
        <v>2.9981990000000001</v>
      </c>
      <c r="V6896">
        <v>3.4371560000000002E-2</v>
      </c>
      <c r="W6896">
        <v>-2.5689130000000001E-2</v>
      </c>
      <c r="X6896">
        <v>0.99907889999999999</v>
      </c>
      <c r="Y6896">
        <v>6.4296900000000004E-2</v>
      </c>
      <c r="Z6896">
        <v>-4.36736E-2</v>
      </c>
      <c r="AA6896">
        <v>0.99697469999999999</v>
      </c>
      <c r="AB6896">
        <v>20</v>
      </c>
      <c r="AC6896">
        <v>-0.26220000000000698</v>
      </c>
      <c r="AD6896">
        <v>-1.1103339193299999</v>
      </c>
      <c r="AE6896">
        <v>25.061710000000001</v>
      </c>
      <c r="AF6896">
        <v>1.62270349981287</v>
      </c>
      <c r="AG6896">
        <v>-1.1103339193299999</v>
      </c>
      <c r="AH6896">
        <v>24.961298992126199</v>
      </c>
      <c r="AI6896">
        <v>92.541606445943202</v>
      </c>
      <c r="AJ6896">
        <v>86.280505303526596</v>
      </c>
      <c r="AK6896">
        <v>25.038619279725499</v>
      </c>
      <c r="AL6896">
        <v>91.472040678096505</v>
      </c>
      <c r="AM6896">
        <v>88.029616166440206</v>
      </c>
      <c r="AN6896">
        <v>0.99999999198110001</v>
      </c>
    </row>
    <row r="6897" spans="1:40" x14ac:dyDescent="0.25">
      <c r="A6897" t="str">
        <f>"20190312161152596"</f>
        <v>20190312161152596</v>
      </c>
      <c r="B6897" t="str">
        <f>"1552378312583660"</f>
        <v>1552378312583660</v>
      </c>
      <c r="C6897" t="s">
        <v>40</v>
      </c>
      <c r="D6897">
        <v>4.5821759999999996</v>
      </c>
      <c r="E6897">
        <v>0.51102599999999998</v>
      </c>
      <c r="F6897" t="s">
        <v>41</v>
      </c>
      <c r="G6897">
        <v>-185.93960000000001</v>
      </c>
      <c r="H6897" s="1">
        <v>-1.3200090000000001E-6</v>
      </c>
      <c r="I6897">
        <v>-9.6477229999999992</v>
      </c>
      <c r="J6897">
        <v>-185.62620000000001</v>
      </c>
      <c r="K6897">
        <v>1.1103149999999999</v>
      </c>
      <c r="L6897">
        <v>-35.470489999999998</v>
      </c>
      <c r="M6897">
        <v>-7.7026049999999999E-2</v>
      </c>
      <c r="N6897">
        <v>0</v>
      </c>
      <c r="O6897">
        <v>0.99699870000000002</v>
      </c>
      <c r="P6897">
        <v>-4.3060929999999997E-2</v>
      </c>
      <c r="Q6897">
        <v>-3.4049620000000003E-2</v>
      </c>
      <c r="R6897">
        <v>0.99849209999999999</v>
      </c>
      <c r="S6897">
        <v>-3.8070680000000003E-2</v>
      </c>
      <c r="T6897">
        <v>-0.1279401</v>
      </c>
      <c r="U6897">
        <v>2.9983520000000001</v>
      </c>
      <c r="V6897">
        <v>3.4036860000000002E-2</v>
      </c>
      <c r="W6897">
        <v>-2.6193459999999998E-2</v>
      </c>
      <c r="X6897">
        <v>0.99907729999999995</v>
      </c>
      <c r="Y6897">
        <v>6.4375100000000005E-2</v>
      </c>
      <c r="Z6897">
        <v>-4.2395519999999999E-2</v>
      </c>
      <c r="AA6897">
        <v>0.99702480000000004</v>
      </c>
      <c r="AB6897">
        <v>20</v>
      </c>
      <c r="AC6897">
        <v>-0.31340000000000101</v>
      </c>
      <c r="AD6897">
        <v>-1.110316320009</v>
      </c>
      <c r="AE6897">
        <v>25.822766999999999</v>
      </c>
      <c r="AF6897">
        <v>1.67352359462335</v>
      </c>
      <c r="AG6897">
        <v>-1.110316320009</v>
      </c>
      <c r="AH6897">
        <v>25.722636897839699</v>
      </c>
      <c r="AI6897">
        <v>92.466427090664595</v>
      </c>
      <c r="AJ6897">
        <v>86.277563153442401</v>
      </c>
      <c r="AK6897">
        <v>25.800921156624302</v>
      </c>
      <c r="AL6897">
        <v>91.500946332318094</v>
      </c>
      <c r="AM6897">
        <v>88.048785150022596</v>
      </c>
      <c r="AN6897">
        <v>1.0000000282803601</v>
      </c>
    </row>
    <row r="6898" spans="1:40" x14ac:dyDescent="0.25">
      <c r="A6898" t="str">
        <f>"20190312161152618"</f>
        <v>20190312161152618</v>
      </c>
      <c r="B6898" t="str">
        <f>"1552378312613915"</f>
        <v>1552378312613915</v>
      </c>
      <c r="C6898" t="s">
        <v>40</v>
      </c>
      <c r="D6898">
        <v>4.5200690000000003</v>
      </c>
      <c r="E6898">
        <v>0.51164079999999901</v>
      </c>
      <c r="F6898" t="s">
        <v>41</v>
      </c>
      <c r="G6898">
        <v>-186.0043</v>
      </c>
      <c r="H6898" s="1">
        <v>-1.679232E-6</v>
      </c>
      <c r="I6898">
        <v>-8.5415729999999996</v>
      </c>
      <c r="J6898">
        <v>-185.64449999999999</v>
      </c>
      <c r="K6898">
        <v>1.110298</v>
      </c>
      <c r="L6898">
        <v>-35.260710000000003</v>
      </c>
      <c r="M6898">
        <v>-7.8790780000000005E-2</v>
      </c>
      <c r="N6898">
        <v>0</v>
      </c>
      <c r="O6898">
        <v>0.996861</v>
      </c>
      <c r="P6898">
        <v>-4.4703649999999998E-2</v>
      </c>
      <c r="Q6898">
        <v>-3.4719720000000003E-2</v>
      </c>
      <c r="R6898">
        <v>0.99839679999999997</v>
      </c>
      <c r="S6898">
        <v>-4.2098999999999998E-2</v>
      </c>
      <c r="T6898">
        <v>-0.1236326</v>
      </c>
      <c r="U6898">
        <v>2.9985050000000002</v>
      </c>
      <c r="V6898">
        <v>3.4160620000000003E-2</v>
      </c>
      <c r="W6898">
        <v>-2.6892989999999999E-2</v>
      </c>
      <c r="X6898">
        <v>0.99905449999999996</v>
      </c>
      <c r="Y6898">
        <v>6.4802180000000001E-2</v>
      </c>
      <c r="Z6898">
        <v>-4.0959080000000002E-2</v>
      </c>
      <c r="AA6898">
        <v>0.99705719999999998</v>
      </c>
      <c r="AB6898">
        <v>20</v>
      </c>
      <c r="AC6898">
        <v>-0.359800000000007</v>
      </c>
      <c r="AD6898">
        <v>-1.1102996792319999</v>
      </c>
      <c r="AE6898">
        <v>26.719137</v>
      </c>
      <c r="AF6898">
        <v>1.7435933493721101</v>
      </c>
      <c r="AG6898">
        <v>-1.1102996792319999</v>
      </c>
      <c r="AH6898">
        <v>26.618460884132201</v>
      </c>
      <c r="AI6898">
        <v>92.383414554650997</v>
      </c>
      <c r="AJ6898">
        <v>86.252299208577</v>
      </c>
      <c r="AK6898">
        <v>26.698601891967101</v>
      </c>
      <c r="AL6898">
        <v>91.541040561101596</v>
      </c>
      <c r="AM6898">
        <v>88.041651276764398</v>
      </c>
      <c r="AN6898">
        <v>1.0000000374200799</v>
      </c>
    </row>
    <row r="6899" spans="1:40" x14ac:dyDescent="0.25">
      <c r="A6899" t="str">
        <f>"20190312161152642"</f>
        <v>20190312161152642</v>
      </c>
      <c r="B6899" t="str">
        <f>"1552378312634412"</f>
        <v>1552378312634412</v>
      </c>
      <c r="C6899" t="s">
        <v>40</v>
      </c>
      <c r="D6899">
        <v>4.6453009999999999</v>
      </c>
      <c r="E6899">
        <v>0.51214150000000003</v>
      </c>
      <c r="F6899" t="s">
        <v>41</v>
      </c>
      <c r="G6899">
        <v>-186.02010000000001</v>
      </c>
      <c r="H6899" s="1">
        <v>-1.6401509999999999E-6</v>
      </c>
      <c r="I6899">
        <v>-8.6440750000000008</v>
      </c>
      <c r="J6899">
        <v>-185.66380000000001</v>
      </c>
      <c r="K6899">
        <v>1.110257</v>
      </c>
      <c r="L6899">
        <v>-35.042630000000003</v>
      </c>
      <c r="M6899">
        <v>-8.0559899999999907E-2</v>
      </c>
      <c r="N6899">
        <v>0</v>
      </c>
      <c r="O6899">
        <v>0.99671980000000004</v>
      </c>
      <c r="P6899">
        <v>-4.646919E-2</v>
      </c>
      <c r="Q6899">
        <v>-3.5180860000000001E-2</v>
      </c>
      <c r="R6899">
        <v>0.99829999999999997</v>
      </c>
      <c r="S6899">
        <v>-4.2312620000000002E-2</v>
      </c>
      <c r="T6899">
        <v>-0.12508369999999999</v>
      </c>
      <c r="U6899">
        <v>2.9985659999999998</v>
      </c>
      <c r="V6899">
        <v>3.4165189999999998E-2</v>
      </c>
      <c r="W6899">
        <v>-2.7386020000000001E-2</v>
      </c>
      <c r="X6899">
        <v>0.99904090000000001</v>
      </c>
      <c r="Y6899">
        <v>6.6502679999999995E-2</v>
      </c>
      <c r="Z6899">
        <v>-4.142697E-2</v>
      </c>
      <c r="AA6899">
        <v>0.99692590000000003</v>
      </c>
      <c r="AB6899">
        <v>21</v>
      </c>
      <c r="AC6899">
        <v>-0.356300000000004</v>
      </c>
      <c r="AD6899">
        <v>-1.110258640151</v>
      </c>
      <c r="AE6899">
        <v>26.398554999999899</v>
      </c>
      <c r="AF6899">
        <v>1.7684590592568601</v>
      </c>
      <c r="AG6899">
        <v>-1.110258640151</v>
      </c>
      <c r="AH6899">
        <v>26.294949790051</v>
      </c>
      <c r="AI6899">
        <v>92.412335653480795</v>
      </c>
      <c r="AJ6899">
        <v>86.152383513221395</v>
      </c>
      <c r="AK6899">
        <v>26.377727463782801</v>
      </c>
      <c r="AL6899">
        <v>91.569299586532196</v>
      </c>
      <c r="AM6899">
        <v>88.0413628514452</v>
      </c>
      <c r="AN6899">
        <v>0.99999998708599303</v>
      </c>
    </row>
    <row r="6900" spans="1:40" x14ac:dyDescent="0.25">
      <c r="A6900" t="str">
        <f>"20190312161152663"</f>
        <v>20190312161152663</v>
      </c>
      <c r="B6900" t="str">
        <f>"1552378312653931"</f>
        <v>1552378312653931</v>
      </c>
      <c r="C6900" t="s">
        <v>40</v>
      </c>
      <c r="D6900">
        <v>4.6872099999999897</v>
      </c>
      <c r="E6900">
        <v>0.51199129999999904</v>
      </c>
      <c r="F6900" t="s">
        <v>41</v>
      </c>
      <c r="G6900">
        <v>-186.0318</v>
      </c>
      <c r="H6900" s="1">
        <v>-1.2255149999999999E-6</v>
      </c>
      <c r="I6900">
        <v>-9.8533220000000004</v>
      </c>
      <c r="J6900">
        <v>-185.68170000000001</v>
      </c>
      <c r="K6900">
        <v>1.110212</v>
      </c>
      <c r="L6900">
        <v>-34.843440000000001</v>
      </c>
      <c r="M6900">
        <v>-8.2109290000000001E-2</v>
      </c>
      <c r="N6900">
        <v>0</v>
      </c>
      <c r="O6900">
        <v>0.99659359999999997</v>
      </c>
      <c r="P6900">
        <v>-4.8357270000000001E-2</v>
      </c>
      <c r="Q6900">
        <v>-3.5409940000000001E-2</v>
      </c>
      <c r="R6900">
        <v>0.99820229999999999</v>
      </c>
      <c r="S6900">
        <v>-4.3807980000000003E-2</v>
      </c>
      <c r="T6900">
        <v>-0.13215969999999999</v>
      </c>
      <c r="U6900">
        <v>2.9984130000000002</v>
      </c>
      <c r="V6900">
        <v>3.3826439999999999E-2</v>
      </c>
      <c r="W6900">
        <v>-2.7646830000000001E-2</v>
      </c>
      <c r="X6900">
        <v>0.99904530000000002</v>
      </c>
      <c r="Y6900">
        <v>6.7557420000000007E-2</v>
      </c>
      <c r="Z6900">
        <v>-4.3758249999999999E-2</v>
      </c>
      <c r="AA6900">
        <v>0.99675539999999996</v>
      </c>
      <c r="AB6900">
        <v>21</v>
      </c>
      <c r="AC6900">
        <v>-0.35009999999999702</v>
      </c>
      <c r="AD6900">
        <v>-1.1102132255149999</v>
      </c>
      <c r="AE6900">
        <v>24.990117999999999</v>
      </c>
      <c r="AF6900">
        <v>1.69970986920344</v>
      </c>
      <c r="AG6900">
        <v>-1.1102132255149999</v>
      </c>
      <c r="AH6900">
        <v>24.885370898109102</v>
      </c>
      <c r="AI6900">
        <v>92.548518006845001</v>
      </c>
      <c r="AJ6900">
        <v>86.092676864223094</v>
      </c>
      <c r="AK6900">
        <v>24.9680450132171</v>
      </c>
      <c r="AL6900">
        <v>91.584248470266701</v>
      </c>
      <c r="AM6900">
        <v>88.0607764939502</v>
      </c>
      <c r="AN6900">
        <v>1.0000000433520999</v>
      </c>
    </row>
    <row r="6901" spans="1:40" x14ac:dyDescent="0.25">
      <c r="A6901" t="str">
        <f>"20190312161152686"</f>
        <v>20190312161152686</v>
      </c>
      <c r="B6901" t="str">
        <f>"1552378312674428"</f>
        <v>1552378312674428</v>
      </c>
      <c r="C6901" t="s">
        <v>40</v>
      </c>
      <c r="D6901">
        <v>4.6239710000000001</v>
      </c>
      <c r="E6901">
        <v>0.48612699999999998</v>
      </c>
      <c r="F6901" t="s">
        <v>41</v>
      </c>
      <c r="G6901">
        <v>-186.1139</v>
      </c>
      <c r="H6901" s="1">
        <v>-1.4001299999999999E-6</v>
      </c>
      <c r="I6901">
        <v>-9.2759870000000006</v>
      </c>
      <c r="J6901">
        <v>-185.69880000000001</v>
      </c>
      <c r="K6901">
        <v>1.110163</v>
      </c>
      <c r="L6901">
        <v>-34.655819999999999</v>
      </c>
      <c r="M6901">
        <v>-8.350014E-2</v>
      </c>
      <c r="N6901">
        <v>0</v>
      </c>
      <c r="O6901">
        <v>0.99647819999999998</v>
      </c>
      <c r="P6901">
        <v>-4.939876E-2</v>
      </c>
      <c r="Q6901">
        <v>-3.573722E-2</v>
      </c>
      <c r="R6901">
        <v>0.99813960000000002</v>
      </c>
      <c r="S6901">
        <v>-5.0689699999999997E-2</v>
      </c>
      <c r="T6901">
        <v>-0.130195899999999</v>
      </c>
      <c r="U6901">
        <v>2.9983219999999999</v>
      </c>
      <c r="V6901">
        <v>3.4175270000000001E-2</v>
      </c>
      <c r="W6901">
        <v>-2.8004890000000001E-2</v>
      </c>
      <c r="X6901">
        <v>0.99902340000000001</v>
      </c>
      <c r="Y6901">
        <v>6.6661780000000004E-2</v>
      </c>
      <c r="Z6901">
        <v>-4.3103589999999997E-2</v>
      </c>
      <c r="AA6901">
        <v>0.99684419999999996</v>
      </c>
      <c r="AB6901">
        <v>21</v>
      </c>
      <c r="AC6901">
        <v>-0.41509999999999497</v>
      </c>
      <c r="AD6901">
        <v>-1.11016440013</v>
      </c>
      <c r="AE6901">
        <v>25.379833000000001</v>
      </c>
      <c r="AF6901">
        <v>1.70237537081556</v>
      </c>
      <c r="AG6901">
        <v>-1.11016440013</v>
      </c>
      <c r="AH6901">
        <v>25.277505292072799</v>
      </c>
      <c r="AI6901">
        <v>92.5090845321741</v>
      </c>
      <c r="AJ6901">
        <v>86.147093852623499</v>
      </c>
      <c r="AK6901">
        <v>25.3590776782051</v>
      </c>
      <c r="AL6901">
        <v>91.604771831497999</v>
      </c>
      <c r="AM6901">
        <v>88.040751138005604</v>
      </c>
      <c r="AN6901">
        <v>0.99999998834552195</v>
      </c>
    </row>
    <row r="6902" spans="1:40" x14ac:dyDescent="0.25">
      <c r="A6902" t="str">
        <f>"20190312161152707"</f>
        <v>20190312161152707</v>
      </c>
      <c r="B6902" t="str">
        <f>"1552378312703707"</f>
        <v>1552378312703707</v>
      </c>
      <c r="C6902" t="s">
        <v>40</v>
      </c>
      <c r="D6902">
        <v>4.6526649999999998</v>
      </c>
      <c r="E6902">
        <v>0.48485929999999999</v>
      </c>
      <c r="F6902" t="s">
        <v>41</v>
      </c>
      <c r="G6902">
        <v>-191.2954</v>
      </c>
      <c r="H6902" s="1">
        <v>-8.2652749999999996E-7</v>
      </c>
      <c r="I6902">
        <v>30.712319999999998</v>
      </c>
      <c r="J6902">
        <v>-185.71870000000001</v>
      </c>
      <c r="K6902">
        <v>1.1101019999999999</v>
      </c>
      <c r="L6902">
        <v>-34.439300000000003</v>
      </c>
      <c r="M6902">
        <v>-8.5009570000000007E-2</v>
      </c>
      <c r="N6902">
        <v>0</v>
      </c>
      <c r="O6902">
        <v>0.99635079999999998</v>
      </c>
      <c r="P6902">
        <v>-4.9745610000000003E-2</v>
      </c>
      <c r="Q6902">
        <v>-3.6563400000000003E-2</v>
      </c>
      <c r="R6902">
        <v>0.99809239999999999</v>
      </c>
      <c r="S6902">
        <v>-0.25608829999999999</v>
      </c>
      <c r="T6902">
        <v>-5.0798419999999997E-2</v>
      </c>
      <c r="U6902">
        <v>2.9910890000000001</v>
      </c>
      <c r="V6902">
        <v>3.533646E-2</v>
      </c>
      <c r="W6902">
        <v>-2.8869829999999999E-2</v>
      </c>
      <c r="X6902">
        <v>0.99895840000000002</v>
      </c>
      <c r="Y6902">
        <v>-2.8183860000000001E-4</v>
      </c>
      <c r="Z6902">
        <v>-1.685789E-2</v>
      </c>
      <c r="AA6902">
        <v>0.99985780000000002</v>
      </c>
      <c r="AB6902">
        <v>21</v>
      </c>
      <c r="AC6902">
        <v>-5.5766999999999802</v>
      </c>
      <c r="AD6902">
        <v>-1.1101028265274999</v>
      </c>
      <c r="AE6902">
        <v>65.151619999999994</v>
      </c>
      <c r="AF6902">
        <v>-1.78336869536313E-2</v>
      </c>
      <c r="AG6902">
        <v>-1.1101028265274999</v>
      </c>
      <c r="AH6902">
        <v>65.3710123984132</v>
      </c>
      <c r="AI6902">
        <v>90.972879097508397</v>
      </c>
      <c r="AJ6902">
        <v>90.015630704386595</v>
      </c>
      <c r="AK6902">
        <v>65.380439799066394</v>
      </c>
      <c r="AL6902">
        <v>91.654349261749999</v>
      </c>
      <c r="AM6902">
        <v>87.974103625389901</v>
      </c>
      <c r="AN6902">
        <v>1.00000000871006</v>
      </c>
    </row>
    <row r="6903" spans="1:40" x14ac:dyDescent="0.25">
      <c r="A6903" t="str">
        <f>"20190312161152733"</f>
        <v>20190312161152733</v>
      </c>
      <c r="B6903" t="str">
        <f>"1552378312724204"</f>
        <v>1552378312724204</v>
      </c>
      <c r="C6903" t="s">
        <v>40</v>
      </c>
      <c r="D6903">
        <v>4.666493</v>
      </c>
      <c r="E6903">
        <v>0.48523369999999999</v>
      </c>
      <c r="F6903" t="s">
        <v>41</v>
      </c>
      <c r="G6903">
        <v>-192.7467</v>
      </c>
      <c r="H6903" s="1">
        <v>-2.7813610000000002E-6</v>
      </c>
      <c r="I6903">
        <v>44.368969999999997</v>
      </c>
      <c r="J6903">
        <v>-185.74189999999999</v>
      </c>
      <c r="K6903">
        <v>1.1100410000000001</v>
      </c>
      <c r="L6903">
        <v>-34.190190000000001</v>
      </c>
      <c r="M6903">
        <v>-8.6639809999999998E-2</v>
      </c>
      <c r="N6903">
        <v>0</v>
      </c>
      <c r="O6903">
        <v>0.99621079999999995</v>
      </c>
      <c r="P6903">
        <v>-4.9871169999999999E-2</v>
      </c>
      <c r="Q6903">
        <v>-3.658231E-2</v>
      </c>
      <c r="R6903">
        <v>0.99808540000000001</v>
      </c>
      <c r="S6903">
        <v>-0.26672360000000001</v>
      </c>
      <c r="T6903">
        <v>-4.2130349999999997E-2</v>
      </c>
      <c r="U6903">
        <v>2.9909059999999998</v>
      </c>
      <c r="V6903">
        <v>3.6841060000000002E-2</v>
      </c>
      <c r="W6903">
        <v>-2.8934649999999999E-2</v>
      </c>
      <c r="X6903">
        <v>0.99890210000000002</v>
      </c>
      <c r="Y6903">
        <v>-2.1831390000000002E-3</v>
      </c>
      <c r="Z6903">
        <v>-1.3977669999999999E-2</v>
      </c>
      <c r="AA6903">
        <v>0.99989989999999995</v>
      </c>
      <c r="AB6903">
        <v>21</v>
      </c>
      <c r="AC6903">
        <v>-7.0048000000000101</v>
      </c>
      <c r="AD6903">
        <v>-1.110043781361</v>
      </c>
      <c r="AE6903">
        <v>78.559159999999906</v>
      </c>
      <c r="AF6903">
        <v>-0.17187761949917399</v>
      </c>
      <c r="AG6903">
        <v>-1.110043781361</v>
      </c>
      <c r="AH6903">
        <v>78.855029254165103</v>
      </c>
      <c r="AI6903">
        <v>90.806498617745206</v>
      </c>
      <c r="AJ6903">
        <v>90.124885459909194</v>
      </c>
      <c r="AK6903">
        <v>78.863029220211004</v>
      </c>
      <c r="AL6903">
        <v>91.658064837730194</v>
      </c>
      <c r="AM6903">
        <v>87.887800072556701</v>
      </c>
      <c r="AN6903">
        <v>0.99999994152847604</v>
      </c>
    </row>
    <row r="6904" spans="1:40" x14ac:dyDescent="0.25">
      <c r="A6904" t="str">
        <f>"20190312161152773"</f>
        <v>20190312161152773</v>
      </c>
      <c r="B6904" t="str">
        <f>"1552378312764220"</f>
        <v>1552378312764220</v>
      </c>
      <c r="C6904" t="s">
        <v>40</v>
      </c>
      <c r="D6904">
        <v>4.681063</v>
      </c>
      <c r="E6904">
        <v>0.4860546</v>
      </c>
      <c r="F6904" t="s">
        <v>41</v>
      </c>
      <c r="G6904">
        <v>-193.45089999999999</v>
      </c>
      <c r="H6904" s="1">
        <v>-2.4287140000000001E-6</v>
      </c>
      <c r="I6904">
        <v>53.110190000000003</v>
      </c>
      <c r="J6904">
        <v>-185.7766</v>
      </c>
      <c r="K6904">
        <v>1.1099509999999999</v>
      </c>
      <c r="L6904">
        <v>-33.822299999999998</v>
      </c>
      <c r="M6904">
        <v>-8.8812340000000004E-2</v>
      </c>
      <c r="N6904">
        <v>0</v>
      </c>
      <c r="O6904">
        <v>0.99601980000000001</v>
      </c>
      <c r="P6904">
        <v>-5.213073E-2</v>
      </c>
      <c r="Q6904">
        <v>-3.5330399999999998E-2</v>
      </c>
      <c r="R6904">
        <v>0.99801510000000004</v>
      </c>
      <c r="S6904">
        <v>-0.26412960000000002</v>
      </c>
      <c r="T6904">
        <v>-3.8033129999999998E-2</v>
      </c>
      <c r="U6904">
        <v>2.9911500000000002</v>
      </c>
      <c r="V6904">
        <v>3.6754820000000001E-2</v>
      </c>
      <c r="W6904">
        <v>-2.7748700000000001E-2</v>
      </c>
      <c r="X6904">
        <v>0.99893900000000002</v>
      </c>
      <c r="Y6904">
        <v>8.6381509999999904E-4</v>
      </c>
      <c r="Z6904">
        <v>-1.261439E-2</v>
      </c>
      <c r="AA6904">
        <v>0.99992009999999998</v>
      </c>
      <c r="AB6904">
        <v>21</v>
      </c>
      <c r="AC6904">
        <v>-7.6742999999999801</v>
      </c>
      <c r="AD6904">
        <v>-1.109953428714</v>
      </c>
      <c r="AE6904">
        <v>86.932490000000001</v>
      </c>
      <c r="AF6904">
        <v>7.6912855851101095E-2</v>
      </c>
      <c r="AG6904">
        <v>-1.109953428714</v>
      </c>
      <c r="AH6904">
        <v>87.256423184846597</v>
      </c>
      <c r="AI6904">
        <v>90.7287966893484</v>
      </c>
      <c r="AJ6904">
        <v>89.949496200641605</v>
      </c>
      <c r="AK6904">
        <v>87.263516427051798</v>
      </c>
      <c r="AL6904">
        <v>91.5900874740462</v>
      </c>
      <c r="AM6904">
        <v>87.892817757989206</v>
      </c>
      <c r="AN6904">
        <v>1.0000000164329601</v>
      </c>
    </row>
    <row r="6905" spans="1:40" x14ac:dyDescent="0.25">
      <c r="A6905" t="str">
        <f>"20190312161152797"</f>
        <v>20190312161152797</v>
      </c>
      <c r="B6905" t="str">
        <f>"1552378312783740"</f>
        <v>1552378312783740</v>
      </c>
      <c r="C6905" t="s">
        <v>40</v>
      </c>
      <c r="D6905">
        <v>4.6757849999999896</v>
      </c>
      <c r="E6905">
        <v>0.48624250000000002</v>
      </c>
      <c r="F6905" t="s">
        <v>41</v>
      </c>
      <c r="G6905">
        <v>-194.9427</v>
      </c>
      <c r="H6905" s="1">
        <v>-1.44966E-6</v>
      </c>
      <c r="I6905">
        <v>69.902730000000005</v>
      </c>
      <c r="J6905">
        <v>-185.79769999999999</v>
      </c>
      <c r="K6905">
        <v>1.109888</v>
      </c>
      <c r="L6905">
        <v>-33.601750000000003</v>
      </c>
      <c r="M6905">
        <v>-8.9964399999999903E-2</v>
      </c>
      <c r="N6905">
        <v>0</v>
      </c>
      <c r="O6905">
        <v>0.99591669999999999</v>
      </c>
      <c r="P6905">
        <v>-5.334668E-2</v>
      </c>
      <c r="Q6905">
        <v>-3.634979E-2</v>
      </c>
      <c r="R6905">
        <v>0.99791430000000003</v>
      </c>
      <c r="S6905">
        <v>-0.26431270000000001</v>
      </c>
      <c r="T6905">
        <v>-3.2006739999999999E-2</v>
      </c>
      <c r="U6905">
        <v>2.991028</v>
      </c>
      <c r="V6905">
        <v>3.6687820000000003E-2</v>
      </c>
      <c r="W6905">
        <v>-2.8807840000000001E-2</v>
      </c>
      <c r="X6905">
        <v>0.9989114</v>
      </c>
      <c r="Y6905">
        <v>1.9541390000000001E-3</v>
      </c>
      <c r="Z6905">
        <v>-1.061461E-2</v>
      </c>
      <c r="AA6905">
        <v>0.99994179999999999</v>
      </c>
      <c r="AB6905">
        <v>21</v>
      </c>
      <c r="AC6905">
        <v>-9.1450000000000102</v>
      </c>
      <c r="AD6905">
        <v>-1.10988944966</v>
      </c>
      <c r="AE6905">
        <v>103.50448</v>
      </c>
      <c r="AF6905">
        <v>0.20404268684410601</v>
      </c>
      <c r="AG6905">
        <v>-1.10988944966</v>
      </c>
      <c r="AH6905">
        <v>103.895637463996</v>
      </c>
      <c r="AI6905">
        <v>90.612051104658704</v>
      </c>
      <c r="AJ6905">
        <v>89.887475835832007</v>
      </c>
      <c r="AK6905">
        <v>103.90176597179899</v>
      </c>
      <c r="AL6905">
        <v>91.650796137899206</v>
      </c>
      <c r="AM6905">
        <v>87.896597403176003</v>
      </c>
      <c r="AN6905">
        <v>0.99999993641588703</v>
      </c>
    </row>
    <row r="6906" spans="1:40" x14ac:dyDescent="0.25">
      <c r="A6906" t="str">
        <f>"20190312161152822"</f>
        <v>20190312161152822</v>
      </c>
      <c r="B6906" t="str">
        <f>"1552378312813996"</f>
        <v>1552378312813996</v>
      </c>
      <c r="C6906" t="s">
        <v>40</v>
      </c>
      <c r="D6906">
        <v>4.6792949999999998</v>
      </c>
      <c r="E6906">
        <v>0.48654530000000001</v>
      </c>
      <c r="F6906" t="s">
        <v>41</v>
      </c>
      <c r="G6906">
        <v>-194.51840000000001</v>
      </c>
      <c r="H6906" s="1">
        <v>-3.2457850000000001E-6</v>
      </c>
      <c r="I6906">
        <v>64.352710000000002</v>
      </c>
      <c r="J6906">
        <v>-185.821</v>
      </c>
      <c r="K6906">
        <v>1.10981</v>
      </c>
      <c r="L6906">
        <v>-33.358370000000001</v>
      </c>
      <c r="M6906">
        <v>-9.1108999999999996E-2</v>
      </c>
      <c r="N6906">
        <v>0</v>
      </c>
      <c r="O6906">
        <v>0.99581299999999995</v>
      </c>
      <c r="P6906">
        <v>-5.3600679999999998E-2</v>
      </c>
      <c r="Q6906">
        <v>-3.7190470000000003E-2</v>
      </c>
      <c r="R6906">
        <v>0.99786969999999997</v>
      </c>
      <c r="S6906">
        <v>-0.2662659</v>
      </c>
      <c r="T6906">
        <v>-3.3887979999999998E-2</v>
      </c>
      <c r="U6906">
        <v>2.9908139999999999</v>
      </c>
      <c r="V6906">
        <v>3.7575089999999998E-2</v>
      </c>
      <c r="W6906">
        <v>-2.9691639999999998E-2</v>
      </c>
      <c r="X6906">
        <v>0.99885259999999998</v>
      </c>
      <c r="Y6906">
        <v>2.4499040000000001E-3</v>
      </c>
      <c r="Z6906">
        <v>-1.123714E-2</v>
      </c>
      <c r="AA6906">
        <v>0.99993379999999998</v>
      </c>
      <c r="AB6906">
        <v>21</v>
      </c>
      <c r="AC6906">
        <v>-8.6974000000000107</v>
      </c>
      <c r="AD6906">
        <v>-1.1098132457850001</v>
      </c>
      <c r="AE6906">
        <v>97.711079999999995</v>
      </c>
      <c r="AF6906">
        <v>0.24135062324034501</v>
      </c>
      <c r="AG6906">
        <v>-1.1098132457850001</v>
      </c>
      <c r="AH6906">
        <v>98.084549106274295</v>
      </c>
      <c r="AI6906">
        <v>90.648264275218096</v>
      </c>
      <c r="AJ6906">
        <v>89.859016080396401</v>
      </c>
      <c r="AK6906">
        <v>98.091124516670703</v>
      </c>
      <c r="AL6906">
        <v>91.7014557222207</v>
      </c>
      <c r="AM6906">
        <v>87.845648707891996</v>
      </c>
      <c r="AN6906">
        <v>0.99999999870057799</v>
      </c>
    </row>
    <row r="6907" spans="1:40" x14ac:dyDescent="0.25">
      <c r="A6907" t="str">
        <f>"20190312161152841"</f>
        <v>20190312161152841</v>
      </c>
      <c r="B6907" t="str">
        <f>"1552378312834493"</f>
        <v>1552378312834493</v>
      </c>
      <c r="C6907" t="s">
        <v>40</v>
      </c>
      <c r="D6907">
        <v>4.6760390000000003</v>
      </c>
      <c r="E6907">
        <v>0.48672700000000002</v>
      </c>
      <c r="F6907" t="s">
        <v>41</v>
      </c>
      <c r="G6907">
        <v>-194.31989999999999</v>
      </c>
      <c r="H6907" s="1">
        <v>-2.503681E-6</v>
      </c>
      <c r="I6907">
        <v>62.745959999999997</v>
      </c>
      <c r="J6907">
        <v>-185.8382</v>
      </c>
      <c r="K6907">
        <v>1.1097549999999901</v>
      </c>
      <c r="L6907">
        <v>-33.179900000000004</v>
      </c>
      <c r="M6907">
        <v>-9.1840389999999994E-2</v>
      </c>
      <c r="N6907">
        <v>0</v>
      </c>
      <c r="O6907">
        <v>0.99574600000000002</v>
      </c>
      <c r="P6907">
        <v>-5.3765130000000001E-2</v>
      </c>
      <c r="Q6907">
        <v>-3.7431930000000002E-2</v>
      </c>
      <c r="R6907">
        <v>0.99785179999999996</v>
      </c>
      <c r="S6907">
        <v>-0.2644958</v>
      </c>
      <c r="T6907">
        <v>-3.4538979999999997E-2</v>
      </c>
      <c r="U6907">
        <v>2.9909059999999998</v>
      </c>
      <c r="V6907">
        <v>3.8139310000000003E-2</v>
      </c>
      <c r="W6907">
        <v>-2.996333E-2</v>
      </c>
      <c r="X6907">
        <v>0.99882309999999996</v>
      </c>
      <c r="Y6907">
        <v>3.7744279999999998E-3</v>
      </c>
      <c r="Z6907">
        <v>-1.145174E-2</v>
      </c>
      <c r="AA6907">
        <v>0.99992729999999996</v>
      </c>
      <c r="AB6907">
        <v>21</v>
      </c>
      <c r="AC6907">
        <v>-8.4816999999999894</v>
      </c>
      <c r="AD6907">
        <v>-1.1097575036809999</v>
      </c>
      <c r="AE6907">
        <v>95.92586</v>
      </c>
      <c r="AF6907">
        <v>0.36421123964771002</v>
      </c>
      <c r="AG6907">
        <v>-1.1097575036809999</v>
      </c>
      <c r="AH6907">
        <v>96.286627155286098</v>
      </c>
      <c r="AI6907">
        <v>90.660332104730799</v>
      </c>
      <c r="AJ6907">
        <v>89.783275539126805</v>
      </c>
      <c r="AK6907">
        <v>96.2937110121172</v>
      </c>
      <c r="AL6907">
        <v>91.717029345529696</v>
      </c>
      <c r="AM6907">
        <v>87.813266052649993</v>
      </c>
      <c r="AN6907">
        <v>0.99999999660278704</v>
      </c>
    </row>
    <row r="6908" spans="1:40" x14ac:dyDescent="0.25">
      <c r="A6908" t="str">
        <f>"20190312161152865"</f>
        <v>20190312161152865</v>
      </c>
      <c r="B6908" t="str">
        <f>"1552378312854013"</f>
        <v>1552378312854013</v>
      </c>
      <c r="C6908" t="s">
        <v>40</v>
      </c>
      <c r="D6908">
        <v>4.7093669999999896</v>
      </c>
      <c r="E6908">
        <v>0.4868575</v>
      </c>
      <c r="F6908" t="s">
        <v>41</v>
      </c>
      <c r="G6908">
        <v>-194.4571</v>
      </c>
      <c r="H6908" s="1">
        <v>-3.3723840000000001E-6</v>
      </c>
      <c r="I6908">
        <v>64.6858</v>
      </c>
      <c r="J6908">
        <v>-185.86</v>
      </c>
      <c r="K6908">
        <v>1.109669</v>
      </c>
      <c r="L6908">
        <v>-32.954619999999998</v>
      </c>
      <c r="M6908">
        <v>-9.2642020000000005E-2</v>
      </c>
      <c r="N6908">
        <v>0</v>
      </c>
      <c r="O6908">
        <v>0.99567190000000005</v>
      </c>
      <c r="P6908">
        <v>-5.469624E-2</v>
      </c>
      <c r="Q6908">
        <v>-3.6922730000000001E-2</v>
      </c>
      <c r="R6908">
        <v>0.99782009999999999</v>
      </c>
      <c r="S6908">
        <v>-0.26341249999999999</v>
      </c>
      <c r="T6908">
        <v>-3.3916710000000003E-2</v>
      </c>
      <c r="U6908">
        <v>2.9909970000000001</v>
      </c>
      <c r="V6908">
        <v>3.8006819999999997E-2</v>
      </c>
      <c r="W6908">
        <v>-2.9492859999999999E-2</v>
      </c>
      <c r="X6908">
        <v>0.99884220000000001</v>
      </c>
      <c r="Y6908">
        <v>4.9413510000000001E-3</v>
      </c>
      <c r="Z6908">
        <v>-1.1244000000000001E-2</v>
      </c>
      <c r="AA6908">
        <v>0.99992460000000005</v>
      </c>
      <c r="AB6908">
        <v>21</v>
      </c>
      <c r="AC6908">
        <v>-8.5970999999999798</v>
      </c>
      <c r="AD6908">
        <v>-1.1096723723840001</v>
      </c>
      <c r="AE6908">
        <v>97.640419999999907</v>
      </c>
      <c r="AF6908">
        <v>0.48566594376396899</v>
      </c>
      <c r="AG6908">
        <v>-1.1096723723840001</v>
      </c>
      <c r="AH6908">
        <v>98.004406036732405</v>
      </c>
      <c r="AI6908">
        <v>90.648705999726701</v>
      </c>
      <c r="AJ6908">
        <v>89.716070101584094</v>
      </c>
      <c r="AK6908">
        <v>98.011891354037601</v>
      </c>
      <c r="AL6908">
        <v>91.690061400773203</v>
      </c>
      <c r="AM6908">
        <v>87.820896718032799</v>
      </c>
      <c r="AN6908">
        <v>1.0000000438291601</v>
      </c>
    </row>
    <row r="6909" spans="1:40" x14ac:dyDescent="0.25">
      <c r="A6909" t="str">
        <f>"20190312161152885"</f>
        <v>20190312161152885</v>
      </c>
      <c r="B6909" t="str">
        <f>"1552378312873532"</f>
        <v>1552378312873532</v>
      </c>
      <c r="C6909" t="s">
        <v>40</v>
      </c>
      <c r="D6909">
        <v>4.7148329999999996</v>
      </c>
      <c r="E6909">
        <v>0.48703039999999997</v>
      </c>
      <c r="F6909" t="s">
        <v>41</v>
      </c>
      <c r="G6909">
        <v>-195.20160000000001</v>
      </c>
      <c r="H6909" s="1">
        <v>-2.5889849999999999E-6</v>
      </c>
      <c r="I6909">
        <v>72.397940000000006</v>
      </c>
      <c r="J6909">
        <v>-185.8792</v>
      </c>
      <c r="K6909">
        <v>1.109586</v>
      </c>
      <c r="L6909">
        <v>-32.756070000000001</v>
      </c>
      <c r="M6909">
        <v>-9.3224699999999994E-2</v>
      </c>
      <c r="N6909">
        <v>0</v>
      </c>
      <c r="O6909">
        <v>0.99561770000000005</v>
      </c>
      <c r="P6909">
        <v>-5.5037019999999999E-2</v>
      </c>
      <c r="Q6909">
        <v>-3.7155000000000001E-2</v>
      </c>
      <c r="R6909">
        <v>0.99779280000000004</v>
      </c>
      <c r="S6909">
        <v>-0.26519779999999998</v>
      </c>
      <c r="T6909">
        <v>-3.1502370000000002E-2</v>
      </c>
      <c r="U6909">
        <v>2.9908450000000002</v>
      </c>
      <c r="V6909">
        <v>3.8244159999999999E-2</v>
      </c>
      <c r="W6909">
        <v>-2.9759770000000001E-2</v>
      </c>
      <c r="X6909">
        <v>0.99882519999999997</v>
      </c>
      <c r="Y6909">
        <v>4.9290790000000003E-3</v>
      </c>
      <c r="Z6909">
        <v>-1.044309E-2</v>
      </c>
      <c r="AA6909">
        <v>0.99993330000000002</v>
      </c>
      <c r="AB6909">
        <v>22</v>
      </c>
      <c r="AC6909">
        <v>-9.3224000000000107</v>
      </c>
      <c r="AD6909">
        <v>-1.1095885889849999</v>
      </c>
      <c r="AE6909">
        <v>105.15401</v>
      </c>
      <c r="AF6909">
        <v>0.52136121318708795</v>
      </c>
      <c r="AG6909">
        <v>-1.1095885889849999</v>
      </c>
      <c r="AH6909">
        <v>105.553489651671</v>
      </c>
      <c r="AI6909">
        <v>90.602269298172402</v>
      </c>
      <c r="AJ6909">
        <v>89.717000789888601</v>
      </c>
      <c r="AK6909">
        <v>105.560609045216</v>
      </c>
      <c r="AL6909">
        <v>91.705360973259104</v>
      </c>
      <c r="AM6909">
        <v>87.807264898039094</v>
      </c>
      <c r="AN6909">
        <v>1.00000001991979</v>
      </c>
    </row>
    <row r="6910" spans="1:40" x14ac:dyDescent="0.25">
      <c r="A6910" t="str">
        <f>"20190312161152908"</f>
        <v>20190312161152908</v>
      </c>
      <c r="B6910" t="str">
        <f>"1552378312903791"</f>
        <v>1552378312903791</v>
      </c>
      <c r="C6910" t="s">
        <v>40</v>
      </c>
      <c r="D6910">
        <v>4.8022769999999904</v>
      </c>
      <c r="E6910">
        <v>0.48714740000000001</v>
      </c>
      <c r="F6910" t="s">
        <v>41</v>
      </c>
      <c r="G6910">
        <v>-195.08959999999999</v>
      </c>
      <c r="H6910" s="1">
        <v>-2.081405E-6</v>
      </c>
      <c r="I6910">
        <v>71.284229999999994</v>
      </c>
      <c r="J6910">
        <v>-185.90090000000001</v>
      </c>
      <c r="K6910">
        <v>1.109502</v>
      </c>
      <c r="L6910">
        <v>-32.531370000000003</v>
      </c>
      <c r="M6910">
        <v>-9.3773529999999994E-2</v>
      </c>
      <c r="N6910">
        <v>0</v>
      </c>
      <c r="O6910">
        <v>0.99556639999999996</v>
      </c>
      <c r="P6910">
        <v>-5.4521510000000002E-2</v>
      </c>
      <c r="Q6910">
        <v>-3.8249560000000002E-2</v>
      </c>
      <c r="R6910">
        <v>0.99777969999999905</v>
      </c>
      <c r="S6910">
        <v>-0.26477050000000002</v>
      </c>
      <c r="T6910">
        <v>-3.1897309999999998E-2</v>
      </c>
      <c r="U6910">
        <v>2.9908450000000002</v>
      </c>
      <c r="V6910">
        <v>3.9301969999999999E-2</v>
      </c>
      <c r="W6910">
        <v>-3.0891060000000001E-2</v>
      </c>
      <c r="X6910">
        <v>0.99874980000000002</v>
      </c>
      <c r="Y6910">
        <v>5.6221580000000004E-3</v>
      </c>
      <c r="Z6910">
        <v>-1.0573229999999999E-2</v>
      </c>
      <c r="AA6910">
        <v>0.99992829999999999</v>
      </c>
      <c r="AB6910">
        <v>22</v>
      </c>
      <c r="AC6910">
        <v>-9.1886999999999794</v>
      </c>
      <c r="AD6910">
        <v>-1.1095040814049999</v>
      </c>
      <c r="AE6910">
        <v>103.8156</v>
      </c>
      <c r="AF6910">
        <v>0.58714363553318005</v>
      </c>
      <c r="AG6910">
        <v>-1.1095040814049999</v>
      </c>
      <c r="AH6910">
        <v>104.20798766529801</v>
      </c>
      <c r="AI6910">
        <v>90.609996333592207</v>
      </c>
      <c r="AJ6910">
        <v>89.677179292500597</v>
      </c>
      <c r="AK6910">
        <v>104.215547929309</v>
      </c>
      <c r="AL6910">
        <v>91.770208920133996</v>
      </c>
      <c r="AM6910">
        <v>87.746506930632407</v>
      </c>
      <c r="AN6910">
        <v>1.0000000327169201</v>
      </c>
    </row>
    <row r="6911" spans="1:40" x14ac:dyDescent="0.25">
      <c r="A6911" t="str">
        <f>"20190312161152934"</f>
        <v>20190312161152934</v>
      </c>
      <c r="B6911" t="str">
        <f>"1552378312924285"</f>
        <v>1552378312924285</v>
      </c>
      <c r="C6911" t="s">
        <v>40</v>
      </c>
      <c r="D6911">
        <v>4.8025979999999997</v>
      </c>
      <c r="E6911">
        <v>0.5154107</v>
      </c>
      <c r="F6911" t="s">
        <v>41</v>
      </c>
      <c r="G6911">
        <v>-193.9254</v>
      </c>
      <c r="H6911" s="1">
        <v>-4.7674250000000004E-6</v>
      </c>
      <c r="I6911">
        <v>58.949969999999901</v>
      </c>
      <c r="J6911">
        <v>-185.92439999999999</v>
      </c>
      <c r="K6911">
        <v>1.109429</v>
      </c>
      <c r="L6911">
        <v>-32.288059999999902</v>
      </c>
      <c r="M6911">
        <v>-9.4245560000000006E-2</v>
      </c>
      <c r="N6911">
        <v>0</v>
      </c>
      <c r="O6911">
        <v>0.99552209999999997</v>
      </c>
      <c r="P6911">
        <v>-5.377324E-2</v>
      </c>
      <c r="Q6911">
        <v>-3.9315889999999999E-2</v>
      </c>
      <c r="R6911">
        <v>0.99777890000000002</v>
      </c>
      <c r="S6911">
        <v>-0.26235960000000003</v>
      </c>
      <c r="T6911">
        <v>-3.6275149999999999E-2</v>
      </c>
      <c r="U6911">
        <v>2.9909669999999999</v>
      </c>
      <c r="V6911">
        <v>4.0515889999999999E-2</v>
      </c>
      <c r="W6911">
        <v>-3.1992020000000003E-2</v>
      </c>
      <c r="X6911">
        <v>0.99866659999999996</v>
      </c>
      <c r="Y6911">
        <v>6.9010779999999997E-3</v>
      </c>
      <c r="Z6911">
        <v>-1.2023259999999999E-2</v>
      </c>
      <c r="AA6911">
        <v>0.99990389999999996</v>
      </c>
      <c r="AB6911">
        <v>22</v>
      </c>
      <c r="AC6911">
        <v>-8.0009999999999994</v>
      </c>
      <c r="AD6911">
        <v>-1.1094337674250001</v>
      </c>
      <c r="AE6911">
        <v>91.238029999999895</v>
      </c>
      <c r="AF6911">
        <v>0.63353090638201104</v>
      </c>
      <c r="AG6911">
        <v>-1.1094337674250001</v>
      </c>
      <c r="AH6911">
        <v>91.572548359255094</v>
      </c>
      <c r="AI6911">
        <v>90.694108036357605</v>
      </c>
      <c r="AJ6911">
        <v>89.603614088869705</v>
      </c>
      <c r="AK6911">
        <v>91.581460010756402</v>
      </c>
      <c r="AL6911">
        <v>91.833320541251496</v>
      </c>
      <c r="AM6911">
        <v>87.676785078774699</v>
      </c>
      <c r="AN6911">
        <v>1.0000000023208599</v>
      </c>
    </row>
    <row r="6912" spans="1:40" x14ac:dyDescent="0.25">
      <c r="A6912" t="str">
        <f>"20190312161152960"</f>
        <v>20190312161152960</v>
      </c>
      <c r="B6912" t="str">
        <f>"1552378312953564"</f>
        <v>1552378312953564</v>
      </c>
      <c r="C6912" t="s">
        <v>40</v>
      </c>
      <c r="D6912">
        <v>4.9905280000000003</v>
      </c>
      <c r="E6912">
        <v>0.52408480000000002</v>
      </c>
      <c r="F6912" t="s">
        <v>42</v>
      </c>
      <c r="G6912">
        <v>-185.9374</v>
      </c>
      <c r="H6912">
        <v>1.0240020000000001</v>
      </c>
      <c r="I6912">
        <v>-31.466660000000001</v>
      </c>
      <c r="J6912">
        <v>-185.94900000000001</v>
      </c>
      <c r="K6912">
        <v>1.109367</v>
      </c>
      <c r="L6912">
        <v>-32.033290000000001</v>
      </c>
      <c r="M6912">
        <v>-9.4604729999999998E-2</v>
      </c>
      <c r="N6912">
        <v>0</v>
      </c>
      <c r="O6912">
        <v>0.99548820000000005</v>
      </c>
      <c r="P6912">
        <v>-5.2581540000000003E-2</v>
      </c>
      <c r="Q6912">
        <v>-3.989641E-2</v>
      </c>
      <c r="R6912">
        <v>0.99781940000000002</v>
      </c>
      <c r="S6912">
        <v>-4.7271729999999998E-2</v>
      </c>
      <c r="T6912">
        <v>-0.31116549999999998</v>
      </c>
      <c r="U6912">
        <v>2.9918819999999999</v>
      </c>
      <c r="V6912">
        <v>4.2061969999999997E-2</v>
      </c>
      <c r="W6912">
        <v>-3.2605250000000002E-2</v>
      </c>
      <c r="X6912">
        <v>0.99858279999999999</v>
      </c>
      <c r="Y6912">
        <v>7.8951220000000003E-2</v>
      </c>
      <c r="Z6912">
        <v>-0.1025832</v>
      </c>
      <c r="AA6912">
        <v>0.99158630000000003</v>
      </c>
      <c r="AB6912">
        <v>22</v>
      </c>
      <c r="AC6912">
        <v>1.1600000000015501E-2</v>
      </c>
      <c r="AD6912">
        <v>-8.5364999999999899E-2</v>
      </c>
      <c r="AE6912">
        <v>0.56663000000000296</v>
      </c>
      <c r="AF6912">
        <v>6.3709882909334006E-2</v>
      </c>
      <c r="AG6912">
        <v>-8.5364999999999899E-2</v>
      </c>
      <c r="AH6912">
        <v>0.550501759491557</v>
      </c>
      <c r="AI6912">
        <v>98.756982973319694</v>
      </c>
      <c r="AJ6912">
        <v>83.398494757302899</v>
      </c>
      <c r="AK6912">
        <v>0.56071233231365702</v>
      </c>
      <c r="AL6912">
        <v>91.868474452655704</v>
      </c>
      <c r="AM6912">
        <v>87.588032170909401</v>
      </c>
      <c r="AN6912">
        <v>0.99999996005184</v>
      </c>
    </row>
    <row r="6913" spans="1:40" x14ac:dyDescent="0.25">
      <c r="A6913" t="str">
        <f>"20190312161153001"</f>
        <v>20190312161153001</v>
      </c>
      <c r="B6913" t="str">
        <f>"1552378312993581"</f>
        <v>1552378312993581</v>
      </c>
      <c r="C6913" t="s">
        <v>40</v>
      </c>
      <c r="D6913">
        <v>4.85771</v>
      </c>
      <c r="E6913">
        <v>0.54321149999999996</v>
      </c>
      <c r="F6913" t="s">
        <v>42</v>
      </c>
      <c r="G6913">
        <v>-185.94329999999999</v>
      </c>
      <c r="H6913">
        <v>1.0128029999999999</v>
      </c>
      <c r="I6913">
        <v>-31.27572</v>
      </c>
      <c r="J6913">
        <v>-185.98699999999999</v>
      </c>
      <c r="K6913">
        <v>1.109254</v>
      </c>
      <c r="L6913">
        <v>-31.637360000000001</v>
      </c>
      <c r="M6913">
        <v>-9.4877340000000004E-2</v>
      </c>
      <c r="N6913">
        <v>0</v>
      </c>
      <c r="O6913">
        <v>0.99546250000000003</v>
      </c>
      <c r="P6913">
        <v>-4.998491E-2</v>
      </c>
      <c r="Q6913">
        <v>-3.9934070000000002E-2</v>
      </c>
      <c r="R6913">
        <v>0.99795129999999999</v>
      </c>
      <c r="S6913">
        <v>2.2247309999999999E-2</v>
      </c>
      <c r="T6913">
        <v>-0.3814188</v>
      </c>
      <c r="U6913">
        <v>2.9924620000000002</v>
      </c>
      <c r="V6913">
        <v>4.4925319999999998E-2</v>
      </c>
      <c r="W6913">
        <v>-3.2695809999999999E-2</v>
      </c>
      <c r="X6913">
        <v>0.99845519999999999</v>
      </c>
      <c r="Y6913">
        <v>0.10221710000000001</v>
      </c>
      <c r="Z6913">
        <v>-0.12525049999999999</v>
      </c>
      <c r="AA6913">
        <v>0.98684550000000004</v>
      </c>
      <c r="AB6913">
        <v>22</v>
      </c>
      <c r="AC6913">
        <v>4.3700000000001099E-2</v>
      </c>
      <c r="AD6913">
        <v>-9.6450999999999995E-2</v>
      </c>
      <c r="AE6913">
        <v>0.36163999999999702</v>
      </c>
      <c r="AF6913">
        <v>7.2717178831473703E-2</v>
      </c>
      <c r="AG6913">
        <v>-9.6450999999999995E-2</v>
      </c>
      <c r="AH6913">
        <v>0.33254815545465699</v>
      </c>
      <c r="AI6913">
        <v>105.81961598083799</v>
      </c>
      <c r="AJ6913">
        <v>77.665472339904497</v>
      </c>
      <c r="AK6913">
        <v>0.35380624527346</v>
      </c>
      <c r="AL6913">
        <v>91.873665770399896</v>
      </c>
      <c r="AM6913">
        <v>87.423723904118702</v>
      </c>
      <c r="AN6913">
        <v>1.00000004338784</v>
      </c>
    </row>
    <row r="6914" spans="1:40" x14ac:dyDescent="0.25">
      <c r="A6914" t="str">
        <f>"20190312161153043"</f>
        <v>20190312161153043</v>
      </c>
      <c r="B6914" t="str">
        <f>"1552378313034123"</f>
        <v>1552378313034123</v>
      </c>
      <c r="C6914" t="s">
        <v>40</v>
      </c>
      <c r="D6914">
        <v>4.9404250000000003</v>
      </c>
      <c r="E6914">
        <v>0.54208059999999902</v>
      </c>
      <c r="F6914" t="s">
        <v>42</v>
      </c>
      <c r="G6914">
        <v>-185.94460000000001</v>
      </c>
      <c r="H6914">
        <v>0.96264269999999996</v>
      </c>
      <c r="I6914">
        <v>-30.903569999999998</v>
      </c>
      <c r="J6914">
        <v>-186.0273</v>
      </c>
      <c r="K6914">
        <v>1.1091599999999999</v>
      </c>
      <c r="L6914">
        <v>-31.215699999999998</v>
      </c>
      <c r="M6914">
        <v>-9.4901070000000004E-2</v>
      </c>
      <c r="N6914">
        <v>0</v>
      </c>
      <c r="O6914">
        <v>0.99546060000000003</v>
      </c>
      <c r="P6914">
        <v>-4.6071620000000001E-2</v>
      </c>
      <c r="Q6914">
        <v>-4.1154679999999999E-2</v>
      </c>
      <c r="R6914">
        <v>0.99809000000000003</v>
      </c>
      <c r="S6914">
        <v>0.172744799999999</v>
      </c>
      <c r="T6914">
        <v>-0.59757389999999999</v>
      </c>
      <c r="U6914">
        <v>2.9909059999999998</v>
      </c>
      <c r="V6914">
        <v>4.885076E-2</v>
      </c>
      <c r="W6914">
        <v>-3.3965719999999998E-2</v>
      </c>
      <c r="X6914">
        <v>0.99822840000000002</v>
      </c>
      <c r="Y6914">
        <v>0.15104239999999999</v>
      </c>
      <c r="Z6914">
        <v>-0.19332170000000001</v>
      </c>
      <c r="AA6914">
        <v>0.96943939999999995</v>
      </c>
      <c r="AB6914">
        <v>22</v>
      </c>
      <c r="AC6914">
        <v>8.2699999999988394E-2</v>
      </c>
      <c r="AD6914">
        <v>-0.14651729999999999</v>
      </c>
      <c r="AE6914">
        <v>0.31212999999999602</v>
      </c>
      <c r="AF6914">
        <v>9.2834910784797595E-2</v>
      </c>
      <c r="AG6914">
        <v>-0.14651729999999999</v>
      </c>
      <c r="AH6914">
        <v>0.25116047768074201</v>
      </c>
      <c r="AI6914">
        <v>118.686563393825</v>
      </c>
      <c r="AJ6914">
        <v>69.714483636283404</v>
      </c>
      <c r="AK6914">
        <v>0.30523306735760097</v>
      </c>
      <c r="AL6914">
        <v>91.946466784656096</v>
      </c>
      <c r="AM6914">
        <v>87.198325346179203</v>
      </c>
      <c r="AN6914">
        <v>1.0000000027271201</v>
      </c>
    </row>
    <row r="6915" spans="1:40" x14ac:dyDescent="0.25">
      <c r="A6915" t="str">
        <f>"20190312161153065"</f>
        <v>20190312161153065</v>
      </c>
      <c r="B6915" t="str">
        <f>"1552378313053644"</f>
        <v>1552378313053644</v>
      </c>
      <c r="C6915" t="s">
        <v>40</v>
      </c>
      <c r="D6915">
        <v>5.0800099999999997</v>
      </c>
      <c r="E6915">
        <v>0.54346510000000003</v>
      </c>
      <c r="F6915" t="s">
        <v>42</v>
      </c>
      <c r="G6915">
        <v>-185.98599999999999</v>
      </c>
      <c r="H6915">
        <v>0.96411500000000006</v>
      </c>
      <c r="I6915">
        <v>-30.50779</v>
      </c>
      <c r="J6915">
        <v>-186.0478</v>
      </c>
      <c r="K6915">
        <v>1.1091279999999999</v>
      </c>
      <c r="L6915">
        <v>-31.000640000000001</v>
      </c>
      <c r="M6915">
        <v>-9.4827359999999999E-2</v>
      </c>
      <c r="N6915">
        <v>0</v>
      </c>
      <c r="O6915">
        <v>0.99546769999999996</v>
      </c>
      <c r="P6915">
        <v>-4.4131009999999998E-2</v>
      </c>
      <c r="Q6915">
        <v>-4.1392190000000002E-2</v>
      </c>
      <c r="R6915">
        <v>0.9981679</v>
      </c>
      <c r="S6915">
        <v>0.17407230000000001</v>
      </c>
      <c r="T6915">
        <v>-0.61232019999999998</v>
      </c>
      <c r="U6915">
        <v>2.9885250000000001</v>
      </c>
      <c r="V6915">
        <v>5.0713389999999997E-2</v>
      </c>
      <c r="W6915">
        <v>-3.4222639999999999E-2</v>
      </c>
      <c r="X6915">
        <v>0.99812670000000003</v>
      </c>
      <c r="Y6915">
        <v>0.1513872</v>
      </c>
      <c r="Z6915">
        <v>-0.19804849999999999</v>
      </c>
      <c r="AA6915">
        <v>0.96843109999999999</v>
      </c>
      <c r="AB6915">
        <v>22</v>
      </c>
      <c r="AC6915">
        <v>6.1800000000005101E-2</v>
      </c>
      <c r="AD6915">
        <v>-0.145013</v>
      </c>
      <c r="AE6915">
        <v>0.49284999999999701</v>
      </c>
      <c r="AF6915">
        <v>9.9755860865401003E-2</v>
      </c>
      <c r="AG6915">
        <v>-0.145013</v>
      </c>
      <c r="AH6915">
        <v>0.44669521767446202</v>
      </c>
      <c r="AI6915">
        <v>107.579810161502</v>
      </c>
      <c r="AJ6915">
        <v>77.411282184945506</v>
      </c>
      <c r="AK6915">
        <v>0.480121463214499</v>
      </c>
      <c r="AL6915">
        <v>91.961195837468395</v>
      </c>
      <c r="AM6915">
        <v>87.0913845468245</v>
      </c>
      <c r="AN6915">
        <v>0.99999997313337496</v>
      </c>
    </row>
    <row r="6916" spans="1:40" x14ac:dyDescent="0.25">
      <c r="A6916" t="str">
        <f>"20190312161153087"</f>
        <v>20190312161153087</v>
      </c>
      <c r="B6916" t="str">
        <f>"1552378313083899"</f>
        <v>1552378313083899</v>
      </c>
      <c r="C6916" t="s">
        <v>40</v>
      </c>
      <c r="D6916">
        <v>4.964734</v>
      </c>
      <c r="E6916">
        <v>0.54430310000000004</v>
      </c>
      <c r="F6916" t="s">
        <v>42</v>
      </c>
      <c r="G6916">
        <v>-185.99170000000001</v>
      </c>
      <c r="H6916">
        <v>0.92685010000000001</v>
      </c>
      <c r="I6916">
        <v>-30.12257</v>
      </c>
      <c r="J6916">
        <v>-186.0685</v>
      </c>
      <c r="K6916">
        <v>1.109097</v>
      </c>
      <c r="L6916">
        <v>-30.78107</v>
      </c>
      <c r="M6916">
        <v>-9.4682219999999997E-2</v>
      </c>
      <c r="N6916">
        <v>0</v>
      </c>
      <c r="O6916">
        <v>0.99548159999999997</v>
      </c>
      <c r="P6916">
        <v>-4.331169E-2</v>
      </c>
      <c r="Q6916">
        <v>-4.0998819999999998E-2</v>
      </c>
      <c r="R6916">
        <v>0.99822</v>
      </c>
      <c r="S6916">
        <v>0.19047549999999999</v>
      </c>
      <c r="T6916">
        <v>-0.62030889999999905</v>
      </c>
      <c r="U6916">
        <v>2.9882200000000001</v>
      </c>
      <c r="V6916">
        <v>5.1386019999999998E-2</v>
      </c>
      <c r="W6916">
        <v>-3.3848549999999998E-2</v>
      </c>
      <c r="X6916">
        <v>0.99810509999999997</v>
      </c>
      <c r="Y6916">
        <v>0.15651080000000001</v>
      </c>
      <c r="Z6916">
        <v>-0.20043649999999999</v>
      </c>
      <c r="AA6916">
        <v>0.9671244</v>
      </c>
      <c r="AB6916">
        <v>22</v>
      </c>
      <c r="AC6916">
        <v>7.67999999999915E-2</v>
      </c>
      <c r="AD6916">
        <v>-0.18224689999999999</v>
      </c>
      <c r="AE6916">
        <v>0.65849999999999997</v>
      </c>
      <c r="AF6916">
        <v>0.12905250188269299</v>
      </c>
      <c r="AG6916">
        <v>-0.18224689999999999</v>
      </c>
      <c r="AH6916">
        <v>0.60272288151077402</v>
      </c>
      <c r="AI6916">
        <v>106.471418848242</v>
      </c>
      <c r="AJ6916">
        <v>77.914550309286795</v>
      </c>
      <c r="AK6916">
        <v>0.64276228319530604</v>
      </c>
      <c r="AL6916">
        <v>91.939749544096898</v>
      </c>
      <c r="AM6916">
        <v>87.052810429510203</v>
      </c>
      <c r="AN6916">
        <v>1.00000001901727</v>
      </c>
    </row>
    <row r="6917" spans="1:40" x14ac:dyDescent="0.25">
      <c r="A6917" t="str">
        <f>"20190312161153112"</f>
        <v>20190312161153112</v>
      </c>
      <c r="B6917" t="str">
        <f>"1552378313104395"</f>
        <v>1552378313104395</v>
      </c>
      <c r="C6917" t="s">
        <v>40</v>
      </c>
      <c r="D6917">
        <v>4.9785120000000003</v>
      </c>
      <c r="E6917">
        <v>0.54353589999999996</v>
      </c>
      <c r="F6917" t="s">
        <v>42</v>
      </c>
      <c r="G6917">
        <v>-186.011</v>
      </c>
      <c r="H6917">
        <v>0.92837099999999995</v>
      </c>
      <c r="I6917">
        <v>-29.921669999999999</v>
      </c>
      <c r="J6917">
        <v>-186.0926</v>
      </c>
      <c r="K6917">
        <v>1.1090439999999999</v>
      </c>
      <c r="L6917">
        <v>-30.525269999999999</v>
      </c>
      <c r="M6917">
        <v>-9.4440780000000002E-2</v>
      </c>
      <c r="N6917">
        <v>0</v>
      </c>
      <c r="O6917">
        <v>0.99550470000000002</v>
      </c>
      <c r="P6917">
        <v>-4.2029370000000003E-2</v>
      </c>
      <c r="Q6917">
        <v>-4.0831729999999997E-2</v>
      </c>
      <c r="R6917">
        <v>0.99828170000000005</v>
      </c>
      <c r="S6917">
        <v>0.20024110000000001</v>
      </c>
      <c r="T6917">
        <v>-0.628417</v>
      </c>
      <c r="U6917">
        <v>2.9882200000000001</v>
      </c>
      <c r="V6917">
        <v>5.2423730000000002E-2</v>
      </c>
      <c r="W6917">
        <v>-3.3705369999999998E-2</v>
      </c>
      <c r="X6917">
        <v>0.9980559</v>
      </c>
      <c r="Y6917">
        <v>0.1593831</v>
      </c>
      <c r="Z6917">
        <v>-0.20288519999999999</v>
      </c>
      <c r="AA6917">
        <v>0.96614420000000001</v>
      </c>
      <c r="AB6917">
        <v>22</v>
      </c>
      <c r="AC6917">
        <v>8.1600000000008693E-2</v>
      </c>
      <c r="AD6917">
        <v>-0.180673</v>
      </c>
      <c r="AE6917">
        <v>0.60360000000000003</v>
      </c>
      <c r="AF6917">
        <v>0.127061337106504</v>
      </c>
      <c r="AG6917">
        <v>-0.180673</v>
      </c>
      <c r="AH6917">
        <v>0.54522255349920301</v>
      </c>
      <c r="AI6917">
        <v>107.886291243588</v>
      </c>
      <c r="AJ6917">
        <v>76.881651249420301</v>
      </c>
      <c r="AK6917">
        <v>0.58826435312747305</v>
      </c>
      <c r="AL6917">
        <v>91.931541404536901</v>
      </c>
      <c r="AM6917">
        <v>86.993253874795798</v>
      </c>
      <c r="AN6917">
        <v>0.99999993947937804</v>
      </c>
    </row>
    <row r="6918" spans="1:40" x14ac:dyDescent="0.25">
      <c r="A6918" t="str">
        <f>"20190312161153134"</f>
        <v>20190312161153134</v>
      </c>
      <c r="B6918" t="str">
        <f>"1552378313124438"</f>
        <v>1552378313124438</v>
      </c>
      <c r="C6918" t="s">
        <v>40</v>
      </c>
      <c r="D6918">
        <v>5.0596019999999999</v>
      </c>
      <c r="E6918">
        <v>0.54273499999999997</v>
      </c>
      <c r="F6918" t="s">
        <v>42</v>
      </c>
      <c r="G6918">
        <v>-186.03880000000001</v>
      </c>
      <c r="H6918">
        <v>0.94025700000000001</v>
      </c>
      <c r="I6918">
        <v>-29.716329999999999</v>
      </c>
      <c r="J6918">
        <v>-186.11279999999999</v>
      </c>
      <c r="K6918">
        <v>1.109013</v>
      </c>
      <c r="L6918">
        <v>-30.309329999999999</v>
      </c>
      <c r="M6918">
        <v>-9.4186049999999993E-2</v>
      </c>
      <c r="N6918">
        <v>0</v>
      </c>
      <c r="O6918">
        <v>0.99552890000000005</v>
      </c>
      <c r="P6918">
        <v>-4.0335870000000003E-2</v>
      </c>
      <c r="Q6918">
        <v>-4.2316689999999997E-2</v>
      </c>
      <c r="R6918">
        <v>0.99828969999999995</v>
      </c>
      <c r="S6918">
        <v>0.19830320000000001</v>
      </c>
      <c r="T6918">
        <v>-0.62341959999999996</v>
      </c>
      <c r="U6918">
        <v>2.9880070000000001</v>
      </c>
      <c r="V6918">
        <v>5.3851999999999997E-2</v>
      </c>
      <c r="W6918">
        <v>-3.5210680000000001E-2</v>
      </c>
      <c r="X6918">
        <v>0.99792800000000004</v>
      </c>
      <c r="Y6918">
        <v>0.15853239999999999</v>
      </c>
      <c r="Z6918">
        <v>-0.20137859999999999</v>
      </c>
      <c r="AA6918">
        <v>0.96659930000000005</v>
      </c>
      <c r="AB6918">
        <v>23</v>
      </c>
      <c r="AC6918">
        <v>7.3999999999983801E-2</v>
      </c>
      <c r="AD6918">
        <v>-0.16875599999999999</v>
      </c>
      <c r="AE6918">
        <v>0.59299999999999997</v>
      </c>
      <c r="AF6918">
        <v>0.119958784743233</v>
      </c>
      <c r="AG6918">
        <v>-0.16875599999999999</v>
      </c>
      <c r="AH6918">
        <v>0.54030750512824499</v>
      </c>
      <c r="AI6918">
        <v>106.956923261008</v>
      </c>
      <c r="AJ6918">
        <v>77.482263057013597</v>
      </c>
      <c r="AK6918">
        <v>0.57861982136026202</v>
      </c>
      <c r="AL6918">
        <v>92.017840330523995</v>
      </c>
      <c r="AM6918">
        <v>86.911097333338205</v>
      </c>
      <c r="AN6918">
        <v>1.0000000615370199</v>
      </c>
    </row>
    <row r="6919" spans="1:40" x14ac:dyDescent="0.25">
      <c r="A6919" t="str">
        <f>"20190312161153156"</f>
        <v>20190312161153156</v>
      </c>
      <c r="B6919" t="str">
        <f>"1552378313143959"</f>
        <v>1552378313143959</v>
      </c>
      <c r="C6919" t="s">
        <v>40</v>
      </c>
      <c r="D6919">
        <v>5.1231410000000004</v>
      </c>
      <c r="E6919">
        <v>0.54263530000000004</v>
      </c>
      <c r="F6919" t="s">
        <v>42</v>
      </c>
      <c r="G6919">
        <v>-186.06049999999999</v>
      </c>
      <c r="H6919">
        <v>0.94281289999999995</v>
      </c>
      <c r="I6919">
        <v>-29.513670000000001</v>
      </c>
      <c r="J6919">
        <v>-186.1343</v>
      </c>
      <c r="K6919">
        <v>1.1089789999999999</v>
      </c>
      <c r="L6919">
        <v>-30.079070000000002</v>
      </c>
      <c r="M6919">
        <v>-9.3861860000000005E-2</v>
      </c>
      <c r="N6919">
        <v>0</v>
      </c>
      <c r="O6919">
        <v>0.99555959999999999</v>
      </c>
      <c r="P6919">
        <v>-3.8781070000000001E-2</v>
      </c>
      <c r="Q6919">
        <v>-4.215211E-2</v>
      </c>
      <c r="R6919">
        <v>0.99835819999999997</v>
      </c>
      <c r="S6919">
        <v>0.19641110000000001</v>
      </c>
      <c r="T6919">
        <v>-0.62385109999999999</v>
      </c>
      <c r="U6919">
        <v>2.9866329999999999</v>
      </c>
      <c r="V6919">
        <v>5.5078870000000002E-2</v>
      </c>
      <c r="W6919">
        <v>-3.5064890000000001E-2</v>
      </c>
      <c r="X6919">
        <v>0.99786609999999998</v>
      </c>
      <c r="Y6919">
        <v>0.1576274</v>
      </c>
      <c r="Z6919">
        <v>-0.201629</v>
      </c>
      <c r="AA6919">
        <v>0.96669510000000003</v>
      </c>
      <c r="AB6919">
        <v>23</v>
      </c>
      <c r="AC6919">
        <v>7.3800000000005597E-2</v>
      </c>
      <c r="AD6919">
        <v>-0.16616610000000001</v>
      </c>
      <c r="AE6919">
        <v>0.56540000000000001</v>
      </c>
      <c r="AF6919">
        <v>0.116639403555318</v>
      </c>
      <c r="AG6919">
        <v>-0.16616610000000001</v>
      </c>
      <c r="AH6919">
        <v>0.51245615978258097</v>
      </c>
      <c r="AI6919">
        <v>107.545289304988</v>
      </c>
      <c r="AJ6919">
        <v>77.177439079058601</v>
      </c>
      <c r="AK6919">
        <v>0.55120526027067396</v>
      </c>
      <c r="AL6919">
        <v>92.0094821597296</v>
      </c>
      <c r="AM6919">
        <v>86.840670550702896</v>
      </c>
      <c r="AN6919">
        <v>0.99999999098019898</v>
      </c>
    </row>
    <row r="6920" spans="1:40" x14ac:dyDescent="0.25">
      <c r="A6920" t="str">
        <f>"20190312161153201"</f>
        <v>20190312161153201</v>
      </c>
      <c r="B6920" t="str">
        <f>"1552378313193735"</f>
        <v>1552378313193735</v>
      </c>
      <c r="C6920" t="s">
        <v>40</v>
      </c>
      <c r="D6920">
        <v>5.1568529999999999</v>
      </c>
      <c r="E6920">
        <v>0.54240929999999998</v>
      </c>
      <c r="F6920" t="s">
        <v>42</v>
      </c>
      <c r="G6920">
        <v>-186.08260000000001</v>
      </c>
      <c r="H6920">
        <v>0.94725420000000005</v>
      </c>
      <c r="I6920">
        <v>-29.30951</v>
      </c>
      <c r="J6920">
        <v>-186.1764</v>
      </c>
      <c r="K6920">
        <v>1.1089039999999999</v>
      </c>
      <c r="L6920">
        <v>-29.622409999999999</v>
      </c>
      <c r="M6920">
        <v>-9.3050320000000006E-2</v>
      </c>
      <c r="N6920">
        <v>0</v>
      </c>
      <c r="O6920">
        <v>0.99563590000000002</v>
      </c>
      <c r="P6920">
        <v>-3.7867980000000002E-2</v>
      </c>
      <c r="Q6920">
        <v>-4.1311019999999997E-2</v>
      </c>
      <c r="R6920">
        <v>0.99842850000000005</v>
      </c>
      <c r="S6920">
        <v>0.20011899999999999</v>
      </c>
      <c r="T6920">
        <v>-0.62753809999999999</v>
      </c>
      <c r="U6920">
        <v>2.9862060000000001</v>
      </c>
      <c r="V6920">
        <v>5.5175960000000003E-2</v>
      </c>
      <c r="W6920">
        <v>-3.4250790000000003E-2</v>
      </c>
      <c r="X6920">
        <v>0.99788900000000003</v>
      </c>
      <c r="Y6920">
        <v>0.1580104</v>
      </c>
      <c r="Z6920">
        <v>-0.20280719999999999</v>
      </c>
      <c r="AA6920">
        <v>0.96638599999999997</v>
      </c>
      <c r="AB6920">
        <v>23</v>
      </c>
      <c r="AC6920">
        <v>9.3799999999987393E-2</v>
      </c>
      <c r="AD6920">
        <v>-0.16164980000000001</v>
      </c>
      <c r="AE6920">
        <v>0.31290000000000201</v>
      </c>
      <c r="AF6920">
        <v>9.8409878764932804E-2</v>
      </c>
      <c r="AG6920">
        <v>-0.16164980000000001</v>
      </c>
      <c r="AH6920">
        <v>0.24324615925170801</v>
      </c>
      <c r="AI6920">
        <v>121.634978143111</v>
      </c>
      <c r="AJ6920">
        <v>67.973265722496095</v>
      </c>
      <c r="AK6920">
        <v>0.30819451012189703</v>
      </c>
      <c r="AL6920">
        <v>91.962809646814705</v>
      </c>
      <c r="AM6920">
        <v>86.835185251713298</v>
      </c>
      <c r="AN6920">
        <v>0.99999997974927202</v>
      </c>
    </row>
    <row r="6921" spans="1:40" x14ac:dyDescent="0.25">
      <c r="A6921" t="str">
        <f>"20190312161153224"</f>
        <v>20190312161153224</v>
      </c>
      <c r="B6921" t="str">
        <f>"1552378313213860"</f>
        <v>1552378313213860</v>
      </c>
      <c r="C6921" t="s">
        <v>40</v>
      </c>
      <c r="D6921">
        <v>5.0350919999999997</v>
      </c>
      <c r="E6921">
        <v>0.54265669999999899</v>
      </c>
      <c r="F6921" t="s">
        <v>42</v>
      </c>
      <c r="G6921">
        <v>-186.12739999999999</v>
      </c>
      <c r="H6921">
        <v>0.9553952</v>
      </c>
      <c r="I6921">
        <v>-28.899229999999999</v>
      </c>
      <c r="J6921">
        <v>-186.19749999999999</v>
      </c>
      <c r="K6921">
        <v>1.1088579999999999</v>
      </c>
      <c r="L6921">
        <v>-29.390989999999999</v>
      </c>
      <c r="M6921">
        <v>-9.2556840000000001E-2</v>
      </c>
      <c r="N6921">
        <v>0</v>
      </c>
      <c r="O6921">
        <v>0.99568199999999996</v>
      </c>
      <c r="P6921">
        <v>-3.7487479999999997E-2</v>
      </c>
      <c r="Q6921">
        <v>-4.1705619999999999E-2</v>
      </c>
      <c r="R6921">
        <v>0.99842640000000005</v>
      </c>
      <c r="S6921">
        <v>0.20188900000000001</v>
      </c>
      <c r="T6921">
        <v>-0.63383440000000002</v>
      </c>
      <c r="U6921">
        <v>2.986145</v>
      </c>
      <c r="V6921">
        <v>5.5056899999999999E-2</v>
      </c>
      <c r="W6921">
        <v>-3.4654699999999997E-2</v>
      </c>
      <c r="X6921">
        <v>0.99788169999999998</v>
      </c>
      <c r="Y6921">
        <v>0.15806479999999901</v>
      </c>
      <c r="Z6921">
        <v>-0.20476829999999999</v>
      </c>
      <c r="AA6921">
        <v>0.96596349999999997</v>
      </c>
      <c r="AB6921">
        <v>23</v>
      </c>
      <c r="AC6921">
        <v>7.0099999999996498E-2</v>
      </c>
      <c r="AD6921">
        <v>-0.15346279999999901</v>
      </c>
      <c r="AE6921">
        <v>0.49176000000000197</v>
      </c>
      <c r="AF6921">
        <v>0.10526839968509399</v>
      </c>
      <c r="AG6921">
        <v>-0.15346279999999901</v>
      </c>
      <c r="AH6921">
        <v>0.441062384849847</v>
      </c>
      <c r="AI6921">
        <v>108.697532371143</v>
      </c>
      <c r="AJ6921">
        <v>76.576336609024196</v>
      </c>
      <c r="AK6921">
        <v>0.47871525386761599</v>
      </c>
      <c r="AL6921">
        <v>91.985965595614502</v>
      </c>
      <c r="AM6921">
        <v>86.841977471304503</v>
      </c>
      <c r="AN6921">
        <v>1.00000004883229</v>
      </c>
    </row>
    <row r="6922" spans="1:40" x14ac:dyDescent="0.25">
      <c r="A6922" t="str">
        <f>"20190312161153246"</f>
        <v>20190312161153246</v>
      </c>
      <c r="B6922" t="str">
        <f>"1552378313234356"</f>
        <v>1552378313234356</v>
      </c>
      <c r="C6922" t="s">
        <v>40</v>
      </c>
      <c r="D6922">
        <v>5.0616379999999896</v>
      </c>
      <c r="E6922">
        <v>0.54258079999999997</v>
      </c>
      <c r="F6922" t="s">
        <v>42</v>
      </c>
      <c r="G6922">
        <v>-186.14959999999999</v>
      </c>
      <c r="H6922">
        <v>0.95930579999999999</v>
      </c>
      <c r="I6922">
        <v>-28.693069999999999</v>
      </c>
      <c r="J6922">
        <v>-186.2175</v>
      </c>
      <c r="K6922">
        <v>1.1088089999999999</v>
      </c>
      <c r="L6922">
        <v>-29.170500000000001</v>
      </c>
      <c r="M6922">
        <v>-9.2013750000000005E-2</v>
      </c>
      <c r="N6922">
        <v>0</v>
      </c>
      <c r="O6922">
        <v>0.99573239999999996</v>
      </c>
      <c r="P6922">
        <v>-3.7688779999999998E-2</v>
      </c>
      <c r="Q6922">
        <v>-4.1845840000000002E-2</v>
      </c>
      <c r="R6922">
        <v>0.99841299999999999</v>
      </c>
      <c r="S6922">
        <v>0.2047119</v>
      </c>
      <c r="T6922">
        <v>-0.63976009999999905</v>
      </c>
      <c r="U6922">
        <v>2.985687</v>
      </c>
      <c r="V6922">
        <v>5.4307519999999998E-2</v>
      </c>
      <c r="W6922">
        <v>-3.4804429999999997E-2</v>
      </c>
      <c r="X6922">
        <v>0.99791750000000001</v>
      </c>
      <c r="Y6922">
        <v>0.15841830000000001</v>
      </c>
      <c r="Z6922">
        <v>-0.20663290000000001</v>
      </c>
      <c r="AA6922">
        <v>0.96550840000000004</v>
      </c>
      <c r="AB6922">
        <v>23</v>
      </c>
      <c r="AC6922">
        <v>6.7900000000008703E-2</v>
      </c>
      <c r="AD6922">
        <v>-0.149503199999999</v>
      </c>
      <c r="AE6922">
        <v>0.47742999999999802</v>
      </c>
      <c r="AF6922">
        <v>0.101762413785107</v>
      </c>
      <c r="AG6922">
        <v>-0.149503199999999</v>
      </c>
      <c r="AH6922">
        <v>0.428018236184736</v>
      </c>
      <c r="AI6922">
        <v>108.76875325887799</v>
      </c>
      <c r="AJ6922">
        <v>76.626086591564302</v>
      </c>
      <c r="AK6922">
        <v>0.46465729971270597</v>
      </c>
      <c r="AL6922">
        <v>91.994549776177706</v>
      </c>
      <c r="AM6922">
        <v>86.884987641422995</v>
      </c>
      <c r="AN6922">
        <v>0.99999999594121203</v>
      </c>
    </row>
    <row r="6923" spans="1:40" x14ac:dyDescent="0.25">
      <c r="A6923" t="str">
        <f>"20190312161153266"</f>
        <v>20190312161153266</v>
      </c>
      <c r="B6923" t="str">
        <f>"1552378313253876"</f>
        <v>1552378313253876</v>
      </c>
      <c r="C6923" t="s">
        <v>40</v>
      </c>
      <c r="D6923">
        <v>5.0041789999999997</v>
      </c>
      <c r="E6923">
        <v>0.54253479999999998</v>
      </c>
      <c r="F6923" t="s">
        <v>42</v>
      </c>
      <c r="G6923">
        <v>-186.15780000000001</v>
      </c>
      <c r="H6923">
        <v>0.920543</v>
      </c>
      <c r="I6923">
        <v>-28.295439999999999</v>
      </c>
      <c r="J6923">
        <v>-186.2372</v>
      </c>
      <c r="K6923">
        <v>1.1087560000000001</v>
      </c>
      <c r="L6923">
        <v>-28.949680000000001</v>
      </c>
      <c r="M6923">
        <v>-9.13881E-2</v>
      </c>
      <c r="N6923">
        <v>0</v>
      </c>
      <c r="O6923">
        <v>0.99578999999999995</v>
      </c>
      <c r="P6923">
        <v>-3.8367159999999997E-2</v>
      </c>
      <c r="Q6923">
        <v>-4.1603859999999999E-2</v>
      </c>
      <c r="R6923">
        <v>0.99839719999999998</v>
      </c>
      <c r="S6923">
        <v>0.20356750000000001</v>
      </c>
      <c r="T6923">
        <v>-0.64232539999999905</v>
      </c>
      <c r="U6923">
        <v>2.985535</v>
      </c>
      <c r="V6923">
        <v>5.2999690000000002E-2</v>
      </c>
      <c r="W6923">
        <v>-3.4573800000000002E-2</v>
      </c>
      <c r="X6923">
        <v>0.99799590000000005</v>
      </c>
      <c r="Y6923">
        <v>0.15742110000000001</v>
      </c>
      <c r="Z6923">
        <v>-0.20747260000000001</v>
      </c>
      <c r="AA6923">
        <v>0.96549149999999995</v>
      </c>
      <c r="AB6923">
        <v>23</v>
      </c>
      <c r="AC6923">
        <v>7.9399999999992504E-2</v>
      </c>
      <c r="AD6923">
        <v>-0.18821299999999899</v>
      </c>
      <c r="AE6923">
        <v>0.65423999999999405</v>
      </c>
      <c r="AF6923">
        <v>0.12838773063751099</v>
      </c>
      <c r="AG6923">
        <v>-0.18821299999999899</v>
      </c>
      <c r="AH6923">
        <v>0.59566361485210495</v>
      </c>
      <c r="AI6923">
        <v>107.164805649741</v>
      </c>
      <c r="AJ6923">
        <v>77.836697911241401</v>
      </c>
      <c r="AK6923">
        <v>0.63774813587020895</v>
      </c>
      <c r="AL6923">
        <v>91.981327554699703</v>
      </c>
      <c r="AM6923">
        <v>86.960099083340793</v>
      </c>
      <c r="AN6923">
        <v>1.0000000656016701</v>
      </c>
    </row>
    <row r="6924" spans="1:40" x14ac:dyDescent="0.25">
      <c r="A6924" t="str">
        <f>"20190312161153289"</f>
        <v>20190312161153289</v>
      </c>
      <c r="B6924" t="str">
        <f>"1552378313284132"</f>
        <v>1552378313284132</v>
      </c>
      <c r="C6924" t="s">
        <v>40</v>
      </c>
      <c r="D6924">
        <v>5.0210109999999997</v>
      </c>
      <c r="E6924">
        <v>0.54282989999999998</v>
      </c>
      <c r="F6924" t="s">
        <v>42</v>
      </c>
      <c r="G6924">
        <v>-186.1788</v>
      </c>
      <c r="H6924">
        <v>0.92318330000000004</v>
      </c>
      <c r="I6924">
        <v>-28.087710000000001</v>
      </c>
      <c r="J6924">
        <v>-186.25710000000001</v>
      </c>
      <c r="K6924">
        <v>1.108698</v>
      </c>
      <c r="L6924">
        <v>-28.724399999999999</v>
      </c>
      <c r="M6924">
        <v>-9.0679179999999998E-2</v>
      </c>
      <c r="N6924">
        <v>0</v>
      </c>
      <c r="O6924">
        <v>0.99585489999999999</v>
      </c>
      <c r="P6924">
        <v>-3.9046530000000003E-2</v>
      </c>
      <c r="Q6924">
        <v>-4.1402130000000002E-2</v>
      </c>
      <c r="R6924">
        <v>0.99837929999999997</v>
      </c>
      <c r="S6924">
        <v>0.20190430000000001</v>
      </c>
      <c r="T6924">
        <v>-0.64276709999999904</v>
      </c>
      <c r="U6924">
        <v>2.985779</v>
      </c>
      <c r="V6924">
        <v>5.1606949999999999E-2</v>
      </c>
      <c r="W6924">
        <v>-3.4383589999999999E-2</v>
      </c>
      <c r="X6924">
        <v>0.99807539999999995</v>
      </c>
      <c r="Y6924">
        <v>0.15617539999999999</v>
      </c>
      <c r="Z6924">
        <v>-0.20763770000000001</v>
      </c>
      <c r="AA6924">
        <v>0.96565820000000002</v>
      </c>
      <c r="AB6924">
        <v>23</v>
      </c>
      <c r="AC6924">
        <v>7.8300000000012901E-2</v>
      </c>
      <c r="AD6924">
        <v>-0.18551469999999901</v>
      </c>
      <c r="AE6924">
        <v>0.63669000000000098</v>
      </c>
      <c r="AF6924">
        <v>0.125239160572785</v>
      </c>
      <c r="AG6924">
        <v>-0.18551469999999901</v>
      </c>
      <c r="AH6924">
        <v>0.57857782212266695</v>
      </c>
      <c r="AI6924">
        <v>107.400022393368</v>
      </c>
      <c r="AJ6924">
        <v>77.786168574828295</v>
      </c>
      <c r="AK6924">
        <v>0.62036509211050395</v>
      </c>
      <c r="AL6924">
        <v>91.970422958456993</v>
      </c>
      <c r="AM6924">
        <v>87.040073791512697</v>
      </c>
      <c r="AN6924">
        <v>1.00000000631737</v>
      </c>
    </row>
    <row r="6925" spans="1:40" x14ac:dyDescent="0.25">
      <c r="A6925" t="str">
        <f>"20190312161153334"</f>
        <v>20190312161153334</v>
      </c>
      <c r="B6925" t="str">
        <f>"1552378313323994"</f>
        <v>1552378313323994</v>
      </c>
      <c r="C6925" t="s">
        <v>40</v>
      </c>
      <c r="D6925">
        <v>4.8939949999999897</v>
      </c>
      <c r="E6925">
        <v>0.51863840000000005</v>
      </c>
      <c r="F6925" t="s">
        <v>42</v>
      </c>
      <c r="G6925">
        <v>-186.19980000000001</v>
      </c>
      <c r="H6925">
        <v>0.92576749999999997</v>
      </c>
      <c r="I6925">
        <v>-27.879149999999999</v>
      </c>
      <c r="J6925">
        <v>-186.29849999999999</v>
      </c>
      <c r="K6925">
        <v>1.1085929999999999</v>
      </c>
      <c r="L6925">
        <v>-28.246980000000001</v>
      </c>
      <c r="M6925">
        <v>-8.8931689999999994E-2</v>
      </c>
      <c r="N6925">
        <v>0</v>
      </c>
      <c r="O6925">
        <v>0.99601249999999997</v>
      </c>
      <c r="P6925">
        <v>-3.7407740000000002E-2</v>
      </c>
      <c r="Q6925">
        <v>-4.1723219999999998E-2</v>
      </c>
      <c r="R6925">
        <v>0.99842869999999995</v>
      </c>
      <c r="S6925">
        <v>0.20252990000000001</v>
      </c>
      <c r="T6925">
        <v>-0.6462369</v>
      </c>
      <c r="U6925">
        <v>2.985992</v>
      </c>
      <c r="V6925">
        <v>5.1482689999999998E-2</v>
      </c>
      <c r="W6925">
        <v>-3.472857E-2</v>
      </c>
      <c r="X6925">
        <v>0.99806989999999995</v>
      </c>
      <c r="Y6925">
        <v>0.1546235</v>
      </c>
      <c r="Z6925">
        <v>-0.2087686</v>
      </c>
      <c r="AA6925">
        <v>0.96566410000000003</v>
      </c>
      <c r="AB6925">
        <v>23</v>
      </c>
      <c r="AC6925">
        <v>9.8699999999979499E-2</v>
      </c>
      <c r="AD6925">
        <v>-0.1828255</v>
      </c>
      <c r="AE6925">
        <v>0.36782999999999699</v>
      </c>
      <c r="AF6925">
        <v>0.106482230307082</v>
      </c>
      <c r="AG6925">
        <v>-0.1828255</v>
      </c>
      <c r="AH6925">
        <v>0.29062017033772403</v>
      </c>
      <c r="AI6925">
        <v>120.5697881032</v>
      </c>
      <c r="AJ6925">
        <v>69.877339722115195</v>
      </c>
      <c r="AK6925">
        <v>0.359476998191189</v>
      </c>
      <c r="AL6925">
        <v>91.990200615126</v>
      </c>
      <c r="AM6925">
        <v>87.047171875944699</v>
      </c>
      <c r="AN6925">
        <v>1.0000000331149399</v>
      </c>
    </row>
    <row r="6926" spans="1:40" x14ac:dyDescent="0.25">
      <c r="A6926" t="str">
        <f>"20190312161153359"</f>
        <v>20190312161153359</v>
      </c>
      <c r="B6926" t="str">
        <f>"1552378313354250"</f>
        <v>1552378313354250</v>
      </c>
      <c r="C6926" t="s">
        <v>40</v>
      </c>
      <c r="D6926">
        <v>4.9860030000000002</v>
      </c>
      <c r="E6926">
        <v>0.51938240000000002</v>
      </c>
      <c r="F6926" t="s">
        <v>41</v>
      </c>
      <c r="G6926">
        <v>-186.02969999999999</v>
      </c>
      <c r="H6926" s="1">
        <v>-2.7660540000000001E-6</v>
      </c>
      <c r="I6926">
        <v>-5.5611179999999996</v>
      </c>
      <c r="J6926">
        <v>-186.31809999999999</v>
      </c>
      <c r="K6926">
        <v>1.1085430000000001</v>
      </c>
      <c r="L6926">
        <v>-28.014890000000001</v>
      </c>
      <c r="M6926">
        <v>-8.7959120000000002E-2</v>
      </c>
      <c r="N6926">
        <v>0</v>
      </c>
      <c r="O6926">
        <v>0.99609890000000001</v>
      </c>
      <c r="P6926">
        <v>-3.6902379999999999E-2</v>
      </c>
      <c r="Q6926">
        <v>-4.0632429999999997E-2</v>
      </c>
      <c r="R6926">
        <v>0.99849250000000001</v>
      </c>
      <c r="S6926">
        <v>3.5537720000000002E-2</v>
      </c>
      <c r="T6926">
        <v>-0.146598799999999</v>
      </c>
      <c r="U6926">
        <v>2.9999389999999999</v>
      </c>
      <c r="V6926">
        <v>5.1014629999999998E-2</v>
      </c>
      <c r="W6926">
        <v>-3.3644649999999998E-2</v>
      </c>
      <c r="X6926">
        <v>0.99813099999999999</v>
      </c>
      <c r="Y6926">
        <v>9.9740369999999995E-2</v>
      </c>
      <c r="Z6926">
        <v>-4.8401899999999998E-2</v>
      </c>
      <c r="AA6926">
        <v>0.99383560000000004</v>
      </c>
      <c r="AB6926">
        <v>23</v>
      </c>
      <c r="AC6926">
        <v>0.28839999999999499</v>
      </c>
      <c r="AD6926">
        <v>-1.1085457660539999</v>
      </c>
      <c r="AE6926">
        <v>22.453772000000001</v>
      </c>
      <c r="AF6926">
        <v>2.2568457537524802</v>
      </c>
      <c r="AG6926">
        <v>-1.1085457660539999</v>
      </c>
      <c r="AH6926">
        <v>22.287056930480698</v>
      </c>
      <c r="AI6926">
        <v>92.833048985093697</v>
      </c>
      <c r="AJ6926">
        <v>84.217789379863007</v>
      </c>
      <c r="AK6926">
        <v>22.428444731950499</v>
      </c>
      <c r="AL6926">
        <v>91.928060363622507</v>
      </c>
      <c r="AM6926">
        <v>87.074149744949196</v>
      </c>
      <c r="AN6926">
        <v>0.99999997405432905</v>
      </c>
    </row>
    <row r="6927" spans="1:40" x14ac:dyDescent="0.25">
      <c r="A6927" t="str">
        <f>"20190312161153382"</f>
        <v>20190312161153382</v>
      </c>
      <c r="B6927" t="str">
        <f>"1552378313373770"</f>
        <v>1552378313373770</v>
      </c>
      <c r="C6927" t="s">
        <v>40</v>
      </c>
      <c r="D6927">
        <v>4.9830819999999996</v>
      </c>
      <c r="E6927">
        <v>0.51936199999999999</v>
      </c>
      <c r="F6927" t="s">
        <v>41</v>
      </c>
      <c r="G6927">
        <v>-183.2114</v>
      </c>
      <c r="H6927" s="1">
        <v>-4.250354E-6</v>
      </c>
      <c r="I6927">
        <v>166.00899999999999</v>
      </c>
      <c r="J6927">
        <v>-186.34119999999999</v>
      </c>
      <c r="K6927">
        <v>1.108474</v>
      </c>
      <c r="L6927">
        <v>-27.737670000000001</v>
      </c>
      <c r="M6927">
        <v>-8.6696389999999998E-2</v>
      </c>
      <c r="N6927">
        <v>0</v>
      </c>
      <c r="O6927">
        <v>0.99620960000000003</v>
      </c>
      <c r="P6927">
        <v>-3.5391840000000001E-2</v>
      </c>
      <c r="Q6927">
        <v>-4.0160750000000002E-2</v>
      </c>
      <c r="R6927">
        <v>0.99856619999999996</v>
      </c>
      <c r="S6927">
        <v>4.8126219999999997E-2</v>
      </c>
      <c r="T6927">
        <v>-1.7172460000000001E-2</v>
      </c>
      <c r="U6927">
        <v>3.0056150000000001</v>
      </c>
      <c r="V6927">
        <v>5.1256540000000003E-2</v>
      </c>
      <c r="W6927">
        <v>-3.3180099999999997E-2</v>
      </c>
      <c r="X6927">
        <v>0.99813419999999997</v>
      </c>
      <c r="Y6927">
        <v>0.10263700000000001</v>
      </c>
      <c r="Z6927">
        <v>-5.6656379999999998E-3</v>
      </c>
      <c r="AA6927">
        <v>0.9947028</v>
      </c>
      <c r="AB6927">
        <v>23</v>
      </c>
      <c r="AC6927">
        <v>3.1297999999999799</v>
      </c>
      <c r="AD6927">
        <v>-1.108478250354</v>
      </c>
      <c r="AE6927">
        <v>193.74666999999999</v>
      </c>
      <c r="AF6927">
        <v>19.914921541225802</v>
      </c>
      <c r="AG6927">
        <v>-1.108478250354</v>
      </c>
      <c r="AH6927">
        <v>192.73947794028899</v>
      </c>
      <c r="AI6927">
        <v>90.327769378628105</v>
      </c>
      <c r="AJ6927">
        <v>84.100813554291605</v>
      </c>
      <c r="AK6927">
        <v>193.768777620957</v>
      </c>
      <c r="AL6927">
        <v>91.901428657700606</v>
      </c>
      <c r="AM6927">
        <v>87.060309128915804</v>
      </c>
      <c r="AN6927">
        <v>1.00000001656921</v>
      </c>
    </row>
    <row r="6928" spans="1:40" x14ac:dyDescent="0.25">
      <c r="A6928" t="str">
        <f>"20190312161153403"</f>
        <v>20190312161153403</v>
      </c>
      <c r="B6928" t="str">
        <f>"1552378313394266"</f>
        <v>1552378313394266</v>
      </c>
      <c r="C6928" t="s">
        <v>40</v>
      </c>
      <c r="D6928">
        <v>4.8873350000000002</v>
      </c>
      <c r="E6928">
        <v>0.51906339999999995</v>
      </c>
      <c r="F6928" t="s">
        <v>111</v>
      </c>
      <c r="G6928">
        <v>-178.88740000000001</v>
      </c>
      <c r="H6928">
        <v>1.9254</v>
      </c>
      <c r="I6928">
        <v>391.87</v>
      </c>
      <c r="J6928">
        <v>-186.3588</v>
      </c>
      <c r="K6928">
        <v>1.108428</v>
      </c>
      <c r="L6928">
        <v>-27.523070000000001</v>
      </c>
      <c r="M6928">
        <v>-8.5629869999999997E-2</v>
      </c>
      <c r="N6928">
        <v>0</v>
      </c>
      <c r="O6928">
        <v>0.99630180000000002</v>
      </c>
      <c r="P6928">
        <v>-3.3876959999999998E-2</v>
      </c>
      <c r="Q6928">
        <v>-3.9878980000000001E-2</v>
      </c>
      <c r="R6928">
        <v>0.99863000000000002</v>
      </c>
      <c r="S6928">
        <v>5.3405759999999997E-2</v>
      </c>
      <c r="T6928">
        <v>5.8531759999999999E-3</v>
      </c>
      <c r="U6928">
        <v>3.0064389999999999</v>
      </c>
      <c r="V6928">
        <v>5.1699299999999997E-2</v>
      </c>
      <c r="W6928">
        <v>-3.290262E-2</v>
      </c>
      <c r="X6928">
        <v>0.99812049999999997</v>
      </c>
      <c r="Y6928">
        <v>0.10331419999999999</v>
      </c>
      <c r="Z6928">
        <v>1.9307860000000001E-3</v>
      </c>
      <c r="AA6928">
        <v>0.9946469</v>
      </c>
      <c r="AB6928">
        <v>24</v>
      </c>
      <c r="AC6928">
        <v>7.4713999999999796</v>
      </c>
      <c r="AD6928">
        <v>0.81697200000000003</v>
      </c>
      <c r="AE6928">
        <v>419.39307000000002</v>
      </c>
      <c r="AF6928">
        <v>43.3572681985926</v>
      </c>
      <c r="AG6928">
        <v>0.81697200000000003</v>
      </c>
      <c r="AH6928">
        <v>417.21119519667502</v>
      </c>
      <c r="AI6928">
        <v>89.888406024714499</v>
      </c>
      <c r="AJ6928">
        <v>84.067026059011894</v>
      </c>
      <c r="AK6928">
        <v>419.45881984568098</v>
      </c>
      <c r="AL6928">
        <v>91.885521634362902</v>
      </c>
      <c r="AM6928">
        <v>87.034920228164097</v>
      </c>
      <c r="AN6928">
        <v>0.99999996627180099</v>
      </c>
    </row>
    <row r="6929" spans="1:40" x14ac:dyDescent="0.25">
      <c r="A6929" t="str">
        <f>"20190312161153423"</f>
        <v>20190312161153423</v>
      </c>
      <c r="B6929" t="str">
        <f>"1552378313414292"</f>
        <v>1552378313414292</v>
      </c>
      <c r="C6929" t="s">
        <v>40</v>
      </c>
      <c r="D6929">
        <v>4.9955749999999997</v>
      </c>
      <c r="E6929">
        <v>0.5191249</v>
      </c>
      <c r="F6929" t="s">
        <v>111</v>
      </c>
      <c r="G6929">
        <v>-178.5223</v>
      </c>
      <c r="H6929">
        <v>3.733034</v>
      </c>
      <c r="I6929">
        <v>391.87</v>
      </c>
      <c r="J6929">
        <v>-186.3759</v>
      </c>
      <c r="K6929">
        <v>1.108374</v>
      </c>
      <c r="L6929">
        <v>-27.308959999999999</v>
      </c>
      <c r="M6929">
        <v>-8.4498610000000002E-2</v>
      </c>
      <c r="N6929">
        <v>0</v>
      </c>
      <c r="O6929">
        <v>0.99639840000000002</v>
      </c>
      <c r="P6929">
        <v>-3.2749689999999998E-2</v>
      </c>
      <c r="Q6929">
        <v>-3.9882029999999999E-2</v>
      </c>
      <c r="R6929">
        <v>0.99866750000000004</v>
      </c>
      <c r="S6929">
        <v>5.6182860000000001E-2</v>
      </c>
      <c r="T6929">
        <v>1.881671E-2</v>
      </c>
      <c r="U6929">
        <v>3.0067750000000002</v>
      </c>
      <c r="V6929">
        <v>5.1688480000000002E-2</v>
      </c>
      <c r="W6929">
        <v>-3.2910179999999997E-2</v>
      </c>
      <c r="X6929">
        <v>0.99812080000000003</v>
      </c>
      <c r="Y6929">
        <v>0.103101</v>
      </c>
      <c r="Z6929">
        <v>6.2071829999999998E-3</v>
      </c>
      <c r="AA6929">
        <v>0.99465150000000002</v>
      </c>
      <c r="AB6929">
        <v>24</v>
      </c>
      <c r="AC6929">
        <v>7.8536000000000001</v>
      </c>
      <c r="AD6929">
        <v>2.6246599999999898</v>
      </c>
      <c r="AE6929">
        <v>419.17896000000002</v>
      </c>
      <c r="AF6929">
        <v>43.244744886664698</v>
      </c>
      <c r="AG6929">
        <v>2.6246599999999898</v>
      </c>
      <c r="AH6929">
        <v>416.99975384766401</v>
      </c>
      <c r="AI6929">
        <v>89.641300026270201</v>
      </c>
      <c r="AJ6929">
        <v>84.079334974335396</v>
      </c>
      <c r="AK6929">
        <v>419.24431005016697</v>
      </c>
      <c r="AL6929">
        <v>91.885955046156795</v>
      </c>
      <c r="AM6929">
        <v>87.035540563733505</v>
      </c>
      <c r="AN6929">
        <v>0.99999995515248996</v>
      </c>
    </row>
    <row r="6930" spans="1:40" x14ac:dyDescent="0.25">
      <c r="A6930" t="str">
        <f>"20190312161153443"</f>
        <v>20190312161153443</v>
      </c>
      <c r="B6930" t="str">
        <f>"1552378313433813"</f>
        <v>1552378313433813</v>
      </c>
      <c r="C6930" t="s">
        <v>40</v>
      </c>
      <c r="D6930">
        <v>4.9908799999999998</v>
      </c>
      <c r="E6930">
        <v>0.51911819999999997</v>
      </c>
      <c r="F6930" t="s">
        <v>111</v>
      </c>
      <c r="G6930">
        <v>-177.97799999999901</v>
      </c>
      <c r="H6930">
        <v>4.4779030000000004</v>
      </c>
      <c r="I6930">
        <v>391.87</v>
      </c>
      <c r="J6930">
        <v>-186.39359999999999</v>
      </c>
      <c r="K6930">
        <v>1.1083209999999999</v>
      </c>
      <c r="L6930">
        <v>-27.085270000000001</v>
      </c>
      <c r="M6930">
        <v>-8.3260479999999998E-2</v>
      </c>
      <c r="N6930">
        <v>0</v>
      </c>
      <c r="O6930">
        <v>0.99650260000000002</v>
      </c>
      <c r="P6930">
        <v>-3.1448770000000001E-2</v>
      </c>
      <c r="Q6930">
        <v>-3.9618470000000003E-2</v>
      </c>
      <c r="R6930">
        <v>0.99871989999999999</v>
      </c>
      <c r="S6930">
        <v>6.0241699999999898E-2</v>
      </c>
      <c r="T6930">
        <v>2.4170879999999999E-2</v>
      </c>
      <c r="U6930">
        <v>3.0069270000000001</v>
      </c>
      <c r="V6930">
        <v>5.1745850000000003E-2</v>
      </c>
      <c r="W6930">
        <v>-3.2653229999999998E-2</v>
      </c>
      <c r="X6930">
        <v>0.99812630000000002</v>
      </c>
      <c r="Y6930">
        <v>0.10320600000000001</v>
      </c>
      <c r="Z6930">
        <v>7.973997E-3</v>
      </c>
      <c r="AA6930">
        <v>0.99462810000000001</v>
      </c>
      <c r="AB6930">
        <v>24</v>
      </c>
      <c r="AC6930">
        <v>8.4156000000000102</v>
      </c>
      <c r="AD6930">
        <v>3.3695819999999901</v>
      </c>
      <c r="AE6930">
        <v>418.95526999999998</v>
      </c>
      <c r="AF6930">
        <v>43.266873880438403</v>
      </c>
      <c r="AG6930">
        <v>3.3695819999999901</v>
      </c>
      <c r="AH6930">
        <v>416.77285449671803</v>
      </c>
      <c r="AI6930">
        <v>89.539253415901698</v>
      </c>
      <c r="AJ6930">
        <v>84.073124804242994</v>
      </c>
      <c r="AK6930">
        <v>419.02623868152102</v>
      </c>
      <c r="AL6930">
        <v>91.871224915435107</v>
      </c>
      <c r="AM6930">
        <v>87.032272458051096</v>
      </c>
      <c r="AN6930">
        <v>0.99999998858667205</v>
      </c>
    </row>
    <row r="6931" spans="1:40" x14ac:dyDescent="0.25">
      <c r="A6931" t="str">
        <f>"20190312161153466"</f>
        <v>20190312161153466</v>
      </c>
      <c r="B6931" t="str">
        <f>"1552378313454309"</f>
        <v>1552378313454309</v>
      </c>
      <c r="C6931" t="s">
        <v>40</v>
      </c>
      <c r="D6931">
        <v>5.0682960000000001</v>
      </c>
      <c r="E6931">
        <v>0.51920370000000005</v>
      </c>
      <c r="F6931" t="s">
        <v>111</v>
      </c>
      <c r="G6931">
        <v>-177.4539</v>
      </c>
      <c r="H6931">
        <v>5.029795</v>
      </c>
      <c r="I6931">
        <v>391.87</v>
      </c>
      <c r="J6931">
        <v>-186.41200000000001</v>
      </c>
      <c r="K6931">
        <v>1.1082749999999999</v>
      </c>
      <c r="L6931">
        <v>-26.846499999999999</v>
      </c>
      <c r="M6931">
        <v>-8.1888059999999999E-2</v>
      </c>
      <c r="N6931">
        <v>0</v>
      </c>
      <c r="O6931">
        <v>0.99661630000000001</v>
      </c>
      <c r="P6931">
        <v>-3.0743300000000001E-2</v>
      </c>
      <c r="Q6931">
        <v>-3.9202609999999999E-2</v>
      </c>
      <c r="R6931">
        <v>0.99875829999999999</v>
      </c>
      <c r="S6931">
        <v>6.4163209999999998E-2</v>
      </c>
      <c r="T6931">
        <v>2.814579E-2</v>
      </c>
      <c r="U6931">
        <v>3.0069889999999999</v>
      </c>
      <c r="V6931">
        <v>5.1075509999999998E-2</v>
      </c>
      <c r="W6931">
        <v>-3.2242430000000002E-2</v>
      </c>
      <c r="X6931">
        <v>0.99817420000000001</v>
      </c>
      <c r="Y6931">
        <v>0.1031321</v>
      </c>
      <c r="Z6931">
        <v>9.2865389999999999E-3</v>
      </c>
      <c r="AA6931">
        <v>0.99462430000000002</v>
      </c>
      <c r="AB6931">
        <v>24</v>
      </c>
      <c r="AC6931">
        <v>8.9581</v>
      </c>
      <c r="AD6931">
        <v>3.9215199999999899</v>
      </c>
      <c r="AE6931">
        <v>418.7165</v>
      </c>
      <c r="AF6931">
        <v>43.212968538611499</v>
      </c>
      <c r="AG6931">
        <v>3.9215199999999899</v>
      </c>
      <c r="AH6931">
        <v>416.54008412645601</v>
      </c>
      <c r="AI6931">
        <v>89.463483596896097</v>
      </c>
      <c r="AJ6931">
        <v>84.077172071775905</v>
      </c>
      <c r="AK6931">
        <v>418.79395966645097</v>
      </c>
      <c r="AL6931">
        <v>91.847675372849395</v>
      </c>
      <c r="AM6931">
        <v>87.070790720360705</v>
      </c>
      <c r="AN6931">
        <v>1.0000000077798501</v>
      </c>
    </row>
    <row r="6932" spans="1:40" x14ac:dyDescent="0.25">
      <c r="A6932" t="str">
        <f>"20190312161153491"</f>
        <v>20190312161153491</v>
      </c>
      <c r="B6932" t="str">
        <f>"1552378313484564"</f>
        <v>1552378313484564</v>
      </c>
      <c r="C6932" t="s">
        <v>40</v>
      </c>
      <c r="D6932">
        <v>5.0175229999999997</v>
      </c>
      <c r="E6932">
        <v>0.51927879999999904</v>
      </c>
      <c r="F6932" t="s">
        <v>111</v>
      </c>
      <c r="G6932">
        <v>-177.0805</v>
      </c>
      <c r="H6932">
        <v>5.4531589999999897</v>
      </c>
      <c r="I6932">
        <v>391.00349999999997</v>
      </c>
      <c r="J6932">
        <v>-186.4325</v>
      </c>
      <c r="K6932">
        <v>1.108241</v>
      </c>
      <c r="L6932">
        <v>-26.57602</v>
      </c>
      <c r="M6932">
        <v>-8.0294850000000001E-2</v>
      </c>
      <c r="N6932">
        <v>0</v>
      </c>
      <c r="O6932">
        <v>0.99674589999999996</v>
      </c>
      <c r="P6932">
        <v>-3.0664799999999999E-2</v>
      </c>
      <c r="Q6932">
        <v>-3.9108589999999999E-2</v>
      </c>
      <c r="R6932">
        <v>0.99876430000000005</v>
      </c>
      <c r="S6932">
        <v>6.7153930000000001E-2</v>
      </c>
      <c r="T6932">
        <v>3.126752E-2</v>
      </c>
      <c r="U6932">
        <v>3.0070190000000001</v>
      </c>
      <c r="V6932">
        <v>4.9557049999999998E-2</v>
      </c>
      <c r="W6932">
        <v>-3.214931E-2</v>
      </c>
      <c r="X6932">
        <v>0.99825379999999997</v>
      </c>
      <c r="Y6932">
        <v>0.10253039999999899</v>
      </c>
      <c r="Z6932">
        <v>1.0318559999999999E-2</v>
      </c>
      <c r="AA6932">
        <v>0.99467640000000002</v>
      </c>
      <c r="AB6932">
        <v>24</v>
      </c>
      <c r="AC6932">
        <v>9.3520000000000003</v>
      </c>
      <c r="AD6932">
        <v>4.3449179999999998</v>
      </c>
      <c r="AE6932">
        <v>417.57952</v>
      </c>
      <c r="AF6932">
        <v>42.847494825868701</v>
      </c>
      <c r="AG6932">
        <v>4.3449179999999998</v>
      </c>
      <c r="AH6932">
        <v>415.43526224587703</v>
      </c>
      <c r="AI6932">
        <v>89.403943450988805</v>
      </c>
      <c r="AJ6932">
        <v>84.111403300571098</v>
      </c>
      <c r="AK6932">
        <v>417.661637264641</v>
      </c>
      <c r="AL6932">
        <v>91.842337118367993</v>
      </c>
      <c r="AM6932">
        <v>87.157956546314693</v>
      </c>
      <c r="AN6932">
        <v>1.0000000642763001</v>
      </c>
    </row>
    <row r="6933" spans="1:40" x14ac:dyDescent="0.25">
      <c r="A6933" t="str">
        <f>"20190312161153511"</f>
        <v>20190312161153511</v>
      </c>
      <c r="B6933" t="str">
        <f>"1552378313504084"</f>
        <v>1552378313504084</v>
      </c>
      <c r="C6933" t="s">
        <v>40</v>
      </c>
      <c r="D6933">
        <v>5.0687220000000002</v>
      </c>
      <c r="E6933">
        <v>0.51941680000000001</v>
      </c>
      <c r="F6933" t="s">
        <v>111</v>
      </c>
      <c r="G6933">
        <v>-177.0307</v>
      </c>
      <c r="H6933">
        <v>5.4723069999999998</v>
      </c>
      <c r="I6933">
        <v>391.00349999999997</v>
      </c>
      <c r="J6933">
        <v>-186.44890000000001</v>
      </c>
      <c r="K6933">
        <v>1.1082289999999999</v>
      </c>
      <c r="L6933">
        <v>-26.354679999999998</v>
      </c>
      <c r="M6933">
        <v>-7.8974180000000005E-2</v>
      </c>
      <c r="N6933">
        <v>0</v>
      </c>
      <c r="O6933">
        <v>0.99685140000000005</v>
      </c>
      <c r="P6933">
        <v>-3.0539409999999999E-2</v>
      </c>
      <c r="Q6933">
        <v>-3.9727730000000003E-2</v>
      </c>
      <c r="R6933">
        <v>0.99874370000000001</v>
      </c>
      <c r="S6933">
        <v>6.7703250000000006E-2</v>
      </c>
      <c r="T6933">
        <v>3.1425950000000001E-2</v>
      </c>
      <c r="U6933">
        <v>3.0070190000000001</v>
      </c>
      <c r="V6933">
        <v>4.8355809999999999E-2</v>
      </c>
      <c r="W6933">
        <v>-3.2766770000000001E-2</v>
      </c>
      <c r="X6933">
        <v>0.99829259999999997</v>
      </c>
      <c r="Y6933">
        <v>0.101394</v>
      </c>
      <c r="Z6933">
        <v>1.037308E-2</v>
      </c>
      <c r="AA6933">
        <v>0.99479229999999996</v>
      </c>
      <c r="AB6933">
        <v>24</v>
      </c>
      <c r="AC6933">
        <v>9.4182000000000095</v>
      </c>
      <c r="AD6933">
        <v>4.3640779999999904</v>
      </c>
      <c r="AE6933">
        <v>417.35818</v>
      </c>
      <c r="AF6933">
        <v>42.345504813498103</v>
      </c>
      <c r="AG6933">
        <v>4.3640779999999904</v>
      </c>
      <c r="AH6933">
        <v>415.26536939118802</v>
      </c>
      <c r="AI6933">
        <v>89.400999353816204</v>
      </c>
      <c r="AJ6933">
        <v>84.177551434350306</v>
      </c>
      <c r="AK6933">
        <v>417.44162941697601</v>
      </c>
      <c r="AL6933">
        <v>91.877733682766703</v>
      </c>
      <c r="AM6933">
        <v>87.226845106081697</v>
      </c>
      <c r="AN6933">
        <v>1.00000003039587</v>
      </c>
    </row>
    <row r="6934" spans="1:40" x14ac:dyDescent="0.25">
      <c r="A6934" t="str">
        <f>"20190312161153534"</f>
        <v>20190312161153534</v>
      </c>
      <c r="B6934" t="str">
        <f>"1552378313524581"</f>
        <v>1552378313524581</v>
      </c>
      <c r="C6934" t="s">
        <v>40</v>
      </c>
      <c r="D6934">
        <v>5.020791</v>
      </c>
      <c r="E6934">
        <v>0.51965740000000005</v>
      </c>
      <c r="F6934" t="s">
        <v>111</v>
      </c>
      <c r="G6934">
        <v>-176.8236</v>
      </c>
      <c r="H6934">
        <v>5.3954639999999996</v>
      </c>
      <c r="I6934">
        <v>391.00349999999997</v>
      </c>
      <c r="J6934">
        <v>-186.46600000000001</v>
      </c>
      <c r="K6934">
        <v>1.1082209999999999</v>
      </c>
      <c r="L6934">
        <v>-26.118739999999999</v>
      </c>
      <c r="M6934">
        <v>-7.7559260000000005E-2</v>
      </c>
      <c r="N6934">
        <v>0</v>
      </c>
      <c r="O6934">
        <v>0.99696249999999997</v>
      </c>
      <c r="P6934">
        <v>-2.960264E-2</v>
      </c>
      <c r="Q6934">
        <v>-4.0395639999999997E-2</v>
      </c>
      <c r="R6934">
        <v>0.99874510000000005</v>
      </c>
      <c r="S6934">
        <v>6.9351199999999905E-2</v>
      </c>
      <c r="T6934">
        <v>3.0889989999999999E-2</v>
      </c>
      <c r="U6934">
        <v>3.0071110000000001</v>
      </c>
      <c r="V6934">
        <v>4.7871490000000003E-2</v>
      </c>
      <c r="W6934">
        <v>-3.34326E-2</v>
      </c>
      <c r="X6934">
        <v>0.99829380000000001</v>
      </c>
      <c r="Y6934">
        <v>0.1005262</v>
      </c>
      <c r="Z6934">
        <v>1.0197970000000001E-2</v>
      </c>
      <c r="AA6934">
        <v>0.99488220000000005</v>
      </c>
      <c r="AB6934">
        <v>24</v>
      </c>
      <c r="AC6934">
        <v>9.6423999999999808</v>
      </c>
      <c r="AD6934">
        <v>4.2872430000000001</v>
      </c>
      <c r="AE6934">
        <v>417.12223999999998</v>
      </c>
      <c r="AF6934">
        <v>41.961429209174803</v>
      </c>
      <c r="AG6934">
        <v>4.2872430000000001</v>
      </c>
      <c r="AH6934">
        <v>415.07399624071297</v>
      </c>
      <c r="AI6934">
        <v>89.411221497551097</v>
      </c>
      <c r="AJ6934">
        <v>84.227361020447702</v>
      </c>
      <c r="AK6934">
        <v>417.21165413858398</v>
      </c>
      <c r="AL6934">
        <v>91.915903972224001</v>
      </c>
      <c r="AM6934">
        <v>87.254580934604903</v>
      </c>
      <c r="AN6934">
        <v>0.999999964708009</v>
      </c>
    </row>
    <row r="6935" spans="1:40" x14ac:dyDescent="0.25">
      <c r="A6935" t="str">
        <f>"20190312161153557"</f>
        <v>20190312161153557</v>
      </c>
      <c r="B6935" t="str">
        <f>"1552378313544103"</f>
        <v>1552378313544103</v>
      </c>
      <c r="C6935" t="s">
        <v>40</v>
      </c>
      <c r="D6935">
        <v>5.1230289999999998</v>
      </c>
      <c r="E6935">
        <v>0.51979549999999997</v>
      </c>
      <c r="F6935" t="s">
        <v>111</v>
      </c>
      <c r="G6935">
        <v>-176.19380000000001</v>
      </c>
      <c r="H6935">
        <v>4.6365360000000004</v>
      </c>
      <c r="I6935">
        <v>391.00349999999997</v>
      </c>
      <c r="J6935">
        <v>-186.48419999999999</v>
      </c>
      <c r="K6935">
        <v>1.10822</v>
      </c>
      <c r="L6935">
        <v>-25.862760000000002</v>
      </c>
      <c r="M6935">
        <v>-7.6025529999999994E-2</v>
      </c>
      <c r="N6935">
        <v>0</v>
      </c>
      <c r="O6935">
        <v>0.99708059999999998</v>
      </c>
      <c r="P6935">
        <v>-2.8503219999999999E-2</v>
      </c>
      <c r="Q6935">
        <v>-4.0231839999999998E-2</v>
      </c>
      <c r="R6935">
        <v>0.9987838</v>
      </c>
      <c r="S6935">
        <v>7.4050899999999906E-2</v>
      </c>
      <c r="T6935">
        <v>2.543521E-2</v>
      </c>
      <c r="U6935">
        <v>3.0069889999999999</v>
      </c>
      <c r="V6935">
        <v>4.7435810000000002E-2</v>
      </c>
      <c r="W6935">
        <v>-3.326424E-2</v>
      </c>
      <c r="X6935">
        <v>0.99832030000000005</v>
      </c>
      <c r="Y6935">
        <v>0.1005511</v>
      </c>
      <c r="Z6935">
        <v>8.3989579999999998E-3</v>
      </c>
      <c r="AA6935">
        <v>0.99489649999999996</v>
      </c>
      <c r="AB6935">
        <v>24</v>
      </c>
      <c r="AC6935">
        <v>10.290399999999901</v>
      </c>
      <c r="AD6935">
        <v>3.5283159999999998</v>
      </c>
      <c r="AE6935">
        <v>416.86626000000001</v>
      </c>
      <c r="AF6935">
        <v>41.950890293218599</v>
      </c>
      <c r="AG6935">
        <v>3.5283159999999998</v>
      </c>
      <c r="AH6935">
        <v>414.84768109287103</v>
      </c>
      <c r="AI6935">
        <v>89.515178571078707</v>
      </c>
      <c r="AJ6935">
        <v>84.225673934107505</v>
      </c>
      <c r="AK6935">
        <v>416.97832643714497</v>
      </c>
      <c r="AL6935">
        <v>91.906252135665</v>
      </c>
      <c r="AM6935">
        <v>87.279601480244096</v>
      </c>
      <c r="AN6935">
        <v>1.00000004356261</v>
      </c>
    </row>
    <row r="6936" spans="1:40" x14ac:dyDescent="0.25">
      <c r="A6936" t="str">
        <f>"20190312161153581"</f>
        <v>20190312161153581</v>
      </c>
      <c r="B6936" t="str">
        <f>"1552378313574357"</f>
        <v>1552378313574357</v>
      </c>
      <c r="C6936" t="s">
        <v>40</v>
      </c>
      <c r="D6936">
        <v>5.1071059999999999</v>
      </c>
      <c r="E6936">
        <v>0.51999430000000002</v>
      </c>
      <c r="F6936" t="s">
        <v>111</v>
      </c>
      <c r="G6936">
        <v>-175.64060000000001</v>
      </c>
      <c r="H6936">
        <v>4.6092399999999998</v>
      </c>
      <c r="I6936">
        <v>391.00349999999997</v>
      </c>
      <c r="J6936">
        <v>-186.50210000000001</v>
      </c>
      <c r="K6936">
        <v>1.108214</v>
      </c>
      <c r="L6936">
        <v>-25.606839999999998</v>
      </c>
      <c r="M6936">
        <v>-7.4500460000000004E-2</v>
      </c>
      <c r="N6936">
        <v>0</v>
      </c>
      <c r="O6936">
        <v>0.99719570000000002</v>
      </c>
      <c r="P6936">
        <v>-2.716052E-2</v>
      </c>
      <c r="Q6936">
        <v>-4.0347340000000002E-2</v>
      </c>
      <c r="R6936">
        <v>0.9988165</v>
      </c>
      <c r="S6936">
        <v>7.8216549999999996E-2</v>
      </c>
      <c r="T6936">
        <v>2.525318E-2</v>
      </c>
      <c r="U6936">
        <v>3.0068969999999999</v>
      </c>
      <c r="V6936">
        <v>4.7250540000000001E-2</v>
      </c>
      <c r="W6936">
        <v>-3.3373939999999998E-2</v>
      </c>
      <c r="X6936">
        <v>0.99832540000000003</v>
      </c>
      <c r="Y6936">
        <v>0.1004076</v>
      </c>
      <c r="Z6936">
        <v>8.3404710000000003E-3</v>
      </c>
      <c r="AA6936">
        <v>0.9949114</v>
      </c>
      <c r="AB6936">
        <v>24</v>
      </c>
      <c r="AC6936">
        <v>10.861499999999999</v>
      </c>
      <c r="AD6936">
        <v>3.5010259999999902</v>
      </c>
      <c r="AE6936">
        <v>416.61034000000001</v>
      </c>
      <c r="AF6936">
        <v>41.866803916037497</v>
      </c>
      <c r="AG6936">
        <v>3.5010259999999902</v>
      </c>
      <c r="AH6936">
        <v>414.61404527069698</v>
      </c>
      <c r="AI6936">
        <v>89.518650185498799</v>
      </c>
      <c r="AJ6936">
        <v>84.233944526055396</v>
      </c>
      <c r="AK6936">
        <v>416.73719895028398</v>
      </c>
      <c r="AL6936">
        <v>91.912541021484401</v>
      </c>
      <c r="AM6936">
        <v>87.290224492819306</v>
      </c>
      <c r="AN6936">
        <v>1.00000001884328</v>
      </c>
    </row>
    <row r="6937" spans="1:40" x14ac:dyDescent="0.25">
      <c r="A6937" t="str">
        <f>"20190312161153623"</f>
        <v>20190312161153623</v>
      </c>
      <c r="B6937" t="str">
        <f>"1552378313614372"</f>
        <v>1552378313614372</v>
      </c>
      <c r="C6937" t="s">
        <v>40</v>
      </c>
      <c r="D6937">
        <v>5.0698800000000004</v>
      </c>
      <c r="E6937">
        <v>0.52032489999999998</v>
      </c>
      <c r="F6937" t="s">
        <v>111</v>
      </c>
      <c r="G6937">
        <v>-174.91399999999999</v>
      </c>
      <c r="H6937">
        <v>4.2460899999999997</v>
      </c>
      <c r="I6937">
        <v>391.00349999999997</v>
      </c>
      <c r="J6937">
        <v>-186.5335</v>
      </c>
      <c r="K6937">
        <v>1.108212</v>
      </c>
      <c r="L6937">
        <v>-25.141970000000001</v>
      </c>
      <c r="M6937">
        <v>-7.1756589999999995E-2</v>
      </c>
      <c r="N6937">
        <v>0</v>
      </c>
      <c r="O6937">
        <v>0.99739690000000003</v>
      </c>
      <c r="P6937">
        <v>-2.4198359999999999E-2</v>
      </c>
      <c r="Q6937">
        <v>-4.135461E-2</v>
      </c>
      <c r="R6937">
        <v>0.9988515</v>
      </c>
      <c r="S6937">
        <v>8.363342E-2</v>
      </c>
      <c r="T6937">
        <v>2.2646550000000001E-2</v>
      </c>
      <c r="U6937">
        <v>3.0067439999999999</v>
      </c>
      <c r="V6937">
        <v>4.7458849999999997E-2</v>
      </c>
      <c r="W6937">
        <v>-3.4377659999999997E-2</v>
      </c>
      <c r="X6937">
        <v>0.99828139999999999</v>
      </c>
      <c r="Y6937">
        <v>9.9462720000000004E-2</v>
      </c>
      <c r="Z6937">
        <v>7.4824480000000001E-3</v>
      </c>
      <c r="AA6937">
        <v>0.99501320000000004</v>
      </c>
      <c r="AB6937">
        <v>24</v>
      </c>
      <c r="AC6937">
        <v>11.619499999999899</v>
      </c>
      <c r="AD6937">
        <v>3.1378780000000002</v>
      </c>
      <c r="AE6937">
        <v>416.14546999999999</v>
      </c>
      <c r="AF6937">
        <v>41.449123240598801</v>
      </c>
      <c r="AG6937">
        <v>3.1378780000000002</v>
      </c>
      <c r="AH6937">
        <v>414.21533564767498</v>
      </c>
      <c r="AI6937">
        <v>89.568122343842802</v>
      </c>
      <c r="AJ6937">
        <v>84.285628367797102</v>
      </c>
      <c r="AK6937">
        <v>416.295832769767</v>
      </c>
      <c r="AL6937">
        <v>91.970083085245193</v>
      </c>
      <c r="AM6937">
        <v>87.278176246936994</v>
      </c>
      <c r="AN6937">
        <v>0.99999995976817802</v>
      </c>
    </row>
    <row r="6938" spans="1:40" x14ac:dyDescent="0.25">
      <c r="A6938" t="str">
        <f>"20190312161153644"</f>
        <v>20190312161153644</v>
      </c>
      <c r="B6938" t="str">
        <f>"1552378313633892"</f>
        <v>1552378313633892</v>
      </c>
      <c r="C6938" t="s">
        <v>40</v>
      </c>
      <c r="D6938">
        <v>5.2078230000000003</v>
      </c>
      <c r="E6938">
        <v>0.52037140000000004</v>
      </c>
      <c r="F6938" t="s">
        <v>45</v>
      </c>
      <c r="G6938">
        <v>0</v>
      </c>
      <c r="H6938">
        <v>0</v>
      </c>
      <c r="I6938">
        <v>0</v>
      </c>
      <c r="J6938">
        <v>-186.54900000000001</v>
      </c>
      <c r="K6938">
        <v>1.108201</v>
      </c>
      <c r="L6938">
        <v>-24.905909999999999</v>
      </c>
      <c r="M6938">
        <v>-7.0373140000000001E-2</v>
      </c>
      <c r="N6938">
        <v>0</v>
      </c>
      <c r="O6938">
        <v>0.99749549999999998</v>
      </c>
      <c r="P6938">
        <v>-2.2986659999999999E-2</v>
      </c>
      <c r="Q6938">
        <v>-4.1409950000000001E-2</v>
      </c>
      <c r="R6938">
        <v>0.99887780000000004</v>
      </c>
      <c r="S6938">
        <v>9.4955440000000002E-2</v>
      </c>
      <c r="T6938">
        <v>1.42317999999999E-2</v>
      </c>
      <c r="U6938">
        <v>3.006348</v>
      </c>
      <c r="V6938">
        <v>4.7284710000000001E-2</v>
      </c>
      <c r="W6938">
        <v>-3.4433230000000002E-2</v>
      </c>
      <c r="X6938">
        <v>0.99828779999999995</v>
      </c>
      <c r="Y6938">
        <v>0.1018305</v>
      </c>
      <c r="Z6938">
        <v>4.7027759999999997E-3</v>
      </c>
      <c r="AA6938">
        <v>0.99479070000000003</v>
      </c>
      <c r="AB6938">
        <v>25</v>
      </c>
      <c r="AC6938">
        <v>9.4955440000000002E-2</v>
      </c>
      <c r="AD6938">
        <v>1.42317999999999E-2</v>
      </c>
      <c r="AE6938">
        <v>3.006348</v>
      </c>
      <c r="AF6938">
        <v>0.30628462658418099</v>
      </c>
      <c r="AG6938">
        <v>1.42317999999999E-2</v>
      </c>
      <c r="AH6938">
        <v>2.9921446297845198</v>
      </c>
      <c r="AI6938">
        <v>89.728897717160393</v>
      </c>
      <c r="AJ6938">
        <v>84.155394224445402</v>
      </c>
      <c r="AK6938">
        <v>3.0078135417876801</v>
      </c>
      <c r="AL6938">
        <v>91.973268796097003</v>
      </c>
      <c r="AM6938">
        <v>87.288165814843893</v>
      </c>
      <c r="AN6938">
        <v>1.00000001137842</v>
      </c>
    </row>
    <row r="6939" spans="1:40" x14ac:dyDescent="0.25">
      <c r="A6939" t="str">
        <f>"20190312161153669"</f>
        <v>20190312161153669</v>
      </c>
      <c r="B6939" t="str">
        <f>"1552378313664148"</f>
        <v>1552378313664148</v>
      </c>
      <c r="C6939" t="s">
        <v>40</v>
      </c>
      <c r="D6939">
        <v>5.2004839999999897</v>
      </c>
      <c r="E6939">
        <v>0.52044550000000001</v>
      </c>
      <c r="F6939" t="s">
        <v>45</v>
      </c>
      <c r="G6939">
        <v>0</v>
      </c>
      <c r="H6939">
        <v>0</v>
      </c>
      <c r="I6939">
        <v>0</v>
      </c>
      <c r="J6939">
        <v>-186.566</v>
      </c>
      <c r="K6939">
        <v>1.108188</v>
      </c>
      <c r="L6939">
        <v>-24.638950000000001</v>
      </c>
      <c r="M6939">
        <v>-6.8812529999999997E-2</v>
      </c>
      <c r="N6939">
        <v>0</v>
      </c>
      <c r="O6939">
        <v>0.9976043</v>
      </c>
      <c r="P6939">
        <v>-2.1699920000000001E-2</v>
      </c>
      <c r="Q6939">
        <v>-4.1355759999999998E-2</v>
      </c>
      <c r="R6939">
        <v>0.99890880000000004</v>
      </c>
      <c r="S6939">
        <v>9.8968509999999996E-2</v>
      </c>
      <c r="T6939">
        <v>1.316845E-2</v>
      </c>
      <c r="U6939">
        <v>3.006195</v>
      </c>
      <c r="V6939">
        <v>4.7008889999999998E-2</v>
      </c>
      <c r="W6939">
        <v>-3.4378619999999999E-2</v>
      </c>
      <c r="X6939">
        <v>0.99830269999999999</v>
      </c>
      <c r="Y6939">
        <v>0.1016024</v>
      </c>
      <c r="Z6939">
        <v>4.3523030000000001E-3</v>
      </c>
      <c r="AA6939">
        <v>0.99481560000000002</v>
      </c>
      <c r="AB6939">
        <v>25</v>
      </c>
      <c r="AC6939">
        <v>9.8968509999999996E-2</v>
      </c>
      <c r="AD6939">
        <v>1.316845E-2</v>
      </c>
      <c r="AE6939">
        <v>3.006195</v>
      </c>
      <c r="AF6939">
        <v>0.305597153256223</v>
      </c>
      <c r="AG6939">
        <v>1.316845E-2</v>
      </c>
      <c r="AH6939">
        <v>2.9922009821766</v>
      </c>
      <c r="AI6939">
        <v>89.749152099639204</v>
      </c>
      <c r="AJ6939">
        <v>84.168531333826493</v>
      </c>
      <c r="AK6939">
        <v>3.0077948310834501</v>
      </c>
      <c r="AL6939">
        <v>91.970138036443402</v>
      </c>
      <c r="AM6939">
        <v>87.304001190986</v>
      </c>
      <c r="AN6939">
        <v>1.00000000303971</v>
      </c>
    </row>
    <row r="6940" spans="1:40" x14ac:dyDescent="0.25">
      <c r="A6940" t="str">
        <f>"20190312161153691"</f>
        <v>20190312161153691</v>
      </c>
      <c r="B6940" t="str">
        <f>"1552378313683669"</f>
        <v>1552378313683669</v>
      </c>
      <c r="C6940" t="s">
        <v>40</v>
      </c>
      <c r="D6940">
        <v>5.1740709999999996</v>
      </c>
      <c r="E6940">
        <v>0.52058669999999996</v>
      </c>
      <c r="F6940" t="s">
        <v>45</v>
      </c>
      <c r="G6940">
        <v>0</v>
      </c>
      <c r="H6940">
        <v>0</v>
      </c>
      <c r="I6940">
        <v>0</v>
      </c>
      <c r="J6940">
        <v>-186.58189999999999</v>
      </c>
      <c r="K6940">
        <v>1.1081730000000001</v>
      </c>
      <c r="L6940">
        <v>-24.386050000000001</v>
      </c>
      <c r="M6940">
        <v>-6.7336119999999999E-2</v>
      </c>
      <c r="N6940">
        <v>0</v>
      </c>
      <c r="O6940">
        <v>0.99770499999999995</v>
      </c>
      <c r="P6940">
        <v>-1.9803379999999999E-2</v>
      </c>
      <c r="Q6940">
        <v>-4.2005529999999999E-2</v>
      </c>
      <c r="R6940">
        <v>0.99892110000000001</v>
      </c>
      <c r="S6940">
        <v>0.1031189</v>
      </c>
      <c r="T6940">
        <v>1.187146E-2</v>
      </c>
      <c r="U6940">
        <v>3.0060120000000001</v>
      </c>
      <c r="V6940">
        <v>4.7422980000000003E-2</v>
      </c>
      <c r="W6940">
        <v>-3.5028570000000002E-2</v>
      </c>
      <c r="X6940">
        <v>0.9982605</v>
      </c>
      <c r="Y6940">
        <v>0.1015042</v>
      </c>
      <c r="Z6940">
        <v>3.9244040000000003E-3</v>
      </c>
      <c r="AA6940">
        <v>0.99482740000000003</v>
      </c>
      <c r="AB6940">
        <v>25</v>
      </c>
      <c r="AC6940">
        <v>0.1031189</v>
      </c>
      <c r="AD6940">
        <v>1.187146E-2</v>
      </c>
      <c r="AE6940">
        <v>3.0060120000000001</v>
      </c>
      <c r="AF6940">
        <v>0.30529839209341603</v>
      </c>
      <c r="AG6940">
        <v>1.187146E-2</v>
      </c>
      <c r="AH6940">
        <v>2.9921986376120699</v>
      </c>
      <c r="AI6940">
        <v>89.773855941487298</v>
      </c>
      <c r="AJ6940">
        <v>84.174188591227093</v>
      </c>
      <c r="AK6940">
        <v>3.0077567598967998</v>
      </c>
      <c r="AL6940">
        <v>92.007399914231499</v>
      </c>
      <c r="AM6940">
        <v>87.280173488991494</v>
      </c>
      <c r="AN6940">
        <v>0.99999998280428704</v>
      </c>
    </row>
    <row r="6941" spans="1:40" x14ac:dyDescent="0.25">
      <c r="A6941" t="str">
        <f>"20190312161153712"</f>
        <v>20190312161153712</v>
      </c>
      <c r="B6941" t="str">
        <f>"1552378313704165"</f>
        <v>1552378313704165</v>
      </c>
      <c r="C6941" t="s">
        <v>40</v>
      </c>
      <c r="D6941">
        <v>5.1855979999999997</v>
      </c>
      <c r="E6941">
        <v>0.52056939999999996</v>
      </c>
      <c r="F6941" t="s">
        <v>45</v>
      </c>
      <c r="G6941">
        <v>0</v>
      </c>
      <c r="H6941">
        <v>0</v>
      </c>
      <c r="I6941">
        <v>0</v>
      </c>
      <c r="J6941">
        <v>-186.59630000000001</v>
      </c>
      <c r="K6941">
        <v>1.108163</v>
      </c>
      <c r="L6941">
        <v>-24.149660000000001</v>
      </c>
      <c r="M6941">
        <v>-6.595666E-2</v>
      </c>
      <c r="N6941">
        <v>0</v>
      </c>
      <c r="O6941">
        <v>0.99779720000000005</v>
      </c>
      <c r="P6941">
        <v>-1.8483070000000001E-2</v>
      </c>
      <c r="Q6941">
        <v>-4.2703930000000001E-2</v>
      </c>
      <c r="R6941">
        <v>0.99891680000000005</v>
      </c>
      <c r="S6941">
        <v>0.1097412</v>
      </c>
      <c r="T6941">
        <v>7.3223109999999998E-3</v>
      </c>
      <c r="U6941">
        <v>3.0057369999999999</v>
      </c>
      <c r="V6941">
        <v>4.7358209999999998E-2</v>
      </c>
      <c r="W6941">
        <v>-3.5724550000000001E-2</v>
      </c>
      <c r="X6941">
        <v>0.99823890000000004</v>
      </c>
      <c r="Y6941">
        <v>0.1023211</v>
      </c>
      <c r="Z6941">
        <v>2.420944E-3</v>
      </c>
      <c r="AA6941">
        <v>0.99474850000000004</v>
      </c>
      <c r="AB6941">
        <v>25</v>
      </c>
      <c r="AC6941">
        <v>0.1097412</v>
      </c>
      <c r="AD6941">
        <v>7.3223109999999998E-3</v>
      </c>
      <c r="AE6941">
        <v>3.0057369999999999</v>
      </c>
      <c r="AF6941">
        <v>0.30775377726530401</v>
      </c>
      <c r="AG6941">
        <v>7.3223109999999998E-3</v>
      </c>
      <c r="AH6941">
        <v>2.9919355650150399</v>
      </c>
      <c r="AI6941">
        <v>89.860513469435503</v>
      </c>
      <c r="AJ6941">
        <v>84.127147480250102</v>
      </c>
      <c r="AK6941">
        <v>3.0077307773238799</v>
      </c>
      <c r="AL6941">
        <v>92.047301629779298</v>
      </c>
      <c r="AM6941">
        <v>87.283823960289794</v>
      </c>
      <c r="AN6941">
        <v>0.99999997250015804</v>
      </c>
    </row>
    <row r="6942" spans="1:40" x14ac:dyDescent="0.25">
      <c r="A6942" t="str">
        <f>"20190312161153734"</f>
        <v>20190312161153734</v>
      </c>
      <c r="B6942" t="str">
        <f>"1552378313723685"</f>
        <v>1552378313723685</v>
      </c>
      <c r="C6942" t="s">
        <v>40</v>
      </c>
      <c r="D6942">
        <v>4.5875459999999997</v>
      </c>
      <c r="E6942">
        <v>0.50218079999999998</v>
      </c>
      <c r="F6942" t="s">
        <v>45</v>
      </c>
      <c r="G6942">
        <v>0</v>
      </c>
      <c r="H6942">
        <v>0</v>
      </c>
      <c r="I6942">
        <v>0</v>
      </c>
      <c r="J6942">
        <v>-186.61089999999999</v>
      </c>
      <c r="K6942">
        <v>1.1081620000000001</v>
      </c>
      <c r="L6942">
        <v>-23.905180000000001</v>
      </c>
      <c r="M6942">
        <v>-6.4530309999999994E-2</v>
      </c>
      <c r="N6942">
        <v>0</v>
      </c>
      <c r="O6942">
        <v>0.99789039999999996</v>
      </c>
      <c r="P6942">
        <v>-1.740177E-2</v>
      </c>
      <c r="Q6942">
        <v>-4.2240519999999997E-2</v>
      </c>
      <c r="R6942">
        <v>0.99895590000000001</v>
      </c>
      <c r="S6942">
        <v>0.11361690000000001</v>
      </c>
      <c r="T6942">
        <v>5.4111480000000002E-3</v>
      </c>
      <c r="U6942">
        <v>3.005585</v>
      </c>
      <c r="V6942">
        <v>4.7013930000000002E-2</v>
      </c>
      <c r="W6942">
        <v>-3.5256019999999999E-2</v>
      </c>
      <c r="X6942">
        <v>0.99827189999999999</v>
      </c>
      <c r="Y6942">
        <v>0.102182</v>
      </c>
      <c r="Z6942">
        <v>1.7893799999999999E-3</v>
      </c>
      <c r="AA6942">
        <v>0.99476410000000004</v>
      </c>
      <c r="AB6942">
        <v>25</v>
      </c>
      <c r="AC6942">
        <v>0.11361690000000001</v>
      </c>
      <c r="AD6942">
        <v>5.4111480000000002E-3</v>
      </c>
      <c r="AE6942">
        <v>3.005585</v>
      </c>
      <c r="AF6942">
        <v>0.30733532478855802</v>
      </c>
      <c r="AG6942">
        <v>5.4111480000000002E-3</v>
      </c>
      <c r="AH6942">
        <v>2.9919786813355902</v>
      </c>
      <c r="AI6942">
        <v>89.896920123730396</v>
      </c>
      <c r="AJ6942">
        <v>84.135161018709795</v>
      </c>
      <c r="AK6942">
        <v>3.0077268346630501</v>
      </c>
      <c r="AL6942">
        <v>92.0204397755559</v>
      </c>
      <c r="AM6942">
        <v>87.303629502696396</v>
      </c>
      <c r="AN6942">
        <v>1.0000000414449399</v>
      </c>
    </row>
    <row r="6943" spans="1:40" x14ac:dyDescent="0.25">
      <c r="A6943" t="str">
        <f>"20190312161153782"</f>
        <v>20190312161153782</v>
      </c>
      <c r="B6943" t="str">
        <f>"1552378313774438"</f>
        <v>1552378313774438</v>
      </c>
      <c r="C6943" t="s">
        <v>40</v>
      </c>
      <c r="D6943">
        <v>5.2280629999999997</v>
      </c>
      <c r="E6943">
        <v>0.50078650000000002</v>
      </c>
      <c r="F6943" t="s">
        <v>41</v>
      </c>
      <c r="G6943">
        <v>-188.70410000000001</v>
      </c>
      <c r="H6943" s="1">
        <v>-5.8965199999999999E-7</v>
      </c>
      <c r="I6943">
        <v>180.36760000000001</v>
      </c>
      <c r="J6943">
        <v>-186.64179999999999</v>
      </c>
      <c r="K6943">
        <v>1.1081570000000001</v>
      </c>
      <c r="L6943">
        <v>-23.368130000000001</v>
      </c>
      <c r="M6943">
        <v>-6.1398439999999999E-2</v>
      </c>
      <c r="N6943">
        <v>0</v>
      </c>
      <c r="O6943">
        <v>0.99808790000000003</v>
      </c>
      <c r="P6943">
        <v>-1.649546E-2</v>
      </c>
      <c r="Q6943">
        <v>-4.1644920000000002E-2</v>
      </c>
      <c r="R6943">
        <v>0.99899629999999995</v>
      </c>
      <c r="S6943">
        <v>-3.0761719999999999E-2</v>
      </c>
      <c r="T6943">
        <v>-1.628518E-2</v>
      </c>
      <c r="U6943">
        <v>3.0019230000000001</v>
      </c>
      <c r="V6943">
        <v>4.478936E-2</v>
      </c>
      <c r="W6943">
        <v>-3.4639910000000003E-2</v>
      </c>
      <c r="X6943">
        <v>0.9983957</v>
      </c>
      <c r="Y6943">
        <v>5.1169449999999998E-2</v>
      </c>
      <c r="Z6943">
        <v>-5.4057910000000001E-3</v>
      </c>
      <c r="AA6943">
        <v>0.99867530000000004</v>
      </c>
      <c r="AB6943">
        <v>25</v>
      </c>
      <c r="AC6943">
        <v>-2.06230000000002</v>
      </c>
      <c r="AD6943">
        <v>-1.108157589652</v>
      </c>
      <c r="AE6943">
        <v>203.73572999999999</v>
      </c>
      <c r="AF6943">
        <v>10.4506554987332</v>
      </c>
      <c r="AG6943">
        <v>-1.108157589652</v>
      </c>
      <c r="AH6943">
        <v>203.471935760337</v>
      </c>
      <c r="AI6943">
        <v>90.311632880350601</v>
      </c>
      <c r="AJ6943">
        <v>87.059777541123495</v>
      </c>
      <c r="AK6943">
        <v>203.74315413199901</v>
      </c>
      <c r="AL6943">
        <v>91.985117794941999</v>
      </c>
      <c r="AM6943">
        <v>87.431357309188598</v>
      </c>
      <c r="AN6943">
        <v>0.999999991956253</v>
      </c>
    </row>
    <row r="6944" spans="1:40" x14ac:dyDescent="0.25">
      <c r="A6944" t="str">
        <f>"20190312161153825"</f>
        <v>20190312161153825</v>
      </c>
      <c r="B6944" t="str">
        <f>"1552378313814452"</f>
        <v>1552378313814452</v>
      </c>
      <c r="C6944" t="s">
        <v>40</v>
      </c>
      <c r="D6944">
        <v>5.2386599999999897</v>
      </c>
      <c r="E6944">
        <v>0.50062050000000002</v>
      </c>
      <c r="F6944" t="s">
        <v>111</v>
      </c>
      <c r="G6944">
        <v>-192.02789999999999</v>
      </c>
      <c r="H6944">
        <v>0.2233696</v>
      </c>
      <c r="I6944">
        <v>391.87</v>
      </c>
      <c r="J6944">
        <v>-186.6679</v>
      </c>
      <c r="K6944">
        <v>1.1081460000000001</v>
      </c>
      <c r="L6944">
        <v>-22.88824</v>
      </c>
      <c r="M6944">
        <v>-5.8600920000000001E-2</v>
      </c>
      <c r="N6944">
        <v>0</v>
      </c>
      <c r="O6944">
        <v>0.99825589999999997</v>
      </c>
      <c r="P6944">
        <v>-1.350902E-2</v>
      </c>
      <c r="Q6944">
        <v>-4.1636800000000002E-2</v>
      </c>
      <c r="R6944">
        <v>0.99904150000000003</v>
      </c>
      <c r="S6944">
        <v>-3.8940429999999998E-2</v>
      </c>
      <c r="T6944">
        <v>-6.3968899999999997E-3</v>
      </c>
      <c r="U6944">
        <v>3.0021059999999999</v>
      </c>
      <c r="V6944">
        <v>4.4974899999999998E-2</v>
      </c>
      <c r="W6944">
        <v>-3.46138E-2</v>
      </c>
      <c r="X6944">
        <v>0.99838830000000001</v>
      </c>
      <c r="Y6944">
        <v>4.5649870000000002E-2</v>
      </c>
      <c r="Z6944">
        <v>-2.1241039999999999E-3</v>
      </c>
      <c r="AA6944">
        <v>0.99895520000000004</v>
      </c>
      <c r="AB6944">
        <v>25</v>
      </c>
      <c r="AC6944">
        <v>-5.3599999999999799</v>
      </c>
      <c r="AD6944">
        <v>-0.88477639999999902</v>
      </c>
      <c r="AE6944">
        <v>414.75824</v>
      </c>
      <c r="AF6944">
        <v>18.9549607894938</v>
      </c>
      <c r="AG6944">
        <v>-0.88477639999999902</v>
      </c>
      <c r="AH6944">
        <v>414.35766079740301</v>
      </c>
      <c r="AI6944">
        <v>90.122215473400999</v>
      </c>
      <c r="AJ6944">
        <v>87.380807108052906</v>
      </c>
      <c r="AK6944">
        <v>414.79192907927302</v>
      </c>
      <c r="AL6944">
        <v>91.983620834561705</v>
      </c>
      <c r="AM6944">
        <v>87.420711950991304</v>
      </c>
      <c r="AN6944">
        <v>1.00000002717866</v>
      </c>
    </row>
    <row r="6945" spans="1:40" x14ac:dyDescent="0.25">
      <c r="A6945" t="str">
        <f>"20190312161153846"</f>
        <v>20190312161153846</v>
      </c>
      <c r="B6945" t="str">
        <f>"1552378313833973"</f>
        <v>1552378313833973</v>
      </c>
      <c r="C6945" t="s">
        <v>40</v>
      </c>
      <c r="D6945">
        <v>5.2273350000000001</v>
      </c>
      <c r="E6945">
        <v>0.50051899999999905</v>
      </c>
      <c r="F6945" t="s">
        <v>41</v>
      </c>
      <c r="G6945">
        <v>-188.01</v>
      </c>
      <c r="H6945" s="1">
        <v>-2.056011E-6</v>
      </c>
      <c r="I6945">
        <v>103.6026</v>
      </c>
      <c r="J6945">
        <v>-186.68090000000001</v>
      </c>
      <c r="K6945">
        <v>1.1081430000000001</v>
      </c>
      <c r="L6945">
        <v>-22.640139999999999</v>
      </c>
      <c r="M6945">
        <v>-5.7155690000000002E-2</v>
      </c>
      <c r="N6945">
        <v>0</v>
      </c>
      <c r="O6945">
        <v>0.99833959999999999</v>
      </c>
      <c r="P6945">
        <v>-1.0791490000000001E-2</v>
      </c>
      <c r="Q6945">
        <v>-4.1530629999999999E-2</v>
      </c>
      <c r="R6945">
        <v>0.99907889999999999</v>
      </c>
      <c r="S6945">
        <v>-3.184509E-2</v>
      </c>
      <c r="T6945">
        <v>-2.629387E-2</v>
      </c>
      <c r="U6945">
        <v>3.0013429999999999</v>
      </c>
      <c r="V6945">
        <v>4.6244920000000002E-2</v>
      </c>
      <c r="W6945">
        <v>-3.4499929999999998E-2</v>
      </c>
      <c r="X6945">
        <v>0.99833419999999895</v>
      </c>
      <c r="Y6945">
        <v>4.6562010000000001E-2</v>
      </c>
      <c r="Z6945">
        <v>-8.733892E-3</v>
      </c>
      <c r="AA6945">
        <v>0.99887720000000002</v>
      </c>
      <c r="AB6945">
        <v>25</v>
      </c>
      <c r="AC6945">
        <v>-1.32909999999998</v>
      </c>
      <c r="AD6945">
        <v>-1.108145056011</v>
      </c>
      <c r="AE6945">
        <v>126.24274</v>
      </c>
      <c r="AF6945">
        <v>5.8882950593896002</v>
      </c>
      <c r="AG6945">
        <v>-1.108145056011</v>
      </c>
      <c r="AH6945">
        <v>126.10260982102599</v>
      </c>
      <c r="AI6945">
        <v>90.502934084780094</v>
      </c>
      <c r="AJ6945">
        <v>87.3265456173594</v>
      </c>
      <c r="AK6945">
        <v>126.24487398641401</v>
      </c>
      <c r="AL6945">
        <v>91.977092706474593</v>
      </c>
      <c r="AM6945">
        <v>87.347835990340002</v>
      </c>
      <c r="AN6945">
        <v>1.0000000063427199</v>
      </c>
    </row>
    <row r="6946" spans="1:40" x14ac:dyDescent="0.25">
      <c r="A6946" t="str">
        <f>"20190312161153869"</f>
        <v>20190312161153869</v>
      </c>
      <c r="B6946" t="str">
        <f>"1552378313864229"</f>
        <v>1552378313864229</v>
      </c>
      <c r="C6946" t="s">
        <v>40</v>
      </c>
      <c r="D6946">
        <v>5.2312589999999997</v>
      </c>
      <c r="E6946">
        <v>0.50051849999999998</v>
      </c>
      <c r="F6946" t="s">
        <v>41</v>
      </c>
      <c r="G6946">
        <v>-187.57560000000001</v>
      </c>
      <c r="H6946" s="1">
        <v>-3.0409559999999998E-6</v>
      </c>
      <c r="I6946">
        <v>85.718850000000003</v>
      </c>
      <c r="J6946">
        <v>-186.69399999999999</v>
      </c>
      <c r="K6946">
        <v>1.1081319999999999</v>
      </c>
      <c r="L6946">
        <v>-22.382999999999999</v>
      </c>
      <c r="M6946">
        <v>-5.5658600000000003E-2</v>
      </c>
      <c r="N6946">
        <v>0</v>
      </c>
      <c r="O6946">
        <v>0.99842410000000004</v>
      </c>
      <c r="P6946">
        <v>-8.8077709999999903E-3</v>
      </c>
      <c r="Q6946">
        <v>-4.117693E-2</v>
      </c>
      <c r="R6946">
        <v>0.99911300000000003</v>
      </c>
      <c r="S6946">
        <v>-2.478027E-2</v>
      </c>
      <c r="T6946">
        <v>-3.0692339999999999E-2</v>
      </c>
      <c r="U6946">
        <v>3.0012210000000001</v>
      </c>
      <c r="V6946">
        <v>4.6731210000000002E-2</v>
      </c>
      <c r="W6946">
        <v>-3.4134879999999999E-2</v>
      </c>
      <c r="X6946">
        <v>0.99832410000000005</v>
      </c>
      <c r="Y6946">
        <v>4.7414919999999999E-2</v>
      </c>
      <c r="Z6946">
        <v>-1.019638E-2</v>
      </c>
      <c r="AA6946">
        <v>0.99882320000000002</v>
      </c>
      <c r="AB6946">
        <v>25</v>
      </c>
      <c r="AC6946">
        <v>-0.88159999999999095</v>
      </c>
      <c r="AD6946">
        <v>-1.10813504095599</v>
      </c>
      <c r="AE6946">
        <v>108.10185</v>
      </c>
      <c r="AF6946">
        <v>5.1361793790385004</v>
      </c>
      <c r="AG6946">
        <v>-1.10813504095599</v>
      </c>
      <c r="AH6946">
        <v>107.971993191999</v>
      </c>
      <c r="AI6946">
        <v>90.587351617916894</v>
      </c>
      <c r="AJ6946">
        <v>87.276518468594404</v>
      </c>
      <c r="AK6946">
        <v>108.099766955048</v>
      </c>
      <c r="AL6946">
        <v>91.956164563022696</v>
      </c>
      <c r="AM6946">
        <v>87.319960447119499</v>
      </c>
      <c r="AN6946">
        <v>1.00000000233074</v>
      </c>
    </row>
    <row r="6947" spans="1:40" x14ac:dyDescent="0.25">
      <c r="A6947" t="str">
        <f>"20190312161153892"</f>
        <v>20190312161153892</v>
      </c>
      <c r="B6947" t="str">
        <f>"1552378313883749"</f>
        <v>1552378313883749</v>
      </c>
      <c r="C6947" t="s">
        <v>40</v>
      </c>
      <c r="D6947">
        <v>5.1979050000000004</v>
      </c>
      <c r="E6947">
        <v>0.500336</v>
      </c>
      <c r="F6947" t="s">
        <v>41</v>
      </c>
      <c r="G6947">
        <v>-187.3322</v>
      </c>
      <c r="H6947" s="1">
        <v>-3.6714800000000002E-6</v>
      </c>
      <c r="I6947">
        <v>77.087999999999994</v>
      </c>
      <c r="J6947">
        <v>-186.7072</v>
      </c>
      <c r="K6947">
        <v>1.108123</v>
      </c>
      <c r="L6947">
        <v>-22.114319999999999</v>
      </c>
      <c r="M6947">
        <v>-5.4095549999999999E-2</v>
      </c>
      <c r="N6947">
        <v>0</v>
      </c>
      <c r="O6947">
        <v>0.99850989999999995</v>
      </c>
      <c r="P6947">
        <v>-6.6027179999999996E-3</v>
      </c>
      <c r="Q6947">
        <v>-4.0912579999999997E-2</v>
      </c>
      <c r="R6947">
        <v>0.9991409</v>
      </c>
      <c r="S6947">
        <v>-1.9256590000000001E-2</v>
      </c>
      <c r="T6947">
        <v>-3.3433440000000002E-2</v>
      </c>
      <c r="U6947">
        <v>3.0011290000000002</v>
      </c>
      <c r="V6947">
        <v>4.7372230000000001E-2</v>
      </c>
      <c r="W6947">
        <v>-3.385817E-2</v>
      </c>
      <c r="X6947">
        <v>0.9983033</v>
      </c>
      <c r="Y6947">
        <v>4.7689309999999999E-2</v>
      </c>
      <c r="Z6947">
        <v>-1.1108679999999999E-2</v>
      </c>
      <c r="AA6947">
        <v>0.99880049999999998</v>
      </c>
      <c r="AB6947">
        <v>26</v>
      </c>
      <c r="AC6947">
        <v>-0.625</v>
      </c>
      <c r="AD6947">
        <v>-1.10812667147999</v>
      </c>
      <c r="AE6947">
        <v>99.20232</v>
      </c>
      <c r="AF6947">
        <v>4.7418661990772701</v>
      </c>
      <c r="AG6947">
        <v>-1.10812667147999</v>
      </c>
      <c r="AH6947">
        <v>99.078505203985003</v>
      </c>
      <c r="AI6947">
        <v>90.640055613384504</v>
      </c>
      <c r="AJ6947">
        <v>87.259932764366795</v>
      </c>
      <c r="AK6947">
        <v>99.198101963828293</v>
      </c>
      <c r="AL6947">
        <v>91.9403010993599</v>
      </c>
      <c r="AM6947">
        <v>87.283196072144406</v>
      </c>
      <c r="AN6947">
        <v>0.999999991320906</v>
      </c>
    </row>
    <row r="6948" spans="1:40" x14ac:dyDescent="0.25">
      <c r="A6948" t="str">
        <f>"20190312161153914"</f>
        <v>20190312161153914</v>
      </c>
      <c r="B6948" t="str">
        <f>"1552378313904245"</f>
        <v>1552378313904245</v>
      </c>
      <c r="C6948" t="s">
        <v>40</v>
      </c>
      <c r="D6948">
        <v>5.2693890000000003</v>
      </c>
      <c r="E6948">
        <v>0.50009289999999995</v>
      </c>
      <c r="F6948" t="s">
        <v>41</v>
      </c>
      <c r="G6948">
        <v>-187.1165</v>
      </c>
      <c r="H6948" s="1">
        <v>-2.291339E-6</v>
      </c>
      <c r="I6948">
        <v>63.781640000000003</v>
      </c>
      <c r="J6948">
        <v>-186.7192</v>
      </c>
      <c r="K6948">
        <v>1.1081190000000001</v>
      </c>
      <c r="L6948">
        <v>-21.862760000000002</v>
      </c>
      <c r="M6948">
        <v>-5.2632520000000002E-2</v>
      </c>
      <c r="N6948">
        <v>0</v>
      </c>
      <c r="O6948">
        <v>0.99858800000000003</v>
      </c>
      <c r="P6948">
        <v>-5.267908E-3</v>
      </c>
      <c r="Q6948">
        <v>-4.1452860000000001E-2</v>
      </c>
      <c r="R6948">
        <v>0.99912659999999998</v>
      </c>
      <c r="S6948">
        <v>-1.429749E-2</v>
      </c>
      <c r="T6948">
        <v>-3.8714169999999999E-2</v>
      </c>
      <c r="U6948">
        <v>3.0009160000000001</v>
      </c>
      <c r="V6948">
        <v>4.7240270000000001E-2</v>
      </c>
      <c r="W6948">
        <v>-3.4384280000000003E-2</v>
      </c>
      <c r="X6948">
        <v>0.99829159999999995</v>
      </c>
      <c r="Y6948">
        <v>4.7875960000000002E-2</v>
      </c>
      <c r="Z6948">
        <v>-1.2865420000000001E-2</v>
      </c>
      <c r="AA6948">
        <v>0.99877039999999995</v>
      </c>
      <c r="AB6948">
        <v>26</v>
      </c>
      <c r="AC6948">
        <v>-0.39730000000000099</v>
      </c>
      <c r="AD6948">
        <v>-1.1081212913389999</v>
      </c>
      <c r="AE6948">
        <v>85.644400000000005</v>
      </c>
      <c r="AF6948">
        <v>4.1103600174880697</v>
      </c>
      <c r="AG6948">
        <v>-1.1081212913389999</v>
      </c>
      <c r="AH6948">
        <v>85.532279229137004</v>
      </c>
      <c r="AI6948">
        <v>90.741403691209499</v>
      </c>
      <c r="AJ6948">
        <v>87.248696734580804</v>
      </c>
      <c r="AK6948">
        <v>85.638156112802605</v>
      </c>
      <c r="AL6948">
        <v>91.970462488518393</v>
      </c>
      <c r="AM6948">
        <v>87.290720999819001</v>
      </c>
      <c r="AN6948">
        <v>1.00000002022567</v>
      </c>
    </row>
    <row r="6949" spans="1:40" x14ac:dyDescent="0.25">
      <c r="A6949" t="str">
        <f>"20190312161153935"</f>
        <v>20190312161153935</v>
      </c>
      <c r="B6949" t="str">
        <f>"1552378313923765"</f>
        <v>1552378313923765</v>
      </c>
      <c r="C6949" t="s">
        <v>40</v>
      </c>
      <c r="D6949">
        <v>5.8381730000000003</v>
      </c>
      <c r="E6949">
        <v>0.4998322</v>
      </c>
      <c r="F6949" t="s">
        <v>41</v>
      </c>
      <c r="G6949">
        <v>-187.02279999999999</v>
      </c>
      <c r="H6949" s="1">
        <v>-1.4416709999999999E-6</v>
      </c>
      <c r="I6949">
        <v>51.556669999999997</v>
      </c>
      <c r="J6949">
        <v>-186.73070000000001</v>
      </c>
      <c r="K6949">
        <v>1.108114</v>
      </c>
      <c r="L6949">
        <v>-21.616330000000001</v>
      </c>
      <c r="M6949">
        <v>-5.1200799999999998E-2</v>
      </c>
      <c r="N6949">
        <v>0</v>
      </c>
      <c r="O6949">
        <v>0.9986623</v>
      </c>
      <c r="P6949">
        <v>-3.0313969999999999E-3</v>
      </c>
      <c r="Q6949">
        <v>-4.217945E-2</v>
      </c>
      <c r="R6949">
        <v>0.99910549999999998</v>
      </c>
      <c r="S6949">
        <v>-1.24054E-2</v>
      </c>
      <c r="T6949">
        <v>-4.5289160000000002E-2</v>
      </c>
      <c r="U6949">
        <v>3.0006710000000001</v>
      </c>
      <c r="V6949">
        <v>4.8039560000000002E-2</v>
      </c>
      <c r="W6949">
        <v>-3.5099030000000003E-2</v>
      </c>
      <c r="X6949">
        <v>0.99822849999999996</v>
      </c>
      <c r="Y6949">
        <v>4.7073419999999998E-2</v>
      </c>
      <c r="Z6949">
        <v>-1.5053169999999999E-2</v>
      </c>
      <c r="AA6949">
        <v>0.99877800000000005</v>
      </c>
      <c r="AB6949">
        <v>26</v>
      </c>
      <c r="AC6949">
        <v>-0.29209999999997599</v>
      </c>
      <c r="AD6949">
        <v>-1.108115441671</v>
      </c>
      <c r="AE6949">
        <v>73.173000000000002</v>
      </c>
      <c r="AF6949">
        <v>3.45410473142746</v>
      </c>
      <c r="AG6949">
        <v>-1.108115441671</v>
      </c>
      <c r="AH6949">
        <v>73.075217528170796</v>
      </c>
      <c r="AI6949">
        <v>90.867800093553001</v>
      </c>
      <c r="AJ6949">
        <v>87.293768842705703</v>
      </c>
      <c r="AK6949">
        <v>73.165197847864903</v>
      </c>
      <c r="AL6949">
        <v>92.011439545632598</v>
      </c>
      <c r="AM6949">
        <v>87.244777037041999</v>
      </c>
      <c r="AN6949">
        <v>0.99999993972209</v>
      </c>
    </row>
    <row r="6950" spans="1:40" x14ac:dyDescent="0.25">
      <c r="A6950" t="str">
        <f>"20190312161153959"</f>
        <v>20190312161153959</v>
      </c>
      <c r="B6950" t="str">
        <f>"1552378313944262"</f>
        <v>1552378313944262</v>
      </c>
      <c r="C6950" t="s">
        <v>40</v>
      </c>
      <c r="D6950">
        <v>5.3172079999999999</v>
      </c>
      <c r="E6950">
        <v>0.49940849999999998</v>
      </c>
      <c r="F6950" t="s">
        <v>41</v>
      </c>
      <c r="G6950">
        <v>-186.91120000000001</v>
      </c>
      <c r="H6950" s="1">
        <v>-8.3750359999999996E-7</v>
      </c>
      <c r="I6950">
        <v>49.694090000000003</v>
      </c>
      <c r="J6950">
        <v>-186.74340000000001</v>
      </c>
      <c r="K6950">
        <v>1.108112</v>
      </c>
      <c r="L6950">
        <v>-21.332519999999999</v>
      </c>
      <c r="M6950">
        <v>-4.9558530000000003E-2</v>
      </c>
      <c r="N6950">
        <v>0</v>
      </c>
      <c r="O6950">
        <v>0.99874499999999999</v>
      </c>
      <c r="P6950">
        <v>-1.0579750000000001E-3</v>
      </c>
      <c r="Q6950">
        <v>-4.135378E-2</v>
      </c>
      <c r="R6950">
        <v>0.99914400000000003</v>
      </c>
      <c r="S6950">
        <v>-7.59887699999999E-3</v>
      </c>
      <c r="T6950">
        <v>-4.6628830000000003E-2</v>
      </c>
      <c r="U6950">
        <v>3.000702</v>
      </c>
      <c r="V6950">
        <v>4.837317E-2</v>
      </c>
      <c r="W6950">
        <v>-3.4256639999999998E-2</v>
      </c>
      <c r="X6950">
        <v>0.99824170000000001</v>
      </c>
      <c r="Y6950">
        <v>4.7030719999999998E-2</v>
      </c>
      <c r="Z6950">
        <v>-1.5500180000000001E-2</v>
      </c>
      <c r="AA6950">
        <v>0.99877320000000003</v>
      </c>
      <c r="AB6950">
        <v>26</v>
      </c>
      <c r="AC6950">
        <v>-0.16779999999999901</v>
      </c>
      <c r="AD6950">
        <v>-1.1081128375036</v>
      </c>
      <c r="AE6950">
        <v>71.026609999999906</v>
      </c>
      <c r="AF6950">
        <v>3.3516569704312098</v>
      </c>
      <c r="AG6950">
        <v>-1.1081128375036</v>
      </c>
      <c r="AH6950">
        <v>70.930380999266504</v>
      </c>
      <c r="AI6950">
        <v>90.894035503062696</v>
      </c>
      <c r="AJ6950">
        <v>87.294628058452403</v>
      </c>
      <c r="AK6950">
        <v>71.018169979303096</v>
      </c>
      <c r="AL6950">
        <v>91.963145011096998</v>
      </c>
      <c r="AM6950">
        <v>87.225709851363405</v>
      </c>
      <c r="AN6950">
        <v>0.999999986289414</v>
      </c>
    </row>
    <row r="6951" spans="1:40" x14ac:dyDescent="0.25">
      <c r="A6951" t="str">
        <f>"20190312161153983"</f>
        <v>20190312161153983</v>
      </c>
      <c r="B6951" t="str">
        <f>"1552378313974516"</f>
        <v>1552378313974516</v>
      </c>
      <c r="C6951" t="s">
        <v>40</v>
      </c>
      <c r="D6951">
        <v>5.3550409999999999</v>
      </c>
      <c r="E6951">
        <v>0.49888369999999999</v>
      </c>
      <c r="F6951" t="s">
        <v>41</v>
      </c>
      <c r="G6951">
        <v>-186.8698</v>
      </c>
      <c r="H6951" s="1">
        <v>-3.5386549999999999E-6</v>
      </c>
      <c r="I6951">
        <v>56.587179999999996</v>
      </c>
      <c r="J6951">
        <v>-186.7552</v>
      </c>
      <c r="K6951">
        <v>1.108117</v>
      </c>
      <c r="L6951">
        <v>-21.06006</v>
      </c>
      <c r="M6951">
        <v>-4.7997709999999999E-2</v>
      </c>
      <c r="N6951">
        <v>0</v>
      </c>
      <c r="O6951">
        <v>0.99882110000000002</v>
      </c>
      <c r="P6951">
        <v>4.6765069999999998E-4</v>
      </c>
      <c r="Q6951">
        <v>-4.0501009999999997E-2</v>
      </c>
      <c r="R6951">
        <v>0.99917940000000005</v>
      </c>
      <c r="S6951">
        <v>-4.8675539999999996E-3</v>
      </c>
      <c r="T6951">
        <v>-4.2675020000000001E-2</v>
      </c>
      <c r="U6951">
        <v>3.0007929999999998</v>
      </c>
      <c r="V6951">
        <v>4.8341490000000001E-2</v>
      </c>
      <c r="W6951">
        <v>-3.3385730000000002E-2</v>
      </c>
      <c r="X6951">
        <v>0.99827279999999996</v>
      </c>
      <c r="Y6951">
        <v>4.6378870000000003E-2</v>
      </c>
      <c r="Z6951">
        <v>-1.418757E-2</v>
      </c>
      <c r="AA6951">
        <v>0.99882320000000002</v>
      </c>
      <c r="AB6951">
        <v>26</v>
      </c>
      <c r="AC6951">
        <v>-0.114599999999995</v>
      </c>
      <c r="AD6951">
        <v>-1.1081205386549999</v>
      </c>
      <c r="AE6951">
        <v>77.647239999999996</v>
      </c>
      <c r="AF6951">
        <v>3.61178427266444</v>
      </c>
      <c r="AG6951">
        <v>-1.1081205386549999</v>
      </c>
      <c r="AH6951">
        <v>77.547449441957895</v>
      </c>
      <c r="AI6951">
        <v>90.817790554145006</v>
      </c>
      <c r="AJ6951">
        <v>87.333367418600503</v>
      </c>
      <c r="AK6951">
        <v>77.6394218919324</v>
      </c>
      <c r="AL6951">
        <v>91.913216865450295</v>
      </c>
      <c r="AM6951">
        <v>87.227610160218902</v>
      </c>
      <c r="AN6951">
        <v>1.0000000449214399</v>
      </c>
    </row>
    <row r="6952" spans="1:40" x14ac:dyDescent="0.25">
      <c r="A6952" t="str">
        <f>"20190312161154027"</f>
        <v>20190312161154027</v>
      </c>
      <c r="B6952" t="str">
        <f>"1552378314014533"</f>
        <v>1552378314014533</v>
      </c>
      <c r="C6952" t="s">
        <v>40</v>
      </c>
      <c r="D6952">
        <v>5.3065030000000002</v>
      </c>
      <c r="E6952">
        <v>0.49840220000000002</v>
      </c>
      <c r="F6952" t="s">
        <v>41</v>
      </c>
      <c r="G6952">
        <v>-186.88409999999999</v>
      </c>
      <c r="H6952" s="1">
        <v>-3.0468000000000002E-6</v>
      </c>
      <c r="I6952">
        <v>65.446569999999994</v>
      </c>
      <c r="J6952">
        <v>-186.77610000000001</v>
      </c>
      <c r="K6952">
        <v>1.108161</v>
      </c>
      <c r="L6952">
        <v>-20.554349999999999</v>
      </c>
      <c r="M6952">
        <v>-4.5192589999999998E-2</v>
      </c>
      <c r="N6952">
        <v>0</v>
      </c>
      <c r="O6952">
        <v>0.9989517</v>
      </c>
      <c r="P6952">
        <v>3.8646209999999999E-3</v>
      </c>
      <c r="Q6952">
        <v>-3.9105500000000001E-2</v>
      </c>
      <c r="R6952">
        <v>0.99922759999999999</v>
      </c>
      <c r="S6952">
        <v>-4.4708250000000003E-3</v>
      </c>
      <c r="T6952">
        <v>-3.8440700000000001E-2</v>
      </c>
      <c r="U6952">
        <v>3.0009160000000001</v>
      </c>
      <c r="V6952">
        <v>4.8940350000000001E-2</v>
      </c>
      <c r="W6952">
        <v>-3.1954980000000001E-2</v>
      </c>
      <c r="X6952">
        <v>0.99829040000000002</v>
      </c>
      <c r="Y6952">
        <v>4.3705569999999999E-2</v>
      </c>
      <c r="Z6952">
        <v>-1.278285E-2</v>
      </c>
      <c r="AA6952">
        <v>0.99896269999999998</v>
      </c>
      <c r="AB6952">
        <v>26</v>
      </c>
      <c r="AC6952">
        <v>-0.107999999999975</v>
      </c>
      <c r="AD6952">
        <v>-1.1081640468</v>
      </c>
      <c r="AE6952">
        <v>86.000919999999994</v>
      </c>
      <c r="AF6952">
        <v>3.77819060670164</v>
      </c>
      <c r="AG6952">
        <v>-1.1081640468</v>
      </c>
      <c r="AH6952">
        <v>85.903665445835898</v>
      </c>
      <c r="AI6952">
        <v>90.7383653511841</v>
      </c>
      <c r="AJ6952">
        <v>87.481656288292697</v>
      </c>
      <c r="AK6952">
        <v>85.993851459539101</v>
      </c>
      <c r="AL6952">
        <v>91.831197222991705</v>
      </c>
      <c r="AM6952">
        <v>87.193369456558898</v>
      </c>
      <c r="AN6952">
        <v>1.0000000006685399</v>
      </c>
    </row>
    <row r="6953" spans="1:40" x14ac:dyDescent="0.25">
      <c r="A6953" t="str">
        <f>"20190312161154048"</f>
        <v>20190312161154048</v>
      </c>
      <c r="B6953" t="str">
        <f>"1552378314043812"</f>
        <v>1552378314043812</v>
      </c>
      <c r="C6953" t="s">
        <v>40</v>
      </c>
      <c r="D6953">
        <v>5.3677650000000003</v>
      </c>
      <c r="E6953">
        <v>0.49798999999999999</v>
      </c>
      <c r="F6953" t="s">
        <v>41</v>
      </c>
      <c r="G6953">
        <v>-186.7045</v>
      </c>
      <c r="H6953" s="1">
        <v>-1.7644739999999999E-6</v>
      </c>
      <c r="I6953">
        <v>82.256389999999996</v>
      </c>
      <c r="J6953">
        <v>-186.78639999999999</v>
      </c>
      <c r="K6953">
        <v>1.1081840000000001</v>
      </c>
      <c r="L6953">
        <v>-20.293330000000001</v>
      </c>
      <c r="M6953">
        <v>-4.3796420000000003E-2</v>
      </c>
      <c r="N6953">
        <v>0</v>
      </c>
      <c r="O6953">
        <v>0.99901379999999995</v>
      </c>
      <c r="P6953">
        <v>4.9602530000000004E-3</v>
      </c>
      <c r="Q6953">
        <v>-3.7870479999999998E-2</v>
      </c>
      <c r="R6953">
        <v>0.99927029999999994</v>
      </c>
      <c r="S6953">
        <v>2.0904539999999998E-3</v>
      </c>
      <c r="T6953">
        <v>-3.23472E-2</v>
      </c>
      <c r="U6953">
        <v>3.0010379999999999</v>
      </c>
      <c r="V6953">
        <v>4.8646719999999997E-2</v>
      </c>
      <c r="W6953">
        <v>-3.0698909999999999E-2</v>
      </c>
      <c r="X6953">
        <v>0.99834420000000001</v>
      </c>
      <c r="Y6953">
        <v>4.4493449999999997E-2</v>
      </c>
      <c r="Z6953">
        <v>-1.07572E-2</v>
      </c>
      <c r="AA6953">
        <v>0.9989517</v>
      </c>
      <c r="AB6953">
        <v>26</v>
      </c>
      <c r="AC6953">
        <v>8.18999999999903E-2</v>
      </c>
      <c r="AD6953">
        <v>-1.1081857644740001</v>
      </c>
      <c r="AE6953">
        <v>102.54971999999999</v>
      </c>
      <c r="AF6953">
        <v>4.5727177327832598</v>
      </c>
      <c r="AG6953">
        <v>-1.1081857644740001</v>
      </c>
      <c r="AH6953">
        <v>102.435766756597</v>
      </c>
      <c r="AI6953">
        <v>90.619204902583704</v>
      </c>
      <c r="AJ6953">
        <v>87.444021612898695</v>
      </c>
      <c r="AK6953">
        <v>102.543766920103</v>
      </c>
      <c r="AL6953">
        <v>91.759194310098195</v>
      </c>
      <c r="AM6953">
        <v>87.210331966647303</v>
      </c>
      <c r="AN6953">
        <v>1.0000000340577899</v>
      </c>
    </row>
    <row r="6954" spans="1:40" x14ac:dyDescent="0.25">
      <c r="A6954" t="str">
        <f>"20190312161154071"</f>
        <v>20190312161154071</v>
      </c>
      <c r="B6954" t="str">
        <f>"1552378314064309"</f>
        <v>1552378314064309</v>
      </c>
      <c r="C6954" t="s">
        <v>40</v>
      </c>
      <c r="D6954">
        <v>5.4595699999999896</v>
      </c>
      <c r="E6954">
        <v>0.49798999999999999</v>
      </c>
      <c r="F6954" t="s">
        <v>41</v>
      </c>
      <c r="G6954">
        <v>-186.70779999999999</v>
      </c>
      <c r="H6954" s="1">
        <v>-4.0366350000000004E-6</v>
      </c>
      <c r="I6954">
        <v>97.680999999999997</v>
      </c>
      <c r="J6954">
        <v>-186.79640000000001</v>
      </c>
      <c r="K6954">
        <v>1.1082080000000001</v>
      </c>
      <c r="L6954">
        <v>-20.031980000000001</v>
      </c>
      <c r="M6954">
        <v>-4.2432259999999999E-2</v>
      </c>
      <c r="N6954">
        <v>0</v>
      </c>
      <c r="O6954">
        <v>0.99907259999999998</v>
      </c>
      <c r="P6954">
        <v>5.8188210000000001E-3</v>
      </c>
      <c r="Q6954">
        <v>-3.678522E-2</v>
      </c>
      <c r="R6954">
        <v>0.99930629999999998</v>
      </c>
      <c r="S6954">
        <v>1.998901E-3</v>
      </c>
      <c r="T6954">
        <v>-2.8190730000000001E-2</v>
      </c>
      <c r="U6954">
        <v>3.001099</v>
      </c>
      <c r="V6954">
        <v>4.8147370000000002E-2</v>
      </c>
      <c r="W6954">
        <v>-2.9591880000000001E-2</v>
      </c>
      <c r="X6954">
        <v>0.99840180000000001</v>
      </c>
      <c r="Y6954">
        <v>4.3098820000000003E-2</v>
      </c>
      <c r="Z6954">
        <v>-9.3760019999999996E-3</v>
      </c>
      <c r="AA6954">
        <v>0.99902679999999999</v>
      </c>
      <c r="AB6954">
        <v>26</v>
      </c>
      <c r="AC6954">
        <v>8.8600000000013696E-2</v>
      </c>
      <c r="AD6954">
        <v>-1.1082120366349999</v>
      </c>
      <c r="AE6954">
        <v>117.71298</v>
      </c>
      <c r="AF6954">
        <v>5.0830309201200201</v>
      </c>
      <c r="AG6954">
        <v>-1.1082120366349999</v>
      </c>
      <c r="AH6954">
        <v>117.59277344204099</v>
      </c>
      <c r="AI6954">
        <v>90.539444384268805</v>
      </c>
      <c r="AJ6954">
        <v>87.524890131469803</v>
      </c>
      <c r="AK6954">
        <v>117.707797970415</v>
      </c>
      <c r="AL6954">
        <v>91.695737377915606</v>
      </c>
      <c r="AM6954">
        <v>87.239081921720498</v>
      </c>
      <c r="AN6954">
        <v>1.00000000142154</v>
      </c>
    </row>
    <row r="6955" spans="1:40" x14ac:dyDescent="0.25">
      <c r="A6955" t="str">
        <f>"20190312161154092"</f>
        <v>20190312161154092</v>
      </c>
      <c r="B6955" t="str">
        <f>"1552378314083829"</f>
        <v>1552378314083829</v>
      </c>
      <c r="C6955" t="s">
        <v>40</v>
      </c>
      <c r="D6955">
        <v>5.2944639999999996</v>
      </c>
      <c r="E6955">
        <v>0.4889384</v>
      </c>
      <c r="F6955" t="s">
        <v>41</v>
      </c>
      <c r="G6955">
        <v>-186.5889</v>
      </c>
      <c r="H6955" s="1">
        <v>-2.1904600000000002E-6</v>
      </c>
      <c r="I6955">
        <v>113.3283</v>
      </c>
      <c r="J6955">
        <v>-186.80619999999999</v>
      </c>
      <c r="K6955">
        <v>1.1082419999999999</v>
      </c>
      <c r="L6955">
        <v>-19.76538</v>
      </c>
      <c r="M6955">
        <v>-4.1100159999999997E-2</v>
      </c>
      <c r="N6955">
        <v>0</v>
      </c>
      <c r="O6955">
        <v>0.99912809999999996</v>
      </c>
      <c r="P6955">
        <v>6.6257169999999997E-3</v>
      </c>
      <c r="Q6955">
        <v>-3.6212639999999997E-2</v>
      </c>
      <c r="R6955">
        <v>0.99932209999999999</v>
      </c>
      <c r="S6955">
        <v>4.6691889999999998E-3</v>
      </c>
      <c r="T6955">
        <v>-2.4939059999999999E-2</v>
      </c>
      <c r="U6955">
        <v>3.0011290000000002</v>
      </c>
      <c r="V6955">
        <v>4.7626799999999997E-2</v>
      </c>
      <c r="W6955">
        <v>-2.8996230000000001E-2</v>
      </c>
      <c r="X6955">
        <v>0.99844429999999995</v>
      </c>
      <c r="Y6955">
        <v>4.2655650000000003E-2</v>
      </c>
      <c r="Z6955">
        <v>-8.2952859999999903E-3</v>
      </c>
      <c r="AA6955">
        <v>0.99905540000000004</v>
      </c>
      <c r="AB6955">
        <v>26</v>
      </c>
      <c r="AC6955">
        <v>0.217299999999994</v>
      </c>
      <c r="AD6955">
        <v>-1.10824419046</v>
      </c>
      <c r="AE6955">
        <v>133.09368000000001</v>
      </c>
      <c r="AF6955">
        <v>5.6870408073599004</v>
      </c>
      <c r="AG6955">
        <v>-1.10824419046</v>
      </c>
      <c r="AH6955">
        <v>132.96306361981499</v>
      </c>
      <c r="AI6955">
        <v>90.477111798214594</v>
      </c>
      <c r="AJ6955">
        <v>87.550861533302694</v>
      </c>
      <c r="AK6955">
        <v>133.08924421416299</v>
      </c>
      <c r="AL6955">
        <v>91.661594401459595</v>
      </c>
      <c r="AM6955">
        <v>87.269003638600196</v>
      </c>
      <c r="AN6955">
        <v>1.0000000568174601</v>
      </c>
    </row>
    <row r="6956" spans="1:40" x14ac:dyDescent="0.25">
      <c r="A6956" t="str">
        <f>"20190312161154115"</f>
        <v>20190312161154115</v>
      </c>
      <c r="B6956" t="str">
        <f>"1552378314104324"</f>
        <v>1552378314104324</v>
      </c>
      <c r="C6956" t="s">
        <v>40</v>
      </c>
      <c r="D6956">
        <v>5.0851949999999997</v>
      </c>
      <c r="E6956">
        <v>0.49596289999999998</v>
      </c>
      <c r="F6956" t="s">
        <v>41</v>
      </c>
      <c r="G6956">
        <v>-187.24029999999999</v>
      </c>
      <c r="H6956" s="1">
        <v>-4.3200600000000001E-6</v>
      </c>
      <c r="I6956">
        <v>-1.438151</v>
      </c>
      <c r="J6956">
        <v>-186.81540000000001</v>
      </c>
      <c r="K6956">
        <v>1.108277</v>
      </c>
      <c r="L6956">
        <v>-19.50995</v>
      </c>
      <c r="M6956">
        <v>-3.9890399999999999E-2</v>
      </c>
      <c r="N6956">
        <v>0</v>
      </c>
      <c r="O6956">
        <v>0.99917699999999998</v>
      </c>
      <c r="P6956">
        <v>7.8470989999999997E-3</v>
      </c>
      <c r="Q6956">
        <v>-3.5897430000000001E-2</v>
      </c>
      <c r="R6956">
        <v>0.99932469999999995</v>
      </c>
      <c r="S6956">
        <v>-7.0953370000000002E-2</v>
      </c>
      <c r="T6956">
        <v>-0.1811644</v>
      </c>
      <c r="U6956">
        <v>2.9959410000000002</v>
      </c>
      <c r="V6956">
        <v>4.7641999999999997E-2</v>
      </c>
      <c r="W6956">
        <v>-2.8659359999999998E-2</v>
      </c>
      <c r="X6956">
        <v>0.99845329999999999</v>
      </c>
      <c r="Y6956">
        <v>1.6265700000000001E-2</v>
      </c>
      <c r="Z6956">
        <v>-6.0275290000000002E-2</v>
      </c>
      <c r="AA6956">
        <v>0.99804930000000003</v>
      </c>
      <c r="AB6956">
        <v>26</v>
      </c>
      <c r="AC6956">
        <v>-0.42489999999997902</v>
      </c>
      <c r="AD6956">
        <v>-1.1082813200599999</v>
      </c>
      <c r="AE6956">
        <v>18.071798999999999</v>
      </c>
      <c r="AF6956">
        <v>0.29523923100064597</v>
      </c>
      <c r="AG6956">
        <v>-1.1082813200599999</v>
      </c>
      <c r="AH6956">
        <v>18.0066793095557</v>
      </c>
      <c r="AI6956">
        <v>93.521545422498704</v>
      </c>
      <c r="AJ6956">
        <v>89.0606571047107</v>
      </c>
      <c r="AK6956">
        <v>18.043169163012902</v>
      </c>
      <c r="AL6956">
        <v>91.642285150023596</v>
      </c>
      <c r="AM6956">
        <v>87.268157954207993</v>
      </c>
      <c r="AN6956">
        <v>1.00000005568024</v>
      </c>
    </row>
    <row r="6957" spans="1:40" x14ac:dyDescent="0.25">
      <c r="A6957" t="str">
        <f>"20190312161154138"</f>
        <v>20190312161154138</v>
      </c>
      <c r="B6957" t="str">
        <f>"1552378314123846"</f>
        <v>1552378314123846</v>
      </c>
      <c r="C6957" t="s">
        <v>40</v>
      </c>
      <c r="D6957">
        <v>5.3874149999999998</v>
      </c>
      <c r="E6957">
        <v>0.49267660000000002</v>
      </c>
      <c r="F6957" t="s">
        <v>41</v>
      </c>
      <c r="G6957">
        <v>-186.90809999999999</v>
      </c>
      <c r="H6957" s="1">
        <v>-1.868776E-6</v>
      </c>
      <c r="I6957">
        <v>12.710470000000001</v>
      </c>
      <c r="J6957">
        <v>-186.82509999999999</v>
      </c>
      <c r="K6957">
        <v>1.108322</v>
      </c>
      <c r="L6957">
        <v>-19.233000000000001</v>
      </c>
      <c r="M6957">
        <v>-3.865358E-2</v>
      </c>
      <c r="N6957">
        <v>0</v>
      </c>
      <c r="O6957">
        <v>0.99922540000000004</v>
      </c>
      <c r="P6957">
        <v>9.3290639999999998E-3</v>
      </c>
      <c r="Q6957">
        <v>-3.5636760000000003E-2</v>
      </c>
      <c r="R6957">
        <v>0.99932129999999997</v>
      </c>
      <c r="S6957">
        <v>-8.6212159999999993E-3</v>
      </c>
      <c r="T6957">
        <v>-0.1031348</v>
      </c>
      <c r="U6957">
        <v>2.998383</v>
      </c>
      <c r="V6957">
        <v>4.7891019999999999E-2</v>
      </c>
      <c r="W6957">
        <v>-2.8374819999999999E-2</v>
      </c>
      <c r="X6957">
        <v>0.99844940000000004</v>
      </c>
      <c r="Y6957">
        <v>3.5783040000000002E-2</v>
      </c>
      <c r="Z6957">
        <v>-3.4326860000000001E-2</v>
      </c>
      <c r="AA6957">
        <v>0.99876989999999999</v>
      </c>
      <c r="AB6957">
        <v>26</v>
      </c>
      <c r="AC6957">
        <v>-8.2999999999998395E-2</v>
      </c>
      <c r="AD6957">
        <v>-1.108323868776</v>
      </c>
      <c r="AE6957">
        <v>31.943470000000001</v>
      </c>
      <c r="AF6957">
        <v>1.1504402150789199</v>
      </c>
      <c r="AG6957">
        <v>-1.108323868776</v>
      </c>
      <c r="AH6957">
        <v>31.884421235862899</v>
      </c>
      <c r="AI6957">
        <v>91.989544527775195</v>
      </c>
      <c r="AJ6957">
        <v>87.933574327623106</v>
      </c>
      <c r="AK6957">
        <v>31.9244140436832</v>
      </c>
      <c r="AL6957">
        <v>91.625975761183597</v>
      </c>
      <c r="AM6957">
        <v>87.253889977886203</v>
      </c>
      <c r="AN6957">
        <v>0.99999994228351397</v>
      </c>
    </row>
    <row r="6958" spans="1:40" x14ac:dyDescent="0.25">
      <c r="A6958" t="str">
        <f>"20190312161154161"</f>
        <v>20190312161154161</v>
      </c>
      <c r="B6958" t="str">
        <f>"1552378314154101"</f>
        <v>1552378314154101</v>
      </c>
      <c r="C6958" t="s">
        <v>40</v>
      </c>
      <c r="D6958">
        <v>5.428445</v>
      </c>
      <c r="E6958">
        <v>0.4920447</v>
      </c>
      <c r="F6958" t="s">
        <v>41</v>
      </c>
      <c r="G6958">
        <v>-187.8347</v>
      </c>
      <c r="H6958" s="1">
        <v>-7.1375709999999997E-7</v>
      </c>
      <c r="I6958">
        <v>90.05247</v>
      </c>
      <c r="J6958">
        <v>-186.8348</v>
      </c>
      <c r="K6958">
        <v>1.108385</v>
      </c>
      <c r="L6958">
        <v>-18.94876</v>
      </c>
      <c r="M6958">
        <v>-3.7463169999999997E-2</v>
      </c>
      <c r="N6958">
        <v>0</v>
      </c>
      <c r="O6958">
        <v>0.99927069999999996</v>
      </c>
      <c r="P6958">
        <v>1.0087189999999999E-2</v>
      </c>
      <c r="Q6958">
        <v>-3.4661869999999997E-2</v>
      </c>
      <c r="R6958">
        <v>0.99934820000000002</v>
      </c>
      <c r="S6958">
        <v>-2.7725219999999998E-2</v>
      </c>
      <c r="T6958">
        <v>-3.0436990000000001E-2</v>
      </c>
      <c r="U6958">
        <v>3.0012210000000001</v>
      </c>
      <c r="V6958">
        <v>4.7466040000000001E-2</v>
      </c>
      <c r="W6958">
        <v>-2.7372839999999999E-2</v>
      </c>
      <c r="X6958">
        <v>0.99849770000000004</v>
      </c>
      <c r="Y6958">
        <v>2.8231969999999999E-2</v>
      </c>
      <c r="Z6958">
        <v>-1.0128099999999999E-2</v>
      </c>
      <c r="AA6958">
        <v>0.9995501</v>
      </c>
      <c r="AB6958">
        <v>27</v>
      </c>
      <c r="AC6958">
        <v>-0.99989999999999601</v>
      </c>
      <c r="AD6958">
        <v>-1.1083857137571</v>
      </c>
      <c r="AE6958">
        <v>109.00123000000001</v>
      </c>
      <c r="AF6958">
        <v>3.0841261401922599</v>
      </c>
      <c r="AG6958">
        <v>-1.1083857137571</v>
      </c>
      <c r="AH6958">
        <v>108.950903854415</v>
      </c>
      <c r="AI6958">
        <v>90.582631298863902</v>
      </c>
      <c r="AJ6958">
        <v>88.378533556031002</v>
      </c>
      <c r="AK6958">
        <v>109.000182585319</v>
      </c>
      <c r="AL6958">
        <v>91.568544160588502</v>
      </c>
      <c r="AM6958">
        <v>87.278353330456497</v>
      </c>
      <c r="AN6958">
        <v>0.99999997711411803</v>
      </c>
    </row>
    <row r="6959" spans="1:40" x14ac:dyDescent="0.25">
      <c r="A6959" t="str">
        <f>"20190312161154202"</f>
        <v>20190312161154202</v>
      </c>
      <c r="B6959" t="str">
        <f>"1552378314194117"</f>
        <v>1552378314194117</v>
      </c>
      <c r="C6959" t="s">
        <v>40</v>
      </c>
      <c r="D6959">
        <v>5.470618</v>
      </c>
      <c r="E6959">
        <v>0.49227680000000001</v>
      </c>
      <c r="F6959" t="s">
        <v>41</v>
      </c>
      <c r="G6959">
        <v>-187.85120000000001</v>
      </c>
      <c r="H6959" s="1">
        <v>-9.3021119999999998E-7</v>
      </c>
      <c r="I6959">
        <v>80.701430000000002</v>
      </c>
      <c r="J6959">
        <v>-186.851</v>
      </c>
      <c r="K6959">
        <v>1.108481</v>
      </c>
      <c r="L6959">
        <v>-18.455349999999999</v>
      </c>
      <c r="M6959">
        <v>-3.5596750000000003E-2</v>
      </c>
      <c r="N6959">
        <v>0</v>
      </c>
      <c r="O6959">
        <v>0.99933870000000002</v>
      </c>
      <c r="P6959">
        <v>1.206027E-2</v>
      </c>
      <c r="Q6959">
        <v>-3.3857289999999998E-2</v>
      </c>
      <c r="R6959">
        <v>0.99935390000000002</v>
      </c>
      <c r="S6959">
        <v>-3.0609129999999998E-2</v>
      </c>
      <c r="T6959">
        <v>-3.3380510000000002E-2</v>
      </c>
      <c r="U6959">
        <v>3.001099</v>
      </c>
      <c r="V6959">
        <v>4.7580940000000002E-2</v>
      </c>
      <c r="W6959">
        <v>-2.6532500000000001E-2</v>
      </c>
      <c r="X6959">
        <v>0.99851500000000004</v>
      </c>
      <c r="Y6959">
        <v>2.540419E-2</v>
      </c>
      <c r="Z6959">
        <v>-1.110942E-2</v>
      </c>
      <c r="AA6959">
        <v>0.99961560000000005</v>
      </c>
      <c r="AB6959">
        <v>27</v>
      </c>
      <c r="AC6959">
        <v>-1.0002</v>
      </c>
      <c r="AD6959">
        <v>-1.1084819302111999</v>
      </c>
      <c r="AE6959">
        <v>99.156779999999998</v>
      </c>
      <c r="AF6959">
        <v>2.5298740339936199</v>
      </c>
      <c r="AG6959">
        <v>-1.1084819302111999</v>
      </c>
      <c r="AH6959">
        <v>99.117153679616607</v>
      </c>
      <c r="AI6959">
        <v>90.640535072209303</v>
      </c>
      <c r="AJ6959">
        <v>88.537895467615996</v>
      </c>
      <c r="AK6959">
        <v>99.155630946337098</v>
      </c>
      <c r="AL6959">
        <v>91.520378595156402</v>
      </c>
      <c r="AM6959">
        <v>87.271822239205505</v>
      </c>
      <c r="AN6959">
        <v>1.0000000623162599</v>
      </c>
    </row>
    <row r="6960" spans="1:40" x14ac:dyDescent="0.25">
      <c r="A6960" t="str">
        <f>"20190312161154225"</f>
        <v>20190312161154225</v>
      </c>
      <c r="B6960" t="str">
        <f>"1552378314213638"</f>
        <v>1552378314213638</v>
      </c>
      <c r="C6960" t="s">
        <v>40</v>
      </c>
      <c r="D6960">
        <v>5.4865810000000002</v>
      </c>
      <c r="E6960">
        <v>0.49196000000000001</v>
      </c>
      <c r="F6960" t="s">
        <v>41</v>
      </c>
      <c r="G6960">
        <v>-187.10149999999999</v>
      </c>
      <c r="H6960" s="1">
        <v>-1.0524329999999999E-6</v>
      </c>
      <c r="I6960">
        <v>10.474410000000001</v>
      </c>
      <c r="J6960">
        <v>-186.8595</v>
      </c>
      <c r="K6960">
        <v>1.108525</v>
      </c>
      <c r="L6960">
        <v>-18.191770000000002</v>
      </c>
      <c r="M6960">
        <v>-3.469034E-2</v>
      </c>
      <c r="N6960">
        <v>0</v>
      </c>
      <c r="O6960">
        <v>0.99937050000000005</v>
      </c>
      <c r="P6960">
        <v>1.2711419999999999E-2</v>
      </c>
      <c r="Q6960">
        <v>-3.3351649999999997E-2</v>
      </c>
      <c r="R6960">
        <v>0.9993628</v>
      </c>
      <c r="S6960">
        <v>-2.5955200000000001E-2</v>
      </c>
      <c r="T6960">
        <v>-0.1148858</v>
      </c>
      <c r="U6960">
        <v>2.9983520000000001</v>
      </c>
      <c r="V6960">
        <v>4.7329940000000001E-2</v>
      </c>
      <c r="W6960">
        <v>-2.6012270000000001E-2</v>
      </c>
      <c r="X6960">
        <v>0.9985406</v>
      </c>
      <c r="Y6960">
        <v>2.604538E-2</v>
      </c>
      <c r="Z6960">
        <v>-3.8246460000000003E-2</v>
      </c>
      <c r="AA6960">
        <v>0.99892879999999995</v>
      </c>
      <c r="AB6960">
        <v>27</v>
      </c>
      <c r="AC6960">
        <v>-0.24199999999999</v>
      </c>
      <c r="AD6960">
        <v>-1.1085260524330001</v>
      </c>
      <c r="AE6960">
        <v>28.666180000000001</v>
      </c>
      <c r="AF6960">
        <v>0.75148895308606301</v>
      </c>
      <c r="AG6960">
        <v>-1.1085260524330001</v>
      </c>
      <c r="AH6960">
        <v>28.614533815470001</v>
      </c>
      <c r="AI6960">
        <v>92.217763200355904</v>
      </c>
      <c r="AJ6960">
        <v>88.495615877163402</v>
      </c>
      <c r="AK6960">
        <v>28.645856788237499</v>
      </c>
      <c r="AL6960">
        <v>91.490561345892701</v>
      </c>
      <c r="AM6960">
        <v>87.286261880473901</v>
      </c>
      <c r="AN6960">
        <v>1.0000000456296501</v>
      </c>
    </row>
    <row r="6961" spans="1:40" x14ac:dyDescent="0.25">
      <c r="A6961" t="str">
        <f>"20190312161154273"</f>
        <v>20190312161154273</v>
      </c>
      <c r="B6961" t="str">
        <f>"1552378314264389"</f>
        <v>1552378314264389</v>
      </c>
      <c r="C6961" t="s">
        <v>40</v>
      </c>
      <c r="D6961">
        <v>5.4948189999999997</v>
      </c>
      <c r="E6961">
        <v>0.4920216</v>
      </c>
      <c r="F6961" t="s">
        <v>41</v>
      </c>
      <c r="G6961">
        <v>-187.1645</v>
      </c>
      <c r="H6961" s="1">
        <v>-3.7587570000000002E-6</v>
      </c>
      <c r="I6961">
        <v>17.222089999999898</v>
      </c>
      <c r="J6961">
        <v>-186.87719999999999</v>
      </c>
      <c r="K6961">
        <v>1.1086009999999999</v>
      </c>
      <c r="L6961">
        <v>-17.615690000000001</v>
      </c>
      <c r="M6961">
        <v>-3.2911780000000002E-2</v>
      </c>
      <c r="N6961">
        <v>0</v>
      </c>
      <c r="O6961">
        <v>0.9994305</v>
      </c>
      <c r="P6961">
        <v>1.406257E-2</v>
      </c>
      <c r="Q6961">
        <v>-3.2413020000000001E-2</v>
      </c>
      <c r="R6961">
        <v>0.99937560000000003</v>
      </c>
      <c r="S6961">
        <v>-2.5833129999999999E-2</v>
      </c>
      <c r="T6961">
        <v>-9.3878630000000005E-2</v>
      </c>
      <c r="U6961">
        <v>2.9991150000000002</v>
      </c>
      <c r="V6961">
        <v>4.6910100000000003E-2</v>
      </c>
      <c r="W6961">
        <v>-2.5044529999999999E-2</v>
      </c>
      <c r="X6961">
        <v>0.9985851</v>
      </c>
      <c r="Y6961">
        <v>2.4307079999999998E-2</v>
      </c>
      <c r="Z6961">
        <v>-3.125617E-2</v>
      </c>
      <c r="AA6961">
        <v>0.99921579999999999</v>
      </c>
      <c r="AB6961">
        <v>27</v>
      </c>
      <c r="AC6961">
        <v>-0.28730000000001599</v>
      </c>
      <c r="AD6961">
        <v>-1.108604758757</v>
      </c>
      <c r="AE6961">
        <v>34.837779999999903</v>
      </c>
      <c r="AF6961">
        <v>0.85859143483675004</v>
      </c>
      <c r="AG6961">
        <v>-1.108604758757</v>
      </c>
      <c r="AH6961">
        <v>34.793131457972798</v>
      </c>
      <c r="AI6961">
        <v>91.824428482612703</v>
      </c>
      <c r="AJ6961">
        <v>88.586396753267294</v>
      </c>
      <c r="AK6961">
        <v>34.821375337784801</v>
      </c>
      <c r="AL6961">
        <v>91.435095926410199</v>
      </c>
      <c r="AM6961">
        <v>87.310418258062597</v>
      </c>
      <c r="AN6961">
        <v>0.99999999395346995</v>
      </c>
    </row>
    <row r="6962" spans="1:40" x14ac:dyDescent="0.25">
      <c r="A6962" t="str">
        <f>"20190312161154293"</f>
        <v>20190312161154293</v>
      </c>
      <c r="B6962" t="str">
        <f>"1552378314283910"</f>
        <v>1552378314283910</v>
      </c>
      <c r="C6962" t="s">
        <v>40</v>
      </c>
      <c r="D6962">
        <v>5.4321099999999998</v>
      </c>
      <c r="E6962">
        <v>0.49205320000000002</v>
      </c>
      <c r="F6962" t="s">
        <v>41</v>
      </c>
      <c r="G6962">
        <v>-187.16929999999999</v>
      </c>
      <c r="H6962" s="1">
        <v>-2.6088720000000002E-6</v>
      </c>
      <c r="I6962">
        <v>24.543659999999999</v>
      </c>
      <c r="J6962">
        <v>-186.88499999999999</v>
      </c>
      <c r="K6962">
        <v>1.108627</v>
      </c>
      <c r="L6962">
        <v>-17.355439999999899</v>
      </c>
      <c r="M6962">
        <v>-3.217503E-2</v>
      </c>
      <c r="N6962">
        <v>0</v>
      </c>
      <c r="O6962">
        <v>0.99945439999999997</v>
      </c>
      <c r="P6962">
        <v>1.40327E-2</v>
      </c>
      <c r="Q6962">
        <v>-3.2612740000000001E-2</v>
      </c>
      <c r="R6962">
        <v>0.99936959999999997</v>
      </c>
      <c r="S6962">
        <v>-2.0782470000000001E-2</v>
      </c>
      <c r="T6962">
        <v>-7.8876260000000004E-2</v>
      </c>
      <c r="U6962">
        <v>2.999603</v>
      </c>
      <c r="V6962">
        <v>4.6145419999999999E-2</v>
      </c>
      <c r="W6962">
        <v>-2.523017E-2</v>
      </c>
      <c r="X6962">
        <v>0.99861599999999995</v>
      </c>
      <c r="Y6962">
        <v>2.525289E-2</v>
      </c>
      <c r="Z6962">
        <v>-2.626156E-2</v>
      </c>
      <c r="AA6962">
        <v>0.99933609999999995</v>
      </c>
      <c r="AB6962">
        <v>27</v>
      </c>
      <c r="AC6962">
        <v>-0.284300000000001</v>
      </c>
      <c r="AD6962">
        <v>-1.108629608872</v>
      </c>
      <c r="AE6962">
        <v>41.899099999999997</v>
      </c>
      <c r="AF6962">
        <v>1.06324518034315</v>
      </c>
      <c r="AG6962">
        <v>-1.108629608872</v>
      </c>
      <c r="AH6962">
        <v>41.857249989165801</v>
      </c>
      <c r="AI6962">
        <v>91.516690227609004</v>
      </c>
      <c r="AJ6962">
        <v>88.5449028824506</v>
      </c>
      <c r="AK6962">
        <v>41.885426183563098</v>
      </c>
      <c r="AL6962">
        <v>91.4457357574762</v>
      </c>
      <c r="AM6962">
        <v>87.354279978566396</v>
      </c>
      <c r="AN6962">
        <v>0.99999993836059997</v>
      </c>
    </row>
    <row r="6963" spans="1:40" x14ac:dyDescent="0.25">
      <c r="A6963" t="str">
        <f>"20190312161154316"</f>
        <v>20190312161154316</v>
      </c>
      <c r="B6963" t="str">
        <f>"1552378314304405"</f>
        <v>1552378314304405</v>
      </c>
      <c r="C6963" t="s">
        <v>40</v>
      </c>
      <c r="D6963">
        <v>5.5153150000000002</v>
      </c>
      <c r="E6963">
        <v>0.49223630000000002</v>
      </c>
      <c r="F6963" t="s">
        <v>41</v>
      </c>
      <c r="G6963">
        <v>-187.17509999999999</v>
      </c>
      <c r="H6963" s="1">
        <v>-2.7937340000000001E-6</v>
      </c>
      <c r="I6963">
        <v>24.976959999999998</v>
      </c>
      <c r="J6963">
        <v>-186.89279999999999</v>
      </c>
      <c r="K6963">
        <v>1.1086549999999999</v>
      </c>
      <c r="L6963">
        <v>-17.087340000000001</v>
      </c>
      <c r="M6963">
        <v>-3.1454450000000002E-2</v>
      </c>
      <c r="N6963">
        <v>0</v>
      </c>
      <c r="O6963">
        <v>0.99947730000000001</v>
      </c>
      <c r="P6963">
        <v>1.4112660000000001E-2</v>
      </c>
      <c r="Q6963">
        <v>-3.2609340000000001E-2</v>
      </c>
      <c r="R6963">
        <v>0.99936849999999999</v>
      </c>
      <c r="S6963">
        <v>-2.055359E-2</v>
      </c>
      <c r="T6963">
        <v>-7.8555700000000006E-2</v>
      </c>
      <c r="U6963">
        <v>2.999603</v>
      </c>
      <c r="V6963">
        <v>4.550705E-2</v>
      </c>
      <c r="W6963">
        <v>-2.5212020000000002E-2</v>
      </c>
      <c r="X6963">
        <v>0.99864580000000003</v>
      </c>
      <c r="Y6963">
        <v>2.4608390000000001E-2</v>
      </c>
      <c r="Z6963">
        <v>-2.6156019999999999E-2</v>
      </c>
      <c r="AA6963">
        <v>0.99935499999999999</v>
      </c>
      <c r="AB6963">
        <v>27</v>
      </c>
      <c r="AC6963">
        <v>-0.282299999999992</v>
      </c>
      <c r="AD6963">
        <v>-1.1086577937340001</v>
      </c>
      <c r="AE6963">
        <v>42.064300000000003</v>
      </c>
      <c r="AF6963">
        <v>1.04026340511293</v>
      </c>
      <c r="AG6963">
        <v>-1.1086577937340001</v>
      </c>
      <c r="AH6963">
        <v>42.023174494248302</v>
      </c>
      <c r="AI6963">
        <v>91.510767383119699</v>
      </c>
      <c r="AJ6963">
        <v>88.581960232265999</v>
      </c>
      <c r="AK6963">
        <v>42.050665448119403</v>
      </c>
      <c r="AL6963">
        <v>91.444695439695494</v>
      </c>
      <c r="AM6963">
        <v>87.390907357712194</v>
      </c>
      <c r="AN6963">
        <v>0.999999985704911</v>
      </c>
    </row>
    <row r="6964" spans="1:40" x14ac:dyDescent="0.25">
      <c r="A6964" t="str">
        <f>"20190312161154337"</f>
        <v>20190312161154337</v>
      </c>
      <c r="B6964" t="str">
        <f>"1552378314323930"</f>
        <v>1552378314323930</v>
      </c>
      <c r="C6964" t="s">
        <v>40</v>
      </c>
      <c r="D6964">
        <v>5.3867659999999997</v>
      </c>
      <c r="E6964">
        <v>0.4923941</v>
      </c>
      <c r="F6964" t="s">
        <v>41</v>
      </c>
      <c r="G6964">
        <v>-187.16220000000001</v>
      </c>
      <c r="H6964" s="1">
        <v>-3.217834E-6</v>
      </c>
      <c r="I6964">
        <v>25.96022</v>
      </c>
      <c r="J6964">
        <v>-186.90029999999999</v>
      </c>
      <c r="K6964">
        <v>1.108681</v>
      </c>
      <c r="L6964">
        <v>-16.827300000000001</v>
      </c>
      <c r="M6964">
        <v>-3.0796899999999999E-2</v>
      </c>
      <c r="N6964">
        <v>0</v>
      </c>
      <c r="O6964">
        <v>0.99949770000000004</v>
      </c>
      <c r="P6964">
        <v>1.475016E-2</v>
      </c>
      <c r="Q6964">
        <v>-3.2491899999999997E-2</v>
      </c>
      <c r="R6964">
        <v>0.99936309999999995</v>
      </c>
      <c r="S6964">
        <v>-1.876831E-2</v>
      </c>
      <c r="T6964">
        <v>-7.7253340000000004E-2</v>
      </c>
      <c r="U6964">
        <v>2.9996339999999999</v>
      </c>
      <c r="V6964">
        <v>4.5488979999999998E-2</v>
      </c>
      <c r="W6964">
        <v>-2.508024E-2</v>
      </c>
      <c r="X6964">
        <v>0.99865000000000004</v>
      </c>
      <c r="Y6964">
        <v>2.4545460000000002E-2</v>
      </c>
      <c r="Z6964">
        <v>-2.5723269999999999E-2</v>
      </c>
      <c r="AA6964">
        <v>0.99936769999999997</v>
      </c>
      <c r="AB6964">
        <v>27</v>
      </c>
      <c r="AC6964">
        <v>-0.261900000000025</v>
      </c>
      <c r="AD6964">
        <v>-1.108684217834</v>
      </c>
      <c r="AE6964">
        <v>42.787520000000001</v>
      </c>
      <c r="AF6964">
        <v>1.0552755557781599</v>
      </c>
      <c r="AG6964">
        <v>-1.108684217834</v>
      </c>
      <c r="AH6964">
        <v>42.746590097709898</v>
      </c>
      <c r="AI6964">
        <v>91.485249552230002</v>
      </c>
      <c r="AJ6964">
        <v>88.585839077269497</v>
      </c>
      <c r="AK6964">
        <v>42.773984525352901</v>
      </c>
      <c r="AL6964">
        <v>91.437142529480596</v>
      </c>
      <c r="AM6964">
        <v>87.391952902418197</v>
      </c>
      <c r="AN6964">
        <v>1.0000000441199399</v>
      </c>
    </row>
    <row r="6965" spans="1:40" x14ac:dyDescent="0.25">
      <c r="A6965" t="str">
        <f>"20190312161154363"</f>
        <v>20190312161154363</v>
      </c>
      <c r="B6965" t="str">
        <f>"1552378314354180"</f>
        <v>1552378314354180</v>
      </c>
      <c r="C6965" t="s">
        <v>40</v>
      </c>
      <c r="D6965">
        <v>5.4698710000000004</v>
      </c>
      <c r="E6965">
        <v>0.49232749999999997</v>
      </c>
      <c r="F6965" t="s">
        <v>41</v>
      </c>
      <c r="G6965">
        <v>-187.12549999999999</v>
      </c>
      <c r="H6965" s="1">
        <v>-3.204318E-6</v>
      </c>
      <c r="I6965">
        <v>25.91357</v>
      </c>
      <c r="J6965">
        <v>-186.90940000000001</v>
      </c>
      <c r="K6965">
        <v>1.108717</v>
      </c>
      <c r="L6965">
        <v>-16.507349999999999</v>
      </c>
      <c r="M6965">
        <v>-3.0036650000000002E-2</v>
      </c>
      <c r="N6965">
        <v>0</v>
      </c>
      <c r="O6965">
        <v>0.99952070000000004</v>
      </c>
      <c r="P6965">
        <v>1.5355799999999999E-2</v>
      </c>
      <c r="Q6965">
        <v>-3.2196870000000002E-2</v>
      </c>
      <c r="R6965">
        <v>0.99936360000000002</v>
      </c>
      <c r="S6965">
        <v>-1.580811E-2</v>
      </c>
      <c r="T6965">
        <v>-7.7808740000000001E-2</v>
      </c>
      <c r="U6965">
        <v>2.999603</v>
      </c>
      <c r="V6965">
        <v>4.5337309999999999E-2</v>
      </c>
      <c r="W6965">
        <v>-2.4766079999999999E-2</v>
      </c>
      <c r="X6965">
        <v>0.99866469999999896</v>
      </c>
      <c r="Y6965">
        <v>2.4771230000000002E-2</v>
      </c>
      <c r="Z6965">
        <v>-2.5909250000000002E-2</v>
      </c>
      <c r="AA6965">
        <v>0.9993573</v>
      </c>
      <c r="AB6965">
        <v>27</v>
      </c>
      <c r="AC6965">
        <v>-0.216099999999983</v>
      </c>
      <c r="AD6965">
        <v>-1.108720204318</v>
      </c>
      <c r="AE6965">
        <v>42.420920000000002</v>
      </c>
      <c r="AF6965">
        <v>1.05749326978408</v>
      </c>
      <c r="AG6965">
        <v>-1.108720204318</v>
      </c>
      <c r="AH6965">
        <v>42.37932109674</v>
      </c>
      <c r="AI6965">
        <v>91.498153942161593</v>
      </c>
      <c r="AJ6965">
        <v>88.570592241154102</v>
      </c>
      <c r="AK6965">
        <v>42.407008962289403</v>
      </c>
      <c r="AL6965">
        <v>91.4191369481142</v>
      </c>
      <c r="AM6965">
        <v>87.400674952357207</v>
      </c>
      <c r="AN6965">
        <v>1.0000000067113399</v>
      </c>
    </row>
    <row r="6966" spans="1:40" x14ac:dyDescent="0.25">
      <c r="A6966" t="str">
        <f>"20190312161154386"</f>
        <v>20190312161154386</v>
      </c>
      <c r="B6966" t="str">
        <f>"1552378314373701"</f>
        <v>1552378314373701</v>
      </c>
      <c r="C6966" t="s">
        <v>40</v>
      </c>
      <c r="D6966">
        <v>5.5593709999999996</v>
      </c>
      <c r="E6966">
        <v>0.49233189999999999</v>
      </c>
      <c r="F6966" t="s">
        <v>41</v>
      </c>
      <c r="G6966">
        <v>-187.11500000000001</v>
      </c>
      <c r="H6966" s="1">
        <v>-3.223004E-6</v>
      </c>
      <c r="I6966">
        <v>25.952760000000001</v>
      </c>
      <c r="J6966">
        <v>-186.91679999999999</v>
      </c>
      <c r="K6966">
        <v>1.108746</v>
      </c>
      <c r="L6966">
        <v>-16.236719999999998</v>
      </c>
      <c r="M6966">
        <v>-2.9433000000000001E-2</v>
      </c>
      <c r="N6966">
        <v>0</v>
      </c>
      <c r="O6966">
        <v>0.9995385</v>
      </c>
      <c r="P6966">
        <v>1.5873780000000001E-2</v>
      </c>
      <c r="Q6966">
        <v>-3.2600839999999999E-2</v>
      </c>
      <c r="R6966">
        <v>0.99934239999999996</v>
      </c>
      <c r="S6966">
        <v>-1.452637E-2</v>
      </c>
      <c r="T6966">
        <v>-7.832575E-2</v>
      </c>
      <c r="U6966">
        <v>2.999603</v>
      </c>
      <c r="V6966">
        <v>4.5252559999999997E-2</v>
      </c>
      <c r="W6966">
        <v>-2.5153269999999998E-2</v>
      </c>
      <c r="X6966">
        <v>0.99865879999999996</v>
      </c>
      <c r="Y6966">
        <v>2.4594520000000002E-2</v>
      </c>
      <c r="Z6966">
        <v>-2.6082080000000001E-2</v>
      </c>
      <c r="AA6966">
        <v>0.99935719999999995</v>
      </c>
      <c r="AB6966">
        <v>27</v>
      </c>
      <c r="AC6966">
        <v>-0.198200000000014</v>
      </c>
      <c r="AD6966">
        <v>-1.1087492230039999</v>
      </c>
      <c r="AE6966">
        <v>42.189479999999897</v>
      </c>
      <c r="AF6966">
        <v>1.0429636036688099</v>
      </c>
      <c r="AG6966">
        <v>-1.1087492230039999</v>
      </c>
      <c r="AH6966">
        <v>42.147925546276902</v>
      </c>
      <c r="AI6966">
        <v>91.506422326442504</v>
      </c>
      <c r="AJ6966">
        <v>88.582487292429306</v>
      </c>
      <c r="AK6966">
        <v>42.175404275152999</v>
      </c>
      <c r="AL6966">
        <v>91.441328310644295</v>
      </c>
      <c r="AM6966">
        <v>87.405511973481097</v>
      </c>
      <c r="AN6966">
        <v>0.99999993999784098</v>
      </c>
    </row>
    <row r="6967" spans="1:40" x14ac:dyDescent="0.25">
      <c r="A6967" t="str">
        <f>"20190312161154408"</f>
        <v>20190312161154408</v>
      </c>
      <c r="B6967" t="str">
        <f>"1552378314403958"</f>
        <v>1552378314403958</v>
      </c>
      <c r="C6967" t="s">
        <v>40</v>
      </c>
      <c r="D6967">
        <v>5.5219170000000002</v>
      </c>
      <c r="E6967">
        <v>0.49255919999999997</v>
      </c>
      <c r="F6967" t="s">
        <v>41</v>
      </c>
      <c r="G6967">
        <v>-187.09630000000001</v>
      </c>
      <c r="H6967" s="1">
        <v>-2.974645E-6</v>
      </c>
      <c r="I6967">
        <v>25.366109999999999</v>
      </c>
      <c r="J6967">
        <v>-186.92449999999999</v>
      </c>
      <c r="K6967">
        <v>1.1087629999999999</v>
      </c>
      <c r="L6967">
        <v>-15.95438</v>
      </c>
      <c r="M6967">
        <v>-2.8835079999999999E-2</v>
      </c>
      <c r="N6967">
        <v>0</v>
      </c>
      <c r="O6967">
        <v>0.99955579999999999</v>
      </c>
      <c r="P6967">
        <v>1.6046499999999998E-2</v>
      </c>
      <c r="Q6967">
        <v>-3.2074129999999999E-2</v>
      </c>
      <c r="R6967">
        <v>0.99935669999999999</v>
      </c>
      <c r="S6967">
        <v>-1.293945E-2</v>
      </c>
      <c r="T6967">
        <v>-7.9941029999999996E-2</v>
      </c>
      <c r="U6967">
        <v>2.9995729999999998</v>
      </c>
      <c r="V6967">
        <v>4.4830299999999997E-2</v>
      </c>
      <c r="W6967">
        <v>-2.4608029999999999E-2</v>
      </c>
      <c r="X6967">
        <v>0.99869149999999995</v>
      </c>
      <c r="Y6967">
        <v>2.4525229999999999E-2</v>
      </c>
      <c r="Z6967">
        <v>-2.6620609999999999E-2</v>
      </c>
      <c r="AA6967">
        <v>0.99934469999999997</v>
      </c>
      <c r="AB6967">
        <v>27</v>
      </c>
      <c r="AC6967">
        <v>-0.17180000000001799</v>
      </c>
      <c r="AD6967">
        <v>-1.108765974645</v>
      </c>
      <c r="AE6967">
        <v>41.320489999999999</v>
      </c>
      <c r="AF6967">
        <v>1.0190511487098199</v>
      </c>
      <c r="AG6967">
        <v>-1.108765974645</v>
      </c>
      <c r="AH6967">
        <v>41.278540100060901</v>
      </c>
      <c r="AI6967">
        <v>91.538160098950399</v>
      </c>
      <c r="AJ6967">
        <v>88.585815472294101</v>
      </c>
      <c r="AK6967">
        <v>41.306000774978898</v>
      </c>
      <c r="AL6967">
        <v>91.410078582649504</v>
      </c>
      <c r="AM6967">
        <v>87.429773047099403</v>
      </c>
      <c r="AN6967">
        <v>1.00000001155541</v>
      </c>
    </row>
    <row r="6968" spans="1:40" x14ac:dyDescent="0.25">
      <c r="A6968" t="str">
        <f>"20190312161155141"</f>
        <v>20190312161155141</v>
      </c>
      <c r="B6968" t="str">
        <f>"1552378315133870"</f>
        <v>1552378315133870</v>
      </c>
      <c r="C6968" t="s">
        <v>40</v>
      </c>
      <c r="D6968">
        <v>5.7337819999999997</v>
      </c>
      <c r="E6968">
        <v>0.48891430000000002</v>
      </c>
      <c r="F6968" t="s">
        <v>41</v>
      </c>
      <c r="G6968">
        <v>-187.0652</v>
      </c>
      <c r="H6968" s="1">
        <v>-2.0166739999999998E-6</v>
      </c>
      <c r="I6968">
        <v>23.12021</v>
      </c>
      <c r="J6968">
        <v>-187.16139999999999</v>
      </c>
      <c r="K6968">
        <v>1.1093459999999999</v>
      </c>
      <c r="L6968">
        <v>-6.4907529999999998</v>
      </c>
      <c r="M6968">
        <v>-2.6520729999999999E-2</v>
      </c>
      <c r="N6968">
        <v>0</v>
      </c>
      <c r="O6968">
        <v>0.99961560000000005</v>
      </c>
      <c r="P6968">
        <v>1.6613180000000002E-2</v>
      </c>
      <c r="Q6968">
        <v>-3.1903729999999998E-2</v>
      </c>
      <c r="R6968">
        <v>0.99935289999999999</v>
      </c>
      <c r="S6968">
        <v>-1.0803220000000001E-2</v>
      </c>
      <c r="T6968">
        <v>-8.5108639999999999E-2</v>
      </c>
      <c r="U6968">
        <v>2.9993590000000001</v>
      </c>
      <c r="V6968">
        <v>4.3118389999999999E-2</v>
      </c>
      <c r="W6968">
        <v>-2.38202E-2</v>
      </c>
      <c r="X6968">
        <v>0.99878599999999995</v>
      </c>
      <c r="Y6968">
        <v>2.2922310000000001E-2</v>
      </c>
      <c r="Z6968">
        <v>-2.8345410000000001E-2</v>
      </c>
      <c r="AA6968">
        <v>0.99933530000000004</v>
      </c>
      <c r="AB6968">
        <v>30</v>
      </c>
      <c r="AC6968">
        <v>9.61999999999818E-2</v>
      </c>
      <c r="AD6968">
        <v>-1.109348016674</v>
      </c>
      <c r="AE6968">
        <v>29.610963000000002</v>
      </c>
      <c r="AF6968">
        <v>0.88026067374993899</v>
      </c>
      <c r="AG6968">
        <v>-1.109348016674</v>
      </c>
      <c r="AH6968">
        <v>29.556511828622401</v>
      </c>
      <c r="AI6968">
        <v>92.148528474307</v>
      </c>
      <c r="AJ6968">
        <v>88.294104597324093</v>
      </c>
      <c r="AK6968">
        <v>29.590419114154901</v>
      </c>
      <c r="AL6968">
        <v>91.364925976202102</v>
      </c>
      <c r="AM6968">
        <v>87.528030321263799</v>
      </c>
      <c r="AN6968">
        <v>1.00000003564011</v>
      </c>
    </row>
    <row r="6969" spans="1:40" x14ac:dyDescent="0.25">
      <c r="A6969" t="str">
        <f>"20190312161155163"</f>
        <v>20190312161155163</v>
      </c>
      <c r="B6969" t="str">
        <f>"1552378315154367"</f>
        <v>1552378315154367</v>
      </c>
      <c r="C6969" t="s">
        <v>40</v>
      </c>
      <c r="D6969">
        <v>5.729406</v>
      </c>
      <c r="E6969">
        <v>0.48559550000000001</v>
      </c>
      <c r="F6969" t="s">
        <v>41</v>
      </c>
      <c r="G6969">
        <v>-187.78190000000001</v>
      </c>
      <c r="H6969" s="1">
        <v>-1.755464E-6</v>
      </c>
      <c r="I6969">
        <v>42.807650000000002</v>
      </c>
      <c r="J6969">
        <v>-187.16929999999999</v>
      </c>
      <c r="K6969">
        <v>1.109348</v>
      </c>
      <c r="L6969">
        <v>-6.2003170000000001</v>
      </c>
      <c r="M6969">
        <v>-2.6675589999999999E-2</v>
      </c>
      <c r="N6969">
        <v>0</v>
      </c>
      <c r="O6969">
        <v>0.99961140000000004</v>
      </c>
      <c r="P6969">
        <v>1.7195419999999999E-2</v>
      </c>
      <c r="Q6969">
        <v>-3.2019470000000001E-2</v>
      </c>
      <c r="R6969">
        <v>0.99933930000000004</v>
      </c>
      <c r="S6969">
        <v>-3.77655E-2</v>
      </c>
      <c r="T6969">
        <v>-6.7517759999999996E-2</v>
      </c>
      <c r="U6969">
        <v>3.0004270000000002</v>
      </c>
      <c r="V6969">
        <v>4.3854850000000001E-2</v>
      </c>
      <c r="W6969">
        <v>-2.392874E-2</v>
      </c>
      <c r="X6969">
        <v>0.99875130000000001</v>
      </c>
      <c r="Y6969">
        <v>1.4096300000000001E-2</v>
      </c>
      <c r="Z6969">
        <v>-2.2483010000000001E-2</v>
      </c>
      <c r="AA6969">
        <v>0.99964790000000003</v>
      </c>
      <c r="AB6969">
        <v>30</v>
      </c>
      <c r="AC6969">
        <v>-0.61260000000001402</v>
      </c>
      <c r="AD6969">
        <v>-1.1093497554639999</v>
      </c>
      <c r="AE6969">
        <v>49.007967000000001</v>
      </c>
      <c r="AF6969">
        <v>0.69462137454705097</v>
      </c>
      <c r="AG6969">
        <v>-1.1093497554639999</v>
      </c>
      <c r="AH6969">
        <v>48.981774016201499</v>
      </c>
      <c r="AI6969">
        <v>91.297294939975302</v>
      </c>
      <c r="AJ6969">
        <v>89.187530335561803</v>
      </c>
      <c r="AK6969">
        <v>48.9992585812087</v>
      </c>
      <c r="AL6969">
        <v>91.371146687557598</v>
      </c>
      <c r="AM6969">
        <v>87.485775683720703</v>
      </c>
      <c r="AN6969">
        <v>0.99999999585910004</v>
      </c>
    </row>
    <row r="6970" spans="1:40" x14ac:dyDescent="0.25">
      <c r="A6970" t="str">
        <f>"20190312161155186"</f>
        <v>20190312161155186</v>
      </c>
      <c r="B6970" t="str">
        <f>"1552378315183647"</f>
        <v>1552378315183647</v>
      </c>
      <c r="C6970" t="s">
        <v>40</v>
      </c>
      <c r="D6970">
        <v>5.6695180000000001</v>
      </c>
      <c r="E6970">
        <v>0.48262880000000002</v>
      </c>
      <c r="F6970" t="s">
        <v>41</v>
      </c>
      <c r="G6970">
        <v>-188.51820000000001</v>
      </c>
      <c r="H6970" s="1">
        <v>-4.3059170000000004E-6</v>
      </c>
      <c r="I6970">
        <v>59.057270000000003</v>
      </c>
      <c r="J6970">
        <v>-187.17789999999999</v>
      </c>
      <c r="K6970">
        <v>1.109348</v>
      </c>
      <c r="L6970">
        <v>-5.8840640000000004</v>
      </c>
      <c r="M6970">
        <v>-2.6844340000000001E-2</v>
      </c>
      <c r="N6970">
        <v>0</v>
      </c>
      <c r="O6970">
        <v>0.99960680000000002</v>
      </c>
      <c r="P6970">
        <v>1.771443E-2</v>
      </c>
      <c r="Q6970">
        <v>-3.1809320000000002E-2</v>
      </c>
      <c r="R6970">
        <v>0.99933700000000003</v>
      </c>
      <c r="S6970">
        <v>-6.2042239999999999E-2</v>
      </c>
      <c r="T6970">
        <v>-5.1022650000000003E-2</v>
      </c>
      <c r="U6970">
        <v>3.001404</v>
      </c>
      <c r="V6970">
        <v>4.4542150000000003E-2</v>
      </c>
      <c r="W6970">
        <v>-2.3709649999999999E-2</v>
      </c>
      <c r="X6970">
        <v>0.99872609999999995</v>
      </c>
      <c r="Y6970">
        <v>6.183259E-3</v>
      </c>
      <c r="Z6970">
        <v>-1.6985980000000001E-2</v>
      </c>
      <c r="AA6970">
        <v>0.99983659999999996</v>
      </c>
      <c r="AB6970">
        <v>30</v>
      </c>
      <c r="AC6970">
        <v>-1.34030000000001</v>
      </c>
      <c r="AD6970">
        <v>-1.1093523059170001</v>
      </c>
      <c r="AE6970">
        <v>64.941333999999998</v>
      </c>
      <c r="AF6970">
        <v>0.40342982413557199</v>
      </c>
      <c r="AG6970">
        <v>-1.1093523059170001</v>
      </c>
      <c r="AH6970">
        <v>64.934969481488693</v>
      </c>
      <c r="AI6970">
        <v>90.978729899152</v>
      </c>
      <c r="AJ6970">
        <v>89.644035732375798</v>
      </c>
      <c r="AK6970">
        <v>64.9456979308369</v>
      </c>
      <c r="AL6970">
        <v>91.358590205063607</v>
      </c>
      <c r="AM6970">
        <v>87.446359780480293</v>
      </c>
      <c r="AN6970">
        <v>0.99999998672547696</v>
      </c>
    </row>
    <row r="6971" spans="1:40" x14ac:dyDescent="0.25">
      <c r="A6971" t="str">
        <f>"20190312161155209"</f>
        <v>20190312161155209</v>
      </c>
      <c r="B6971" t="str">
        <f>"1552378315204144"</f>
        <v>1552378315204144</v>
      </c>
      <c r="C6971" t="s">
        <v>40</v>
      </c>
      <c r="D6971">
        <v>5.8408910000000001</v>
      </c>
      <c r="E6971">
        <v>0.48145009999999999</v>
      </c>
      <c r="F6971" t="s">
        <v>41</v>
      </c>
      <c r="G6971">
        <v>-190.3826</v>
      </c>
      <c r="H6971" s="1">
        <v>-4.2218440000000003E-6</v>
      </c>
      <c r="I6971">
        <v>109.1934</v>
      </c>
      <c r="J6971">
        <v>-187.1866</v>
      </c>
      <c r="K6971">
        <v>1.109345</v>
      </c>
      <c r="L6971">
        <v>-5.5634769999999998</v>
      </c>
      <c r="M6971">
        <v>-2.7015560000000001E-2</v>
      </c>
      <c r="N6971">
        <v>0</v>
      </c>
      <c r="O6971">
        <v>0.99960210000000005</v>
      </c>
      <c r="P6971">
        <v>1.8476269999999999E-2</v>
      </c>
      <c r="Q6971">
        <v>-3.192934E-2</v>
      </c>
      <c r="R6971">
        <v>0.99931930000000002</v>
      </c>
      <c r="S6971">
        <v>-8.3618159999999997E-2</v>
      </c>
      <c r="T6971">
        <v>-2.8944850000000001E-2</v>
      </c>
      <c r="U6971">
        <v>3.0025629999999999</v>
      </c>
      <c r="V6971">
        <v>4.5474319999999999E-2</v>
      </c>
      <c r="W6971">
        <v>-2.3819480000000001E-2</v>
      </c>
      <c r="X6971">
        <v>0.9986815</v>
      </c>
      <c r="Y6971">
        <v>-8.2070359999999998E-4</v>
      </c>
      <c r="Z6971">
        <v>-9.6324510000000002E-3</v>
      </c>
      <c r="AA6971">
        <v>0.99995330000000004</v>
      </c>
      <c r="AB6971">
        <v>30</v>
      </c>
      <c r="AC6971">
        <v>-3.19599999999999</v>
      </c>
      <c r="AD6971">
        <v>-1.109349221844</v>
      </c>
      <c r="AE6971">
        <v>114.756877</v>
      </c>
      <c r="AF6971">
        <v>-9.4501300786084194E-2</v>
      </c>
      <c r="AG6971">
        <v>-1.109349221844</v>
      </c>
      <c r="AH6971">
        <v>114.79061519832101</v>
      </c>
      <c r="AI6971">
        <v>90.553695335811398</v>
      </c>
      <c r="AJ6971">
        <v>90.047168703303598</v>
      </c>
      <c r="AK6971">
        <v>114.796014407299</v>
      </c>
      <c r="AL6971">
        <v>91.364884746639603</v>
      </c>
      <c r="AM6971">
        <v>87.392874375061197</v>
      </c>
      <c r="AN6971">
        <v>1.00000000992459</v>
      </c>
    </row>
    <row r="6972" spans="1:40" x14ac:dyDescent="0.25">
      <c r="A6972" t="str">
        <f>"20190312161155234"</f>
        <v>20190312161155234</v>
      </c>
      <c r="B6972" t="str">
        <f>"1552378315223662"</f>
        <v>1552378315223662</v>
      </c>
      <c r="C6972" t="s">
        <v>40</v>
      </c>
      <c r="D6972">
        <v>5.8247920000000004</v>
      </c>
      <c r="E6972">
        <v>0.48046660000000002</v>
      </c>
      <c r="F6972" t="s">
        <v>87</v>
      </c>
      <c r="G6972">
        <v>-191.60140000000001</v>
      </c>
      <c r="H6972" s="1">
        <v>-8.6620809999999993E-6</v>
      </c>
      <c r="I6972">
        <v>140.87909999999999</v>
      </c>
      <c r="J6972">
        <v>-187.19569999999999</v>
      </c>
      <c r="K6972">
        <v>1.109343</v>
      </c>
      <c r="L6972">
        <v>-5.2355960000000001</v>
      </c>
      <c r="M6972">
        <v>-2.7190450000000001E-2</v>
      </c>
      <c r="N6972">
        <v>0</v>
      </c>
      <c r="O6972">
        <v>0.99959730000000002</v>
      </c>
      <c r="P6972">
        <v>1.9313230000000001E-2</v>
      </c>
      <c r="Q6972">
        <v>-3.202762E-2</v>
      </c>
      <c r="R6972">
        <v>0.99930039999999998</v>
      </c>
      <c r="S6972">
        <v>-9.0530399999999997E-2</v>
      </c>
      <c r="T6972">
        <v>-2.2748709999999998E-2</v>
      </c>
      <c r="U6972">
        <v>3.0029910000000002</v>
      </c>
      <c r="V6972">
        <v>4.6485209999999999E-2</v>
      </c>
      <c r="W6972">
        <v>-2.390596E-2</v>
      </c>
      <c r="X6972">
        <v>0.99863290000000005</v>
      </c>
      <c r="Y6972">
        <v>-2.9420480000000001E-3</v>
      </c>
      <c r="Z6972">
        <v>-7.5691980000000001E-3</v>
      </c>
      <c r="AA6972">
        <v>0.99996700000000005</v>
      </c>
      <c r="AB6972">
        <v>30</v>
      </c>
      <c r="AC6972">
        <v>-4.4057000000000199</v>
      </c>
      <c r="AD6972">
        <v>-1.109351662081</v>
      </c>
      <c r="AE6972">
        <v>146.11469599999899</v>
      </c>
      <c r="AF6972">
        <v>-0.43099087340299203</v>
      </c>
      <c r="AG6972">
        <v>-1.109351662081</v>
      </c>
      <c r="AH6972">
        <v>146.172048343445</v>
      </c>
      <c r="AI6972">
        <v>90.434827809979893</v>
      </c>
      <c r="AJ6972">
        <v>90.168937131098502</v>
      </c>
      <c r="AK6972">
        <v>146.17689328741901</v>
      </c>
      <c r="AL6972">
        <v>91.369841084081997</v>
      </c>
      <c r="AM6972">
        <v>87.334871348081293</v>
      </c>
      <c r="AN6972">
        <v>1.00000001931733</v>
      </c>
    </row>
    <row r="6973" spans="1:40" x14ac:dyDescent="0.25">
      <c r="A6973" t="str">
        <f>"20190312161155253"</f>
        <v>20190312161155253</v>
      </c>
      <c r="B6973" t="str">
        <f>"1552378315244158"</f>
        <v>1552378315244158</v>
      </c>
      <c r="C6973" t="s">
        <v>40</v>
      </c>
      <c r="D6973">
        <v>5.6600519999999896</v>
      </c>
      <c r="E6973">
        <v>0.47938710000000001</v>
      </c>
      <c r="F6973" t="s">
        <v>41</v>
      </c>
      <c r="G6973">
        <v>-193.06379999999999</v>
      </c>
      <c r="H6973" s="1">
        <v>-4.6340330000000003E-6</v>
      </c>
      <c r="I6973">
        <v>179.00710000000001</v>
      </c>
      <c r="J6973">
        <v>-187.20320000000001</v>
      </c>
      <c r="K6973">
        <v>1.1093459999999999</v>
      </c>
      <c r="L6973">
        <v>-4.9639280000000001</v>
      </c>
      <c r="M6973">
        <v>-2.733536E-2</v>
      </c>
      <c r="N6973">
        <v>0</v>
      </c>
      <c r="O6973">
        <v>0.99959330000000002</v>
      </c>
      <c r="P6973">
        <v>1.946935E-2</v>
      </c>
      <c r="Q6973">
        <v>-3.1452099999999997E-2</v>
      </c>
      <c r="R6973">
        <v>0.99931559999999997</v>
      </c>
      <c r="S6973">
        <v>-9.5657350000000002E-2</v>
      </c>
      <c r="T6973">
        <v>-1.808357E-2</v>
      </c>
      <c r="U6973">
        <v>3.0033569999999998</v>
      </c>
      <c r="V6973">
        <v>4.6786300000000003E-2</v>
      </c>
      <c r="W6973">
        <v>-2.3319349999999999E-2</v>
      </c>
      <c r="X6973">
        <v>0.99863270000000004</v>
      </c>
      <c r="Y6973">
        <v>-4.4991270000000003E-3</v>
      </c>
      <c r="Z6973">
        <v>-6.0160810000000004E-3</v>
      </c>
      <c r="AA6973">
        <v>0.99997179999999997</v>
      </c>
      <c r="AB6973">
        <v>30</v>
      </c>
      <c r="AC6973">
        <v>-5.8605999999999696</v>
      </c>
      <c r="AD6973">
        <v>-1.1093506340329999</v>
      </c>
      <c r="AE6973">
        <v>183.97102799999999</v>
      </c>
      <c r="AF6973">
        <v>-0.829299463824689</v>
      </c>
      <c r="AG6973">
        <v>-1.1093506340329999</v>
      </c>
      <c r="AH6973">
        <v>184.05579820961799</v>
      </c>
      <c r="AI6973">
        <v>90.345328401139497</v>
      </c>
      <c r="AJ6973">
        <v>90.258155614518003</v>
      </c>
      <c r="AK6973">
        <v>184.06100958923801</v>
      </c>
      <c r="AL6973">
        <v>91.336221446089993</v>
      </c>
      <c r="AM6973">
        <v>87.317633600964598</v>
      </c>
      <c r="AN6973">
        <v>1.0000000097307</v>
      </c>
    </row>
    <row r="6974" spans="1:40" x14ac:dyDescent="0.25">
      <c r="A6974" t="str">
        <f>"20190312161155274"</f>
        <v>20190312161155274</v>
      </c>
      <c r="B6974" t="str">
        <f>"1552378315263678"</f>
        <v>1552378315263678</v>
      </c>
      <c r="C6974" t="s">
        <v>40</v>
      </c>
      <c r="D6974">
        <v>5.7360470000000001</v>
      </c>
      <c r="E6974">
        <v>0.47860439999999999</v>
      </c>
      <c r="F6974" t="s">
        <v>111</v>
      </c>
      <c r="G6974">
        <v>-200.85820000000001</v>
      </c>
      <c r="H6974">
        <v>0.25898080000000001</v>
      </c>
      <c r="I6974">
        <v>391.87</v>
      </c>
      <c r="J6974">
        <v>-187.21109999999999</v>
      </c>
      <c r="K6974">
        <v>1.1093489999999999</v>
      </c>
      <c r="L6974">
        <v>-4.6812129999999996</v>
      </c>
      <c r="M6974">
        <v>-2.7487729999999998E-2</v>
      </c>
      <c r="N6974">
        <v>0</v>
      </c>
      <c r="O6974">
        <v>0.99958899999999995</v>
      </c>
      <c r="P6974">
        <v>1.9124700000000001E-2</v>
      </c>
      <c r="Q6974">
        <v>-3.1182669999999999E-2</v>
      </c>
      <c r="R6974">
        <v>0.99933070000000002</v>
      </c>
      <c r="S6974">
        <v>-0.103363</v>
      </c>
      <c r="T6974">
        <v>-6.436944E-3</v>
      </c>
      <c r="U6974">
        <v>3.003876</v>
      </c>
      <c r="V6974">
        <v>4.6594389999999999E-2</v>
      </c>
      <c r="W6974">
        <v>-2.3037350000000002E-2</v>
      </c>
      <c r="X6974">
        <v>0.99864819999999999</v>
      </c>
      <c r="Y6974">
        <v>-6.9040890000000004E-3</v>
      </c>
      <c r="Z6974">
        <v>-2.1410019999999999E-3</v>
      </c>
      <c r="AA6974">
        <v>0.99997389999999997</v>
      </c>
      <c r="AB6974">
        <v>30</v>
      </c>
      <c r="AC6974">
        <v>-13.6471</v>
      </c>
      <c r="AD6974">
        <v>-0.85036819999999902</v>
      </c>
      <c r="AE6974">
        <v>396.551212999999</v>
      </c>
      <c r="AF6974">
        <v>-2.7412765915850801</v>
      </c>
      <c r="AG6974">
        <v>-0.85036819999999902</v>
      </c>
      <c r="AH6974">
        <v>396.77468043039499</v>
      </c>
      <c r="AI6974">
        <v>90.122793297833098</v>
      </c>
      <c r="AJ6974">
        <v>90.395844513172307</v>
      </c>
      <c r="AK6974">
        <v>396.78506115284802</v>
      </c>
      <c r="AL6974">
        <v>91.320059717835903</v>
      </c>
      <c r="AM6974">
        <v>87.328661674819102</v>
      </c>
      <c r="AN6974">
        <v>0.99999999201886702</v>
      </c>
    </row>
    <row r="6975" spans="1:40" x14ac:dyDescent="0.25">
      <c r="A6975" t="str">
        <f>"20190312161155588"</f>
        <v>20190312161155588</v>
      </c>
      <c r="B6975" t="str">
        <f>"1552378315583807"</f>
        <v>1552378315583807</v>
      </c>
      <c r="C6975" t="s">
        <v>40</v>
      </c>
      <c r="D6975">
        <v>5.0000119999999999</v>
      </c>
      <c r="E6975">
        <v>0.47638330000000001</v>
      </c>
      <c r="F6975" t="s">
        <v>111</v>
      </c>
      <c r="G6975">
        <v>-201.77379999999999</v>
      </c>
      <c r="H6975">
        <v>1.31375</v>
      </c>
      <c r="I6975">
        <v>391.00349999999997</v>
      </c>
      <c r="J6975">
        <v>-187.34119999999999</v>
      </c>
      <c r="K6975">
        <v>1.109507</v>
      </c>
      <c r="L6975">
        <v>-0.34600829999999999</v>
      </c>
      <c r="M6975">
        <v>-3.14901E-2</v>
      </c>
      <c r="N6975">
        <v>0</v>
      </c>
      <c r="O6975">
        <v>0.99946869999999999</v>
      </c>
      <c r="P6975">
        <v>1.7263549999999999E-2</v>
      </c>
      <c r="Q6975">
        <v>-3.5161730000000002E-2</v>
      </c>
      <c r="R6975">
        <v>0.99923249999999997</v>
      </c>
      <c r="S6975">
        <v>-0.1105652</v>
      </c>
      <c r="T6975">
        <v>1.551867E-3</v>
      </c>
      <c r="U6975">
        <v>3.004181</v>
      </c>
      <c r="V6975">
        <v>4.874042E-2</v>
      </c>
      <c r="W6975">
        <v>-2.6739929999999999E-2</v>
      </c>
      <c r="X6975">
        <v>0.99845349999999999</v>
      </c>
      <c r="Y6975">
        <v>-5.290721E-3</v>
      </c>
      <c r="Z6975">
        <v>5.1600639999999998E-4</v>
      </c>
      <c r="AA6975">
        <v>0.99998589999999998</v>
      </c>
      <c r="AB6975">
        <v>31</v>
      </c>
      <c r="AC6975">
        <v>-14.432600000000001</v>
      </c>
      <c r="AD6975">
        <v>0.20424299999999901</v>
      </c>
      <c r="AE6975">
        <v>391.34950830000002</v>
      </c>
      <c r="AF6975">
        <v>-2.1013705123849902</v>
      </c>
      <c r="AG6975">
        <v>0.20424299999999901</v>
      </c>
      <c r="AH6975">
        <v>391.60980376008098</v>
      </c>
      <c r="AI6975">
        <v>89.970117979045995</v>
      </c>
      <c r="AJ6975">
        <v>90.307445076275201</v>
      </c>
      <c r="AK6975">
        <v>391.61549493634999</v>
      </c>
      <c r="AL6975">
        <v>91.532267738052994</v>
      </c>
      <c r="AM6975">
        <v>87.205272695582295</v>
      </c>
      <c r="AN6975">
        <v>1.0000000220302101</v>
      </c>
    </row>
    <row r="6976" spans="1:40" x14ac:dyDescent="0.25">
      <c r="A6976" t="str">
        <f>"20190312161155611"</f>
        <v>20190312161155611</v>
      </c>
      <c r="B6976" t="str">
        <f>"1552378315604303"</f>
        <v>1552378315604303</v>
      </c>
      <c r="C6976" t="s">
        <v>40</v>
      </c>
      <c r="D6976">
        <v>5.0959510000000003</v>
      </c>
      <c r="E6976">
        <v>0.47634470000000001</v>
      </c>
      <c r="F6976" t="s">
        <v>41</v>
      </c>
      <c r="G6976">
        <v>-201.1464</v>
      </c>
      <c r="H6976">
        <v>7.9986829999999995E-2</v>
      </c>
      <c r="I6976">
        <v>309.75970000000001</v>
      </c>
      <c r="J6976">
        <v>-187.3518</v>
      </c>
      <c r="K6976">
        <v>1.109513</v>
      </c>
      <c r="L6976">
        <v>-2.035522E-2</v>
      </c>
      <c r="M6976">
        <v>-3.187069E-2</v>
      </c>
      <c r="N6976">
        <v>0</v>
      </c>
      <c r="O6976">
        <v>0.99945649999999997</v>
      </c>
      <c r="P6976">
        <v>1.5939209999999999E-2</v>
      </c>
      <c r="Q6976">
        <v>-3.408286E-2</v>
      </c>
      <c r="R6976">
        <v>0.99929190000000001</v>
      </c>
      <c r="S6976">
        <v>-0.13374330000000001</v>
      </c>
      <c r="T6976">
        <v>-9.9738840000000006E-3</v>
      </c>
      <c r="U6976">
        <v>3.0042719999999998</v>
      </c>
      <c r="V6976">
        <v>4.7798189999999997E-2</v>
      </c>
      <c r="W6976">
        <v>-2.5639430000000001E-2</v>
      </c>
      <c r="X6976">
        <v>0.99852790000000002</v>
      </c>
      <c r="Y6976">
        <v>-1.261053E-2</v>
      </c>
      <c r="Z6976">
        <v>-3.3155789999999999E-3</v>
      </c>
      <c r="AA6976">
        <v>0.999915</v>
      </c>
      <c r="AB6976">
        <v>31</v>
      </c>
      <c r="AC6976">
        <v>-13.794600000000001</v>
      </c>
      <c r="AD6976">
        <v>-1.02952617</v>
      </c>
      <c r="AE6976">
        <v>309.78005522000001</v>
      </c>
      <c r="AF6976">
        <v>-3.9142942692154201</v>
      </c>
      <c r="AG6976">
        <v>-1.02952617</v>
      </c>
      <c r="AH6976">
        <v>310.05891712450602</v>
      </c>
      <c r="AI6976">
        <v>90.190230257752503</v>
      </c>
      <c r="AJ6976">
        <v>90.723283917086704</v>
      </c>
      <c r="AK6976">
        <v>310.08533295236998</v>
      </c>
      <c r="AL6976">
        <v>91.469192117198105</v>
      </c>
      <c r="AM6976">
        <v>87.259419942272999</v>
      </c>
      <c r="AN6976">
        <v>1.0000000072082</v>
      </c>
    </row>
    <row r="6977" spans="1:40" x14ac:dyDescent="0.25">
      <c r="A6977" t="str">
        <f>"20190312161155633"</f>
        <v>20190312161155633</v>
      </c>
      <c r="B6977" t="str">
        <f>"1552378315623823"</f>
        <v>1552378315623823</v>
      </c>
      <c r="C6977" t="s">
        <v>40</v>
      </c>
      <c r="D6977">
        <v>5.0900169999999996</v>
      </c>
      <c r="E6977">
        <v>0.47614040000000002</v>
      </c>
      <c r="F6977" t="s">
        <v>111</v>
      </c>
      <c r="G6977">
        <v>-205.3554</v>
      </c>
      <c r="H6977">
        <v>0.779506699999999</v>
      </c>
      <c r="I6977">
        <v>391.87</v>
      </c>
      <c r="J6977">
        <v>-187.36250000000001</v>
      </c>
      <c r="K6977">
        <v>1.109523</v>
      </c>
      <c r="L6977">
        <v>0.30337520000000001</v>
      </c>
      <c r="M6977">
        <v>-3.224871E-2</v>
      </c>
      <c r="N6977">
        <v>0</v>
      </c>
      <c r="O6977">
        <v>0.9994442</v>
      </c>
      <c r="P6977">
        <v>1.46424E-2</v>
      </c>
      <c r="Q6977">
        <v>-3.3804679999999997E-2</v>
      </c>
      <c r="R6977">
        <v>0.99932120000000002</v>
      </c>
      <c r="S6977">
        <v>-0.13801569999999999</v>
      </c>
      <c r="T6977">
        <v>-2.5298600000000001E-3</v>
      </c>
      <c r="U6977">
        <v>3.0042420000000001</v>
      </c>
      <c r="V6977">
        <v>4.688051E-2</v>
      </c>
      <c r="W6977">
        <v>-2.5339939999999998E-2</v>
      </c>
      <c r="X6977">
        <v>0.99857899999999999</v>
      </c>
      <c r="Y6977">
        <v>-1.365213E-2</v>
      </c>
      <c r="Z6977">
        <v>-8.4095600000000002E-4</v>
      </c>
      <c r="AA6977">
        <v>0.99990650000000003</v>
      </c>
      <c r="AB6977">
        <v>31</v>
      </c>
      <c r="AC6977">
        <v>-17.992899999999899</v>
      </c>
      <c r="AD6977">
        <v>-0.33001629999999998</v>
      </c>
      <c r="AE6977">
        <v>391.5666248</v>
      </c>
      <c r="AF6977">
        <v>-5.3555681822429504</v>
      </c>
      <c r="AG6977">
        <v>-0.33001629999999998</v>
      </c>
      <c r="AH6977">
        <v>391.94293739756802</v>
      </c>
      <c r="AI6977">
        <v>90.048238582554504</v>
      </c>
      <c r="AJ6977">
        <v>90.782849566308798</v>
      </c>
      <c r="AK6977">
        <v>391.97966426480201</v>
      </c>
      <c r="AL6977">
        <v>91.452027099965406</v>
      </c>
      <c r="AM6977">
        <v>87.312095910942006</v>
      </c>
      <c r="AN6977">
        <v>0.99999995700902999</v>
      </c>
    </row>
    <row r="6978" spans="1:40" x14ac:dyDescent="0.25">
      <c r="A6978" t="str">
        <f>"20190312161155655"</f>
        <v>20190312161155655</v>
      </c>
      <c r="B6978" t="str">
        <f>"1552378315644319"</f>
        <v>1552378315644319</v>
      </c>
      <c r="C6978" t="s">
        <v>40</v>
      </c>
      <c r="D6978">
        <v>5.0970250000000004</v>
      </c>
      <c r="E6978">
        <v>0.4762788</v>
      </c>
      <c r="F6978" t="s">
        <v>51</v>
      </c>
      <c r="G6978">
        <v>-203.4092</v>
      </c>
      <c r="H6978">
        <v>0.99305739999999998</v>
      </c>
      <c r="I6978">
        <v>335.99900000000002</v>
      </c>
      <c r="J6978">
        <v>-187.3724</v>
      </c>
      <c r="K6978">
        <v>1.109521</v>
      </c>
      <c r="L6978">
        <v>0.59728999999999999</v>
      </c>
      <c r="M6978">
        <v>-3.259136E-2</v>
      </c>
      <c r="N6978">
        <v>0</v>
      </c>
      <c r="O6978">
        <v>0.99943289999999996</v>
      </c>
      <c r="P6978">
        <v>1.354357E-2</v>
      </c>
      <c r="Q6978">
        <v>-3.4346340000000003E-2</v>
      </c>
      <c r="R6978">
        <v>0.99931820000000005</v>
      </c>
      <c r="S6978">
        <v>-0.14360049999999999</v>
      </c>
      <c r="T6978">
        <v>-1.0422470000000001E-3</v>
      </c>
      <c r="U6978">
        <v>3.0041199999999999</v>
      </c>
      <c r="V6978">
        <v>4.6124949999999998E-2</v>
      </c>
      <c r="W6978">
        <v>-2.5863799999999999E-2</v>
      </c>
      <c r="X6978">
        <v>0.99860079999999996</v>
      </c>
      <c r="Y6978">
        <v>-1.5165939999999999E-2</v>
      </c>
      <c r="Z6978">
        <v>-3.4644500000000002E-4</v>
      </c>
      <c r="AA6978">
        <v>0.99988489999999997</v>
      </c>
      <c r="AB6978">
        <v>32</v>
      </c>
      <c r="AC6978">
        <v>-16.036799999999999</v>
      </c>
      <c r="AD6978">
        <v>-0.116463599999999</v>
      </c>
      <c r="AE6978">
        <v>335.40170999999998</v>
      </c>
      <c r="AF6978">
        <v>-5.0966897152353496</v>
      </c>
      <c r="AG6978">
        <v>-0.116463599999999</v>
      </c>
      <c r="AH6978">
        <v>335.74615805929199</v>
      </c>
      <c r="AI6978">
        <v>90.019872464985795</v>
      </c>
      <c r="AJ6978">
        <v>90.869693890783694</v>
      </c>
      <c r="AK6978">
        <v>335.78486038146298</v>
      </c>
      <c r="AL6978">
        <v>91.482051842858297</v>
      </c>
      <c r="AM6978">
        <v>87.355411750931594</v>
      </c>
      <c r="AN6978">
        <v>1.0000000024617901</v>
      </c>
    </row>
    <row r="6979" spans="1:40" x14ac:dyDescent="0.25">
      <c r="A6979" t="str">
        <f>"20190312161155678"</f>
        <v>20190312161155678</v>
      </c>
      <c r="B6979" t="str">
        <f>"1552378315674575"</f>
        <v>1552378315674575</v>
      </c>
      <c r="C6979" t="s">
        <v>40</v>
      </c>
      <c r="D6979">
        <v>5.1933049999999996</v>
      </c>
      <c r="E6979">
        <v>0.47672639999999999</v>
      </c>
      <c r="F6979" t="s">
        <v>111</v>
      </c>
      <c r="G6979">
        <v>-206.3509</v>
      </c>
      <c r="H6979">
        <v>0.84818459999999996</v>
      </c>
      <c r="I6979">
        <v>391.87</v>
      </c>
      <c r="J6979">
        <v>-187.38339999999999</v>
      </c>
      <c r="K6979">
        <v>1.109523</v>
      </c>
      <c r="L6979">
        <v>0.9233093</v>
      </c>
      <c r="M6979">
        <v>-3.2970899999999997E-2</v>
      </c>
      <c r="N6979">
        <v>0</v>
      </c>
      <c r="O6979">
        <v>0.99942030000000004</v>
      </c>
      <c r="P6979">
        <v>1.3078799999999899E-2</v>
      </c>
      <c r="Q6979">
        <v>-3.4724039999999998E-2</v>
      </c>
      <c r="R6979">
        <v>0.99931130000000001</v>
      </c>
      <c r="S6979">
        <v>-0.14570620000000001</v>
      </c>
      <c r="T6979">
        <v>-2.006412E-3</v>
      </c>
      <c r="U6979">
        <v>3.0039669999999998</v>
      </c>
      <c r="V6979">
        <v>4.6039740000000003E-2</v>
      </c>
      <c r="W6979">
        <v>-2.6224810000000001E-2</v>
      </c>
      <c r="X6979">
        <v>0.99859529999999996</v>
      </c>
      <c r="Y6979">
        <v>-1.5487900000000001E-2</v>
      </c>
      <c r="Z6979">
        <v>-6.6694369999999897E-4</v>
      </c>
      <c r="AA6979">
        <v>0.99987979999999999</v>
      </c>
      <c r="AB6979">
        <v>32</v>
      </c>
      <c r="AC6979">
        <v>-18.967500000000001</v>
      </c>
      <c r="AD6979">
        <v>-0.26133840000000003</v>
      </c>
      <c r="AE6979">
        <v>390.94669069999998</v>
      </c>
      <c r="AF6979">
        <v>-6.0668559525810597</v>
      </c>
      <c r="AG6979">
        <v>-0.26133840000000003</v>
      </c>
      <c r="AH6979">
        <v>391.359345983911</v>
      </c>
      <c r="AI6979">
        <v>90.038255854700495</v>
      </c>
      <c r="AJ6979">
        <v>90.888128529383593</v>
      </c>
      <c r="AK6979">
        <v>391.40645463234699</v>
      </c>
      <c r="AL6979">
        <v>91.502743236128794</v>
      </c>
      <c r="AM6979">
        <v>87.360275857533296</v>
      </c>
      <c r="AN6979">
        <v>0.99999998575044702</v>
      </c>
    </row>
    <row r="6980" spans="1:40" x14ac:dyDescent="0.25">
      <c r="A6980" t="str">
        <f>"20190312161155699"</f>
        <v>20190312161155699</v>
      </c>
      <c r="B6980" t="str">
        <f>"1552378315694095"</f>
        <v>1552378315694095</v>
      </c>
      <c r="C6980" t="s">
        <v>40</v>
      </c>
      <c r="D6980">
        <v>5.1838280000000001</v>
      </c>
      <c r="E6980">
        <v>0.477155</v>
      </c>
      <c r="F6980" t="s">
        <v>111</v>
      </c>
      <c r="G6980">
        <v>-206.0504</v>
      </c>
      <c r="H6980">
        <v>1.1336329999999999</v>
      </c>
      <c r="I6980">
        <v>391.87</v>
      </c>
      <c r="J6980">
        <v>-187.39400000000001</v>
      </c>
      <c r="K6980">
        <v>1.1095269999999999</v>
      </c>
      <c r="L6980">
        <v>1.2354430000000001</v>
      </c>
      <c r="M6980">
        <v>-3.3334049999999997E-2</v>
      </c>
      <c r="N6980">
        <v>0</v>
      </c>
      <c r="O6980">
        <v>0.99940819999999997</v>
      </c>
      <c r="P6980">
        <v>1.237562E-2</v>
      </c>
      <c r="Q6980">
        <v>-3.3840519999999999E-2</v>
      </c>
      <c r="R6980">
        <v>0.99935059999999998</v>
      </c>
      <c r="S6980">
        <v>-0.14343259999999999</v>
      </c>
      <c r="T6980">
        <v>1.8525120000000001E-4</v>
      </c>
      <c r="U6980">
        <v>3.0039370000000001</v>
      </c>
      <c r="V6980">
        <v>4.5700490000000003E-2</v>
      </c>
      <c r="W6980">
        <v>-2.5327550000000001E-2</v>
      </c>
      <c r="X6980">
        <v>0.99863400000000002</v>
      </c>
      <c r="Y6980">
        <v>-1.4370050000000001E-2</v>
      </c>
      <c r="Z6980" s="1">
        <v>6.1579830000000005E-5</v>
      </c>
      <c r="AA6980">
        <v>0.99989680000000003</v>
      </c>
      <c r="AB6980">
        <v>32</v>
      </c>
      <c r="AC6980">
        <v>-18.656399999999898</v>
      </c>
      <c r="AD6980">
        <v>2.4105999999999701E-2</v>
      </c>
      <c r="AE6980">
        <v>390.63455699999997</v>
      </c>
      <c r="AF6980">
        <v>-5.6241299942498397</v>
      </c>
      <c r="AG6980">
        <v>2.4105999999999701E-2</v>
      </c>
      <c r="AH6980">
        <v>391.039366794643</v>
      </c>
      <c r="AI6980">
        <v>89.996468311514803</v>
      </c>
      <c r="AJ6980">
        <v>90.824000658557196</v>
      </c>
      <c r="AK6980">
        <v>391.07981001637899</v>
      </c>
      <c r="AL6980">
        <v>91.4513169979884</v>
      </c>
      <c r="AM6980">
        <v>87.379801211387203</v>
      </c>
      <c r="AN6980">
        <v>0.99999994276561899</v>
      </c>
    </row>
    <row r="6981" spans="1:40" x14ac:dyDescent="0.25">
      <c r="A6981" t="str">
        <f>"20190312161155721"</f>
        <v>20190312161155721</v>
      </c>
      <c r="B6981" t="str">
        <f>"1552378315714591"</f>
        <v>1552378315714591</v>
      </c>
      <c r="C6981" t="s">
        <v>40</v>
      </c>
      <c r="D6981">
        <v>5.1571759999999998</v>
      </c>
      <c r="E6981">
        <v>0.47740369999999999</v>
      </c>
      <c r="F6981" t="s">
        <v>51</v>
      </c>
      <c r="G6981">
        <v>-203.2105</v>
      </c>
      <c r="H6981">
        <v>1.6819379999999999</v>
      </c>
      <c r="I6981">
        <v>336.07310000000001</v>
      </c>
      <c r="J6981">
        <v>-187.40430000000001</v>
      </c>
      <c r="K6981">
        <v>1.109529</v>
      </c>
      <c r="L6981">
        <v>1.5327759999999999</v>
      </c>
      <c r="M6981">
        <v>-3.3680099999999998E-2</v>
      </c>
      <c r="N6981">
        <v>0</v>
      </c>
      <c r="O6981">
        <v>0.99939650000000002</v>
      </c>
      <c r="P6981">
        <v>1.197608E-2</v>
      </c>
      <c r="Q6981">
        <v>-3.2726520000000002E-2</v>
      </c>
      <c r="R6981">
        <v>0.99939259999999996</v>
      </c>
      <c r="S6981">
        <v>-0.1418915</v>
      </c>
      <c r="T6981">
        <v>5.1351790000000001E-3</v>
      </c>
      <c r="U6981">
        <v>3.003876</v>
      </c>
      <c r="V6981">
        <v>4.564758E-2</v>
      </c>
      <c r="W6981">
        <v>-2.4201360000000002E-2</v>
      </c>
      <c r="X6981">
        <v>0.99866440000000001</v>
      </c>
      <c r="Y6981">
        <v>-1.351289E-2</v>
      </c>
      <c r="Z6981">
        <v>1.7070309999999999E-3</v>
      </c>
      <c r="AA6981">
        <v>0.99990730000000005</v>
      </c>
      <c r="AB6981">
        <v>32</v>
      </c>
      <c r="AC6981">
        <v>-15.806199999999899</v>
      </c>
      <c r="AD6981">
        <v>0.57240899999999995</v>
      </c>
      <c r="AE6981">
        <v>334.540324</v>
      </c>
      <c r="AF6981">
        <v>-4.5294598740890404</v>
      </c>
      <c r="AG6981">
        <v>0.57240899999999995</v>
      </c>
      <c r="AH6981">
        <v>334.88190908506601</v>
      </c>
      <c r="AI6981">
        <v>89.902074171421006</v>
      </c>
      <c r="AJ6981">
        <v>90.774909314187099</v>
      </c>
      <c r="AK6981">
        <v>334.91302854811801</v>
      </c>
      <c r="AL6981">
        <v>91.386771188369295</v>
      </c>
      <c r="AM6981">
        <v>87.382910098552301</v>
      </c>
      <c r="AN6981">
        <v>0.99999999560653297</v>
      </c>
    </row>
    <row r="6982" spans="1:40" x14ac:dyDescent="0.25">
      <c r="A6982" t="str">
        <f>"20190312161155745"</f>
        <v>20190312161155745</v>
      </c>
      <c r="B6982" t="str">
        <f>"1552378315734111"</f>
        <v>1552378315734111</v>
      </c>
      <c r="C6982" t="s">
        <v>40</v>
      </c>
      <c r="D6982">
        <v>5.166652</v>
      </c>
      <c r="E6982">
        <v>0.47769289999999998</v>
      </c>
      <c r="F6982" t="s">
        <v>51</v>
      </c>
      <c r="G6982">
        <v>-203.12479999999999</v>
      </c>
      <c r="H6982">
        <v>2.3054920000000001</v>
      </c>
      <c r="I6982">
        <v>336.13869999999997</v>
      </c>
      <c r="J6982">
        <v>-187.4162</v>
      </c>
      <c r="K6982">
        <v>1.1095280000000001</v>
      </c>
      <c r="L6982">
        <v>1.8749389999999999</v>
      </c>
      <c r="M6982">
        <v>-3.4078219999999999E-2</v>
      </c>
      <c r="N6982">
        <v>0</v>
      </c>
      <c r="O6982">
        <v>0.99938289999999996</v>
      </c>
      <c r="P6982">
        <v>1.1637460000000001E-2</v>
      </c>
      <c r="Q6982">
        <v>-3.2918759999999998E-2</v>
      </c>
      <c r="R6982">
        <v>0.99939029999999995</v>
      </c>
      <c r="S6982">
        <v>-0.14112849999999999</v>
      </c>
      <c r="T6982">
        <v>1.0736580000000001E-2</v>
      </c>
      <c r="U6982">
        <v>3.003876</v>
      </c>
      <c r="V6982">
        <v>4.5707039999999997E-2</v>
      </c>
      <c r="W6982">
        <v>-2.4380079999999998E-2</v>
      </c>
      <c r="X6982">
        <v>0.99865729999999997</v>
      </c>
      <c r="Y6982">
        <v>-1.286092E-2</v>
      </c>
      <c r="Z6982">
        <v>3.568992E-3</v>
      </c>
      <c r="AA6982">
        <v>0.99991099999999999</v>
      </c>
      <c r="AB6982">
        <v>32</v>
      </c>
      <c r="AC6982">
        <v>-15.708599999999899</v>
      </c>
      <c r="AD6982">
        <v>1.19596399999999</v>
      </c>
      <c r="AE6982">
        <v>334.26376099999999</v>
      </c>
      <c r="AF6982">
        <v>-4.3078933652630598</v>
      </c>
      <c r="AG6982">
        <v>1.19596399999999</v>
      </c>
      <c r="AH6982">
        <v>334.60066270348102</v>
      </c>
      <c r="AI6982">
        <v>89.795225392361701</v>
      </c>
      <c r="AJ6982">
        <v>90.737626967135597</v>
      </c>
      <c r="AK6982">
        <v>334.63053022213097</v>
      </c>
      <c r="AL6982">
        <v>91.3970141589555</v>
      </c>
      <c r="AM6982">
        <v>87.379487252410499</v>
      </c>
      <c r="AN6982">
        <v>0.99999996232482802</v>
      </c>
    </row>
    <row r="6983" spans="1:40" x14ac:dyDescent="0.25">
      <c r="A6983" t="str">
        <f>"20190312161155766"</f>
        <v>20190312161155766</v>
      </c>
      <c r="B6983" t="str">
        <f>"1552378315754607"</f>
        <v>1552378315754607</v>
      </c>
      <c r="C6983" t="s">
        <v>40</v>
      </c>
      <c r="D6983">
        <v>5.1706269999999996</v>
      </c>
      <c r="E6983">
        <v>0.47803410000000002</v>
      </c>
      <c r="F6983" t="s">
        <v>111</v>
      </c>
      <c r="G6983">
        <v>-205.58670000000001</v>
      </c>
      <c r="H6983">
        <v>2.6246520000000002</v>
      </c>
      <c r="I6983">
        <v>391.87</v>
      </c>
      <c r="J6983">
        <v>-187.4272</v>
      </c>
      <c r="K6983">
        <v>1.109524</v>
      </c>
      <c r="L6983">
        <v>2.1852420000000001</v>
      </c>
      <c r="M6983">
        <v>-3.4439119999999997E-2</v>
      </c>
      <c r="N6983">
        <v>0</v>
      </c>
      <c r="O6983">
        <v>0.99937039999999999</v>
      </c>
      <c r="P6983">
        <v>1.2162559999999999E-2</v>
      </c>
      <c r="Q6983">
        <v>-3.3632570000000001E-2</v>
      </c>
      <c r="R6983">
        <v>0.99936029999999998</v>
      </c>
      <c r="S6983">
        <v>-0.13995360000000001</v>
      </c>
      <c r="T6983">
        <v>1.1669870000000001E-2</v>
      </c>
      <c r="U6983">
        <v>3.0038450000000001</v>
      </c>
      <c r="V6983">
        <v>4.659195E-2</v>
      </c>
      <c r="W6983">
        <v>-2.5081200000000001E-2</v>
      </c>
      <c r="X6983">
        <v>0.99859909999999996</v>
      </c>
      <c r="Y6983">
        <v>-1.2109989999999999E-2</v>
      </c>
      <c r="Z6983">
        <v>3.8792470000000002E-3</v>
      </c>
      <c r="AA6983">
        <v>0.99991920000000001</v>
      </c>
      <c r="AB6983">
        <v>32</v>
      </c>
      <c r="AC6983">
        <v>-18.159500000000001</v>
      </c>
      <c r="AD6983">
        <v>1.515128</v>
      </c>
      <c r="AE6983">
        <v>389.68475799999999</v>
      </c>
      <c r="AF6983">
        <v>-4.72776729977606</v>
      </c>
      <c r="AG6983">
        <v>1.515128</v>
      </c>
      <c r="AH6983">
        <v>390.07311513650501</v>
      </c>
      <c r="AI6983">
        <v>89.777468314323002</v>
      </c>
      <c r="AJ6983">
        <v>90.694402765431505</v>
      </c>
      <c r="AK6983">
        <v>390.10470716051901</v>
      </c>
      <c r="AL6983">
        <v>91.437197586183899</v>
      </c>
      <c r="AM6983">
        <v>87.328670212088696</v>
      </c>
      <c r="AN6983">
        <v>1.00000001945952</v>
      </c>
    </row>
    <row r="6984" spans="1:40" x14ac:dyDescent="0.25">
      <c r="A6984" t="str">
        <f>"20190312161155789"</f>
        <v>20190312161155789</v>
      </c>
      <c r="B6984" t="str">
        <f>"1552378315783887"</f>
        <v>1552378315783887</v>
      </c>
      <c r="C6984" t="s">
        <v>40</v>
      </c>
      <c r="D6984">
        <v>5.1883419999999996</v>
      </c>
      <c r="E6984">
        <v>0.47855579999999998</v>
      </c>
      <c r="F6984" t="s">
        <v>111</v>
      </c>
      <c r="G6984">
        <v>-204.9614</v>
      </c>
      <c r="H6984">
        <v>2.6032579999999998</v>
      </c>
      <c r="I6984">
        <v>391.00349999999997</v>
      </c>
      <c r="J6984">
        <v>-187.43860000000001</v>
      </c>
      <c r="K6984">
        <v>1.109529</v>
      </c>
      <c r="L6984">
        <v>2.506195</v>
      </c>
      <c r="M6984">
        <v>-3.4812210000000003E-2</v>
      </c>
      <c r="N6984">
        <v>0</v>
      </c>
      <c r="O6984">
        <v>0.9993573</v>
      </c>
      <c r="P6984">
        <v>1.2249400000000001E-2</v>
      </c>
      <c r="Q6984">
        <v>-3.369482E-2</v>
      </c>
      <c r="R6984">
        <v>0.9993571</v>
      </c>
      <c r="S6984">
        <v>-0.13546749999999999</v>
      </c>
      <c r="T6984">
        <v>1.1540409999999999E-2</v>
      </c>
      <c r="U6984">
        <v>3.0039669999999998</v>
      </c>
      <c r="V6984">
        <v>4.7051460000000003E-2</v>
      </c>
      <c r="W6984">
        <v>-2.5130349999999999E-2</v>
      </c>
      <c r="X6984">
        <v>0.99857629999999997</v>
      </c>
      <c r="Y6984">
        <v>-1.0244649999999999E-2</v>
      </c>
      <c r="Z6984">
        <v>3.836154E-3</v>
      </c>
      <c r="AA6984">
        <v>0.99994019999999995</v>
      </c>
      <c r="AB6984">
        <v>32</v>
      </c>
      <c r="AC6984">
        <v>-17.522799999999901</v>
      </c>
      <c r="AD6984">
        <v>1.4937290000000001</v>
      </c>
      <c r="AE6984">
        <v>388.49730499999998</v>
      </c>
      <c r="AF6984">
        <v>-3.9871752369515998</v>
      </c>
      <c r="AG6984">
        <v>1.4937290000000001</v>
      </c>
      <c r="AH6984">
        <v>388.86610110915097</v>
      </c>
      <c r="AI6984">
        <v>89.779925666190195</v>
      </c>
      <c r="AJ6984">
        <v>90.587452358148795</v>
      </c>
      <c r="AK6984">
        <v>388.889410224203</v>
      </c>
      <c r="AL6984">
        <v>91.440014588693103</v>
      </c>
      <c r="AM6984">
        <v>87.302301625678894</v>
      </c>
      <c r="AN6984">
        <v>1.0000000006504699</v>
      </c>
    </row>
    <row r="6985" spans="1:40" x14ac:dyDescent="0.25">
      <c r="A6985" t="str">
        <f>"20190312161155813"</f>
        <v>20190312161155813</v>
      </c>
      <c r="B6985" t="str">
        <f>"1552378315804383"</f>
        <v>1552378315804383</v>
      </c>
      <c r="C6985" t="s">
        <v>40</v>
      </c>
      <c r="D6985">
        <v>5.1957519999999997</v>
      </c>
      <c r="E6985">
        <v>0.47886840000000003</v>
      </c>
      <c r="F6985" t="s">
        <v>111</v>
      </c>
      <c r="G6985">
        <v>-204.3904</v>
      </c>
      <c r="H6985">
        <v>2.5583680000000002</v>
      </c>
      <c r="I6985">
        <v>391.00349999999997</v>
      </c>
      <c r="J6985">
        <v>-187.4513</v>
      </c>
      <c r="K6985">
        <v>1.109529</v>
      </c>
      <c r="L6985">
        <v>2.8581240000000001</v>
      </c>
      <c r="M6985">
        <v>-3.5221229999999999E-2</v>
      </c>
      <c r="N6985">
        <v>0</v>
      </c>
      <c r="O6985">
        <v>0.99934290000000003</v>
      </c>
      <c r="P6985">
        <v>1.2313269999999999E-2</v>
      </c>
      <c r="Q6985">
        <v>-3.2702589999999997E-2</v>
      </c>
      <c r="R6985">
        <v>0.99938930000000004</v>
      </c>
      <c r="S6985">
        <v>-0.131073</v>
      </c>
      <c r="T6985">
        <v>1.120257E-2</v>
      </c>
      <c r="U6985">
        <v>3.0039060000000002</v>
      </c>
      <c r="V6985">
        <v>4.7524410000000003E-2</v>
      </c>
      <c r="W6985">
        <v>-2.412651E-2</v>
      </c>
      <c r="X6985">
        <v>0.99857870000000004</v>
      </c>
      <c r="Y6985">
        <v>-8.3763129999999998E-3</v>
      </c>
      <c r="Z6985">
        <v>3.7240020000000001E-3</v>
      </c>
      <c r="AA6985">
        <v>0.99995800000000001</v>
      </c>
      <c r="AB6985">
        <v>32</v>
      </c>
      <c r="AC6985">
        <v>-16.9390999999999</v>
      </c>
      <c r="AD6985">
        <v>1.448839</v>
      </c>
      <c r="AE6985">
        <v>388.145376</v>
      </c>
      <c r="AF6985">
        <v>-3.2570857276501299</v>
      </c>
      <c r="AG6985">
        <v>1.448839</v>
      </c>
      <c r="AH6985">
        <v>388.49576475198899</v>
      </c>
      <c r="AI6985">
        <v>89.786332142181294</v>
      </c>
      <c r="AJ6985">
        <v>90.480347304804098</v>
      </c>
      <c r="AK6985">
        <v>388.51211946619901</v>
      </c>
      <c r="AL6985">
        <v>91.382481286571604</v>
      </c>
      <c r="AM6985">
        <v>87.275232210304495</v>
      </c>
      <c r="AN6985">
        <v>1.00000003906215</v>
      </c>
    </row>
    <row r="6986" spans="1:40" x14ac:dyDescent="0.25">
      <c r="A6986" t="str">
        <f>"20190312161155856"</f>
        <v>20190312161155856</v>
      </c>
      <c r="B6986" t="str">
        <f>"1552378315844399"</f>
        <v>1552378315844399</v>
      </c>
      <c r="C6986" t="s">
        <v>40</v>
      </c>
      <c r="D6986">
        <v>5.1991509999999996</v>
      </c>
      <c r="E6986">
        <v>0.4794503</v>
      </c>
      <c r="F6986" t="s">
        <v>111</v>
      </c>
      <c r="G6986">
        <v>-204.02709999999999</v>
      </c>
      <c r="H6986">
        <v>2.9502009999999999</v>
      </c>
      <c r="I6986">
        <v>391.00349999999997</v>
      </c>
      <c r="J6986">
        <v>-187.47329999999999</v>
      </c>
      <c r="K6986">
        <v>1.1095159999999999</v>
      </c>
      <c r="L6986">
        <v>3.459778</v>
      </c>
      <c r="M6986">
        <v>-3.5920290000000001E-2</v>
      </c>
      <c r="N6986">
        <v>0</v>
      </c>
      <c r="O6986">
        <v>0.99931789999999998</v>
      </c>
      <c r="P6986">
        <v>1.132555E-2</v>
      </c>
      <c r="Q6986">
        <v>-3.309144E-2</v>
      </c>
      <c r="R6986">
        <v>0.99938819999999995</v>
      </c>
      <c r="S6986">
        <v>-0.12828059999999999</v>
      </c>
      <c r="T6986">
        <v>1.4245030000000001E-2</v>
      </c>
      <c r="U6986">
        <v>3.003876</v>
      </c>
      <c r="V6986">
        <v>4.7236060000000003E-2</v>
      </c>
      <c r="W6986">
        <v>-2.450221E-2</v>
      </c>
      <c r="X6986">
        <v>0.9985832</v>
      </c>
      <c r="Y6986">
        <v>-6.7492430000000003E-3</v>
      </c>
      <c r="Z6986">
        <v>4.7353639999999997E-3</v>
      </c>
      <c r="AA6986">
        <v>0.99996600000000002</v>
      </c>
      <c r="AB6986">
        <v>32</v>
      </c>
      <c r="AC6986">
        <v>-16.553799999999899</v>
      </c>
      <c r="AD6986">
        <v>1.8406849999999999</v>
      </c>
      <c r="AE6986">
        <v>387.543722</v>
      </c>
      <c r="AF6986">
        <v>-2.6218630473322801</v>
      </c>
      <c r="AG6986">
        <v>1.8406849999999999</v>
      </c>
      <c r="AH6986">
        <v>387.87951038505201</v>
      </c>
      <c r="AI6986">
        <v>89.728110719381803</v>
      </c>
      <c r="AJ6986">
        <v>90.387283667248894</v>
      </c>
      <c r="AK6986">
        <v>387.89273886430999</v>
      </c>
      <c r="AL6986">
        <v>91.404013723151607</v>
      </c>
      <c r="AM6986">
        <v>87.291751986329402</v>
      </c>
      <c r="AN6986">
        <v>1.0000000054907201</v>
      </c>
    </row>
    <row r="6987" spans="1:40" x14ac:dyDescent="0.25">
      <c r="A6987" t="str">
        <f>"20190312161155878"</f>
        <v>20190312161155878</v>
      </c>
      <c r="B6987" t="str">
        <f>"1552378315874654"</f>
        <v>1552378315874654</v>
      </c>
      <c r="C6987" t="s">
        <v>40</v>
      </c>
      <c r="D6987">
        <v>5.2030430000000001</v>
      </c>
      <c r="E6987">
        <v>0.47988340000000002</v>
      </c>
      <c r="F6987" t="s">
        <v>111</v>
      </c>
      <c r="G6987">
        <v>-203.80350000000001</v>
      </c>
      <c r="H6987">
        <v>2.9993500000000002</v>
      </c>
      <c r="I6987">
        <v>391.00349999999997</v>
      </c>
      <c r="J6987">
        <v>-187.4855</v>
      </c>
      <c r="K6987">
        <v>1.109515</v>
      </c>
      <c r="L6987">
        <v>3.7907410000000001</v>
      </c>
      <c r="M6987">
        <v>-3.6304700000000002E-2</v>
      </c>
      <c r="N6987">
        <v>0</v>
      </c>
      <c r="O6987">
        <v>0.99930399999999997</v>
      </c>
      <c r="P6987">
        <v>1.151137E-2</v>
      </c>
      <c r="Q6987">
        <v>-3.3987240000000002E-2</v>
      </c>
      <c r="R6987">
        <v>0.99935600000000002</v>
      </c>
      <c r="S6987">
        <v>-0.12657169999999901</v>
      </c>
      <c r="T6987">
        <v>1.46476E-2</v>
      </c>
      <c r="U6987">
        <v>3.0037539999999998</v>
      </c>
      <c r="V6987">
        <v>4.7805350000000003E-2</v>
      </c>
      <c r="W6987">
        <v>-2.5394859999999998E-2</v>
      </c>
      <c r="X6987">
        <v>0.99853380000000003</v>
      </c>
      <c r="Y6987">
        <v>-5.7983710000000001E-3</v>
      </c>
      <c r="Z6987">
        <v>4.8693529999999999E-3</v>
      </c>
      <c r="AA6987">
        <v>0.99997130000000001</v>
      </c>
      <c r="AB6987">
        <v>32</v>
      </c>
      <c r="AC6987">
        <v>-16.318000000000001</v>
      </c>
      <c r="AD6987">
        <v>1.8898349999999999</v>
      </c>
      <c r="AE6987">
        <v>387.21275900000001</v>
      </c>
      <c r="AF6987">
        <v>-2.2490287802982398</v>
      </c>
      <c r="AG6987">
        <v>1.8898349999999999</v>
      </c>
      <c r="AH6987">
        <v>387.54070370484197</v>
      </c>
      <c r="AI6987">
        <v>89.720605121252405</v>
      </c>
      <c r="AJ6987">
        <v>90.332502906922699</v>
      </c>
      <c r="AK6987">
        <v>387.55183735189001</v>
      </c>
      <c r="AL6987">
        <v>91.455174734575806</v>
      </c>
      <c r="AM6987">
        <v>87.259026209974806</v>
      </c>
      <c r="AN6987">
        <v>1.00000000007274</v>
      </c>
    </row>
    <row r="6988" spans="1:40" x14ac:dyDescent="0.25">
      <c r="A6988" t="str">
        <f>"20190312161155899"</f>
        <v>20190312161155899</v>
      </c>
      <c r="B6988" t="str">
        <f>"1552378315894176"</f>
        <v>1552378315894176</v>
      </c>
      <c r="C6988" t="s">
        <v>40</v>
      </c>
      <c r="D6988">
        <v>5.1657010000000003</v>
      </c>
      <c r="E6988">
        <v>0.48007060000000001</v>
      </c>
      <c r="F6988" t="s">
        <v>111</v>
      </c>
      <c r="G6988">
        <v>-203.26650000000001</v>
      </c>
      <c r="H6988">
        <v>2.8592719999999998</v>
      </c>
      <c r="I6988">
        <v>391.00349999999997</v>
      </c>
      <c r="J6988">
        <v>-187.4967</v>
      </c>
      <c r="K6988">
        <v>1.1095090000000001</v>
      </c>
      <c r="L6988">
        <v>4.0893249999999997</v>
      </c>
      <c r="M6988">
        <v>-3.665148E-2</v>
      </c>
      <c r="N6988">
        <v>0</v>
      </c>
      <c r="O6988">
        <v>0.99929140000000005</v>
      </c>
      <c r="P6988">
        <v>1.172492E-2</v>
      </c>
      <c r="Q6988">
        <v>-3.4225980000000003E-2</v>
      </c>
      <c r="R6988">
        <v>0.99934540000000005</v>
      </c>
      <c r="S6988">
        <v>-0.1224213</v>
      </c>
      <c r="T6988">
        <v>1.3573770000000001E-2</v>
      </c>
      <c r="U6988">
        <v>3.0038149999999999</v>
      </c>
      <c r="V6988">
        <v>4.836505E-2</v>
      </c>
      <c r="W6988">
        <v>-2.5632169999999999E-2</v>
      </c>
      <c r="X6988">
        <v>0.99850079999999997</v>
      </c>
      <c r="Y6988">
        <v>-4.0712650000000001E-3</v>
      </c>
      <c r="Z6988">
        <v>4.5123530000000002E-3</v>
      </c>
      <c r="AA6988">
        <v>0.99998149999999997</v>
      </c>
      <c r="AB6988">
        <v>32</v>
      </c>
      <c r="AC6988">
        <v>-15.7698</v>
      </c>
      <c r="AD6988">
        <v>1.749763</v>
      </c>
      <c r="AE6988">
        <v>386.914175</v>
      </c>
      <c r="AF6988">
        <v>-1.5776740371740301</v>
      </c>
      <c r="AG6988">
        <v>1.749763</v>
      </c>
      <c r="AH6988">
        <v>387.224293141614</v>
      </c>
      <c r="AI6988">
        <v>89.741099609740203</v>
      </c>
      <c r="AJ6988">
        <v>90.233439805305295</v>
      </c>
      <c r="AK6988">
        <v>387.23146040184599</v>
      </c>
      <c r="AL6988">
        <v>91.468775998849793</v>
      </c>
      <c r="AM6988">
        <v>87.226893474405301</v>
      </c>
      <c r="AN6988">
        <v>1.0000000169005201</v>
      </c>
    </row>
    <row r="6989" spans="1:40" x14ac:dyDescent="0.25">
      <c r="A6989" t="str">
        <f>"20190312161155922"</f>
        <v>20190312161155922</v>
      </c>
      <c r="B6989" t="str">
        <f>"1552378315914671"</f>
        <v>1552378315914671</v>
      </c>
      <c r="C6989" t="s">
        <v>40</v>
      </c>
      <c r="D6989">
        <v>5.1681850000000003</v>
      </c>
      <c r="E6989">
        <v>0.48025380000000001</v>
      </c>
      <c r="F6989" t="s">
        <v>111</v>
      </c>
      <c r="G6989">
        <v>-202.98220000000001</v>
      </c>
      <c r="H6989">
        <v>2.9939070000000001</v>
      </c>
      <c r="I6989">
        <v>391.00349999999997</v>
      </c>
      <c r="J6989">
        <v>-187.5095</v>
      </c>
      <c r="K6989">
        <v>1.109515</v>
      </c>
      <c r="L6989">
        <v>4.4265439999999998</v>
      </c>
      <c r="M6989">
        <v>-3.7042949999999998E-2</v>
      </c>
      <c r="N6989">
        <v>0</v>
      </c>
      <c r="O6989">
        <v>0.99927690000000002</v>
      </c>
      <c r="P6989">
        <v>1.1643830000000001E-2</v>
      </c>
      <c r="Q6989">
        <v>-3.3597200000000001E-2</v>
      </c>
      <c r="R6989">
        <v>0.99936769999999997</v>
      </c>
      <c r="S6989">
        <v>-0.120224</v>
      </c>
      <c r="T6989">
        <v>1.462984E-2</v>
      </c>
      <c r="U6989">
        <v>3.003876</v>
      </c>
      <c r="V6989">
        <v>4.8675499999999997E-2</v>
      </c>
      <c r="W6989">
        <v>-2.500173E-2</v>
      </c>
      <c r="X6989">
        <v>0.99850170000000005</v>
      </c>
      <c r="Y6989">
        <v>-2.9483449999999998E-3</v>
      </c>
      <c r="Z6989">
        <v>4.8632939999999998E-3</v>
      </c>
      <c r="AA6989">
        <v>0.99998379999999998</v>
      </c>
      <c r="AB6989">
        <v>32</v>
      </c>
      <c r="AC6989">
        <v>-15.4727</v>
      </c>
      <c r="AD6989">
        <v>1.8843919999999901</v>
      </c>
      <c r="AE6989">
        <v>386.576956</v>
      </c>
      <c r="AF6989">
        <v>-1.14157570935871</v>
      </c>
      <c r="AG6989">
        <v>1.8843919999999901</v>
      </c>
      <c r="AH6989">
        <v>386.87561637651402</v>
      </c>
      <c r="AI6989">
        <v>89.720927398530804</v>
      </c>
      <c r="AJ6989">
        <v>90.169065398644193</v>
      </c>
      <c r="AK6989">
        <v>386.881889825587</v>
      </c>
      <c r="AL6989">
        <v>91.432642864674804</v>
      </c>
      <c r="AM6989">
        <v>87.209123769748501</v>
      </c>
      <c r="AN6989">
        <v>1.0000000178530599</v>
      </c>
    </row>
    <row r="6990" spans="1:40" x14ac:dyDescent="0.25">
      <c r="A6990" t="str">
        <f>"20190312161155946"</f>
        <v>20190312161155946</v>
      </c>
      <c r="B6990" t="str">
        <f>"1552378315934456"</f>
        <v>1552378315934456</v>
      </c>
      <c r="C6990" t="s">
        <v>40</v>
      </c>
      <c r="D6990">
        <v>5.1012909999999998</v>
      </c>
      <c r="E6990">
        <v>0.4805026</v>
      </c>
      <c r="F6990" t="s">
        <v>111</v>
      </c>
      <c r="G6990">
        <v>-202.8381</v>
      </c>
      <c r="H6990">
        <v>3.3892449999999998</v>
      </c>
      <c r="I6990">
        <v>391.00349999999997</v>
      </c>
      <c r="J6990">
        <v>-187.52250000000001</v>
      </c>
      <c r="K6990">
        <v>1.1095349999999999</v>
      </c>
      <c r="L6990">
        <v>4.7675479999999997</v>
      </c>
      <c r="M6990">
        <v>-3.7438230000000003E-2</v>
      </c>
      <c r="N6990">
        <v>0</v>
      </c>
      <c r="O6990">
        <v>0.99926139999999997</v>
      </c>
      <c r="P6990">
        <v>1.093658E-2</v>
      </c>
      <c r="Q6990">
        <v>-3.3762880000000002E-2</v>
      </c>
      <c r="R6990">
        <v>0.99936999999999998</v>
      </c>
      <c r="S6990">
        <v>-0.1191101</v>
      </c>
      <c r="T6990">
        <v>1.7714500000000001E-2</v>
      </c>
      <c r="U6990">
        <v>3.003876</v>
      </c>
      <c r="V6990">
        <v>4.8363740000000002E-2</v>
      </c>
      <c r="W6990">
        <v>-2.50814E-2</v>
      </c>
      <c r="X6990">
        <v>0.99851480000000004</v>
      </c>
      <c r="Y6990">
        <v>-2.182308E-3</v>
      </c>
      <c r="Z6990">
        <v>5.8885919999999998E-3</v>
      </c>
      <c r="AA6990">
        <v>0.99998030000000004</v>
      </c>
      <c r="AB6990">
        <v>32</v>
      </c>
      <c r="AC6990">
        <v>-15.3155999999999</v>
      </c>
      <c r="AD6990">
        <v>2.2797100000000001</v>
      </c>
      <c r="AE6990">
        <v>386.235952</v>
      </c>
      <c r="AF6990">
        <v>-0.84429980205569399</v>
      </c>
      <c r="AG6990">
        <v>2.2797100000000001</v>
      </c>
      <c r="AH6990">
        <v>386.52512436512097</v>
      </c>
      <c r="AI6990">
        <v>89.662076467580505</v>
      </c>
      <c r="AJ6990">
        <v>90.125152895155395</v>
      </c>
      <c r="AK6990">
        <v>386.53276922573099</v>
      </c>
      <c r="AL6990">
        <v>91.437209124506396</v>
      </c>
      <c r="AM6990">
        <v>87.227007288124497</v>
      </c>
      <c r="AN6990">
        <v>0.99999996689589299</v>
      </c>
    </row>
    <row r="6991" spans="1:40" x14ac:dyDescent="0.25">
      <c r="A6991" t="str">
        <f>"20190312161155968"</f>
        <v>20190312161155968</v>
      </c>
      <c r="B6991" t="str">
        <f>"1552378315963738"</f>
        <v>1552378315963738</v>
      </c>
      <c r="C6991" t="s">
        <v>40</v>
      </c>
      <c r="D6991">
        <v>5.0881980000000002</v>
      </c>
      <c r="E6991">
        <v>0.48073840000000001</v>
      </c>
      <c r="F6991" t="s">
        <v>111</v>
      </c>
      <c r="G6991">
        <v>-202.83009999999999</v>
      </c>
      <c r="H6991">
        <v>3.4163770000000002</v>
      </c>
      <c r="I6991">
        <v>391.00349999999997</v>
      </c>
      <c r="J6991">
        <v>-187.535</v>
      </c>
      <c r="K6991">
        <v>1.1095699999999999</v>
      </c>
      <c r="L6991">
        <v>5.0883479999999999</v>
      </c>
      <c r="M6991">
        <v>-3.7817120000000003E-2</v>
      </c>
      <c r="N6991">
        <v>0</v>
      </c>
      <c r="O6991">
        <v>0.99924489999999999</v>
      </c>
      <c r="P6991">
        <v>1.020853E-2</v>
      </c>
      <c r="Q6991">
        <v>-3.4711359999999997E-2</v>
      </c>
      <c r="R6991">
        <v>0.99934520000000004</v>
      </c>
      <c r="S6991">
        <v>-0.1190491</v>
      </c>
      <c r="T6991">
        <v>1.7940640000000001E-2</v>
      </c>
      <c r="U6991">
        <v>3.0038149999999999</v>
      </c>
      <c r="V6991">
        <v>4.8012510000000001E-2</v>
      </c>
      <c r="W6991">
        <v>-2.5775099999999999E-2</v>
      </c>
      <c r="X6991">
        <v>0.99851409999999996</v>
      </c>
      <c r="Y6991">
        <v>-1.783544E-3</v>
      </c>
      <c r="Z6991">
        <v>5.9637600000000002E-3</v>
      </c>
      <c r="AA6991">
        <v>0.9999806</v>
      </c>
      <c r="AB6991">
        <v>32</v>
      </c>
      <c r="AC6991">
        <v>-15.2950999999999</v>
      </c>
      <c r="AD6991">
        <v>2.3068070000000001</v>
      </c>
      <c r="AE6991">
        <v>385.91515199999998</v>
      </c>
      <c r="AF6991">
        <v>-0.68935386637638396</v>
      </c>
      <c r="AG6991">
        <v>2.3068070000000001</v>
      </c>
      <c r="AH6991">
        <v>386.20373803324497</v>
      </c>
      <c r="AI6991">
        <v>89.657775132892098</v>
      </c>
      <c r="AJ6991">
        <v>90.102269919470899</v>
      </c>
      <c r="AK6991">
        <v>386.211242506144</v>
      </c>
      <c r="AL6991">
        <v>91.476968042031899</v>
      </c>
      <c r="AM6991">
        <v>87.247112460652104</v>
      </c>
      <c r="AN6991">
        <v>0.99999998239765897</v>
      </c>
    </row>
    <row r="6992" spans="1:40" x14ac:dyDescent="0.25">
      <c r="A6992" t="str">
        <f>"20190312161155993"</f>
        <v>20190312161155993</v>
      </c>
      <c r="B6992" t="str">
        <f>"1552378315984232"</f>
        <v>1552378315984232</v>
      </c>
      <c r="C6992" t="s">
        <v>40</v>
      </c>
      <c r="D6992">
        <v>5.0234100000000002</v>
      </c>
      <c r="E6992">
        <v>0.48090369999999999</v>
      </c>
      <c r="F6992" t="s">
        <v>111</v>
      </c>
      <c r="G6992">
        <v>-202.85730000000001</v>
      </c>
      <c r="H6992">
        <v>3.4460160000000002</v>
      </c>
      <c r="I6992">
        <v>391.00349999999997</v>
      </c>
      <c r="J6992">
        <v>-187.54900000000001</v>
      </c>
      <c r="K6992">
        <v>1.1096239999999999</v>
      </c>
      <c r="L6992">
        <v>5.4461060000000003</v>
      </c>
      <c r="M6992">
        <v>-3.824408E-2</v>
      </c>
      <c r="N6992">
        <v>0</v>
      </c>
      <c r="O6992">
        <v>0.99922460000000002</v>
      </c>
      <c r="P6992">
        <v>9.3523519999999995E-3</v>
      </c>
      <c r="Q6992">
        <v>-3.5570440000000002E-2</v>
      </c>
      <c r="R6992">
        <v>0.99932339999999997</v>
      </c>
      <c r="S6992">
        <v>-0.1192627</v>
      </c>
      <c r="T6992">
        <v>1.8185969999999999E-2</v>
      </c>
      <c r="U6992">
        <v>3.0038149999999999</v>
      </c>
      <c r="V6992">
        <v>4.7580369999999997E-2</v>
      </c>
      <c r="W6992">
        <v>-2.6199239999999999E-2</v>
      </c>
      <c r="X6992">
        <v>0.99852379999999996</v>
      </c>
      <c r="Y6992">
        <v>-1.427085E-3</v>
      </c>
      <c r="Z6992">
        <v>6.045155E-3</v>
      </c>
      <c r="AA6992">
        <v>0.99998069999999895</v>
      </c>
      <c r="AB6992">
        <v>32</v>
      </c>
      <c r="AC6992">
        <v>-15.308299999999999</v>
      </c>
      <c r="AD6992">
        <v>2.336392</v>
      </c>
      <c r="AE6992">
        <v>385.55739399999999</v>
      </c>
      <c r="AF6992">
        <v>-0.55114605533334204</v>
      </c>
      <c r="AG6992">
        <v>2.336392</v>
      </c>
      <c r="AH6992">
        <v>385.84663727989602</v>
      </c>
      <c r="AI6992">
        <v>89.653065193958795</v>
      </c>
      <c r="AJ6992">
        <v>90.081841639495906</v>
      </c>
      <c r="AK6992">
        <v>385.85410453921003</v>
      </c>
      <c r="AL6992">
        <v>91.501277604799796</v>
      </c>
      <c r="AM6992">
        <v>87.271878879117594</v>
      </c>
      <c r="AN6992">
        <v>1.00000003547617</v>
      </c>
    </row>
    <row r="6993" spans="1:40" x14ac:dyDescent="0.25">
      <c r="A6993" t="str">
        <f>"20190312161156015"</f>
        <v>20190312161156015</v>
      </c>
      <c r="B6993" t="str">
        <f>"1552378316004729"</f>
        <v>1552378316004729</v>
      </c>
      <c r="C6993" t="s">
        <v>40</v>
      </c>
      <c r="D6993">
        <v>4.9990620000000003</v>
      </c>
      <c r="E6993">
        <v>0.48106949999999998</v>
      </c>
      <c r="F6993" t="s">
        <v>111</v>
      </c>
      <c r="G6993">
        <v>-203.018</v>
      </c>
      <c r="H6993">
        <v>3.280376</v>
      </c>
      <c r="I6993">
        <v>391.00349999999997</v>
      </c>
      <c r="J6993">
        <v>-187.56190000000001</v>
      </c>
      <c r="K6993">
        <v>1.109656</v>
      </c>
      <c r="L6993">
        <v>5.7703860000000002</v>
      </c>
      <c r="M6993">
        <v>-3.8640250000000001E-2</v>
      </c>
      <c r="N6993">
        <v>0</v>
      </c>
      <c r="O6993">
        <v>0.99920580000000003</v>
      </c>
      <c r="P6993">
        <v>7.9102779999999998E-3</v>
      </c>
      <c r="Q6993">
        <v>-3.5821459999999999E-2</v>
      </c>
      <c r="R6993">
        <v>0.99932690000000002</v>
      </c>
      <c r="S6993">
        <v>-0.12051389999999999</v>
      </c>
      <c r="T6993">
        <v>1.691163E-2</v>
      </c>
      <c r="U6993">
        <v>3.0037539999999998</v>
      </c>
      <c r="V6993">
        <v>4.6533079999999998E-2</v>
      </c>
      <c r="W6993">
        <v>-2.608247E-2</v>
      </c>
      <c r="X6993">
        <v>0.99857620000000002</v>
      </c>
      <c r="Y6993">
        <v>-1.447264E-3</v>
      </c>
      <c r="Z6993">
        <v>5.6215049999999997E-3</v>
      </c>
      <c r="AA6993">
        <v>0.99998310000000001</v>
      </c>
      <c r="AB6993">
        <v>32</v>
      </c>
      <c r="AC6993">
        <v>-15.4560999999999</v>
      </c>
      <c r="AD6993">
        <v>2.1707200000000002</v>
      </c>
      <c r="AE6993">
        <v>385.233114</v>
      </c>
      <c r="AF6993">
        <v>-0.55832967145013501</v>
      </c>
      <c r="AG6993">
        <v>2.1707200000000002</v>
      </c>
      <c r="AH6993">
        <v>385.53042398076099</v>
      </c>
      <c r="AI6993">
        <v>89.677401206052906</v>
      </c>
      <c r="AJ6993">
        <v>90.082976360351495</v>
      </c>
      <c r="AK6993">
        <v>385.53693930948498</v>
      </c>
      <c r="AL6993">
        <v>91.494584905429093</v>
      </c>
      <c r="AM6993">
        <v>87.3319795237325</v>
      </c>
      <c r="AN6993">
        <v>1.0000000249910099</v>
      </c>
    </row>
    <row r="6994" spans="1:40" x14ac:dyDescent="0.25">
      <c r="A6994" t="str">
        <f>"20190312161156038"</f>
        <v>20190312161156038</v>
      </c>
      <c r="B6994" t="str">
        <f>"1552378316024249"</f>
        <v>1552378316024249</v>
      </c>
      <c r="C6994" t="s">
        <v>40</v>
      </c>
      <c r="D6994">
        <v>4.9908950000000001</v>
      </c>
      <c r="E6994">
        <v>0.48124939999999999</v>
      </c>
      <c r="F6994" t="s">
        <v>111</v>
      </c>
      <c r="G6994">
        <v>-203.38839999999999</v>
      </c>
      <c r="H6994">
        <v>3.3686189999999998</v>
      </c>
      <c r="I6994">
        <v>391.00349999999997</v>
      </c>
      <c r="J6994">
        <v>-187.5752</v>
      </c>
      <c r="K6994">
        <v>1.1096779999999999</v>
      </c>
      <c r="L6994">
        <v>6.1035769999999996</v>
      </c>
      <c r="M6994">
        <v>-3.9039879999999999E-2</v>
      </c>
      <c r="N6994">
        <v>0</v>
      </c>
      <c r="O6994">
        <v>0.99918700000000005</v>
      </c>
      <c r="P6994">
        <v>6.3369100000000003E-3</v>
      </c>
      <c r="Q6994">
        <v>-3.5508810000000002E-2</v>
      </c>
      <c r="R6994">
        <v>0.9993493</v>
      </c>
      <c r="S6994">
        <v>-0.1233978</v>
      </c>
      <c r="T6994">
        <v>1.7612929999999999E-2</v>
      </c>
      <c r="U6994">
        <v>3.0036320000000001</v>
      </c>
      <c r="V6994">
        <v>4.5359259999999998E-2</v>
      </c>
      <c r="W6994">
        <v>-2.5442019999999999E-2</v>
      </c>
      <c r="X6994">
        <v>0.9986467</v>
      </c>
      <c r="Y6994">
        <v>-2.0072919999999999E-3</v>
      </c>
      <c r="Z6994">
        <v>5.8546010000000001E-3</v>
      </c>
      <c r="AA6994">
        <v>0.99998089999999995</v>
      </c>
      <c r="AB6994">
        <v>32</v>
      </c>
      <c r="AC6994">
        <v>-15.813199999999901</v>
      </c>
      <c r="AD6994">
        <v>2.2589410000000001</v>
      </c>
      <c r="AE6994">
        <v>384.899923</v>
      </c>
      <c r="AF6994">
        <v>-0.77390962334745605</v>
      </c>
      <c r="AG6994">
        <v>2.2589410000000001</v>
      </c>
      <c r="AH6994">
        <v>385.21059692203397</v>
      </c>
      <c r="AI6994">
        <v>89.664012252702506</v>
      </c>
      <c r="AJ6994">
        <v>90.115110269130298</v>
      </c>
      <c r="AK6994">
        <v>385.21799767349398</v>
      </c>
      <c r="AL6994">
        <v>91.457877684060307</v>
      </c>
      <c r="AM6994">
        <v>87.399371410213007</v>
      </c>
      <c r="AN6994">
        <v>0.99999999513515903</v>
      </c>
    </row>
    <row r="6995" spans="1:40" x14ac:dyDescent="0.25">
      <c r="A6995" t="str">
        <f>"20190312161156083"</f>
        <v>20190312161156083</v>
      </c>
      <c r="B6995" t="str">
        <f>"1552378316074026"</f>
        <v>1552378316074026</v>
      </c>
      <c r="C6995" t="s">
        <v>40</v>
      </c>
      <c r="D6995">
        <v>4.8204330000000004</v>
      </c>
      <c r="E6995">
        <v>0.4816684</v>
      </c>
      <c r="F6995" t="s">
        <v>111</v>
      </c>
      <c r="G6995">
        <v>-203.827</v>
      </c>
      <c r="H6995">
        <v>3.5971709999999999</v>
      </c>
      <c r="I6995">
        <v>391.00349999999997</v>
      </c>
      <c r="J6995">
        <v>-187.60130000000001</v>
      </c>
      <c r="K6995">
        <v>1.109694</v>
      </c>
      <c r="L6995">
        <v>6.7451480000000004</v>
      </c>
      <c r="M6995">
        <v>-3.97548E-2</v>
      </c>
      <c r="N6995">
        <v>0</v>
      </c>
      <c r="O6995">
        <v>0.99915299999999996</v>
      </c>
      <c r="P6995">
        <v>4.9452790000000003E-3</v>
      </c>
      <c r="Q6995">
        <v>-3.7004139999999998E-2</v>
      </c>
      <c r="R6995">
        <v>0.99930289999999999</v>
      </c>
      <c r="S6995">
        <v>-0.12681580000000001</v>
      </c>
      <c r="T6995">
        <v>1.941037E-2</v>
      </c>
      <c r="U6995">
        <v>3.0034480000000001</v>
      </c>
      <c r="V6995">
        <v>4.4679089999999998E-2</v>
      </c>
      <c r="W6995">
        <v>-2.6382949999999999E-2</v>
      </c>
      <c r="X6995">
        <v>0.99865289999999995</v>
      </c>
      <c r="Y6995">
        <v>-2.4299199999999999E-3</v>
      </c>
      <c r="Z6995">
        <v>6.4520150000000002E-3</v>
      </c>
      <c r="AA6995">
        <v>0.99997619999999998</v>
      </c>
      <c r="AB6995">
        <v>32</v>
      </c>
      <c r="AC6995">
        <v>-16.2256999999999</v>
      </c>
      <c r="AD6995">
        <v>2.4874770000000002</v>
      </c>
      <c r="AE6995">
        <v>384.258352</v>
      </c>
      <c r="AF6995">
        <v>-0.93585655623955499</v>
      </c>
      <c r="AG6995">
        <v>2.4874770000000002</v>
      </c>
      <c r="AH6995">
        <v>384.58354656374701</v>
      </c>
      <c r="AI6995">
        <v>89.629418560291796</v>
      </c>
      <c r="AJ6995">
        <v>90.139424906608994</v>
      </c>
      <c r="AK6995">
        <v>384.59272959439699</v>
      </c>
      <c r="AL6995">
        <v>91.511807184235096</v>
      </c>
      <c r="AM6995">
        <v>87.438331828524795</v>
      </c>
      <c r="AN6995">
        <v>0.99999994790616897</v>
      </c>
    </row>
    <row r="6996" spans="1:40" x14ac:dyDescent="0.25">
      <c r="A6996" t="str">
        <f>"20190312161156126"</f>
        <v>20190312161156126</v>
      </c>
      <c r="B6996" t="str">
        <f>"1552378316114040"</f>
        <v>1552378316114040</v>
      </c>
      <c r="C6996" t="s">
        <v>40</v>
      </c>
      <c r="D6996">
        <v>4.8179309999999997</v>
      </c>
      <c r="E6996">
        <v>0.48200460000000001</v>
      </c>
      <c r="F6996" t="s">
        <v>111</v>
      </c>
      <c r="G6996">
        <v>-203.91810000000001</v>
      </c>
      <c r="H6996">
        <v>3.4288430000000001</v>
      </c>
      <c r="I6996">
        <v>391.00349999999997</v>
      </c>
      <c r="J6996">
        <v>-187.6268</v>
      </c>
      <c r="K6996">
        <v>1.109658</v>
      </c>
      <c r="L6996">
        <v>7.3621829999999999</v>
      </c>
      <c r="M6996">
        <v>-4.037868E-2</v>
      </c>
      <c r="N6996">
        <v>0</v>
      </c>
      <c r="O6996">
        <v>0.99912319999999999</v>
      </c>
      <c r="P6996">
        <v>3.9862999999999999E-3</v>
      </c>
      <c r="Q6996">
        <v>-3.7004450000000001E-2</v>
      </c>
      <c r="R6996">
        <v>0.99930719999999995</v>
      </c>
      <c r="S6996">
        <v>-0.12753299999999901</v>
      </c>
      <c r="T6996">
        <v>1.8126610000000001E-2</v>
      </c>
      <c r="U6996">
        <v>3.003387</v>
      </c>
      <c r="V6996">
        <v>4.434051E-2</v>
      </c>
      <c r="W6996">
        <v>-2.5948769999999999E-2</v>
      </c>
      <c r="X6996">
        <v>0.99867939999999999</v>
      </c>
      <c r="Y6996">
        <v>-2.0446409999999998E-3</v>
      </c>
      <c r="Z6996">
        <v>6.0251749999999998E-3</v>
      </c>
      <c r="AA6996">
        <v>0.99997970000000003</v>
      </c>
      <c r="AB6996">
        <v>32</v>
      </c>
      <c r="AC6996">
        <v>-16.2913</v>
      </c>
      <c r="AD6996">
        <v>2.3191850000000001</v>
      </c>
      <c r="AE6996">
        <v>383.64131700000002</v>
      </c>
      <c r="AF6996">
        <v>-0.78610524854015595</v>
      </c>
      <c r="AG6996">
        <v>2.3191850000000001</v>
      </c>
      <c r="AH6996">
        <v>383.97225414628298</v>
      </c>
      <c r="AI6996">
        <v>89.653939531648604</v>
      </c>
      <c r="AJ6996">
        <v>90.117301314301301</v>
      </c>
      <c r="AK6996">
        <v>383.98006267865497</v>
      </c>
      <c r="AL6996">
        <v>91.486921930563199</v>
      </c>
      <c r="AM6996">
        <v>87.457786060894406</v>
      </c>
      <c r="AN6996">
        <v>0.999999981737966</v>
      </c>
    </row>
    <row r="6997" spans="1:40" x14ac:dyDescent="0.25">
      <c r="A6997" t="str">
        <f>"20190312161156147"</f>
        <v>20190312161156147</v>
      </c>
      <c r="B6997" t="str">
        <f>"1552378316134537"</f>
        <v>1552378316134537</v>
      </c>
      <c r="C6997" t="s">
        <v>40</v>
      </c>
      <c r="D6997">
        <v>4.7987140000000004</v>
      </c>
      <c r="E6997">
        <v>0.48218169999999999</v>
      </c>
      <c r="F6997" t="s">
        <v>111</v>
      </c>
      <c r="G6997">
        <v>-203.9487</v>
      </c>
      <c r="H6997">
        <v>3.7157550000000001</v>
      </c>
      <c r="I6997">
        <v>391.00349999999997</v>
      </c>
      <c r="J6997">
        <v>-187.63990000000001</v>
      </c>
      <c r="K6997">
        <v>1.109623</v>
      </c>
      <c r="L6997">
        <v>7.6789860000000001</v>
      </c>
      <c r="M6997">
        <v>-4.0652889999999997E-2</v>
      </c>
      <c r="N6997">
        <v>0</v>
      </c>
      <c r="O6997">
        <v>0.99911000000000005</v>
      </c>
      <c r="P6997">
        <v>2.6256640000000002E-3</v>
      </c>
      <c r="Q6997">
        <v>-3.660849E-2</v>
      </c>
      <c r="R6997">
        <v>0.99932619999999905</v>
      </c>
      <c r="S6997">
        <v>-0.1277771</v>
      </c>
      <c r="T6997">
        <v>2.0401949999999999E-2</v>
      </c>
      <c r="U6997">
        <v>3.0033569999999998</v>
      </c>
      <c r="V6997">
        <v>4.325325E-2</v>
      </c>
      <c r="W6997">
        <v>-2.53682E-2</v>
      </c>
      <c r="X6997">
        <v>0.99874200000000002</v>
      </c>
      <c r="Y6997">
        <v>-1.8514650000000001E-3</v>
      </c>
      <c r="Z6997">
        <v>6.7813989999999996E-3</v>
      </c>
      <c r="AA6997">
        <v>0.99997530000000001</v>
      </c>
      <c r="AB6997">
        <v>32</v>
      </c>
      <c r="AC6997">
        <v>-16.308799999999898</v>
      </c>
      <c r="AD6997">
        <v>2.6061320000000001</v>
      </c>
      <c r="AE6997">
        <v>383.32451400000002</v>
      </c>
      <c r="AF6997">
        <v>-0.71104805377233404</v>
      </c>
      <c r="AG6997">
        <v>2.6061320000000001</v>
      </c>
      <c r="AH6997">
        <v>383.65293103729999</v>
      </c>
      <c r="AI6997">
        <v>89.610799763935205</v>
      </c>
      <c r="AJ6997">
        <v>90.106189742263496</v>
      </c>
      <c r="AK6997">
        <v>383.66244148580301</v>
      </c>
      <c r="AL6997">
        <v>91.453646757457605</v>
      </c>
      <c r="AM6997">
        <v>87.520199349518904</v>
      </c>
      <c r="AN6997">
        <v>0.99999998588540095</v>
      </c>
    </row>
    <row r="6998" spans="1:40" x14ac:dyDescent="0.25">
      <c r="A6998" t="str">
        <f>"20190312161156170"</f>
        <v>20190312161156170</v>
      </c>
      <c r="B6998" t="str">
        <f>"1552378316163816"</f>
        <v>1552378316163816</v>
      </c>
      <c r="C6998" t="s">
        <v>40</v>
      </c>
      <c r="D6998">
        <v>4.7502800000000001</v>
      </c>
      <c r="E6998">
        <v>0.4824425</v>
      </c>
      <c r="F6998" t="s">
        <v>111</v>
      </c>
      <c r="G6998">
        <v>-204.29390000000001</v>
      </c>
      <c r="H6998">
        <v>4.0089459999999999</v>
      </c>
      <c r="I6998">
        <v>391.00349999999997</v>
      </c>
      <c r="J6998">
        <v>-187.6542</v>
      </c>
      <c r="K6998">
        <v>1.1095839999999999</v>
      </c>
      <c r="L6998">
        <v>8.0200200000000006</v>
      </c>
      <c r="M6998">
        <v>-4.0909849999999998E-2</v>
      </c>
      <c r="N6998">
        <v>0</v>
      </c>
      <c r="O6998">
        <v>0.99909749999999997</v>
      </c>
      <c r="P6998">
        <v>1.8972119999999999E-3</v>
      </c>
      <c r="Q6998">
        <v>-3.7577859999999998E-2</v>
      </c>
      <c r="R6998">
        <v>0.99929190000000001</v>
      </c>
      <c r="S6998">
        <v>-0.13047790000000001</v>
      </c>
      <c r="T6998">
        <v>2.271509E-2</v>
      </c>
      <c r="U6998">
        <v>3.0032040000000002</v>
      </c>
      <c r="V6998">
        <v>4.2778259999999999E-2</v>
      </c>
      <c r="W6998">
        <v>-2.616423E-2</v>
      </c>
      <c r="X6998">
        <v>0.99874189999999996</v>
      </c>
      <c r="Y6998">
        <v>-2.4937380000000001E-3</v>
      </c>
      <c r="Z6998">
        <v>7.5503339999999997E-3</v>
      </c>
      <c r="AA6998">
        <v>0.99996839999999998</v>
      </c>
      <c r="AB6998">
        <v>32</v>
      </c>
      <c r="AC6998">
        <v>-16.639700000000001</v>
      </c>
      <c r="AD6998">
        <v>2.899362</v>
      </c>
      <c r="AE6998">
        <v>382.98347999999999</v>
      </c>
      <c r="AF6998">
        <v>-0.95689368966361399</v>
      </c>
      <c r="AG6998">
        <v>2.899362</v>
      </c>
      <c r="AH6998">
        <v>383.32166487946199</v>
      </c>
      <c r="AI6998">
        <v>89.566636755333903</v>
      </c>
      <c r="AJ6998">
        <v>90.143028325814299</v>
      </c>
      <c r="AK6998">
        <v>383.333824116139</v>
      </c>
      <c r="AL6998">
        <v>91.499271097992505</v>
      </c>
      <c r="AM6998">
        <v>87.547397851342097</v>
      </c>
      <c r="AN6998">
        <v>0.999999964637864</v>
      </c>
    </row>
    <row r="6999" spans="1:40" x14ac:dyDescent="0.25">
      <c r="A6999" t="str">
        <f>"20190312161156192"</f>
        <v>20190312161156192</v>
      </c>
      <c r="B6999" t="str">
        <f>"1552378316184313"</f>
        <v>1552378316184313</v>
      </c>
      <c r="C6999" t="s">
        <v>40</v>
      </c>
      <c r="D6999">
        <v>4.7021379999999997</v>
      </c>
      <c r="E6999">
        <v>0.48262919999999998</v>
      </c>
      <c r="F6999" t="s">
        <v>111</v>
      </c>
      <c r="G6999">
        <v>-204.3031</v>
      </c>
      <c r="H6999">
        <v>3.9242050000000002</v>
      </c>
      <c r="I6999">
        <v>391.00349999999997</v>
      </c>
      <c r="J6999">
        <v>-187.6671</v>
      </c>
      <c r="K6999">
        <v>1.1095389999999901</v>
      </c>
      <c r="L6999">
        <v>8.3296809999999901</v>
      </c>
      <c r="M6999">
        <v>-4.1079169999999998E-2</v>
      </c>
      <c r="N6999">
        <v>0</v>
      </c>
      <c r="O6999">
        <v>0.99908889999999995</v>
      </c>
      <c r="P6999">
        <v>2.2299749999999999E-3</v>
      </c>
      <c r="Q6999">
        <v>-3.8766540000000002E-2</v>
      </c>
      <c r="R6999">
        <v>0.99924579999999996</v>
      </c>
      <c r="S6999">
        <v>-0.13055419999999901</v>
      </c>
      <c r="T6999">
        <v>2.207112E-2</v>
      </c>
      <c r="U6999">
        <v>3.0032040000000002</v>
      </c>
      <c r="V6999">
        <v>4.3275019999999997E-2</v>
      </c>
      <c r="W6999">
        <v>-2.721674E-2</v>
      </c>
      <c r="X6999">
        <v>0.99869240000000004</v>
      </c>
      <c r="Y6999">
        <v>-2.3496189999999998E-3</v>
      </c>
      <c r="Z6999">
        <v>7.3362169999999999E-3</v>
      </c>
      <c r="AA6999">
        <v>0.99997029999999998</v>
      </c>
      <c r="AB6999">
        <v>32</v>
      </c>
      <c r="AC6999">
        <v>-16.6359999999999</v>
      </c>
      <c r="AD6999">
        <v>2.8146659999999999</v>
      </c>
      <c r="AE6999">
        <v>382.67381899999998</v>
      </c>
      <c r="AF6999">
        <v>-0.90093173670090099</v>
      </c>
      <c r="AG6999">
        <v>2.8146659999999999</v>
      </c>
      <c r="AH6999">
        <v>383.01351563612297</v>
      </c>
      <c r="AI6999">
        <v>89.578957068389499</v>
      </c>
      <c r="AJ6999">
        <v>90.134771982796295</v>
      </c>
      <c r="AK6999">
        <v>383.02491718245801</v>
      </c>
      <c r="AL6999">
        <v>91.559596929285405</v>
      </c>
      <c r="AM6999">
        <v>87.518829721381707</v>
      </c>
      <c r="AN6999">
        <v>0.99999999405499396</v>
      </c>
    </row>
    <row r="7000" spans="1:40" x14ac:dyDescent="0.25">
      <c r="A7000" t="str">
        <f>"20190312161156216"</f>
        <v>20190312161156216</v>
      </c>
      <c r="B7000" t="str">
        <f>"1552378316203833"</f>
        <v>1552378316203833</v>
      </c>
      <c r="C7000" t="s">
        <v>40</v>
      </c>
      <c r="D7000">
        <v>4.72736</v>
      </c>
      <c r="E7000">
        <v>0.48283290000000001</v>
      </c>
      <c r="F7000" t="s">
        <v>111</v>
      </c>
      <c r="G7000">
        <v>-203.96950000000001</v>
      </c>
      <c r="H7000">
        <v>3.6575989999999998</v>
      </c>
      <c r="I7000">
        <v>391.00349999999997</v>
      </c>
      <c r="J7000">
        <v>-187.6815</v>
      </c>
      <c r="K7000">
        <v>1.1094889999999999</v>
      </c>
      <c r="L7000">
        <v>8.6735530000000001</v>
      </c>
      <c r="M7000">
        <v>-4.1195469999999998E-2</v>
      </c>
      <c r="N7000">
        <v>0</v>
      </c>
      <c r="O7000">
        <v>0.99908240000000004</v>
      </c>
      <c r="P7000">
        <v>3.051453E-3</v>
      </c>
      <c r="Q7000">
        <v>-3.9195870000000001E-2</v>
      </c>
      <c r="R7000">
        <v>0.99922690000000003</v>
      </c>
      <c r="S7000">
        <v>-0.127944899999999</v>
      </c>
      <c r="T7000">
        <v>1.9997839999999999E-2</v>
      </c>
      <c r="U7000">
        <v>3.0033259999999999</v>
      </c>
      <c r="V7000">
        <v>4.420731E-2</v>
      </c>
      <c r="W7000">
        <v>-2.7515830000000002E-2</v>
      </c>
      <c r="X7000">
        <v>0.99864339999999996</v>
      </c>
      <c r="Y7000">
        <v>-1.3644379999999999E-3</v>
      </c>
      <c r="Z7000">
        <v>6.6469210000000001E-3</v>
      </c>
      <c r="AA7000">
        <v>0.999977</v>
      </c>
      <c r="AB7000">
        <v>32</v>
      </c>
      <c r="AC7000">
        <v>-16.288</v>
      </c>
      <c r="AD7000">
        <v>2.5481099999999999</v>
      </c>
      <c r="AE7000">
        <v>382.329947</v>
      </c>
      <c r="AF7000">
        <v>-0.52280498064092196</v>
      </c>
      <c r="AG7000">
        <v>2.5481099999999999</v>
      </c>
      <c r="AH7000">
        <v>382.65941661798098</v>
      </c>
      <c r="AI7000">
        <v>89.618476252508998</v>
      </c>
      <c r="AJ7000">
        <v>90.078279793885798</v>
      </c>
      <c r="AK7000">
        <v>382.66825752345</v>
      </c>
      <c r="AL7000">
        <v>91.576739897816495</v>
      </c>
      <c r="AM7000">
        <v>87.465321711014496</v>
      </c>
      <c r="AN7000">
        <v>1.00000002376079</v>
      </c>
    </row>
    <row r="7001" spans="1:40" x14ac:dyDescent="0.25">
      <c r="A7001" t="str">
        <f>"20190312161156265"</f>
        <v>20190312161156265</v>
      </c>
      <c r="B7001" t="str">
        <f>"1552378316254584"</f>
        <v>1552378316254584</v>
      </c>
      <c r="C7001" t="s">
        <v>40</v>
      </c>
      <c r="D7001">
        <v>4.6749269999999896</v>
      </c>
      <c r="E7001">
        <v>0.4832631</v>
      </c>
      <c r="F7001" t="s">
        <v>111</v>
      </c>
      <c r="G7001">
        <v>-203.48079999999999</v>
      </c>
      <c r="H7001">
        <v>3.6168290000000001</v>
      </c>
      <c r="I7001">
        <v>391.00349999999997</v>
      </c>
      <c r="J7001">
        <v>-187.71039999999999</v>
      </c>
      <c r="K7001">
        <v>1.109399</v>
      </c>
      <c r="L7001">
        <v>9.3700259999999993</v>
      </c>
      <c r="M7001">
        <v>-4.1252900000000002E-2</v>
      </c>
      <c r="N7001">
        <v>0</v>
      </c>
      <c r="O7001">
        <v>0.9990774</v>
      </c>
      <c r="P7001">
        <v>4.3177780000000004E-3</v>
      </c>
      <c r="Q7001">
        <v>-3.9151430000000001E-2</v>
      </c>
      <c r="R7001">
        <v>0.99922390000000005</v>
      </c>
      <c r="S7001">
        <v>-0.124115</v>
      </c>
      <c r="T7001">
        <v>1.9696950000000001E-2</v>
      </c>
      <c r="U7001">
        <v>3.003479</v>
      </c>
      <c r="V7001">
        <v>4.5522979999999998E-2</v>
      </c>
      <c r="W7001">
        <v>-2.7260840000000001E-2</v>
      </c>
      <c r="X7001">
        <v>0.99859120000000001</v>
      </c>
      <c r="Y7001" s="1">
        <v>-3.1812E-5</v>
      </c>
      <c r="Z7001">
        <v>6.5467379999999999E-3</v>
      </c>
      <c r="AA7001">
        <v>0.99997849999999999</v>
      </c>
      <c r="AB7001">
        <v>32</v>
      </c>
      <c r="AC7001">
        <v>-15.770399999999899</v>
      </c>
      <c r="AD7001">
        <v>2.5074299999999998</v>
      </c>
      <c r="AE7001">
        <v>381.63347399999998</v>
      </c>
      <c r="AF7001">
        <v>-1.2363037830811E-2</v>
      </c>
      <c r="AG7001">
        <v>2.5074299999999998</v>
      </c>
      <c r="AH7001">
        <v>381.942718536435</v>
      </c>
      <c r="AI7001">
        <v>89.623862203630296</v>
      </c>
      <c r="AJ7001">
        <v>90.001854597181804</v>
      </c>
      <c r="AK7001">
        <v>381.95094920820901</v>
      </c>
      <c r="AL7001">
        <v>91.562124695659904</v>
      </c>
      <c r="AM7001">
        <v>87.389852782888994</v>
      </c>
      <c r="AN7001">
        <v>0.99999993991151104</v>
      </c>
    </row>
    <row r="7002" spans="1:40" x14ac:dyDescent="0.25">
      <c r="A7002" t="str">
        <f>"20190312161156285"</f>
        <v>20190312161156285</v>
      </c>
      <c r="B7002" t="str">
        <f>"1552378316274105"</f>
        <v>1552378316274105</v>
      </c>
      <c r="C7002" t="s">
        <v>40</v>
      </c>
      <c r="D7002">
        <v>4.6782640000000004</v>
      </c>
      <c r="E7002">
        <v>0.48343429999999998</v>
      </c>
      <c r="F7002" t="s">
        <v>111</v>
      </c>
      <c r="G7002">
        <v>-202.5412</v>
      </c>
      <c r="H7002">
        <v>4.0686479999999996</v>
      </c>
      <c r="I7002">
        <v>391.00349999999997</v>
      </c>
      <c r="J7002">
        <v>-187.72300000000001</v>
      </c>
      <c r="K7002">
        <v>1.109386</v>
      </c>
      <c r="L7002">
        <v>9.6764829999999993</v>
      </c>
      <c r="M7002">
        <v>-4.1205020000000002E-2</v>
      </c>
      <c r="N7002">
        <v>0</v>
      </c>
      <c r="O7002">
        <v>0.9990793</v>
      </c>
      <c r="P7002">
        <v>5.0087769999999998E-3</v>
      </c>
      <c r="Q7002">
        <v>-3.8531330000000003E-2</v>
      </c>
      <c r="R7002">
        <v>0.99924489999999999</v>
      </c>
      <c r="S7002">
        <v>-0.11672970000000001</v>
      </c>
      <c r="T7002">
        <v>2.3291590000000001E-2</v>
      </c>
      <c r="U7002">
        <v>3.0037539999999998</v>
      </c>
      <c r="V7002">
        <v>4.6166619999999998E-2</v>
      </c>
      <c r="W7002">
        <v>-2.663546E-2</v>
      </c>
      <c r="X7002">
        <v>0.99857859999999998</v>
      </c>
      <c r="Y7002">
        <v>2.3790479999999999E-3</v>
      </c>
      <c r="Z7002">
        <v>7.7411190000000003E-3</v>
      </c>
      <c r="AA7002">
        <v>0.99996719999999895</v>
      </c>
      <c r="AB7002">
        <v>32</v>
      </c>
      <c r="AC7002">
        <v>-14.818199999999999</v>
      </c>
      <c r="AD7002">
        <v>2.9592619999999998</v>
      </c>
      <c r="AE7002">
        <v>381.32701700000001</v>
      </c>
      <c r="AF7002">
        <v>0.90804066940762596</v>
      </c>
      <c r="AG7002">
        <v>2.9592619999999998</v>
      </c>
      <c r="AH7002">
        <v>381.59079591103</v>
      </c>
      <c r="AI7002">
        <v>89.555677584595003</v>
      </c>
      <c r="AJ7002">
        <v>89.863658137620504</v>
      </c>
      <c r="AK7002">
        <v>381.60335073667198</v>
      </c>
      <c r="AL7002">
        <v>91.526279929972304</v>
      </c>
      <c r="AM7002">
        <v>87.352967222314007</v>
      </c>
      <c r="AN7002">
        <v>1.0000000124547901</v>
      </c>
    </row>
    <row r="7003" spans="1:40" x14ac:dyDescent="0.25">
      <c r="A7003" t="str">
        <f>"20190312161156326"</f>
        <v>20190312161156326</v>
      </c>
      <c r="B7003" t="str">
        <f>"1552378316323881"</f>
        <v>1552378316323881</v>
      </c>
      <c r="C7003" t="s">
        <v>40</v>
      </c>
      <c r="D7003">
        <v>4.6544499999999998</v>
      </c>
      <c r="E7003">
        <v>0.4837997</v>
      </c>
      <c r="F7003" t="s">
        <v>111</v>
      </c>
      <c r="G7003">
        <v>-202.07640000000001</v>
      </c>
      <c r="H7003">
        <v>4.4957050000000001</v>
      </c>
      <c r="I7003">
        <v>391.00349999999997</v>
      </c>
      <c r="J7003">
        <v>-187.74770000000001</v>
      </c>
      <c r="K7003">
        <v>1.1088709999999999</v>
      </c>
      <c r="L7003">
        <v>10.27731</v>
      </c>
      <c r="M7003">
        <v>-4.1074060000000003E-2</v>
      </c>
      <c r="N7003">
        <v>0</v>
      </c>
      <c r="O7003">
        <v>0.99910779999999999</v>
      </c>
      <c r="P7003">
        <v>4.2852109999999997E-3</v>
      </c>
      <c r="Q7003">
        <v>-3.5392970000000003E-2</v>
      </c>
      <c r="R7003">
        <v>0.99936429999999998</v>
      </c>
      <c r="S7003">
        <v>-0.1130676</v>
      </c>
      <c r="T7003">
        <v>2.6675460000000002E-2</v>
      </c>
      <c r="U7003">
        <v>3.003876</v>
      </c>
      <c r="V7003">
        <v>4.5320100000000002E-2</v>
      </c>
      <c r="W7003">
        <v>-2.560954E-2</v>
      </c>
      <c r="X7003">
        <v>0.99864419999999998</v>
      </c>
      <c r="Y7003">
        <v>3.4662510000000001E-3</v>
      </c>
      <c r="Z7003">
        <v>8.8655950000000004E-3</v>
      </c>
      <c r="AA7003">
        <v>0.99995469999999997</v>
      </c>
      <c r="AB7003">
        <v>32</v>
      </c>
      <c r="AC7003">
        <v>-14.3286999999999</v>
      </c>
      <c r="AD7003">
        <v>3.3868339999999999</v>
      </c>
      <c r="AE7003">
        <v>380.72618999999997</v>
      </c>
      <c r="AF7003">
        <v>1.32201378034696</v>
      </c>
      <c r="AG7003">
        <v>3.3868339999999999</v>
      </c>
      <c r="AH7003">
        <v>380.96332776934599</v>
      </c>
      <c r="AI7003">
        <v>89.490646475380899</v>
      </c>
      <c r="AJ7003">
        <v>89.801173760033095</v>
      </c>
      <c r="AK7003">
        <v>380.98067597986301</v>
      </c>
      <c r="AL7003">
        <v>91.467478995738205</v>
      </c>
      <c r="AM7003">
        <v>87.401607035986103</v>
      </c>
      <c r="AN7003">
        <v>0.99999999909833004</v>
      </c>
    </row>
    <row r="7004" spans="1:40" x14ac:dyDescent="0.25">
      <c r="A7004" t="str">
        <f>"20190312161156348"</f>
        <v>20190312161156348</v>
      </c>
      <c r="B7004" t="str">
        <f>"1552378316344376"</f>
        <v>1552378316344376</v>
      </c>
      <c r="C7004" t="s">
        <v>40</v>
      </c>
      <c r="D7004">
        <v>4.6779039999999998</v>
      </c>
      <c r="E7004">
        <v>0.48395319999999997</v>
      </c>
      <c r="F7004" t="s">
        <v>111</v>
      </c>
      <c r="G7004">
        <v>-201.9607</v>
      </c>
      <c r="H7004">
        <v>6.0885160000000003</v>
      </c>
      <c r="I7004">
        <v>390.11860000000001</v>
      </c>
      <c r="J7004">
        <v>-187.76089999999999</v>
      </c>
      <c r="K7004">
        <v>1.1086240000000001</v>
      </c>
      <c r="L7004">
        <v>10.60141</v>
      </c>
      <c r="M7004">
        <v>-4.098595E-2</v>
      </c>
      <c r="N7004">
        <v>0</v>
      </c>
      <c r="O7004">
        <v>0.99912330000000005</v>
      </c>
      <c r="P7004">
        <v>3.2988459999999998E-3</v>
      </c>
      <c r="Q7004">
        <v>-3.3647469999999999E-2</v>
      </c>
      <c r="R7004">
        <v>0.99942830000000005</v>
      </c>
      <c r="S7004">
        <v>-0.1123962</v>
      </c>
      <c r="T7004">
        <v>3.9378999999999997E-2</v>
      </c>
      <c r="U7004">
        <v>3.003784</v>
      </c>
      <c r="V7004">
        <v>4.4249879999999998E-2</v>
      </c>
      <c r="W7004">
        <v>-2.514626E-2</v>
      </c>
      <c r="X7004">
        <v>0.99870400000000004</v>
      </c>
      <c r="Y7004">
        <v>3.6013619999999999E-3</v>
      </c>
      <c r="Z7004">
        <v>1.308753E-2</v>
      </c>
      <c r="AA7004">
        <v>0.99990789999999996</v>
      </c>
      <c r="AB7004">
        <v>33</v>
      </c>
      <c r="AC7004">
        <v>-14.1998</v>
      </c>
      <c r="AD7004">
        <v>4.9798919999999898</v>
      </c>
      <c r="AE7004">
        <v>379.517189999999</v>
      </c>
      <c r="AF7004">
        <v>1.36733621150895</v>
      </c>
      <c r="AG7004">
        <v>4.9798919999999898</v>
      </c>
      <c r="AH7004">
        <v>379.71499359044401</v>
      </c>
      <c r="AI7004">
        <v>89.248624383047002</v>
      </c>
      <c r="AJ7004">
        <v>89.793681427384897</v>
      </c>
      <c r="AK7004">
        <v>379.75010900595902</v>
      </c>
      <c r="AL7004">
        <v>91.440926406166795</v>
      </c>
      <c r="AM7004">
        <v>87.463037845270804</v>
      </c>
      <c r="AN7004">
        <v>1.000000032944</v>
      </c>
    </row>
    <row r="7005" spans="1:40" x14ac:dyDescent="0.25">
      <c r="A7005" t="str">
        <f>"20190312161156372"</f>
        <v>20190312161156372</v>
      </c>
      <c r="B7005" t="str">
        <f>"1552378316363897"</f>
        <v>1552378316363897</v>
      </c>
      <c r="C7005" t="s">
        <v>40</v>
      </c>
      <c r="D7005">
        <v>4.6818080000000002</v>
      </c>
      <c r="E7005">
        <v>0.48409489999999999</v>
      </c>
      <c r="F7005" t="s">
        <v>111</v>
      </c>
      <c r="G7005">
        <v>-202.2132</v>
      </c>
      <c r="H7005">
        <v>6.8905640000000004</v>
      </c>
      <c r="I7005">
        <v>390.11860000000001</v>
      </c>
      <c r="J7005">
        <v>-187.7758</v>
      </c>
      <c r="K7005">
        <v>1.1083780000000001</v>
      </c>
      <c r="L7005">
        <v>10.96686</v>
      </c>
      <c r="M7005">
        <v>-4.0866350000000003E-2</v>
      </c>
      <c r="N7005">
        <v>0</v>
      </c>
      <c r="O7005">
        <v>0.99913920000000001</v>
      </c>
      <c r="P7005">
        <v>2.9293850000000001E-3</v>
      </c>
      <c r="Q7005">
        <v>-3.268157E-2</v>
      </c>
      <c r="R7005">
        <v>0.9994615</v>
      </c>
      <c r="S7005">
        <v>-0.11437990000000001</v>
      </c>
      <c r="T7005">
        <v>4.5760269999999999E-2</v>
      </c>
      <c r="U7005">
        <v>3.0036320000000001</v>
      </c>
      <c r="V7005">
        <v>4.3762259999999997E-2</v>
      </c>
      <c r="W7005">
        <v>-2.5587479999999999E-2</v>
      </c>
      <c r="X7005">
        <v>0.99871430000000005</v>
      </c>
      <c r="Y7005">
        <v>2.8210319999999998E-3</v>
      </c>
      <c r="Z7005">
        <v>1.5208589999999999E-2</v>
      </c>
      <c r="AA7005">
        <v>0.9998804</v>
      </c>
      <c r="AB7005">
        <v>33</v>
      </c>
      <c r="AC7005">
        <v>-14.437399999999901</v>
      </c>
      <c r="AD7005">
        <v>5.7821860000000003</v>
      </c>
      <c r="AE7005">
        <v>379.15174000000002</v>
      </c>
      <c r="AF7005">
        <v>1.0693542502595601</v>
      </c>
      <c r="AG7005">
        <v>5.7821860000000003</v>
      </c>
      <c r="AH7005">
        <v>379.33691210011898</v>
      </c>
      <c r="AI7005">
        <v>89.126718563774304</v>
      </c>
      <c r="AJ7005">
        <v>89.838483097500898</v>
      </c>
      <c r="AK7005">
        <v>379.38248519812402</v>
      </c>
      <c r="AL7005">
        <v>91.466214556325298</v>
      </c>
      <c r="AM7005">
        <v>87.490984301784096</v>
      </c>
      <c r="AN7005">
        <v>1.0000000537787701</v>
      </c>
    </row>
    <row r="7006" spans="1:40" x14ac:dyDescent="0.25">
      <c r="A7006" t="str">
        <f>"20190312161156417"</f>
        <v>20190312161156417</v>
      </c>
      <c r="B7006" t="str">
        <f>"1552378316403913"</f>
        <v>1552378316403913</v>
      </c>
      <c r="C7006" t="s">
        <v>40</v>
      </c>
      <c r="D7006">
        <v>4.6939399999999996</v>
      </c>
      <c r="E7006">
        <v>0.48436319999999999</v>
      </c>
      <c r="F7006" t="s">
        <v>111</v>
      </c>
      <c r="G7006">
        <v>-202.1721</v>
      </c>
      <c r="H7006">
        <v>7.3929549999999997</v>
      </c>
      <c r="I7006">
        <v>390.11860000000001</v>
      </c>
      <c r="J7006">
        <v>-187.80269999999999</v>
      </c>
      <c r="K7006">
        <v>1.108055</v>
      </c>
      <c r="L7006">
        <v>11.63156</v>
      </c>
      <c r="M7006">
        <v>-4.0540279999999998E-2</v>
      </c>
      <c r="N7006">
        <v>0</v>
      </c>
      <c r="O7006">
        <v>0.99916640000000001</v>
      </c>
      <c r="P7006">
        <v>2.7825810000000001E-3</v>
      </c>
      <c r="Q7006">
        <v>-3.020722E-2</v>
      </c>
      <c r="R7006">
        <v>0.99953979999999998</v>
      </c>
      <c r="S7006">
        <v>-0.1140442</v>
      </c>
      <c r="T7006">
        <v>4.9785259999999998E-2</v>
      </c>
      <c r="U7006">
        <v>3.003571</v>
      </c>
      <c r="V7006">
        <v>4.3290469999999998E-2</v>
      </c>
      <c r="W7006">
        <v>-2.5428949999999999E-2</v>
      </c>
      <c r="X7006">
        <v>0.99873889999999999</v>
      </c>
      <c r="Y7006">
        <v>2.605741E-3</v>
      </c>
      <c r="Z7006">
        <v>1.6546660000000001E-2</v>
      </c>
      <c r="AA7006">
        <v>0.99985970000000002</v>
      </c>
      <c r="AB7006">
        <v>34</v>
      </c>
      <c r="AC7006">
        <v>-14.369400000000001</v>
      </c>
      <c r="AD7006">
        <v>6.2849000000000004</v>
      </c>
      <c r="AE7006">
        <v>378.48703999999998</v>
      </c>
      <c r="AF7006">
        <v>0.98628868613254606</v>
      </c>
      <c r="AG7006">
        <v>6.2849000000000004</v>
      </c>
      <c r="AH7006">
        <v>378.65416809895203</v>
      </c>
      <c r="AI7006">
        <v>89.049095478109194</v>
      </c>
      <c r="AJ7006">
        <v>89.850760783693602</v>
      </c>
      <c r="AK7006">
        <v>378.707607201244</v>
      </c>
      <c r="AL7006">
        <v>91.457128515615196</v>
      </c>
      <c r="AM7006">
        <v>87.518060421106895</v>
      </c>
      <c r="AN7006">
        <v>1.0000000433320599</v>
      </c>
    </row>
    <row r="7007" spans="1:40" x14ac:dyDescent="0.25">
      <c r="A7007" t="str">
        <f>"20190312161156440"</f>
        <v>20190312161156440</v>
      </c>
      <c r="B7007" t="str">
        <f>"1552378316434416"</f>
        <v>1552378316434416</v>
      </c>
      <c r="C7007" t="s">
        <v>40</v>
      </c>
      <c r="D7007">
        <v>4.7066039999999996</v>
      </c>
      <c r="E7007">
        <v>0.48460320000000001</v>
      </c>
      <c r="F7007" t="s">
        <v>111</v>
      </c>
      <c r="G7007">
        <v>-201.96299999999999</v>
      </c>
      <c r="H7007">
        <v>8.5757729999999999</v>
      </c>
      <c r="I7007">
        <v>391.00349999999997</v>
      </c>
      <c r="J7007">
        <v>-187.81729999999999</v>
      </c>
      <c r="K7007">
        <v>1.107952</v>
      </c>
      <c r="L7007">
        <v>11.99518</v>
      </c>
      <c r="M7007">
        <v>-4.0277920000000002E-2</v>
      </c>
      <c r="N7007">
        <v>0</v>
      </c>
      <c r="O7007">
        <v>0.99918110000000004</v>
      </c>
      <c r="P7007">
        <v>2.7051340000000001E-3</v>
      </c>
      <c r="Q7007">
        <v>-2.8604689999999999E-2</v>
      </c>
      <c r="R7007">
        <v>0.99958709999999995</v>
      </c>
      <c r="S7007">
        <v>-0.11210630000000001</v>
      </c>
      <c r="T7007">
        <v>5.9121729999999997E-2</v>
      </c>
      <c r="U7007">
        <v>3.003479</v>
      </c>
      <c r="V7007">
        <v>4.2950589999999997E-2</v>
      </c>
      <c r="W7007">
        <v>-2.478006E-2</v>
      </c>
      <c r="X7007">
        <v>0.99876980000000004</v>
      </c>
      <c r="Y7007">
        <v>2.9881579999999999E-3</v>
      </c>
      <c r="Z7007">
        <v>1.964977E-2</v>
      </c>
      <c r="AA7007">
        <v>0.99980250000000004</v>
      </c>
      <c r="AB7007">
        <v>34</v>
      </c>
      <c r="AC7007">
        <v>-14.1457</v>
      </c>
      <c r="AD7007">
        <v>7.4678209999999998</v>
      </c>
      <c r="AE7007">
        <v>379.00832000000003</v>
      </c>
      <c r="AF7007">
        <v>1.1311205647913201</v>
      </c>
      <c r="AG7007">
        <v>7.4678209999999998</v>
      </c>
      <c r="AH7007">
        <v>379.123536795277</v>
      </c>
      <c r="AI7007">
        <v>88.871562022732505</v>
      </c>
      <c r="AJ7007">
        <v>89.829057718923295</v>
      </c>
      <c r="AK7007">
        <v>379.19876573688902</v>
      </c>
      <c r="AL7007">
        <v>91.419938256805594</v>
      </c>
      <c r="AM7007">
        <v>87.537598511543607</v>
      </c>
      <c r="AN7007">
        <v>0.99999995897349503</v>
      </c>
    </row>
    <row r="7008" spans="1:40" x14ac:dyDescent="0.25">
      <c r="A7008" t="str">
        <f>"20190312161156484"</f>
        <v>20190312161156484</v>
      </c>
      <c r="B7008" t="str">
        <f>"1552378316474432"</f>
        <v>1552378316474432</v>
      </c>
      <c r="C7008" t="s">
        <v>40</v>
      </c>
      <c r="D7008">
        <v>4.6826489999999996</v>
      </c>
      <c r="E7008">
        <v>0.48484549999999998</v>
      </c>
      <c r="F7008" t="s">
        <v>111</v>
      </c>
      <c r="G7008">
        <v>-201.76050000000001</v>
      </c>
      <c r="H7008">
        <v>9.1454199999999997</v>
      </c>
      <c r="I7008">
        <v>391.00349999999997</v>
      </c>
      <c r="J7008">
        <v>-187.84399999999999</v>
      </c>
      <c r="K7008">
        <v>1.1079950000000001</v>
      </c>
      <c r="L7008">
        <v>12.674189999999999</v>
      </c>
      <c r="M7008">
        <v>-3.9630749999999999E-2</v>
      </c>
      <c r="N7008">
        <v>0</v>
      </c>
      <c r="O7008">
        <v>0.99920920000000002</v>
      </c>
      <c r="P7008">
        <v>2.5499559999999999E-3</v>
      </c>
      <c r="Q7008">
        <v>-2.6974950000000001E-2</v>
      </c>
      <c r="R7008">
        <v>0.99963279999999999</v>
      </c>
      <c r="S7008">
        <v>-0.1104889</v>
      </c>
      <c r="T7008">
        <v>6.3690899999999995E-2</v>
      </c>
      <c r="U7008">
        <v>3.0033569999999998</v>
      </c>
      <c r="V7008">
        <v>4.214478E-2</v>
      </c>
      <c r="W7008">
        <v>-2.3797990000000002E-2</v>
      </c>
      <c r="X7008">
        <v>0.9988281</v>
      </c>
      <c r="Y7008">
        <v>2.877695E-3</v>
      </c>
      <c r="Z7008">
        <v>2.1169629999999998E-2</v>
      </c>
      <c r="AA7008">
        <v>0.99977179999999999</v>
      </c>
      <c r="AB7008">
        <v>34</v>
      </c>
      <c r="AC7008">
        <v>-13.9164999999999</v>
      </c>
      <c r="AD7008">
        <v>8.03742499999999</v>
      </c>
      <c r="AE7008">
        <v>378.32931000000002</v>
      </c>
      <c r="AF7008">
        <v>1.08749496067604</v>
      </c>
      <c r="AG7008">
        <v>8.03742499999999</v>
      </c>
      <c r="AH7008">
        <v>378.41305478020098</v>
      </c>
      <c r="AI7008">
        <v>88.783235956687605</v>
      </c>
      <c r="AJ7008">
        <v>89.835342097298295</v>
      </c>
      <c r="AK7008">
        <v>378.49996416644899</v>
      </c>
      <c r="AL7008">
        <v>91.363653056453103</v>
      </c>
      <c r="AM7008">
        <v>87.583882016692797</v>
      </c>
      <c r="AN7008">
        <v>1.0000000500794399</v>
      </c>
    </row>
    <row r="7009" spans="1:40" x14ac:dyDescent="0.25">
      <c r="A7009" t="str">
        <f>"20190312161156504"</f>
        <v>20190312161156504</v>
      </c>
      <c r="B7009" t="str">
        <f>"1552378316493953"</f>
        <v>1552378316493953</v>
      </c>
      <c r="C7009" t="s">
        <v>40</v>
      </c>
      <c r="D7009">
        <v>4.7786299999999997</v>
      </c>
      <c r="E7009">
        <v>0.48495529999999998</v>
      </c>
      <c r="F7009" t="s">
        <v>111</v>
      </c>
      <c r="G7009">
        <v>-201.5917</v>
      </c>
      <c r="H7009">
        <v>9.7856030000000001</v>
      </c>
      <c r="I7009">
        <v>391.00349999999997</v>
      </c>
      <c r="J7009">
        <v>-187.85650000000001</v>
      </c>
      <c r="K7009">
        <v>1.1080950000000001</v>
      </c>
      <c r="L7009">
        <v>12.99896</v>
      </c>
      <c r="M7009">
        <v>-3.9253690000000001E-2</v>
      </c>
      <c r="N7009">
        <v>0</v>
      </c>
      <c r="O7009">
        <v>0.99922359999999999</v>
      </c>
      <c r="P7009">
        <v>2.927486E-3</v>
      </c>
      <c r="Q7009">
        <v>-2.6821290000000001E-2</v>
      </c>
      <c r="R7009">
        <v>0.99963590000000002</v>
      </c>
      <c r="S7009">
        <v>-0.1091309</v>
      </c>
      <c r="T7009">
        <v>6.8884130000000002E-2</v>
      </c>
      <c r="U7009">
        <v>3.0032350000000001</v>
      </c>
      <c r="V7009">
        <v>4.2142949999999998E-2</v>
      </c>
      <c r="W7009">
        <v>-2.350706E-2</v>
      </c>
      <c r="X7009">
        <v>0.99883500000000003</v>
      </c>
      <c r="Y7009">
        <v>2.9517369999999999E-3</v>
      </c>
      <c r="Z7009">
        <v>2.289652E-2</v>
      </c>
      <c r="AA7009">
        <v>0.99973350000000005</v>
      </c>
      <c r="AB7009">
        <v>35</v>
      </c>
      <c r="AC7009">
        <v>-13.735199999999899</v>
      </c>
      <c r="AD7009">
        <v>8.6775079999999996</v>
      </c>
      <c r="AE7009">
        <v>378.00454000000002</v>
      </c>
      <c r="AF7009">
        <v>1.1129576220442501</v>
      </c>
      <c r="AG7009">
        <v>8.6775079999999996</v>
      </c>
      <c r="AH7009">
        <v>378.053395459439</v>
      </c>
      <c r="AI7009">
        <v>88.685119213085699</v>
      </c>
      <c r="AJ7009">
        <v>89.831326497607606</v>
      </c>
      <c r="AK7009">
        <v>378.15460811441898</v>
      </c>
      <c r="AL7009">
        <v>91.346979420928307</v>
      </c>
      <c r="AM7009">
        <v>87.584003474595505</v>
      </c>
      <c r="AN7009">
        <v>0.99999998366477205</v>
      </c>
    </row>
    <row r="7010" spans="1:40" x14ac:dyDescent="0.25">
      <c r="A7010" t="str">
        <f>"20190312161156526"</f>
        <v>20190312161156526</v>
      </c>
      <c r="B7010" t="str">
        <f>"1552378316514448"</f>
        <v>1552378316514448</v>
      </c>
      <c r="C7010" t="s">
        <v>40</v>
      </c>
      <c r="D7010">
        <v>4.8255949999999999</v>
      </c>
      <c r="E7010">
        <v>0.4850448</v>
      </c>
      <c r="F7010" t="s">
        <v>111</v>
      </c>
      <c r="G7010">
        <v>-201.34649999999999</v>
      </c>
      <c r="H7010">
        <v>9.9042429999999992</v>
      </c>
      <c r="I7010">
        <v>391.87</v>
      </c>
      <c r="J7010">
        <v>-187.8691</v>
      </c>
      <c r="K7010">
        <v>1.108195</v>
      </c>
      <c r="L7010">
        <v>13.329560000000001</v>
      </c>
      <c r="M7010">
        <v>-3.8822460000000003E-2</v>
      </c>
      <c r="N7010">
        <v>0</v>
      </c>
      <c r="O7010">
        <v>0.99923960000000001</v>
      </c>
      <c r="P7010">
        <v>3.6684830000000002E-3</v>
      </c>
      <c r="Q7010">
        <v>-2.6539859999999998E-2</v>
      </c>
      <c r="R7010">
        <v>0.999641</v>
      </c>
      <c r="S7010">
        <v>-0.1069336</v>
      </c>
      <c r="T7010">
        <v>6.9725990000000002E-2</v>
      </c>
      <c r="U7010">
        <v>3.0032649999999999</v>
      </c>
      <c r="V7010">
        <v>4.2451269999999999E-2</v>
      </c>
      <c r="W7010">
        <v>-2.297308E-2</v>
      </c>
      <c r="X7010">
        <v>0.99883440000000001</v>
      </c>
      <c r="Y7010">
        <v>3.2512959999999999E-3</v>
      </c>
      <c r="Z7010">
        <v>2.3176840000000001E-2</v>
      </c>
      <c r="AA7010">
        <v>0.99972609999999995</v>
      </c>
      <c r="AB7010">
        <v>35</v>
      </c>
      <c r="AC7010">
        <v>-13.4773999999999</v>
      </c>
      <c r="AD7010">
        <v>8.7960479999999901</v>
      </c>
      <c r="AE7010">
        <v>378.54043999999999</v>
      </c>
      <c r="AF7010">
        <v>1.2280650658011201</v>
      </c>
      <c r="AG7010">
        <v>8.7960479999999901</v>
      </c>
      <c r="AH7010">
        <v>378.57414206546298</v>
      </c>
      <c r="AI7010">
        <v>88.668997537482497</v>
      </c>
      <c r="AJ7010">
        <v>89.814137600510506</v>
      </c>
      <c r="AK7010">
        <v>378.67830627701102</v>
      </c>
      <c r="AL7010">
        <v>91.316376312085495</v>
      </c>
      <c r="AM7010">
        <v>87.566347633834098</v>
      </c>
      <c r="AN7010">
        <v>1.00000001567632</v>
      </c>
    </row>
    <row r="7011" spans="1:40" x14ac:dyDescent="0.25">
      <c r="A7011" t="str">
        <f>"20190312161156550"</f>
        <v>20190312161156550</v>
      </c>
      <c r="B7011" t="str">
        <f>"1552378316544236"</f>
        <v>1552378316544236</v>
      </c>
      <c r="C7011" t="s">
        <v>40</v>
      </c>
      <c r="D7011">
        <v>4.8703810000000001</v>
      </c>
      <c r="E7011">
        <v>0.48493950000000002</v>
      </c>
      <c r="F7011" t="s">
        <v>111</v>
      </c>
      <c r="G7011">
        <v>-200.9624</v>
      </c>
      <c r="H7011">
        <v>9.9798770000000001</v>
      </c>
      <c r="I7011">
        <v>391.87</v>
      </c>
      <c r="J7011">
        <v>-187.88300000000001</v>
      </c>
      <c r="K7011">
        <v>1.108298</v>
      </c>
      <c r="L7011">
        <v>13.70337</v>
      </c>
      <c r="M7011">
        <v>-3.8287019999999998E-2</v>
      </c>
      <c r="N7011">
        <v>0</v>
      </c>
      <c r="O7011">
        <v>0.99925889999999995</v>
      </c>
      <c r="P7011">
        <v>5.0505000000000003E-3</v>
      </c>
      <c r="Q7011">
        <v>-2.6984040000000001E-2</v>
      </c>
      <c r="R7011">
        <v>0.99962309999999999</v>
      </c>
      <c r="S7011">
        <v>-0.1038818</v>
      </c>
      <c r="T7011">
        <v>7.0387599999999995E-2</v>
      </c>
      <c r="U7011">
        <v>3.0033259999999999</v>
      </c>
      <c r="V7011">
        <v>4.3295069999999998E-2</v>
      </c>
      <c r="W7011">
        <v>-2.3078890000000001E-2</v>
      </c>
      <c r="X7011">
        <v>0.99879569999999995</v>
      </c>
      <c r="Y7011">
        <v>3.7310009999999998E-3</v>
      </c>
      <c r="Z7011">
        <v>2.3397279999999999E-2</v>
      </c>
      <c r="AA7011">
        <v>0.99971929999999998</v>
      </c>
      <c r="AB7011">
        <v>35</v>
      </c>
      <c r="AC7011">
        <v>-13.0794</v>
      </c>
      <c r="AD7011">
        <v>8.8715789999999899</v>
      </c>
      <c r="AE7011">
        <v>378.16663</v>
      </c>
      <c r="AF7011">
        <v>1.4084033878140401</v>
      </c>
      <c r="AG7011">
        <v>8.8715789999999899</v>
      </c>
      <c r="AH7011">
        <v>378.182240482395</v>
      </c>
      <c r="AI7011">
        <v>88.656184114807701</v>
      </c>
      <c r="AJ7011">
        <v>89.786623515656203</v>
      </c>
      <c r="AK7011">
        <v>378.28890484699599</v>
      </c>
      <c r="AL7011">
        <v>91.322440440945698</v>
      </c>
      <c r="AM7011">
        <v>87.517938005236402</v>
      </c>
      <c r="AN7011">
        <v>0.99999997429421295</v>
      </c>
    </row>
    <row r="7012" spans="1:40" x14ac:dyDescent="0.25">
      <c r="A7012" t="str">
        <f>"20190312161156570"</f>
        <v>20190312161156570</v>
      </c>
      <c r="B7012" t="str">
        <f>"1552378316563755"</f>
        <v>1552378316563755</v>
      </c>
      <c r="C7012" t="s">
        <v>40</v>
      </c>
      <c r="D7012">
        <v>4.9016449999999896</v>
      </c>
      <c r="E7012">
        <v>0.48488940000000003</v>
      </c>
      <c r="F7012" t="s">
        <v>111</v>
      </c>
      <c r="G7012">
        <v>-200.56309999999999</v>
      </c>
      <c r="H7012">
        <v>9.7071710000000007</v>
      </c>
      <c r="I7012">
        <v>391.87</v>
      </c>
      <c r="J7012">
        <v>-187.89519999999999</v>
      </c>
      <c r="K7012">
        <v>1.1083730000000001</v>
      </c>
      <c r="L7012">
        <v>14.03262</v>
      </c>
      <c r="M7012">
        <v>-3.7789900000000001E-2</v>
      </c>
      <c r="N7012">
        <v>0</v>
      </c>
      <c r="O7012">
        <v>0.99927659999999996</v>
      </c>
      <c r="P7012">
        <v>6.4634209999999996E-3</v>
      </c>
      <c r="Q7012">
        <v>-2.7492659999999999E-2</v>
      </c>
      <c r="R7012">
        <v>0.99960110000000002</v>
      </c>
      <c r="S7012">
        <v>-0.10070800000000001</v>
      </c>
      <c r="T7012">
        <v>6.8294049999999995E-2</v>
      </c>
      <c r="U7012">
        <v>3.003479</v>
      </c>
      <c r="V7012">
        <v>4.4208400000000002E-2</v>
      </c>
      <c r="W7012">
        <v>-2.327224E-2</v>
      </c>
      <c r="X7012">
        <v>0.99875119999999895</v>
      </c>
      <c r="Y7012">
        <v>4.2899870000000003E-3</v>
      </c>
      <c r="Z7012">
        <v>2.2701610000000001E-2</v>
      </c>
      <c r="AA7012">
        <v>0.99973310000000004</v>
      </c>
      <c r="AB7012">
        <v>35</v>
      </c>
      <c r="AC7012">
        <v>-12.667899999999999</v>
      </c>
      <c r="AD7012">
        <v>8.5987980000000004</v>
      </c>
      <c r="AE7012">
        <v>377.83738</v>
      </c>
      <c r="AF7012">
        <v>1.61887799133717</v>
      </c>
      <c r="AG7012">
        <v>8.5987980000000004</v>
      </c>
      <c r="AH7012">
        <v>377.85073332241501</v>
      </c>
      <c r="AI7012">
        <v>88.696349516244894</v>
      </c>
      <c r="AJ7012">
        <v>89.754521294448395</v>
      </c>
      <c r="AK7012">
        <v>377.95202971446298</v>
      </c>
      <c r="AL7012">
        <v>91.333521562691004</v>
      </c>
      <c r="AM7012">
        <v>87.465532526023495</v>
      </c>
      <c r="AN7012">
        <v>0.99999996964330795</v>
      </c>
    </row>
    <row r="7013" spans="1:40" x14ac:dyDescent="0.25">
      <c r="A7013" t="str">
        <f>"20190312161156592"</f>
        <v>20190312161156592</v>
      </c>
      <c r="B7013" t="str">
        <f>"1552378316584251"</f>
        <v>1552378316584251</v>
      </c>
      <c r="C7013" t="s">
        <v>40</v>
      </c>
      <c r="D7013">
        <v>4.8289220000000004</v>
      </c>
      <c r="E7013">
        <v>0.48485109999999898</v>
      </c>
      <c r="F7013" t="s">
        <v>111</v>
      </c>
      <c r="G7013">
        <v>-200.08179999999999</v>
      </c>
      <c r="H7013">
        <v>9.3960629999999998</v>
      </c>
      <c r="I7013">
        <v>391.87</v>
      </c>
      <c r="J7013">
        <v>-187.9076</v>
      </c>
      <c r="K7013">
        <v>1.1084270000000001</v>
      </c>
      <c r="L7013">
        <v>14.372339999999999</v>
      </c>
      <c r="M7013">
        <v>-3.726463E-2</v>
      </c>
      <c r="N7013">
        <v>0</v>
      </c>
      <c r="O7013">
        <v>0.99929480000000004</v>
      </c>
      <c r="P7013">
        <v>7.636866E-3</v>
      </c>
      <c r="Q7013">
        <v>-2.7753509999999999E-2</v>
      </c>
      <c r="R7013">
        <v>0.99958559999999996</v>
      </c>
      <c r="S7013">
        <v>-9.6878049999999993E-2</v>
      </c>
      <c r="T7013">
        <v>6.5883280000000002E-2</v>
      </c>
      <c r="U7013">
        <v>3.0036320000000001</v>
      </c>
      <c r="V7013">
        <v>4.4855029999999997E-2</v>
      </c>
      <c r="W7013">
        <v>-2.3205480000000001E-2</v>
      </c>
      <c r="X7013">
        <v>0.9987239</v>
      </c>
      <c r="Y7013">
        <v>5.0389079999999999E-3</v>
      </c>
      <c r="Z7013">
        <v>2.1900599999999999E-2</v>
      </c>
      <c r="AA7013">
        <v>0.99974750000000001</v>
      </c>
      <c r="AB7013">
        <v>35</v>
      </c>
      <c r="AC7013">
        <v>-12.1741999999999</v>
      </c>
      <c r="AD7013">
        <v>8.2876359999999991</v>
      </c>
      <c r="AE7013">
        <v>377.49766</v>
      </c>
      <c r="AF7013">
        <v>1.9008008733394099</v>
      </c>
      <c r="AG7013">
        <v>8.2876359999999991</v>
      </c>
      <c r="AH7013">
        <v>377.50736513941803</v>
      </c>
      <c r="AI7013">
        <v>88.742370801313399</v>
      </c>
      <c r="AJ7013">
        <v>89.711510403657101</v>
      </c>
      <c r="AK7013">
        <v>377.60311000961701</v>
      </c>
      <c r="AL7013">
        <v>91.329695491547298</v>
      </c>
      <c r="AM7013">
        <v>87.428440436395505</v>
      </c>
      <c r="AN7013">
        <v>0.99999994822476901</v>
      </c>
    </row>
    <row r="7014" spans="1:40" x14ac:dyDescent="0.25">
      <c r="A7014" t="str">
        <f>"20190312161156616"</f>
        <v>20190312161156616</v>
      </c>
      <c r="B7014" t="str">
        <f>"1552378316603772"</f>
        <v>1552378316603772</v>
      </c>
      <c r="C7014" t="s">
        <v>40</v>
      </c>
      <c r="D7014">
        <v>4.9109470000000002</v>
      </c>
      <c r="E7014">
        <v>0.48480040000000002</v>
      </c>
      <c r="F7014" t="s">
        <v>111</v>
      </c>
      <c r="G7014">
        <v>-199.67250000000001</v>
      </c>
      <c r="H7014">
        <v>9.1420089999999998</v>
      </c>
      <c r="I7014">
        <v>391.87</v>
      </c>
      <c r="J7014">
        <v>-187.92080000000001</v>
      </c>
      <c r="K7014">
        <v>1.1084639999999999</v>
      </c>
      <c r="L7014">
        <v>14.740690000000001</v>
      </c>
      <c r="M7014">
        <v>-3.6692059999999999E-2</v>
      </c>
      <c r="N7014">
        <v>0</v>
      </c>
      <c r="O7014">
        <v>0.99931440000000005</v>
      </c>
      <c r="P7014">
        <v>8.3970980000000004E-3</v>
      </c>
      <c r="Q7014">
        <v>-2.8230620000000001E-2</v>
      </c>
      <c r="R7014">
        <v>0.99956610000000001</v>
      </c>
      <c r="S7014">
        <v>-9.3612669999999995E-2</v>
      </c>
      <c r="T7014">
        <v>6.3922640000000003E-2</v>
      </c>
      <c r="U7014">
        <v>3.0037229999999999</v>
      </c>
      <c r="V7014">
        <v>4.5041129999999999E-2</v>
      </c>
      <c r="W7014">
        <v>-2.3338569999999999E-2</v>
      </c>
      <c r="X7014">
        <v>0.9987125</v>
      </c>
      <c r="Y7014">
        <v>5.5522920000000003E-3</v>
      </c>
      <c r="Z7014">
        <v>2.1249520000000001E-2</v>
      </c>
      <c r="AA7014">
        <v>0.99975879999999995</v>
      </c>
      <c r="AB7014">
        <v>35</v>
      </c>
      <c r="AC7014">
        <v>-11.7517</v>
      </c>
      <c r="AD7014">
        <v>8.0335450000000002</v>
      </c>
      <c r="AE7014">
        <v>377.12930999999998</v>
      </c>
      <c r="AF7014">
        <v>2.0930849532373701</v>
      </c>
      <c r="AG7014">
        <v>8.0335450000000002</v>
      </c>
      <c r="AH7014">
        <v>377.13558561370797</v>
      </c>
      <c r="AI7014">
        <v>88.779718607914205</v>
      </c>
      <c r="AJ7014">
        <v>89.6820143543287</v>
      </c>
      <c r="AK7014">
        <v>377.22694599681398</v>
      </c>
      <c r="AL7014">
        <v>91.337322950394295</v>
      </c>
      <c r="AM7014">
        <v>87.417756213678302</v>
      </c>
      <c r="AN7014">
        <v>1.0000000249487799</v>
      </c>
    </row>
    <row r="7015" spans="1:40" x14ac:dyDescent="0.25">
      <c r="A7015" t="str">
        <f>"20190312161156639"</f>
        <v>20190312161156639</v>
      </c>
      <c r="B7015" t="str">
        <f>"1552378316634028"</f>
        <v>1552378316634028</v>
      </c>
      <c r="C7015" t="s">
        <v>40</v>
      </c>
      <c r="D7015">
        <v>4.9237669999999998</v>
      </c>
      <c r="E7015">
        <v>0.484738</v>
      </c>
      <c r="F7015" t="s">
        <v>111</v>
      </c>
      <c r="G7015">
        <v>-199.4555</v>
      </c>
      <c r="H7015">
        <v>8.8199609999999993</v>
      </c>
      <c r="I7015">
        <v>391.87</v>
      </c>
      <c r="J7015">
        <v>-187.93379999999999</v>
      </c>
      <c r="K7015">
        <v>1.108476</v>
      </c>
      <c r="L7015">
        <v>15.109279999999901</v>
      </c>
      <c r="M7015">
        <v>-3.6121760000000003E-2</v>
      </c>
      <c r="N7015">
        <v>0</v>
      </c>
      <c r="O7015">
        <v>0.99933349999999999</v>
      </c>
      <c r="P7015">
        <v>8.8601059999999995E-3</v>
      </c>
      <c r="Q7015">
        <v>-2.9092380000000001E-2</v>
      </c>
      <c r="R7015">
        <v>0.99953749999999997</v>
      </c>
      <c r="S7015">
        <v>-9.1873170000000004E-2</v>
      </c>
      <c r="T7015">
        <v>6.1421629999999998E-2</v>
      </c>
      <c r="U7015">
        <v>3.0038149999999999</v>
      </c>
      <c r="V7015">
        <v>4.4931649999999997E-2</v>
      </c>
      <c r="W7015">
        <v>-2.3877499999999999E-2</v>
      </c>
      <c r="X7015">
        <v>0.9987047</v>
      </c>
      <c r="Y7015">
        <v>5.5605100000000003E-3</v>
      </c>
      <c r="Z7015">
        <v>2.041867E-2</v>
      </c>
      <c r="AA7015">
        <v>0.99977609999999995</v>
      </c>
      <c r="AB7015">
        <v>35</v>
      </c>
      <c r="AC7015">
        <v>-11.521699999999999</v>
      </c>
      <c r="AD7015">
        <v>7.7114849999999997</v>
      </c>
      <c r="AE7015">
        <v>376.76071999999999</v>
      </c>
      <c r="AF7015">
        <v>2.0943920251451198</v>
      </c>
      <c r="AG7015">
        <v>7.7114849999999997</v>
      </c>
      <c r="AH7015">
        <v>376.773332194136</v>
      </c>
      <c r="AI7015">
        <v>88.827499180533493</v>
      </c>
      <c r="AJ7015">
        <v>89.681509869552897</v>
      </c>
      <c r="AK7015">
        <v>376.85805992645697</v>
      </c>
      <c r="AL7015">
        <v>91.368209961922403</v>
      </c>
      <c r="AM7015">
        <v>87.424004232635397</v>
      </c>
      <c r="AN7015">
        <v>1.00000003299003</v>
      </c>
    </row>
    <row r="7016" spans="1:40" x14ac:dyDescent="0.25">
      <c r="A7016" t="str">
        <f>"20190312161156682"</f>
        <v>20190312161156682</v>
      </c>
      <c r="B7016" t="str">
        <f>"1552378316674043"</f>
        <v>1552378316674043</v>
      </c>
      <c r="C7016" t="s">
        <v>40</v>
      </c>
      <c r="D7016">
        <v>4.9637479999999998</v>
      </c>
      <c r="E7016">
        <v>0.48464580000000002</v>
      </c>
      <c r="F7016" t="s">
        <v>111</v>
      </c>
      <c r="G7016">
        <v>-199.32320000000001</v>
      </c>
      <c r="H7016">
        <v>8.2835809999999999</v>
      </c>
      <c r="I7016">
        <v>391.87</v>
      </c>
      <c r="J7016">
        <v>-187.95740000000001</v>
      </c>
      <c r="K7016">
        <v>1.1084799999999999</v>
      </c>
      <c r="L7016">
        <v>15.7912</v>
      </c>
      <c r="M7016">
        <v>-3.5076339999999998E-2</v>
      </c>
      <c r="N7016">
        <v>0</v>
      </c>
      <c r="O7016">
        <v>0.99936780000000003</v>
      </c>
      <c r="P7016">
        <v>9.1482230000000005E-3</v>
      </c>
      <c r="Q7016">
        <v>-3.0366500000000001E-2</v>
      </c>
      <c r="R7016">
        <v>0.99949690000000002</v>
      </c>
      <c r="S7016">
        <v>-9.0805049999999998E-2</v>
      </c>
      <c r="T7016">
        <v>5.7205800000000001E-2</v>
      </c>
      <c r="U7016">
        <v>3.0038450000000001</v>
      </c>
      <c r="V7016">
        <v>4.4171500000000002E-2</v>
      </c>
      <c r="W7016">
        <v>-2.4626640000000002E-2</v>
      </c>
      <c r="X7016">
        <v>0.99872039999999995</v>
      </c>
      <c r="Y7016">
        <v>4.8691790000000004E-3</v>
      </c>
      <c r="Z7016">
        <v>1.9018710000000001E-2</v>
      </c>
      <c r="AA7016">
        <v>0.99980729999999995</v>
      </c>
      <c r="AB7016">
        <v>35</v>
      </c>
      <c r="AC7016">
        <v>-11.3658</v>
      </c>
      <c r="AD7016">
        <v>7.1751009999999997</v>
      </c>
      <c r="AE7016">
        <v>376.0788</v>
      </c>
      <c r="AF7016">
        <v>1.8322178395012201</v>
      </c>
      <c r="AG7016">
        <v>7.1751009999999997</v>
      </c>
      <c r="AH7016">
        <v>376.10926628794402</v>
      </c>
      <c r="AI7016">
        <v>88.907104120133198</v>
      </c>
      <c r="AJ7016">
        <v>89.720885582089295</v>
      </c>
      <c r="AK7016">
        <v>376.18216236848201</v>
      </c>
      <c r="AL7016">
        <v>91.411145175335903</v>
      </c>
      <c r="AM7016">
        <v>87.4675672530865</v>
      </c>
      <c r="AN7016">
        <v>1.0000000150930399</v>
      </c>
    </row>
    <row r="7017" spans="1:40" x14ac:dyDescent="0.25">
      <c r="A7017" t="str">
        <f>"20190312161156705"</f>
        <v>20190312161156705</v>
      </c>
      <c r="B7017" t="str">
        <f>"1552378316694540"</f>
        <v>1552378316694540</v>
      </c>
      <c r="C7017" t="s">
        <v>40</v>
      </c>
      <c r="D7017">
        <v>4.9539910000000003</v>
      </c>
      <c r="E7017">
        <v>0.484599</v>
      </c>
      <c r="F7017" t="s">
        <v>111</v>
      </c>
      <c r="G7017">
        <v>-199.2654</v>
      </c>
      <c r="H7017">
        <v>7.4927999999999999</v>
      </c>
      <c r="I7017">
        <v>390.11860000000001</v>
      </c>
      <c r="J7017">
        <v>-187.96950000000001</v>
      </c>
      <c r="K7017">
        <v>1.108473</v>
      </c>
      <c r="L7017">
        <v>16.150700000000001</v>
      </c>
      <c r="M7017">
        <v>-3.4527599999999999E-2</v>
      </c>
      <c r="N7017">
        <v>0</v>
      </c>
      <c r="O7017">
        <v>0.99938550000000004</v>
      </c>
      <c r="P7017">
        <v>9.0784560000000004E-3</v>
      </c>
      <c r="Q7017">
        <v>-3.0447700000000001E-2</v>
      </c>
      <c r="R7017">
        <v>0.99949509999999997</v>
      </c>
      <c r="S7017">
        <v>-9.0744019999999995E-2</v>
      </c>
      <c r="T7017">
        <v>5.1232930000000003E-2</v>
      </c>
      <c r="U7017">
        <v>3.0039060000000002</v>
      </c>
      <c r="V7017">
        <v>4.3553120000000001E-2</v>
      </c>
      <c r="W7017">
        <v>-2.4469810000000002E-2</v>
      </c>
      <c r="X7017">
        <v>0.99875139999999996</v>
      </c>
      <c r="Y7017">
        <v>4.3399800000000002E-3</v>
      </c>
      <c r="Z7017">
        <v>1.703375E-2</v>
      </c>
      <c r="AA7017">
        <v>0.99984550000000005</v>
      </c>
      <c r="AB7017">
        <v>35</v>
      </c>
      <c r="AC7017">
        <v>-11.2958999999999</v>
      </c>
      <c r="AD7017">
        <v>6.3843269999999999</v>
      </c>
      <c r="AE7017">
        <v>373.96789999999999</v>
      </c>
      <c r="AF7017">
        <v>1.6228124583335699</v>
      </c>
      <c r="AG7017">
        <v>6.3843269999999999</v>
      </c>
      <c r="AH7017">
        <v>374.026029035595</v>
      </c>
      <c r="AI7017">
        <v>89.022110756386297</v>
      </c>
      <c r="AJ7017">
        <v>89.751408420421001</v>
      </c>
      <c r="AK7017">
        <v>374.08403273549902</v>
      </c>
      <c r="AL7017">
        <v>91.4021567874331</v>
      </c>
      <c r="AM7017">
        <v>87.503052322039096</v>
      </c>
      <c r="AN7017">
        <v>1.0000000024325599</v>
      </c>
    </row>
    <row r="7018" spans="1:40" x14ac:dyDescent="0.25">
      <c r="A7018" t="str">
        <f>"20190312161156726"</f>
        <v>20190312161156726</v>
      </c>
      <c r="B7018" t="str">
        <f>"1552378316714060"</f>
        <v>1552378316714060</v>
      </c>
      <c r="C7018" t="s">
        <v>40</v>
      </c>
      <c r="D7018">
        <v>4.9290929999999999</v>
      </c>
      <c r="E7018">
        <v>0.4845545</v>
      </c>
      <c r="F7018" t="s">
        <v>111</v>
      </c>
      <c r="G7018">
        <v>-199.358</v>
      </c>
      <c r="H7018">
        <v>7.2828580000000001</v>
      </c>
      <c r="I7018">
        <v>390.11860000000001</v>
      </c>
      <c r="J7018">
        <v>-187.98099999999999</v>
      </c>
      <c r="K7018">
        <v>1.1084670000000001</v>
      </c>
      <c r="L7018">
        <v>16.495729999999998</v>
      </c>
      <c r="M7018">
        <v>-3.4000349999999999E-2</v>
      </c>
      <c r="N7018">
        <v>0</v>
      </c>
      <c r="O7018">
        <v>0.99940229999999997</v>
      </c>
      <c r="P7018">
        <v>8.9471419999999999E-3</v>
      </c>
      <c r="Q7018">
        <v>-3.0398359999999999E-2</v>
      </c>
      <c r="R7018">
        <v>0.99949779999999999</v>
      </c>
      <c r="S7018">
        <v>-9.1476440000000006E-2</v>
      </c>
      <c r="T7018">
        <v>4.9594880000000001E-2</v>
      </c>
      <c r="U7018">
        <v>3.0038450000000001</v>
      </c>
      <c r="V7018">
        <v>4.2895099999999999E-2</v>
      </c>
      <c r="W7018">
        <v>-2.4217160000000001E-2</v>
      </c>
      <c r="X7018">
        <v>0.99878599999999995</v>
      </c>
      <c r="Y7018">
        <v>3.5679940000000001E-3</v>
      </c>
      <c r="Z7018">
        <v>1.6490029999999999E-2</v>
      </c>
      <c r="AA7018">
        <v>0.99985769999999996</v>
      </c>
      <c r="AB7018">
        <v>36</v>
      </c>
      <c r="AC7018">
        <v>-11.377000000000001</v>
      </c>
      <c r="AD7018">
        <v>6.174391</v>
      </c>
      <c r="AE7018">
        <v>373.62286999999998</v>
      </c>
      <c r="AF7018">
        <v>1.3327707476947199</v>
      </c>
      <c r="AG7018">
        <v>6.174391</v>
      </c>
      <c r="AH7018">
        <v>373.691709599879</v>
      </c>
      <c r="AI7018">
        <v>89.053411944693806</v>
      </c>
      <c r="AJ7018">
        <v>89.795655581408198</v>
      </c>
      <c r="AK7018">
        <v>373.74509121293698</v>
      </c>
      <c r="AL7018">
        <v>91.387676766630193</v>
      </c>
      <c r="AM7018">
        <v>87.540815740916798</v>
      </c>
      <c r="AN7018">
        <v>0.999999967119237</v>
      </c>
    </row>
    <row r="7019" spans="1:40" x14ac:dyDescent="0.25">
      <c r="A7019" t="str">
        <f>"20190312161156749"</f>
        <v>20190312161156749</v>
      </c>
      <c r="B7019" t="str">
        <f>"1552378316744316"</f>
        <v>1552378316744316</v>
      </c>
      <c r="C7019" t="s">
        <v>40</v>
      </c>
      <c r="D7019">
        <v>4.9868779999999999</v>
      </c>
      <c r="E7019">
        <v>0.48449890000000001</v>
      </c>
      <c r="F7019" t="s">
        <v>111</v>
      </c>
      <c r="G7019">
        <v>-199.47489999999999</v>
      </c>
      <c r="H7019">
        <v>7.1261419999999998</v>
      </c>
      <c r="I7019">
        <v>390.11860000000001</v>
      </c>
      <c r="J7019">
        <v>-187.99270000000001</v>
      </c>
      <c r="K7019">
        <v>1.108457</v>
      </c>
      <c r="L7019">
        <v>16.854769999999998</v>
      </c>
      <c r="M7019">
        <v>-3.3450090000000002E-2</v>
      </c>
      <c r="N7019">
        <v>0</v>
      </c>
      <c r="O7019">
        <v>0.99941970000000002</v>
      </c>
      <c r="P7019">
        <v>9.2593450000000004E-3</v>
      </c>
      <c r="Q7019">
        <v>-3.061707E-2</v>
      </c>
      <c r="R7019">
        <v>0.9994883</v>
      </c>
      <c r="S7019">
        <v>-9.2407230000000007E-2</v>
      </c>
      <c r="T7019">
        <v>4.8380260000000001E-2</v>
      </c>
      <c r="U7019">
        <v>3.0038149999999999</v>
      </c>
      <c r="V7019">
        <v>4.2656649999999997E-2</v>
      </c>
      <c r="W7019">
        <v>-2.4247950000000001E-2</v>
      </c>
      <c r="X7019">
        <v>0.99879549999999995</v>
      </c>
      <c r="Y7019">
        <v>2.707414E-3</v>
      </c>
      <c r="Z7019">
        <v>1.6086840000000002E-2</v>
      </c>
      <c r="AA7019">
        <v>0.99986699999999995</v>
      </c>
      <c r="AB7019">
        <v>36</v>
      </c>
      <c r="AC7019">
        <v>-11.482199999999899</v>
      </c>
      <c r="AD7019">
        <v>6.0176850000000002</v>
      </c>
      <c r="AE7019">
        <v>373.26382999999998</v>
      </c>
      <c r="AF7019">
        <v>1.0099304708971599</v>
      </c>
      <c r="AG7019">
        <v>6.0176850000000002</v>
      </c>
      <c r="AH7019">
        <v>373.34208291838797</v>
      </c>
      <c r="AI7019">
        <v>89.076565827561097</v>
      </c>
      <c r="AJ7019">
        <v>89.845009134816706</v>
      </c>
      <c r="AK7019">
        <v>373.391943365354</v>
      </c>
      <c r="AL7019">
        <v>91.389441373675197</v>
      </c>
      <c r="AM7019">
        <v>87.554492713789401</v>
      </c>
      <c r="AN7019">
        <v>1.00000000184433</v>
      </c>
    </row>
    <row r="7020" spans="1:40" x14ac:dyDescent="0.25">
      <c r="A7020" t="str">
        <f>"20190312161156770"</f>
        <v>20190312161156770</v>
      </c>
      <c r="B7020" t="str">
        <f>"1552378316763836"</f>
        <v>1552378316763836</v>
      </c>
      <c r="C7020" t="s">
        <v>40</v>
      </c>
      <c r="D7020">
        <v>4.9403790000000001</v>
      </c>
      <c r="E7020">
        <v>0.4844868</v>
      </c>
      <c r="F7020" t="s">
        <v>111</v>
      </c>
      <c r="G7020">
        <v>-199.4188</v>
      </c>
      <c r="H7020">
        <v>6.7638490000000004</v>
      </c>
      <c r="I7020">
        <v>390.11860000000001</v>
      </c>
      <c r="J7020">
        <v>-188.00370000000001</v>
      </c>
      <c r="K7020">
        <v>1.1084449999999999</v>
      </c>
      <c r="L7020">
        <v>17.197970000000002</v>
      </c>
      <c r="M7020">
        <v>-3.2919950000000003E-2</v>
      </c>
      <c r="N7020">
        <v>0</v>
      </c>
      <c r="O7020">
        <v>0.99943630000000006</v>
      </c>
      <c r="P7020">
        <v>9.6250150000000007E-3</v>
      </c>
      <c r="Q7020">
        <v>-3.1200789999999999E-2</v>
      </c>
      <c r="R7020">
        <v>0.99946679999999999</v>
      </c>
      <c r="S7020">
        <v>-9.1949459999999997E-2</v>
      </c>
      <c r="T7020">
        <v>4.5510889999999998E-2</v>
      </c>
      <c r="U7020">
        <v>3.003784</v>
      </c>
      <c r="V7020">
        <v>4.249083E-2</v>
      </c>
      <c r="W7020">
        <v>-2.4672019999999999E-2</v>
      </c>
      <c r="X7020">
        <v>0.99879220000000002</v>
      </c>
      <c r="Y7020">
        <v>2.3284640000000001E-3</v>
      </c>
      <c r="Z7020">
        <v>1.5133570000000001E-2</v>
      </c>
      <c r="AA7020">
        <v>0.99988279999999996</v>
      </c>
      <c r="AB7020">
        <v>36</v>
      </c>
      <c r="AC7020">
        <v>-11.415099999999899</v>
      </c>
      <c r="AD7020">
        <v>5.6554039999999999</v>
      </c>
      <c r="AE7020">
        <v>372.92062999999899</v>
      </c>
      <c r="AF7020">
        <v>0.86768263608213203</v>
      </c>
      <c r="AG7020">
        <v>5.6554039999999999</v>
      </c>
      <c r="AH7020">
        <v>373.00858269645499</v>
      </c>
      <c r="AI7020">
        <v>89.131373663007196</v>
      </c>
      <c r="AJ7020">
        <v>89.866720323228606</v>
      </c>
      <c r="AK7020">
        <v>373.05246177016198</v>
      </c>
      <c r="AL7020">
        <v>91.413746042508095</v>
      </c>
      <c r="AM7020">
        <v>87.563979667129701</v>
      </c>
      <c r="AN7020">
        <v>1.0000000189928999</v>
      </c>
    </row>
    <row r="7021" spans="1:40" x14ac:dyDescent="0.25">
      <c r="A7021" t="str">
        <f>"20190312161156794"</f>
        <v>20190312161156794</v>
      </c>
      <c r="B7021" t="str">
        <f>"1552378316784332"</f>
        <v>1552378316784332</v>
      </c>
      <c r="C7021" t="s">
        <v>40</v>
      </c>
      <c r="D7021">
        <v>5.0110029999999997</v>
      </c>
      <c r="E7021">
        <v>0.48284680000000002</v>
      </c>
      <c r="F7021" t="s">
        <v>111</v>
      </c>
      <c r="G7021">
        <v>-199.27520000000001</v>
      </c>
      <c r="H7021">
        <v>6.4721169999999999</v>
      </c>
      <c r="I7021">
        <v>390.11860000000001</v>
      </c>
      <c r="J7021">
        <v>-188.01570000000001</v>
      </c>
      <c r="K7021">
        <v>1.1084210000000001</v>
      </c>
      <c r="L7021">
        <v>17.576840000000001</v>
      </c>
      <c r="M7021">
        <v>-3.2324899999999997E-2</v>
      </c>
      <c r="N7021">
        <v>0</v>
      </c>
      <c r="O7021">
        <v>0.99945459999999997</v>
      </c>
      <c r="P7021">
        <v>9.5655710000000001E-3</v>
      </c>
      <c r="Q7021">
        <v>-3.1008339999999999E-2</v>
      </c>
      <c r="R7021">
        <v>0.99947330000000001</v>
      </c>
      <c r="S7021">
        <v>-9.0789789999999995E-2</v>
      </c>
      <c r="T7021">
        <v>4.3203470000000001E-2</v>
      </c>
      <c r="U7021">
        <v>3.0038149999999999</v>
      </c>
      <c r="V7021">
        <v>4.1836999999999999E-2</v>
      </c>
      <c r="W7021">
        <v>-2.4323279999999999E-2</v>
      </c>
      <c r="X7021">
        <v>0.99882839999999995</v>
      </c>
      <c r="Y7021">
        <v>2.118754E-3</v>
      </c>
      <c r="Z7021">
        <v>1.4366820000000001E-2</v>
      </c>
      <c r="AA7021">
        <v>0.99989459999999997</v>
      </c>
      <c r="AB7021">
        <v>36</v>
      </c>
      <c r="AC7021">
        <v>-11.259499999999999</v>
      </c>
      <c r="AD7021">
        <v>5.363696</v>
      </c>
      <c r="AE7021">
        <v>372.54176000000001</v>
      </c>
      <c r="AF7021">
        <v>0.78887068485809297</v>
      </c>
      <c r="AG7021">
        <v>5.363696</v>
      </c>
      <c r="AH7021">
        <v>372.63386368806101</v>
      </c>
      <c r="AI7021">
        <v>89.175342706703105</v>
      </c>
      <c r="AJ7021">
        <v>89.878704278635794</v>
      </c>
      <c r="AK7021">
        <v>372.673299176142</v>
      </c>
      <c r="AL7021">
        <v>91.393758650638901</v>
      </c>
      <c r="AM7021">
        <v>87.601506772956995</v>
      </c>
      <c r="AN7021">
        <v>1.00000006458275</v>
      </c>
    </row>
    <row r="7022" spans="1:40" x14ac:dyDescent="0.25">
      <c r="A7022" t="str">
        <f>"20190312161156816"</f>
        <v>20190312161156816</v>
      </c>
      <c r="B7022" t="str">
        <f>"1552378316804828"</f>
        <v>1552378316804828</v>
      </c>
      <c r="C7022" t="s">
        <v>40</v>
      </c>
      <c r="D7022">
        <v>5.0584309999999997</v>
      </c>
      <c r="E7022">
        <v>0.48260599999999998</v>
      </c>
      <c r="F7022" t="s">
        <v>41</v>
      </c>
      <c r="G7022">
        <v>-189.5652</v>
      </c>
      <c r="H7022" s="1">
        <v>-5.3728629999999999E-7</v>
      </c>
      <c r="I7022">
        <v>60.705390000000001</v>
      </c>
      <c r="J7022">
        <v>-188.0266</v>
      </c>
      <c r="K7022">
        <v>1.1084039999999999</v>
      </c>
      <c r="L7022">
        <v>17.93018</v>
      </c>
      <c r="M7022">
        <v>-3.1755489999999997E-2</v>
      </c>
      <c r="N7022">
        <v>0</v>
      </c>
      <c r="O7022">
        <v>0.99947200000000003</v>
      </c>
      <c r="P7022">
        <v>8.9199880000000002E-3</v>
      </c>
      <c r="Q7022">
        <v>-3.0539859999999999E-2</v>
      </c>
      <c r="R7022">
        <v>0.99949370000000004</v>
      </c>
      <c r="S7022">
        <v>-0.1077881</v>
      </c>
      <c r="T7022">
        <v>-7.7106709999999995E-2</v>
      </c>
      <c r="U7022">
        <v>3.0002140000000002</v>
      </c>
      <c r="V7022">
        <v>4.0623520000000003E-2</v>
      </c>
      <c r="W7022">
        <v>-2.372544E-2</v>
      </c>
      <c r="X7022">
        <v>0.99889280000000003</v>
      </c>
      <c r="Y7022">
        <v>-4.1379340000000002E-3</v>
      </c>
      <c r="Z7022">
        <v>-2.5664119999999999E-2</v>
      </c>
      <c r="AA7022">
        <v>0.99966200000000005</v>
      </c>
      <c r="AB7022">
        <v>36</v>
      </c>
      <c r="AC7022">
        <v>-1.5386</v>
      </c>
      <c r="AD7022">
        <v>-1.1084045372863001</v>
      </c>
      <c r="AE7022">
        <v>42.775209999999902</v>
      </c>
      <c r="AF7022">
        <v>-0.17932385956449701</v>
      </c>
      <c r="AG7022">
        <v>-1.1084045372863001</v>
      </c>
      <c r="AH7022">
        <v>42.773812918167998</v>
      </c>
      <c r="AI7022">
        <v>91.484369310779996</v>
      </c>
      <c r="AJ7022">
        <v>90.240203980515702</v>
      </c>
      <c r="AK7022">
        <v>42.788547407259898</v>
      </c>
      <c r="AL7022">
        <v>91.3594951468624</v>
      </c>
      <c r="AM7022">
        <v>87.671147182962997</v>
      </c>
      <c r="AN7022">
        <v>0.99999999638611203</v>
      </c>
    </row>
    <row r="7023" spans="1:40" x14ac:dyDescent="0.25">
      <c r="A7023" t="str">
        <f>"20190312161156839"</f>
        <v>20190312161156839</v>
      </c>
      <c r="B7023" t="str">
        <f>"1552378316834108"</f>
        <v>1552378316834108</v>
      </c>
      <c r="C7023" t="s">
        <v>40</v>
      </c>
      <c r="D7023">
        <v>5.0851490000000004</v>
      </c>
      <c r="E7023">
        <v>0.48275230000000002</v>
      </c>
      <c r="F7023" t="s">
        <v>41</v>
      </c>
      <c r="G7023">
        <v>-189.89699999999999</v>
      </c>
      <c r="H7023" s="1">
        <v>-3.7504920000000001E-6</v>
      </c>
      <c r="I7023">
        <v>68.332660000000004</v>
      </c>
      <c r="J7023">
        <v>-188.0384</v>
      </c>
      <c r="K7023">
        <v>1.108374</v>
      </c>
      <c r="L7023">
        <v>18.319980000000001</v>
      </c>
      <c r="M7023">
        <v>-3.110224E-2</v>
      </c>
      <c r="N7023">
        <v>0</v>
      </c>
      <c r="O7023">
        <v>0.99949169999999998</v>
      </c>
      <c r="P7023">
        <v>8.5319839999999994E-3</v>
      </c>
      <c r="Q7023">
        <v>-3.084578E-2</v>
      </c>
      <c r="R7023">
        <v>0.99948780000000004</v>
      </c>
      <c r="S7023">
        <v>-0.1113434</v>
      </c>
      <c r="T7023">
        <v>-6.5984130000000002E-2</v>
      </c>
      <c r="U7023">
        <v>3.0004879999999998</v>
      </c>
      <c r="V7023">
        <v>3.958134E-2</v>
      </c>
      <c r="W7023">
        <v>-2.3906569999999999E-2</v>
      </c>
      <c r="X7023">
        <v>0.99893030000000005</v>
      </c>
      <c r="Y7023">
        <v>-5.9744000000000004E-3</v>
      </c>
      <c r="Z7023">
        <v>-2.1962120000000002E-2</v>
      </c>
      <c r="AA7023">
        <v>0.99974099999999999</v>
      </c>
      <c r="AB7023">
        <v>36</v>
      </c>
      <c r="AC7023">
        <v>-1.85860000000002</v>
      </c>
      <c r="AD7023">
        <v>-1.108377750492</v>
      </c>
      <c r="AE7023">
        <v>50.012679999999897</v>
      </c>
      <c r="AF7023">
        <v>-0.302008171823484</v>
      </c>
      <c r="AG7023">
        <v>-1.108377750492</v>
      </c>
      <c r="AH7023">
        <v>50.021756764364397</v>
      </c>
      <c r="AI7023">
        <v>91.269324077960405</v>
      </c>
      <c r="AJ7023">
        <v>90.345921145039398</v>
      </c>
      <c r="AK7023">
        <v>50.034946387168901</v>
      </c>
      <c r="AL7023">
        <v>91.369876104655006</v>
      </c>
      <c r="AM7023">
        <v>87.730914781434507</v>
      </c>
      <c r="AN7023">
        <v>0.99999997541172503</v>
      </c>
    </row>
    <row r="7024" spans="1:40" x14ac:dyDescent="0.25">
      <c r="A7024" t="str">
        <f>"20190312161156863"</f>
        <v>20190312161156863</v>
      </c>
      <c r="B7024" t="str">
        <f>"1552378316854604"</f>
        <v>1552378316854604</v>
      </c>
      <c r="C7024" t="s">
        <v>40</v>
      </c>
      <c r="D7024">
        <v>5.2905660000000001</v>
      </c>
      <c r="E7024">
        <v>0.4828287</v>
      </c>
      <c r="F7024" t="s">
        <v>41</v>
      </c>
      <c r="G7024">
        <v>-189.90600000000001</v>
      </c>
      <c r="H7024" s="1">
        <v>-3.9043860000000003E-6</v>
      </c>
      <c r="I7024">
        <v>68.695130000000006</v>
      </c>
      <c r="J7024">
        <v>-188.04949999999999</v>
      </c>
      <c r="K7024">
        <v>1.108333</v>
      </c>
      <c r="L7024">
        <v>18.694120000000002</v>
      </c>
      <c r="M7024">
        <v>-3.044204E-2</v>
      </c>
      <c r="N7024">
        <v>0</v>
      </c>
      <c r="O7024">
        <v>0.99951120000000004</v>
      </c>
      <c r="P7024">
        <v>8.5703229999999995E-3</v>
      </c>
      <c r="Q7024">
        <v>-3.1843910000000003E-2</v>
      </c>
      <c r="R7024">
        <v>0.99945609999999996</v>
      </c>
      <c r="S7024">
        <v>-0.1112366</v>
      </c>
      <c r="T7024">
        <v>-6.6017510000000001E-2</v>
      </c>
      <c r="U7024">
        <v>3.0004580000000001</v>
      </c>
      <c r="V7024">
        <v>3.8956159999999997E-2</v>
      </c>
      <c r="W7024">
        <v>-2.4800719999999998E-2</v>
      </c>
      <c r="X7024">
        <v>0.99893310000000002</v>
      </c>
      <c r="Y7024">
        <v>-6.5997199999999999E-3</v>
      </c>
      <c r="Z7024">
        <v>-2.197408E-2</v>
      </c>
      <c r="AA7024">
        <v>0.99973679999999998</v>
      </c>
      <c r="AB7024">
        <v>36</v>
      </c>
      <c r="AC7024">
        <v>-1.8564999999999801</v>
      </c>
      <c r="AD7024">
        <v>-1.1083369043860001</v>
      </c>
      <c r="AE7024">
        <v>50.001010000000001</v>
      </c>
      <c r="AF7024">
        <v>-0.33330469845822702</v>
      </c>
      <c r="AG7024">
        <v>-1.1083369043860001</v>
      </c>
      <c r="AH7024">
        <v>50.0098139059128</v>
      </c>
      <c r="AI7024">
        <v>91.269575277395901</v>
      </c>
      <c r="AJ7024">
        <v>90.3818584448004</v>
      </c>
      <c r="AK7024">
        <v>50.023204511703099</v>
      </c>
      <c r="AL7024">
        <v>91.421122295815493</v>
      </c>
      <c r="AM7024">
        <v>87.766724239022395</v>
      </c>
      <c r="AN7024">
        <v>0.99999999819503604</v>
      </c>
    </row>
    <row r="7025" spans="1:40" x14ac:dyDescent="0.25">
      <c r="A7025" t="str">
        <f>"20190312161156883"</f>
        <v>20190312161156883</v>
      </c>
      <c r="B7025" t="str">
        <f>"1552378316874124"</f>
        <v>1552378316874124</v>
      </c>
      <c r="C7025" t="s">
        <v>40</v>
      </c>
      <c r="D7025">
        <v>5.1303830000000001</v>
      </c>
      <c r="E7025">
        <v>0.50629609999999903</v>
      </c>
      <c r="F7025" t="s">
        <v>41</v>
      </c>
      <c r="G7025">
        <v>-189.8117</v>
      </c>
      <c r="H7025" s="1">
        <v>-2.9683169999999999E-6</v>
      </c>
      <c r="I7025">
        <v>66.474119999999999</v>
      </c>
      <c r="J7025">
        <v>-188.05930000000001</v>
      </c>
      <c r="K7025">
        <v>1.108295</v>
      </c>
      <c r="L7025">
        <v>19.0322</v>
      </c>
      <c r="M7025">
        <v>-2.9810860000000002E-2</v>
      </c>
      <c r="N7025">
        <v>0</v>
      </c>
      <c r="O7025">
        <v>0.99952969999999997</v>
      </c>
      <c r="P7025">
        <v>9.0993559999999994E-3</v>
      </c>
      <c r="Q7025">
        <v>-3.2304569999999998E-2</v>
      </c>
      <c r="R7025">
        <v>0.99943669999999996</v>
      </c>
      <c r="S7025">
        <v>-0.1106567</v>
      </c>
      <c r="T7025">
        <v>-6.9598439999999998E-2</v>
      </c>
      <c r="U7025">
        <v>3.0003660000000001</v>
      </c>
      <c r="V7025">
        <v>3.885135E-2</v>
      </c>
      <c r="W7025">
        <v>-2.5179989999999999E-2</v>
      </c>
      <c r="X7025">
        <v>0.99892769999999997</v>
      </c>
      <c r="Y7025">
        <v>-7.0383650000000004E-3</v>
      </c>
      <c r="Z7025">
        <v>-2.3166800000000001E-2</v>
      </c>
      <c r="AA7025">
        <v>0.99970689999999995</v>
      </c>
      <c r="AB7025">
        <v>36</v>
      </c>
      <c r="AC7025">
        <v>-1.75239999999999</v>
      </c>
      <c r="AD7025">
        <v>-1.108297968317</v>
      </c>
      <c r="AE7025">
        <v>47.441920000000003</v>
      </c>
      <c r="AF7025">
        <v>-0.33711640050645503</v>
      </c>
      <c r="AG7025">
        <v>-1.108297968317</v>
      </c>
      <c r="AH7025">
        <v>47.447216879995601</v>
      </c>
      <c r="AI7025">
        <v>91.338068973276194</v>
      </c>
      <c r="AJ7025">
        <v>90.407084402553807</v>
      </c>
      <c r="AK7025">
        <v>47.461356507282801</v>
      </c>
      <c r="AL7025">
        <v>91.442859645839604</v>
      </c>
      <c r="AM7025">
        <v>87.772714691183793</v>
      </c>
      <c r="AN7025">
        <v>1.00000000456025</v>
      </c>
    </row>
    <row r="7026" spans="1:40" x14ac:dyDescent="0.25">
      <c r="A7026" t="str">
        <f>"20190312161156905"</f>
        <v>20190312161156905</v>
      </c>
      <c r="B7026" t="str">
        <f>"1552378316894620"</f>
        <v>1552378316894620</v>
      </c>
      <c r="C7026" t="s">
        <v>40</v>
      </c>
      <c r="D7026">
        <v>5.1292</v>
      </c>
      <c r="E7026">
        <v>0.51201059999999998</v>
      </c>
      <c r="F7026" t="s">
        <v>111</v>
      </c>
      <c r="G7026">
        <v>-178.04480000000001</v>
      </c>
      <c r="H7026">
        <v>4.1411129999999998</v>
      </c>
      <c r="I7026">
        <v>391.87</v>
      </c>
      <c r="J7026">
        <v>-188.06890000000001</v>
      </c>
      <c r="K7026">
        <v>1.1082639999999999</v>
      </c>
      <c r="L7026">
        <v>19.374659999999999</v>
      </c>
      <c r="M7026">
        <v>-2.9136169999999999E-2</v>
      </c>
      <c r="N7026">
        <v>0</v>
      </c>
      <c r="O7026">
        <v>0.99954900000000002</v>
      </c>
      <c r="P7026">
        <v>1.0186779999999999E-2</v>
      </c>
      <c r="Q7026">
        <v>-3.2404240000000001E-2</v>
      </c>
      <c r="R7026">
        <v>0.9994229</v>
      </c>
      <c r="S7026">
        <v>8.0627439999999995E-2</v>
      </c>
      <c r="T7026">
        <v>2.4417399999999999E-2</v>
      </c>
      <c r="U7026">
        <v>3.0017399999999999</v>
      </c>
      <c r="V7026">
        <v>3.9261780000000003E-2</v>
      </c>
      <c r="W7026">
        <v>-2.520816E-2</v>
      </c>
      <c r="X7026">
        <v>0.99891099999999999</v>
      </c>
      <c r="Y7026">
        <v>5.5964710000000001E-2</v>
      </c>
      <c r="Z7026">
        <v>8.1211300000000007E-3</v>
      </c>
      <c r="AA7026">
        <v>0.9983997</v>
      </c>
      <c r="AB7026">
        <v>36</v>
      </c>
      <c r="AC7026">
        <v>10.024100000000001</v>
      </c>
      <c r="AD7026">
        <v>3.0328490000000001</v>
      </c>
      <c r="AE7026">
        <v>372.49534</v>
      </c>
      <c r="AF7026">
        <v>20.871835948056699</v>
      </c>
      <c r="AG7026">
        <v>3.0328490000000001</v>
      </c>
      <c r="AH7026">
        <v>372.02047369516401</v>
      </c>
      <c r="AI7026">
        <v>89.533647234567198</v>
      </c>
      <c r="AJ7026">
        <v>86.7888440794015</v>
      </c>
      <c r="AK7026">
        <v>372.61785324548498</v>
      </c>
      <c r="AL7026">
        <v>91.444474096992593</v>
      </c>
      <c r="AM7026">
        <v>87.749171883310495</v>
      </c>
      <c r="AN7026">
        <v>1.0000000623101699</v>
      </c>
    </row>
    <row r="7027" spans="1:40" x14ac:dyDescent="0.25">
      <c r="A7027" t="str">
        <f>"20190312161156927"</f>
        <v>20190312161156927</v>
      </c>
      <c r="B7027" t="str">
        <f>"1552378316914140"</f>
        <v>1552378316914140</v>
      </c>
      <c r="C7027" t="s">
        <v>40</v>
      </c>
      <c r="D7027">
        <v>5.1180059999999896</v>
      </c>
      <c r="E7027">
        <v>0.51622479999999904</v>
      </c>
      <c r="F7027" t="s">
        <v>45</v>
      </c>
      <c r="G7027">
        <v>0</v>
      </c>
      <c r="H7027">
        <v>0</v>
      </c>
      <c r="I7027">
        <v>0</v>
      </c>
      <c r="J7027">
        <v>-188.0788</v>
      </c>
      <c r="K7027">
        <v>1.1082299999999901</v>
      </c>
      <c r="L7027">
        <v>19.738890000000001</v>
      </c>
      <c r="M7027">
        <v>-2.8387269999999999E-2</v>
      </c>
      <c r="N7027">
        <v>0</v>
      </c>
      <c r="O7027">
        <v>0.99957010000000002</v>
      </c>
      <c r="P7027">
        <v>1.204583E-2</v>
      </c>
      <c r="Q7027">
        <v>-3.2566610000000003E-2</v>
      </c>
      <c r="R7027">
        <v>0.99939699999999998</v>
      </c>
      <c r="S7027">
        <v>0.129715</v>
      </c>
      <c r="T7027">
        <v>3.5481930000000002E-2</v>
      </c>
      <c r="U7027">
        <v>3.0015559999999999</v>
      </c>
      <c r="V7027">
        <v>4.0369009999999997E-2</v>
      </c>
      <c r="W7027">
        <v>-2.5304799999999999E-2</v>
      </c>
      <c r="X7027">
        <v>0.99886439999999999</v>
      </c>
      <c r="Y7027">
        <v>7.1516769999999993E-2</v>
      </c>
      <c r="Z7027">
        <v>1.179257E-2</v>
      </c>
      <c r="AA7027">
        <v>0.99736970000000003</v>
      </c>
      <c r="AB7027">
        <v>36</v>
      </c>
      <c r="AC7027">
        <v>0.129715</v>
      </c>
      <c r="AD7027">
        <v>3.5481930000000002E-2</v>
      </c>
      <c r="AE7027">
        <v>3.0015559999999999</v>
      </c>
      <c r="AF7027">
        <v>0.21484102788922799</v>
      </c>
      <c r="AG7027">
        <v>3.5481930000000002E-2</v>
      </c>
      <c r="AH7027">
        <v>2.9962460391441299</v>
      </c>
      <c r="AI7027">
        <v>89.323265024896898</v>
      </c>
      <c r="AJ7027">
        <v>85.898716947453707</v>
      </c>
      <c r="AK7027">
        <v>3.0041481257933902</v>
      </c>
      <c r="AL7027">
        <v>91.450012960394602</v>
      </c>
      <c r="AM7027">
        <v>87.685656011999598</v>
      </c>
      <c r="AN7027">
        <v>1.00000003972938</v>
      </c>
    </row>
    <row r="7028" spans="1:40" x14ac:dyDescent="0.25">
      <c r="A7028" t="str">
        <f>"20190312161156953"</f>
        <v>20190312161156953</v>
      </c>
      <c r="B7028" t="str">
        <f>"1552378316944397"</f>
        <v>1552378316944397</v>
      </c>
      <c r="C7028" t="s">
        <v>40</v>
      </c>
      <c r="D7028">
        <v>5.1639109999999997</v>
      </c>
      <c r="E7028">
        <v>0.51884459999999999</v>
      </c>
      <c r="F7028" t="s">
        <v>44</v>
      </c>
      <c r="G7028">
        <v>-169.2955</v>
      </c>
      <c r="H7028">
        <v>2.6168230000000001</v>
      </c>
      <c r="I7028">
        <v>354.33120000000002</v>
      </c>
      <c r="J7028">
        <v>-188.08959999999999</v>
      </c>
      <c r="K7028">
        <v>1.1081989999999999</v>
      </c>
      <c r="L7028">
        <v>20.14716</v>
      </c>
      <c r="M7028">
        <v>-2.7515299999999999E-2</v>
      </c>
      <c r="N7028">
        <v>0</v>
      </c>
      <c r="O7028">
        <v>0.99959390000000004</v>
      </c>
      <c r="P7028">
        <v>1.4039599999999999E-2</v>
      </c>
      <c r="Q7028">
        <v>-3.2538589999999999E-2</v>
      </c>
      <c r="R7028">
        <v>0.99937189999999998</v>
      </c>
      <c r="S7028">
        <v>0.16842650000000001</v>
      </c>
      <c r="T7028">
        <v>1.352799E-2</v>
      </c>
      <c r="U7028">
        <v>3.0002140000000002</v>
      </c>
      <c r="V7028">
        <v>4.1488450000000003E-2</v>
      </c>
      <c r="W7028">
        <v>-2.5211939999999999E-2</v>
      </c>
      <c r="X7028">
        <v>0.99882079999999995</v>
      </c>
      <c r="Y7028">
        <v>8.3500930000000001E-2</v>
      </c>
      <c r="Z7028">
        <v>4.4949889999999996E-3</v>
      </c>
      <c r="AA7028">
        <v>0.99649759999999998</v>
      </c>
      <c r="AB7028">
        <v>36</v>
      </c>
      <c r="AC7028">
        <v>18.794099999999901</v>
      </c>
      <c r="AD7028">
        <v>1.508624</v>
      </c>
      <c r="AE7028">
        <v>334.18403999999998</v>
      </c>
      <c r="AF7028">
        <v>27.9818421118079</v>
      </c>
      <c r="AG7028">
        <v>1.508624</v>
      </c>
      <c r="AH7028">
        <v>333.53358982794998</v>
      </c>
      <c r="AI7028">
        <v>89.741751318942704</v>
      </c>
      <c r="AJ7028">
        <v>85.204393512288604</v>
      </c>
      <c r="AK7028">
        <v>334.708701676342</v>
      </c>
      <c r="AL7028">
        <v>91.444690888890804</v>
      </c>
      <c r="AM7028">
        <v>87.621447838051694</v>
      </c>
      <c r="AN7028">
        <v>0.99999996195730201</v>
      </c>
    </row>
    <row r="7029" spans="1:40" x14ac:dyDescent="0.25">
      <c r="A7029" t="str">
        <f>"20190312161156974"</f>
        <v>20190312161156974</v>
      </c>
      <c r="B7029" t="str">
        <f>"1552378316963916"</f>
        <v>1552378316963916</v>
      </c>
      <c r="C7029" t="s">
        <v>40</v>
      </c>
      <c r="D7029">
        <v>5.2081169999999997</v>
      </c>
      <c r="E7029">
        <v>0.51998699999999998</v>
      </c>
      <c r="F7029" t="s">
        <v>47</v>
      </c>
      <c r="G7029">
        <v>-168.93709999999999</v>
      </c>
      <c r="H7029">
        <v>1.7211110000000001</v>
      </c>
      <c r="I7029">
        <v>314.49709999999999</v>
      </c>
      <c r="J7029">
        <v>-188.0986</v>
      </c>
      <c r="K7029">
        <v>1.1081799999999999</v>
      </c>
      <c r="L7029">
        <v>20.49869</v>
      </c>
      <c r="M7029">
        <v>-2.6744529999999999E-2</v>
      </c>
      <c r="N7029">
        <v>0</v>
      </c>
      <c r="O7029">
        <v>0.99961440000000001</v>
      </c>
      <c r="P7029">
        <v>1.536185E-2</v>
      </c>
      <c r="Q7029">
        <v>-3.1748279999999997E-2</v>
      </c>
      <c r="R7029">
        <v>0.99937779999999998</v>
      </c>
      <c r="S7029">
        <v>0.1951599</v>
      </c>
      <c r="T7029">
        <v>6.2454939999999999E-3</v>
      </c>
      <c r="U7029">
        <v>2.9993590000000001</v>
      </c>
      <c r="V7029">
        <v>4.2040599999999997E-2</v>
      </c>
      <c r="W7029">
        <v>-2.4371110000000001E-2</v>
      </c>
      <c r="X7029">
        <v>0.9988186</v>
      </c>
      <c r="Y7029">
        <v>9.1595389999999999E-2</v>
      </c>
      <c r="Z7029">
        <v>2.074584E-3</v>
      </c>
      <c r="AA7029">
        <v>0.99579410000000002</v>
      </c>
      <c r="AB7029">
        <v>36</v>
      </c>
      <c r="AC7029">
        <v>19.1615</v>
      </c>
      <c r="AD7029">
        <v>0.612931</v>
      </c>
      <c r="AE7029">
        <v>293.99840999999998</v>
      </c>
      <c r="AF7029">
        <v>27.017597242120999</v>
      </c>
      <c r="AG7029">
        <v>0.612931</v>
      </c>
      <c r="AH7029">
        <v>293.37949185329398</v>
      </c>
      <c r="AI7029">
        <v>89.880801707054104</v>
      </c>
      <c r="AJ7029">
        <v>84.738417568234595</v>
      </c>
      <c r="AK7029">
        <v>294.62154110866499</v>
      </c>
      <c r="AL7029">
        <v>91.396500039220896</v>
      </c>
      <c r="AM7029">
        <v>87.589824603437094</v>
      </c>
      <c r="AN7029">
        <v>0.99999997937847496</v>
      </c>
    </row>
    <row r="7030" spans="1:40" x14ac:dyDescent="0.25">
      <c r="A7030" t="str">
        <f>"20190312161156999"</f>
        <v>20190312161156999</v>
      </c>
      <c r="B7030" t="str">
        <f>"1552378316994172"</f>
        <v>1552378316994172</v>
      </c>
      <c r="C7030" t="s">
        <v>40</v>
      </c>
      <c r="D7030">
        <v>5.2570209999999999</v>
      </c>
      <c r="E7030">
        <v>0.52094669999999998</v>
      </c>
      <c r="F7030" t="s">
        <v>47</v>
      </c>
      <c r="G7030">
        <v>-167.72640000000001</v>
      </c>
      <c r="H7030">
        <v>1.3789579999999999</v>
      </c>
      <c r="I7030">
        <v>314.49709999999999</v>
      </c>
      <c r="J7030">
        <v>-188.10849999999999</v>
      </c>
      <c r="K7030">
        <v>1.1081559999999999</v>
      </c>
      <c r="L7030">
        <v>20.896000000000001</v>
      </c>
      <c r="M7030">
        <v>-2.5858300000000001E-2</v>
      </c>
      <c r="N7030">
        <v>0</v>
      </c>
      <c r="O7030">
        <v>0.99963740000000001</v>
      </c>
      <c r="P7030">
        <v>1.5985409999999999E-2</v>
      </c>
      <c r="Q7030">
        <v>-3.2055279999999998E-2</v>
      </c>
      <c r="R7030">
        <v>0.99935819999999997</v>
      </c>
      <c r="S7030">
        <v>0.20779420000000001</v>
      </c>
      <c r="T7030">
        <v>2.7619599999999999E-3</v>
      </c>
      <c r="U7030">
        <v>2.9987490000000001</v>
      </c>
      <c r="V7030">
        <v>4.1776489999999999E-2</v>
      </c>
      <c r="W7030">
        <v>-2.4625370000000001E-2</v>
      </c>
      <c r="X7030">
        <v>0.99882349999999998</v>
      </c>
      <c r="Y7030">
        <v>9.49018999999999E-2</v>
      </c>
      <c r="Z7030">
        <v>9.1739670000000003E-4</v>
      </c>
      <c r="AA7030">
        <v>0.99548619999999999</v>
      </c>
      <c r="AB7030">
        <v>37</v>
      </c>
      <c r="AC7030">
        <v>20.382099999999902</v>
      </c>
      <c r="AD7030">
        <v>0.27080199999999999</v>
      </c>
      <c r="AE7030">
        <v>293.60109999999997</v>
      </c>
      <c r="AF7030">
        <v>27.9675000269919</v>
      </c>
      <c r="AG7030">
        <v>0.27080199999999999</v>
      </c>
      <c r="AH7030">
        <v>292.97561024187598</v>
      </c>
      <c r="AI7030">
        <v>89.947280281082001</v>
      </c>
      <c r="AJ7030">
        <v>84.547058956454507</v>
      </c>
      <c r="AK7030">
        <v>294.30759859045901</v>
      </c>
      <c r="AL7030">
        <v>91.411072360856195</v>
      </c>
      <c r="AM7030">
        <v>87.604960001165196</v>
      </c>
      <c r="AN7030">
        <v>1.0000000340583</v>
      </c>
    </row>
    <row r="7031" spans="1:40" x14ac:dyDescent="0.25">
      <c r="A7031" t="str">
        <f>"20190312161157019"</f>
        <v>20190312161157019</v>
      </c>
      <c r="B7031" t="str">
        <f>"1552378317014668"</f>
        <v>1552378317014668</v>
      </c>
      <c r="C7031" t="s">
        <v>40</v>
      </c>
      <c r="D7031">
        <v>5.2779400000000001</v>
      </c>
      <c r="E7031">
        <v>0.52064690000000002</v>
      </c>
      <c r="F7031" t="s">
        <v>53</v>
      </c>
      <c r="G7031">
        <v>-168.09970000000001</v>
      </c>
      <c r="H7031">
        <v>0.13562579999999999</v>
      </c>
      <c r="I7031">
        <v>297.38529999999997</v>
      </c>
      <c r="J7031">
        <v>-188.11670000000001</v>
      </c>
      <c r="K7031">
        <v>1.108139</v>
      </c>
      <c r="L7031">
        <v>21.24005</v>
      </c>
      <c r="M7031">
        <v>-2.5083230000000001E-2</v>
      </c>
      <c r="N7031">
        <v>0</v>
      </c>
      <c r="O7031">
        <v>0.99965680000000001</v>
      </c>
      <c r="P7031">
        <v>1.6865680000000001E-2</v>
      </c>
      <c r="Q7031">
        <v>-3.2914739999999998E-2</v>
      </c>
      <c r="R7031">
        <v>0.99931590000000003</v>
      </c>
      <c r="S7031">
        <v>0.21696470000000001</v>
      </c>
      <c r="T7031">
        <v>-1.054478E-2</v>
      </c>
      <c r="U7031">
        <v>2.9981080000000002</v>
      </c>
      <c r="V7031">
        <v>4.1878789999999999E-2</v>
      </c>
      <c r="W7031">
        <v>-2.5444479999999998E-2</v>
      </c>
      <c r="X7031">
        <v>0.99879870000000004</v>
      </c>
      <c r="Y7031">
        <v>9.7173830000000003E-2</v>
      </c>
      <c r="Z7031">
        <v>-3.5025590000000001E-3</v>
      </c>
      <c r="AA7031">
        <v>0.99526130000000002</v>
      </c>
      <c r="AB7031">
        <v>37</v>
      </c>
      <c r="AC7031">
        <v>20.016999999999999</v>
      </c>
      <c r="AD7031">
        <v>-0.97251319999999997</v>
      </c>
      <c r="AE7031">
        <v>276.14524999999998</v>
      </c>
      <c r="AF7031">
        <v>26.9371819002541</v>
      </c>
      <c r="AG7031">
        <v>-0.97251319999999997</v>
      </c>
      <c r="AH7031">
        <v>275.55285534538098</v>
      </c>
      <c r="AI7031">
        <v>90.201254750971998</v>
      </c>
      <c r="AJ7031">
        <v>84.416684876538</v>
      </c>
      <c r="AK7031">
        <v>276.86807984967197</v>
      </c>
      <c r="AL7031">
        <v>91.458018598962198</v>
      </c>
      <c r="AM7031">
        <v>87.599042467805702</v>
      </c>
      <c r="AN7031">
        <v>1.0000000488680101</v>
      </c>
    </row>
    <row r="7032" spans="1:40" x14ac:dyDescent="0.25">
      <c r="A7032" t="str">
        <f>"20190312161157043"</f>
        <v>20190312161157043</v>
      </c>
      <c r="B7032" t="str">
        <f>"1552378317034189"</f>
        <v>1552378317034189</v>
      </c>
      <c r="C7032" t="s">
        <v>40</v>
      </c>
      <c r="D7032">
        <v>5.2489080000000001</v>
      </c>
      <c r="E7032">
        <v>0.52073219999999998</v>
      </c>
      <c r="F7032" t="s">
        <v>41</v>
      </c>
      <c r="G7032">
        <v>-177.1259</v>
      </c>
      <c r="H7032">
        <v>7.9986429999999997E-2</v>
      </c>
      <c r="I7032">
        <v>172.86019999999999</v>
      </c>
      <c r="J7032">
        <v>-188.12569999999999</v>
      </c>
      <c r="K7032">
        <v>1.1081319999999999</v>
      </c>
      <c r="L7032">
        <v>21.630520000000001</v>
      </c>
      <c r="M7032">
        <v>-2.419984E-2</v>
      </c>
      <c r="N7032">
        <v>0</v>
      </c>
      <c r="O7032">
        <v>0.99967830000000002</v>
      </c>
      <c r="P7032">
        <v>1.7683629999999999E-2</v>
      </c>
      <c r="Q7032">
        <v>-3.344478E-2</v>
      </c>
      <c r="R7032">
        <v>0.99928410000000001</v>
      </c>
      <c r="S7032">
        <v>0.2173004</v>
      </c>
      <c r="T7032">
        <v>-2.0327810000000002E-2</v>
      </c>
      <c r="U7032">
        <v>2.9977109999999998</v>
      </c>
      <c r="V7032">
        <v>4.1811580000000001E-2</v>
      </c>
      <c r="W7032">
        <v>-2.593256E-2</v>
      </c>
      <c r="X7032">
        <v>0.99878889999999998</v>
      </c>
      <c r="Y7032">
        <v>9.6413460000000006E-2</v>
      </c>
      <c r="Z7032">
        <v>-6.7533189999999998E-3</v>
      </c>
      <c r="AA7032">
        <v>0.99531849999999999</v>
      </c>
      <c r="AB7032">
        <v>37</v>
      </c>
      <c r="AC7032">
        <v>10.999799999999899</v>
      </c>
      <c r="AD7032">
        <v>-1.02814557</v>
      </c>
      <c r="AE7032">
        <v>151.22968</v>
      </c>
      <c r="AF7032">
        <v>14.6557441736571</v>
      </c>
      <c r="AG7032">
        <v>-1.02814557</v>
      </c>
      <c r="AH7032">
        <v>150.912248856178</v>
      </c>
      <c r="AI7032">
        <v>90.388514947811501</v>
      </c>
      <c r="AJ7032">
        <v>84.453152074162603</v>
      </c>
      <c r="AK7032">
        <v>151.62570618277701</v>
      </c>
      <c r="AL7032">
        <v>91.485992846490902</v>
      </c>
      <c r="AM7032">
        <v>87.602867700605501</v>
      </c>
      <c r="AN7032">
        <v>0.99999998632672904</v>
      </c>
    </row>
    <row r="7033" spans="1:40" x14ac:dyDescent="0.25">
      <c r="A7033" t="str">
        <f>"20190312161157084"</f>
        <v>20190312161157084</v>
      </c>
      <c r="B7033" t="str">
        <f>"1552378317074204"</f>
        <v>1552378317074204</v>
      </c>
      <c r="C7033" t="s">
        <v>40</v>
      </c>
      <c r="D7033">
        <v>5.2809410000000003</v>
      </c>
      <c r="E7033">
        <v>0.52095199999999997</v>
      </c>
      <c r="F7033" t="s">
        <v>87</v>
      </c>
      <c r="G7033">
        <v>-180.7861</v>
      </c>
      <c r="H7033" s="1">
        <v>-3.0040879999999998E-6</v>
      </c>
      <c r="I7033">
        <v>121.5303</v>
      </c>
      <c r="J7033">
        <v>-188.14070000000001</v>
      </c>
      <c r="K7033">
        <v>1.1081030000000001</v>
      </c>
      <c r="L7033">
        <v>22.314969999999999</v>
      </c>
      <c r="M7033">
        <v>-2.2650360000000001E-2</v>
      </c>
      <c r="N7033">
        <v>0</v>
      </c>
      <c r="O7033">
        <v>0.99971399999999999</v>
      </c>
      <c r="P7033">
        <v>1.7545229999999998E-2</v>
      </c>
      <c r="Q7033">
        <v>-3.5101640000000003E-2</v>
      </c>
      <c r="R7033">
        <v>0.9992297</v>
      </c>
      <c r="S7033">
        <v>0.2201996</v>
      </c>
      <c r="T7033">
        <v>-3.324556E-2</v>
      </c>
      <c r="U7033">
        <v>2.997131</v>
      </c>
      <c r="V7033">
        <v>4.0119920000000003E-2</v>
      </c>
      <c r="W7033">
        <v>-2.7522700000000001E-2</v>
      </c>
      <c r="X7033">
        <v>0.99881580000000003</v>
      </c>
      <c r="Y7033">
        <v>9.5839480000000005E-2</v>
      </c>
      <c r="Z7033">
        <v>-1.1047100000000001E-2</v>
      </c>
      <c r="AA7033">
        <v>0.99533550000000004</v>
      </c>
      <c r="AB7033">
        <v>37</v>
      </c>
      <c r="AC7033">
        <v>7.3545999999999996</v>
      </c>
      <c r="AD7033">
        <v>-1.108106004088</v>
      </c>
      <c r="AE7033">
        <v>99.215329999999994</v>
      </c>
      <c r="AF7033">
        <v>9.5988513375189601</v>
      </c>
      <c r="AG7033">
        <v>-1.108106004088</v>
      </c>
      <c r="AH7033">
        <v>99.011002218204993</v>
      </c>
      <c r="AI7033">
        <v>90.638221062664698</v>
      </c>
      <c r="AJ7033">
        <v>84.462632619785396</v>
      </c>
      <c r="AK7033">
        <v>99.481377182714397</v>
      </c>
      <c r="AL7033">
        <v>91.577133620194999</v>
      </c>
      <c r="AM7033">
        <v>87.699809090769406</v>
      </c>
      <c r="AN7033">
        <v>1.00000005466286</v>
      </c>
    </row>
    <row r="7034" spans="1:40" x14ac:dyDescent="0.25">
      <c r="A7034" t="str">
        <f>"20190312161157106"</f>
        <v>20190312161157106</v>
      </c>
      <c r="B7034" t="str">
        <f>"1552378317094699"</f>
        <v>1552378317094699</v>
      </c>
      <c r="C7034" t="s">
        <v>40</v>
      </c>
      <c r="D7034">
        <v>5.3908170000000002</v>
      </c>
      <c r="E7034">
        <v>0.5207927</v>
      </c>
      <c r="F7034" t="s">
        <v>41</v>
      </c>
      <c r="G7034">
        <v>-182.6061</v>
      </c>
      <c r="H7034" s="1">
        <v>-4.6128010000000004E-6</v>
      </c>
      <c r="I7034">
        <v>97.328059999999994</v>
      </c>
      <c r="J7034">
        <v>-188.14830000000001</v>
      </c>
      <c r="K7034">
        <v>1.1081019999999999</v>
      </c>
      <c r="L7034">
        <v>22.678280000000001</v>
      </c>
      <c r="M7034">
        <v>-2.182924E-2</v>
      </c>
      <c r="N7034">
        <v>0</v>
      </c>
      <c r="O7034">
        <v>0.99973210000000001</v>
      </c>
      <c r="P7034">
        <v>1.821948E-2</v>
      </c>
      <c r="Q7034">
        <v>-3.5598930000000001E-2</v>
      </c>
      <c r="R7034">
        <v>0.99919999999999998</v>
      </c>
      <c r="S7034">
        <v>0.22111510000000001</v>
      </c>
      <c r="T7034">
        <v>-4.4270160000000003E-2</v>
      </c>
      <c r="U7034">
        <v>2.9968569999999999</v>
      </c>
      <c r="V7034">
        <v>3.9971689999999997E-2</v>
      </c>
      <c r="W7034">
        <v>-2.7990399999999999E-2</v>
      </c>
      <c r="X7034">
        <v>0.99880869999999999</v>
      </c>
      <c r="Y7034">
        <v>9.5327529999999994E-2</v>
      </c>
      <c r="Z7034">
        <v>-1.471168E-2</v>
      </c>
      <c r="AA7034">
        <v>0.99533720000000003</v>
      </c>
      <c r="AB7034">
        <v>37</v>
      </c>
      <c r="AC7034">
        <v>5.5422000000000002</v>
      </c>
      <c r="AD7034">
        <v>-1.108106612801</v>
      </c>
      <c r="AE7034">
        <v>74.649779999999893</v>
      </c>
      <c r="AF7034">
        <v>7.1689045189254603</v>
      </c>
      <c r="AG7034">
        <v>-1.108106612801</v>
      </c>
      <c r="AH7034">
        <v>74.494680678296106</v>
      </c>
      <c r="AI7034">
        <v>90.848292151454601</v>
      </c>
      <c r="AJ7034">
        <v>84.503137707808705</v>
      </c>
      <c r="AK7034">
        <v>74.847034287459294</v>
      </c>
      <c r="AL7034">
        <v>91.603941257173901</v>
      </c>
      <c r="AM7034">
        <v>87.708282193882695</v>
      </c>
      <c r="AN7034">
        <v>1.0000000088446499</v>
      </c>
    </row>
    <row r="7035" spans="1:40" x14ac:dyDescent="0.25">
      <c r="A7035" t="str">
        <f>"20190312161157130"</f>
        <v>20190312161157130</v>
      </c>
      <c r="B7035" t="str">
        <f>"1552378317123981"</f>
        <v>1552378317123981</v>
      </c>
      <c r="C7035" t="s">
        <v>40</v>
      </c>
      <c r="D7035">
        <v>5.411238</v>
      </c>
      <c r="E7035">
        <v>0.52055390000000001</v>
      </c>
      <c r="F7035" t="s">
        <v>41</v>
      </c>
      <c r="G7035">
        <v>-183.5214</v>
      </c>
      <c r="H7035" s="1">
        <v>-3.6023580000000001E-6</v>
      </c>
      <c r="I7035">
        <v>85.168300000000002</v>
      </c>
      <c r="J7035">
        <v>-188.15629999999999</v>
      </c>
      <c r="K7035">
        <v>1.1080989999999999</v>
      </c>
      <c r="L7035">
        <v>23.08344</v>
      </c>
      <c r="M7035">
        <v>-2.091465E-2</v>
      </c>
      <c r="N7035">
        <v>0</v>
      </c>
      <c r="O7035">
        <v>0.99975139999999996</v>
      </c>
      <c r="P7035">
        <v>1.9734580000000002E-2</v>
      </c>
      <c r="Q7035">
        <v>-3.4245289999999998E-2</v>
      </c>
      <c r="R7035">
        <v>0.99921859999999996</v>
      </c>
      <c r="S7035">
        <v>0.2218628</v>
      </c>
      <c r="T7035">
        <v>-5.3134800000000003E-2</v>
      </c>
      <c r="U7035">
        <v>2.9964599999999999</v>
      </c>
      <c r="V7035">
        <v>4.0575559999999997E-2</v>
      </c>
      <c r="W7035">
        <v>-2.6607749999999999E-2</v>
      </c>
      <c r="X7035">
        <v>0.99882219999999999</v>
      </c>
      <c r="Y7035">
        <v>9.4670009999999999E-2</v>
      </c>
      <c r="Z7035">
        <v>-1.7659939999999999E-2</v>
      </c>
      <c r="AA7035">
        <v>0.99535200000000001</v>
      </c>
      <c r="AB7035">
        <v>37</v>
      </c>
      <c r="AC7035">
        <v>4.6348999999999796</v>
      </c>
      <c r="AD7035">
        <v>-1.1081026023579901</v>
      </c>
      <c r="AE7035">
        <v>62.084859999999999</v>
      </c>
      <c r="AF7035">
        <v>5.9305292655061699</v>
      </c>
      <c r="AG7035">
        <v>-1.1081026023579901</v>
      </c>
      <c r="AH7035">
        <v>61.954712053025503</v>
      </c>
      <c r="AI7035">
        <v>91.020003634400496</v>
      </c>
      <c r="AJ7035">
        <v>84.532100813019099</v>
      </c>
      <c r="AK7035">
        <v>62.247774372419698</v>
      </c>
      <c r="AL7035">
        <v>91.524691616608706</v>
      </c>
      <c r="AM7035">
        <v>87.673729361243403</v>
      </c>
      <c r="AN7035">
        <v>1.0000000678211001</v>
      </c>
    </row>
    <row r="7036" spans="1:40" x14ac:dyDescent="0.25">
      <c r="A7036" t="str">
        <f>"20190312161157151"</f>
        <v>20190312161157151</v>
      </c>
      <c r="B7036" t="str">
        <f>"1552378317144476"</f>
        <v>1552378317144476</v>
      </c>
      <c r="C7036" t="s">
        <v>40</v>
      </c>
      <c r="D7036">
        <v>5.4357939999999996</v>
      </c>
      <c r="E7036">
        <v>0.52050949999999996</v>
      </c>
      <c r="F7036" t="s">
        <v>41</v>
      </c>
      <c r="G7036">
        <v>-184.01910000000001</v>
      </c>
      <c r="H7036" s="1">
        <v>-4.7964649999999998E-6</v>
      </c>
      <c r="I7036">
        <v>78.340440000000001</v>
      </c>
      <c r="J7036">
        <v>-188.1628</v>
      </c>
      <c r="K7036">
        <v>1.108093</v>
      </c>
      <c r="L7036">
        <v>23.425840000000001</v>
      </c>
      <c r="M7036">
        <v>-2.014225E-2</v>
      </c>
      <c r="N7036">
        <v>0</v>
      </c>
      <c r="O7036">
        <v>0.99976710000000002</v>
      </c>
      <c r="P7036">
        <v>2.0367349999999999E-2</v>
      </c>
      <c r="Q7036">
        <v>-3.4706479999999998E-2</v>
      </c>
      <c r="R7036">
        <v>0.99919000000000002</v>
      </c>
      <c r="S7036">
        <v>0.22430420000000001</v>
      </c>
      <c r="T7036">
        <v>-6.007767E-2</v>
      </c>
      <c r="U7036">
        <v>2.9958499999999999</v>
      </c>
      <c r="V7036">
        <v>4.043484E-2</v>
      </c>
      <c r="W7036">
        <v>-2.7045079999999999E-2</v>
      </c>
      <c r="X7036">
        <v>0.99881609999999998</v>
      </c>
      <c r="Y7036">
        <v>9.4719280000000003E-2</v>
      </c>
      <c r="Z7036">
        <v>-1.997049E-2</v>
      </c>
      <c r="AA7036">
        <v>0.99530370000000001</v>
      </c>
      <c r="AB7036">
        <v>37</v>
      </c>
      <c r="AC7036">
        <v>4.1436999999999902</v>
      </c>
      <c r="AD7036">
        <v>-1.1080977964650001</v>
      </c>
      <c r="AE7036">
        <v>54.9146</v>
      </c>
      <c r="AF7036">
        <v>5.2468718026694603</v>
      </c>
      <c r="AG7036">
        <v>-1.1080977964650001</v>
      </c>
      <c r="AH7036">
        <v>54.797806600921199</v>
      </c>
      <c r="AI7036">
        <v>91.153180168630399</v>
      </c>
      <c r="AJ7036">
        <v>84.530621869066493</v>
      </c>
      <c r="AK7036">
        <v>55.059578210445302</v>
      </c>
      <c r="AL7036">
        <v>91.549757893589003</v>
      </c>
      <c r="AM7036">
        <v>87.681774135085007</v>
      </c>
      <c r="AN7036">
        <v>1.0000000071286199</v>
      </c>
    </row>
    <row r="7037" spans="1:40" x14ac:dyDescent="0.25">
      <c r="A7037" t="str">
        <f>"20190312161157174"</f>
        <v>20190312161157174</v>
      </c>
      <c r="B7037" t="str">
        <f>"1552378317163997"</f>
        <v>1552378317163997</v>
      </c>
      <c r="C7037" t="s">
        <v>40</v>
      </c>
      <c r="D7037">
        <v>5.3865959999999999</v>
      </c>
      <c r="E7037">
        <v>0.52072299999999905</v>
      </c>
      <c r="F7037" t="s">
        <v>41</v>
      </c>
      <c r="G7037">
        <v>-184.28960000000001</v>
      </c>
      <c r="H7037" s="1">
        <v>-3.2864559999999998E-6</v>
      </c>
      <c r="I7037">
        <v>74.840649999999997</v>
      </c>
      <c r="J7037">
        <v>-188.16990000000001</v>
      </c>
      <c r="K7037">
        <v>1.108085</v>
      </c>
      <c r="L7037">
        <v>23.815919999999998</v>
      </c>
      <c r="M7037">
        <v>-1.926276E-2</v>
      </c>
      <c r="N7037">
        <v>0</v>
      </c>
      <c r="O7037">
        <v>0.99978420000000001</v>
      </c>
      <c r="P7037">
        <v>2.0995509999999998E-2</v>
      </c>
      <c r="Q7037">
        <v>-3.5331750000000002E-2</v>
      </c>
      <c r="R7037">
        <v>0.99915500000000002</v>
      </c>
      <c r="S7037">
        <v>0.22566220000000001</v>
      </c>
      <c r="T7037">
        <v>-6.4560889999999996E-2</v>
      </c>
      <c r="U7037">
        <v>2.9955750000000001</v>
      </c>
      <c r="V7037">
        <v>4.018211E-2</v>
      </c>
      <c r="W7037">
        <v>-2.7644749999999999E-2</v>
      </c>
      <c r="X7037">
        <v>0.99880990000000003</v>
      </c>
      <c r="Y7037">
        <v>9.4296690000000002E-2</v>
      </c>
      <c r="Z7037">
        <v>-2.146269E-2</v>
      </c>
      <c r="AA7037">
        <v>0.9953128</v>
      </c>
      <c r="AB7037">
        <v>37</v>
      </c>
      <c r="AC7037">
        <v>3.8803000000000001</v>
      </c>
      <c r="AD7037">
        <v>-1.108088286456</v>
      </c>
      <c r="AE7037">
        <v>51.024729999999899</v>
      </c>
      <c r="AF7037">
        <v>4.8602078850187196</v>
      </c>
      <c r="AG7037">
        <v>-1.108088286456</v>
      </c>
      <c r="AH7037">
        <v>50.916639577231798</v>
      </c>
      <c r="AI7037">
        <v>91.241079932674097</v>
      </c>
      <c r="AJ7037">
        <v>84.547396748412396</v>
      </c>
      <c r="AK7037">
        <v>51.160078832757002</v>
      </c>
      <c r="AL7037">
        <v>91.584129278161896</v>
      </c>
      <c r="AM7037">
        <v>87.696233803439895</v>
      </c>
      <c r="AN7037">
        <v>1.00000002525231</v>
      </c>
    </row>
    <row r="7038" spans="1:40" x14ac:dyDescent="0.25">
      <c r="A7038" t="str">
        <f>"20190312161157196"</f>
        <v>20190312161157196</v>
      </c>
      <c r="B7038" t="str">
        <f>"1552378317184493"</f>
        <v>1552378317184493</v>
      </c>
      <c r="C7038" t="s">
        <v>40</v>
      </c>
      <c r="D7038">
        <v>5.3290089999999903</v>
      </c>
      <c r="E7038">
        <v>0.52082479999999998</v>
      </c>
      <c r="F7038" t="s">
        <v>41</v>
      </c>
      <c r="G7038">
        <v>-184.28229999999999</v>
      </c>
      <c r="H7038" s="1">
        <v>-3.2188590000000001E-6</v>
      </c>
      <c r="I7038">
        <v>74.636279999999999</v>
      </c>
      <c r="J7038">
        <v>-188.17609999999999</v>
      </c>
      <c r="K7038">
        <v>1.108087</v>
      </c>
      <c r="L7038">
        <v>24.175840000000001</v>
      </c>
      <c r="M7038">
        <v>-1.8451450000000001E-2</v>
      </c>
      <c r="N7038">
        <v>0</v>
      </c>
      <c r="O7038">
        <v>0.99979929999999995</v>
      </c>
      <c r="P7038">
        <v>2.2105280000000001E-2</v>
      </c>
      <c r="Q7038">
        <v>-3.5205529999999999E-2</v>
      </c>
      <c r="R7038">
        <v>0.99913560000000001</v>
      </c>
      <c r="S7038">
        <v>0.22914119999999999</v>
      </c>
      <c r="T7038">
        <v>-6.5312270000000006E-2</v>
      </c>
      <c r="U7038">
        <v>2.995422</v>
      </c>
      <c r="V7038">
        <v>4.0481000000000003E-2</v>
      </c>
      <c r="W7038">
        <v>-2.7497509999999999E-2</v>
      </c>
      <c r="X7038">
        <v>0.99880190000000002</v>
      </c>
      <c r="Y7038">
        <v>9.4641600000000006E-2</v>
      </c>
      <c r="Z7038">
        <v>-2.171265E-2</v>
      </c>
      <c r="AA7038">
        <v>0.99527460000000001</v>
      </c>
      <c r="AB7038">
        <v>37</v>
      </c>
      <c r="AC7038">
        <v>3.8937999999999899</v>
      </c>
      <c r="AD7038">
        <v>-1.1080902188590001</v>
      </c>
      <c r="AE7038">
        <v>50.460439999999998</v>
      </c>
      <c r="AF7038">
        <v>4.8219222296142004</v>
      </c>
      <c r="AG7038">
        <v>-1.1080902188590001</v>
      </c>
      <c r="AH7038">
        <v>50.355861488512197</v>
      </c>
      <c r="AI7038">
        <v>91.254862790126296</v>
      </c>
      <c r="AJ7038">
        <v>84.530210115834095</v>
      </c>
      <c r="AK7038">
        <v>50.598335784606597</v>
      </c>
      <c r="AL7038">
        <v>91.575689832116694</v>
      </c>
      <c r="AM7038">
        <v>87.679097604623394</v>
      </c>
      <c r="AN7038">
        <v>1.0000000299303999</v>
      </c>
    </row>
    <row r="7039" spans="1:40" x14ac:dyDescent="0.25">
      <c r="A7039" t="str">
        <f>"20190312161157221"</f>
        <v>20190312161157221</v>
      </c>
      <c r="B7039" t="str">
        <f>"1552378317214748"</f>
        <v>1552378317214748</v>
      </c>
      <c r="C7039" t="s">
        <v>40</v>
      </c>
      <c r="D7039">
        <v>5.3878589999999997</v>
      </c>
      <c r="E7039">
        <v>0.52090110000000001</v>
      </c>
      <c r="F7039" t="s">
        <v>41</v>
      </c>
      <c r="G7039">
        <v>-184.33860000000001</v>
      </c>
      <c r="H7039" s="1">
        <v>-2.7889830000000001E-6</v>
      </c>
      <c r="I7039">
        <v>73.417109999999994</v>
      </c>
      <c r="J7039">
        <v>-188.1832</v>
      </c>
      <c r="K7039">
        <v>1.108087</v>
      </c>
      <c r="L7039">
        <v>24.603390000000001</v>
      </c>
      <c r="M7039">
        <v>-1.7488210000000001E-2</v>
      </c>
      <c r="N7039">
        <v>0</v>
      </c>
      <c r="O7039">
        <v>0.99981640000000005</v>
      </c>
      <c r="P7039">
        <v>2.309951E-2</v>
      </c>
      <c r="Q7039">
        <v>-3.4833639999999999E-2</v>
      </c>
      <c r="R7039">
        <v>0.99912610000000002</v>
      </c>
      <c r="S7039">
        <v>0.2334137</v>
      </c>
      <c r="T7039">
        <v>-6.7398550000000002E-2</v>
      </c>
      <c r="U7039">
        <v>2.9950559999999999</v>
      </c>
      <c r="V7039">
        <v>4.0513319999999998E-2</v>
      </c>
      <c r="W7039">
        <v>-2.7101360000000001E-2</v>
      </c>
      <c r="X7039">
        <v>0.99881140000000002</v>
      </c>
      <c r="Y7039">
        <v>9.5101889999999994E-2</v>
      </c>
      <c r="Z7039">
        <v>-2.2407469999999999E-2</v>
      </c>
      <c r="AA7039">
        <v>0.99521530000000002</v>
      </c>
      <c r="AB7039">
        <v>37</v>
      </c>
      <c r="AC7039">
        <v>3.8445999999999798</v>
      </c>
      <c r="AD7039">
        <v>-1.1080897889829999</v>
      </c>
      <c r="AE7039">
        <v>48.813719999999897</v>
      </c>
      <c r="AF7039">
        <v>4.6952981681594599</v>
      </c>
      <c r="AG7039">
        <v>-1.1080897889829999</v>
      </c>
      <c r="AH7039">
        <v>48.714069258678897</v>
      </c>
      <c r="AI7039">
        <v>91.297062742468</v>
      </c>
      <c r="AJ7039">
        <v>84.494561540472503</v>
      </c>
      <c r="AK7039">
        <v>48.952366966345302</v>
      </c>
      <c r="AL7039">
        <v>91.552983673644803</v>
      </c>
      <c r="AM7039">
        <v>87.677268694874101</v>
      </c>
      <c r="AN7039">
        <v>1.0000000127906099</v>
      </c>
    </row>
    <row r="7040" spans="1:40" x14ac:dyDescent="0.25">
      <c r="A7040" t="str">
        <f>"20190312161157241"</f>
        <v>20190312161157241</v>
      </c>
      <c r="B7040" t="str">
        <f>"1552378317234269"</f>
        <v>1552378317234269</v>
      </c>
      <c r="C7040" t="s">
        <v>40</v>
      </c>
      <c r="D7040">
        <v>5.4291660000000004</v>
      </c>
      <c r="E7040">
        <v>0.52121099999999998</v>
      </c>
      <c r="F7040" t="s">
        <v>41</v>
      </c>
      <c r="G7040">
        <v>-184.31370000000001</v>
      </c>
      <c r="H7040" s="1">
        <v>-2.8257599999999999E-6</v>
      </c>
      <c r="I7040">
        <v>73.505690000000001</v>
      </c>
      <c r="J7040">
        <v>-188.18809999999999</v>
      </c>
      <c r="K7040">
        <v>1.108082</v>
      </c>
      <c r="L7040">
        <v>24.921479999999999</v>
      </c>
      <c r="M7040">
        <v>-1.6771689999999999E-2</v>
      </c>
      <c r="N7040">
        <v>0</v>
      </c>
      <c r="O7040">
        <v>0.99982859999999996</v>
      </c>
      <c r="P7040">
        <v>2.3930480000000001E-2</v>
      </c>
      <c r="Q7040">
        <v>-3.390377E-2</v>
      </c>
      <c r="R7040">
        <v>0.99913850000000004</v>
      </c>
      <c r="S7040">
        <v>0.23696900000000001</v>
      </c>
      <c r="T7040">
        <v>-6.7859530000000001E-2</v>
      </c>
      <c r="U7040">
        <v>2.9947810000000001</v>
      </c>
      <c r="V7040">
        <v>4.0630489999999998E-2</v>
      </c>
      <c r="W7040">
        <v>-2.615458E-2</v>
      </c>
      <c r="X7040">
        <v>0.99883189999999999</v>
      </c>
      <c r="Y7040">
        <v>9.5569509999999996E-2</v>
      </c>
      <c r="Z7040">
        <v>-2.2561580000000001E-2</v>
      </c>
      <c r="AA7040">
        <v>0.99516700000000002</v>
      </c>
      <c r="AB7040">
        <v>37</v>
      </c>
      <c r="AC7040">
        <v>3.8743999999999699</v>
      </c>
      <c r="AD7040">
        <v>-1.10808482576</v>
      </c>
      <c r="AE7040">
        <v>48.584209999999999</v>
      </c>
      <c r="AF7040">
        <v>4.6862970477139703</v>
      </c>
      <c r="AG7040">
        <v>-1.10808482576</v>
      </c>
      <c r="AH7040">
        <v>48.487330875229397</v>
      </c>
      <c r="AI7040">
        <v>91.303087176832094</v>
      </c>
      <c r="AJ7040">
        <v>84.479513751593402</v>
      </c>
      <c r="AK7040">
        <v>48.7258708224334</v>
      </c>
      <c r="AL7040">
        <v>91.498717904020396</v>
      </c>
      <c r="AM7040">
        <v>87.670606188081607</v>
      </c>
      <c r="AN7040">
        <v>1.0000000316151101</v>
      </c>
    </row>
    <row r="7041" spans="1:40" x14ac:dyDescent="0.25">
      <c r="A7041" t="str">
        <f>"20190312161157268"</f>
        <v>20190312161157268</v>
      </c>
      <c r="B7041" t="str">
        <f>"1552378317254765"</f>
        <v>1552378317254765</v>
      </c>
      <c r="C7041" t="s">
        <v>40</v>
      </c>
      <c r="D7041">
        <v>5.4722559999999998</v>
      </c>
      <c r="E7041">
        <v>0.52123920000000001</v>
      </c>
      <c r="F7041" t="s">
        <v>41</v>
      </c>
      <c r="G7041">
        <v>-184.08940000000001</v>
      </c>
      <c r="H7041" s="1">
        <v>-3.647315E-6</v>
      </c>
      <c r="I7041">
        <v>75.690799999999996</v>
      </c>
      <c r="J7041">
        <v>-188.19470000000001</v>
      </c>
      <c r="K7041">
        <v>1.1080909999999999</v>
      </c>
      <c r="L7041">
        <v>25.369019999999999</v>
      </c>
      <c r="M7041">
        <v>-1.576406E-2</v>
      </c>
      <c r="N7041">
        <v>0</v>
      </c>
      <c r="O7041">
        <v>0.99984479999999998</v>
      </c>
      <c r="P7041">
        <v>2.5265960000000001E-2</v>
      </c>
      <c r="Q7041">
        <v>-3.3994860000000002E-2</v>
      </c>
      <c r="R7041">
        <v>0.99910259999999995</v>
      </c>
      <c r="S7041">
        <v>0.24176030000000001</v>
      </c>
      <c r="T7041">
        <v>-6.5359120000000007E-2</v>
      </c>
      <c r="U7041">
        <v>2.9945680000000001</v>
      </c>
      <c r="V7041">
        <v>4.0958389999999997E-2</v>
      </c>
      <c r="W7041">
        <v>-2.622377E-2</v>
      </c>
      <c r="X7041">
        <v>0.9988167</v>
      </c>
      <c r="Y7041">
        <v>9.6155519999999994E-2</v>
      </c>
      <c r="Z7041">
        <v>-2.1730739999999998E-2</v>
      </c>
      <c r="AA7041">
        <v>0.99512909999999999</v>
      </c>
      <c r="AB7041">
        <v>37</v>
      </c>
      <c r="AC7041">
        <v>4.1052999999999997</v>
      </c>
      <c r="AD7041">
        <v>-1.108094647315</v>
      </c>
      <c r="AE7041">
        <v>50.321779999999897</v>
      </c>
      <c r="AF7041">
        <v>4.8957317538838403</v>
      </c>
      <c r="AG7041">
        <v>-1.108094647315</v>
      </c>
      <c r="AH7041">
        <v>50.226615123404699</v>
      </c>
      <c r="AI7041">
        <v>91.257889312595097</v>
      </c>
      <c r="AJ7041">
        <v>84.432803369882905</v>
      </c>
      <c r="AK7041">
        <v>50.476815766329999</v>
      </c>
      <c r="AL7041">
        <v>91.502683549466994</v>
      </c>
      <c r="AM7041">
        <v>87.651792559675002</v>
      </c>
      <c r="AN7041">
        <v>1.0000000380116401</v>
      </c>
    </row>
    <row r="7042" spans="1:40" x14ac:dyDescent="0.25">
      <c r="A7042" t="str">
        <f>"20190312161157309"</f>
        <v>20190312161157309</v>
      </c>
      <c r="B7042" t="str">
        <f>"1552378317304540"</f>
        <v>1552378317304540</v>
      </c>
      <c r="C7042" t="s">
        <v>40</v>
      </c>
      <c r="D7042">
        <v>5.4798239999999998</v>
      </c>
      <c r="E7042">
        <v>0.48449680000000001</v>
      </c>
      <c r="F7042" t="s">
        <v>41</v>
      </c>
      <c r="G7042">
        <v>-184.19880000000001</v>
      </c>
      <c r="H7042" s="1">
        <v>-3.0231229999999999E-6</v>
      </c>
      <c r="I7042">
        <v>73.995819999999995</v>
      </c>
      <c r="J7042">
        <v>-188.20410000000001</v>
      </c>
      <c r="K7042">
        <v>1.1080890000000001</v>
      </c>
      <c r="L7042">
        <v>26.06354</v>
      </c>
      <c r="M7042">
        <v>-1.420102E-2</v>
      </c>
      <c r="N7042">
        <v>0</v>
      </c>
      <c r="O7042">
        <v>0.99986799999999998</v>
      </c>
      <c r="P7042">
        <v>2.757103E-2</v>
      </c>
      <c r="Q7042">
        <v>-3.2285500000000002E-2</v>
      </c>
      <c r="R7042">
        <v>0.99909840000000005</v>
      </c>
      <c r="S7042">
        <v>0.24604799999999999</v>
      </c>
      <c r="T7042">
        <v>-6.8229680000000001E-2</v>
      </c>
      <c r="U7042">
        <v>2.9941409999999999</v>
      </c>
      <c r="V7042">
        <v>4.1705369999999999E-2</v>
      </c>
      <c r="W7042">
        <v>-2.4483100000000001E-2</v>
      </c>
      <c r="X7042">
        <v>0.99883</v>
      </c>
      <c r="Y7042">
        <v>9.6024830000000005E-2</v>
      </c>
      <c r="Z7042">
        <v>-2.2687510000000001E-2</v>
      </c>
      <c r="AA7042">
        <v>0.99512029999999996</v>
      </c>
      <c r="AB7042">
        <v>38</v>
      </c>
      <c r="AC7042">
        <v>4.0053000000000001</v>
      </c>
      <c r="AD7042">
        <v>-1.10809202312299</v>
      </c>
      <c r="AE7042">
        <v>47.932279999999899</v>
      </c>
      <c r="AF7042">
        <v>4.6831190868355002</v>
      </c>
      <c r="AG7042">
        <v>-1.10809202312299</v>
      </c>
      <c r="AH7042">
        <v>47.845172248196299</v>
      </c>
      <c r="AI7042">
        <v>91.320422567818497</v>
      </c>
      <c r="AJ7042">
        <v>84.409656455927006</v>
      </c>
      <c r="AK7042">
        <v>48.086588356554898</v>
      </c>
      <c r="AL7042">
        <v>91.402918389464304</v>
      </c>
      <c r="AM7042">
        <v>87.609048105802799</v>
      </c>
      <c r="AN7042">
        <v>1.0000000644862199</v>
      </c>
    </row>
    <row r="7043" spans="1:40" x14ac:dyDescent="0.25">
      <c r="A7043" t="str">
        <f>"20190312161157332"</f>
        <v>20190312161157332</v>
      </c>
      <c r="B7043" t="str">
        <f>"1552378317324061"</f>
        <v>1552378317324061</v>
      </c>
      <c r="C7043" t="s">
        <v>40</v>
      </c>
      <c r="D7043">
        <v>5.4679789999999997</v>
      </c>
      <c r="E7043">
        <v>0.4834311</v>
      </c>
      <c r="F7043" t="s">
        <v>41</v>
      </c>
      <c r="G7043">
        <v>-188.96680000000001</v>
      </c>
      <c r="H7043" s="1">
        <v>-1.752048E-6</v>
      </c>
      <c r="I7043">
        <v>83.289609999999996</v>
      </c>
      <c r="J7043">
        <v>-188.20920000000001</v>
      </c>
      <c r="K7043">
        <v>1.1080829999999999</v>
      </c>
      <c r="L7043">
        <v>26.47757</v>
      </c>
      <c r="M7043">
        <v>-1.3269990000000001E-2</v>
      </c>
      <c r="N7043">
        <v>0</v>
      </c>
      <c r="O7043">
        <v>0.99988060000000001</v>
      </c>
      <c r="P7043">
        <v>2.8935829999999999E-2</v>
      </c>
      <c r="Q7043">
        <v>-3.2262970000000002E-2</v>
      </c>
      <c r="R7043">
        <v>0.99906050000000002</v>
      </c>
      <c r="S7043">
        <v>-4.0008540000000002E-2</v>
      </c>
      <c r="T7043">
        <v>-5.8127400000000003E-2</v>
      </c>
      <c r="U7043">
        <v>3.0019230000000001</v>
      </c>
      <c r="V7043">
        <v>4.2139530000000001E-2</v>
      </c>
      <c r="W7043">
        <v>-2.444325E-2</v>
      </c>
      <c r="X7043">
        <v>0.9988127</v>
      </c>
      <c r="Y7043" s="1">
        <v>-5.3560539999999999E-5</v>
      </c>
      <c r="Z7043">
        <v>-1.9356350000000001E-2</v>
      </c>
      <c r="AA7043">
        <v>0.9998127</v>
      </c>
      <c r="AB7043">
        <v>38</v>
      </c>
      <c r="AC7043">
        <v>-0.75759999999999605</v>
      </c>
      <c r="AD7043">
        <v>-1.1080847520479999</v>
      </c>
      <c r="AE7043">
        <v>56.812040000000003</v>
      </c>
      <c r="AF7043">
        <v>-3.61307893386864E-3</v>
      </c>
      <c r="AG7043">
        <v>-1.1080847520479999</v>
      </c>
      <c r="AH7043">
        <v>56.795488644579898</v>
      </c>
      <c r="AI7043">
        <v>91.117703665529007</v>
      </c>
      <c r="AJ7043">
        <v>90.003644905231297</v>
      </c>
      <c r="AK7043">
        <v>56.806297144318997</v>
      </c>
      <c r="AL7043">
        <v>91.400634544124301</v>
      </c>
      <c r="AM7043">
        <v>87.5841454336353</v>
      </c>
      <c r="AN7043">
        <v>1.0000000110702301</v>
      </c>
    </row>
    <row r="7044" spans="1:40" x14ac:dyDescent="0.25">
      <c r="A7044" t="str">
        <f>"20190312161157352"</f>
        <v>20190312161157352</v>
      </c>
      <c r="B7044" t="str">
        <f>"1552378317344557"</f>
        <v>1552378317344557</v>
      </c>
      <c r="C7044" t="s">
        <v>40</v>
      </c>
      <c r="D7044">
        <v>5.4083500000000004</v>
      </c>
      <c r="E7044">
        <v>0.48339490000000002</v>
      </c>
      <c r="F7044" t="s">
        <v>41</v>
      </c>
      <c r="G7044">
        <v>-188.96629999999999</v>
      </c>
      <c r="H7044" s="1">
        <v>-3.623434E-6</v>
      </c>
      <c r="I7044">
        <v>77.651679999999999</v>
      </c>
      <c r="J7044">
        <v>-188.21289999999999</v>
      </c>
      <c r="K7044">
        <v>1.1080779999999999</v>
      </c>
      <c r="L7044">
        <v>26.804020000000001</v>
      </c>
      <c r="M7044">
        <v>-1.25363E-2</v>
      </c>
      <c r="N7044">
        <v>0</v>
      </c>
      <c r="O7044">
        <v>0.99988999999999995</v>
      </c>
      <c r="P7044">
        <v>2.95587E-2</v>
      </c>
      <c r="Q7044">
        <v>-3.1908560000000002E-2</v>
      </c>
      <c r="R7044">
        <v>0.99905359999999999</v>
      </c>
      <c r="S7044">
        <v>-4.4418329999999999E-2</v>
      </c>
      <c r="T7044">
        <v>-6.5003400000000003E-2</v>
      </c>
      <c r="U7044">
        <v>3.002014</v>
      </c>
      <c r="V7044">
        <v>4.2030129999999999E-2</v>
      </c>
      <c r="W7044">
        <v>-2.407449E-2</v>
      </c>
      <c r="X7044">
        <v>0.99882629999999994</v>
      </c>
      <c r="Y7044">
        <v>-2.2546039999999999E-3</v>
      </c>
      <c r="Z7044">
        <v>-2.1644420000000001E-2</v>
      </c>
      <c r="AA7044">
        <v>0.99976319999999996</v>
      </c>
      <c r="AB7044">
        <v>38</v>
      </c>
      <c r="AC7044">
        <v>-0.75339999999999896</v>
      </c>
      <c r="AD7044">
        <v>-1.1080816234340001</v>
      </c>
      <c r="AE7044">
        <v>50.847659999999998</v>
      </c>
      <c r="AF7044">
        <v>-0.115824253504495</v>
      </c>
      <c r="AG7044">
        <v>-1.1080816234340001</v>
      </c>
      <c r="AH7044">
        <v>50.828975809347199</v>
      </c>
      <c r="AI7044">
        <v>91.248858154083194</v>
      </c>
      <c r="AJ7044">
        <v>90.130559967010996</v>
      </c>
      <c r="AK7044">
        <v>50.8411845059602</v>
      </c>
      <c r="AL7044">
        <v>91.3794998857487</v>
      </c>
      <c r="AM7044">
        <v>87.590442691567105</v>
      </c>
      <c r="AN7044">
        <v>1.00000004523413</v>
      </c>
    </row>
    <row r="7045" spans="1:40" x14ac:dyDescent="0.25">
      <c r="A7045" t="str">
        <f>"20190312161157374"</f>
        <v>20190312161157374</v>
      </c>
      <c r="B7045" t="str">
        <f>"1552378317364078"</f>
        <v>1552378317364078</v>
      </c>
      <c r="C7045" t="s">
        <v>40</v>
      </c>
      <c r="D7045">
        <v>5.5467040000000001</v>
      </c>
      <c r="E7045">
        <v>0.48343550000000002</v>
      </c>
      <c r="F7045" t="s">
        <v>41</v>
      </c>
      <c r="G7045">
        <v>-188.94839999999999</v>
      </c>
      <c r="H7045" s="1">
        <v>-3.8345920000000003E-6</v>
      </c>
      <c r="I7045">
        <v>78.136469999999903</v>
      </c>
      <c r="J7045">
        <v>-188.21690000000001</v>
      </c>
      <c r="K7045">
        <v>1.108077</v>
      </c>
      <c r="L7045">
        <v>27.183229999999998</v>
      </c>
      <c r="M7045">
        <v>-1.1684470000000001E-2</v>
      </c>
      <c r="N7045">
        <v>0</v>
      </c>
      <c r="O7045">
        <v>0.99990020000000002</v>
      </c>
      <c r="P7045">
        <v>3.0539009999999998E-2</v>
      </c>
      <c r="Q7045">
        <v>-3.1262539999999998E-2</v>
      </c>
      <c r="R7045">
        <v>0.9990445</v>
      </c>
      <c r="S7045">
        <v>-4.3014530000000002E-2</v>
      </c>
      <c r="T7045">
        <v>-6.4803239999999998E-2</v>
      </c>
      <c r="U7045">
        <v>3.0020449999999999</v>
      </c>
      <c r="V7045">
        <v>4.216073E-2</v>
      </c>
      <c r="W7045">
        <v>-2.341288E-2</v>
      </c>
      <c r="X7045">
        <v>0.99883650000000002</v>
      </c>
      <c r="Y7045">
        <v>-2.6389849999999999E-3</v>
      </c>
      <c r="Z7045">
        <v>-2.1577989999999998E-2</v>
      </c>
      <c r="AA7045">
        <v>0.99976370000000003</v>
      </c>
      <c r="AB7045">
        <v>38</v>
      </c>
      <c r="AC7045">
        <v>-0.73149999999998205</v>
      </c>
      <c r="AD7045">
        <v>-1.1080808345919999</v>
      </c>
      <c r="AE7045">
        <v>50.953240000000001</v>
      </c>
      <c r="AF7045">
        <v>-0.136005374554695</v>
      </c>
      <c r="AG7045">
        <v>-1.1080808345919999</v>
      </c>
      <c r="AH7045">
        <v>50.934225385477099</v>
      </c>
      <c r="AI7045">
        <v>91.246276256668395</v>
      </c>
      <c r="AJ7045">
        <v>90.152991733432501</v>
      </c>
      <c r="AK7045">
        <v>50.9464587210581</v>
      </c>
      <c r="AL7045">
        <v>91.341581767450094</v>
      </c>
      <c r="AM7045">
        <v>87.582989006033301</v>
      </c>
      <c r="AN7045">
        <v>1.00000002191813</v>
      </c>
    </row>
    <row r="7046" spans="1:40" x14ac:dyDescent="0.25">
      <c r="A7046" t="str">
        <f>"20190312161157398"</f>
        <v>20190312161157398</v>
      </c>
      <c r="B7046" t="str">
        <f>"1552378317384573"</f>
        <v>1552378317384573</v>
      </c>
      <c r="C7046" t="s">
        <v>40</v>
      </c>
      <c r="D7046">
        <v>5.5166469999999999</v>
      </c>
      <c r="E7046">
        <v>0.4848672</v>
      </c>
      <c r="F7046" t="s">
        <v>41</v>
      </c>
      <c r="G7046">
        <v>-188.8835</v>
      </c>
      <c r="H7046" s="1">
        <v>-3.5770600000000002E-6</v>
      </c>
      <c r="I7046">
        <v>77.509339999999995</v>
      </c>
      <c r="J7046">
        <v>-188.22059999999999</v>
      </c>
      <c r="K7046">
        <v>1.108079</v>
      </c>
      <c r="L7046">
        <v>27.562190000000001</v>
      </c>
      <c r="M7046">
        <v>-1.0833519999999999E-2</v>
      </c>
      <c r="N7046">
        <v>0</v>
      </c>
      <c r="O7046">
        <v>0.99990959999999995</v>
      </c>
      <c r="P7046">
        <v>3.1303829999999998E-2</v>
      </c>
      <c r="Q7046">
        <v>-3.1132449999999999E-2</v>
      </c>
      <c r="R7046">
        <v>0.99902489999999999</v>
      </c>
      <c r="S7046">
        <v>-3.9764399999999998E-2</v>
      </c>
      <c r="T7046">
        <v>-6.6098329999999997E-2</v>
      </c>
      <c r="U7046">
        <v>3.002014</v>
      </c>
      <c r="V7046">
        <v>4.2075550000000003E-2</v>
      </c>
      <c r="W7046">
        <v>-2.326725E-2</v>
      </c>
      <c r="X7046">
        <v>0.9988435</v>
      </c>
      <c r="Y7046">
        <v>-2.4078429999999998E-3</v>
      </c>
      <c r="Z7046">
        <v>-2.2009730000000002E-2</v>
      </c>
      <c r="AA7046">
        <v>0.99975480000000005</v>
      </c>
      <c r="AB7046">
        <v>38</v>
      </c>
      <c r="AC7046">
        <v>-0.66290000000000704</v>
      </c>
      <c r="AD7046">
        <v>-1.10808257706</v>
      </c>
      <c r="AE7046">
        <v>49.947150000000001</v>
      </c>
      <c r="AF7046">
        <v>-0.121680608172148</v>
      </c>
      <c r="AG7046">
        <v>-1.10808257706</v>
      </c>
      <c r="AH7046">
        <v>49.9268318724463</v>
      </c>
      <c r="AI7046">
        <v>91.271417450028295</v>
      </c>
      <c r="AJ7046">
        <v>90.139639773477796</v>
      </c>
      <c r="AK7046">
        <v>49.939275064697398</v>
      </c>
      <c r="AL7046">
        <v>91.333235502605902</v>
      </c>
      <c r="AM7046">
        <v>87.587883357578605</v>
      </c>
      <c r="AN7046">
        <v>1.0000000271613001</v>
      </c>
    </row>
    <row r="7047" spans="1:40" x14ac:dyDescent="0.25">
      <c r="A7047" t="str">
        <f>"20190312161157420"</f>
        <v>20190312161157420</v>
      </c>
      <c r="B7047" t="str">
        <f>"1552378317413852"</f>
        <v>1552378317413852</v>
      </c>
      <c r="C7047" t="s">
        <v>40</v>
      </c>
      <c r="D7047">
        <v>5.6454740000000001</v>
      </c>
      <c r="E7047">
        <v>0.48486639999999998</v>
      </c>
      <c r="F7047" t="s">
        <v>41</v>
      </c>
      <c r="G7047">
        <v>-188.4342</v>
      </c>
      <c r="H7047" s="1">
        <v>-6.4272059999999998E-7</v>
      </c>
      <c r="I7047">
        <v>50.312440000000002</v>
      </c>
      <c r="J7047">
        <v>-188.2242</v>
      </c>
      <c r="K7047">
        <v>1.1080779999999999</v>
      </c>
      <c r="L7047">
        <v>27.965579999999999</v>
      </c>
      <c r="M7047">
        <v>-9.9281930000000001E-3</v>
      </c>
      <c r="N7047">
        <v>0</v>
      </c>
      <c r="O7047">
        <v>0.99991890000000005</v>
      </c>
      <c r="P7047">
        <v>3.17676E-2</v>
      </c>
      <c r="Q7047">
        <v>-3.0903300000000002E-2</v>
      </c>
      <c r="R7047">
        <v>0.99901740000000006</v>
      </c>
      <c r="S7047">
        <v>-2.8152469999999999E-2</v>
      </c>
      <c r="T7047">
        <v>-0.14608309999999999</v>
      </c>
      <c r="U7047">
        <v>2.9992679999999998</v>
      </c>
      <c r="V7047">
        <v>4.1635390000000001E-2</v>
      </c>
      <c r="W7047">
        <v>-2.3021059999999999E-2</v>
      </c>
      <c r="X7047">
        <v>0.99886759999999997</v>
      </c>
      <c r="Y7047">
        <v>5.5361250000000005E-4</v>
      </c>
      <c r="Z7047">
        <v>-4.864392E-2</v>
      </c>
      <c r="AA7047">
        <v>0.99881600000000004</v>
      </c>
      <c r="AB7047">
        <v>38</v>
      </c>
      <c r="AC7047">
        <v>-0.21000000000000801</v>
      </c>
      <c r="AD7047">
        <v>-1.1080786427206</v>
      </c>
      <c r="AE7047">
        <v>22.34686</v>
      </c>
      <c r="AF7047">
        <v>1.1852209372669301E-2</v>
      </c>
      <c r="AG7047">
        <v>-1.1080786427206</v>
      </c>
      <c r="AH7047">
        <v>22.2930361580962</v>
      </c>
      <c r="AI7047">
        <v>92.845552882791495</v>
      </c>
      <c r="AJ7047">
        <v>89.9695384017609</v>
      </c>
      <c r="AK7047">
        <v>22.320560922600102</v>
      </c>
      <c r="AL7047">
        <v>91.319126139665798</v>
      </c>
      <c r="AM7047">
        <v>87.61314513344</v>
      </c>
      <c r="AN7047">
        <v>0.99999997861686696</v>
      </c>
    </row>
    <row r="7048" spans="1:40" x14ac:dyDescent="0.25">
      <c r="A7048" t="str">
        <f>"20190312161157442"</f>
        <v>20190312161157442</v>
      </c>
      <c r="B7048" t="str">
        <f>"1552378317434349"</f>
        <v>1552378317434349</v>
      </c>
      <c r="C7048" t="s">
        <v>40</v>
      </c>
      <c r="D7048">
        <v>5.5500759999999998</v>
      </c>
      <c r="E7048">
        <v>0.4826241</v>
      </c>
      <c r="F7048" t="s">
        <v>41</v>
      </c>
      <c r="G7048">
        <v>-188.43459999999999</v>
      </c>
      <c r="H7048" s="1">
        <v>-1.160051E-6</v>
      </c>
      <c r="I7048">
        <v>51.689599999999999</v>
      </c>
      <c r="J7048">
        <v>-188.22720000000001</v>
      </c>
      <c r="K7048">
        <v>1.1080719999999999</v>
      </c>
      <c r="L7048">
        <v>28.330690000000001</v>
      </c>
      <c r="M7048">
        <v>-9.1089540000000007E-3</v>
      </c>
      <c r="N7048">
        <v>0</v>
      </c>
      <c r="O7048">
        <v>0.9999266</v>
      </c>
      <c r="P7048">
        <v>3.275753E-2</v>
      </c>
      <c r="Q7048">
        <v>-3.051247E-2</v>
      </c>
      <c r="R7048">
        <v>0.99899740000000004</v>
      </c>
      <c r="S7048">
        <v>-2.6596069999999999E-2</v>
      </c>
      <c r="T7048">
        <v>-0.14009549999999901</v>
      </c>
      <c r="U7048">
        <v>2.9994510000000001</v>
      </c>
      <c r="V7048">
        <v>4.1807589999999999E-2</v>
      </c>
      <c r="W7048">
        <v>-2.261645E-2</v>
      </c>
      <c r="X7048">
        <v>0.99886969999999997</v>
      </c>
      <c r="Y7048">
        <v>2.5227870000000001E-4</v>
      </c>
      <c r="Z7048">
        <v>-4.6652359999999997E-2</v>
      </c>
      <c r="AA7048">
        <v>0.99891110000000005</v>
      </c>
      <c r="AB7048">
        <v>38</v>
      </c>
      <c r="AC7048">
        <v>-0.20739999999997799</v>
      </c>
      <c r="AD7048">
        <v>-1.1080731600510001</v>
      </c>
      <c r="AE7048">
        <v>23.358910000000002</v>
      </c>
      <c r="AF7048">
        <v>5.3785297530972703E-3</v>
      </c>
      <c r="AG7048">
        <v>-1.1080731600510001</v>
      </c>
      <c r="AH7048">
        <v>23.307386667751299</v>
      </c>
      <c r="AI7048">
        <v>92.721890160155596</v>
      </c>
      <c r="AJ7048">
        <v>89.986778138031397</v>
      </c>
      <c r="AK7048">
        <v>23.333712270804199</v>
      </c>
      <c r="AL7048">
        <v>91.295937591816795</v>
      </c>
      <c r="AM7048">
        <v>87.603289850471498</v>
      </c>
      <c r="AN7048">
        <v>1.00000002798515</v>
      </c>
    </row>
    <row r="7049" spans="1:40" x14ac:dyDescent="0.25">
      <c r="A7049" t="str">
        <f>"20190312161157465"</f>
        <v>20190312161157465</v>
      </c>
      <c r="B7049" t="str">
        <f>"1552378317453869"</f>
        <v>1552378317453869</v>
      </c>
      <c r="C7049" t="s">
        <v>40</v>
      </c>
      <c r="D7049">
        <v>5.585852</v>
      </c>
      <c r="E7049">
        <v>0.48261090000000001</v>
      </c>
      <c r="F7049" t="s">
        <v>41</v>
      </c>
      <c r="G7049">
        <v>-188.8049</v>
      </c>
      <c r="H7049" s="1">
        <v>-1.184269E-6</v>
      </c>
      <c r="I7049">
        <v>71.899190000000004</v>
      </c>
      <c r="J7049">
        <v>-188.23009999999999</v>
      </c>
      <c r="K7049">
        <v>1.1080730000000001</v>
      </c>
      <c r="L7049">
        <v>28.734069999999999</v>
      </c>
      <c r="M7049">
        <v>-8.2045639999999993E-3</v>
      </c>
      <c r="N7049">
        <v>0</v>
      </c>
      <c r="O7049">
        <v>0.99993430000000005</v>
      </c>
      <c r="P7049">
        <v>3.4307320000000002E-2</v>
      </c>
      <c r="Q7049">
        <v>-2.9965519999999999E-2</v>
      </c>
      <c r="R7049">
        <v>0.99896200000000002</v>
      </c>
      <c r="S7049">
        <v>-3.9810180000000001E-2</v>
      </c>
      <c r="T7049">
        <v>-7.6349139999999996E-2</v>
      </c>
      <c r="U7049">
        <v>3.0019840000000002</v>
      </c>
      <c r="V7049">
        <v>4.2454819999999997E-2</v>
      </c>
      <c r="W7049">
        <v>-2.2055499999999999E-2</v>
      </c>
      <c r="X7049">
        <v>0.99885489999999999</v>
      </c>
      <c r="Y7049">
        <v>-5.0512889999999996E-3</v>
      </c>
      <c r="Z7049">
        <v>-2.5422119999999999E-2</v>
      </c>
      <c r="AA7049">
        <v>0.99966410000000006</v>
      </c>
      <c r="AB7049">
        <v>38</v>
      </c>
      <c r="AC7049">
        <v>-0.57480000000000997</v>
      </c>
      <c r="AD7049">
        <v>-1.1080741842689901</v>
      </c>
      <c r="AE7049">
        <v>43.165120000000002</v>
      </c>
      <c r="AF7049">
        <v>-0.220473053427372</v>
      </c>
      <c r="AG7049">
        <v>-1.1080741842689901</v>
      </c>
      <c r="AH7049">
        <v>43.139959889542098</v>
      </c>
      <c r="AI7049">
        <v>91.471331666948004</v>
      </c>
      <c r="AJ7049">
        <v>90.292815883768696</v>
      </c>
      <c r="AK7049">
        <v>43.154751488525903</v>
      </c>
      <c r="AL7049">
        <v>91.263789560052899</v>
      </c>
      <c r="AM7049">
        <v>87.566194254832197</v>
      </c>
      <c r="AN7049">
        <v>0.99999998403774604</v>
      </c>
    </row>
    <row r="7050" spans="1:40" x14ac:dyDescent="0.25">
      <c r="A7050" t="str">
        <f>"20190312161157488"</f>
        <v>20190312161157488</v>
      </c>
      <c r="B7050" t="str">
        <f>"1552378317474365"</f>
        <v>1552378317474365</v>
      </c>
      <c r="C7050" t="s">
        <v>40</v>
      </c>
      <c r="D7050">
        <v>5.6498599999999897</v>
      </c>
      <c r="E7050">
        <v>0.4828308</v>
      </c>
      <c r="F7050" t="s">
        <v>41</v>
      </c>
      <c r="G7050">
        <v>-188.76580000000001</v>
      </c>
      <c r="H7050" s="1">
        <v>-2.2633410000000001E-6</v>
      </c>
      <c r="I7050">
        <v>74.398330000000001</v>
      </c>
      <c r="J7050">
        <v>-188.23240000000001</v>
      </c>
      <c r="K7050">
        <v>1.1080719999999999</v>
      </c>
      <c r="L7050">
        <v>29.112490000000001</v>
      </c>
      <c r="M7050">
        <v>-7.3564290000000003E-3</v>
      </c>
      <c r="N7050">
        <v>0</v>
      </c>
      <c r="O7050">
        <v>0.99994079999999996</v>
      </c>
      <c r="P7050">
        <v>3.5739649999999998E-2</v>
      </c>
      <c r="Q7050">
        <v>-2.95301E-2</v>
      </c>
      <c r="R7050">
        <v>0.9989247</v>
      </c>
      <c r="S7050">
        <v>-3.5217289999999998E-2</v>
      </c>
      <c r="T7050">
        <v>-7.2848919999999998E-2</v>
      </c>
      <c r="U7050">
        <v>3.0021360000000001</v>
      </c>
      <c r="V7050">
        <v>4.304057E-2</v>
      </c>
      <c r="W7050">
        <v>-2.1607370000000001E-2</v>
      </c>
      <c r="X7050">
        <v>0.99883960000000005</v>
      </c>
      <c r="Y7050">
        <v>-4.3700070000000004E-3</v>
      </c>
      <c r="Z7050">
        <v>-2.425662E-2</v>
      </c>
      <c r="AA7050">
        <v>0.99969620000000003</v>
      </c>
      <c r="AB7050">
        <v>38</v>
      </c>
      <c r="AC7050">
        <v>-0.53339999999999999</v>
      </c>
      <c r="AD7050">
        <v>-1.1080742633409999</v>
      </c>
      <c r="AE7050">
        <v>45.28584</v>
      </c>
      <c r="AF7050">
        <v>-0.20011299955183601</v>
      </c>
      <c r="AG7050">
        <v>-1.1080742633409999</v>
      </c>
      <c r="AH7050">
        <v>45.261444088358303</v>
      </c>
      <c r="AI7050">
        <v>91.4024006640457</v>
      </c>
      <c r="AJ7050">
        <v>90.253318377777305</v>
      </c>
      <c r="AK7050">
        <v>45.275448034771102</v>
      </c>
      <c r="AL7050">
        <v>91.238107513307298</v>
      </c>
      <c r="AM7050">
        <v>87.532618457538803</v>
      </c>
      <c r="AN7050">
        <v>0.99999995781619999</v>
      </c>
    </row>
    <row r="7051" spans="1:40" x14ac:dyDescent="0.25">
      <c r="A7051" t="str">
        <f>"20190312161157512"</f>
        <v>20190312161157512</v>
      </c>
      <c r="B7051" t="str">
        <f>"1552378317504620"</f>
        <v>1552378317504620</v>
      </c>
      <c r="C7051" t="s">
        <v>40</v>
      </c>
      <c r="D7051">
        <v>5.7285430000000002</v>
      </c>
      <c r="E7051">
        <v>0.48264180000000001</v>
      </c>
      <c r="F7051" t="s">
        <v>41</v>
      </c>
      <c r="G7051">
        <v>-188.67160000000001</v>
      </c>
      <c r="H7051" s="1">
        <v>-2.1869429999999999E-6</v>
      </c>
      <c r="I7051">
        <v>74.181299999999993</v>
      </c>
      <c r="J7051">
        <v>-188.2347</v>
      </c>
      <c r="K7051">
        <v>1.10807099999999</v>
      </c>
      <c r="L7051">
        <v>29.5275</v>
      </c>
      <c r="M7051">
        <v>-6.4268659999999998E-3</v>
      </c>
      <c r="N7051">
        <v>0</v>
      </c>
      <c r="O7051">
        <v>0.99994700000000003</v>
      </c>
      <c r="P7051">
        <v>3.716962E-2</v>
      </c>
      <c r="Q7051">
        <v>-2.9185880000000001E-2</v>
      </c>
      <c r="R7051">
        <v>0.99888270000000001</v>
      </c>
      <c r="S7051">
        <v>-2.9251099999999901E-2</v>
      </c>
      <c r="T7051">
        <v>-7.3810580000000001E-2</v>
      </c>
      <c r="U7051">
        <v>3.0021059999999999</v>
      </c>
      <c r="V7051">
        <v>4.3542480000000001E-2</v>
      </c>
      <c r="W7051">
        <v>-2.124937E-2</v>
      </c>
      <c r="X7051">
        <v>0.99882559999999998</v>
      </c>
      <c r="Y7051">
        <v>-3.3131520000000002E-3</v>
      </c>
      <c r="Z7051">
        <v>-2.4577430000000001E-2</v>
      </c>
      <c r="AA7051">
        <v>0.99969240000000004</v>
      </c>
      <c r="AB7051">
        <v>38</v>
      </c>
      <c r="AC7051">
        <v>-0.436900000000008</v>
      </c>
      <c r="AD7051">
        <v>-1.1080731869429901</v>
      </c>
      <c r="AE7051">
        <v>44.653799999999897</v>
      </c>
      <c r="AF7051">
        <v>-0.14980546681731799</v>
      </c>
      <c r="AG7051">
        <v>-1.1080731869429901</v>
      </c>
      <c r="AH7051">
        <v>44.628207538538</v>
      </c>
      <c r="AI7051">
        <v>91.422295932436498</v>
      </c>
      <c r="AJ7051">
        <v>90.192326540375106</v>
      </c>
      <c r="AK7051">
        <v>44.642212937625899</v>
      </c>
      <c r="AL7051">
        <v>91.217590822940807</v>
      </c>
      <c r="AM7051">
        <v>87.503846764551696</v>
      </c>
      <c r="AN7051">
        <v>1.00000003125265</v>
      </c>
    </row>
    <row r="7052" spans="1:40" x14ac:dyDescent="0.25">
      <c r="A7052" t="str">
        <f>"20190312161157531"</f>
        <v>20190312161157531</v>
      </c>
      <c r="B7052" t="str">
        <f>"1552378317524141"</f>
        <v>1552378317524141</v>
      </c>
      <c r="C7052" t="s">
        <v>40</v>
      </c>
      <c r="D7052">
        <v>5.6212429999999998</v>
      </c>
      <c r="E7052">
        <v>0.4819098</v>
      </c>
      <c r="F7052" t="s">
        <v>41</v>
      </c>
      <c r="G7052">
        <v>-188.49709999999999</v>
      </c>
      <c r="H7052" s="1">
        <v>-3.9218789999999997E-6</v>
      </c>
      <c r="I7052">
        <v>58.153350000000003</v>
      </c>
      <c r="J7052">
        <v>-188.2363</v>
      </c>
      <c r="K7052">
        <v>1.10807099999999</v>
      </c>
      <c r="L7052">
        <v>29.88364</v>
      </c>
      <c r="M7052">
        <v>-5.6294369999999897E-3</v>
      </c>
      <c r="N7052">
        <v>0</v>
      </c>
      <c r="O7052">
        <v>0.9999517</v>
      </c>
      <c r="P7052">
        <v>3.8210639999999997E-2</v>
      </c>
      <c r="Q7052">
        <v>-2.8616260000000001E-2</v>
      </c>
      <c r="R7052">
        <v>0.99885990000000002</v>
      </c>
      <c r="S7052">
        <v>-2.7511600000000001E-2</v>
      </c>
      <c r="T7052">
        <v>-0.1161644</v>
      </c>
      <c r="U7052">
        <v>3.0009769999999998</v>
      </c>
      <c r="V7052">
        <v>4.3788090000000002E-2</v>
      </c>
      <c r="W7052">
        <v>-2.0667580000000001E-2</v>
      </c>
      <c r="X7052">
        <v>0.99882700000000002</v>
      </c>
      <c r="Y7052">
        <v>-3.5307749999999999E-3</v>
      </c>
      <c r="Z7052">
        <v>-3.867806E-2</v>
      </c>
      <c r="AA7052">
        <v>0.99924550000000001</v>
      </c>
      <c r="AB7052">
        <v>38</v>
      </c>
      <c r="AC7052">
        <v>-0.26079999999998899</v>
      </c>
      <c r="AD7052">
        <v>-1.10807492187899</v>
      </c>
      <c r="AE7052">
        <v>28.2697099999999</v>
      </c>
      <c r="AF7052">
        <v>-0.101492234547362</v>
      </c>
      <c r="AG7052">
        <v>-1.10807492187899</v>
      </c>
      <c r="AH7052">
        <v>28.2273662699039</v>
      </c>
      <c r="AI7052">
        <v>92.247996673884799</v>
      </c>
      <c r="AJ7052">
        <v>90.2060075877705</v>
      </c>
      <c r="AK7052">
        <v>28.249289145772899</v>
      </c>
      <c r="AL7052">
        <v>91.184249471839195</v>
      </c>
      <c r="AM7052">
        <v>87.489788190732</v>
      </c>
      <c r="AN7052">
        <v>0.99999996080895104</v>
      </c>
    </row>
    <row r="7053" spans="1:40" x14ac:dyDescent="0.25">
      <c r="A7053" t="str">
        <f>"20190312161157598"</f>
        <v>20190312161157598</v>
      </c>
      <c r="B7053" t="str">
        <f>"1552378317594413"</f>
        <v>1552378317594413</v>
      </c>
      <c r="C7053" t="s">
        <v>40</v>
      </c>
      <c r="D7053">
        <v>5.7994000000000003</v>
      </c>
      <c r="E7053">
        <v>0.50467059999999997</v>
      </c>
      <c r="F7053" t="s">
        <v>41</v>
      </c>
      <c r="G7053">
        <v>-188.5549</v>
      </c>
      <c r="H7053" s="1">
        <v>-1.1675959999999999E-6</v>
      </c>
      <c r="I7053">
        <v>61.75694</v>
      </c>
      <c r="J7053">
        <v>-188.2397</v>
      </c>
      <c r="K7053">
        <v>1.1080620000000001</v>
      </c>
      <c r="L7053">
        <v>31.0199</v>
      </c>
      <c r="M7053">
        <v>-3.0878849999999998E-3</v>
      </c>
      <c r="N7053">
        <v>0</v>
      </c>
      <c r="O7053">
        <v>0.99996240000000003</v>
      </c>
      <c r="P7053">
        <v>4.0119750000000003E-2</v>
      </c>
      <c r="Q7053">
        <v>-2.765018E-2</v>
      </c>
      <c r="R7053">
        <v>0.99881229999999999</v>
      </c>
      <c r="S7053">
        <v>-2.9998779999999999E-2</v>
      </c>
      <c r="T7053">
        <v>-0.1043499</v>
      </c>
      <c r="U7053">
        <v>3.0015869999999998</v>
      </c>
      <c r="V7053">
        <v>4.3160520000000001E-2</v>
      </c>
      <c r="W7053">
        <v>-1.9659869999999999E-2</v>
      </c>
      <c r="X7053">
        <v>0.9988747</v>
      </c>
      <c r="Y7053">
        <v>-6.8998949999999996E-3</v>
      </c>
      <c r="Z7053">
        <v>-3.4742380000000003E-2</v>
      </c>
      <c r="AA7053">
        <v>0.9993725</v>
      </c>
      <c r="AB7053">
        <v>39</v>
      </c>
      <c r="AC7053">
        <v>-0.31520000000000398</v>
      </c>
      <c r="AD7053">
        <v>-1.108063167596</v>
      </c>
      <c r="AE7053">
        <v>30.73704</v>
      </c>
      <c r="AF7053">
        <v>-0.219997061126747</v>
      </c>
      <c r="AG7053">
        <v>-1.108063167596</v>
      </c>
      <c r="AH7053">
        <v>30.697976325076201</v>
      </c>
      <c r="AI7053">
        <v>92.067177432598797</v>
      </c>
      <c r="AJ7053">
        <v>90.410603200367802</v>
      </c>
      <c r="AK7053">
        <v>30.718755722607501</v>
      </c>
      <c r="AL7053">
        <v>91.126500147980096</v>
      </c>
      <c r="AM7053">
        <v>87.525837468200905</v>
      </c>
      <c r="AN7053">
        <v>1.00000000363758</v>
      </c>
    </row>
    <row r="7054" spans="1:40" x14ac:dyDescent="0.25">
      <c r="A7054" t="str">
        <f>"20190312161157619"</f>
        <v>20190312161157619</v>
      </c>
      <c r="B7054" t="str">
        <f>"1552378317613934"</f>
        <v>1552378317613934</v>
      </c>
      <c r="C7054" t="s">
        <v>40</v>
      </c>
      <c r="D7054">
        <v>5.9667459999999997</v>
      </c>
      <c r="E7054">
        <v>0.50751550000000001</v>
      </c>
      <c r="F7054" t="s">
        <v>41</v>
      </c>
      <c r="G7054">
        <v>-186.15729999999999</v>
      </c>
      <c r="H7054" s="1">
        <v>-1.3496050000000001E-6</v>
      </c>
      <c r="I7054">
        <v>70.60942</v>
      </c>
      <c r="J7054">
        <v>-188.24010000000001</v>
      </c>
      <c r="K7054">
        <v>1.1080669999999999</v>
      </c>
      <c r="L7054">
        <v>31.40137</v>
      </c>
      <c r="M7054">
        <v>-2.2353939999999999E-3</v>
      </c>
      <c r="N7054">
        <v>0</v>
      </c>
      <c r="O7054">
        <v>0.99996459999999998</v>
      </c>
      <c r="P7054">
        <v>4.0943529999999999E-2</v>
      </c>
      <c r="Q7054">
        <v>-2.7345540000000002E-2</v>
      </c>
      <c r="R7054">
        <v>0.99878719999999999</v>
      </c>
      <c r="S7054">
        <v>0.1575317</v>
      </c>
      <c r="T7054">
        <v>-8.3824629999999997E-2</v>
      </c>
      <c r="U7054">
        <v>2.9949340000000002</v>
      </c>
      <c r="V7054">
        <v>4.3133369999999997E-2</v>
      </c>
      <c r="W7054">
        <v>-1.9341899999999999E-2</v>
      </c>
      <c r="X7054">
        <v>0.99888209999999999</v>
      </c>
      <c r="Y7054">
        <v>5.4738540000000002E-2</v>
      </c>
      <c r="Z7054">
        <v>-2.7937480000000001E-2</v>
      </c>
      <c r="AA7054">
        <v>0.99810980000000005</v>
      </c>
      <c r="AB7054">
        <v>39</v>
      </c>
      <c r="AC7054">
        <v>2.08280000000001</v>
      </c>
      <c r="AD7054">
        <v>-1.1080683496049999</v>
      </c>
      <c r="AE7054">
        <v>39.20805</v>
      </c>
      <c r="AF7054">
        <v>2.1687158444232302</v>
      </c>
      <c r="AG7054">
        <v>-1.1080683496049999</v>
      </c>
      <c r="AH7054">
        <v>39.1720973636126</v>
      </c>
      <c r="AI7054">
        <v>91.617827988861094</v>
      </c>
      <c r="AJ7054">
        <v>86.831123440904605</v>
      </c>
      <c r="AK7054">
        <v>39.247730580832197</v>
      </c>
      <c r="AL7054">
        <v>91.108278322207994</v>
      </c>
      <c r="AM7054">
        <v>87.527410195777506</v>
      </c>
      <c r="AN7054">
        <v>1.0000000232017801</v>
      </c>
    </row>
    <row r="7055" spans="1:40" x14ac:dyDescent="0.25">
      <c r="A7055" t="str">
        <f>"20190312161157643"</f>
        <v>20190312161157643</v>
      </c>
      <c r="B7055" t="str">
        <f>"1552378317634428"</f>
        <v>1552378317634428</v>
      </c>
      <c r="C7055" t="s">
        <v>40</v>
      </c>
      <c r="D7055">
        <v>5.5789369999999998</v>
      </c>
      <c r="E7055">
        <v>0.51007290000000005</v>
      </c>
      <c r="F7055" t="s">
        <v>41</v>
      </c>
      <c r="G7055">
        <v>-185.5385</v>
      </c>
      <c r="H7055" s="1">
        <v>-3.361065E-6</v>
      </c>
      <c r="I7055">
        <v>75.622720000000001</v>
      </c>
      <c r="J7055">
        <v>-188.24029999999999</v>
      </c>
      <c r="K7055">
        <v>1.1080589999999999</v>
      </c>
      <c r="L7055">
        <v>31.81241</v>
      </c>
      <c r="M7055">
        <v>-1.3169449999999999E-3</v>
      </c>
      <c r="N7055">
        <v>0</v>
      </c>
      <c r="O7055">
        <v>0.99996609999999997</v>
      </c>
      <c r="P7055">
        <v>4.1966219999999999E-2</v>
      </c>
      <c r="Q7055">
        <v>-2.6385459999999999E-2</v>
      </c>
      <c r="R7055">
        <v>0.99877059999999995</v>
      </c>
      <c r="S7055">
        <v>0.18292240000000001</v>
      </c>
      <c r="T7055">
        <v>-7.5023770000000004E-2</v>
      </c>
      <c r="U7055">
        <v>2.9940799999999999</v>
      </c>
      <c r="V7055">
        <v>4.3240769999999998E-2</v>
      </c>
      <c r="W7055">
        <v>-1.83678E-2</v>
      </c>
      <c r="X7055">
        <v>0.9988958</v>
      </c>
      <c r="Y7055">
        <v>6.2276419999999999E-2</v>
      </c>
      <c r="Z7055">
        <v>-2.5001880000000001E-2</v>
      </c>
      <c r="AA7055">
        <v>0.99774580000000002</v>
      </c>
      <c r="AB7055">
        <v>39</v>
      </c>
      <c r="AC7055">
        <v>2.7017999999999902</v>
      </c>
      <c r="AD7055">
        <v>-1.108062361065</v>
      </c>
      <c r="AE7055">
        <v>43.810310000000001</v>
      </c>
      <c r="AF7055">
        <v>2.7577378929944998</v>
      </c>
      <c r="AG7055">
        <v>-1.108062361065</v>
      </c>
      <c r="AH7055">
        <v>43.778814604887401</v>
      </c>
      <c r="AI7055">
        <v>91.447006701213397</v>
      </c>
      <c r="AJ7055">
        <v>86.395556924527398</v>
      </c>
      <c r="AK7055">
        <v>43.879579860016598</v>
      </c>
      <c r="AL7055">
        <v>91.052456624846599</v>
      </c>
      <c r="AM7055">
        <v>87.521295190400494</v>
      </c>
      <c r="AN7055">
        <v>0.99999997976233601</v>
      </c>
    </row>
    <row r="7056" spans="1:40" x14ac:dyDescent="0.25">
      <c r="A7056" t="str">
        <f>"20190312161157666"</f>
        <v>20190312161157666</v>
      </c>
      <c r="B7056" t="str">
        <f>"1552378317653950"</f>
        <v>1552378317653950</v>
      </c>
      <c r="C7056" t="s">
        <v>40</v>
      </c>
      <c r="D7056">
        <v>5.8099119999999997</v>
      </c>
      <c r="E7056">
        <v>0.51139319999999999</v>
      </c>
      <c r="F7056" t="s">
        <v>41</v>
      </c>
      <c r="G7056">
        <v>-183.7004</v>
      </c>
      <c r="H7056" s="1">
        <v>-4.4895989999999999E-6</v>
      </c>
      <c r="I7056">
        <v>97.493340000000003</v>
      </c>
      <c r="J7056">
        <v>-188.24010000000001</v>
      </c>
      <c r="K7056">
        <v>1.1080589999999999</v>
      </c>
      <c r="L7056">
        <v>32.21454</v>
      </c>
      <c r="M7056">
        <v>-4.1941480000000001E-4</v>
      </c>
      <c r="N7056">
        <v>0</v>
      </c>
      <c r="O7056">
        <v>0.99996680000000004</v>
      </c>
      <c r="P7056">
        <v>4.3102550000000003E-2</v>
      </c>
      <c r="Q7056">
        <v>-2.6585709999999999E-2</v>
      </c>
      <c r="R7056">
        <v>0.99871690000000002</v>
      </c>
      <c r="S7056">
        <v>0.20692440000000001</v>
      </c>
      <c r="T7056">
        <v>-5.0504090000000001E-2</v>
      </c>
      <c r="U7056">
        <v>2.993652</v>
      </c>
      <c r="V7056">
        <v>4.3480079999999997E-2</v>
      </c>
      <c r="W7056">
        <v>-1.855503E-2</v>
      </c>
      <c r="X7056">
        <v>0.99888200000000005</v>
      </c>
      <c r="Y7056">
        <v>6.9365199999999905E-2</v>
      </c>
      <c r="Z7056">
        <v>-1.6827599999999901E-2</v>
      </c>
      <c r="AA7056">
        <v>0.99744940000000004</v>
      </c>
      <c r="AB7056">
        <v>39</v>
      </c>
      <c r="AC7056">
        <v>4.5397000000000096</v>
      </c>
      <c r="AD7056">
        <v>-1.10806348959899</v>
      </c>
      <c r="AE7056">
        <v>65.278800000000004</v>
      </c>
      <c r="AF7056">
        <v>4.5657702090100001</v>
      </c>
      <c r="AG7056">
        <v>-1.10806348959899</v>
      </c>
      <c r="AH7056">
        <v>65.258177988022396</v>
      </c>
      <c r="AI7056">
        <v>90.970399242377198</v>
      </c>
      <c r="AJ7056">
        <v>85.997838551798907</v>
      </c>
      <c r="AK7056">
        <v>65.427088095183294</v>
      </c>
      <c r="AL7056">
        <v>91.063185890922796</v>
      </c>
      <c r="AM7056">
        <v>87.507560006483004</v>
      </c>
      <c r="AN7056">
        <v>1.00000002820955</v>
      </c>
    </row>
    <row r="7057" spans="1:40" x14ac:dyDescent="0.25">
      <c r="A7057" t="str">
        <f>"20190312161157710"</f>
        <v>20190312161157710</v>
      </c>
      <c r="B7057" t="str">
        <f>"1552378317703725"</f>
        <v>1552378317703725</v>
      </c>
      <c r="C7057" t="s">
        <v>40</v>
      </c>
      <c r="D7057">
        <v>5.8606379999999998</v>
      </c>
      <c r="E7057">
        <v>0.52918290000000001</v>
      </c>
      <c r="F7057" t="s">
        <v>41</v>
      </c>
      <c r="G7057">
        <v>-182.07589999999999</v>
      </c>
      <c r="H7057" s="1">
        <v>-4.1324849999999996E-6</v>
      </c>
      <c r="I7057">
        <v>115.5959</v>
      </c>
      <c r="J7057">
        <v>-188.23869999999999</v>
      </c>
      <c r="K7057">
        <v>1.1080509999999999</v>
      </c>
      <c r="L7057">
        <v>32.97495</v>
      </c>
      <c r="M7057">
        <v>1.276749E-3</v>
      </c>
      <c r="N7057">
        <v>0</v>
      </c>
      <c r="O7057">
        <v>0.99996580000000002</v>
      </c>
      <c r="P7057">
        <v>4.6205059999999999E-2</v>
      </c>
      <c r="Q7057">
        <v>-2.6191740000000002E-2</v>
      </c>
      <c r="R7057">
        <v>0.99858860000000005</v>
      </c>
      <c r="S7057">
        <v>0.22128300000000001</v>
      </c>
      <c r="T7057">
        <v>-3.9777640000000003E-2</v>
      </c>
      <c r="U7057">
        <v>2.9932560000000001</v>
      </c>
      <c r="V7057">
        <v>4.488934E-2</v>
      </c>
      <c r="W7057">
        <v>-1.8138979999999999E-2</v>
      </c>
      <c r="X7057">
        <v>0.99882729999999997</v>
      </c>
      <c r="Y7057">
        <v>7.2446140000000006E-2</v>
      </c>
      <c r="Z7057">
        <v>-1.3252359999999999E-2</v>
      </c>
      <c r="AA7057">
        <v>0.99728430000000001</v>
      </c>
      <c r="AB7057">
        <v>39</v>
      </c>
      <c r="AC7057">
        <v>6.1627999999999998</v>
      </c>
      <c r="AD7057">
        <v>-1.1080551324850001</v>
      </c>
      <c r="AE7057">
        <v>82.620949999999993</v>
      </c>
      <c r="AF7057">
        <v>6.0562219751742896</v>
      </c>
      <c r="AG7057">
        <v>-1.1080551324850001</v>
      </c>
      <c r="AH7057">
        <v>82.613974268610505</v>
      </c>
      <c r="AI7057">
        <v>90.766374003019905</v>
      </c>
      <c r="AJ7057">
        <v>85.807290778759693</v>
      </c>
      <c r="AK7057">
        <v>82.843070653156303</v>
      </c>
      <c r="AL7057">
        <v>91.039343972263495</v>
      </c>
      <c r="AM7057">
        <v>87.426742128475297</v>
      </c>
      <c r="AN7057">
        <v>1.00000002533318</v>
      </c>
    </row>
    <row r="7058" spans="1:40" x14ac:dyDescent="0.25">
      <c r="A7058" t="str">
        <f>"20190312161157733"</f>
        <v>20190312161157733</v>
      </c>
      <c r="B7058" t="str">
        <f>"1552378317724220"</f>
        <v>1552378317724220</v>
      </c>
      <c r="C7058" t="s">
        <v>40</v>
      </c>
      <c r="D7058">
        <v>5.8482890000000003</v>
      </c>
      <c r="E7058">
        <v>0.5157292</v>
      </c>
      <c r="F7058" t="s">
        <v>41</v>
      </c>
      <c r="G7058">
        <v>-182.24379999999999</v>
      </c>
      <c r="H7058" s="1">
        <v>-2.576621E-6</v>
      </c>
      <c r="I7058">
        <v>81.155199999999994</v>
      </c>
      <c r="J7058">
        <v>-188.23740000000001</v>
      </c>
      <c r="K7058">
        <v>1.1080479999999999</v>
      </c>
      <c r="L7058">
        <v>33.380549999999999</v>
      </c>
      <c r="M7058">
        <v>2.180998E-3</v>
      </c>
      <c r="N7058">
        <v>0</v>
      </c>
      <c r="O7058">
        <v>0.99996419999999997</v>
      </c>
      <c r="P7058">
        <v>4.7670099999999903E-2</v>
      </c>
      <c r="Q7058">
        <v>-2.5991090000000001E-2</v>
      </c>
      <c r="R7058">
        <v>0.99852490000000005</v>
      </c>
      <c r="S7058">
        <v>0.37144470000000002</v>
      </c>
      <c r="T7058">
        <v>-6.8655250000000001E-2</v>
      </c>
      <c r="U7058">
        <v>2.9852599999999998</v>
      </c>
      <c r="V7058">
        <v>4.5451800000000001E-2</v>
      </c>
      <c r="W7058">
        <v>-1.7926210000000001E-2</v>
      </c>
      <c r="X7058">
        <v>0.99880570000000002</v>
      </c>
      <c r="Y7058">
        <v>0.1212773</v>
      </c>
      <c r="Z7058">
        <v>-2.281913E-2</v>
      </c>
      <c r="AA7058">
        <v>0.99235640000000003</v>
      </c>
      <c r="AB7058">
        <v>39</v>
      </c>
      <c r="AC7058">
        <v>5.9936000000000096</v>
      </c>
      <c r="AD7058">
        <v>-1.10805057662099</v>
      </c>
      <c r="AE7058">
        <v>47.774650000000001</v>
      </c>
      <c r="AF7058">
        <v>5.8862685207476799</v>
      </c>
      <c r="AG7058">
        <v>-1.10805057662099</v>
      </c>
      <c r="AH7058">
        <v>47.7623142614611</v>
      </c>
      <c r="AI7058">
        <v>91.319006151163407</v>
      </c>
      <c r="AJ7058">
        <v>82.974245899512297</v>
      </c>
      <c r="AK7058">
        <v>48.136416534566202</v>
      </c>
      <c r="AL7058">
        <v>91.027151171704702</v>
      </c>
      <c r="AM7058">
        <v>87.394487292867694</v>
      </c>
      <c r="AN7058">
        <v>1.0000000207403399</v>
      </c>
    </row>
    <row r="7059" spans="1:40" x14ac:dyDescent="0.25">
      <c r="A7059" t="str">
        <f>"20190312161157753"</f>
        <v>20190312161157753</v>
      </c>
      <c r="B7059" t="str">
        <f>"1552378317743741"</f>
        <v>1552378317743741</v>
      </c>
      <c r="C7059" t="s">
        <v>40</v>
      </c>
      <c r="D7059">
        <v>6.052251</v>
      </c>
      <c r="E7059">
        <v>0.51645929999999995</v>
      </c>
      <c r="F7059" t="s">
        <v>53</v>
      </c>
      <c r="G7059">
        <v>-166.87540000000001</v>
      </c>
      <c r="H7059">
        <v>1.181824</v>
      </c>
      <c r="I7059">
        <v>269.69009999999997</v>
      </c>
      <c r="J7059">
        <v>-188.23589999999999</v>
      </c>
      <c r="K7059">
        <v>1.1080449999999999</v>
      </c>
      <c r="L7059">
        <v>33.74915</v>
      </c>
      <c r="M7059">
        <v>3.002354E-3</v>
      </c>
      <c r="N7059">
        <v>0</v>
      </c>
      <c r="O7059">
        <v>0.99996200000000002</v>
      </c>
      <c r="P7059">
        <v>4.8820259999999997E-2</v>
      </c>
      <c r="Q7059">
        <v>-2.5639539999999999E-2</v>
      </c>
      <c r="R7059">
        <v>0.99847839999999999</v>
      </c>
      <c r="S7059">
        <v>0.27043149999999999</v>
      </c>
      <c r="T7059">
        <v>9.3495850000000001E-4</v>
      </c>
      <c r="U7059">
        <v>2.9915470000000002</v>
      </c>
      <c r="V7059">
        <v>4.5782509999999998E-2</v>
      </c>
      <c r="W7059">
        <v>-1.7563160000000001E-2</v>
      </c>
      <c r="X7059">
        <v>0.99879700000000005</v>
      </c>
      <c r="Y7059">
        <v>8.7040790000000007E-2</v>
      </c>
      <c r="Z7059">
        <v>3.1130360000000001E-4</v>
      </c>
      <c r="AA7059">
        <v>0.99620469999999905</v>
      </c>
      <c r="AB7059">
        <v>39</v>
      </c>
      <c r="AC7059">
        <v>21.360499999999899</v>
      </c>
      <c r="AD7059">
        <v>7.3778999999999803E-2</v>
      </c>
      <c r="AE7059">
        <v>235.94094999999999</v>
      </c>
      <c r="AF7059">
        <v>20.651999735856101</v>
      </c>
      <c r="AG7059">
        <v>7.3778999999999803E-2</v>
      </c>
      <c r="AH7059">
        <v>236.00399756652899</v>
      </c>
      <c r="AI7059">
        <v>89.982156520001297</v>
      </c>
      <c r="AJ7059">
        <v>84.998957880531805</v>
      </c>
      <c r="AK7059">
        <v>236.90588300802699</v>
      </c>
      <c r="AL7059">
        <v>91.006346709639303</v>
      </c>
      <c r="AM7059">
        <v>87.375533009797294</v>
      </c>
      <c r="AN7059">
        <v>0.99999997501004201</v>
      </c>
    </row>
    <row r="7060" spans="1:40" x14ac:dyDescent="0.25">
      <c r="A7060" t="str">
        <f>"20190312161157776"</f>
        <v>20190312161157776</v>
      </c>
      <c r="B7060" t="str">
        <f>"1552378317764237"</f>
        <v>1552378317764237</v>
      </c>
      <c r="C7060" t="s">
        <v>40</v>
      </c>
      <c r="D7060">
        <v>6.0080429999999998</v>
      </c>
      <c r="E7060">
        <v>0.51677039999999996</v>
      </c>
      <c r="F7060" t="s">
        <v>54</v>
      </c>
      <c r="G7060">
        <v>-168.08</v>
      </c>
      <c r="H7060">
        <v>1.32989</v>
      </c>
      <c r="I7060">
        <v>249.3853</v>
      </c>
      <c r="J7060">
        <v>-188.23400000000001</v>
      </c>
      <c r="K7060">
        <v>1.108036</v>
      </c>
      <c r="L7060">
        <v>34.154820000000001</v>
      </c>
      <c r="M7060">
        <v>3.9058349999999999E-3</v>
      </c>
      <c r="N7060">
        <v>0</v>
      </c>
      <c r="O7060">
        <v>0.99995869999999998</v>
      </c>
      <c r="P7060">
        <v>4.9457559999999998E-2</v>
      </c>
      <c r="Q7060">
        <v>-2.60483E-2</v>
      </c>
      <c r="R7060">
        <v>0.99843649999999995</v>
      </c>
      <c r="S7060">
        <v>0.27957149999999997</v>
      </c>
      <c r="T7060">
        <v>3.0778649999999999E-3</v>
      </c>
      <c r="U7060">
        <v>2.9909669999999999</v>
      </c>
      <c r="V7060">
        <v>4.5516649999999999E-2</v>
      </c>
      <c r="W7060">
        <v>-1.795776E-2</v>
      </c>
      <c r="X7060">
        <v>0.99880219999999997</v>
      </c>
      <c r="Y7060">
        <v>8.917651E-2</v>
      </c>
      <c r="Z7060">
        <v>1.024758E-3</v>
      </c>
      <c r="AA7060">
        <v>0.99601530000000005</v>
      </c>
      <c r="AB7060">
        <v>39</v>
      </c>
      <c r="AC7060">
        <v>20.154</v>
      </c>
      <c r="AD7060">
        <v>0.221854</v>
      </c>
      <c r="AE7060">
        <v>215.23047999999901</v>
      </c>
      <c r="AF7060">
        <v>19.313142867873001</v>
      </c>
      <c r="AG7060">
        <v>0.221854</v>
      </c>
      <c r="AH7060">
        <v>215.307332228506</v>
      </c>
      <c r="AI7060">
        <v>89.941198187180802</v>
      </c>
      <c r="AJ7060">
        <v>84.874266678949297</v>
      </c>
      <c r="AK7060">
        <v>216.17190848486399</v>
      </c>
      <c r="AL7060">
        <v>91.028959124054396</v>
      </c>
      <c r="AM7060">
        <v>87.390765786674507</v>
      </c>
      <c r="AN7060">
        <v>1.00000004064813</v>
      </c>
    </row>
    <row r="7061" spans="1:40" x14ac:dyDescent="0.25">
      <c r="A7061" t="str">
        <f>"20190312161157798"</f>
        <v>20190312161157798</v>
      </c>
      <c r="B7061" t="str">
        <f>"1552378317794493"</f>
        <v>1552378317794493</v>
      </c>
      <c r="C7061" t="s">
        <v>40</v>
      </c>
      <c r="D7061">
        <v>5.9038579999999996</v>
      </c>
      <c r="E7061">
        <v>0.51665260000000002</v>
      </c>
      <c r="F7061" t="s">
        <v>54</v>
      </c>
      <c r="G7061">
        <v>-167.76419999999999</v>
      </c>
      <c r="H7061">
        <v>1.9266350000000001</v>
      </c>
      <c r="I7061">
        <v>249.3853</v>
      </c>
      <c r="J7061">
        <v>-188.23179999999999</v>
      </c>
      <c r="K7061">
        <v>1.1080399999999999</v>
      </c>
      <c r="L7061">
        <v>34.535220000000002</v>
      </c>
      <c r="M7061">
        <v>4.7529099999999999E-3</v>
      </c>
      <c r="N7061">
        <v>0</v>
      </c>
      <c r="O7061">
        <v>0.99995489999999998</v>
      </c>
      <c r="P7061">
        <v>5.0322470000000001E-2</v>
      </c>
      <c r="Q7061">
        <v>-2.6415810000000001E-2</v>
      </c>
      <c r="R7061">
        <v>0.99838360000000004</v>
      </c>
      <c r="S7061">
        <v>0.28445429999999999</v>
      </c>
      <c r="T7061">
        <v>1.1376259999999999E-2</v>
      </c>
      <c r="U7061">
        <v>2.9909059999999998</v>
      </c>
      <c r="V7061">
        <v>4.5534900000000003E-2</v>
      </c>
      <c r="W7061">
        <v>-1.8312740000000001E-2</v>
      </c>
      <c r="X7061">
        <v>0.99879490000000004</v>
      </c>
      <c r="Y7061">
        <v>8.9945730000000002E-2</v>
      </c>
      <c r="Z7061">
        <v>3.7872729999999999E-3</v>
      </c>
      <c r="AA7061">
        <v>0.99593949999999998</v>
      </c>
      <c r="AB7061">
        <v>39</v>
      </c>
      <c r="AC7061">
        <v>20.467600000000001</v>
      </c>
      <c r="AD7061">
        <v>0.81859499999999996</v>
      </c>
      <c r="AE7061">
        <v>214.85007999999999</v>
      </c>
      <c r="AF7061">
        <v>19.445891434325201</v>
      </c>
      <c r="AG7061">
        <v>0.81859499999999996</v>
      </c>
      <c r="AH7061">
        <v>214.94184484521</v>
      </c>
      <c r="AI7061">
        <v>89.782680563914795</v>
      </c>
      <c r="AJ7061">
        <v>84.830496758788598</v>
      </c>
      <c r="AK7061">
        <v>215.82124422056299</v>
      </c>
      <c r="AL7061">
        <v>91.049301348423</v>
      </c>
      <c r="AM7061">
        <v>87.3897020035823</v>
      </c>
      <c r="AN7061">
        <v>1.00000001791516</v>
      </c>
    </row>
    <row r="7062" spans="1:40" x14ac:dyDescent="0.25">
      <c r="A7062" t="str">
        <f>"20190312161157820"</f>
        <v>20190312161157820</v>
      </c>
      <c r="B7062" t="str">
        <f>"1552378317814013"</f>
        <v>1552378317814013</v>
      </c>
      <c r="C7062" t="s">
        <v>40</v>
      </c>
      <c r="D7062">
        <v>5.8328670000000002</v>
      </c>
      <c r="E7062">
        <v>0.52673800000000004</v>
      </c>
      <c r="F7062" t="s">
        <v>54</v>
      </c>
      <c r="G7062">
        <v>-167.6883</v>
      </c>
      <c r="H7062">
        <v>1.397691</v>
      </c>
      <c r="I7062">
        <v>249.3853</v>
      </c>
      <c r="J7062">
        <v>-188.22919999999999</v>
      </c>
      <c r="K7062">
        <v>1.108036</v>
      </c>
      <c r="L7062">
        <v>34.93497</v>
      </c>
      <c r="M7062">
        <v>5.6424119999999899E-3</v>
      </c>
      <c r="N7062">
        <v>0</v>
      </c>
      <c r="O7062">
        <v>0.99995020000000001</v>
      </c>
      <c r="P7062">
        <v>5.1025870000000001E-2</v>
      </c>
      <c r="Q7062">
        <v>-2.5952280000000001E-2</v>
      </c>
      <c r="R7062">
        <v>0.99836009999999997</v>
      </c>
      <c r="S7062">
        <v>0.28594969999999997</v>
      </c>
      <c r="T7062">
        <v>4.0324929999999998E-3</v>
      </c>
      <c r="U7062">
        <v>2.9905400000000002</v>
      </c>
      <c r="V7062">
        <v>4.5351049999999997E-2</v>
      </c>
      <c r="W7062">
        <v>-1.7835440000000001E-2</v>
      </c>
      <c r="X7062">
        <v>0.99881189999999997</v>
      </c>
      <c r="Y7062">
        <v>8.956538E-2</v>
      </c>
      <c r="Z7062">
        <v>1.342612E-3</v>
      </c>
      <c r="AA7062">
        <v>0.99597999999999998</v>
      </c>
      <c r="AB7062">
        <v>39</v>
      </c>
      <c r="AC7062">
        <v>20.540899999999901</v>
      </c>
      <c r="AD7062">
        <v>0.289655</v>
      </c>
      <c r="AE7062">
        <v>214.45032999999901</v>
      </c>
      <c r="AF7062">
        <v>19.330479938561002</v>
      </c>
      <c r="AG7062">
        <v>0.289655</v>
      </c>
      <c r="AH7062">
        <v>214.56243230276999</v>
      </c>
      <c r="AI7062">
        <v>89.922963894642905</v>
      </c>
      <c r="AJ7062">
        <v>84.8519744998014</v>
      </c>
      <c r="AK7062">
        <v>215.431633495071</v>
      </c>
      <c r="AL7062">
        <v>91.021949607028304</v>
      </c>
      <c r="AM7062">
        <v>87.400270943494405</v>
      </c>
      <c r="AN7062">
        <v>1.00000001611885</v>
      </c>
    </row>
    <row r="7063" spans="1:40" x14ac:dyDescent="0.25">
      <c r="A7063" t="str">
        <f>"20190312161157844"</f>
        <v>20190312161157844</v>
      </c>
      <c r="B7063" t="str">
        <f>"1552378317834509"</f>
        <v>1552378317834509</v>
      </c>
      <c r="C7063" t="s">
        <v>40</v>
      </c>
      <c r="D7063">
        <v>5.9822709999999999</v>
      </c>
      <c r="E7063">
        <v>0.5276246</v>
      </c>
      <c r="F7063" t="s">
        <v>41</v>
      </c>
      <c r="G7063">
        <v>-183.9143</v>
      </c>
      <c r="H7063" s="1">
        <v>-1.7895570000000001E-6</v>
      </c>
      <c r="I7063">
        <v>70.148529999999994</v>
      </c>
      <c r="J7063">
        <v>-188.2261</v>
      </c>
      <c r="K7063">
        <v>1.108031</v>
      </c>
      <c r="L7063">
        <v>35.348570000000002</v>
      </c>
      <c r="M7063">
        <v>6.5610269999999997E-3</v>
      </c>
      <c r="N7063">
        <v>0</v>
      </c>
      <c r="O7063">
        <v>0.99994450000000001</v>
      </c>
      <c r="P7063">
        <v>5.2496769999999998E-2</v>
      </c>
      <c r="Q7063">
        <v>-2.6501830000000001E-2</v>
      </c>
      <c r="R7063">
        <v>0.99826939999999997</v>
      </c>
      <c r="S7063">
        <v>0.36561579999999999</v>
      </c>
      <c r="T7063">
        <v>-9.3888760000000002E-2</v>
      </c>
      <c r="U7063">
        <v>2.9837950000000002</v>
      </c>
      <c r="V7063">
        <v>4.5903729999999997E-2</v>
      </c>
      <c r="W7063">
        <v>-1.8372860000000001E-2</v>
      </c>
      <c r="X7063">
        <v>0.99877689999999997</v>
      </c>
      <c r="Y7063">
        <v>0.1150497</v>
      </c>
      <c r="Z7063">
        <v>-3.1228550000000001E-2</v>
      </c>
      <c r="AA7063">
        <v>0.99286870000000005</v>
      </c>
      <c r="AB7063">
        <v>39</v>
      </c>
      <c r="AC7063">
        <v>4.3117999999999999</v>
      </c>
      <c r="AD7063">
        <v>-1.1080327895569999</v>
      </c>
      <c r="AE7063">
        <v>34.799959999999999</v>
      </c>
      <c r="AF7063">
        <v>4.0793029270477996</v>
      </c>
      <c r="AG7063">
        <v>-1.1080327895569999</v>
      </c>
      <c r="AH7063">
        <v>34.792762497363903</v>
      </c>
      <c r="AI7063">
        <v>91.811660715809793</v>
      </c>
      <c r="AJ7063">
        <v>83.312844632654404</v>
      </c>
      <c r="AK7063">
        <v>35.048605838625399</v>
      </c>
      <c r="AL7063">
        <v>91.052746563653002</v>
      </c>
      <c r="AM7063">
        <v>87.368540986834901</v>
      </c>
      <c r="AN7063">
        <v>1.00000000519305</v>
      </c>
    </row>
    <row r="7064" spans="1:40" x14ac:dyDescent="0.25">
      <c r="A7064" t="str">
        <f>"20190312161157867"</f>
        <v>20190312161157867</v>
      </c>
      <c r="B7064" t="str">
        <f>"1552378317863789"</f>
        <v>1552378317863789</v>
      </c>
      <c r="C7064" t="s">
        <v>40</v>
      </c>
      <c r="D7064">
        <v>5.8847639999999997</v>
      </c>
      <c r="E7064">
        <v>0.52735580000000004</v>
      </c>
      <c r="F7064" t="s">
        <v>41</v>
      </c>
      <c r="G7064">
        <v>-183.30080000000001</v>
      </c>
      <c r="H7064" s="1">
        <v>-3.3571559999999999E-6</v>
      </c>
      <c r="I7064">
        <v>74.275319999999994</v>
      </c>
      <c r="J7064">
        <v>-188.2226</v>
      </c>
      <c r="K7064">
        <v>1.108023</v>
      </c>
      <c r="L7064">
        <v>35.761899999999997</v>
      </c>
      <c r="M7064">
        <v>7.4762419999999897E-3</v>
      </c>
      <c r="N7064">
        <v>0</v>
      </c>
      <c r="O7064">
        <v>0.99993799999999999</v>
      </c>
      <c r="P7064">
        <v>5.3713909999999997E-2</v>
      </c>
      <c r="Q7064">
        <v>-2.6900810000000001E-2</v>
      </c>
      <c r="R7064">
        <v>0.99819400000000003</v>
      </c>
      <c r="S7064">
        <v>0.37744139999999998</v>
      </c>
      <c r="T7064">
        <v>-8.4912539999999995E-2</v>
      </c>
      <c r="U7064">
        <v>2.9830930000000002</v>
      </c>
      <c r="V7064">
        <v>4.6206440000000001E-2</v>
      </c>
      <c r="W7064">
        <v>-1.8759040000000001E-2</v>
      </c>
      <c r="X7064">
        <v>0.99875579999999997</v>
      </c>
      <c r="Y7064">
        <v>0.1180552</v>
      </c>
      <c r="Z7064">
        <v>-2.823991E-2</v>
      </c>
      <c r="AA7064">
        <v>0.99260539999999997</v>
      </c>
      <c r="AB7064">
        <v>40</v>
      </c>
      <c r="AC7064">
        <v>4.9217999999999904</v>
      </c>
      <c r="AD7064">
        <v>-1.1080263571560001</v>
      </c>
      <c r="AE7064">
        <v>38.513420000000004</v>
      </c>
      <c r="AF7064">
        <v>4.6299463320805199</v>
      </c>
      <c r="AG7064">
        <v>-1.1080263571560001</v>
      </c>
      <c r="AH7064">
        <v>38.517772311229002</v>
      </c>
      <c r="AI7064">
        <v>91.635981783944004</v>
      </c>
      <c r="AJ7064">
        <v>83.145768925024697</v>
      </c>
      <c r="AK7064">
        <v>38.810860712766697</v>
      </c>
      <c r="AL7064">
        <v>91.074876822282206</v>
      </c>
      <c r="AM7064">
        <v>87.351156707618699</v>
      </c>
      <c r="AN7064">
        <v>1.0000000423564099</v>
      </c>
    </row>
    <row r="7065" spans="1:40" x14ac:dyDescent="0.25">
      <c r="A7065" t="str">
        <f>"20190312161157892"</f>
        <v>20190312161157892</v>
      </c>
      <c r="B7065" t="str">
        <f>"1552378317884285"</f>
        <v>1552378317884285</v>
      </c>
      <c r="C7065" t="s">
        <v>40</v>
      </c>
      <c r="D7065">
        <v>5.8274819999999998</v>
      </c>
      <c r="E7065">
        <v>0.52673840000000005</v>
      </c>
      <c r="F7065" t="s">
        <v>41</v>
      </c>
      <c r="G7065">
        <v>-183.57980000000001</v>
      </c>
      <c r="H7065" s="1">
        <v>-2.6170889999999998E-6</v>
      </c>
      <c r="I7065">
        <v>72.318730000000002</v>
      </c>
      <c r="J7065">
        <v>-188.21860000000001</v>
      </c>
      <c r="K7065">
        <v>1.10802</v>
      </c>
      <c r="L7065">
        <v>36.189239999999998</v>
      </c>
      <c r="M7065">
        <v>8.4199440000000004E-3</v>
      </c>
      <c r="N7065">
        <v>0</v>
      </c>
      <c r="O7065">
        <v>0.99993030000000005</v>
      </c>
      <c r="P7065">
        <v>5.5235230000000003E-2</v>
      </c>
      <c r="Q7065">
        <v>-2.6569410000000002E-2</v>
      </c>
      <c r="R7065">
        <v>0.9981198</v>
      </c>
      <c r="S7065">
        <v>0.37879940000000001</v>
      </c>
      <c r="T7065">
        <v>-9.0401770000000006E-2</v>
      </c>
      <c r="U7065">
        <v>2.982605</v>
      </c>
      <c r="V7065">
        <v>4.6786609999999999E-2</v>
      </c>
      <c r="W7065">
        <v>-1.8414960000000001E-2</v>
      </c>
      <c r="X7065">
        <v>0.99873509999999999</v>
      </c>
      <c r="Y7065">
        <v>0.11757629999999999</v>
      </c>
      <c r="Z7065">
        <v>-3.006843E-2</v>
      </c>
      <c r="AA7065">
        <v>0.9926085</v>
      </c>
      <c r="AB7065">
        <v>40</v>
      </c>
      <c r="AC7065">
        <v>4.6387999999999998</v>
      </c>
      <c r="AD7065">
        <v>-1.108022617089</v>
      </c>
      <c r="AE7065">
        <v>36.129489999999997</v>
      </c>
      <c r="AF7065">
        <v>4.3304100119293603</v>
      </c>
      <c r="AG7065">
        <v>-1.108022617089</v>
      </c>
      <c r="AH7065">
        <v>36.133835081858102</v>
      </c>
      <c r="AI7065">
        <v>91.743919628712803</v>
      </c>
      <c r="AJ7065">
        <v>83.166058830646406</v>
      </c>
      <c r="AK7065">
        <v>36.409259848482499</v>
      </c>
      <c r="AL7065">
        <v>91.055159183631503</v>
      </c>
      <c r="AM7065">
        <v>87.317890476299496</v>
      </c>
      <c r="AN7065">
        <v>0.99999994879955001</v>
      </c>
    </row>
    <row r="7066" spans="1:40" x14ac:dyDescent="0.25">
      <c r="A7066" t="str">
        <f>"20190312161157912"</f>
        <v>20190312161157912</v>
      </c>
      <c r="B7066" t="str">
        <f>"1552378317903805"</f>
        <v>1552378317903805</v>
      </c>
      <c r="C7066" t="s">
        <v>40</v>
      </c>
      <c r="D7066">
        <v>5.8105669999999998</v>
      </c>
      <c r="E7066">
        <v>0.52590419999999904</v>
      </c>
      <c r="F7066" t="s">
        <v>41</v>
      </c>
      <c r="G7066">
        <v>-183.63069999999999</v>
      </c>
      <c r="H7066" s="1">
        <v>-2.612886E-6</v>
      </c>
      <c r="I7066">
        <v>72.346170000000001</v>
      </c>
      <c r="J7066">
        <v>-188.2148</v>
      </c>
      <c r="K7066">
        <v>1.1080209999999999</v>
      </c>
      <c r="L7066">
        <v>36.563110000000002</v>
      </c>
      <c r="M7066">
        <v>9.2426179999999993E-3</v>
      </c>
      <c r="N7066">
        <v>0</v>
      </c>
      <c r="O7066">
        <v>0.99992289999999995</v>
      </c>
      <c r="P7066">
        <v>5.552377E-2</v>
      </c>
      <c r="Q7066">
        <v>-2.6488370000000001E-2</v>
      </c>
      <c r="R7066">
        <v>0.99810589999999999</v>
      </c>
      <c r="S7066">
        <v>0.37841799999999998</v>
      </c>
      <c r="T7066">
        <v>-9.1391089999999994E-2</v>
      </c>
      <c r="U7066">
        <v>2.9822690000000001</v>
      </c>
      <c r="V7066">
        <v>4.6253889999999999E-2</v>
      </c>
      <c r="W7066">
        <v>-1.8320030000000001E-2</v>
      </c>
      <c r="X7066">
        <v>0.99876169999999997</v>
      </c>
      <c r="Y7066">
        <v>0.116647</v>
      </c>
      <c r="Z7066">
        <v>-3.0402149999999999E-2</v>
      </c>
      <c r="AA7066">
        <v>0.99270800000000003</v>
      </c>
      <c r="AB7066">
        <v>40</v>
      </c>
      <c r="AC7066">
        <v>4.5841000000000003</v>
      </c>
      <c r="AD7066">
        <v>-1.1080236128859999</v>
      </c>
      <c r="AE7066">
        <v>35.783059999999999</v>
      </c>
      <c r="AF7066">
        <v>4.2491552090092304</v>
      </c>
      <c r="AG7066">
        <v>-1.1080236128859999</v>
      </c>
      <c r="AH7066">
        <v>35.7901393301007</v>
      </c>
      <c r="AI7066">
        <v>91.760889402486299</v>
      </c>
      <c r="AJ7066">
        <v>83.229298425616093</v>
      </c>
      <c r="AK7066">
        <v>36.058523397179997</v>
      </c>
      <c r="AL7066">
        <v>91.049719134443194</v>
      </c>
      <c r="AM7066">
        <v>87.3484560970454</v>
      </c>
      <c r="AN7066">
        <v>0.99999998961311098</v>
      </c>
    </row>
    <row r="7067" spans="1:40" x14ac:dyDescent="0.25">
      <c r="A7067" t="str">
        <f>"20190312161157933"</f>
        <v>20190312161157933</v>
      </c>
      <c r="B7067" t="str">
        <f>"1552378317924301"</f>
        <v>1552378317924301</v>
      </c>
      <c r="C7067" t="s">
        <v>40</v>
      </c>
      <c r="D7067">
        <v>5.8194299999999997</v>
      </c>
      <c r="E7067">
        <v>0.50015900000000002</v>
      </c>
      <c r="F7067" t="s">
        <v>41</v>
      </c>
      <c r="G7067">
        <v>-183.94120000000001</v>
      </c>
      <c r="H7067" s="1">
        <v>-1.9973700000000002E-6</v>
      </c>
      <c r="I7067">
        <v>70.78022</v>
      </c>
      <c r="J7067">
        <v>-188.21080000000001</v>
      </c>
      <c r="K7067">
        <v>1.108025</v>
      </c>
      <c r="L7067">
        <v>36.931980000000003</v>
      </c>
      <c r="M7067">
        <v>1.0048420000000001E-2</v>
      </c>
      <c r="N7067">
        <v>0</v>
      </c>
      <c r="O7067">
        <v>0.99991509999999995</v>
      </c>
      <c r="P7067">
        <v>5.5751630000000003E-2</v>
      </c>
      <c r="Q7067">
        <v>-2.6773120000000001E-2</v>
      </c>
      <c r="R7067">
        <v>0.99808560000000002</v>
      </c>
      <c r="S7067">
        <v>0.37249759999999998</v>
      </c>
      <c r="T7067">
        <v>-9.6577170000000004E-2</v>
      </c>
      <c r="U7067">
        <v>2.9824220000000001</v>
      </c>
      <c r="V7067">
        <v>4.5676620000000001E-2</v>
      </c>
      <c r="W7067">
        <v>-1.859094E-2</v>
      </c>
      <c r="X7067">
        <v>0.99878330000000004</v>
      </c>
      <c r="Y7067">
        <v>0.1138932</v>
      </c>
      <c r="Z7067">
        <v>-3.2132729999999998E-2</v>
      </c>
      <c r="AA7067">
        <v>0.9929732</v>
      </c>
      <c r="AB7067">
        <v>40</v>
      </c>
      <c r="AC7067">
        <v>4.2695999999999898</v>
      </c>
      <c r="AD7067">
        <v>-1.1080269973700001</v>
      </c>
      <c r="AE7067">
        <v>33.848239999999997</v>
      </c>
      <c r="AF7067">
        <v>3.9251111586198202</v>
      </c>
      <c r="AG7067">
        <v>-1.1080269973700001</v>
      </c>
      <c r="AH7067">
        <v>33.853726081074903</v>
      </c>
      <c r="AI7067">
        <v>91.862146815374203</v>
      </c>
      <c r="AJ7067">
        <v>83.3864702659464</v>
      </c>
      <c r="AK7067">
        <v>34.0985188975543</v>
      </c>
      <c r="AL7067">
        <v>91.065243736948801</v>
      </c>
      <c r="AM7067">
        <v>87.381558794834405</v>
      </c>
      <c r="AN7067">
        <v>1.00000002851179</v>
      </c>
    </row>
    <row r="7068" spans="1:40" x14ac:dyDescent="0.25">
      <c r="A7068" t="str">
        <f>"20190312161157956"</f>
        <v>20190312161157956</v>
      </c>
      <c r="B7068" t="str">
        <f>"1552378317944796"</f>
        <v>1552378317944796</v>
      </c>
      <c r="C7068" t="s">
        <v>40</v>
      </c>
      <c r="D7068">
        <v>5.7863749999999996</v>
      </c>
      <c r="E7068">
        <v>0.48953010000000002</v>
      </c>
      <c r="F7068" t="s">
        <v>87</v>
      </c>
      <c r="G7068">
        <v>-182.33240000000001</v>
      </c>
      <c r="H7068" s="1">
        <v>-8.9928940000000002E-6</v>
      </c>
      <c r="I7068">
        <v>140.65029999999999</v>
      </c>
      <c r="J7068">
        <v>-188.20590000000001</v>
      </c>
      <c r="K7068">
        <v>1.108028</v>
      </c>
      <c r="L7068">
        <v>37.347439999999999</v>
      </c>
      <c r="M7068">
        <v>1.0945659999999999E-2</v>
      </c>
      <c r="N7068">
        <v>0</v>
      </c>
      <c r="O7068">
        <v>0.9999055</v>
      </c>
      <c r="P7068">
        <v>5.6425889999999999E-2</v>
      </c>
      <c r="Q7068">
        <v>-2.6150639999999999E-2</v>
      </c>
      <c r="R7068">
        <v>0.99806430000000002</v>
      </c>
      <c r="S7068">
        <v>0.16976930000000001</v>
      </c>
      <c r="T7068">
        <v>-3.2000420000000002E-2</v>
      </c>
      <c r="U7068">
        <v>2.995422</v>
      </c>
      <c r="V7068">
        <v>4.5456629999999998E-2</v>
      </c>
      <c r="W7068">
        <v>-1.79535999999999E-2</v>
      </c>
      <c r="X7068">
        <v>0.99880500000000005</v>
      </c>
      <c r="Y7068">
        <v>4.5650330000000003E-2</v>
      </c>
      <c r="Z7068">
        <v>-1.066741E-2</v>
      </c>
      <c r="AA7068">
        <v>0.99890049999999997</v>
      </c>
      <c r="AB7068">
        <v>40</v>
      </c>
      <c r="AC7068">
        <v>5.8734999999999999</v>
      </c>
      <c r="AD7068">
        <v>-1.1080369928939999</v>
      </c>
      <c r="AE7068">
        <v>103.302859999999</v>
      </c>
      <c r="AF7068">
        <v>4.7418472342388798</v>
      </c>
      <c r="AG7068">
        <v>-1.1080369928939999</v>
      </c>
      <c r="AH7068">
        <v>103.34911079252301</v>
      </c>
      <c r="AI7068">
        <v>90.613616314814394</v>
      </c>
      <c r="AJ7068">
        <v>87.373006649794107</v>
      </c>
      <c r="AK7068">
        <v>103.463769324221</v>
      </c>
      <c r="AL7068">
        <v>91.028720743578006</v>
      </c>
      <c r="AM7068">
        <v>87.394208972264096</v>
      </c>
      <c r="AN7068">
        <v>1.00000003249445</v>
      </c>
    </row>
    <row r="7069" spans="1:40" x14ac:dyDescent="0.25">
      <c r="A7069" t="str">
        <f>"20190312161158002"</f>
        <v>20190312161158002</v>
      </c>
      <c r="B7069" t="str">
        <f>"1552378317994574"</f>
        <v>1552378317994574</v>
      </c>
      <c r="C7069" t="s">
        <v>40</v>
      </c>
      <c r="D7069">
        <v>5.8988550000000002</v>
      </c>
      <c r="E7069">
        <v>0.48520869999999999</v>
      </c>
      <c r="F7069" t="s">
        <v>41</v>
      </c>
      <c r="G7069">
        <v>-186.887</v>
      </c>
      <c r="H7069" s="1">
        <v>-2.1249350000000001E-6</v>
      </c>
      <c r="I7069">
        <v>83.298879999999997</v>
      </c>
      <c r="J7069">
        <v>-188.1952</v>
      </c>
      <c r="K7069">
        <v>1.108055</v>
      </c>
      <c r="L7069">
        <v>38.167819999999999</v>
      </c>
      <c r="M7069">
        <v>1.2660660000000001E-2</v>
      </c>
      <c r="N7069">
        <v>0</v>
      </c>
      <c r="O7069">
        <v>0.99988509999999997</v>
      </c>
      <c r="P7069">
        <v>5.7719699999999999E-2</v>
      </c>
      <c r="Q7069">
        <v>-2.6261050000000001E-2</v>
      </c>
      <c r="R7069">
        <v>0.99798739999999997</v>
      </c>
      <c r="S7069">
        <v>8.6074830000000005E-2</v>
      </c>
      <c r="T7069">
        <v>-7.2316409999999998E-2</v>
      </c>
      <c r="U7069">
        <v>2.9990540000000001</v>
      </c>
      <c r="V7069">
        <v>4.5039139999999998E-2</v>
      </c>
      <c r="W7069">
        <v>-1.8030879999999999E-2</v>
      </c>
      <c r="X7069">
        <v>0.99882249999999995</v>
      </c>
      <c r="Y7069">
        <v>1.6022330000000001E-2</v>
      </c>
      <c r="Z7069">
        <v>-2.4096670000000001E-2</v>
      </c>
      <c r="AA7069">
        <v>0.99958119999999995</v>
      </c>
      <c r="AB7069">
        <v>40</v>
      </c>
      <c r="AC7069">
        <v>1.30819999999999</v>
      </c>
      <c r="AD7069">
        <v>-1.108057124935</v>
      </c>
      <c r="AE7069">
        <v>45.131059999999998</v>
      </c>
      <c r="AF7069">
        <v>0.73624284539200502</v>
      </c>
      <c r="AG7069">
        <v>-1.108057124935</v>
      </c>
      <c r="AH7069">
        <v>45.116832179843698</v>
      </c>
      <c r="AI7069">
        <v>91.406698723683306</v>
      </c>
      <c r="AJ7069">
        <v>89.065096952667105</v>
      </c>
      <c r="AK7069">
        <v>45.136441929594803</v>
      </c>
      <c r="AL7069">
        <v>91.033149299690507</v>
      </c>
      <c r="AM7069">
        <v>87.418154131855204</v>
      </c>
      <c r="AN7069">
        <v>1.00000001163588</v>
      </c>
    </row>
    <row r="7070" spans="1:40" x14ac:dyDescent="0.25">
      <c r="A7070" t="str">
        <f>"20190312161158045"</f>
        <v>20190312161158045</v>
      </c>
      <c r="B7070" t="str">
        <f>"1552378318034589"</f>
        <v>1552378318034589</v>
      </c>
      <c r="C7070" t="s">
        <v>40</v>
      </c>
      <c r="D7070">
        <v>5.7644710000000003</v>
      </c>
      <c r="E7070">
        <v>0.48259340000000001</v>
      </c>
      <c r="F7070" t="s">
        <v>41</v>
      </c>
      <c r="G7070">
        <v>-187.70760000000001</v>
      </c>
      <c r="H7070" s="1">
        <v>-2.7673109999999998E-6</v>
      </c>
      <c r="I7070">
        <v>65.135570000000001</v>
      </c>
      <c r="J7070">
        <v>-188.184</v>
      </c>
      <c r="K7070">
        <v>1.108115</v>
      </c>
      <c r="L7070">
        <v>38.936070000000001</v>
      </c>
      <c r="M7070">
        <v>1.4135750000000001E-2</v>
      </c>
      <c r="N7070">
        <v>0</v>
      </c>
      <c r="O7070">
        <v>0.99986489999999995</v>
      </c>
      <c r="P7070">
        <v>6.0482519999999998E-2</v>
      </c>
      <c r="Q7070">
        <v>-2.5721310000000001E-2</v>
      </c>
      <c r="R7070">
        <v>0.9978378</v>
      </c>
      <c r="S7070">
        <v>5.4229739999999999E-2</v>
      </c>
      <c r="T7070">
        <v>-0.123251</v>
      </c>
      <c r="U7070">
        <v>2.9996640000000001</v>
      </c>
      <c r="V7070">
        <v>4.6333880000000001E-2</v>
      </c>
      <c r="W7070">
        <v>-1.7449630000000001E-2</v>
      </c>
      <c r="X7070">
        <v>0.99877360000000004</v>
      </c>
      <c r="Y7070">
        <v>3.9246669999999997E-3</v>
      </c>
      <c r="Z7070">
        <v>-4.1043959999999997E-2</v>
      </c>
      <c r="AA7070">
        <v>0.99914959999999997</v>
      </c>
      <c r="AB7070">
        <v>40</v>
      </c>
      <c r="AC7070">
        <v>0.47640000000001198</v>
      </c>
      <c r="AD7070">
        <v>-1.1081177673110001</v>
      </c>
      <c r="AE7070">
        <v>26.1995</v>
      </c>
      <c r="AF7070">
        <v>0.10580058114518499</v>
      </c>
      <c r="AG7070">
        <v>-1.1081177673110001</v>
      </c>
      <c r="AH7070">
        <v>26.156840128828001</v>
      </c>
      <c r="AI7070">
        <v>92.4258285949456</v>
      </c>
      <c r="AJ7070">
        <v>89.768248240968006</v>
      </c>
      <c r="AK7070">
        <v>26.1805157373622</v>
      </c>
      <c r="AL7070">
        <v>90.999840886594001</v>
      </c>
      <c r="AM7070">
        <v>87.343908764292706</v>
      </c>
      <c r="AN7070">
        <v>1.00000001103997</v>
      </c>
    </row>
    <row r="7071" spans="1:40" x14ac:dyDescent="0.25">
      <c r="A7071" t="str">
        <f>"20190312161158112"</f>
        <v>20190312161158112</v>
      </c>
      <c r="B7071" t="str">
        <f>"1552378318104861"</f>
        <v>1552378318104861</v>
      </c>
      <c r="C7071" t="s">
        <v>40</v>
      </c>
      <c r="D7071">
        <v>5.7672129999999999</v>
      </c>
      <c r="E7071">
        <v>0.48080990000000001</v>
      </c>
      <c r="F7071" t="s">
        <v>41</v>
      </c>
      <c r="G7071">
        <v>-187.8349</v>
      </c>
      <c r="H7071" s="1">
        <v>-2.3916250000000002E-6</v>
      </c>
      <c r="I7071">
        <v>64.312479999999994</v>
      </c>
      <c r="J7071">
        <v>-188.1643</v>
      </c>
      <c r="K7071">
        <v>1.1082190000000001</v>
      </c>
      <c r="L7071">
        <v>40.152439999999999</v>
      </c>
      <c r="M7071">
        <v>1.6147890000000002E-2</v>
      </c>
      <c r="N7071">
        <v>0</v>
      </c>
      <c r="O7071">
        <v>0.99983390000000005</v>
      </c>
      <c r="P7071">
        <v>6.2571909999999994E-2</v>
      </c>
      <c r="Q7071">
        <v>-2.431767E-2</v>
      </c>
      <c r="R7071">
        <v>0.99774410000000002</v>
      </c>
      <c r="S7071">
        <v>4.1275020000000003E-2</v>
      </c>
      <c r="T7071">
        <v>-0.13102829999999999</v>
      </c>
      <c r="U7071">
        <v>3.00061</v>
      </c>
      <c r="V7071">
        <v>4.6422030000000003E-2</v>
      </c>
      <c r="W7071">
        <v>-1.5971619999999999E-2</v>
      </c>
      <c r="X7071">
        <v>0.99879419999999997</v>
      </c>
      <c r="Y7071">
        <v>-2.407583E-3</v>
      </c>
      <c r="Z7071">
        <v>-4.3614989999999999E-2</v>
      </c>
      <c r="AA7071">
        <v>0.99904550000000003</v>
      </c>
      <c r="AB7071">
        <v>40</v>
      </c>
      <c r="AC7071">
        <v>0.32939999999999198</v>
      </c>
      <c r="AD7071">
        <v>-1.1082213916249899</v>
      </c>
      <c r="AE7071">
        <v>24.160039999999999</v>
      </c>
      <c r="AF7071">
        <v>-6.0662937832951E-2</v>
      </c>
      <c r="AG7071">
        <v>-1.1082213916249899</v>
      </c>
      <c r="AH7071">
        <v>24.111486413461002</v>
      </c>
      <c r="AI7071">
        <v>92.6315902119008</v>
      </c>
      <c r="AJ7071">
        <v>90.144152165379097</v>
      </c>
      <c r="AK7071">
        <v>24.1370174568316</v>
      </c>
      <c r="AL7071">
        <v>90.915145350814896</v>
      </c>
      <c r="AM7071">
        <v>87.3389176264197</v>
      </c>
      <c r="AN7071">
        <v>0.99999997573419197</v>
      </c>
    </row>
    <row r="7072" spans="1:40" x14ac:dyDescent="0.25">
      <c r="A7072" t="str">
        <f>"20190312161158291"</f>
        <v>20190312161158291</v>
      </c>
      <c r="B7072" t="str">
        <f>"1552378318284447"</f>
        <v>1552378318284447</v>
      </c>
      <c r="C7072" t="s">
        <v>40</v>
      </c>
      <c r="D7072">
        <v>8.0125100000000007</v>
      </c>
      <c r="E7072">
        <v>0.48198259999999998</v>
      </c>
      <c r="F7072" t="s">
        <v>41</v>
      </c>
      <c r="G7072">
        <v>-187.86500000000001</v>
      </c>
      <c r="H7072" s="1">
        <v>-3.514024E-6</v>
      </c>
      <c r="I7072">
        <v>66.941249999999997</v>
      </c>
      <c r="J7072">
        <v>-188.1046</v>
      </c>
      <c r="K7072">
        <v>1.1086119999999999</v>
      </c>
      <c r="L7072">
        <v>43.412260000000003</v>
      </c>
      <c r="M7072">
        <v>1.892835E-2</v>
      </c>
      <c r="N7072">
        <v>0</v>
      </c>
      <c r="O7072">
        <v>0.99978400000000001</v>
      </c>
      <c r="P7072">
        <v>6.6065960000000007E-2</v>
      </c>
      <c r="Q7072">
        <v>-2.587445E-2</v>
      </c>
      <c r="R7072">
        <v>0.99747969999999997</v>
      </c>
      <c r="S7072">
        <v>3.3538819999999997E-2</v>
      </c>
      <c r="T7072">
        <v>-0.1241747</v>
      </c>
      <c r="U7072">
        <v>3.0016479999999999</v>
      </c>
      <c r="V7072">
        <v>4.7157749999999998E-2</v>
      </c>
      <c r="W7072">
        <v>-1.7343750000000002E-2</v>
      </c>
      <c r="X7072">
        <v>0.99873690000000004</v>
      </c>
      <c r="Y7072">
        <v>-7.7666419999999998E-3</v>
      </c>
      <c r="Z7072">
        <v>-4.1320469999999998E-2</v>
      </c>
      <c r="AA7072">
        <v>0.9991158</v>
      </c>
      <c r="AB7072">
        <v>41</v>
      </c>
      <c r="AC7072">
        <v>0.23959999999999501</v>
      </c>
      <c r="AD7072">
        <v>-1.1086155140239999</v>
      </c>
      <c r="AE7072">
        <v>23.52899</v>
      </c>
      <c r="AF7072">
        <v>-0.20536842014133699</v>
      </c>
      <c r="AG7072">
        <v>-1.1086155140239999</v>
      </c>
      <c r="AH7072">
        <v>23.477195446732399</v>
      </c>
      <c r="AI7072">
        <v>92.703449679021602</v>
      </c>
      <c r="AJ7072">
        <v>90.501186082020794</v>
      </c>
      <c r="AK7072">
        <v>23.5042530319514</v>
      </c>
      <c r="AL7072">
        <v>90.993773475224799</v>
      </c>
      <c r="AM7072">
        <v>87.296650646838899</v>
      </c>
      <c r="AN7072">
        <v>1.00000002723536</v>
      </c>
    </row>
    <row r="7073" spans="1:40" x14ac:dyDescent="0.25">
      <c r="A7073" t="str">
        <f>"20190312161158312"</f>
        <v>20190312161158312</v>
      </c>
      <c r="B7073" t="str">
        <f>"1552378318303967"</f>
        <v>1552378318303967</v>
      </c>
      <c r="C7073" t="s">
        <v>40</v>
      </c>
      <c r="D7073">
        <v>9.9029500000000006</v>
      </c>
      <c r="E7073">
        <v>0.47750599999999999</v>
      </c>
      <c r="F7073" t="s">
        <v>42</v>
      </c>
      <c r="G7073">
        <v>-188.0958</v>
      </c>
      <c r="H7073">
        <v>0.826787099999999</v>
      </c>
      <c r="I7073">
        <v>44.280169999999998</v>
      </c>
      <c r="J7073">
        <v>-188.09710000000001</v>
      </c>
      <c r="K7073">
        <v>1.108643</v>
      </c>
      <c r="L7073">
        <v>43.801270000000002</v>
      </c>
      <c r="M7073">
        <v>1.910125E-2</v>
      </c>
      <c r="N7073">
        <v>0</v>
      </c>
      <c r="O7073">
        <v>0.99978060000000002</v>
      </c>
      <c r="P7073">
        <v>6.6573850000000004E-2</v>
      </c>
      <c r="Q7073">
        <v>-2.5656579999999998E-2</v>
      </c>
      <c r="R7073">
        <v>0.99745159999999999</v>
      </c>
      <c r="S7073">
        <v>3.0349729999999998E-2</v>
      </c>
      <c r="T7073">
        <v>-0.9678156</v>
      </c>
      <c r="U7073">
        <v>2.9804689999999998</v>
      </c>
      <c r="V7073">
        <v>4.7494769999999999E-2</v>
      </c>
      <c r="W7073">
        <v>-1.7108450000000001E-2</v>
      </c>
      <c r="X7073">
        <v>0.99872490000000003</v>
      </c>
      <c r="Y7073">
        <v>-9.4180219999999999E-3</v>
      </c>
      <c r="Z7073">
        <v>-0.30874810000000003</v>
      </c>
      <c r="AA7073">
        <v>0.95109719999999998</v>
      </c>
      <c r="AB7073">
        <v>41</v>
      </c>
      <c r="AC7073">
        <v>1.3000000000147299E-3</v>
      </c>
      <c r="AD7073">
        <v>-0.28185589999999999</v>
      </c>
      <c r="AE7073">
        <v>0.478899999999995</v>
      </c>
      <c r="AF7073">
        <v>-5.8290556423364398E-3</v>
      </c>
      <c r="AG7073">
        <v>-0.28185589999999999</v>
      </c>
      <c r="AH7073">
        <v>0.35564626603913702</v>
      </c>
      <c r="AI7073">
        <v>128.393695884799</v>
      </c>
      <c r="AJ7073">
        <v>90.938995899809399</v>
      </c>
      <c r="AK7073">
        <v>0.453829255119227</v>
      </c>
      <c r="AL7073">
        <v>90.980289864373304</v>
      </c>
      <c r="AM7073">
        <v>87.277327054845799</v>
      </c>
      <c r="AN7073">
        <v>0.99999993905938001</v>
      </c>
    </row>
    <row r="7074" spans="1:40" x14ac:dyDescent="0.25">
      <c r="A7074" t="str">
        <f>"20190312161158334"</f>
        <v>20190312161158334</v>
      </c>
      <c r="B7074" t="str">
        <f>"1552378318324465"</f>
        <v>1552378318324465</v>
      </c>
      <c r="C7074" t="s">
        <v>40</v>
      </c>
      <c r="D7074">
        <v>6.1891360000000004</v>
      </c>
      <c r="E7074">
        <v>0.47774670000000002</v>
      </c>
      <c r="F7074" t="s">
        <v>42</v>
      </c>
      <c r="G7074">
        <v>-188.09389999999999</v>
      </c>
      <c r="H7074">
        <v>0.96921860000000004</v>
      </c>
      <c r="I7074">
        <v>44.710090000000001</v>
      </c>
      <c r="J7074">
        <v>-188.08920000000001</v>
      </c>
      <c r="K7074">
        <v>1.1086800000000001</v>
      </c>
      <c r="L7074">
        <v>44.204410000000003</v>
      </c>
      <c r="M7074">
        <v>1.9266060000000002E-2</v>
      </c>
      <c r="N7074">
        <v>0</v>
      </c>
      <c r="O7074">
        <v>0.99977729999999998</v>
      </c>
      <c r="P7074">
        <v>6.6757849999999994E-2</v>
      </c>
      <c r="Q7074">
        <v>-2.4941350000000001E-2</v>
      </c>
      <c r="R7074">
        <v>0.99745740000000005</v>
      </c>
      <c r="S7074">
        <v>9.9334720000000005E-3</v>
      </c>
      <c r="T7074">
        <v>-0.45949440000000003</v>
      </c>
      <c r="U7074">
        <v>2.9951780000000001</v>
      </c>
      <c r="V7074">
        <v>4.7515660000000001E-2</v>
      </c>
      <c r="W7074">
        <v>-1.6375259999999999E-2</v>
      </c>
      <c r="X7074">
        <v>0.99873630000000002</v>
      </c>
      <c r="Y7074">
        <v>-1.5989139999999999E-2</v>
      </c>
      <c r="Z7074">
        <v>-0.1515852</v>
      </c>
      <c r="AA7074">
        <v>0.9883149</v>
      </c>
      <c r="AB7074">
        <v>41</v>
      </c>
      <c r="AC7074">
        <v>-4.6999999999854901E-3</v>
      </c>
      <c r="AD7074">
        <v>-0.13946139999999899</v>
      </c>
      <c r="AE7074">
        <v>0.50568000000000501</v>
      </c>
      <c r="AF7074">
        <v>-1.34212199167282E-2</v>
      </c>
      <c r="AG7074">
        <v>-0.13946139999999899</v>
      </c>
      <c r="AH7074">
        <v>0.46976809268057801</v>
      </c>
      <c r="AI7074">
        <v>106.528349514751</v>
      </c>
      <c r="AJ7074">
        <v>91.636488616609398</v>
      </c>
      <c r="AK7074">
        <v>0.49021594439059402</v>
      </c>
      <c r="AL7074">
        <v>90.938275183142807</v>
      </c>
      <c r="AM7074">
        <v>87.276162367810201</v>
      </c>
      <c r="AN7074">
        <v>1.0000000420114901</v>
      </c>
    </row>
    <row r="7075" spans="1:40" x14ac:dyDescent="0.25">
      <c r="A7075" t="str">
        <f>"20190312161158356"</f>
        <v>20190312161158356</v>
      </c>
      <c r="B7075" t="str">
        <f>"1552378318343982"</f>
        <v>1552378318343982</v>
      </c>
      <c r="C7075" t="s">
        <v>40</v>
      </c>
      <c r="D7075">
        <v>5.074776</v>
      </c>
      <c r="E7075">
        <v>0.46704479999999998</v>
      </c>
      <c r="F7075" t="s">
        <v>42</v>
      </c>
      <c r="G7075">
        <v>-188.08439999999999</v>
      </c>
      <c r="H7075">
        <v>1.012052</v>
      </c>
      <c r="I7075">
        <v>45.098439999999997</v>
      </c>
      <c r="J7075">
        <v>-188.0812</v>
      </c>
      <c r="K7075">
        <v>1.1087119999999999</v>
      </c>
      <c r="L7075">
        <v>44.615299999999998</v>
      </c>
      <c r="M7075">
        <v>1.9416550000000001E-2</v>
      </c>
      <c r="N7075">
        <v>0</v>
      </c>
      <c r="O7075">
        <v>0.9997743</v>
      </c>
      <c r="P7075">
        <v>6.6761039999999994E-2</v>
      </c>
      <c r="Q7075">
        <v>-2.4681249999999998E-2</v>
      </c>
      <c r="R7075">
        <v>0.99746369999999895</v>
      </c>
      <c r="S7075">
        <v>1.6098020000000001E-2</v>
      </c>
      <c r="T7075">
        <v>-0.32408140000000002</v>
      </c>
      <c r="U7075">
        <v>2.9984739999999999</v>
      </c>
      <c r="V7075">
        <v>4.7369719999999997E-2</v>
      </c>
      <c r="W7075">
        <v>-1.6097050000000002E-2</v>
      </c>
      <c r="X7075">
        <v>0.99874770000000002</v>
      </c>
      <c r="Y7075">
        <v>-1.408042E-2</v>
      </c>
      <c r="Z7075">
        <v>-0.107419899999999</v>
      </c>
      <c r="AA7075">
        <v>0.99411400000000005</v>
      </c>
      <c r="AB7075">
        <v>41</v>
      </c>
      <c r="AC7075">
        <v>-3.19999999999254E-3</v>
      </c>
      <c r="AD7075">
        <v>-9.6660000000000204E-2</v>
      </c>
      <c r="AE7075">
        <v>0.48314000000000501</v>
      </c>
      <c r="AF7075">
        <v>-1.20964981827139E-2</v>
      </c>
      <c r="AG7075">
        <v>-9.6660000000000204E-2</v>
      </c>
      <c r="AH7075">
        <v>0.46439931420367803</v>
      </c>
      <c r="AI7075">
        <v>101.75378775092599</v>
      </c>
      <c r="AJ7075">
        <v>91.492081467535598</v>
      </c>
      <c r="AK7075">
        <v>0.47450627382694499</v>
      </c>
      <c r="AL7075">
        <v>90.922332874406095</v>
      </c>
      <c r="AM7075">
        <v>87.284546793218794</v>
      </c>
      <c r="AN7075">
        <v>0.99999998682343505</v>
      </c>
    </row>
    <row r="7076" spans="1:40" x14ac:dyDescent="0.25">
      <c r="A7076" t="str">
        <f>"20190312161158379"</f>
        <v>20190312161158379</v>
      </c>
      <c r="B7076" t="str">
        <f>"1552378318374240"</f>
        <v>1552378318374240</v>
      </c>
      <c r="C7076" t="s">
        <v>40</v>
      </c>
      <c r="D7076">
        <v>5.6748690000000002</v>
      </c>
      <c r="E7076">
        <v>0.47181089999999998</v>
      </c>
      <c r="F7076" t="s">
        <v>41</v>
      </c>
      <c r="G7076">
        <v>-188.3844</v>
      </c>
      <c r="H7076" s="1">
        <v>-4.002453E-6</v>
      </c>
      <c r="I7076">
        <v>58.294559999999997</v>
      </c>
      <c r="J7076">
        <v>-188.07310000000001</v>
      </c>
      <c r="K7076">
        <v>1.108743</v>
      </c>
      <c r="L7076">
        <v>45.024720000000002</v>
      </c>
      <c r="M7076">
        <v>1.95444E-2</v>
      </c>
      <c r="N7076">
        <v>0</v>
      </c>
      <c r="O7076">
        <v>0.99977169999999904</v>
      </c>
      <c r="P7076">
        <v>6.6324889999999997E-2</v>
      </c>
      <c r="Q7076">
        <v>-2.4513650000000001E-2</v>
      </c>
      <c r="R7076">
        <v>0.99749690000000002</v>
      </c>
      <c r="S7076">
        <v>-6.6635130000000001E-2</v>
      </c>
      <c r="T7076">
        <v>-0.24364230000000001</v>
      </c>
      <c r="U7076">
        <v>3.0060419999999999</v>
      </c>
      <c r="V7076">
        <v>4.680662E-2</v>
      </c>
      <c r="W7076">
        <v>-1.5911060000000001E-2</v>
      </c>
      <c r="X7076">
        <v>0.99877729999999998</v>
      </c>
      <c r="Y7076">
        <v>-4.162536E-2</v>
      </c>
      <c r="Z7076">
        <v>-8.0717919999999999E-2</v>
      </c>
      <c r="AA7076">
        <v>0.99586739999999996</v>
      </c>
      <c r="AB7076">
        <v>41</v>
      </c>
      <c r="AC7076">
        <v>-0.31129999999998798</v>
      </c>
      <c r="AD7076">
        <v>-1.108747002453</v>
      </c>
      <c r="AE7076">
        <v>13.269839999999901</v>
      </c>
      <c r="AF7076">
        <v>-0.56664752933474505</v>
      </c>
      <c r="AG7076">
        <v>-1.108747002453</v>
      </c>
      <c r="AH7076">
        <v>13.169332829223199</v>
      </c>
      <c r="AI7076">
        <v>94.808045421971002</v>
      </c>
      <c r="AJ7076">
        <v>92.463792089337204</v>
      </c>
      <c r="AK7076">
        <v>13.2280662420781</v>
      </c>
      <c r="AL7076">
        <v>90.911675002116297</v>
      </c>
      <c r="AM7076">
        <v>87.316858256770701</v>
      </c>
      <c r="AN7076">
        <v>1.00000005825071</v>
      </c>
    </row>
    <row r="7077" spans="1:40" x14ac:dyDescent="0.25">
      <c r="A7077" t="str">
        <f>"20190312161158401"</f>
        <v>20190312161158401</v>
      </c>
      <c r="B7077" t="str">
        <f>"1552378318394736"</f>
        <v>1552378318394736</v>
      </c>
      <c r="C7077" t="s">
        <v>40</v>
      </c>
      <c r="D7077">
        <v>5.5931240000000004</v>
      </c>
      <c r="E7077">
        <v>0.47382679999999999</v>
      </c>
      <c r="F7077" t="s">
        <v>41</v>
      </c>
      <c r="G7077">
        <v>-188.25479999999999</v>
      </c>
      <c r="H7077" s="1">
        <v>-2.3628090000000001E-6</v>
      </c>
      <c r="I7077">
        <v>64.418909999999997</v>
      </c>
      <c r="J7077">
        <v>-188.06479999999999</v>
      </c>
      <c r="K7077">
        <v>1.1087830000000001</v>
      </c>
      <c r="L7077">
        <v>45.443019999999997</v>
      </c>
      <c r="M7077">
        <v>1.9647319999999999E-2</v>
      </c>
      <c r="N7077">
        <v>0</v>
      </c>
      <c r="O7077">
        <v>0.99976949999999998</v>
      </c>
      <c r="P7077">
        <v>6.6639390000000007E-2</v>
      </c>
      <c r="Q7077">
        <v>-2.4297289999999999E-2</v>
      </c>
      <c r="R7077">
        <v>0.99748119999999996</v>
      </c>
      <c r="S7077">
        <v>-2.8152469999999999E-2</v>
      </c>
      <c r="T7077">
        <v>-0.1718035</v>
      </c>
      <c r="U7077">
        <v>3.005188</v>
      </c>
      <c r="V7077">
        <v>4.7020039999999999E-2</v>
      </c>
      <c r="W7077">
        <v>-1.5676490000000001E-2</v>
      </c>
      <c r="X7077">
        <v>0.99877099999999996</v>
      </c>
      <c r="Y7077">
        <v>-2.899767E-2</v>
      </c>
      <c r="Z7077">
        <v>-5.7045999999999999E-2</v>
      </c>
      <c r="AA7077">
        <v>0.99795029999999996</v>
      </c>
      <c r="AB7077">
        <v>41</v>
      </c>
      <c r="AC7077">
        <v>-0.189999999999997</v>
      </c>
      <c r="AD7077">
        <v>-1.1087853628090001</v>
      </c>
      <c r="AE7077">
        <v>18.97589</v>
      </c>
      <c r="AF7077">
        <v>-0.56088787490342895</v>
      </c>
      <c r="AG7077">
        <v>-1.1087853628090001</v>
      </c>
      <c r="AH7077">
        <v>18.903958054966001</v>
      </c>
      <c r="AI7077">
        <v>93.355285229029107</v>
      </c>
      <c r="AJ7077">
        <v>91.699489737989296</v>
      </c>
      <c r="AK7077">
        <v>18.944752052558101</v>
      </c>
      <c r="AL7077">
        <v>90.898233441639405</v>
      </c>
      <c r="AM7077">
        <v>87.304625197180101</v>
      </c>
      <c r="AN7077">
        <v>1.00000007347065</v>
      </c>
    </row>
    <row r="7078" spans="1:40" x14ac:dyDescent="0.25">
      <c r="A7078" t="str">
        <f>"20190312161158424"</f>
        <v>20190312161158424</v>
      </c>
      <c r="B7078" t="str">
        <f>"1552378318414255"</f>
        <v>1552378318414255</v>
      </c>
      <c r="C7078" t="s">
        <v>40</v>
      </c>
      <c r="D7078">
        <v>5.7586620000000002</v>
      </c>
      <c r="E7078">
        <v>0.47510219999999997</v>
      </c>
      <c r="F7078" t="s">
        <v>41</v>
      </c>
      <c r="G7078">
        <v>-188.14089999999999</v>
      </c>
      <c r="H7078" s="1">
        <v>-3.3149619999999998E-6</v>
      </c>
      <c r="I7078">
        <v>66.591340000000002</v>
      </c>
      <c r="J7078">
        <v>-188.0565</v>
      </c>
      <c r="K7078">
        <v>1.1088129999999901</v>
      </c>
      <c r="L7078">
        <v>45.859589999999997</v>
      </c>
      <c r="M7078">
        <v>1.9722389999999999E-2</v>
      </c>
      <c r="N7078">
        <v>0</v>
      </c>
      <c r="O7078">
        <v>0.99976790000000004</v>
      </c>
      <c r="P7078">
        <v>6.6467200000000004E-2</v>
      </c>
      <c r="Q7078">
        <v>-2.365341E-2</v>
      </c>
      <c r="R7078">
        <v>0.99750819999999996</v>
      </c>
      <c r="S7078">
        <v>-1.081848E-2</v>
      </c>
      <c r="T7078">
        <v>-0.15752079999999999</v>
      </c>
      <c r="U7078">
        <v>3.0044559999999998</v>
      </c>
      <c r="V7078">
        <v>4.6774000000000003E-2</v>
      </c>
      <c r="W7078">
        <v>-1.5014120000000001E-2</v>
      </c>
      <c r="X7078">
        <v>0.99879260000000003</v>
      </c>
      <c r="Y7078">
        <v>-2.3318149999999999E-2</v>
      </c>
      <c r="Z7078">
        <v>-5.233459E-2</v>
      </c>
      <c r="AA7078">
        <v>0.99835739999999995</v>
      </c>
      <c r="AB7078">
        <v>41</v>
      </c>
      <c r="AC7078">
        <v>-8.4399999999987999E-2</v>
      </c>
      <c r="AD7078">
        <v>-1.1088163149619901</v>
      </c>
      <c r="AE7078">
        <v>20.731750000000002</v>
      </c>
      <c r="AF7078">
        <v>-0.491871617987787</v>
      </c>
      <c r="AG7078">
        <v>-1.1088163149619901</v>
      </c>
      <c r="AH7078">
        <v>20.6669351157636</v>
      </c>
      <c r="AI7078">
        <v>93.070204093221307</v>
      </c>
      <c r="AJ7078">
        <v>91.363378182828399</v>
      </c>
      <c r="AK7078">
        <v>20.702502708322299</v>
      </c>
      <c r="AL7078">
        <v>90.860278080240306</v>
      </c>
      <c r="AM7078">
        <v>87.318766448371704</v>
      </c>
      <c r="AN7078">
        <v>0.99999994434506501</v>
      </c>
    </row>
    <row r="7079" spans="1:40" x14ac:dyDescent="0.25">
      <c r="A7079" t="str">
        <f>"20190312161158446"</f>
        <v>20190312161158446</v>
      </c>
      <c r="B7079" t="str">
        <f>"1552378318434751"</f>
        <v>1552378318434751</v>
      </c>
      <c r="C7079" t="s">
        <v>40</v>
      </c>
      <c r="D7079">
        <v>5.671462</v>
      </c>
      <c r="E7079">
        <v>0.4763077</v>
      </c>
      <c r="F7079" t="s">
        <v>41</v>
      </c>
      <c r="G7079">
        <v>-188.06659999999999</v>
      </c>
      <c r="H7079" s="1">
        <v>-3.1966559999999999E-6</v>
      </c>
      <c r="I7079">
        <v>66.284819999999996</v>
      </c>
      <c r="J7079">
        <v>-188.04839999999999</v>
      </c>
      <c r="K7079">
        <v>1.108841</v>
      </c>
      <c r="L7079">
        <v>46.267760000000003</v>
      </c>
      <c r="M7079">
        <v>1.9772519999999998E-2</v>
      </c>
      <c r="N7079">
        <v>0</v>
      </c>
      <c r="O7079">
        <v>0.99976679999999996</v>
      </c>
      <c r="P7079">
        <v>6.5597989999999995E-2</v>
      </c>
      <c r="Q7079">
        <v>-2.322463E-2</v>
      </c>
      <c r="R7079">
        <v>0.99757580000000001</v>
      </c>
      <c r="S7079">
        <v>-1.480103E-3</v>
      </c>
      <c r="T7079">
        <v>-0.16306189999999901</v>
      </c>
      <c r="U7079">
        <v>3.0037229999999999</v>
      </c>
      <c r="V7079">
        <v>4.5854829999999999E-2</v>
      </c>
      <c r="W7079">
        <v>-1.456735E-2</v>
      </c>
      <c r="X7079">
        <v>0.99884189999999995</v>
      </c>
      <c r="Y7079">
        <v>-2.0265200000000001E-2</v>
      </c>
      <c r="Z7079">
        <v>-5.4185299999999999E-2</v>
      </c>
      <c r="AA7079">
        <v>0.99832520000000002</v>
      </c>
      <c r="AB7079">
        <v>41</v>
      </c>
      <c r="AC7079">
        <v>-1.8200000000007301E-2</v>
      </c>
      <c r="AD7079">
        <v>-1.1088441966560001</v>
      </c>
      <c r="AE7079">
        <v>20.017060000000001</v>
      </c>
      <c r="AF7079">
        <v>-0.41273257089317</v>
      </c>
      <c r="AG7079">
        <v>-1.1088441966560001</v>
      </c>
      <c r="AH7079">
        <v>19.9515632450954</v>
      </c>
      <c r="AI7079">
        <v>93.180365004358094</v>
      </c>
      <c r="AJ7079">
        <v>91.185093201201596</v>
      </c>
      <c r="AK7079">
        <v>19.9866145094805</v>
      </c>
      <c r="AL7079">
        <v>90.834677190309407</v>
      </c>
      <c r="AM7079">
        <v>87.371511095873998</v>
      </c>
      <c r="AN7079">
        <v>1.00000000715798</v>
      </c>
    </row>
    <row r="7080" spans="1:40" x14ac:dyDescent="0.25">
      <c r="A7080" t="str">
        <f>"20190312161158468"</f>
        <v>20190312161158468</v>
      </c>
      <c r="B7080" t="str">
        <f>"1552378318464032"</f>
        <v>1552378318464032</v>
      </c>
      <c r="C7080" t="s">
        <v>40</v>
      </c>
      <c r="D7080">
        <v>5.5712830000000002</v>
      </c>
      <c r="E7080">
        <v>0.47745949999999998</v>
      </c>
      <c r="F7080" t="s">
        <v>41</v>
      </c>
      <c r="G7080">
        <v>-188.01089999999999</v>
      </c>
      <c r="H7080" s="1">
        <v>-3.4096520000000001E-6</v>
      </c>
      <c r="I7080">
        <v>66.758279999999999</v>
      </c>
      <c r="J7080">
        <v>-188.03989999999999</v>
      </c>
      <c r="K7080">
        <v>1.1088709999999999</v>
      </c>
      <c r="L7080">
        <v>46.700099999999999</v>
      </c>
      <c r="M7080">
        <v>1.9806879999999999E-2</v>
      </c>
      <c r="N7080">
        <v>0</v>
      </c>
      <c r="O7080">
        <v>0.99976600000000004</v>
      </c>
      <c r="P7080">
        <v>6.5505110000000005E-2</v>
      </c>
      <c r="Q7080">
        <v>-2.371554E-2</v>
      </c>
      <c r="R7080">
        <v>0.99757039999999997</v>
      </c>
      <c r="S7080">
        <v>5.5084230000000001E-3</v>
      </c>
      <c r="T7080">
        <v>-0.1625152</v>
      </c>
      <c r="U7080">
        <v>3.0031430000000001</v>
      </c>
      <c r="V7080">
        <v>4.5728570000000003E-2</v>
      </c>
      <c r="W7080">
        <v>-1.504107E-2</v>
      </c>
      <c r="X7080">
        <v>0.99884070000000003</v>
      </c>
      <c r="Y7080">
        <v>-1.797642E-2</v>
      </c>
      <c r="Z7080">
        <v>-5.401566E-2</v>
      </c>
      <c r="AA7080">
        <v>0.99837830000000005</v>
      </c>
      <c r="AB7080">
        <v>41</v>
      </c>
      <c r="AC7080">
        <v>2.89999999999963E-2</v>
      </c>
      <c r="AD7080">
        <v>-1.108874409652</v>
      </c>
      <c r="AE7080">
        <v>20.05818</v>
      </c>
      <c r="AF7080">
        <v>-0.367188479882818</v>
      </c>
      <c r="AG7080">
        <v>-1.108874409652</v>
      </c>
      <c r="AH7080">
        <v>19.9937145513837</v>
      </c>
      <c r="AI7080">
        <v>93.173903609302897</v>
      </c>
      <c r="AJ7080">
        <v>91.052129924787906</v>
      </c>
      <c r="AK7080">
        <v>20.027806954291101</v>
      </c>
      <c r="AL7080">
        <v>90.861822293576097</v>
      </c>
      <c r="AM7080">
        <v>87.378735313740293</v>
      </c>
      <c r="AN7080">
        <v>1.0000000399387301</v>
      </c>
    </row>
    <row r="7081" spans="1:40" x14ac:dyDescent="0.25">
      <c r="A7081" t="str">
        <f>"20190312161158493"</f>
        <v>20190312161158493</v>
      </c>
      <c r="B7081" t="str">
        <f>"1552378318484527"</f>
        <v>1552378318484527</v>
      </c>
      <c r="C7081" t="s">
        <v>40</v>
      </c>
      <c r="D7081">
        <v>5.6193580000000001</v>
      </c>
      <c r="E7081">
        <v>0.47832770000000002</v>
      </c>
      <c r="F7081" t="s">
        <v>41</v>
      </c>
      <c r="G7081">
        <v>-187.9341</v>
      </c>
      <c r="H7081" s="1">
        <v>-4.1242960000000004E-6</v>
      </c>
      <c r="I7081">
        <v>68.392399999999995</v>
      </c>
      <c r="J7081">
        <v>-188.03120000000001</v>
      </c>
      <c r="K7081">
        <v>1.108886</v>
      </c>
      <c r="L7081">
        <v>47.138979999999997</v>
      </c>
      <c r="M7081">
        <v>1.9823879999999999E-2</v>
      </c>
      <c r="N7081">
        <v>0</v>
      </c>
      <c r="O7081">
        <v>0.99976549999999997</v>
      </c>
      <c r="P7081">
        <v>6.6144789999999995E-2</v>
      </c>
      <c r="Q7081">
        <v>-2.3934319999999999E-2</v>
      </c>
      <c r="R7081">
        <v>0.99752300000000005</v>
      </c>
      <c r="S7081">
        <v>1.4633180000000001E-2</v>
      </c>
      <c r="T7081">
        <v>-0.1534925</v>
      </c>
      <c r="U7081">
        <v>3.0026860000000002</v>
      </c>
      <c r="V7081">
        <v>4.6352810000000001E-2</v>
      </c>
      <c r="W7081">
        <v>-1.5243629999999999E-2</v>
      </c>
      <c r="X7081">
        <v>0.99880880000000005</v>
      </c>
      <c r="Y7081">
        <v>-1.49584E-2</v>
      </c>
      <c r="Z7081">
        <v>-5.1033540000000002E-2</v>
      </c>
      <c r="AA7081">
        <v>0.9985849</v>
      </c>
      <c r="AB7081">
        <v>42</v>
      </c>
      <c r="AC7081">
        <v>9.7100000000011705E-2</v>
      </c>
      <c r="AD7081">
        <v>-1.1088901242960001</v>
      </c>
      <c r="AE7081">
        <v>21.253419999999998</v>
      </c>
      <c r="AF7081">
        <v>-0.323380047585966</v>
      </c>
      <c r="AG7081">
        <v>-1.1088901242960001</v>
      </c>
      <c r="AH7081">
        <v>21.1934765020778</v>
      </c>
      <c r="AI7081">
        <v>92.9947642885394</v>
      </c>
      <c r="AJ7081">
        <v>90.874178154684003</v>
      </c>
      <c r="AK7081">
        <v>21.224930110769801</v>
      </c>
      <c r="AL7081">
        <v>90.873429504912494</v>
      </c>
      <c r="AM7081">
        <v>87.342918666274898</v>
      </c>
      <c r="AN7081">
        <v>0.99999998510395605</v>
      </c>
    </row>
    <row r="7082" spans="1:40" x14ac:dyDescent="0.25">
      <c r="A7082" t="str">
        <f>"20190312161158514"</f>
        <v>20190312161158514</v>
      </c>
      <c r="B7082" t="str">
        <f>"1552378318504047"</f>
        <v>1552378318504047</v>
      </c>
      <c r="C7082" t="s">
        <v>40</v>
      </c>
      <c r="D7082">
        <v>5.4492349999999998</v>
      </c>
      <c r="E7082">
        <v>0.4797013</v>
      </c>
      <c r="F7082" t="s">
        <v>41</v>
      </c>
      <c r="G7082">
        <v>-187.86619999999999</v>
      </c>
      <c r="H7082" s="1">
        <v>-4.1103890000000004E-6</v>
      </c>
      <c r="I7082">
        <v>68.331919999999997</v>
      </c>
      <c r="J7082">
        <v>-188.023</v>
      </c>
      <c r="K7082">
        <v>1.1089059999999999</v>
      </c>
      <c r="L7082">
        <v>47.550379999999997</v>
      </c>
      <c r="M7082">
        <v>1.981989E-2</v>
      </c>
      <c r="N7082">
        <v>0</v>
      </c>
      <c r="O7082">
        <v>0.99976549999999997</v>
      </c>
      <c r="P7082">
        <v>6.6159709999999997E-2</v>
      </c>
      <c r="Q7082">
        <v>-2.3531139999999999E-2</v>
      </c>
      <c r="R7082">
        <v>0.99753150000000002</v>
      </c>
      <c r="S7082">
        <v>2.336121E-2</v>
      </c>
      <c r="T7082">
        <v>-0.15708239999999901</v>
      </c>
      <c r="U7082">
        <v>3.0021360000000001</v>
      </c>
      <c r="V7082">
        <v>4.637235E-2</v>
      </c>
      <c r="W7082">
        <v>-1.482495E-2</v>
      </c>
      <c r="X7082">
        <v>0.99881419999999999</v>
      </c>
      <c r="Y7082">
        <v>-1.205091E-2</v>
      </c>
      <c r="Z7082">
        <v>-5.2234000000000003E-2</v>
      </c>
      <c r="AA7082">
        <v>0.99856219999999996</v>
      </c>
      <c r="AB7082">
        <v>42</v>
      </c>
      <c r="AC7082">
        <v>0.15680000000000399</v>
      </c>
      <c r="AD7082">
        <v>-1.108910110389</v>
      </c>
      <c r="AE7082">
        <v>20.78154</v>
      </c>
      <c r="AF7082">
        <v>-0.25440996969370999</v>
      </c>
      <c r="AG7082">
        <v>-1.108910110389</v>
      </c>
      <c r="AH7082">
        <v>20.7215676747205</v>
      </c>
      <c r="AI7082">
        <v>93.063018578180007</v>
      </c>
      <c r="AJ7082">
        <v>90.703416141448997</v>
      </c>
      <c r="AK7082">
        <v>20.752777475885601</v>
      </c>
      <c r="AL7082">
        <v>90.849438191678303</v>
      </c>
      <c r="AM7082">
        <v>87.341814532149399</v>
      </c>
      <c r="AN7082">
        <v>0.99999999005433204</v>
      </c>
    </row>
    <row r="7083" spans="1:40" x14ac:dyDescent="0.25">
      <c r="A7083" t="str">
        <f>"20190312161158559"</f>
        <v>20190312161158559</v>
      </c>
      <c r="B7083" t="str">
        <f>"1552378318554800"</f>
        <v>1552378318554800</v>
      </c>
      <c r="C7083" t="s">
        <v>40</v>
      </c>
      <c r="D7083">
        <v>5.8037609999999997</v>
      </c>
      <c r="E7083">
        <v>0.48117739999999998</v>
      </c>
      <c r="F7083" t="s">
        <v>41</v>
      </c>
      <c r="G7083">
        <v>-187.78540000000001</v>
      </c>
      <c r="H7083" s="1">
        <v>-4.1750319999999999E-6</v>
      </c>
      <c r="I7083">
        <v>68.449169999999995</v>
      </c>
      <c r="J7083">
        <v>-188.0067</v>
      </c>
      <c r="K7083">
        <v>1.1089359999999999</v>
      </c>
      <c r="L7083">
        <v>48.376339999999999</v>
      </c>
      <c r="M7083">
        <v>1.975358E-2</v>
      </c>
      <c r="N7083">
        <v>0</v>
      </c>
      <c r="O7083">
        <v>0.99976659999999995</v>
      </c>
      <c r="P7083">
        <v>6.6683329999999999E-2</v>
      </c>
      <c r="Q7083">
        <v>-2.469414E-2</v>
      </c>
      <c r="R7083">
        <v>0.99746860000000004</v>
      </c>
      <c r="S7083">
        <v>3.411865E-2</v>
      </c>
      <c r="T7083">
        <v>-0.15925739999999999</v>
      </c>
      <c r="U7083">
        <v>3.001404</v>
      </c>
      <c r="V7083">
        <v>4.6964789999999999E-2</v>
      </c>
      <c r="W7083">
        <v>-1.5957269999999999E-2</v>
      </c>
      <c r="X7083">
        <v>0.99876909999999997</v>
      </c>
      <c r="Y7083">
        <v>-8.4044059999999997E-3</v>
      </c>
      <c r="Z7083">
        <v>-5.2968300000000003E-2</v>
      </c>
      <c r="AA7083">
        <v>0.99856080000000003</v>
      </c>
      <c r="AB7083">
        <v>42</v>
      </c>
      <c r="AC7083">
        <v>0.22129999999998501</v>
      </c>
      <c r="AD7083">
        <v>-1.108940175032</v>
      </c>
      <c r="AE7083">
        <v>20.07283</v>
      </c>
      <c r="AF7083">
        <v>-0.17473536712736101</v>
      </c>
      <c r="AG7083">
        <v>-1.108940175032</v>
      </c>
      <c r="AH7083">
        <v>20.012212815499399</v>
      </c>
      <c r="AI7083">
        <v>93.171576487132498</v>
      </c>
      <c r="AJ7083">
        <v>90.500261752691799</v>
      </c>
      <c r="AK7083">
        <v>20.043675873780401</v>
      </c>
      <c r="AL7083">
        <v>90.9143230105946</v>
      </c>
      <c r="AM7083">
        <v>87.307782569449699</v>
      </c>
      <c r="AN7083">
        <v>1.0000000205402</v>
      </c>
    </row>
    <row r="7084" spans="1:40" x14ac:dyDescent="0.25">
      <c r="A7084" t="str">
        <f>"20190312161158580"</f>
        <v>20190312161158580</v>
      </c>
      <c r="B7084" t="str">
        <f>"1552378318574319"</f>
        <v>1552378318574319</v>
      </c>
      <c r="C7084" t="s">
        <v>40</v>
      </c>
      <c r="D7084">
        <v>5.8066360000000001</v>
      </c>
      <c r="E7084">
        <v>0.48187999999999998</v>
      </c>
      <c r="F7084" t="s">
        <v>41</v>
      </c>
      <c r="G7084">
        <v>-187.6961</v>
      </c>
      <c r="H7084" s="1">
        <v>-3.9712490000000001E-6</v>
      </c>
      <c r="I7084">
        <v>67.937209999999993</v>
      </c>
      <c r="J7084">
        <v>-187.9991</v>
      </c>
      <c r="K7084">
        <v>1.1089549999999999</v>
      </c>
      <c r="L7084">
        <v>48.759950000000003</v>
      </c>
      <c r="M7084">
        <v>1.970206E-2</v>
      </c>
      <c r="N7084">
        <v>0</v>
      </c>
      <c r="O7084">
        <v>0.99976750000000003</v>
      </c>
      <c r="P7084">
        <v>6.7327369999999997E-2</v>
      </c>
      <c r="Q7084">
        <v>-2.5435860000000001E-2</v>
      </c>
      <c r="R7084">
        <v>0.99740669999999998</v>
      </c>
      <c r="S7084">
        <v>4.7637939999999997E-2</v>
      </c>
      <c r="T7084">
        <v>-0.170087299999999</v>
      </c>
      <c r="U7084">
        <v>3.0002140000000002</v>
      </c>
      <c r="V7084">
        <v>4.7662120000000002E-2</v>
      </c>
      <c r="W7084">
        <v>-1.6684919999999999E-2</v>
      </c>
      <c r="X7084">
        <v>0.99872419999999995</v>
      </c>
      <c r="Y7084">
        <v>-3.8526749999999998E-3</v>
      </c>
      <c r="Z7084">
        <v>-5.658063E-2</v>
      </c>
      <c r="AA7084">
        <v>0.99839060000000002</v>
      </c>
      <c r="AB7084">
        <v>42</v>
      </c>
      <c r="AC7084">
        <v>0.30299999999999699</v>
      </c>
      <c r="AD7084">
        <v>-1.108958971249</v>
      </c>
      <c r="AE7084">
        <v>19.177259999999901</v>
      </c>
      <c r="AF7084">
        <v>-7.4655270036662599E-2</v>
      </c>
      <c r="AG7084">
        <v>-1.108958971249</v>
      </c>
      <c r="AH7084">
        <v>19.1156018969867</v>
      </c>
      <c r="AI7084">
        <v>93.320170038177395</v>
      </c>
      <c r="AJ7084">
        <v>90.223765391609703</v>
      </c>
      <c r="AK7084">
        <v>19.147887593500801</v>
      </c>
      <c r="AL7084">
        <v>90.956019814256706</v>
      </c>
      <c r="AM7084">
        <v>87.267746191565195</v>
      </c>
      <c r="AN7084">
        <v>1.00000004595196</v>
      </c>
    </row>
    <row r="7085" spans="1:40" x14ac:dyDescent="0.25">
      <c r="A7085" t="str">
        <f>"20190312161158601"</f>
        <v>20190312161158601</v>
      </c>
      <c r="B7085" t="str">
        <f>"1552378318594815"</f>
        <v>1552378318594815</v>
      </c>
      <c r="C7085" t="s">
        <v>40</v>
      </c>
      <c r="D7085">
        <v>5.6968259999999997</v>
      </c>
      <c r="E7085">
        <v>0.48225299999999999</v>
      </c>
      <c r="F7085" t="s">
        <v>41</v>
      </c>
      <c r="G7085">
        <v>-187.65610000000001</v>
      </c>
      <c r="H7085" s="1">
        <v>-3.8178640000000002E-6</v>
      </c>
      <c r="I7085">
        <v>67.563140000000004</v>
      </c>
      <c r="J7085">
        <v>-187.99100000000001</v>
      </c>
      <c r="K7085">
        <v>1.1089850000000001</v>
      </c>
      <c r="L7085">
        <v>49.176299999999998</v>
      </c>
      <c r="M7085">
        <v>1.9635949999999999E-2</v>
      </c>
      <c r="N7085">
        <v>0</v>
      </c>
      <c r="O7085">
        <v>0.99976869999999995</v>
      </c>
      <c r="P7085">
        <v>6.7171040000000001E-2</v>
      </c>
      <c r="Q7085">
        <v>-2.505957E-2</v>
      </c>
      <c r="R7085">
        <v>0.9974267</v>
      </c>
      <c r="S7085">
        <v>5.4718019999999999E-2</v>
      </c>
      <c r="T7085">
        <v>-0.17690799999999901</v>
      </c>
      <c r="U7085">
        <v>2.999603</v>
      </c>
      <c r="V7085">
        <v>4.7572250000000003E-2</v>
      </c>
      <c r="W7085">
        <v>-1.6293180000000001E-2</v>
      </c>
      <c r="X7085">
        <v>0.99873489999999998</v>
      </c>
      <c r="Y7085">
        <v>-1.4298620000000001E-3</v>
      </c>
      <c r="Z7085">
        <v>-5.8852929999999998E-2</v>
      </c>
      <c r="AA7085">
        <v>0.99826559999999998</v>
      </c>
      <c r="AB7085">
        <v>42</v>
      </c>
      <c r="AC7085">
        <v>0.33489999999997599</v>
      </c>
      <c r="AD7085">
        <v>-1.1089888178639999</v>
      </c>
      <c r="AE7085">
        <v>18.386839999999999</v>
      </c>
      <c r="AF7085">
        <v>-2.6126530639890701E-2</v>
      </c>
      <c r="AG7085">
        <v>-1.1089888178639999</v>
      </c>
      <c r="AH7085">
        <v>18.323236639345801</v>
      </c>
      <c r="AI7085">
        <v>93.463520153644495</v>
      </c>
      <c r="AJ7085">
        <v>90.081696206514806</v>
      </c>
      <c r="AK7085">
        <v>18.3567845696139</v>
      </c>
      <c r="AL7085">
        <v>90.933571763473793</v>
      </c>
      <c r="AM7085">
        <v>87.2729194204707</v>
      </c>
      <c r="AN7085">
        <v>0.99999999358129199</v>
      </c>
    </row>
    <row r="7086" spans="1:40" x14ac:dyDescent="0.25">
      <c r="A7086" t="str">
        <f>"20190312161158648"</f>
        <v>20190312161158648</v>
      </c>
      <c r="B7086" t="str">
        <f>"1552378318644591"</f>
        <v>1552378318644591</v>
      </c>
      <c r="C7086" t="s">
        <v>40</v>
      </c>
      <c r="D7086">
        <v>5.705133</v>
      </c>
      <c r="E7086">
        <v>0.48272989999999999</v>
      </c>
      <c r="F7086" t="s">
        <v>41</v>
      </c>
      <c r="G7086">
        <v>-187.63200000000001</v>
      </c>
      <c r="H7086" s="1">
        <v>-4.0072929999999998E-6</v>
      </c>
      <c r="I7086">
        <v>67.994759999999999</v>
      </c>
      <c r="J7086">
        <v>-187.97409999999999</v>
      </c>
      <c r="K7086">
        <v>1.1090139999999999</v>
      </c>
      <c r="L7086">
        <v>50.043909999999997</v>
      </c>
      <c r="M7086">
        <v>1.9472349999999999E-2</v>
      </c>
      <c r="N7086">
        <v>0</v>
      </c>
      <c r="O7086">
        <v>0.99977169999999904</v>
      </c>
      <c r="P7086">
        <v>6.6838350000000005E-2</v>
      </c>
      <c r="Q7086">
        <v>-2.5834050000000001E-2</v>
      </c>
      <c r="R7086">
        <v>0.99742929999999996</v>
      </c>
      <c r="S7086">
        <v>5.7205199999999998E-2</v>
      </c>
      <c r="T7086">
        <v>-0.17676040000000001</v>
      </c>
      <c r="U7086">
        <v>2.9994510000000001</v>
      </c>
      <c r="V7086">
        <v>4.7404189999999999E-2</v>
      </c>
      <c r="W7086">
        <v>-1.703787E-2</v>
      </c>
      <c r="X7086">
        <v>0.99873049999999997</v>
      </c>
      <c r="Y7086">
        <v>-4.3775779999999999E-4</v>
      </c>
      <c r="Z7086">
        <v>-5.8806839999999999E-2</v>
      </c>
      <c r="AA7086">
        <v>0.99826930000000003</v>
      </c>
      <c r="AB7086">
        <v>42</v>
      </c>
      <c r="AC7086">
        <v>0.34209999999998703</v>
      </c>
      <c r="AD7086">
        <v>-1.109018007293</v>
      </c>
      <c r="AE7086">
        <v>17.950849999999999</v>
      </c>
      <c r="AF7086">
        <v>-7.4950293524879098E-3</v>
      </c>
      <c r="AG7086">
        <v>-1.109018007293</v>
      </c>
      <c r="AH7086">
        <v>17.885864726675401</v>
      </c>
      <c r="AI7086">
        <v>93.548097984492898</v>
      </c>
      <c r="AJ7086">
        <v>90.024009659619495</v>
      </c>
      <c r="AK7086">
        <v>17.920215794931</v>
      </c>
      <c r="AL7086">
        <v>90.976245250738799</v>
      </c>
      <c r="AM7086">
        <v>87.282527043912793</v>
      </c>
      <c r="AN7086">
        <v>1.0000000289369699</v>
      </c>
    </row>
    <row r="7087" spans="1:40" x14ac:dyDescent="0.25">
      <c r="A7087" t="str">
        <f>"20190312161158669"</f>
        <v>20190312161158669</v>
      </c>
      <c r="B7087" t="str">
        <f>"1552378318664112"</f>
        <v>1552378318664112</v>
      </c>
      <c r="C7087" t="s">
        <v>40</v>
      </c>
      <c r="D7087">
        <v>5.5465400000000002</v>
      </c>
      <c r="E7087">
        <v>0.48297469999999998</v>
      </c>
      <c r="F7087" t="s">
        <v>41</v>
      </c>
      <c r="G7087">
        <v>-187.6019</v>
      </c>
      <c r="H7087" s="1">
        <v>-4.2665319999999998E-6</v>
      </c>
      <c r="I7087">
        <v>68.586579999999998</v>
      </c>
      <c r="J7087">
        <v>-187.96639999999999</v>
      </c>
      <c r="K7087">
        <v>1.109022</v>
      </c>
      <c r="L7087">
        <v>50.441769999999998</v>
      </c>
      <c r="M7087">
        <v>1.9389509999999999E-2</v>
      </c>
      <c r="N7087">
        <v>0</v>
      </c>
      <c r="O7087">
        <v>0.99977309999999997</v>
      </c>
      <c r="P7087">
        <v>6.6419800000000001E-2</v>
      </c>
      <c r="Q7087">
        <v>-2.561219E-2</v>
      </c>
      <c r="R7087">
        <v>0.99746299999999999</v>
      </c>
      <c r="S7087">
        <v>6.019592E-2</v>
      </c>
      <c r="T7087">
        <v>-0.17937049999999999</v>
      </c>
      <c r="U7087">
        <v>2.9990540000000001</v>
      </c>
      <c r="V7087">
        <v>4.7068150000000003E-2</v>
      </c>
      <c r="W7087">
        <v>-1.6802859999999999E-2</v>
      </c>
      <c r="X7087">
        <v>0.99875029999999998</v>
      </c>
      <c r="Y7087">
        <v>6.4168259999999996E-4</v>
      </c>
      <c r="Z7087">
        <v>-5.9679540000000003E-2</v>
      </c>
      <c r="AA7087">
        <v>0.99821740000000003</v>
      </c>
      <c r="AB7087">
        <v>42</v>
      </c>
      <c r="AC7087">
        <v>0.364499999999992</v>
      </c>
      <c r="AD7087">
        <v>-1.1090262665320001</v>
      </c>
      <c r="AE7087">
        <v>18.14481</v>
      </c>
      <c r="AF7087">
        <v>1.25519379848747E-2</v>
      </c>
      <c r="AG7087">
        <v>-1.1090262665320001</v>
      </c>
      <c r="AH7087">
        <v>18.080947556428601</v>
      </c>
      <c r="AI7087">
        <v>93.509937846511093</v>
      </c>
      <c r="AJ7087">
        <v>89.960224819331501</v>
      </c>
      <c r="AK7087">
        <v>18.114931999577799</v>
      </c>
      <c r="AL7087">
        <v>90.962778313888606</v>
      </c>
      <c r="AM7087">
        <v>87.301815576346698</v>
      </c>
      <c r="AN7087">
        <v>0.99999995429934496</v>
      </c>
    </row>
    <row r="7088" spans="1:40" x14ac:dyDescent="0.25">
      <c r="A7088" t="str">
        <f>"20190312161158692"</f>
        <v>20190312161158692</v>
      </c>
      <c r="B7088" t="str">
        <f>"1552378318684607"</f>
        <v>1552378318684607</v>
      </c>
      <c r="C7088" t="s">
        <v>40</v>
      </c>
      <c r="D7088">
        <v>5.7073229999999997</v>
      </c>
      <c r="E7088">
        <v>0.48351139999999998</v>
      </c>
      <c r="F7088" t="s">
        <v>41</v>
      </c>
      <c r="G7088">
        <v>-187.58799999999999</v>
      </c>
      <c r="H7088" s="1">
        <v>-4.4875429999999999E-6</v>
      </c>
      <c r="I7088">
        <v>69.096000000000004</v>
      </c>
      <c r="J7088">
        <v>-187.958</v>
      </c>
      <c r="K7088">
        <v>1.1090279999999999</v>
      </c>
      <c r="L7088">
        <v>50.878909999999998</v>
      </c>
      <c r="M7088">
        <v>1.929552E-2</v>
      </c>
      <c r="N7088">
        <v>0</v>
      </c>
      <c r="O7088">
        <v>0.99977479999999996</v>
      </c>
      <c r="P7088">
        <v>6.5407759999999995E-2</v>
      </c>
      <c r="Q7088">
        <v>-2.5878600000000002E-2</v>
      </c>
      <c r="R7088">
        <v>0.99752300000000005</v>
      </c>
      <c r="S7088">
        <v>6.0836790000000002E-2</v>
      </c>
      <c r="T7088">
        <v>-0.17829539999999999</v>
      </c>
      <c r="U7088">
        <v>2.998993</v>
      </c>
      <c r="V7088">
        <v>4.6149379999999997E-2</v>
      </c>
      <c r="W7088">
        <v>-1.705506E-2</v>
      </c>
      <c r="X7088">
        <v>0.99878900000000004</v>
      </c>
      <c r="Y7088">
        <v>9.4976320000000002E-4</v>
      </c>
      <c r="Z7088">
        <v>-5.932432E-2</v>
      </c>
      <c r="AA7088">
        <v>0.99823830000000002</v>
      </c>
      <c r="AB7088">
        <v>42</v>
      </c>
      <c r="AC7088">
        <v>0.37000000000000399</v>
      </c>
      <c r="AD7088">
        <v>-1.109032487543</v>
      </c>
      <c r="AE7088">
        <v>18.217089999999999</v>
      </c>
      <c r="AF7088">
        <v>1.8341221364157001E-2</v>
      </c>
      <c r="AG7088">
        <v>-1.109032487543</v>
      </c>
      <c r="AH7088">
        <v>18.153584442446601</v>
      </c>
      <c r="AI7088">
        <v>93.495947257641703</v>
      </c>
      <c r="AJ7088">
        <v>89.942112026358004</v>
      </c>
      <c r="AK7088">
        <v>18.187438455369801</v>
      </c>
      <c r="AL7088">
        <v>90.977230284349503</v>
      </c>
      <c r="AM7088">
        <v>87.354510909630406</v>
      </c>
      <c r="AN7088">
        <v>1.0000000534334901</v>
      </c>
    </row>
    <row r="7089" spans="1:40" x14ac:dyDescent="0.25">
      <c r="A7089" t="str">
        <f>"20190312161158738"</f>
        <v>20190312161158738</v>
      </c>
      <c r="B7089" t="str">
        <f>"1552378318724624"</f>
        <v>1552378318724624</v>
      </c>
      <c r="C7089" t="s">
        <v>40</v>
      </c>
      <c r="D7089">
        <v>5.3748199999999997</v>
      </c>
      <c r="E7089">
        <v>0.51173809999999997</v>
      </c>
      <c r="F7089" t="s">
        <v>41</v>
      </c>
      <c r="G7089">
        <v>-187.57429999999999</v>
      </c>
      <c r="H7089" s="1">
        <v>-4.6142760000000002E-6</v>
      </c>
      <c r="I7089">
        <v>69.385779999999997</v>
      </c>
      <c r="J7089">
        <v>-187.94149999999999</v>
      </c>
      <c r="K7089">
        <v>1.1090329999999999</v>
      </c>
      <c r="L7089">
        <v>51.738430000000001</v>
      </c>
      <c r="M7089">
        <v>1.910852E-2</v>
      </c>
      <c r="N7089">
        <v>0</v>
      </c>
      <c r="O7089">
        <v>0.99977819999999995</v>
      </c>
      <c r="P7089">
        <v>6.4198199999999997E-2</v>
      </c>
      <c r="Q7089">
        <v>-2.568786E-2</v>
      </c>
      <c r="R7089">
        <v>0.99760649999999995</v>
      </c>
      <c r="S7089">
        <v>6.216431E-2</v>
      </c>
      <c r="T7089">
        <v>-0.17969939999999901</v>
      </c>
      <c r="U7089">
        <v>2.9987180000000002</v>
      </c>
      <c r="V7089">
        <v>4.5125730000000003E-2</v>
      </c>
      <c r="W7089">
        <v>-1.6834789999999999E-2</v>
      </c>
      <c r="X7089">
        <v>0.99883940000000004</v>
      </c>
      <c r="Y7089">
        <v>1.579801E-3</v>
      </c>
      <c r="Z7089">
        <v>-5.9795309999999997E-2</v>
      </c>
      <c r="AA7089">
        <v>0.99820940000000002</v>
      </c>
      <c r="AB7089">
        <v>42</v>
      </c>
      <c r="AC7089">
        <v>0.36719999999999597</v>
      </c>
      <c r="AD7089">
        <v>-1.1090376142759999</v>
      </c>
      <c r="AE7089">
        <v>17.647349999999999</v>
      </c>
      <c r="AF7089">
        <v>2.9787395060476101E-2</v>
      </c>
      <c r="AG7089">
        <v>-1.1090376142759999</v>
      </c>
      <c r="AH7089">
        <v>17.581736889642102</v>
      </c>
      <c r="AI7089">
        <v>93.609370697810405</v>
      </c>
      <c r="AJ7089">
        <v>89.902928226180904</v>
      </c>
      <c r="AK7089">
        <v>17.6167058150888</v>
      </c>
      <c r="AL7089">
        <v>90.964608036638495</v>
      </c>
      <c r="AM7089">
        <v>87.413240848362705</v>
      </c>
      <c r="AN7089">
        <v>0.99999994432736705</v>
      </c>
    </row>
    <row r="7090" spans="1:40" x14ac:dyDescent="0.25">
      <c r="A7090" t="str">
        <f>"20190312161158758"</f>
        <v>20190312161158758</v>
      </c>
      <c r="B7090" t="str">
        <f>"1552378318753904"</f>
        <v>1552378318753904</v>
      </c>
      <c r="C7090" t="s">
        <v>40</v>
      </c>
      <c r="D7090">
        <v>5.4053649999999998</v>
      </c>
      <c r="E7090">
        <v>0.51417369999999996</v>
      </c>
      <c r="F7090" t="s">
        <v>43</v>
      </c>
      <c r="G7090">
        <v>-170.65</v>
      </c>
      <c r="H7090">
        <v>-0.05</v>
      </c>
      <c r="I7090">
        <v>231.39070000000001</v>
      </c>
      <c r="J7090">
        <v>-187.9342</v>
      </c>
      <c r="K7090">
        <v>1.109035</v>
      </c>
      <c r="L7090">
        <v>52.127110000000002</v>
      </c>
      <c r="M7090">
        <v>1.9023970000000001E-2</v>
      </c>
      <c r="N7090">
        <v>0</v>
      </c>
      <c r="O7090">
        <v>0.99977959999999999</v>
      </c>
      <c r="P7090">
        <v>6.3754699999999997E-2</v>
      </c>
      <c r="Q7090">
        <v>-2.569455E-2</v>
      </c>
      <c r="R7090">
        <v>0.99763480000000004</v>
      </c>
      <c r="S7090">
        <v>0.2876129</v>
      </c>
      <c r="T7090">
        <v>-1.9278409999999999E-2</v>
      </c>
      <c r="U7090">
        <v>2.9881899999999999</v>
      </c>
      <c r="V7090">
        <v>4.4766390000000003E-2</v>
      </c>
      <c r="W7090">
        <v>-1.6824189999999999E-2</v>
      </c>
      <c r="X7090">
        <v>0.99885579999999996</v>
      </c>
      <c r="Y7090">
        <v>7.6850630000000003E-2</v>
      </c>
      <c r="Z7090">
        <v>-6.4252650000000003E-3</v>
      </c>
      <c r="AA7090">
        <v>0.99702190000000002</v>
      </c>
      <c r="AB7090">
        <v>42</v>
      </c>
      <c r="AC7090">
        <v>17.284199999999998</v>
      </c>
      <c r="AD7090">
        <v>-1.159035</v>
      </c>
      <c r="AE7090">
        <v>179.26358999999999</v>
      </c>
      <c r="AF7090">
        <v>13.8700577236146</v>
      </c>
      <c r="AG7090">
        <v>-1.159035</v>
      </c>
      <c r="AH7090">
        <v>179.55253607431601</v>
      </c>
      <c r="AI7090">
        <v>90.368748043312394</v>
      </c>
      <c r="AJ7090">
        <v>85.582793154950807</v>
      </c>
      <c r="AK7090">
        <v>180.09118544255901</v>
      </c>
      <c r="AL7090">
        <v>90.964000565384097</v>
      </c>
      <c r="AM7090">
        <v>87.4338538609274</v>
      </c>
      <c r="AN7090">
        <v>0.999999996118214</v>
      </c>
    </row>
    <row r="7091" spans="1:40" x14ac:dyDescent="0.25">
      <c r="A7091" t="str">
        <f>"20190312161158780"</f>
        <v>20190312161158780</v>
      </c>
      <c r="B7091" t="str">
        <f>"1552378318774399"</f>
        <v>1552378318774399</v>
      </c>
      <c r="C7091" t="s">
        <v>40</v>
      </c>
      <c r="D7091">
        <v>5.2334379999999996</v>
      </c>
      <c r="E7091">
        <v>0.51412500000000005</v>
      </c>
      <c r="F7091" t="s">
        <v>41</v>
      </c>
      <c r="G7091">
        <v>-175.82140000000001</v>
      </c>
      <c r="H7091">
        <v>7.9985799999999996E-2</v>
      </c>
      <c r="I7091">
        <v>170.5445</v>
      </c>
      <c r="J7091">
        <v>-187.92660000000001</v>
      </c>
      <c r="K7091">
        <v>1.1090390000000001</v>
      </c>
      <c r="L7091">
        <v>52.530880000000003</v>
      </c>
      <c r="M7091">
        <v>1.8936540000000002E-2</v>
      </c>
      <c r="N7091">
        <v>0</v>
      </c>
      <c r="O7091">
        <v>0.99978109999999998</v>
      </c>
      <c r="P7091">
        <v>6.3662250000000004E-2</v>
      </c>
      <c r="Q7091">
        <v>-2.5798040000000001E-2</v>
      </c>
      <c r="R7091">
        <v>0.99763800000000002</v>
      </c>
      <c r="S7091">
        <v>0.30552669999999998</v>
      </c>
      <c r="T7091">
        <v>-2.595627E-2</v>
      </c>
      <c r="U7091">
        <v>2.9869080000000001</v>
      </c>
      <c r="V7091">
        <v>4.476144E-2</v>
      </c>
      <c r="W7091">
        <v>-1.6907889999999998E-2</v>
      </c>
      <c r="X7091">
        <v>0.99885460000000004</v>
      </c>
      <c r="Y7091">
        <v>8.2896629999999999E-2</v>
      </c>
      <c r="Z7091">
        <v>-8.6498310000000002E-3</v>
      </c>
      <c r="AA7091">
        <v>0.99652059999999998</v>
      </c>
      <c r="AB7091">
        <v>42</v>
      </c>
      <c r="AC7091">
        <v>12.1051999999999</v>
      </c>
      <c r="AD7091">
        <v>-1.0290531999999999</v>
      </c>
      <c r="AE7091">
        <v>118.01361999999899</v>
      </c>
      <c r="AF7091">
        <v>9.8674286692598407</v>
      </c>
      <c r="AG7091">
        <v>-1.0290531999999999</v>
      </c>
      <c r="AH7091">
        <v>118.21280202260699</v>
      </c>
      <c r="AI7091">
        <v>90.497023954738296</v>
      </c>
      <c r="AJ7091">
        <v>85.228482782422105</v>
      </c>
      <c r="AK7091">
        <v>118.628376289434</v>
      </c>
      <c r="AL7091">
        <v>90.968796912644095</v>
      </c>
      <c r="AM7091">
        <v>87.4341341523522</v>
      </c>
      <c r="AN7091">
        <v>0.99999998759814201</v>
      </c>
    </row>
    <row r="7092" spans="1:40" x14ac:dyDescent="0.25">
      <c r="A7092" t="str">
        <f>"20190312161158802"</f>
        <v>20190312161158802</v>
      </c>
      <c r="B7092" t="str">
        <f>"1552378318793919"</f>
        <v>1552378318793919</v>
      </c>
      <c r="C7092" t="s">
        <v>40</v>
      </c>
      <c r="D7092">
        <v>5.3096199999999998</v>
      </c>
      <c r="E7092">
        <v>0.51487819999999995</v>
      </c>
      <c r="F7092" t="s">
        <v>41</v>
      </c>
      <c r="G7092">
        <v>-175.4228</v>
      </c>
      <c r="H7092">
        <v>7.9985689999999998E-2</v>
      </c>
      <c r="I7092">
        <v>175.0378</v>
      </c>
      <c r="J7092">
        <v>-187.91820000000001</v>
      </c>
      <c r="K7092">
        <v>1.10904</v>
      </c>
      <c r="L7092">
        <v>52.975340000000003</v>
      </c>
      <c r="M7092">
        <v>1.8840269999999999E-2</v>
      </c>
      <c r="N7092">
        <v>0</v>
      </c>
      <c r="O7092">
        <v>0.99978270000000002</v>
      </c>
      <c r="P7092">
        <v>6.3720830000000006E-2</v>
      </c>
      <c r="Q7092">
        <v>-2.5323249999999999E-2</v>
      </c>
      <c r="R7092">
        <v>0.99764649999999999</v>
      </c>
      <c r="S7092">
        <v>0.30487059999999999</v>
      </c>
      <c r="T7092">
        <v>-2.5090689999999999E-2</v>
      </c>
      <c r="U7092">
        <v>2.9870000000000001</v>
      </c>
      <c r="V7092">
        <v>4.4916070000000002E-2</v>
      </c>
      <c r="W7092">
        <v>-1.641076E-2</v>
      </c>
      <c r="X7092">
        <v>0.99885590000000002</v>
      </c>
      <c r="Y7092">
        <v>8.2773109999999997E-2</v>
      </c>
      <c r="Z7092">
        <v>-8.3613030000000005E-3</v>
      </c>
      <c r="AA7092">
        <v>0.99653329999999996</v>
      </c>
      <c r="AB7092">
        <v>42</v>
      </c>
      <c r="AC7092">
        <v>12.4954</v>
      </c>
      <c r="AD7092">
        <v>-1.02905431</v>
      </c>
      <c r="AE7092">
        <v>122.06246</v>
      </c>
      <c r="AF7092">
        <v>10.192683811943599</v>
      </c>
      <c r="AG7092">
        <v>-1.02905431</v>
      </c>
      <c r="AH7092">
        <v>122.26761908619</v>
      </c>
      <c r="AI7092">
        <v>90.480546526177406</v>
      </c>
      <c r="AJ7092">
        <v>85.234629176903496</v>
      </c>
      <c r="AK7092">
        <v>122.696048970897</v>
      </c>
      <c r="AL7092">
        <v>90.940309554700605</v>
      </c>
      <c r="AM7092">
        <v>87.425285530810299</v>
      </c>
      <c r="AN7092">
        <v>0.99999993767641404</v>
      </c>
    </row>
    <row r="7093" spans="1:40" x14ac:dyDescent="0.25">
      <c r="A7093" t="str">
        <f>"20190312161158826"</f>
        <v>20190312161158826</v>
      </c>
      <c r="B7093" t="str">
        <f>"1552378318814416"</f>
        <v>1552378318814416</v>
      </c>
      <c r="C7093" t="s">
        <v>40</v>
      </c>
      <c r="D7093">
        <v>5.3011569999999999</v>
      </c>
      <c r="E7093">
        <v>0.51556449999999998</v>
      </c>
      <c r="F7093" t="s">
        <v>43</v>
      </c>
      <c r="G7093">
        <v>-170.73570000000001</v>
      </c>
      <c r="H7093">
        <v>-0.05</v>
      </c>
      <c r="I7093">
        <v>217.88640000000001</v>
      </c>
      <c r="J7093">
        <v>-187.91</v>
      </c>
      <c r="K7093">
        <v>1.1090530000000001</v>
      </c>
      <c r="L7093">
        <v>53.4131199999999</v>
      </c>
      <c r="M7093">
        <v>1.8744920000000002E-2</v>
      </c>
      <c r="N7093">
        <v>0</v>
      </c>
      <c r="O7093">
        <v>0.99978440000000002</v>
      </c>
      <c r="P7093">
        <v>6.3431680000000004E-2</v>
      </c>
      <c r="Q7093">
        <v>-2.4915989999999999E-2</v>
      </c>
      <c r="R7093">
        <v>0.99767510000000004</v>
      </c>
      <c r="S7093">
        <v>0.31118770000000001</v>
      </c>
      <c r="T7093">
        <v>-2.099109E-2</v>
      </c>
      <c r="U7093">
        <v>2.9866640000000002</v>
      </c>
      <c r="V7093">
        <v>4.4721700000000003E-2</v>
      </c>
      <c r="W7093">
        <v>-1.598163E-2</v>
      </c>
      <c r="X7093">
        <v>0.99887159999999997</v>
      </c>
      <c r="Y7093">
        <v>8.4965940000000004E-2</v>
      </c>
      <c r="Z7093">
        <v>-6.9946080000000002E-3</v>
      </c>
      <c r="AA7093">
        <v>0.99635929999999995</v>
      </c>
      <c r="AB7093">
        <v>42</v>
      </c>
      <c r="AC7093">
        <v>17.174299999999899</v>
      </c>
      <c r="AD7093">
        <v>-1.1590530000000001</v>
      </c>
      <c r="AE7093">
        <v>164.47327999999999</v>
      </c>
      <c r="AF7093">
        <v>14.0874286913511</v>
      </c>
      <c r="AG7093">
        <v>-1.1590530000000001</v>
      </c>
      <c r="AH7093">
        <v>164.75822940774</v>
      </c>
      <c r="AI7093">
        <v>90.401596518003899</v>
      </c>
      <c r="AJ7093">
        <v>85.112888723621495</v>
      </c>
      <c r="AK7093">
        <v>165.36345789975601</v>
      </c>
      <c r="AL7093">
        <v>90.915718970926804</v>
      </c>
      <c r="AM7093">
        <v>87.436452705167298</v>
      </c>
      <c r="AN7093">
        <v>0.99999995811745201</v>
      </c>
    </row>
    <row r="7094" spans="1:40" x14ac:dyDescent="0.25">
      <c r="A7094" t="str">
        <f>"20190312161158847"</f>
        <v>20190312161158847</v>
      </c>
      <c r="B7094" t="str">
        <f>"1552378318833935"</f>
        <v>1552378318833935</v>
      </c>
      <c r="C7094" t="s">
        <v>40</v>
      </c>
      <c r="D7094">
        <v>5.2415589999999996</v>
      </c>
      <c r="E7094">
        <v>0.51570229999999995</v>
      </c>
      <c r="F7094" t="s">
        <v>43</v>
      </c>
      <c r="G7094">
        <v>-168.5224</v>
      </c>
      <c r="H7094">
        <v>-0.05</v>
      </c>
      <c r="I7094">
        <v>236.7424</v>
      </c>
      <c r="J7094">
        <v>-187.9024</v>
      </c>
      <c r="K7094">
        <v>1.1090580000000001</v>
      </c>
      <c r="L7094">
        <v>53.8215</v>
      </c>
      <c r="M7094">
        <v>1.8655830000000002E-2</v>
      </c>
      <c r="N7094">
        <v>0</v>
      </c>
      <c r="O7094">
        <v>0.99978579999999995</v>
      </c>
      <c r="P7094">
        <v>6.3534530000000006E-2</v>
      </c>
      <c r="Q7094">
        <v>-2.4272680000000001E-2</v>
      </c>
      <c r="R7094">
        <v>0.99768440000000003</v>
      </c>
      <c r="S7094">
        <v>0.31582640000000001</v>
      </c>
      <c r="T7094">
        <v>-1.8881080000000001E-2</v>
      </c>
      <c r="U7094">
        <v>2.98645</v>
      </c>
      <c r="V7094">
        <v>4.4913269999999998E-2</v>
      </c>
      <c r="W7094">
        <v>-1.5315270000000001E-2</v>
      </c>
      <c r="X7094">
        <v>0.99887349999999997</v>
      </c>
      <c r="Y7094">
        <v>8.6593160000000002E-2</v>
      </c>
      <c r="Z7094">
        <v>-6.2910600000000002E-3</v>
      </c>
      <c r="AA7094">
        <v>0.99622390000000005</v>
      </c>
      <c r="AB7094">
        <v>43</v>
      </c>
      <c r="AC7094">
        <v>19.3799999999999</v>
      </c>
      <c r="AD7094">
        <v>-1.1590579999999999</v>
      </c>
      <c r="AE7094">
        <v>182.92089999999999</v>
      </c>
      <c r="AF7094">
        <v>15.9633148584086</v>
      </c>
      <c r="AG7094">
        <v>-1.1590579999999999</v>
      </c>
      <c r="AH7094">
        <v>183.24335176113601</v>
      </c>
      <c r="AI7094">
        <v>90.361037321031404</v>
      </c>
      <c r="AJ7094">
        <v>85.021225597170599</v>
      </c>
      <c r="AK7094">
        <v>183.941014462168</v>
      </c>
      <c r="AL7094">
        <v>90.877534628344705</v>
      </c>
      <c r="AM7094">
        <v>87.425491120874199</v>
      </c>
      <c r="AN7094">
        <v>1.00000001415975</v>
      </c>
    </row>
    <row r="7095" spans="1:40" x14ac:dyDescent="0.25">
      <c r="A7095" t="str">
        <f>"20190312161158870"</f>
        <v>20190312161158870</v>
      </c>
      <c r="B7095" t="str">
        <f>"1552378318864192"</f>
        <v>1552378318864192</v>
      </c>
      <c r="C7095" t="s">
        <v>40</v>
      </c>
      <c r="D7095">
        <v>5.2072469999999997</v>
      </c>
      <c r="E7095">
        <v>0.52078040000000003</v>
      </c>
      <c r="F7095" t="s">
        <v>43</v>
      </c>
      <c r="G7095">
        <v>-167.00389999999999</v>
      </c>
      <c r="H7095">
        <v>-0.05</v>
      </c>
      <c r="I7095">
        <v>250.55520000000001</v>
      </c>
      <c r="J7095">
        <v>-187.89449999999999</v>
      </c>
      <c r="K7095">
        <v>1.109065</v>
      </c>
      <c r="L7095">
        <v>54.251460000000002</v>
      </c>
      <c r="M7095">
        <v>1.8561660000000001E-2</v>
      </c>
      <c r="N7095">
        <v>0</v>
      </c>
      <c r="O7095">
        <v>0.99978730000000005</v>
      </c>
      <c r="P7095">
        <v>6.329659E-2</v>
      </c>
      <c r="Q7095">
        <v>-2.4577209999999999E-2</v>
      </c>
      <c r="R7095">
        <v>0.99769209999999997</v>
      </c>
      <c r="S7095">
        <v>0.31723020000000002</v>
      </c>
      <c r="T7095">
        <v>-1.7593979999999999E-2</v>
      </c>
      <c r="U7095">
        <v>2.9863279999999999</v>
      </c>
      <c r="V7095">
        <v>4.4769440000000001E-2</v>
      </c>
      <c r="W7095">
        <v>-1.5592379999999999E-2</v>
      </c>
      <c r="X7095">
        <v>0.99887570000000003</v>
      </c>
      <c r="Y7095">
        <v>8.7154629999999997E-2</v>
      </c>
      <c r="Z7095">
        <v>-5.8621849999999998E-3</v>
      </c>
      <c r="AA7095">
        <v>0.9961776</v>
      </c>
      <c r="AB7095">
        <v>43</v>
      </c>
      <c r="AC7095">
        <v>20.890599999999999</v>
      </c>
      <c r="AD7095">
        <v>-1.159065</v>
      </c>
      <c r="AE7095">
        <v>196.30374</v>
      </c>
      <c r="AF7095">
        <v>17.242535709494099</v>
      </c>
      <c r="AG7095">
        <v>-1.159065</v>
      </c>
      <c r="AH7095">
        <v>196.65091849323301</v>
      </c>
      <c r="AI7095">
        <v>90.336408083321999</v>
      </c>
      <c r="AJ7095">
        <v>84.9890677204165</v>
      </c>
      <c r="AK7095">
        <v>197.40879467136099</v>
      </c>
      <c r="AL7095">
        <v>90.893413730713903</v>
      </c>
      <c r="AM7095">
        <v>87.433730318265404</v>
      </c>
      <c r="AN7095">
        <v>1.00000004456123</v>
      </c>
    </row>
    <row r="7096" spans="1:40" x14ac:dyDescent="0.25">
      <c r="A7096" t="str">
        <f>"20190312161158893"</f>
        <v>20190312161158893</v>
      </c>
      <c r="B7096" t="str">
        <f>"1552378318884688"</f>
        <v>1552378318884688</v>
      </c>
      <c r="C7096" t="s">
        <v>40</v>
      </c>
      <c r="D7096">
        <v>5.2428030000000003</v>
      </c>
      <c r="E7096">
        <v>0.52131149999999904</v>
      </c>
      <c r="F7096" t="s">
        <v>41</v>
      </c>
      <c r="G7096">
        <v>-184.4462</v>
      </c>
      <c r="H7096" s="1">
        <v>-2.7138019999999998E-6</v>
      </c>
      <c r="I7096">
        <v>83.28031</v>
      </c>
      <c r="J7096">
        <v>-187.88650000000001</v>
      </c>
      <c r="K7096">
        <v>1.109065</v>
      </c>
      <c r="L7096">
        <v>54.685519999999997</v>
      </c>
      <c r="M7096">
        <v>1.846631E-2</v>
      </c>
      <c r="N7096">
        <v>0</v>
      </c>
      <c r="O7096">
        <v>0.99978880000000003</v>
      </c>
      <c r="P7096">
        <v>6.3622499999999998E-2</v>
      </c>
      <c r="Q7096">
        <v>-2.562383E-2</v>
      </c>
      <c r="R7096">
        <v>0.997645</v>
      </c>
      <c r="S7096">
        <v>0.35418699999999997</v>
      </c>
      <c r="T7096">
        <v>-0.1139164</v>
      </c>
      <c r="U7096">
        <v>2.9816590000000001</v>
      </c>
      <c r="V7096">
        <v>4.5191670000000003E-2</v>
      </c>
      <c r="W7096">
        <v>-1.6604899999999999E-2</v>
      </c>
      <c r="X7096">
        <v>0.99884030000000001</v>
      </c>
      <c r="Y7096">
        <v>9.9516090000000001E-2</v>
      </c>
      <c r="Z7096">
        <v>-3.7940179999999997E-2</v>
      </c>
      <c r="AA7096">
        <v>0.99431230000000004</v>
      </c>
      <c r="AB7096">
        <v>43</v>
      </c>
      <c r="AC7096">
        <v>3.4403000000000001</v>
      </c>
      <c r="AD7096">
        <v>-1.109067713802</v>
      </c>
      <c r="AE7096">
        <v>28.59479</v>
      </c>
      <c r="AF7096">
        <v>2.90734040037621</v>
      </c>
      <c r="AG7096">
        <v>-1.109067713802</v>
      </c>
      <c r="AH7096">
        <v>28.611019725733801</v>
      </c>
      <c r="AI7096">
        <v>92.208520651798693</v>
      </c>
      <c r="AJ7096">
        <v>84.197742373015799</v>
      </c>
      <c r="AK7096">
        <v>28.779734348040598</v>
      </c>
      <c r="AL7096">
        <v>90.951434436242295</v>
      </c>
      <c r="AM7096">
        <v>87.409468421525801</v>
      </c>
      <c r="AN7096">
        <v>0.99999997732274404</v>
      </c>
    </row>
    <row r="7097" spans="1:40" x14ac:dyDescent="0.25">
      <c r="A7097" t="str">
        <f>"20190312161158938"</f>
        <v>20190312161158938</v>
      </c>
      <c r="B7097" t="str">
        <f>"1552378318924704"</f>
        <v>1552378318924704</v>
      </c>
      <c r="C7097" t="s">
        <v>40</v>
      </c>
      <c r="D7097">
        <v>5.0666440000000001</v>
      </c>
      <c r="E7097">
        <v>0.52098040000000001</v>
      </c>
      <c r="F7097" t="s">
        <v>41</v>
      </c>
      <c r="G7097">
        <v>-184.32220000000001</v>
      </c>
      <c r="H7097" s="1">
        <v>-3.0731089999999999E-6</v>
      </c>
      <c r="I7097">
        <v>84.239189999999994</v>
      </c>
      <c r="J7097">
        <v>-187.8706</v>
      </c>
      <c r="K7097">
        <v>1.1090770000000001</v>
      </c>
      <c r="L7097">
        <v>55.552520000000001</v>
      </c>
      <c r="M7097">
        <v>1.827612E-2</v>
      </c>
      <c r="N7097">
        <v>0</v>
      </c>
      <c r="O7097">
        <v>0.99979130000000005</v>
      </c>
      <c r="P7097">
        <v>6.3162190000000007E-2</v>
      </c>
      <c r="Q7097">
        <v>-2.5126289999999999E-2</v>
      </c>
      <c r="R7097">
        <v>0.99768690000000004</v>
      </c>
      <c r="S7097">
        <v>0.35955809999999999</v>
      </c>
      <c r="T7097">
        <v>-0.1118797</v>
      </c>
      <c r="U7097">
        <v>2.981293</v>
      </c>
      <c r="V7097">
        <v>4.4920590000000003E-2</v>
      </c>
      <c r="W7097">
        <v>-1.5995099999999901E-2</v>
      </c>
      <c r="X7097">
        <v>0.99886249999999999</v>
      </c>
      <c r="Y7097">
        <v>0.1014886</v>
      </c>
      <c r="Z7097">
        <v>-3.7259849999999997E-2</v>
      </c>
      <c r="AA7097">
        <v>0.99413870000000004</v>
      </c>
      <c r="AB7097">
        <v>43</v>
      </c>
      <c r="AC7097">
        <v>3.54839999999998</v>
      </c>
      <c r="AD7097">
        <v>-1.109080073109</v>
      </c>
      <c r="AE7097">
        <v>28.686669999999999</v>
      </c>
      <c r="AF7097">
        <v>3.01905971551811</v>
      </c>
      <c r="AG7097">
        <v>-1.109080073109</v>
      </c>
      <c r="AH7097">
        <v>28.704472849188299</v>
      </c>
      <c r="AI7097">
        <v>92.200560894827007</v>
      </c>
      <c r="AJ7097">
        <v>83.995857963953398</v>
      </c>
      <c r="AK7097">
        <v>28.884105347478201</v>
      </c>
      <c r="AL7097">
        <v>90.9164908069707</v>
      </c>
      <c r="AM7097">
        <v>87.425043771794506</v>
      </c>
      <c r="AN7097">
        <v>0.99999999826810404</v>
      </c>
    </row>
    <row r="7098" spans="1:40" x14ac:dyDescent="0.25">
      <c r="A7098" t="str">
        <f>"20190312161158959"</f>
        <v>20190312161158959</v>
      </c>
      <c r="B7098" t="str">
        <f>"1552378318953984"</f>
        <v>1552378318953984</v>
      </c>
      <c r="C7098" t="s">
        <v>40</v>
      </c>
      <c r="D7098">
        <v>5.1886409999999996</v>
      </c>
      <c r="E7098">
        <v>0.52222259999999998</v>
      </c>
      <c r="F7098" t="s">
        <v>41</v>
      </c>
      <c r="G7098">
        <v>-184.8389</v>
      </c>
      <c r="H7098" s="1">
        <v>-1.8360019999999999E-6</v>
      </c>
      <c r="I7098">
        <v>81.007930000000002</v>
      </c>
      <c r="J7098">
        <v>-187.863</v>
      </c>
      <c r="K7098">
        <v>1.109092</v>
      </c>
      <c r="L7098">
        <v>55.97101</v>
      </c>
      <c r="M7098">
        <v>1.8184479999999999E-2</v>
      </c>
      <c r="N7098">
        <v>0</v>
      </c>
      <c r="O7098">
        <v>0.99979220000000002</v>
      </c>
      <c r="P7098">
        <v>6.2770779999999998E-2</v>
      </c>
      <c r="Q7098">
        <v>-2.5096210000000001E-2</v>
      </c>
      <c r="R7098">
        <v>0.99771240000000005</v>
      </c>
      <c r="S7098">
        <v>0.35505679999999901</v>
      </c>
      <c r="T7098">
        <v>-0.12988939999999999</v>
      </c>
      <c r="U7098">
        <v>2.981201</v>
      </c>
      <c r="V7098">
        <v>4.4620300000000002E-2</v>
      </c>
      <c r="W7098">
        <v>-1.587759E-2</v>
      </c>
      <c r="X7098">
        <v>0.99887780000000004</v>
      </c>
      <c r="Y7098">
        <v>0.10007489999999999</v>
      </c>
      <c r="Z7098">
        <v>-4.3255589999999997E-2</v>
      </c>
      <c r="AA7098">
        <v>0.99403920000000001</v>
      </c>
      <c r="AB7098">
        <v>43</v>
      </c>
      <c r="AC7098">
        <v>3.0240999999999998</v>
      </c>
      <c r="AD7098">
        <v>-1.109093836002</v>
      </c>
      <c r="AE7098">
        <v>25.036919999999999</v>
      </c>
      <c r="AF7098">
        <v>2.5633394047396698</v>
      </c>
      <c r="AG7098">
        <v>-1.109093836002</v>
      </c>
      <c r="AH7098">
        <v>25.039344556024499</v>
      </c>
      <c r="AI7098">
        <v>92.523034791698805</v>
      </c>
      <c r="AJ7098">
        <v>84.154852392609598</v>
      </c>
      <c r="AK7098">
        <v>25.194633830168399</v>
      </c>
      <c r="AL7098">
        <v>90.909757155793798</v>
      </c>
      <c r="AM7098">
        <v>87.442273305571206</v>
      </c>
      <c r="AN7098">
        <v>0.99999996418456805</v>
      </c>
    </row>
    <row r="7099" spans="1:40" x14ac:dyDescent="0.25">
      <c r="A7099" t="str">
        <f>"20190312161158983"</f>
        <v>20190312161158983</v>
      </c>
      <c r="B7099" t="str">
        <f>"1552378318974480"</f>
        <v>1552378318974480</v>
      </c>
      <c r="C7099" t="s">
        <v>40</v>
      </c>
      <c r="D7099">
        <v>4.9921939999999996</v>
      </c>
      <c r="E7099">
        <v>0.52125059999999901</v>
      </c>
      <c r="F7099" t="s">
        <v>41</v>
      </c>
      <c r="G7099">
        <v>-184.54910000000001</v>
      </c>
      <c r="H7099" s="1">
        <v>-2.62677E-6</v>
      </c>
      <c r="I7099">
        <v>83.105059999999995</v>
      </c>
      <c r="J7099">
        <v>-187.85499999999999</v>
      </c>
      <c r="K7099">
        <v>1.1091139999999999</v>
      </c>
      <c r="L7099">
        <v>56.417630000000003</v>
      </c>
      <c r="M7099">
        <v>1.8086890000000001E-2</v>
      </c>
      <c r="N7099">
        <v>0</v>
      </c>
      <c r="O7099">
        <v>0.99979269999999998</v>
      </c>
      <c r="P7099">
        <v>6.2558269999999999E-2</v>
      </c>
      <c r="Q7099">
        <v>-2.6049429999999998E-2</v>
      </c>
      <c r="R7099">
        <v>0.99770130000000001</v>
      </c>
      <c r="S7099">
        <v>0.36405939999999998</v>
      </c>
      <c r="T7099">
        <v>-0.1218431</v>
      </c>
      <c r="U7099">
        <v>2.980896</v>
      </c>
      <c r="V7099">
        <v>4.4505709999999997E-2</v>
      </c>
      <c r="W7099">
        <v>-1.670317E-2</v>
      </c>
      <c r="X7099">
        <v>0.99886949999999997</v>
      </c>
      <c r="Y7099">
        <v>0.1031562</v>
      </c>
      <c r="Z7099">
        <v>-4.0571139999999999E-2</v>
      </c>
      <c r="AA7099">
        <v>0.99383739999999998</v>
      </c>
      <c r="AB7099">
        <v>43</v>
      </c>
      <c r="AC7099">
        <v>3.3058999999999799</v>
      </c>
      <c r="AD7099">
        <v>-1.1091166267699999</v>
      </c>
      <c r="AE7099">
        <v>26.6874299999999</v>
      </c>
      <c r="AF7099">
        <v>2.8178520386169001</v>
      </c>
      <c r="AG7099">
        <v>-1.1091166267699999</v>
      </c>
      <c r="AH7099">
        <v>26.6974453618047</v>
      </c>
      <c r="AI7099">
        <v>92.365797222308004</v>
      </c>
      <c r="AJ7099">
        <v>83.974874187492006</v>
      </c>
      <c r="AK7099">
        <v>26.8686437813646</v>
      </c>
      <c r="AL7099">
        <v>90.957065636522898</v>
      </c>
      <c r="AM7099">
        <v>87.448811978177801</v>
      </c>
      <c r="AN7099">
        <v>1.0000000160704501</v>
      </c>
    </row>
    <row r="7100" spans="1:40" x14ac:dyDescent="0.25">
      <c r="A7100" t="str">
        <f>"20190312161159006"</f>
        <v>20190312161159006</v>
      </c>
      <c r="B7100" t="str">
        <f>"1552378318994975"</f>
        <v>1552378318994975</v>
      </c>
      <c r="C7100" t="s">
        <v>40</v>
      </c>
      <c r="D7100">
        <v>5.2244120000000001</v>
      </c>
      <c r="E7100">
        <v>0.52134340000000001</v>
      </c>
      <c r="F7100" t="s">
        <v>41</v>
      </c>
      <c r="G7100">
        <v>-185.142</v>
      </c>
      <c r="H7100" s="1">
        <v>-4.9647470000000003E-6</v>
      </c>
      <c r="I7100">
        <v>79.197029999999998</v>
      </c>
      <c r="J7100">
        <v>-187.84700000000001</v>
      </c>
      <c r="K7100">
        <v>1.1091470000000001</v>
      </c>
      <c r="L7100">
        <v>56.862639999999999</v>
      </c>
      <c r="M7100">
        <v>1.7989809999999998E-2</v>
      </c>
      <c r="N7100">
        <v>0</v>
      </c>
      <c r="O7100">
        <v>0.99979280000000004</v>
      </c>
      <c r="P7100">
        <v>6.2963140000000001E-2</v>
      </c>
      <c r="Q7100">
        <v>-2.7061479999999999E-2</v>
      </c>
      <c r="R7100">
        <v>0.99764889999999995</v>
      </c>
      <c r="S7100">
        <v>0.35501100000000002</v>
      </c>
      <c r="T7100">
        <v>-0.14513709999999999</v>
      </c>
      <c r="U7100">
        <v>2.9808650000000001</v>
      </c>
      <c r="V7100">
        <v>4.5008630000000001E-2</v>
      </c>
      <c r="W7100">
        <v>-1.753847E-2</v>
      </c>
      <c r="X7100">
        <v>0.99883259999999996</v>
      </c>
      <c r="Y7100">
        <v>0.1002392</v>
      </c>
      <c r="Z7100">
        <v>-4.832736E-2</v>
      </c>
      <c r="AA7100">
        <v>0.99378900000000003</v>
      </c>
      <c r="AB7100">
        <v>43</v>
      </c>
      <c r="AC7100">
        <v>2.7050000000000098</v>
      </c>
      <c r="AD7100">
        <v>-1.1091519647469901</v>
      </c>
      <c r="AE7100">
        <v>22.334389999999999</v>
      </c>
      <c r="AF7100">
        <v>2.2971691002435599</v>
      </c>
      <c r="AG7100">
        <v>-1.1091519647469901</v>
      </c>
      <c r="AH7100">
        <v>22.325176843164201</v>
      </c>
      <c r="AI7100">
        <v>92.829297404339698</v>
      </c>
      <c r="AJ7100">
        <v>84.125174515954598</v>
      </c>
      <c r="AK7100">
        <v>22.4704411401861</v>
      </c>
      <c r="AL7100">
        <v>91.004931865159804</v>
      </c>
      <c r="AM7100">
        <v>87.419926792114296</v>
      </c>
      <c r="AN7100">
        <v>0.99999996876358799</v>
      </c>
    </row>
    <row r="7101" spans="1:40" x14ac:dyDescent="0.25">
      <c r="A7101" t="str">
        <f>"20190312161159029"</f>
        <v>20190312161159029</v>
      </c>
      <c r="B7101" t="str">
        <f>"1552378319024256"</f>
        <v>1552378319024256</v>
      </c>
      <c r="C7101" t="s">
        <v>40</v>
      </c>
      <c r="D7101">
        <v>5.2121690000000003</v>
      </c>
      <c r="E7101">
        <v>0.52134360000000002</v>
      </c>
      <c r="F7101" t="s">
        <v>41</v>
      </c>
      <c r="G7101">
        <v>-184.8877</v>
      </c>
      <c r="H7101" s="1">
        <v>-2.0099969999999999E-6</v>
      </c>
      <c r="I7101">
        <v>81.557339999999996</v>
      </c>
      <c r="J7101">
        <v>-187.83940000000001</v>
      </c>
      <c r="K7101">
        <v>1.109189</v>
      </c>
      <c r="L7101">
        <v>57.289490000000001</v>
      </c>
      <c r="M7101">
        <v>1.7896639999999998E-2</v>
      </c>
      <c r="N7101">
        <v>0</v>
      </c>
      <c r="O7101">
        <v>0.99979249999999997</v>
      </c>
      <c r="P7101">
        <v>6.3654020000000006E-2</v>
      </c>
      <c r="Q7101">
        <v>-2.7155800000000001E-2</v>
      </c>
      <c r="R7101">
        <v>0.99760249999999995</v>
      </c>
      <c r="S7101">
        <v>0.35722350000000003</v>
      </c>
      <c r="T7101">
        <v>-0.13388529999999901</v>
      </c>
      <c r="U7101">
        <v>2.980896</v>
      </c>
      <c r="V7101">
        <v>4.5793269999999997E-2</v>
      </c>
      <c r="W7101">
        <v>-1.7420939999999999E-2</v>
      </c>
      <c r="X7101">
        <v>0.99879899999999999</v>
      </c>
      <c r="Y7101">
        <v>0.1010786</v>
      </c>
      <c r="Z7101">
        <v>-4.458438E-2</v>
      </c>
      <c r="AA7101">
        <v>0.99387899999999996</v>
      </c>
      <c r="AB7101">
        <v>43</v>
      </c>
      <c r="AC7101">
        <v>2.95170000000001</v>
      </c>
      <c r="AD7101">
        <v>-1.1091910099969999</v>
      </c>
      <c r="AE7101">
        <v>24.267849999999999</v>
      </c>
      <c r="AF7101">
        <v>2.5117230473813099</v>
      </c>
      <c r="AG7101">
        <v>-1.1091910099969999</v>
      </c>
      <c r="AH7101">
        <v>24.2668352236375</v>
      </c>
      <c r="AI7101">
        <v>92.603172215773597</v>
      </c>
      <c r="AJ7101">
        <v>84.090680015255401</v>
      </c>
      <c r="AK7101">
        <v>24.421677852567399</v>
      </c>
      <c r="AL7101">
        <v>90.998196854208402</v>
      </c>
      <c r="AM7101">
        <v>87.374922308262001</v>
      </c>
      <c r="AN7101">
        <v>0.99999997756438797</v>
      </c>
    </row>
    <row r="7102" spans="1:40" x14ac:dyDescent="0.25">
      <c r="A7102" t="str">
        <f>"20190312161159050"</f>
        <v>20190312161159050</v>
      </c>
      <c r="B7102" t="str">
        <f>"1552378319044752"</f>
        <v>1552378319044752</v>
      </c>
      <c r="C7102" t="s">
        <v>40</v>
      </c>
      <c r="D7102">
        <v>5.1735939999999996</v>
      </c>
      <c r="E7102">
        <v>0.52115429999999996</v>
      </c>
      <c r="F7102" t="s">
        <v>41</v>
      </c>
      <c r="G7102">
        <v>-184.20079999999999</v>
      </c>
      <c r="H7102" s="1">
        <v>-4.369092E-6</v>
      </c>
      <c r="I7102">
        <v>87.419359999999998</v>
      </c>
      <c r="J7102">
        <v>-187.8321</v>
      </c>
      <c r="K7102">
        <v>1.109226</v>
      </c>
      <c r="L7102">
        <v>57.701839999999997</v>
      </c>
      <c r="M7102">
        <v>1.780702E-2</v>
      </c>
      <c r="N7102">
        <v>0</v>
      </c>
      <c r="O7102">
        <v>0.99979180000000001</v>
      </c>
      <c r="P7102">
        <v>6.437445E-2</v>
      </c>
      <c r="Q7102">
        <v>-2.680395E-2</v>
      </c>
      <c r="R7102">
        <v>0.99756579999999995</v>
      </c>
      <c r="S7102">
        <v>0.36003109999999999</v>
      </c>
      <c r="T7102">
        <v>-0.1097515</v>
      </c>
      <c r="U7102">
        <v>2.9812620000000001</v>
      </c>
      <c r="V7102">
        <v>4.6603650000000003E-2</v>
      </c>
      <c r="W7102">
        <v>-1.684331E-2</v>
      </c>
      <c r="X7102">
        <v>0.99877139999999998</v>
      </c>
      <c r="Y7102">
        <v>0.102115</v>
      </c>
      <c r="Z7102">
        <v>-3.6551350000000003E-2</v>
      </c>
      <c r="AA7102">
        <v>0.99410089999999995</v>
      </c>
      <c r="AB7102">
        <v>43</v>
      </c>
      <c r="AC7102">
        <v>3.6313</v>
      </c>
      <c r="AD7102">
        <v>-1.109230369092</v>
      </c>
      <c r="AE7102">
        <v>29.71752</v>
      </c>
      <c r="AF7102">
        <v>3.0972657566951902</v>
      </c>
      <c r="AG7102">
        <v>-1.109230369092</v>
      </c>
      <c r="AH7102">
        <v>29.736653361457201</v>
      </c>
      <c r="AI7102">
        <v>92.124761032303994</v>
      </c>
      <c r="AJ7102">
        <v>84.0537131612152</v>
      </c>
      <c r="AK7102">
        <v>29.9180881795407</v>
      </c>
      <c r="AL7102">
        <v>90.965096257202305</v>
      </c>
      <c r="AM7102">
        <v>87.328460653585907</v>
      </c>
      <c r="AN7102">
        <v>0.99999995337151804</v>
      </c>
    </row>
    <row r="7103" spans="1:40" x14ac:dyDescent="0.25">
      <c r="A7103" t="str">
        <f>"20190312161159071"</f>
        <v>20190312161159071</v>
      </c>
      <c r="B7103" t="str">
        <f>"1552378319064272"</f>
        <v>1552378319064272</v>
      </c>
      <c r="C7103" t="s">
        <v>40</v>
      </c>
      <c r="D7103">
        <v>5.181349</v>
      </c>
      <c r="E7103">
        <v>0.52095309999999995</v>
      </c>
      <c r="F7103" t="s">
        <v>41</v>
      </c>
      <c r="G7103">
        <v>-183.7587</v>
      </c>
      <c r="H7103" s="1">
        <v>-2.239288E-6</v>
      </c>
      <c r="I7103">
        <v>91.348370000000003</v>
      </c>
      <c r="J7103">
        <v>-187.82499999999999</v>
      </c>
      <c r="K7103">
        <v>1.1092630000000001</v>
      </c>
      <c r="L7103">
        <v>58.104770000000002</v>
      </c>
      <c r="M7103">
        <v>1.7719229999999999E-2</v>
      </c>
      <c r="N7103">
        <v>0</v>
      </c>
      <c r="O7103">
        <v>0.99979090000000004</v>
      </c>
      <c r="P7103">
        <v>6.4499319999999999E-2</v>
      </c>
      <c r="Q7103">
        <v>-2.7106140000000001E-2</v>
      </c>
      <c r="R7103">
        <v>0.99754949999999998</v>
      </c>
      <c r="S7103">
        <v>0.36094670000000001</v>
      </c>
      <c r="T7103">
        <v>-9.8287579999999999E-2</v>
      </c>
      <c r="U7103">
        <v>2.9813839999999998</v>
      </c>
      <c r="V7103">
        <v>4.6816530000000002E-2</v>
      </c>
      <c r="W7103">
        <v>-1.6902469999999999E-2</v>
      </c>
      <c r="X7103">
        <v>0.99876050000000005</v>
      </c>
      <c r="Y7103">
        <v>0.1025142</v>
      </c>
      <c r="Z7103">
        <v>-3.2735269999999997E-2</v>
      </c>
      <c r="AA7103">
        <v>0.99419279999999999</v>
      </c>
      <c r="AB7103">
        <v>43</v>
      </c>
      <c r="AC7103">
        <v>4.0662999999999796</v>
      </c>
      <c r="AD7103">
        <v>-1.10926523928799</v>
      </c>
      <c r="AE7103">
        <v>33.243599999999901</v>
      </c>
      <c r="AF7103">
        <v>3.4727702360404198</v>
      </c>
      <c r="AG7103">
        <v>-1.10926523928799</v>
      </c>
      <c r="AH7103">
        <v>33.273934368217098</v>
      </c>
      <c r="AI7103">
        <v>91.899075481413405</v>
      </c>
      <c r="AJ7103">
        <v>84.041663703373899</v>
      </c>
      <c r="AK7103">
        <v>33.473053503136498</v>
      </c>
      <c r="AL7103">
        <v>90.968486304724806</v>
      </c>
      <c r="AM7103">
        <v>87.316245930303495</v>
      </c>
      <c r="AN7103">
        <v>1.00000000866679</v>
      </c>
    </row>
    <row r="7104" spans="1:40" x14ac:dyDescent="0.25">
      <c r="A7104" t="str">
        <f>"20190312161159094"</f>
        <v>20190312161159094</v>
      </c>
      <c r="B7104" t="str">
        <f>"1552378319084767"</f>
        <v>1552378319084767</v>
      </c>
      <c r="C7104" t="s">
        <v>40</v>
      </c>
      <c r="D7104">
        <v>5.1971550000000004</v>
      </c>
      <c r="E7104">
        <v>0.52078760000000002</v>
      </c>
      <c r="F7104" t="s">
        <v>41</v>
      </c>
      <c r="G7104">
        <v>-183.4425</v>
      </c>
      <c r="H7104" s="1">
        <v>-3.3575980000000002E-6</v>
      </c>
      <c r="I7104">
        <v>94.387420000000006</v>
      </c>
      <c r="J7104">
        <v>-187.81729999999999</v>
      </c>
      <c r="K7104">
        <v>1.109316</v>
      </c>
      <c r="L7104">
        <v>58.546999999999997</v>
      </c>
      <c r="M7104">
        <v>1.7629479999999999E-2</v>
      </c>
      <c r="N7104">
        <v>0</v>
      </c>
      <c r="O7104">
        <v>0.99978940000000005</v>
      </c>
      <c r="P7104">
        <v>6.4218570000000003E-2</v>
      </c>
      <c r="Q7104">
        <v>-2.7044180000000001E-2</v>
      </c>
      <c r="R7104">
        <v>0.99756929999999999</v>
      </c>
      <c r="S7104">
        <v>0.36013790000000001</v>
      </c>
      <c r="T7104">
        <v>-9.1156130000000002E-2</v>
      </c>
      <c r="U7104">
        <v>2.981598</v>
      </c>
      <c r="V7104">
        <v>4.6625140000000002E-2</v>
      </c>
      <c r="W7104">
        <v>-1.6536499999999999E-2</v>
      </c>
      <c r="X7104">
        <v>0.99877550000000004</v>
      </c>
      <c r="Y7104">
        <v>0.1023382</v>
      </c>
      <c r="Z7104">
        <v>-3.036107E-2</v>
      </c>
      <c r="AA7104">
        <v>0.99428620000000001</v>
      </c>
      <c r="AB7104">
        <v>43</v>
      </c>
      <c r="AC7104">
        <v>4.3747999999999898</v>
      </c>
      <c r="AD7104">
        <v>-1.109319357598</v>
      </c>
      <c r="AE7104">
        <v>35.840419999999902</v>
      </c>
      <c r="AF7104">
        <v>3.7387080836053102</v>
      </c>
      <c r="AG7104">
        <v>-1.109319357598</v>
      </c>
      <c r="AH7104">
        <v>35.878112328151801</v>
      </c>
      <c r="AI7104">
        <v>91.761438676372094</v>
      </c>
      <c r="AJ7104">
        <v>84.050917764452294</v>
      </c>
      <c r="AK7104">
        <v>36.089437122280401</v>
      </c>
      <c r="AL7104">
        <v>90.947514912021802</v>
      </c>
      <c r="AM7104">
        <v>87.327241488057894</v>
      </c>
      <c r="AN7104">
        <v>0.99999992945625704</v>
      </c>
    </row>
    <row r="7105" spans="1:40" x14ac:dyDescent="0.25">
      <c r="A7105" t="str">
        <f>"20190312161159140"</f>
        <v>20190312161159140</v>
      </c>
      <c r="B7105" t="str">
        <f>"1552378319134544"</f>
        <v>1552378319134544</v>
      </c>
      <c r="C7105" t="s">
        <v>40</v>
      </c>
      <c r="D7105">
        <v>5.2035920000000004</v>
      </c>
      <c r="E7105">
        <v>0.52050379999999996</v>
      </c>
      <c r="F7105" t="s">
        <v>41</v>
      </c>
      <c r="G7105">
        <v>-183.1234</v>
      </c>
      <c r="H7105" s="1">
        <v>-4.6489039999999998E-6</v>
      </c>
      <c r="I7105">
        <v>97.626109999999997</v>
      </c>
      <c r="J7105">
        <v>-187.80179999999999</v>
      </c>
      <c r="K7105">
        <v>1.1094349999999999</v>
      </c>
      <c r="L7105">
        <v>59.437260000000002</v>
      </c>
      <c r="M7105">
        <v>1.7455640000000001E-2</v>
      </c>
      <c r="N7105">
        <v>0</v>
      </c>
      <c r="O7105">
        <v>0.99978420000000001</v>
      </c>
      <c r="P7105">
        <v>6.2605279999999999E-2</v>
      </c>
      <c r="Q7105">
        <v>-2.8179280000000001E-2</v>
      </c>
      <c r="R7105">
        <v>0.99764050000000004</v>
      </c>
      <c r="S7105">
        <v>0.35816959999999998</v>
      </c>
      <c r="T7105">
        <v>-8.464766E-2</v>
      </c>
      <c r="U7105">
        <v>2.9819640000000001</v>
      </c>
      <c r="V7105">
        <v>4.5184299999999997E-2</v>
      </c>
      <c r="W7105">
        <v>-1.6915840000000001E-2</v>
      </c>
      <c r="X7105">
        <v>0.99883540000000004</v>
      </c>
      <c r="Y7105">
        <v>0.10185710000000001</v>
      </c>
      <c r="Z7105">
        <v>-2.8193610000000001E-2</v>
      </c>
      <c r="AA7105">
        <v>0.99439940000000004</v>
      </c>
      <c r="AB7105">
        <v>43</v>
      </c>
      <c r="AC7105">
        <v>4.6783999999999804</v>
      </c>
      <c r="AD7105">
        <v>-1.1094396489039999</v>
      </c>
      <c r="AE7105">
        <v>38.188850000000002</v>
      </c>
      <c r="AF7105">
        <v>4.0077015766365998</v>
      </c>
      <c r="AG7105">
        <v>-1.1094396489039999</v>
      </c>
      <c r="AH7105">
        <v>38.232909558053599</v>
      </c>
      <c r="AI7105">
        <v>91.653086007469696</v>
      </c>
      <c r="AJ7105">
        <v>84.015918287164197</v>
      </c>
      <c r="AK7105">
        <v>38.458391822023003</v>
      </c>
      <c r="AL7105">
        <v>90.969252504595502</v>
      </c>
      <c r="AM7105">
        <v>87.409877629169301</v>
      </c>
      <c r="AN7105">
        <v>0.99999996145127701</v>
      </c>
    </row>
    <row r="7106" spans="1:40" x14ac:dyDescent="0.25">
      <c r="A7106" t="str">
        <f>"20190312161159161"</f>
        <v>20190312161159161</v>
      </c>
      <c r="B7106" t="str">
        <f>"1552378319154064"</f>
        <v>1552378319154064</v>
      </c>
      <c r="C7106" t="s">
        <v>40</v>
      </c>
      <c r="D7106">
        <v>5.1925439999999998</v>
      </c>
      <c r="E7106">
        <v>0.52058179999999998</v>
      </c>
      <c r="F7106" t="s">
        <v>41</v>
      </c>
      <c r="G7106">
        <v>-182.833</v>
      </c>
      <c r="H7106" s="1">
        <v>-2.5827080000000001E-6</v>
      </c>
      <c r="I7106">
        <v>101.63379999999999</v>
      </c>
      <c r="J7106">
        <v>-187.79470000000001</v>
      </c>
      <c r="K7106">
        <v>1.109486</v>
      </c>
      <c r="L7106">
        <v>59.847749999999998</v>
      </c>
      <c r="M7106">
        <v>1.7364500000000001E-2</v>
      </c>
      <c r="N7106">
        <v>0</v>
      </c>
      <c r="O7106">
        <v>0.99978109999999998</v>
      </c>
      <c r="P7106">
        <v>6.193626E-2</v>
      </c>
      <c r="Q7106">
        <v>-2.8646499999999998E-2</v>
      </c>
      <c r="R7106">
        <v>0.99766889999999997</v>
      </c>
      <c r="S7106">
        <v>0.3512421</v>
      </c>
      <c r="T7106">
        <v>-7.8424809999999998E-2</v>
      </c>
      <c r="U7106">
        <v>2.9828190000000001</v>
      </c>
      <c r="V7106">
        <v>4.4605550000000001E-2</v>
      </c>
      <c r="W7106">
        <v>-1.698353E-2</v>
      </c>
      <c r="X7106">
        <v>0.99886030000000003</v>
      </c>
      <c r="Y7106">
        <v>9.9643010000000004E-2</v>
      </c>
      <c r="Z7106">
        <v>-2.6121579999999998E-2</v>
      </c>
      <c r="AA7106">
        <v>0.99468029999999996</v>
      </c>
      <c r="AB7106">
        <v>43</v>
      </c>
      <c r="AC7106">
        <v>4.9617000000000004</v>
      </c>
      <c r="AD7106">
        <v>-1.1094885827080001</v>
      </c>
      <c r="AE7106">
        <v>41.786050000000003</v>
      </c>
      <c r="AF7106">
        <v>4.2323662164447899</v>
      </c>
      <c r="AG7106">
        <v>-1.1094885827080001</v>
      </c>
      <c r="AH7106">
        <v>41.836827708996303</v>
      </c>
      <c r="AI7106">
        <v>91.511384508098203</v>
      </c>
      <c r="AJ7106">
        <v>84.223402355120598</v>
      </c>
      <c r="AK7106">
        <v>42.064997818346598</v>
      </c>
      <c r="AL7106">
        <v>90.973131378548402</v>
      </c>
      <c r="AM7106">
        <v>87.443072946372496</v>
      </c>
      <c r="AN7106">
        <v>0.99999999714907595</v>
      </c>
    </row>
    <row r="7107" spans="1:40" x14ac:dyDescent="0.25">
      <c r="A7107" t="str">
        <f>"20190312161159183"</f>
        <v>20190312161159183</v>
      </c>
      <c r="B7107" t="str">
        <f>"1552378319174560"</f>
        <v>1552378319174560</v>
      </c>
      <c r="C7107" t="s">
        <v>40</v>
      </c>
      <c r="D7107">
        <v>5.2144089999999998</v>
      </c>
      <c r="E7107">
        <v>0.52074290000000001</v>
      </c>
      <c r="F7107" t="s">
        <v>41</v>
      </c>
      <c r="G7107">
        <v>-182.88460000000001</v>
      </c>
      <c r="H7107" s="1">
        <v>-2.5981659999999999E-6</v>
      </c>
      <c r="I7107">
        <v>101.7195</v>
      </c>
      <c r="J7107">
        <v>-187.7876</v>
      </c>
      <c r="K7107">
        <v>1.109531</v>
      </c>
      <c r="L7107">
        <v>60.263240000000003</v>
      </c>
      <c r="M7107">
        <v>1.7268530000000001E-2</v>
      </c>
      <c r="N7107">
        <v>0</v>
      </c>
      <c r="O7107">
        <v>0.99977800000000006</v>
      </c>
      <c r="P7107">
        <v>6.072607E-2</v>
      </c>
      <c r="Q7107">
        <v>-2.8677459999999998E-2</v>
      </c>
      <c r="R7107">
        <v>0.99774240000000003</v>
      </c>
      <c r="S7107">
        <v>0.3498077</v>
      </c>
      <c r="T7107">
        <v>-7.9041479999999997E-2</v>
      </c>
      <c r="U7107">
        <v>2.9830019999999999</v>
      </c>
      <c r="V7107">
        <v>4.3489760000000002E-2</v>
      </c>
      <c r="W7107">
        <v>-1.6612180000000001E-2</v>
      </c>
      <c r="X7107">
        <v>0.99891569999999996</v>
      </c>
      <c r="Y7107">
        <v>9.9258970000000002E-2</v>
      </c>
      <c r="Z7107">
        <v>-2.6326539999999999E-2</v>
      </c>
      <c r="AA7107">
        <v>0.99471330000000002</v>
      </c>
      <c r="AB7107">
        <v>43</v>
      </c>
      <c r="AC7107">
        <v>4.9029999999999898</v>
      </c>
      <c r="AD7107">
        <v>-1.1095335981659999</v>
      </c>
      <c r="AE7107">
        <v>41.456259999999901</v>
      </c>
      <c r="AF7107">
        <v>4.1833726988639697</v>
      </c>
      <c r="AG7107">
        <v>-1.1095335981659999</v>
      </c>
      <c r="AH7107">
        <v>41.505430632153697</v>
      </c>
      <c r="AI7107">
        <v>91.523564893117097</v>
      </c>
      <c r="AJ7107">
        <v>84.244539731627796</v>
      </c>
      <c r="AK7107">
        <v>41.730473803967101</v>
      </c>
      <c r="AL7107">
        <v>90.951851633336204</v>
      </c>
      <c r="AM7107">
        <v>87.507089811860396</v>
      </c>
      <c r="AN7107">
        <v>0.999999949727848</v>
      </c>
    </row>
    <row r="7108" spans="1:40" x14ac:dyDescent="0.25">
      <c r="A7108" t="str">
        <f>"20190312161159205"</f>
        <v>20190312161159205</v>
      </c>
      <c r="B7108" t="str">
        <f>"1552378319195056"</f>
        <v>1552378319195056</v>
      </c>
      <c r="C7108" t="s">
        <v>40</v>
      </c>
      <c r="D7108">
        <v>5.1892740000000002</v>
      </c>
      <c r="E7108">
        <v>0.52095539999999996</v>
      </c>
      <c r="F7108" t="s">
        <v>41</v>
      </c>
      <c r="G7108">
        <v>-183.2286</v>
      </c>
      <c r="H7108" s="1">
        <v>-5.3894740000000004E-6</v>
      </c>
      <c r="I7108">
        <v>99.395899999999997</v>
      </c>
      <c r="J7108">
        <v>-187.78049999999999</v>
      </c>
      <c r="K7108">
        <v>1.109583</v>
      </c>
      <c r="L7108">
        <v>60.68188</v>
      </c>
      <c r="M7108">
        <v>1.717337E-2</v>
      </c>
      <c r="N7108">
        <v>0</v>
      </c>
      <c r="O7108">
        <v>0.99977499999999997</v>
      </c>
      <c r="P7108">
        <v>6.0447720000000003E-2</v>
      </c>
      <c r="Q7108">
        <v>-2.9591019999999999E-2</v>
      </c>
      <c r="R7108">
        <v>0.99773259999999997</v>
      </c>
      <c r="S7108">
        <v>0.34754940000000001</v>
      </c>
      <c r="T7108">
        <v>-8.4583759999999994E-2</v>
      </c>
      <c r="U7108">
        <v>2.983215</v>
      </c>
      <c r="V7108">
        <v>4.3306619999999997E-2</v>
      </c>
      <c r="W7108">
        <v>-1.714686E-2</v>
      </c>
      <c r="X7108">
        <v>0.99891470000000004</v>
      </c>
      <c r="Y7108">
        <v>9.8596680000000006E-2</v>
      </c>
      <c r="Z7108">
        <v>-2.8171330000000001E-2</v>
      </c>
      <c r="AA7108">
        <v>0.99472859999999996</v>
      </c>
      <c r="AB7108">
        <v>43</v>
      </c>
      <c r="AC7108">
        <v>4.5518999999999803</v>
      </c>
      <c r="AD7108">
        <v>-1.109588389474</v>
      </c>
      <c r="AE7108">
        <v>38.714019999999898</v>
      </c>
      <c r="AF7108">
        <v>3.8831804964292602</v>
      </c>
      <c r="AG7108">
        <v>-1.109588389474</v>
      </c>
      <c r="AH7108">
        <v>38.7550856550261</v>
      </c>
      <c r="AI7108">
        <v>91.631808465021393</v>
      </c>
      <c r="AJ7108">
        <v>84.278177147769796</v>
      </c>
      <c r="AK7108">
        <v>38.964945031275398</v>
      </c>
      <c r="AL7108">
        <v>90.982490830867604</v>
      </c>
      <c r="AM7108">
        <v>87.517572079049302</v>
      </c>
      <c r="AN7108">
        <v>1.00000002800988</v>
      </c>
    </row>
    <row r="7109" spans="1:40" x14ac:dyDescent="0.25">
      <c r="A7109" t="str">
        <f>"20190312161159228"</f>
        <v>20190312161159228</v>
      </c>
      <c r="B7109" t="str">
        <f>"1552378319224336"</f>
        <v>1552378319224336</v>
      </c>
      <c r="C7109" t="s">
        <v>40</v>
      </c>
      <c r="D7109">
        <v>5.2654290000000001</v>
      </c>
      <c r="E7109">
        <v>0.52138459999999998</v>
      </c>
      <c r="F7109" t="s">
        <v>41</v>
      </c>
      <c r="G7109">
        <v>-183.4847</v>
      </c>
      <c r="H7109" s="1">
        <v>-4.524229E-6</v>
      </c>
      <c r="I7109">
        <v>97.484870000000001</v>
      </c>
      <c r="J7109">
        <v>-187.7731</v>
      </c>
      <c r="K7109">
        <v>1.1096189999999999</v>
      </c>
      <c r="L7109">
        <v>61.114870000000003</v>
      </c>
      <c r="M7109">
        <v>1.7079420000000001E-2</v>
      </c>
      <c r="N7109">
        <v>0</v>
      </c>
      <c r="O7109">
        <v>0.99977210000000005</v>
      </c>
      <c r="P7109">
        <v>6.0997299999999997E-2</v>
      </c>
      <c r="Q7109">
        <v>-3.01108E-2</v>
      </c>
      <c r="R7109">
        <v>0.9976836</v>
      </c>
      <c r="S7109">
        <v>0.34819029999999901</v>
      </c>
      <c r="T7109">
        <v>-8.993661E-2</v>
      </c>
      <c r="U7109">
        <v>2.9830320000000001</v>
      </c>
      <c r="V7109">
        <v>4.3950780000000002E-2</v>
      </c>
      <c r="W7109">
        <v>-1.7310720000000002E-2</v>
      </c>
      <c r="X7109">
        <v>0.99888370000000004</v>
      </c>
      <c r="Y7109">
        <v>9.8901939999999994E-2</v>
      </c>
      <c r="Z7109">
        <v>-2.995366E-2</v>
      </c>
      <c r="AA7109">
        <v>0.99464629999999998</v>
      </c>
      <c r="AB7109">
        <v>43</v>
      </c>
      <c r="AC7109">
        <v>4.2883999999999904</v>
      </c>
      <c r="AD7109">
        <v>-1.109623524229</v>
      </c>
      <c r="AE7109">
        <v>36.369999999999997</v>
      </c>
      <c r="AF7109">
        <v>3.6631819134318899</v>
      </c>
      <c r="AG7109">
        <v>-1.109623524229</v>
      </c>
      <c r="AH7109">
        <v>36.4045221236929</v>
      </c>
      <c r="AI7109">
        <v>91.737089694297296</v>
      </c>
      <c r="AJ7109">
        <v>84.253989783003306</v>
      </c>
      <c r="AK7109">
        <v>36.605182654248097</v>
      </c>
      <c r="AL7109">
        <v>90.991880749344404</v>
      </c>
      <c r="AM7109">
        <v>87.480616593988501</v>
      </c>
      <c r="AN7109">
        <v>0.99999998910760801</v>
      </c>
    </row>
    <row r="7110" spans="1:40" x14ac:dyDescent="0.25">
      <c r="A7110" t="str">
        <f>"20190312161159249"</f>
        <v>20190312161159249</v>
      </c>
      <c r="B7110" t="str">
        <f>"1552378319234096"</f>
        <v>1552378319234096</v>
      </c>
      <c r="C7110" t="s">
        <v>40</v>
      </c>
      <c r="D7110">
        <v>5.4153479999999998</v>
      </c>
      <c r="E7110">
        <v>0.52131450000000001</v>
      </c>
      <c r="F7110" t="s">
        <v>41</v>
      </c>
      <c r="G7110">
        <v>-183.58160000000001</v>
      </c>
      <c r="H7110" s="1">
        <v>-4.0849880000000004E-6</v>
      </c>
      <c r="I7110">
        <v>96.501050000000006</v>
      </c>
      <c r="J7110">
        <v>-187.7663</v>
      </c>
      <c r="K7110">
        <v>1.10964</v>
      </c>
      <c r="L7110">
        <v>61.518070000000002</v>
      </c>
      <c r="M7110">
        <v>1.699525E-2</v>
      </c>
      <c r="N7110">
        <v>0</v>
      </c>
      <c r="O7110">
        <v>0.99976969999999998</v>
      </c>
      <c r="P7110">
        <v>6.1700430000000001E-2</v>
      </c>
      <c r="Q7110">
        <v>-3.0962549999999998E-2</v>
      </c>
      <c r="R7110">
        <v>0.99761429999999995</v>
      </c>
      <c r="S7110">
        <v>0.35328670000000001</v>
      </c>
      <c r="T7110">
        <v>-9.3525170000000005E-2</v>
      </c>
      <c r="U7110">
        <v>2.9825439999999999</v>
      </c>
      <c r="V7110">
        <v>4.4739170000000002E-2</v>
      </c>
      <c r="W7110">
        <v>-1.786339E-2</v>
      </c>
      <c r="X7110">
        <v>0.99883900000000003</v>
      </c>
      <c r="Y7110">
        <v>0.1006764</v>
      </c>
      <c r="Z7110">
        <v>-3.114695E-2</v>
      </c>
      <c r="AA7110">
        <v>0.99443159999999997</v>
      </c>
      <c r="AB7110">
        <v>43</v>
      </c>
      <c r="AC7110">
        <v>4.1846999999999897</v>
      </c>
      <c r="AD7110">
        <v>-1.109644084988</v>
      </c>
      <c r="AE7110">
        <v>34.982979999999998</v>
      </c>
      <c r="AF7110">
        <v>3.5859429355321</v>
      </c>
      <c r="AG7110">
        <v>-1.109644084988</v>
      </c>
      <c r="AH7110">
        <v>35.014320732281</v>
      </c>
      <c r="AI7110">
        <v>91.805722921902003</v>
      </c>
      <c r="AJ7110">
        <v>84.152519458207905</v>
      </c>
      <c r="AK7110">
        <v>35.2149535435627</v>
      </c>
      <c r="AL7110">
        <v>91.023551274233995</v>
      </c>
      <c r="AM7110">
        <v>87.435369032976098</v>
      </c>
      <c r="AN7110">
        <v>1.0000000209777899</v>
      </c>
    </row>
    <row r="7111" spans="1:40" x14ac:dyDescent="0.25">
      <c r="A7111" t="str">
        <f>"20190312161159272"</f>
        <v>20190312161159272</v>
      </c>
      <c r="B7111" t="str">
        <f>"1552378319264352"</f>
        <v>1552378319264352</v>
      </c>
      <c r="C7111" t="s">
        <v>40</v>
      </c>
      <c r="D7111">
        <v>5.4065279999999998</v>
      </c>
      <c r="E7111">
        <v>0.53105970000000002</v>
      </c>
      <c r="F7111" t="s">
        <v>41</v>
      </c>
      <c r="G7111">
        <v>-183.72579999999999</v>
      </c>
      <c r="H7111" s="1">
        <v>-3.6608359999999999E-6</v>
      </c>
      <c r="I7111">
        <v>95.5</v>
      </c>
      <c r="J7111">
        <v>-187.75899999999999</v>
      </c>
      <c r="K7111">
        <v>1.109659</v>
      </c>
      <c r="L7111">
        <v>61.948610000000002</v>
      </c>
      <c r="M7111">
        <v>1.6906910000000001E-2</v>
      </c>
      <c r="N7111">
        <v>0</v>
      </c>
      <c r="O7111">
        <v>0.99976739999999997</v>
      </c>
      <c r="P7111">
        <v>6.1600710000000003E-2</v>
      </c>
      <c r="Q7111">
        <v>-3.1348920000000002E-2</v>
      </c>
      <c r="R7111">
        <v>0.99760839999999995</v>
      </c>
      <c r="S7111">
        <v>0.3545837</v>
      </c>
      <c r="T7111">
        <v>-9.7380759999999997E-2</v>
      </c>
      <c r="U7111">
        <v>2.982208</v>
      </c>
      <c r="V7111">
        <v>4.4727820000000001E-2</v>
      </c>
      <c r="W7111">
        <v>-1.7964089999999999E-2</v>
      </c>
      <c r="X7111">
        <v>0.99883770000000005</v>
      </c>
      <c r="Y7111">
        <v>0.101199</v>
      </c>
      <c r="Z7111">
        <v>-3.2431660000000001E-2</v>
      </c>
      <c r="AA7111">
        <v>0.99433740000000004</v>
      </c>
      <c r="AB7111">
        <v>43</v>
      </c>
      <c r="AC7111">
        <v>4.0332000000000203</v>
      </c>
      <c r="AD7111">
        <v>-1.1096626608359901</v>
      </c>
      <c r="AE7111">
        <v>33.551389999999998</v>
      </c>
      <c r="AF7111">
        <v>3.46158968004204</v>
      </c>
      <c r="AG7111">
        <v>-1.1096626608359901</v>
      </c>
      <c r="AH7111">
        <v>33.578581642312699</v>
      </c>
      <c r="AI7111">
        <v>91.882779087849599</v>
      </c>
      <c r="AJ7111">
        <v>84.114214379695895</v>
      </c>
      <c r="AK7111">
        <v>33.774770161220701</v>
      </c>
      <c r="AL7111">
        <v>91.029321887456305</v>
      </c>
      <c r="AM7111">
        <v>87.436015460107598</v>
      </c>
      <c r="AN7111">
        <v>1.00000001867638</v>
      </c>
    </row>
    <row r="7112" spans="1:40" x14ac:dyDescent="0.25">
      <c r="A7112" t="str">
        <f>"20190312161159294"</f>
        <v>20190312161159294</v>
      </c>
      <c r="B7112" t="str">
        <f>"1552378319283872"</f>
        <v>1552378319283872</v>
      </c>
      <c r="C7112" t="s">
        <v>40</v>
      </c>
      <c r="D7112">
        <v>5.5403699999999896</v>
      </c>
      <c r="E7112">
        <v>0.53778019999999904</v>
      </c>
      <c r="F7112" t="s">
        <v>42</v>
      </c>
      <c r="G7112">
        <v>-187.62880000000001</v>
      </c>
      <c r="H7112">
        <v>0.96443619999999997</v>
      </c>
      <c r="I7112">
        <v>62.865049999999997</v>
      </c>
      <c r="J7112">
        <v>-187.7518</v>
      </c>
      <c r="K7112">
        <v>1.1096729999999999</v>
      </c>
      <c r="L7112">
        <v>62.37979</v>
      </c>
      <c r="M7112">
        <v>1.6817909999999998E-2</v>
      </c>
      <c r="N7112">
        <v>0</v>
      </c>
      <c r="O7112">
        <v>0.99976549999999997</v>
      </c>
      <c r="P7112">
        <v>6.2082449999999997E-2</v>
      </c>
      <c r="Q7112">
        <v>-3.2025070000000003E-2</v>
      </c>
      <c r="R7112">
        <v>0.99755709999999997</v>
      </c>
      <c r="S7112">
        <v>0.42102050000000002</v>
      </c>
      <c r="T7112">
        <v>-0.470078</v>
      </c>
      <c r="U7112">
        <v>2.966431</v>
      </c>
      <c r="V7112">
        <v>4.5299319999999997E-2</v>
      </c>
      <c r="W7112">
        <v>-1.8387239999999999E-2</v>
      </c>
      <c r="X7112">
        <v>0.99880420000000003</v>
      </c>
      <c r="Y7112">
        <v>0.1221469</v>
      </c>
      <c r="Z7112">
        <v>-0.15513660000000001</v>
      </c>
      <c r="AA7112">
        <v>0.98031259999999998</v>
      </c>
      <c r="AB7112">
        <v>43</v>
      </c>
      <c r="AC7112">
        <v>0.12299999999999001</v>
      </c>
      <c r="AD7112">
        <v>-0.145236799999999</v>
      </c>
      <c r="AE7112">
        <v>0.48525999999999597</v>
      </c>
      <c r="AF7112">
        <v>0.10590654448320801</v>
      </c>
      <c r="AG7112">
        <v>-0.145236799999999</v>
      </c>
      <c r="AH7112">
        <v>0.44943117389063603</v>
      </c>
      <c r="AI7112">
        <v>107.46054267756401</v>
      </c>
      <c r="AJ7112">
        <v>76.740391615268706</v>
      </c>
      <c r="AK7112">
        <v>0.48404370081980003</v>
      </c>
      <c r="AL7112">
        <v>91.053570648543698</v>
      </c>
      <c r="AM7112">
        <v>87.403212289958802</v>
      </c>
      <c r="AN7112">
        <v>0.99999997446245903</v>
      </c>
    </row>
    <row r="7113" spans="1:40" x14ac:dyDescent="0.25">
      <c r="A7113" t="str">
        <f>"20190312161159360"</f>
        <v>20190312161159360</v>
      </c>
      <c r="B7113" t="str">
        <f>"1552378319354145"</f>
        <v>1552378319354145</v>
      </c>
      <c r="C7113" t="s">
        <v>40</v>
      </c>
      <c r="D7113">
        <v>5.4285610000000002</v>
      </c>
      <c r="E7113">
        <v>0.53433280000000005</v>
      </c>
      <c r="F7113" t="s">
        <v>42</v>
      </c>
      <c r="G7113">
        <v>-187.62649999999999</v>
      </c>
      <c r="H7113">
        <v>0.9085472</v>
      </c>
      <c r="I7113">
        <v>63.975520000000003</v>
      </c>
      <c r="J7113">
        <v>-187.7312</v>
      </c>
      <c r="K7113">
        <v>1.1097030000000001</v>
      </c>
      <c r="L7113">
        <v>63.627079999999999</v>
      </c>
      <c r="M7113">
        <v>1.655264E-2</v>
      </c>
      <c r="N7113">
        <v>0</v>
      </c>
      <c r="O7113">
        <v>0.99976189999999998</v>
      </c>
      <c r="P7113">
        <v>6.0729940000000003E-2</v>
      </c>
      <c r="Q7113">
        <v>-3.2147370000000001E-2</v>
      </c>
      <c r="R7113">
        <v>0.99763639999999998</v>
      </c>
      <c r="S7113">
        <v>0.43872070000000002</v>
      </c>
      <c r="T7113">
        <v>-0.79355980000000004</v>
      </c>
      <c r="U7113">
        <v>2.954285</v>
      </c>
      <c r="V7113">
        <v>4.4210329999999999E-2</v>
      </c>
      <c r="W7113">
        <v>-1.7939E-2</v>
      </c>
      <c r="X7113">
        <v>0.9988612</v>
      </c>
      <c r="Y7113">
        <v>0.12556419999999999</v>
      </c>
      <c r="Z7113">
        <v>-0.25702839999999999</v>
      </c>
      <c r="AA7113">
        <v>0.95821190000000001</v>
      </c>
      <c r="AB7113">
        <v>42</v>
      </c>
      <c r="AC7113">
        <v>0.104700000000008</v>
      </c>
      <c r="AD7113">
        <v>-0.2011558</v>
      </c>
      <c r="AE7113">
        <v>0.34843999999998898</v>
      </c>
      <c r="AF7113">
        <v>7.5759339748521504E-2</v>
      </c>
      <c r="AG7113">
        <v>-0.2011558</v>
      </c>
      <c r="AH7113">
        <v>0.26815562990672498</v>
      </c>
      <c r="AI7113">
        <v>125.825104798583</v>
      </c>
      <c r="AJ7113">
        <v>74.223950613150095</v>
      </c>
      <c r="AK7113">
        <v>0.34367219160625201</v>
      </c>
      <c r="AL7113">
        <v>91.027884094144696</v>
      </c>
      <c r="AM7113">
        <v>87.465700780920997</v>
      </c>
      <c r="AN7113">
        <v>1.0000000289325699</v>
      </c>
    </row>
    <row r="7114" spans="1:40" x14ac:dyDescent="0.25">
      <c r="A7114" t="str">
        <f>"20190312161159383"</f>
        <v>20190312161159383</v>
      </c>
      <c r="B7114" t="str">
        <f>"1552378319374640"</f>
        <v>1552378319374640</v>
      </c>
      <c r="C7114" t="s">
        <v>40</v>
      </c>
      <c r="D7114">
        <v>5.5036930000000002</v>
      </c>
      <c r="E7114">
        <v>0.53597059999999996</v>
      </c>
      <c r="F7114" t="s">
        <v>42</v>
      </c>
      <c r="G7114">
        <v>-187.6232</v>
      </c>
      <c r="H7114">
        <v>0.91566990000000004</v>
      </c>
      <c r="I7114">
        <v>64.357089999999999</v>
      </c>
      <c r="J7114">
        <v>-187.72399999999999</v>
      </c>
      <c r="K7114">
        <v>1.1097170000000001</v>
      </c>
      <c r="L7114">
        <v>64.069000000000003</v>
      </c>
      <c r="M7114">
        <v>1.6457630000000001E-2</v>
      </c>
      <c r="N7114">
        <v>0</v>
      </c>
      <c r="O7114">
        <v>0.99976129999999996</v>
      </c>
      <c r="P7114">
        <v>6.022338E-2</v>
      </c>
      <c r="Q7114">
        <v>-3.2860340000000002E-2</v>
      </c>
      <c r="R7114">
        <v>0.99764390000000003</v>
      </c>
      <c r="S7114">
        <v>0.43656919999999999</v>
      </c>
      <c r="T7114">
        <v>-0.78547</v>
      </c>
      <c r="U7114">
        <v>2.9552</v>
      </c>
      <c r="V7114">
        <v>4.3798660000000003E-2</v>
      </c>
      <c r="W7114">
        <v>-1.8498850000000001E-2</v>
      </c>
      <c r="X7114">
        <v>0.99886909999999896</v>
      </c>
      <c r="Y7114">
        <v>0.1250291</v>
      </c>
      <c r="Z7114">
        <v>-0.25452900000000001</v>
      </c>
      <c r="AA7114">
        <v>0.95894880000000005</v>
      </c>
      <c r="AB7114">
        <v>42</v>
      </c>
      <c r="AC7114">
        <v>0.10080000000002</v>
      </c>
      <c r="AD7114">
        <v>-0.1940471</v>
      </c>
      <c r="AE7114">
        <v>0.28808999999999602</v>
      </c>
      <c r="AF7114">
        <v>6.8397853098627295E-2</v>
      </c>
      <c r="AG7114">
        <v>-0.1940471</v>
      </c>
      <c r="AH7114">
        <v>0.206316147547395</v>
      </c>
      <c r="AI7114">
        <v>131.75695727740401</v>
      </c>
      <c r="AJ7114">
        <v>71.658627751437095</v>
      </c>
      <c r="AK7114">
        <v>0.29137415133417299</v>
      </c>
      <c r="AL7114">
        <v>91.059966486674298</v>
      </c>
      <c r="AM7114">
        <v>87.489288716118594</v>
      </c>
      <c r="AN7114">
        <v>1.0000000045019599</v>
      </c>
    </row>
    <row r="7115" spans="1:40" x14ac:dyDescent="0.25">
      <c r="A7115" t="str">
        <f>"20190312161159406"</f>
        <v>20190312161159406</v>
      </c>
      <c r="B7115" t="str">
        <f>"1552378319394160"</f>
        <v>1552378319394160</v>
      </c>
      <c r="C7115" t="s">
        <v>40</v>
      </c>
      <c r="D7115">
        <v>5.4876889999999996</v>
      </c>
      <c r="E7115">
        <v>0.53774860000000002</v>
      </c>
      <c r="F7115" t="s">
        <v>42</v>
      </c>
      <c r="G7115">
        <v>-187.62219999999999</v>
      </c>
      <c r="H7115">
        <v>0.92969729999999995</v>
      </c>
      <c r="I7115">
        <v>64.741469999999893</v>
      </c>
      <c r="J7115">
        <v>-187.71729999999999</v>
      </c>
      <c r="K7115">
        <v>1.109729</v>
      </c>
      <c r="L7115">
        <v>64.480680000000007</v>
      </c>
      <c r="M7115">
        <v>1.636926E-2</v>
      </c>
      <c r="N7115">
        <v>0</v>
      </c>
      <c r="O7115">
        <v>0.99976100000000001</v>
      </c>
      <c r="P7115">
        <v>6.060285E-2</v>
      </c>
      <c r="Q7115">
        <v>-3.2996650000000002E-2</v>
      </c>
      <c r="R7115">
        <v>0.99761639999999996</v>
      </c>
      <c r="S7115">
        <v>0.44667050000000003</v>
      </c>
      <c r="T7115">
        <v>-0.79079160000000004</v>
      </c>
      <c r="U7115">
        <v>2.9540709999999999</v>
      </c>
      <c r="V7115">
        <v>4.4266739999999999E-2</v>
      </c>
      <c r="W7115">
        <v>-1.8513720000000001E-2</v>
      </c>
      <c r="X7115">
        <v>0.99884819999999996</v>
      </c>
      <c r="Y7115">
        <v>0.12831380000000001</v>
      </c>
      <c r="Z7115">
        <v>-0.25611679999999998</v>
      </c>
      <c r="AA7115">
        <v>0.95809169999999999</v>
      </c>
      <c r="AB7115">
        <v>42</v>
      </c>
      <c r="AC7115">
        <v>9.51000000000021E-2</v>
      </c>
      <c r="AD7115">
        <v>-0.18003169999999999</v>
      </c>
      <c r="AE7115">
        <v>0.26078999999998498</v>
      </c>
      <c r="AF7115">
        <v>6.3928124414096399E-2</v>
      </c>
      <c r="AG7115">
        <v>-0.18003169999999999</v>
      </c>
      <c r="AH7115">
        <v>0.184645490635679</v>
      </c>
      <c r="AI7115">
        <v>132.65605418224601</v>
      </c>
      <c r="AJ7115">
        <v>70.903078236303301</v>
      </c>
      <c r="AK7115">
        <v>0.26569188039547798</v>
      </c>
      <c r="AL7115">
        <v>91.060818610374596</v>
      </c>
      <c r="AM7115">
        <v>87.462438392917704</v>
      </c>
      <c r="AN7115">
        <v>1.0000000143708501</v>
      </c>
    </row>
    <row r="7116" spans="1:40" x14ac:dyDescent="0.25">
      <c r="A7116" t="str">
        <f>"20190312161159429"</f>
        <v>20190312161159429</v>
      </c>
      <c r="B7116" t="str">
        <f>"1552378319424416"</f>
        <v>1552378319424416</v>
      </c>
      <c r="C7116" t="s">
        <v>40</v>
      </c>
      <c r="D7116">
        <v>5.7180989999999996</v>
      </c>
      <c r="E7116">
        <v>0.54049740000000002</v>
      </c>
      <c r="F7116" t="s">
        <v>42</v>
      </c>
      <c r="G7116">
        <v>-187.5642</v>
      </c>
      <c r="H7116">
        <v>0.84366249999999998</v>
      </c>
      <c r="I7116">
        <v>65.459249999999997</v>
      </c>
      <c r="J7116">
        <v>-187.71029999999999</v>
      </c>
      <c r="K7116">
        <v>1.1097379999999999</v>
      </c>
      <c r="L7116">
        <v>64.912809999999993</v>
      </c>
      <c r="M7116">
        <v>1.627704E-2</v>
      </c>
      <c r="N7116">
        <v>0</v>
      </c>
      <c r="O7116">
        <v>0.99976089999999995</v>
      </c>
      <c r="P7116">
        <v>6.1156189999999999E-2</v>
      </c>
      <c r="Q7116">
        <v>-3.3758469999999999E-2</v>
      </c>
      <c r="R7116">
        <v>0.99755720000000003</v>
      </c>
      <c r="S7116">
        <v>0.46160889999999999</v>
      </c>
      <c r="T7116">
        <v>-0.80279899999999904</v>
      </c>
      <c r="U7116">
        <v>2.9525760000000001</v>
      </c>
      <c r="V7116">
        <v>4.4913199999999903E-2</v>
      </c>
      <c r="W7116">
        <v>-1.9165809999999998E-2</v>
      </c>
      <c r="X7116">
        <v>0.998807</v>
      </c>
      <c r="Y7116">
        <v>0.1330634</v>
      </c>
      <c r="Z7116">
        <v>-0.2596907</v>
      </c>
      <c r="AA7116">
        <v>0.95648040000000001</v>
      </c>
      <c r="AB7116">
        <v>42</v>
      </c>
      <c r="AC7116">
        <v>0.14609999999998899</v>
      </c>
      <c r="AD7116">
        <v>-0.26607549999999902</v>
      </c>
      <c r="AE7116">
        <v>0.54644000000000303</v>
      </c>
      <c r="AF7116">
        <v>0.112329249691435</v>
      </c>
      <c r="AG7116">
        <v>-0.26607549999999902</v>
      </c>
      <c r="AH7116">
        <v>0.44932097431197499</v>
      </c>
      <c r="AI7116">
        <v>119.87702099269001</v>
      </c>
      <c r="AJ7116">
        <v>75.963875813835301</v>
      </c>
      <c r="AK7116">
        <v>0.53413796906150901</v>
      </c>
      <c r="AL7116">
        <v>91.098187292561406</v>
      </c>
      <c r="AM7116">
        <v>87.425323949585106</v>
      </c>
      <c r="AN7116">
        <v>0.999999973528097</v>
      </c>
    </row>
    <row r="7117" spans="1:40" x14ac:dyDescent="0.25">
      <c r="A7117" t="str">
        <f>"20190312161159451"</f>
        <v>20190312161159451</v>
      </c>
      <c r="B7117" t="str">
        <f>"1552378319444913"</f>
        <v>1552378319444913</v>
      </c>
      <c r="C7117" t="s">
        <v>40</v>
      </c>
      <c r="D7117">
        <v>5.7948659999999999</v>
      </c>
      <c r="E7117">
        <v>0.54182849999999905</v>
      </c>
      <c r="F7117" t="s">
        <v>42</v>
      </c>
      <c r="G7117">
        <v>-187.55760000000001</v>
      </c>
      <c r="H7117">
        <v>0.85318680000000002</v>
      </c>
      <c r="I7117">
        <v>65.839869999999905</v>
      </c>
      <c r="J7117">
        <v>-187.70339999999999</v>
      </c>
      <c r="K7117">
        <v>1.1097459999999999</v>
      </c>
      <c r="L7117">
        <v>65.341709999999907</v>
      </c>
      <c r="M7117">
        <v>1.6185669999999999E-2</v>
      </c>
      <c r="N7117">
        <v>0</v>
      </c>
      <c r="O7117">
        <v>0.99976100000000001</v>
      </c>
      <c r="P7117">
        <v>6.1427669999999997E-2</v>
      </c>
      <c r="Q7117">
        <v>-3.3472679999999998E-2</v>
      </c>
      <c r="R7117">
        <v>0.9975501</v>
      </c>
      <c r="S7117">
        <v>0.4856415</v>
      </c>
      <c r="T7117">
        <v>-0.8163686</v>
      </c>
      <c r="U7117">
        <v>2.949951</v>
      </c>
      <c r="V7117">
        <v>4.5275889999999999E-2</v>
      </c>
      <c r="W7117">
        <v>-1.8785880000000001E-2</v>
      </c>
      <c r="X7117">
        <v>0.99879790000000002</v>
      </c>
      <c r="Y7117">
        <v>0.14069970000000001</v>
      </c>
      <c r="Z7117">
        <v>-0.26369369999999998</v>
      </c>
      <c r="AA7117">
        <v>0.95428990000000002</v>
      </c>
      <c r="AB7117">
        <v>42</v>
      </c>
      <c r="AC7117">
        <v>0.145799999999979</v>
      </c>
      <c r="AD7117">
        <v>-0.25655919999999899</v>
      </c>
      <c r="AE7117">
        <v>0.49815999999999799</v>
      </c>
      <c r="AF7117">
        <v>0.11067725843074</v>
      </c>
      <c r="AG7117">
        <v>-0.25655919999999899</v>
      </c>
      <c r="AH7117">
        <v>0.40219422683184902</v>
      </c>
      <c r="AI7117">
        <v>121.593035045061</v>
      </c>
      <c r="AJ7117">
        <v>74.613968887441999</v>
      </c>
      <c r="AK7117">
        <v>0.48972673475648998</v>
      </c>
      <c r="AL7117">
        <v>91.076414924986295</v>
      </c>
      <c r="AM7117">
        <v>87.404537231146804</v>
      </c>
      <c r="AN7117">
        <v>1.0000000302735299</v>
      </c>
    </row>
    <row r="7118" spans="1:40" x14ac:dyDescent="0.25">
      <c r="A7118" t="str">
        <f>"20190312161159472"</f>
        <v>20190312161159472</v>
      </c>
      <c r="B7118" t="str">
        <f>"1552378319464432"</f>
        <v>1552378319464432</v>
      </c>
      <c r="C7118" t="s">
        <v>40</v>
      </c>
      <c r="D7118">
        <v>5.6683940000000002</v>
      </c>
      <c r="E7118">
        <v>0.5424812</v>
      </c>
      <c r="F7118" t="s">
        <v>42</v>
      </c>
      <c r="G7118">
        <v>-187.5549</v>
      </c>
      <c r="H7118">
        <v>0.8652301</v>
      </c>
      <c r="I7118">
        <v>66.221090000000004</v>
      </c>
      <c r="J7118">
        <v>-187.69710000000001</v>
      </c>
      <c r="K7118">
        <v>1.109748</v>
      </c>
      <c r="L7118">
        <v>65.735839999999996</v>
      </c>
      <c r="M7118">
        <v>1.6101560000000001E-2</v>
      </c>
      <c r="N7118">
        <v>0</v>
      </c>
      <c r="O7118">
        <v>0.99976120000000002</v>
      </c>
      <c r="P7118">
        <v>6.1217319999999999E-2</v>
      </c>
      <c r="Q7118">
        <v>-3.3093320000000002E-2</v>
      </c>
      <c r="R7118">
        <v>0.99757569999999995</v>
      </c>
      <c r="S7118">
        <v>0.49768069999999998</v>
      </c>
      <c r="T7118">
        <v>-0.82003950000000003</v>
      </c>
      <c r="U7118">
        <v>2.9491879999999999</v>
      </c>
      <c r="V7118">
        <v>4.514903E-2</v>
      </c>
      <c r="W7118">
        <v>-1.8331500000000001E-2</v>
      </c>
      <c r="X7118">
        <v>0.99881209999999998</v>
      </c>
      <c r="Y7118">
        <v>0.14456579999999999</v>
      </c>
      <c r="Z7118">
        <v>-0.26470280000000002</v>
      </c>
      <c r="AA7118">
        <v>0.95343230000000001</v>
      </c>
      <c r="AB7118">
        <v>42</v>
      </c>
      <c r="AC7118">
        <v>0.14220000000000199</v>
      </c>
      <c r="AD7118">
        <v>-0.24451789999999901</v>
      </c>
      <c r="AE7118">
        <v>0.48525000000000701</v>
      </c>
      <c r="AF7118">
        <v>0.108902228761543</v>
      </c>
      <c r="AG7118">
        <v>-0.24451789999999901</v>
      </c>
      <c r="AH7118">
        <v>0.39509075964279899</v>
      </c>
      <c r="AI7118">
        <v>120.821992844083</v>
      </c>
      <c r="AJ7118">
        <v>74.589742457868496</v>
      </c>
      <c r="AK7118">
        <v>0.477226788020921</v>
      </c>
      <c r="AL7118">
        <v>91.050376369285203</v>
      </c>
      <c r="AM7118">
        <v>87.411836386547094</v>
      </c>
      <c r="AN7118">
        <v>1.0000000449542901</v>
      </c>
    </row>
    <row r="7119" spans="1:40" x14ac:dyDescent="0.25">
      <c r="A7119" t="str">
        <f>"20190312161159494"</f>
        <v>20190312161159494</v>
      </c>
      <c r="B7119" t="str">
        <f>"1552378319483952"</f>
        <v>1552378319483952</v>
      </c>
      <c r="C7119" t="s">
        <v>40</v>
      </c>
      <c r="D7119">
        <v>5.5497750000000003</v>
      </c>
      <c r="E7119">
        <v>0.54195890000000002</v>
      </c>
      <c r="F7119" t="s">
        <v>42</v>
      </c>
      <c r="G7119">
        <v>-187.54990000000001</v>
      </c>
      <c r="H7119">
        <v>0.87082099999999996</v>
      </c>
      <c r="I7119">
        <v>66.599180000000004</v>
      </c>
      <c r="J7119">
        <v>-187.69030000000001</v>
      </c>
      <c r="K7119">
        <v>1.1097520000000001</v>
      </c>
      <c r="L7119">
        <v>66.160740000000004</v>
      </c>
      <c r="M7119">
        <v>1.601081E-2</v>
      </c>
      <c r="N7119">
        <v>0</v>
      </c>
      <c r="O7119">
        <v>0.99976160000000003</v>
      </c>
      <c r="P7119">
        <v>6.0858660000000002E-2</v>
      </c>
      <c r="Q7119">
        <v>-3.33964E-2</v>
      </c>
      <c r="R7119">
        <v>0.99758760000000002</v>
      </c>
      <c r="S7119">
        <v>0.50244140000000004</v>
      </c>
      <c r="T7119">
        <v>-0.81622969999999995</v>
      </c>
      <c r="U7119">
        <v>2.9493710000000002</v>
      </c>
      <c r="V7119">
        <v>4.488089E-2</v>
      </c>
      <c r="W7119">
        <v>-1.8565100000000001E-2</v>
      </c>
      <c r="X7119">
        <v>0.99881980000000004</v>
      </c>
      <c r="Y7119">
        <v>0.14619779999999999</v>
      </c>
      <c r="Z7119">
        <v>-0.26348050000000001</v>
      </c>
      <c r="AA7119">
        <v>0.95352199999999998</v>
      </c>
      <c r="AB7119">
        <v>42</v>
      </c>
      <c r="AC7119">
        <v>0.140399999999999</v>
      </c>
      <c r="AD7119">
        <v>-0.238931</v>
      </c>
      <c r="AE7119">
        <v>0.43844</v>
      </c>
      <c r="AF7119">
        <v>0.105062198967942</v>
      </c>
      <c r="AG7119">
        <v>-0.238931</v>
      </c>
      <c r="AH7119">
        <v>0.347130023600004</v>
      </c>
      <c r="AI7119">
        <v>123.37655358386699</v>
      </c>
      <c r="AJ7119">
        <v>73.161061911560395</v>
      </c>
      <c r="AK7119">
        <v>0.43431019064433501</v>
      </c>
      <c r="AL7119">
        <v>91.063763015364898</v>
      </c>
      <c r="AM7119">
        <v>87.427206576723094</v>
      </c>
      <c r="AN7119">
        <v>0.99999997504862004</v>
      </c>
    </row>
    <row r="7120" spans="1:40" x14ac:dyDescent="0.25">
      <c r="A7120" t="str">
        <f>"20190312161159521"</f>
        <v>20190312161159521</v>
      </c>
      <c r="B7120" t="str">
        <f>"1552378319514208"</f>
        <v>1552378319514208</v>
      </c>
      <c r="C7120" t="s">
        <v>40</v>
      </c>
      <c r="D7120">
        <v>5.4965129999999904</v>
      </c>
      <c r="E7120">
        <v>0.54156040000000005</v>
      </c>
      <c r="F7120" t="s">
        <v>42</v>
      </c>
      <c r="G7120">
        <v>-187.55240000000001</v>
      </c>
      <c r="H7120">
        <v>0.88323499999999999</v>
      </c>
      <c r="I7120">
        <v>66.979519999999994</v>
      </c>
      <c r="J7120">
        <v>-187.68270000000001</v>
      </c>
      <c r="K7120">
        <v>1.1097570000000001</v>
      </c>
      <c r="L7120">
        <v>66.64264</v>
      </c>
      <c r="M7120">
        <v>1.5907600000000001E-2</v>
      </c>
      <c r="N7120">
        <v>0</v>
      </c>
      <c r="O7120">
        <v>0.99976229999999999</v>
      </c>
      <c r="P7120">
        <v>6.0730989999999999E-2</v>
      </c>
      <c r="Q7120">
        <v>-3.3386100000000002E-2</v>
      </c>
      <c r="R7120">
        <v>0.99759569999999997</v>
      </c>
      <c r="S7120">
        <v>0.49668879999999999</v>
      </c>
      <c r="T7120">
        <v>-0.81601040000000002</v>
      </c>
      <c r="U7120">
        <v>2.9496150000000001</v>
      </c>
      <c r="V7120">
        <v>4.4856130000000001E-2</v>
      </c>
      <c r="W7120">
        <v>-1.8488020000000001E-2</v>
      </c>
      <c r="X7120">
        <v>0.9988224</v>
      </c>
      <c r="Y7120">
        <v>0.1444792</v>
      </c>
      <c r="Z7120">
        <v>-0.26346829999999999</v>
      </c>
      <c r="AA7120">
        <v>0.9537873</v>
      </c>
      <c r="AB7120">
        <v>42</v>
      </c>
      <c r="AC7120">
        <v>0.130300000000005</v>
      </c>
      <c r="AD7120">
        <v>-0.226521999999999</v>
      </c>
      <c r="AE7120">
        <v>0.33687999999999302</v>
      </c>
      <c r="AF7120">
        <v>8.9660563947723607E-2</v>
      </c>
      <c r="AG7120">
        <v>-0.226521999999999</v>
      </c>
      <c r="AH7120">
        <v>0.24324311587776801</v>
      </c>
      <c r="AI7120">
        <v>131.146541461759</v>
      </c>
      <c r="AJ7120">
        <v>69.765874736269197</v>
      </c>
      <c r="AK7120">
        <v>0.344265081925758</v>
      </c>
      <c r="AL7120">
        <v>91.0593458370424</v>
      </c>
      <c r="AM7120">
        <v>87.428630720607899</v>
      </c>
      <c r="AN7120">
        <v>1.0000000330119201</v>
      </c>
    </row>
    <row r="7121" spans="1:40" x14ac:dyDescent="0.25">
      <c r="A7121" t="str">
        <f>"20190312161159541"</f>
        <v>20190312161159541</v>
      </c>
      <c r="B7121" t="str">
        <f>"1552378319534705"</f>
        <v>1552378319534705</v>
      </c>
      <c r="C7121" t="s">
        <v>40</v>
      </c>
      <c r="D7121">
        <v>5.4643449999999998</v>
      </c>
      <c r="E7121">
        <v>0.54144219999999998</v>
      </c>
      <c r="F7121" t="s">
        <v>42</v>
      </c>
      <c r="G7121">
        <v>-187.56200000000001</v>
      </c>
      <c r="H7121">
        <v>0.9074953</v>
      </c>
      <c r="I7121">
        <v>67.364319999999907</v>
      </c>
      <c r="J7121">
        <v>-187.67660000000001</v>
      </c>
      <c r="K7121">
        <v>1.1097629999999901</v>
      </c>
      <c r="L7121">
        <v>67.029690000000002</v>
      </c>
      <c r="M7121">
        <v>1.5824649999999999E-2</v>
      </c>
      <c r="N7121">
        <v>0</v>
      </c>
      <c r="O7121">
        <v>0.99976299999999996</v>
      </c>
      <c r="P7121">
        <v>6.0389279999999997E-2</v>
      </c>
      <c r="Q7121">
        <v>-3.3072169999999998E-2</v>
      </c>
      <c r="R7121">
        <v>0.99762680000000004</v>
      </c>
      <c r="S7121">
        <v>0.49247740000000001</v>
      </c>
      <c r="T7121">
        <v>-0.82664479999999996</v>
      </c>
      <c r="U7121">
        <v>2.9495849999999999</v>
      </c>
      <c r="V7121">
        <v>4.4596709999999998E-2</v>
      </c>
      <c r="W7121">
        <v>-1.8128729999999999E-2</v>
      </c>
      <c r="X7121">
        <v>0.99884059999999997</v>
      </c>
      <c r="Y7121">
        <v>0.1430911</v>
      </c>
      <c r="Z7121">
        <v>-0.2667157</v>
      </c>
      <c r="AA7121">
        <v>0.95309370000000004</v>
      </c>
      <c r="AB7121">
        <v>42</v>
      </c>
      <c r="AC7121">
        <v>0.114599999999995</v>
      </c>
      <c r="AD7121">
        <v>-0.202267699999999</v>
      </c>
      <c r="AE7121">
        <v>0.33462999999998999</v>
      </c>
      <c r="AF7121">
        <v>8.2357884899030495E-2</v>
      </c>
      <c r="AG7121">
        <v>-0.202267699999999</v>
      </c>
      <c r="AH7121">
        <v>0.25350378436516702</v>
      </c>
      <c r="AI7121">
        <v>127.1929022333</v>
      </c>
      <c r="AJ7121">
        <v>72.002144059431998</v>
      </c>
      <c r="AK7121">
        <v>0.33460306686549202</v>
      </c>
      <c r="AL7121">
        <v>91.038756588273998</v>
      </c>
      <c r="AM7121">
        <v>87.443528656924002</v>
      </c>
      <c r="AN7121">
        <v>1.00000003080129</v>
      </c>
    </row>
    <row r="7122" spans="1:40" x14ac:dyDescent="0.25">
      <c r="A7122" t="str">
        <f>"20190312161159563"</f>
        <v>20190312161159563</v>
      </c>
      <c r="B7122" t="str">
        <f>"1552378319554224"</f>
        <v>1552378319554224</v>
      </c>
      <c r="C7122" t="s">
        <v>40</v>
      </c>
      <c r="D7122">
        <v>5.7030440000000002</v>
      </c>
      <c r="E7122">
        <v>0.54158319999999904</v>
      </c>
      <c r="F7122" t="s">
        <v>42</v>
      </c>
      <c r="G7122">
        <v>-187.55840000000001</v>
      </c>
      <c r="H7122">
        <v>0.91159990000000002</v>
      </c>
      <c r="I7122">
        <v>67.740459999999999</v>
      </c>
      <c r="J7122">
        <v>-187.6703</v>
      </c>
      <c r="K7122">
        <v>1.109782</v>
      </c>
      <c r="L7122">
        <v>67.432459999999907</v>
      </c>
      <c r="M7122">
        <v>1.573805E-2</v>
      </c>
      <c r="N7122">
        <v>0</v>
      </c>
      <c r="O7122">
        <v>0.99976370000000003</v>
      </c>
      <c r="P7122">
        <v>6.0285560000000002E-2</v>
      </c>
      <c r="Q7122">
        <v>-3.1790190000000003E-2</v>
      </c>
      <c r="R7122">
        <v>0.99767479999999997</v>
      </c>
      <c r="S7122">
        <v>0.49047849999999998</v>
      </c>
      <c r="T7122">
        <v>-0.82251790000000002</v>
      </c>
      <c r="U7122">
        <v>2.9501650000000001</v>
      </c>
      <c r="V7122">
        <v>4.4578439999999997E-2</v>
      </c>
      <c r="W7122">
        <v>-1.6805899999999999E-2</v>
      </c>
      <c r="X7122">
        <v>0.99886450000000004</v>
      </c>
      <c r="Y7122">
        <v>0.14257500000000001</v>
      </c>
      <c r="Z7122">
        <v>-0.26545540000000001</v>
      </c>
      <c r="AA7122">
        <v>0.95352289999999995</v>
      </c>
      <c r="AB7122">
        <v>42</v>
      </c>
      <c r="AC7122">
        <v>0.11189999999999101</v>
      </c>
      <c r="AD7122">
        <v>-0.1981821</v>
      </c>
      <c r="AE7122">
        <v>0.30800000000000599</v>
      </c>
      <c r="AF7122">
        <v>7.8373331295249704E-2</v>
      </c>
      <c r="AG7122">
        <v>-0.1981821</v>
      </c>
      <c r="AH7122">
        <v>0.22677900881525101</v>
      </c>
      <c r="AI7122">
        <v>129.555548464689</v>
      </c>
      <c r="AJ7122">
        <v>70.935187639682397</v>
      </c>
      <c r="AK7122">
        <v>0.31120289628786002</v>
      </c>
      <c r="AL7122">
        <v>90.962952490531094</v>
      </c>
      <c r="AM7122">
        <v>87.4446356447407</v>
      </c>
      <c r="AN7122">
        <v>0.99999998247394595</v>
      </c>
    </row>
    <row r="7123" spans="1:40" x14ac:dyDescent="0.25">
      <c r="A7123" t="str">
        <f>"20190312161159585"</f>
        <v>20190312161159585</v>
      </c>
      <c r="B7123" t="str">
        <f>"1552378319574721"</f>
        <v>1552378319574721</v>
      </c>
      <c r="C7123" t="s">
        <v>40</v>
      </c>
      <c r="D7123">
        <v>5.7234530000000001</v>
      </c>
      <c r="E7123">
        <v>0.54180950000000005</v>
      </c>
      <c r="F7123" t="s">
        <v>42</v>
      </c>
      <c r="G7123">
        <v>-187.5558</v>
      </c>
      <c r="H7123">
        <v>0.92070810000000003</v>
      </c>
      <c r="I7123">
        <v>68.118690000000001</v>
      </c>
      <c r="J7123">
        <v>-187.66390000000001</v>
      </c>
      <c r="K7123">
        <v>1.1097999999999999</v>
      </c>
      <c r="L7123">
        <v>67.848240000000004</v>
      </c>
      <c r="M7123">
        <v>1.5649110000000001E-2</v>
      </c>
      <c r="N7123">
        <v>0</v>
      </c>
      <c r="O7123">
        <v>0.9997646</v>
      </c>
      <c r="P7123">
        <v>5.9534509999999999E-2</v>
      </c>
      <c r="Q7123">
        <v>-3.160139E-2</v>
      </c>
      <c r="R7123">
        <v>0.99772590000000005</v>
      </c>
      <c r="S7123">
        <v>0.49206539999999999</v>
      </c>
      <c r="T7123">
        <v>-0.81315349999999997</v>
      </c>
      <c r="U7123">
        <v>2.9513240000000001</v>
      </c>
      <c r="V7123">
        <v>4.391544E-2</v>
      </c>
      <c r="W7123">
        <v>-1.6581430000000001E-2</v>
      </c>
      <c r="X7123">
        <v>0.99889760000000005</v>
      </c>
      <c r="Y7123">
        <v>0.1432329</v>
      </c>
      <c r="Z7123">
        <v>-0.26252750000000002</v>
      </c>
      <c r="AA7123">
        <v>0.95423460000000004</v>
      </c>
      <c r="AB7123">
        <v>42</v>
      </c>
      <c r="AC7123">
        <v>0.108100000000007</v>
      </c>
      <c r="AD7123">
        <v>-0.18909189999999901</v>
      </c>
      <c r="AE7123">
        <v>0.27044999999999603</v>
      </c>
      <c r="AF7123">
        <v>7.3059186390355302E-2</v>
      </c>
      <c r="AG7123">
        <v>-0.18909189999999901</v>
      </c>
      <c r="AH7123">
        <v>0.191423022808932</v>
      </c>
      <c r="AI7123">
        <v>132.70358073295199</v>
      </c>
      <c r="AJ7123">
        <v>69.109968428074595</v>
      </c>
      <c r="AK7123">
        <v>0.27881206039721301</v>
      </c>
      <c r="AL7123">
        <v>90.950089533198906</v>
      </c>
      <c r="AM7123">
        <v>87.4826747608315</v>
      </c>
      <c r="AN7123">
        <v>0.99999996248849798</v>
      </c>
    </row>
    <row r="7124" spans="1:40" x14ac:dyDescent="0.25">
      <c r="A7124" t="str">
        <f>"20190312161159608"</f>
        <v>20190312161159608</v>
      </c>
      <c r="B7124" t="str">
        <f>"1552378319604001"</f>
        <v>1552378319604001</v>
      </c>
      <c r="C7124" t="s">
        <v>40</v>
      </c>
      <c r="D7124">
        <v>5.695379</v>
      </c>
      <c r="E7124">
        <v>0.52141859999999995</v>
      </c>
      <c r="F7124" t="s">
        <v>42</v>
      </c>
      <c r="G7124">
        <v>-187.49959999999999</v>
      </c>
      <c r="H7124">
        <v>0.83985880000000002</v>
      </c>
      <c r="I7124">
        <v>68.831599999999995</v>
      </c>
      <c r="J7124">
        <v>-187.65719999999999</v>
      </c>
      <c r="K7124">
        <v>1.109809</v>
      </c>
      <c r="L7124">
        <v>68.278139999999993</v>
      </c>
      <c r="M7124">
        <v>1.555698E-2</v>
      </c>
      <c r="N7124">
        <v>0</v>
      </c>
      <c r="O7124">
        <v>0.99976560000000003</v>
      </c>
      <c r="P7124">
        <v>5.9160799999999999E-2</v>
      </c>
      <c r="Q7124">
        <v>-3.037724E-2</v>
      </c>
      <c r="R7124">
        <v>0.99778619999999996</v>
      </c>
      <c r="S7124">
        <v>0.49256899999999998</v>
      </c>
      <c r="T7124">
        <v>-0.81028909999999998</v>
      </c>
      <c r="U7124">
        <v>2.9517820000000001</v>
      </c>
      <c r="V7124">
        <v>4.3632579999999997E-2</v>
      </c>
      <c r="W7124">
        <v>-1.532613E-2</v>
      </c>
      <c r="X7124">
        <v>0.99893010000000004</v>
      </c>
      <c r="Y7124">
        <v>0.14349890000000001</v>
      </c>
      <c r="Z7124">
        <v>-0.26162160000000001</v>
      </c>
      <c r="AA7124">
        <v>0.95444340000000005</v>
      </c>
      <c r="AB7124">
        <v>42</v>
      </c>
      <c r="AC7124">
        <v>0.15760000000000199</v>
      </c>
      <c r="AD7124">
        <v>-0.26995019999999997</v>
      </c>
      <c r="AE7124">
        <v>0.55345999999998696</v>
      </c>
      <c r="AF7124">
        <v>0.122100681116027</v>
      </c>
      <c r="AG7124">
        <v>-0.26995019999999997</v>
      </c>
      <c r="AH7124">
        <v>0.45558945274766399</v>
      </c>
      <c r="AI7124">
        <v>119.783863263942</v>
      </c>
      <c r="AJ7124">
        <v>74.996966263902394</v>
      </c>
      <c r="AK7124">
        <v>0.54345509130373804</v>
      </c>
      <c r="AL7124">
        <v>90.878156929735795</v>
      </c>
      <c r="AM7124">
        <v>87.498949503521203</v>
      </c>
      <c r="AN7124">
        <v>1.0000000184921201</v>
      </c>
    </row>
    <row r="7125" spans="1:40" x14ac:dyDescent="0.25">
      <c r="A7125" t="str">
        <f>"20190312161159629"</f>
        <v>20190312161159629</v>
      </c>
      <c r="B7125" t="str">
        <f>"1552378319624496"</f>
        <v>1552378319624496</v>
      </c>
      <c r="C7125" t="s">
        <v>40</v>
      </c>
      <c r="D7125">
        <v>5.6257529999999996</v>
      </c>
      <c r="E7125">
        <v>0.5277773</v>
      </c>
      <c r="F7125" t="s">
        <v>42</v>
      </c>
      <c r="G7125">
        <v>-187.54390000000001</v>
      </c>
      <c r="H7125">
        <v>0.98354839999999999</v>
      </c>
      <c r="I7125">
        <v>69.268680000000003</v>
      </c>
      <c r="J7125">
        <v>-187.65119999999999</v>
      </c>
      <c r="K7125">
        <v>1.1098190000000001</v>
      </c>
      <c r="L7125">
        <v>68.666110000000003</v>
      </c>
      <c r="M7125">
        <v>1.5473840000000001E-2</v>
      </c>
      <c r="N7125">
        <v>0</v>
      </c>
      <c r="O7125">
        <v>0.9997665</v>
      </c>
      <c r="P7125">
        <v>5.9336569999999998E-2</v>
      </c>
      <c r="Q7125">
        <v>-3.0072209999999999E-2</v>
      </c>
      <c r="R7125">
        <v>0.99778500000000003</v>
      </c>
      <c r="S7125">
        <v>0.34011839999999999</v>
      </c>
      <c r="T7125">
        <v>-0.37921290000000002</v>
      </c>
      <c r="U7125">
        <v>2.974945</v>
      </c>
      <c r="V7125">
        <v>4.3891310000000003E-2</v>
      </c>
      <c r="W7125">
        <v>-1.499758E-2</v>
      </c>
      <c r="X7125">
        <v>0.99892369999999997</v>
      </c>
      <c r="Y7125">
        <v>9.7297590000000003E-2</v>
      </c>
      <c r="Z7125">
        <v>-0.12572059999999999</v>
      </c>
      <c r="AA7125">
        <v>0.98728289999999996</v>
      </c>
      <c r="AB7125">
        <v>42</v>
      </c>
      <c r="AC7125">
        <v>0.10729999999997999</v>
      </c>
      <c r="AD7125">
        <v>-0.12627060000000001</v>
      </c>
      <c r="AE7125">
        <v>0.60256999999999905</v>
      </c>
      <c r="AF7125">
        <v>9.3962684332659502E-2</v>
      </c>
      <c r="AG7125">
        <v>-0.12627060000000001</v>
      </c>
      <c r="AH7125">
        <v>0.579493395971861</v>
      </c>
      <c r="AI7125">
        <v>102.138759693569</v>
      </c>
      <c r="AJ7125">
        <v>80.789861485260602</v>
      </c>
      <c r="AK7125">
        <v>0.60048800691300996</v>
      </c>
      <c r="AL7125">
        <v>90.859330282274101</v>
      </c>
      <c r="AM7125">
        <v>87.484121817666093</v>
      </c>
      <c r="AN7125">
        <v>0.99999996646053002</v>
      </c>
    </row>
    <row r="7126" spans="1:40" x14ac:dyDescent="0.25">
      <c r="A7126" t="str">
        <f>"20190312161159650"</f>
        <v>20190312161159650</v>
      </c>
      <c r="B7126" t="str">
        <f>"1552378319644016"</f>
        <v>1552378319644016</v>
      </c>
      <c r="C7126" t="s">
        <v>40</v>
      </c>
      <c r="D7126">
        <v>5.5861830000000001</v>
      </c>
      <c r="E7126">
        <v>0.53417740000000002</v>
      </c>
      <c r="F7126" t="s">
        <v>42</v>
      </c>
      <c r="G7126">
        <v>-187.52</v>
      </c>
      <c r="H7126">
        <v>1.0171790000000001</v>
      </c>
      <c r="I7126">
        <v>69.657619999999994</v>
      </c>
      <c r="J7126">
        <v>-187.64510000000001</v>
      </c>
      <c r="K7126">
        <v>1.109834</v>
      </c>
      <c r="L7126">
        <v>69.070219999999907</v>
      </c>
      <c r="M7126">
        <v>1.538717E-2</v>
      </c>
      <c r="N7126">
        <v>0</v>
      </c>
      <c r="O7126">
        <v>0.99976750000000003</v>
      </c>
      <c r="P7126">
        <v>5.9482050000000002E-2</v>
      </c>
      <c r="Q7126">
        <v>-2.960001E-2</v>
      </c>
      <c r="R7126">
        <v>0.99779039999999997</v>
      </c>
      <c r="S7126">
        <v>0.3936615</v>
      </c>
      <c r="T7126">
        <v>-0.2779607</v>
      </c>
      <c r="U7126">
        <v>2.9748839999999999</v>
      </c>
      <c r="V7126">
        <v>4.4123139999999998E-2</v>
      </c>
      <c r="W7126">
        <v>-1.450458E-2</v>
      </c>
      <c r="X7126">
        <v>0.99892080000000005</v>
      </c>
      <c r="Y7126">
        <v>0.115353399999999</v>
      </c>
      <c r="Z7126">
        <v>-9.2304940000000002E-2</v>
      </c>
      <c r="AA7126">
        <v>0.98902650000000003</v>
      </c>
      <c r="AB7126">
        <v>42</v>
      </c>
      <c r="AC7126">
        <v>0.12510000000000299</v>
      </c>
      <c r="AD7126">
        <v>-9.2654999999999904E-2</v>
      </c>
      <c r="AE7126">
        <v>0.58740000000000203</v>
      </c>
      <c r="AF7126">
        <v>0.11334787677316301</v>
      </c>
      <c r="AG7126">
        <v>-9.2654999999999904E-2</v>
      </c>
      <c r="AH7126">
        <v>0.57555646518536496</v>
      </c>
      <c r="AI7126">
        <v>98.975689468832698</v>
      </c>
      <c r="AJ7126">
        <v>78.8589602353576</v>
      </c>
      <c r="AK7126">
        <v>0.59388377213951205</v>
      </c>
      <c r="AL7126">
        <v>90.831080360605</v>
      </c>
      <c r="AM7126">
        <v>87.470843049821099</v>
      </c>
      <c r="AN7126">
        <v>0.99999999949853802</v>
      </c>
    </row>
    <row r="7127" spans="1:40" x14ac:dyDescent="0.25">
      <c r="A7127" t="str">
        <f>"20190312161159675"</f>
        <v>20190312161159675</v>
      </c>
      <c r="B7127" t="str">
        <f>"1552378319664512"</f>
        <v>1552378319664512</v>
      </c>
      <c r="C7127" t="s">
        <v>40</v>
      </c>
      <c r="D7127">
        <v>5.6479869999999996</v>
      </c>
      <c r="E7127">
        <v>0.53610429999999998</v>
      </c>
      <c r="F7127" t="s">
        <v>41</v>
      </c>
      <c r="G7127">
        <v>-185.08519999999999</v>
      </c>
      <c r="H7127" s="1">
        <v>-3.6378550000000002E-6</v>
      </c>
      <c r="I7127">
        <v>86.080510000000004</v>
      </c>
      <c r="J7127">
        <v>-187.63839999999999</v>
      </c>
      <c r="K7127">
        <v>1.1098520000000001</v>
      </c>
      <c r="L7127">
        <v>69.511659999999907</v>
      </c>
      <c r="M7127">
        <v>1.5292409999999999E-2</v>
      </c>
      <c r="N7127">
        <v>0</v>
      </c>
      <c r="O7127">
        <v>0.99976869999999995</v>
      </c>
      <c r="P7127">
        <v>5.9792240000000003E-2</v>
      </c>
      <c r="Q7127">
        <v>-2.881941E-2</v>
      </c>
      <c r="R7127">
        <v>0.99779470000000003</v>
      </c>
      <c r="S7127">
        <v>0.44758609999999999</v>
      </c>
      <c r="T7127">
        <v>-0.1940528</v>
      </c>
      <c r="U7127">
        <v>2.9742130000000002</v>
      </c>
      <c r="V7127">
        <v>4.4527700000000003E-2</v>
      </c>
      <c r="W7127">
        <v>-1.3705210000000001E-2</v>
      </c>
      <c r="X7127">
        <v>0.99891410000000003</v>
      </c>
      <c r="Y7127">
        <v>0.1333628</v>
      </c>
      <c r="Z7127">
        <v>-6.4443280000000006E-2</v>
      </c>
      <c r="AA7127">
        <v>0.98896989999999996</v>
      </c>
      <c r="AB7127">
        <v>42</v>
      </c>
      <c r="AC7127">
        <v>2.5531999999999999</v>
      </c>
      <c r="AD7127">
        <v>-1.109855637855</v>
      </c>
      <c r="AE7127">
        <v>16.568850000000001</v>
      </c>
      <c r="AF7127">
        <v>2.2894603954539199</v>
      </c>
      <c r="AG7127">
        <v>-1.109855637855</v>
      </c>
      <c r="AH7127">
        <v>16.533497347923301</v>
      </c>
      <c r="AI7127">
        <v>93.804180959918497</v>
      </c>
      <c r="AJ7127">
        <v>82.116157117020904</v>
      </c>
      <c r="AK7127">
        <v>16.728118333901701</v>
      </c>
      <c r="AL7127">
        <v>90.785275303316297</v>
      </c>
      <c r="AM7127">
        <v>87.447666930572197</v>
      </c>
      <c r="AN7127">
        <v>0.99999996401362101</v>
      </c>
    </row>
    <row r="7128" spans="1:40" x14ac:dyDescent="0.25">
      <c r="A7128" t="str">
        <f>"20190312161159696"</f>
        <v>20190312161159696</v>
      </c>
      <c r="B7128" t="str">
        <f>"1552378319684032"</f>
        <v>1552378319684032</v>
      </c>
      <c r="C7128" t="s">
        <v>40</v>
      </c>
      <c r="D7128">
        <v>5.5622040000000004</v>
      </c>
      <c r="E7128">
        <v>0.53591149999999999</v>
      </c>
      <c r="F7128" t="s">
        <v>41</v>
      </c>
      <c r="G7128">
        <v>-183.797</v>
      </c>
      <c r="H7128" s="1">
        <v>-3.150641E-6</v>
      </c>
      <c r="I7128">
        <v>94.05641</v>
      </c>
      <c r="J7128">
        <v>-187.63220000000001</v>
      </c>
      <c r="K7128">
        <v>1.1098619999999999</v>
      </c>
      <c r="L7128">
        <v>69.920869999999994</v>
      </c>
      <c r="M7128">
        <v>1.5204509999999999E-2</v>
      </c>
      <c r="N7128">
        <v>0</v>
      </c>
      <c r="O7128">
        <v>0.99976980000000004</v>
      </c>
      <c r="P7128">
        <v>6.0702689999999997E-2</v>
      </c>
      <c r="Q7128">
        <v>-2.9064929999999999E-2</v>
      </c>
      <c r="R7128">
        <v>0.99773259999999997</v>
      </c>
      <c r="S7128">
        <v>0.4655762</v>
      </c>
      <c r="T7128">
        <v>-0.13451579999999999</v>
      </c>
      <c r="U7128">
        <v>2.9748540000000001</v>
      </c>
      <c r="V7128">
        <v>4.5526810000000001E-2</v>
      </c>
      <c r="W7128">
        <v>-1.3937110000000001E-2</v>
      </c>
      <c r="X7128">
        <v>0.99886589999999997</v>
      </c>
      <c r="Y7128">
        <v>0.1394262</v>
      </c>
      <c r="Z7128">
        <v>-4.4671719999999998E-2</v>
      </c>
      <c r="AA7128">
        <v>0.98922429999999995</v>
      </c>
      <c r="AB7128">
        <v>42</v>
      </c>
      <c r="AC7128">
        <v>3.8352000000000102</v>
      </c>
      <c r="AD7128">
        <v>-1.109865150641</v>
      </c>
      <c r="AE7128">
        <v>24.135539999999999</v>
      </c>
      <c r="AF7128">
        <v>3.46060790466889</v>
      </c>
      <c r="AG7128">
        <v>-1.109865150641</v>
      </c>
      <c r="AH7128">
        <v>24.141276740536799</v>
      </c>
      <c r="AI7128">
        <v>92.605650740082794</v>
      </c>
      <c r="AJ7128">
        <v>81.842328290700095</v>
      </c>
      <c r="AK7128">
        <v>24.4132924937552</v>
      </c>
      <c r="AL7128">
        <v>90.798563427751603</v>
      </c>
      <c r="AM7128">
        <v>87.390350375508504</v>
      </c>
      <c r="AN7128">
        <v>1.0000000098233599</v>
      </c>
    </row>
    <row r="7129" spans="1:40" x14ac:dyDescent="0.25">
      <c r="A7129" t="str">
        <f>"20190312161159719"</f>
        <v>20190312161159719</v>
      </c>
      <c r="B7129" t="str">
        <f>"1552378319714289"</f>
        <v>1552378319714289</v>
      </c>
      <c r="C7129" t="s">
        <v>40</v>
      </c>
      <c r="D7129">
        <v>5.654007</v>
      </c>
      <c r="E7129">
        <v>0.53692150000000005</v>
      </c>
      <c r="F7129" t="s">
        <v>41</v>
      </c>
      <c r="G7129">
        <v>-182.22810000000001</v>
      </c>
      <c r="H7129" s="1">
        <v>-3.6507189999999999E-6</v>
      </c>
      <c r="I7129">
        <v>104.2992</v>
      </c>
      <c r="J7129">
        <v>-187.626</v>
      </c>
      <c r="K7129">
        <v>1.1098669999999999</v>
      </c>
      <c r="L7129">
        <v>70.330290000000005</v>
      </c>
      <c r="M7129">
        <v>1.5116360000000001E-2</v>
      </c>
      <c r="N7129">
        <v>0</v>
      </c>
      <c r="O7129">
        <v>0.99977099999999997</v>
      </c>
      <c r="P7129">
        <v>6.1395690000000003E-2</v>
      </c>
      <c r="Q7129">
        <v>-2.8931729999999999E-2</v>
      </c>
      <c r="R7129">
        <v>0.99769410000000003</v>
      </c>
      <c r="S7129">
        <v>0.46774290000000002</v>
      </c>
      <c r="T7129">
        <v>-9.6062419999999996E-2</v>
      </c>
      <c r="U7129">
        <v>2.9755549999999999</v>
      </c>
      <c r="V7129">
        <v>4.630832E-2</v>
      </c>
      <c r="W7129">
        <v>-1.37927E-2</v>
      </c>
      <c r="X7129">
        <v>0.99883200000000005</v>
      </c>
      <c r="Y7129">
        <v>0.14025679999999999</v>
      </c>
      <c r="Z7129">
        <v>-3.1906360000000002E-2</v>
      </c>
      <c r="AA7129">
        <v>0.98960099999999995</v>
      </c>
      <c r="AB7129">
        <v>42</v>
      </c>
      <c r="AC7129">
        <v>5.39789999999996</v>
      </c>
      <c r="AD7129">
        <v>-1.1098706507189999</v>
      </c>
      <c r="AE7129">
        <v>33.968909999999902</v>
      </c>
      <c r="AF7129">
        <v>4.87865805384609</v>
      </c>
      <c r="AG7129">
        <v>-1.1098706507189999</v>
      </c>
      <c r="AH7129">
        <v>34.011219963048603</v>
      </c>
      <c r="AI7129">
        <v>91.850116939335194</v>
      </c>
      <c r="AJ7129">
        <v>81.837026619866094</v>
      </c>
      <c r="AK7129">
        <v>34.377262843957801</v>
      </c>
      <c r="AL7129">
        <v>90.790288531655094</v>
      </c>
      <c r="AM7129">
        <v>87.345526885146498</v>
      </c>
      <c r="AN7129">
        <v>1.0000000316492501</v>
      </c>
    </row>
    <row r="7130" spans="1:40" x14ac:dyDescent="0.25">
      <c r="A7130" t="str">
        <f>"20190312161159743"</f>
        <v>20190312161159743</v>
      </c>
      <c r="B7130" t="str">
        <f>"1552378319734785"</f>
        <v>1552378319734785</v>
      </c>
      <c r="C7130" t="s">
        <v>40</v>
      </c>
      <c r="D7130">
        <v>5.6591990000000001</v>
      </c>
      <c r="E7130">
        <v>0.53757169999999999</v>
      </c>
      <c r="F7130" t="s">
        <v>41</v>
      </c>
      <c r="G7130">
        <v>-181.17359999999999</v>
      </c>
      <c r="H7130" s="1">
        <v>-2.6247009999999999E-6</v>
      </c>
      <c r="I7130">
        <v>110.4598</v>
      </c>
      <c r="J7130">
        <v>-187.61940000000001</v>
      </c>
      <c r="K7130">
        <v>1.109869</v>
      </c>
      <c r="L7130">
        <v>70.776730000000001</v>
      </c>
      <c r="M7130">
        <v>1.5020510000000001E-2</v>
      </c>
      <c r="N7130">
        <v>0</v>
      </c>
      <c r="O7130">
        <v>0.99977229999999995</v>
      </c>
      <c r="P7130">
        <v>6.1952019999999997E-2</v>
      </c>
      <c r="Q7130">
        <v>-2.8840870000000001E-2</v>
      </c>
      <c r="R7130">
        <v>0.99766239999999995</v>
      </c>
      <c r="S7130">
        <v>0.47836299999999998</v>
      </c>
      <c r="T7130">
        <v>-8.2282899999999895E-2</v>
      </c>
      <c r="U7130">
        <v>2.975098</v>
      </c>
      <c r="V7130">
        <v>4.6960769999999999E-2</v>
      </c>
      <c r="W7130">
        <v>-1.3691989999999999E-2</v>
      </c>
      <c r="X7130">
        <v>0.99880290000000005</v>
      </c>
      <c r="Y7130">
        <v>0.1438411</v>
      </c>
      <c r="Z7130">
        <v>-2.7322880000000001E-2</v>
      </c>
      <c r="AA7130">
        <v>0.98922350000000003</v>
      </c>
      <c r="AB7130">
        <v>42</v>
      </c>
      <c r="AC7130">
        <v>6.44580000000001</v>
      </c>
      <c r="AD7130">
        <v>-1.1098716247010001</v>
      </c>
      <c r="AE7130">
        <v>39.683070000000001</v>
      </c>
      <c r="AF7130">
        <v>5.8444900063610898</v>
      </c>
      <c r="AG7130">
        <v>-1.1098716247010001</v>
      </c>
      <c r="AH7130">
        <v>39.745131806399598</v>
      </c>
      <c r="AI7130">
        <v>91.582543105968497</v>
      </c>
      <c r="AJ7130">
        <v>81.634653351929899</v>
      </c>
      <c r="AK7130">
        <v>40.187876041983699</v>
      </c>
      <c r="AL7130">
        <v>90.784517746884305</v>
      </c>
      <c r="AM7130">
        <v>87.308103637822796</v>
      </c>
      <c r="AN7130">
        <v>1.0000000087787799</v>
      </c>
    </row>
    <row r="7131" spans="1:40" x14ac:dyDescent="0.25">
      <c r="A7131" t="str">
        <f>"20190312161159766"</f>
        <v>20190312161159766</v>
      </c>
      <c r="B7131" t="str">
        <f>"1552378319754305"</f>
        <v>1552378319754305</v>
      </c>
      <c r="C7131" t="s">
        <v>40</v>
      </c>
      <c r="D7131">
        <v>5.6822879999999998</v>
      </c>
      <c r="E7131">
        <v>0.53812559999999998</v>
      </c>
      <c r="F7131" t="s">
        <v>41</v>
      </c>
      <c r="G7131">
        <v>-181.5488</v>
      </c>
      <c r="H7131" s="1">
        <v>-5.0939380000000003E-6</v>
      </c>
      <c r="I7131">
        <v>108.0091</v>
      </c>
      <c r="J7131">
        <v>-187.613</v>
      </c>
      <c r="K7131">
        <v>1.1098779999999999</v>
      </c>
      <c r="L7131">
        <v>71.202849999999998</v>
      </c>
      <c r="M7131">
        <v>1.492887E-2</v>
      </c>
      <c r="N7131">
        <v>0</v>
      </c>
      <c r="O7131">
        <v>0.99977349999999998</v>
      </c>
      <c r="P7131">
        <v>6.1831440000000001E-2</v>
      </c>
      <c r="Q7131">
        <v>-2.8605330000000002E-2</v>
      </c>
      <c r="R7131">
        <v>0.99767660000000002</v>
      </c>
      <c r="S7131">
        <v>0.48495480000000002</v>
      </c>
      <c r="T7131">
        <v>-8.8664049999999994E-2</v>
      </c>
      <c r="U7131">
        <v>2.9743650000000001</v>
      </c>
      <c r="V7131">
        <v>4.693145E-2</v>
      </c>
      <c r="W7131">
        <v>-1.344882E-2</v>
      </c>
      <c r="X7131">
        <v>0.99880749999999996</v>
      </c>
      <c r="Y7131">
        <v>0.14609629999999901</v>
      </c>
      <c r="Z7131">
        <v>-2.9437169999999999E-2</v>
      </c>
      <c r="AA7131">
        <v>0.9888323</v>
      </c>
      <c r="AB7131">
        <v>41</v>
      </c>
      <c r="AC7131">
        <v>6.0641999999999996</v>
      </c>
      <c r="AD7131">
        <v>-1.109883093938</v>
      </c>
      <c r="AE7131">
        <v>36.806249999999999</v>
      </c>
      <c r="AF7131">
        <v>5.5091080089723201</v>
      </c>
      <c r="AG7131">
        <v>-1.109883093938</v>
      </c>
      <c r="AH7131">
        <v>36.860058008452299</v>
      </c>
      <c r="AI7131">
        <v>91.705761073412802</v>
      </c>
      <c r="AJ7131">
        <v>81.499489995242499</v>
      </c>
      <c r="AK7131">
        <v>37.286002573662998</v>
      </c>
      <c r="AL7131">
        <v>90.7705839122969</v>
      </c>
      <c r="AM7131">
        <v>87.309794227529295</v>
      </c>
      <c r="AN7131">
        <v>0.99999992690736905</v>
      </c>
    </row>
    <row r="7132" spans="1:40" x14ac:dyDescent="0.25">
      <c r="A7132" t="str">
        <f>"20190312161159801"</f>
        <v>20190312161159801</v>
      </c>
      <c r="B7132" t="str">
        <f>"1552378319794320"</f>
        <v>1552378319794320</v>
      </c>
      <c r="C7132" t="s">
        <v>40</v>
      </c>
      <c r="D7132">
        <v>5.6508839999999996</v>
      </c>
      <c r="E7132">
        <v>0.53857980000000005</v>
      </c>
      <c r="F7132" t="s">
        <v>41</v>
      </c>
      <c r="G7132">
        <v>-181.84370000000001</v>
      </c>
      <c r="H7132" s="1">
        <v>-4.4353560000000004E-6</v>
      </c>
      <c r="I7132">
        <v>106.3044</v>
      </c>
      <c r="J7132">
        <v>-187.6037</v>
      </c>
      <c r="K7132">
        <v>1.1098920000000001</v>
      </c>
      <c r="L7132">
        <v>71.838319999999996</v>
      </c>
      <c r="M7132">
        <v>1.4792100000000001E-2</v>
      </c>
      <c r="N7132">
        <v>0</v>
      </c>
      <c r="O7132">
        <v>0.99977539999999998</v>
      </c>
      <c r="P7132">
        <v>6.2053039999999997E-2</v>
      </c>
      <c r="Q7132">
        <v>-2.9707999999999998E-2</v>
      </c>
      <c r="R7132">
        <v>0.99763060000000003</v>
      </c>
      <c r="S7132">
        <v>0.48881530000000001</v>
      </c>
      <c r="T7132">
        <v>-9.4036460000000002E-2</v>
      </c>
      <c r="U7132">
        <v>2.97403</v>
      </c>
      <c r="V7132">
        <v>4.7290499999999999E-2</v>
      </c>
      <c r="W7132">
        <v>-1.454398E-2</v>
      </c>
      <c r="X7132">
        <v>0.99877530000000003</v>
      </c>
      <c r="Y7132">
        <v>0.1474905</v>
      </c>
      <c r="Z7132">
        <v>-3.1216219999999999E-2</v>
      </c>
      <c r="AA7132">
        <v>0.98857070000000002</v>
      </c>
      <c r="AB7132">
        <v>41</v>
      </c>
      <c r="AC7132">
        <v>5.75999999999999</v>
      </c>
      <c r="AD7132">
        <v>-1.1098964353559999</v>
      </c>
      <c r="AE7132">
        <v>34.466079999999998</v>
      </c>
      <c r="AF7132">
        <v>5.2441947294874698</v>
      </c>
      <c r="AG7132">
        <v>-1.1098964353559999</v>
      </c>
      <c r="AH7132">
        <v>34.5127030996413</v>
      </c>
      <c r="AI7132">
        <v>91.821055549499505</v>
      </c>
      <c r="AJ7132">
        <v>81.360014584953902</v>
      </c>
      <c r="AK7132">
        <v>34.926496012368403</v>
      </c>
      <c r="AL7132">
        <v>90.833338044284105</v>
      </c>
      <c r="AM7132">
        <v>87.2891560741501</v>
      </c>
      <c r="AN7132">
        <v>1.0000000093172901</v>
      </c>
    </row>
    <row r="7133" spans="1:40" x14ac:dyDescent="0.25">
      <c r="A7133" t="str">
        <f>"20190312161159818"</f>
        <v>20190312161159818</v>
      </c>
      <c r="B7133" t="str">
        <f>"1552378319814816"</f>
        <v>1552378319814816</v>
      </c>
      <c r="C7133" t="s">
        <v>40</v>
      </c>
      <c r="D7133">
        <v>5.6360749999999999</v>
      </c>
      <c r="E7133">
        <v>0.53902109999999903</v>
      </c>
      <c r="F7133" t="s">
        <v>41</v>
      </c>
      <c r="G7133">
        <v>-182.33170000000001</v>
      </c>
      <c r="H7133" s="1">
        <v>-3.3955459999999999E-6</v>
      </c>
      <c r="I7133">
        <v>103.63039999999999</v>
      </c>
      <c r="J7133">
        <v>-187.59870000000001</v>
      </c>
      <c r="K7133">
        <v>1.109899</v>
      </c>
      <c r="L7133">
        <v>72.180850000000007</v>
      </c>
      <c r="M7133">
        <v>1.47184E-2</v>
      </c>
      <c r="N7133">
        <v>0</v>
      </c>
      <c r="O7133">
        <v>0.99977649999999996</v>
      </c>
      <c r="P7133">
        <v>6.2315860000000001E-2</v>
      </c>
      <c r="Q7133">
        <v>-3.0058459999999999E-2</v>
      </c>
      <c r="R7133">
        <v>0.99760369999999998</v>
      </c>
      <c r="S7133">
        <v>0.49305729999999998</v>
      </c>
      <c r="T7133">
        <v>-0.10380300000000001</v>
      </c>
      <c r="U7133">
        <v>2.9733580000000002</v>
      </c>
      <c r="V7133">
        <v>4.7627360000000001E-2</v>
      </c>
      <c r="W7133">
        <v>-1.489175E-2</v>
      </c>
      <c r="X7133">
        <v>0.99875409999999998</v>
      </c>
      <c r="Y7133">
        <v>0.14895449999999999</v>
      </c>
      <c r="Z7133">
        <v>-3.445455E-2</v>
      </c>
      <c r="AA7133">
        <v>0.9882436</v>
      </c>
      <c r="AB7133">
        <v>41</v>
      </c>
      <c r="AC7133">
        <v>5.2669999999999897</v>
      </c>
      <c r="AD7133">
        <v>-1.1099023955459999</v>
      </c>
      <c r="AE7133">
        <v>31.449549999999899</v>
      </c>
      <c r="AF7133">
        <v>4.7976765286651899</v>
      </c>
      <c r="AG7133">
        <v>-1.1099023955459999</v>
      </c>
      <c r="AH7133">
        <v>31.485528224460399</v>
      </c>
      <c r="AI7133">
        <v>91.9958893592393</v>
      </c>
      <c r="AJ7133">
        <v>81.336074866346706</v>
      </c>
      <c r="AK7133">
        <v>31.868292564469701</v>
      </c>
      <c r="AL7133">
        <v>90.853266014242394</v>
      </c>
      <c r="AM7133">
        <v>87.269817422033995</v>
      </c>
      <c r="AN7133">
        <v>0.99999994095271905</v>
      </c>
    </row>
    <row r="7134" spans="1:40" x14ac:dyDescent="0.25">
      <c r="A7134" t="str">
        <f>"20190312161159841"</f>
        <v>20190312161159841</v>
      </c>
      <c r="B7134" t="str">
        <f>"1552378319834337"</f>
        <v>1552378319834337</v>
      </c>
      <c r="C7134" t="s">
        <v>40</v>
      </c>
      <c r="D7134">
        <v>5.8628</v>
      </c>
      <c r="E7134">
        <v>0.53945659999999995</v>
      </c>
      <c r="F7134" t="s">
        <v>41</v>
      </c>
      <c r="G7134">
        <v>-182.3492</v>
      </c>
      <c r="H7134" s="1">
        <v>-3.369436E-6</v>
      </c>
      <c r="I7134">
        <v>103.5673</v>
      </c>
      <c r="J7134">
        <v>-187.59280000000001</v>
      </c>
      <c r="K7134">
        <v>1.109904</v>
      </c>
      <c r="L7134">
        <v>72.587739999999997</v>
      </c>
      <c r="M7134">
        <v>1.4631079999999999E-2</v>
      </c>
      <c r="N7134">
        <v>0</v>
      </c>
      <c r="O7134">
        <v>0.99977740000000004</v>
      </c>
      <c r="P7134">
        <v>6.2668420000000002E-2</v>
      </c>
      <c r="Q7134">
        <v>-2.9632490000000001E-2</v>
      </c>
      <c r="R7134">
        <v>0.99759439999999999</v>
      </c>
      <c r="S7134">
        <v>0.49723820000000002</v>
      </c>
      <c r="T7134">
        <v>-0.10513110000000001</v>
      </c>
      <c r="U7134">
        <v>2.9729610000000002</v>
      </c>
      <c r="V7134">
        <v>4.8067140000000001E-2</v>
      </c>
      <c r="W7134">
        <v>-1.444104E-2</v>
      </c>
      <c r="X7134">
        <v>0.99873970000000001</v>
      </c>
      <c r="Y7134">
        <v>0.15041170000000001</v>
      </c>
      <c r="Z7134">
        <v>-3.489163E-2</v>
      </c>
      <c r="AA7134">
        <v>0.98800750000000004</v>
      </c>
      <c r="AB7134">
        <v>41</v>
      </c>
      <c r="AC7134">
        <v>5.2436000000000096</v>
      </c>
      <c r="AD7134">
        <v>-1.109907369436</v>
      </c>
      <c r="AE7134">
        <v>30.979559999999999</v>
      </c>
      <c r="AF7134">
        <v>4.7837524800346998</v>
      </c>
      <c r="AG7134">
        <v>-1.109907369436</v>
      </c>
      <c r="AH7134">
        <v>31.014271007931399</v>
      </c>
      <c r="AI7134">
        <v>92.025634677012206</v>
      </c>
      <c r="AJ7134">
        <v>81.231594198350805</v>
      </c>
      <c r="AK7134">
        <v>31.4006558579973</v>
      </c>
      <c r="AL7134">
        <v>90.827439412488403</v>
      </c>
      <c r="AM7134">
        <v>87.244606555592398</v>
      </c>
      <c r="AN7134">
        <v>0.99999999097007497</v>
      </c>
    </row>
    <row r="7135" spans="1:40" x14ac:dyDescent="0.25">
      <c r="A7135" t="str">
        <f>"20190312161159864"</f>
        <v>20190312161159864</v>
      </c>
      <c r="B7135" t="str">
        <f>"1552378319854489"</f>
        <v>1552378319854489</v>
      </c>
      <c r="C7135" t="s">
        <v>40</v>
      </c>
      <c r="D7135">
        <v>5.6710269999999996</v>
      </c>
      <c r="E7135">
        <v>0.53947100000000003</v>
      </c>
      <c r="F7135" t="s">
        <v>41</v>
      </c>
      <c r="G7135">
        <v>-182.2723</v>
      </c>
      <c r="H7135" s="1">
        <v>-3.5766389999999998E-6</v>
      </c>
      <c r="I7135">
        <v>104.1161</v>
      </c>
      <c r="J7135">
        <v>-187.58670000000001</v>
      </c>
      <c r="K7135">
        <v>1.10995</v>
      </c>
      <c r="L7135">
        <v>73.009550000000004</v>
      </c>
      <c r="M7135">
        <v>1.4549100000000001E-2</v>
      </c>
      <c r="N7135">
        <v>0</v>
      </c>
      <c r="O7135">
        <v>0.99977669999999996</v>
      </c>
      <c r="P7135">
        <v>6.2574060000000001E-2</v>
      </c>
      <c r="Q7135">
        <v>-2.9171599999999999E-2</v>
      </c>
      <c r="R7135">
        <v>0.99761390000000005</v>
      </c>
      <c r="S7135">
        <v>0.50163270000000004</v>
      </c>
      <c r="T7135">
        <v>-0.10464569999999999</v>
      </c>
      <c r="U7135">
        <v>2.9725950000000001</v>
      </c>
      <c r="V7135">
        <v>4.805429E-2</v>
      </c>
      <c r="W7135">
        <v>-1.385551E-2</v>
      </c>
      <c r="X7135">
        <v>0.99874859999999999</v>
      </c>
      <c r="Y7135">
        <v>0.15193389999999901</v>
      </c>
      <c r="Z7135">
        <v>-3.4726720000000003E-2</v>
      </c>
      <c r="AA7135">
        <v>0.9877804</v>
      </c>
      <c r="AB7135">
        <v>41</v>
      </c>
      <c r="AC7135">
        <v>5.3144</v>
      </c>
      <c r="AD7135">
        <v>-1.1099535766390001</v>
      </c>
      <c r="AE7135">
        <v>31.106549999999999</v>
      </c>
      <c r="AF7135">
        <v>4.8552054439057102</v>
      </c>
      <c r="AG7135">
        <v>-1.1099535766390001</v>
      </c>
      <c r="AH7135">
        <v>31.142059201706498</v>
      </c>
      <c r="AI7135">
        <v>92.016906385408404</v>
      </c>
      <c r="AJ7135">
        <v>81.138632958620093</v>
      </c>
      <c r="AK7135">
        <v>31.537800623496601</v>
      </c>
      <c r="AL7135">
        <v>90.793887665988507</v>
      </c>
      <c r="AM7135">
        <v>87.245366541674201</v>
      </c>
      <c r="AN7135">
        <v>0.99999997797336104</v>
      </c>
    </row>
    <row r="7136" spans="1:40" x14ac:dyDescent="0.25">
      <c r="A7136" t="str">
        <f>"20190312161159887"</f>
        <v>20190312161159887</v>
      </c>
      <c r="B7136" t="str">
        <f>"1552378319884746"</f>
        <v>1552378319884746</v>
      </c>
      <c r="C7136" t="s">
        <v>40</v>
      </c>
      <c r="D7136">
        <v>5.796837</v>
      </c>
      <c r="E7136">
        <v>0.539792099999999</v>
      </c>
      <c r="F7136" t="s">
        <v>41</v>
      </c>
      <c r="G7136">
        <v>-182.3305</v>
      </c>
      <c r="H7136" s="1">
        <v>-3.5763610000000002E-6</v>
      </c>
      <c r="I7136">
        <v>104.16079999999999</v>
      </c>
      <c r="J7136">
        <v>-187.58070000000001</v>
      </c>
      <c r="K7136">
        <v>1.1100209999999999</v>
      </c>
      <c r="L7136">
        <v>73.427580000000006</v>
      </c>
      <c r="M7136">
        <v>1.446686E-2</v>
      </c>
      <c r="N7136">
        <v>0</v>
      </c>
      <c r="O7136">
        <v>0.99977369999999999</v>
      </c>
      <c r="P7136">
        <v>6.2512380000000006E-2</v>
      </c>
      <c r="Q7136">
        <v>-2.914427E-2</v>
      </c>
      <c r="R7136">
        <v>0.99761860000000002</v>
      </c>
      <c r="S7136">
        <v>0.50157169999999995</v>
      </c>
      <c r="T7136">
        <v>-0.105917899999999</v>
      </c>
      <c r="U7136">
        <v>2.972626</v>
      </c>
      <c r="V7136">
        <v>4.8074539999999999E-2</v>
      </c>
      <c r="W7136">
        <v>-1.355671E-2</v>
      </c>
      <c r="X7136">
        <v>0.99875179999999997</v>
      </c>
      <c r="Y7136">
        <v>0.151991299999999</v>
      </c>
      <c r="Z7136">
        <v>-3.5147980000000002E-2</v>
      </c>
      <c r="AA7136">
        <v>0.98775670000000004</v>
      </c>
      <c r="AB7136">
        <v>41</v>
      </c>
      <c r="AC7136">
        <v>5.2502000000000004</v>
      </c>
      <c r="AD7136">
        <v>-1.1100245763609999</v>
      </c>
      <c r="AE7136">
        <v>30.7332199999999</v>
      </c>
      <c r="AF7136">
        <v>4.7989004283686203</v>
      </c>
      <c r="AG7136">
        <v>-1.1100245763609999</v>
      </c>
      <c r="AH7136">
        <v>30.766968238980301</v>
      </c>
      <c r="AI7136">
        <v>92.041583058525006</v>
      </c>
      <c r="AJ7136">
        <v>81.134681315463396</v>
      </c>
      <c r="AK7136">
        <v>31.158753737913599</v>
      </c>
      <c r="AL7136">
        <v>90.776766020923105</v>
      </c>
      <c r="AM7136">
        <v>87.244216348584601</v>
      </c>
      <c r="AN7136">
        <v>1.0000000518927299</v>
      </c>
    </row>
    <row r="7137" spans="1:40" x14ac:dyDescent="0.25">
      <c r="A7137" t="str">
        <f>"20190312161159908"</f>
        <v>20190312161159908</v>
      </c>
      <c r="B7137" t="str">
        <f>"1552378319904266"</f>
        <v>1552378319904266</v>
      </c>
      <c r="C7137" t="s">
        <v>40</v>
      </c>
      <c r="D7137">
        <v>5.7039929999999996</v>
      </c>
      <c r="E7137">
        <v>0.53990009999999999</v>
      </c>
      <c r="F7137" t="s">
        <v>41</v>
      </c>
      <c r="G7137">
        <v>-182.37729999999999</v>
      </c>
      <c r="H7137" s="1">
        <v>-3.5522999999999999E-6</v>
      </c>
      <c r="I7137">
        <v>104.1267</v>
      </c>
      <c r="J7137">
        <v>-187.5753</v>
      </c>
      <c r="K7137">
        <v>1.110106</v>
      </c>
      <c r="L7137">
        <v>73.803919999999906</v>
      </c>
      <c r="M7137">
        <v>1.438916E-2</v>
      </c>
      <c r="N7137">
        <v>0</v>
      </c>
      <c r="O7137">
        <v>0.99976929999999997</v>
      </c>
      <c r="P7137">
        <v>6.234141E-2</v>
      </c>
      <c r="Q7137">
        <v>-2.9113469999999999E-2</v>
      </c>
      <c r="R7137">
        <v>0.99763020000000002</v>
      </c>
      <c r="S7137">
        <v>0.50381469999999995</v>
      </c>
      <c r="T7137">
        <v>-0.10747809999999999</v>
      </c>
      <c r="U7137">
        <v>2.9724430000000002</v>
      </c>
      <c r="V7137">
        <v>4.7980759999999997E-2</v>
      </c>
      <c r="W7137">
        <v>-1.317838E-2</v>
      </c>
      <c r="X7137">
        <v>0.99876129999999996</v>
      </c>
      <c r="Y7137">
        <v>0.15279960000000001</v>
      </c>
      <c r="Z7137">
        <v>-3.566283E-2</v>
      </c>
      <c r="AA7137">
        <v>0.98761350000000003</v>
      </c>
      <c r="AB7137">
        <v>41</v>
      </c>
      <c r="AC7137">
        <v>5.1980000000000004</v>
      </c>
      <c r="AD7137">
        <v>-1.1101095523</v>
      </c>
      <c r="AE7137">
        <v>30.322780000000002</v>
      </c>
      <c r="AF7137">
        <v>4.7548959565013096</v>
      </c>
      <c r="AG7137">
        <v>-1.1101095523</v>
      </c>
      <c r="AH7137">
        <v>30.354921745500999</v>
      </c>
      <c r="AI7137">
        <v>92.069219835225695</v>
      </c>
      <c r="AJ7137">
        <v>81.097343232351605</v>
      </c>
      <c r="AK7137">
        <v>30.7451240516403</v>
      </c>
      <c r="AL7137">
        <v>90.755087427944005</v>
      </c>
      <c r="AM7137">
        <v>87.249609971238897</v>
      </c>
      <c r="AN7137">
        <v>0.99999997870364499</v>
      </c>
    </row>
    <row r="7138" spans="1:40" x14ac:dyDescent="0.25">
      <c r="A7138" t="str">
        <f>"20190312161159931"</f>
        <v>20190312161159931</v>
      </c>
      <c r="B7138" t="str">
        <f>"1552378319924762"</f>
        <v>1552378319924762</v>
      </c>
      <c r="C7138" t="s">
        <v>40</v>
      </c>
      <c r="D7138">
        <v>5.7016660000000003</v>
      </c>
      <c r="E7138">
        <v>0.54010360000000002</v>
      </c>
      <c r="F7138" t="s">
        <v>41</v>
      </c>
      <c r="G7138">
        <v>-182.4804</v>
      </c>
      <c r="H7138" s="1">
        <v>-3.4292920000000001E-6</v>
      </c>
      <c r="I7138">
        <v>103.8458</v>
      </c>
      <c r="J7138">
        <v>-187.5692</v>
      </c>
      <c r="K7138">
        <v>1.110201</v>
      </c>
      <c r="L7138">
        <v>74.232910000000004</v>
      </c>
      <c r="M7138">
        <v>1.4296990000000001E-2</v>
      </c>
      <c r="N7138">
        <v>0</v>
      </c>
      <c r="O7138">
        <v>0.99976290000000001</v>
      </c>
      <c r="P7138">
        <v>6.1934900000000001E-2</v>
      </c>
      <c r="Q7138">
        <v>-2.9049869999999998E-2</v>
      </c>
      <c r="R7138">
        <v>0.99765740000000003</v>
      </c>
      <c r="S7138">
        <v>0.50410459999999901</v>
      </c>
      <c r="T7138">
        <v>-0.1098367</v>
      </c>
      <c r="U7138">
        <v>2.9724119999999998</v>
      </c>
      <c r="V7138">
        <v>4.7665619999999999E-2</v>
      </c>
      <c r="W7138">
        <v>-1.2638419999999999E-2</v>
      </c>
      <c r="X7138">
        <v>0.99878339999999999</v>
      </c>
      <c r="Y7138">
        <v>0.15298110000000001</v>
      </c>
      <c r="Z7138">
        <v>-3.6444020000000001E-2</v>
      </c>
      <c r="AA7138">
        <v>0.98755689999999996</v>
      </c>
      <c r="AB7138">
        <v>41</v>
      </c>
      <c r="AC7138">
        <v>5.0887999999999902</v>
      </c>
      <c r="AD7138">
        <v>-1.1102044292919999</v>
      </c>
      <c r="AE7138">
        <v>29.61289</v>
      </c>
      <c r="AF7138">
        <v>4.6584875462471498</v>
      </c>
      <c r="AG7138">
        <v>-1.1102044292919999</v>
      </c>
      <c r="AH7138">
        <v>29.642158568518699</v>
      </c>
      <c r="AI7138">
        <v>92.118944864501302</v>
      </c>
      <c r="AJ7138">
        <v>81.068591124979207</v>
      </c>
      <c r="AK7138">
        <v>30.026515360503701</v>
      </c>
      <c r="AL7138">
        <v>90.724147396913807</v>
      </c>
      <c r="AM7138">
        <v>87.267707569349795</v>
      </c>
      <c r="AN7138">
        <v>1.00000001055282</v>
      </c>
    </row>
    <row r="7139" spans="1:40" x14ac:dyDescent="0.25">
      <c r="A7139" t="str">
        <f>"20190312161159955"</f>
        <v>20190312161159955</v>
      </c>
      <c r="B7139" t="str">
        <f>"1552378319944282"</f>
        <v>1552378319944282</v>
      </c>
      <c r="C7139" t="s">
        <v>40</v>
      </c>
      <c r="D7139">
        <v>5.6008139999999997</v>
      </c>
      <c r="E7139">
        <v>0.54030279999999997</v>
      </c>
      <c r="F7139" t="s">
        <v>41</v>
      </c>
      <c r="G7139">
        <v>-182.46969999999999</v>
      </c>
      <c r="H7139" s="1">
        <v>-3.5785059999999999E-6</v>
      </c>
      <c r="I7139">
        <v>104.27589999999999</v>
      </c>
      <c r="J7139">
        <v>-187.56319999999999</v>
      </c>
      <c r="K7139">
        <v>1.110295</v>
      </c>
      <c r="L7139">
        <v>74.664090000000002</v>
      </c>
      <c r="M7139">
        <v>1.420397E-2</v>
      </c>
      <c r="N7139">
        <v>0</v>
      </c>
      <c r="O7139">
        <v>0.99975570000000002</v>
      </c>
      <c r="P7139">
        <v>6.1309410000000002E-2</v>
      </c>
      <c r="Q7139">
        <v>-2.9568489999999999E-2</v>
      </c>
      <c r="R7139">
        <v>0.99768069999999998</v>
      </c>
      <c r="S7139">
        <v>0.50456239999999997</v>
      </c>
      <c r="T7139">
        <v>-0.1098465</v>
      </c>
      <c r="U7139">
        <v>2.972534</v>
      </c>
      <c r="V7139">
        <v>4.7132609999999998E-2</v>
      </c>
      <c r="W7139">
        <v>-1.2648299999999999E-2</v>
      </c>
      <c r="X7139">
        <v>0.99880860000000005</v>
      </c>
      <c r="Y7139">
        <v>0.15321409999999999</v>
      </c>
      <c r="Z7139">
        <v>-3.6444730000000002E-2</v>
      </c>
      <c r="AA7139">
        <v>0.98752079999999998</v>
      </c>
      <c r="AB7139">
        <v>41</v>
      </c>
      <c r="AC7139">
        <v>5.0934999999999997</v>
      </c>
      <c r="AD7139">
        <v>-1.110298578506</v>
      </c>
      <c r="AE7139">
        <v>29.611809999999899</v>
      </c>
      <c r="AF7139">
        <v>4.6659491487211699</v>
      </c>
      <c r="AG7139">
        <v>-1.110298578506</v>
      </c>
      <c r="AH7139">
        <v>29.640706252985701</v>
      </c>
      <c r="AI7139">
        <v>92.1191438208145</v>
      </c>
      <c r="AJ7139">
        <v>81.054085438856902</v>
      </c>
      <c r="AK7139">
        <v>30.0262437139192</v>
      </c>
      <c r="AL7139">
        <v>90.724713502447102</v>
      </c>
      <c r="AM7139">
        <v>87.298283348503105</v>
      </c>
      <c r="AN7139">
        <v>1.00000004092613</v>
      </c>
    </row>
    <row r="7140" spans="1:40" x14ac:dyDescent="0.25">
      <c r="A7140" t="str">
        <f>"20190312161200001"</f>
        <v>20190312161200001</v>
      </c>
      <c r="B7140" t="str">
        <f>"1552378319994058"</f>
        <v>1552378319994058</v>
      </c>
      <c r="C7140" t="s">
        <v>40</v>
      </c>
      <c r="D7140">
        <v>5.6692479999999996</v>
      </c>
      <c r="E7140">
        <v>0.54044579999999998</v>
      </c>
      <c r="F7140" t="s">
        <v>41</v>
      </c>
      <c r="G7140">
        <v>-182.61760000000001</v>
      </c>
      <c r="H7140" s="1">
        <v>-3.3834009999999999E-6</v>
      </c>
      <c r="I7140">
        <v>103.81829999999999</v>
      </c>
      <c r="J7140">
        <v>-187.55160000000001</v>
      </c>
      <c r="K7140">
        <v>1.1104499999999999</v>
      </c>
      <c r="L7140">
        <v>75.495329999999996</v>
      </c>
      <c r="M7140">
        <v>1.4033189999999999E-2</v>
      </c>
      <c r="N7140">
        <v>0</v>
      </c>
      <c r="O7140">
        <v>0.99974050000000003</v>
      </c>
      <c r="P7140">
        <v>6.1929129999999999E-2</v>
      </c>
      <c r="Q7140">
        <v>-3.0783270000000001E-2</v>
      </c>
      <c r="R7140">
        <v>0.99760570000000004</v>
      </c>
      <c r="S7140">
        <v>0.50425719999999996</v>
      </c>
      <c r="T7140">
        <v>-0.1132085</v>
      </c>
      <c r="U7140">
        <v>2.972626</v>
      </c>
      <c r="V7140">
        <v>4.7923649999999998E-2</v>
      </c>
      <c r="W7140">
        <v>-1.2855190000000001E-2</v>
      </c>
      <c r="X7140">
        <v>0.99876830000000005</v>
      </c>
      <c r="Y7140">
        <v>0.1532722</v>
      </c>
      <c r="Z7140">
        <v>-3.7557779999999999E-2</v>
      </c>
      <c r="AA7140">
        <v>0.98746999999999996</v>
      </c>
      <c r="AB7140">
        <v>41</v>
      </c>
      <c r="AC7140">
        <v>4.9339999999999904</v>
      </c>
      <c r="AD7140">
        <v>-1.110453383401</v>
      </c>
      <c r="AE7140">
        <v>28.322969999999899</v>
      </c>
      <c r="AF7140">
        <v>4.5292312101244301</v>
      </c>
      <c r="AG7140">
        <v>-1.110453383401</v>
      </c>
      <c r="AH7140">
        <v>28.347139977196399</v>
      </c>
      <c r="AI7140">
        <v>92.215252855825497</v>
      </c>
      <c r="AJ7140">
        <v>80.922161391141799</v>
      </c>
      <c r="AK7140">
        <v>28.728163654473999</v>
      </c>
      <c r="AL7140">
        <v>90.736568401706606</v>
      </c>
      <c r="AM7140">
        <v>87.252897880814501</v>
      </c>
      <c r="AN7140">
        <v>1.0000000246120699</v>
      </c>
    </row>
    <row r="7141" spans="1:40" x14ac:dyDescent="0.25">
      <c r="A7141" t="str">
        <f>"20190312161200023"</f>
        <v>20190312161200023</v>
      </c>
      <c r="B7141" t="str">
        <f>"1552378320014554"</f>
        <v>1552378320014554</v>
      </c>
      <c r="C7141" t="s">
        <v>40</v>
      </c>
      <c r="D7141">
        <v>5.7409299999999996</v>
      </c>
      <c r="E7141">
        <v>0.54061649999999895</v>
      </c>
      <c r="F7141" t="s">
        <v>41</v>
      </c>
      <c r="G7141">
        <v>-182.8475</v>
      </c>
      <c r="H7141" s="1">
        <v>-3.0660500000000001E-6</v>
      </c>
      <c r="I7141">
        <v>103.0654</v>
      </c>
      <c r="J7141">
        <v>-187.5462</v>
      </c>
      <c r="K7141">
        <v>1.1105119999999999</v>
      </c>
      <c r="L7141">
        <v>75.882170000000002</v>
      </c>
      <c r="M7141">
        <v>1.395792E-2</v>
      </c>
      <c r="N7141">
        <v>0</v>
      </c>
      <c r="O7141">
        <v>0.99973290000000004</v>
      </c>
      <c r="P7141">
        <v>6.2450239999999997E-2</v>
      </c>
      <c r="Q7141">
        <v>-3.0667920000000001E-2</v>
      </c>
      <c r="R7141">
        <v>0.99757680000000004</v>
      </c>
      <c r="S7141">
        <v>0.50709529999999903</v>
      </c>
      <c r="T7141">
        <v>-0.119705199999999</v>
      </c>
      <c r="U7141">
        <v>2.9720149999999999</v>
      </c>
      <c r="V7141">
        <v>4.8520019999999997E-2</v>
      </c>
      <c r="W7141">
        <v>-1.2260750000000001E-2</v>
      </c>
      <c r="X7141">
        <v>0.99874689999999999</v>
      </c>
      <c r="Y7141">
        <v>0.15428229999999901</v>
      </c>
      <c r="Z7141">
        <v>-3.9711539999999997E-2</v>
      </c>
      <c r="AA7141">
        <v>0.98722849999999995</v>
      </c>
      <c r="AB7141">
        <v>40</v>
      </c>
      <c r="AC7141">
        <v>4.6986999999999997</v>
      </c>
      <c r="AD7141">
        <v>-1.1105150660500001</v>
      </c>
      <c r="AE7141">
        <v>27.183229999999899</v>
      </c>
      <c r="AF7141">
        <v>4.3117689643828498</v>
      </c>
      <c r="AG7141">
        <v>-1.1105150660500001</v>
      </c>
      <c r="AH7141">
        <v>27.202094010335198</v>
      </c>
      <c r="AI7141">
        <v>92.308985160497201</v>
      </c>
      <c r="AJ7141">
        <v>80.993053973092998</v>
      </c>
      <c r="AK7141">
        <v>27.564080138129999</v>
      </c>
      <c r="AL7141">
        <v>90.702506869388699</v>
      </c>
      <c r="AM7141">
        <v>87.218706324518806</v>
      </c>
      <c r="AN7141">
        <v>0.999999944295484</v>
      </c>
    </row>
    <row r="7142" spans="1:40" x14ac:dyDescent="0.25">
      <c r="A7142" t="str">
        <f>"20190312161200043"</f>
        <v>20190312161200043</v>
      </c>
      <c r="B7142" t="str">
        <f>"1552378320034075"</f>
        <v>1552378320034075</v>
      </c>
      <c r="C7142" t="s">
        <v>40</v>
      </c>
      <c r="D7142">
        <v>5.7605719999999998</v>
      </c>
      <c r="E7142">
        <v>0.54083139999999996</v>
      </c>
      <c r="F7142" t="s">
        <v>41</v>
      </c>
      <c r="G7142">
        <v>-182.78630000000001</v>
      </c>
      <c r="H7142" s="1">
        <v>-3.2697799999999999E-6</v>
      </c>
      <c r="I7142">
        <v>103.61620000000001</v>
      </c>
      <c r="J7142">
        <v>-187.5412</v>
      </c>
      <c r="K7142">
        <v>1.110573</v>
      </c>
      <c r="L7142">
        <v>76.249080000000006</v>
      </c>
      <c r="M7142">
        <v>1.388796E-2</v>
      </c>
      <c r="N7142">
        <v>0</v>
      </c>
      <c r="O7142">
        <v>0.99972550000000004</v>
      </c>
      <c r="P7142">
        <v>6.2765699999999994E-2</v>
      </c>
      <c r="Q7142">
        <v>-3.0801990000000001E-2</v>
      </c>
      <c r="R7142">
        <v>0.99755289999999996</v>
      </c>
      <c r="S7142">
        <v>0.51002499999999995</v>
      </c>
      <c r="T7142">
        <v>-0.118991899999999</v>
      </c>
      <c r="U7142">
        <v>2.9717099999999999</v>
      </c>
      <c r="V7142">
        <v>4.8905410000000003E-2</v>
      </c>
      <c r="W7142">
        <v>-1.194803E-2</v>
      </c>
      <c r="X7142">
        <v>0.99873199999999995</v>
      </c>
      <c r="Y7142">
        <v>0.15531519999999999</v>
      </c>
      <c r="Z7142">
        <v>-3.9472849999999997E-2</v>
      </c>
      <c r="AA7142">
        <v>0.98707599999999995</v>
      </c>
      <c r="AB7142">
        <v>40</v>
      </c>
      <c r="AC7142">
        <v>4.7548999999999904</v>
      </c>
      <c r="AD7142">
        <v>-1.1105762697799999</v>
      </c>
      <c r="AE7142">
        <v>27.36712</v>
      </c>
      <c r="AF7142">
        <v>4.3673187987270898</v>
      </c>
      <c r="AG7142">
        <v>-1.1105762697799999</v>
      </c>
      <c r="AH7142">
        <v>27.38674863024</v>
      </c>
      <c r="AI7142">
        <v>92.293218913280697</v>
      </c>
      <c r="AJ7142">
        <v>80.939428164094906</v>
      </c>
      <c r="AK7142">
        <v>27.7550149284173</v>
      </c>
      <c r="AL7142">
        <v>90.684587946218997</v>
      </c>
      <c r="AM7142">
        <v>87.1966081132081</v>
      </c>
      <c r="AN7142">
        <v>1.00000005118607</v>
      </c>
    </row>
    <row r="7143" spans="1:40" x14ac:dyDescent="0.25">
      <c r="A7143" t="str">
        <f>"20190312161200066"</f>
        <v>20190312161200066</v>
      </c>
      <c r="B7143" t="str">
        <f>"1552378320054509"</f>
        <v>1552378320054509</v>
      </c>
      <c r="C7143" t="s">
        <v>40</v>
      </c>
      <c r="D7143">
        <v>5.7043400000000002</v>
      </c>
      <c r="E7143">
        <v>0.54098359999999901</v>
      </c>
      <c r="F7143" t="s">
        <v>41</v>
      </c>
      <c r="G7143">
        <v>-182.7621</v>
      </c>
      <c r="H7143" s="1">
        <v>-3.393046E-6</v>
      </c>
      <c r="I7143">
        <v>103.95959999999999</v>
      </c>
      <c r="J7143">
        <v>-187.53569999999999</v>
      </c>
      <c r="K7143">
        <v>1.110625</v>
      </c>
      <c r="L7143">
        <v>76.643919999999994</v>
      </c>
      <c r="M7143">
        <v>1.381605E-2</v>
      </c>
      <c r="N7143">
        <v>0</v>
      </c>
      <c r="O7143">
        <v>0.99971739999999998</v>
      </c>
      <c r="P7143">
        <v>6.3336069999999994E-2</v>
      </c>
      <c r="Q7143">
        <v>-3.122165E-2</v>
      </c>
      <c r="R7143">
        <v>0.99750380000000005</v>
      </c>
      <c r="S7143">
        <v>0.51246639999999999</v>
      </c>
      <c r="T7143">
        <v>-0.11908879999999999</v>
      </c>
      <c r="U7143">
        <v>2.9714360000000002</v>
      </c>
      <c r="V7143">
        <v>4.9547969999999997E-2</v>
      </c>
      <c r="W7143">
        <v>-1.1893849999999999E-2</v>
      </c>
      <c r="X7143">
        <v>0.9987009</v>
      </c>
      <c r="Y7143">
        <v>0.15618879999999999</v>
      </c>
      <c r="Z7143">
        <v>-3.9503129999999997E-2</v>
      </c>
      <c r="AA7143">
        <v>0.98693699999999995</v>
      </c>
      <c r="AB7143">
        <v>40</v>
      </c>
      <c r="AC7143">
        <v>4.7735999999999796</v>
      </c>
      <c r="AD7143">
        <v>-1.1106283930459999</v>
      </c>
      <c r="AE7143">
        <v>27.31568</v>
      </c>
      <c r="AF7143">
        <v>4.3886386746347101</v>
      </c>
      <c r="AG7143">
        <v>-1.1106283930459999</v>
      </c>
      <c r="AH7143">
        <v>27.335186373343401</v>
      </c>
      <c r="AI7143">
        <v>92.297260725038598</v>
      </c>
      <c r="AJ7143">
        <v>80.879051728652797</v>
      </c>
      <c r="AK7143">
        <v>27.707509070816201</v>
      </c>
      <c r="AL7143">
        <v>90.6814834914626</v>
      </c>
      <c r="AM7143">
        <v>87.159746435368803</v>
      </c>
      <c r="AN7143">
        <v>0.99999997632987603</v>
      </c>
    </row>
    <row r="7144" spans="1:40" x14ac:dyDescent="0.25">
      <c r="A7144" t="str">
        <f>"20190312161200088"</f>
        <v>20190312161200088</v>
      </c>
      <c r="B7144" t="str">
        <f>"1552378320084764"</f>
        <v>1552378320084764</v>
      </c>
      <c r="C7144" t="s">
        <v>40</v>
      </c>
      <c r="D7144">
        <v>5.8050449999999998</v>
      </c>
      <c r="E7144">
        <v>0.54130859999999903</v>
      </c>
      <c r="F7144" t="s">
        <v>41</v>
      </c>
      <c r="G7144">
        <v>-182.79249999999999</v>
      </c>
      <c r="H7144" s="1">
        <v>-3.392942E-6</v>
      </c>
      <c r="I7144">
        <v>103.983</v>
      </c>
      <c r="J7144">
        <v>-187.53030000000001</v>
      </c>
      <c r="K7144">
        <v>1.1106750000000001</v>
      </c>
      <c r="L7144">
        <v>77.045649999999995</v>
      </c>
      <c r="M7144">
        <v>1.374802E-2</v>
      </c>
      <c r="N7144">
        <v>0</v>
      </c>
      <c r="O7144">
        <v>0.99970899999999996</v>
      </c>
      <c r="P7144">
        <v>6.3875929999999997E-2</v>
      </c>
      <c r="Q7144">
        <v>-3.1641080000000002E-2</v>
      </c>
      <c r="R7144">
        <v>0.99745609999999996</v>
      </c>
      <c r="S7144">
        <v>0.51545719999999995</v>
      </c>
      <c r="T7144">
        <v>-0.1206946</v>
      </c>
      <c r="U7144">
        <v>2.9710079999999999</v>
      </c>
      <c r="V7144">
        <v>5.0156069999999997E-2</v>
      </c>
      <c r="W7144">
        <v>-1.183941E-2</v>
      </c>
      <c r="X7144">
        <v>0.99867119999999998</v>
      </c>
      <c r="Y7144">
        <v>0.15724060000000001</v>
      </c>
      <c r="Z7144">
        <v>-4.0033909999999999E-2</v>
      </c>
      <c r="AA7144">
        <v>0.98674859999999998</v>
      </c>
      <c r="AB7144">
        <v>40</v>
      </c>
      <c r="AC7144">
        <v>4.7378000000000204</v>
      </c>
      <c r="AD7144">
        <v>-1.1106783929420001</v>
      </c>
      <c r="AE7144">
        <v>26.937349999999899</v>
      </c>
      <c r="AF7144">
        <v>4.3597545736966303</v>
      </c>
      <c r="AG7144">
        <v>-1.1106783929420001</v>
      </c>
      <c r="AH7144">
        <v>26.955500188419101</v>
      </c>
      <c r="AI7144">
        <v>92.3292536536337</v>
      </c>
      <c r="AJ7144">
        <v>80.812601427892105</v>
      </c>
      <c r="AK7144">
        <v>27.328374573751798</v>
      </c>
      <c r="AL7144">
        <v>90.678364084072001</v>
      </c>
      <c r="AM7144">
        <v>87.124860903476403</v>
      </c>
      <c r="AN7144">
        <v>0.99999998434821602</v>
      </c>
    </row>
    <row r="7145" spans="1:40" x14ac:dyDescent="0.25">
      <c r="A7145" t="str">
        <f>"20190312161200133"</f>
        <v>20190312161200133</v>
      </c>
      <c r="B7145" t="str">
        <f>"1552378320124780"</f>
        <v>1552378320124780</v>
      </c>
      <c r="C7145" t="s">
        <v>40</v>
      </c>
      <c r="D7145">
        <v>5.7657480000000003</v>
      </c>
      <c r="E7145">
        <v>0.54162840000000001</v>
      </c>
      <c r="F7145" t="s">
        <v>41</v>
      </c>
      <c r="G7145">
        <v>-182.8023</v>
      </c>
      <c r="H7145" s="1">
        <v>-3.4205000000000001E-6</v>
      </c>
      <c r="I7145">
        <v>104.07170000000001</v>
      </c>
      <c r="J7145">
        <v>-187.5198</v>
      </c>
      <c r="K7145">
        <v>1.110751</v>
      </c>
      <c r="L7145">
        <v>77.818539999999999</v>
      </c>
      <c r="M7145">
        <v>1.363938E-2</v>
      </c>
      <c r="N7145">
        <v>0</v>
      </c>
      <c r="O7145">
        <v>0.99969319999999895</v>
      </c>
      <c r="P7145">
        <v>6.4840720000000004E-2</v>
      </c>
      <c r="Q7145">
        <v>-3.2167729999999999E-2</v>
      </c>
      <c r="R7145">
        <v>0.99737699999999996</v>
      </c>
      <c r="S7145">
        <v>0.51966859999999904</v>
      </c>
      <c r="T7145">
        <v>-0.1220784</v>
      </c>
      <c r="U7145">
        <v>2.97052</v>
      </c>
      <c r="V7145">
        <v>5.1229619999999997E-2</v>
      </c>
      <c r="W7145">
        <v>-1.151427E-2</v>
      </c>
      <c r="X7145">
        <v>0.99862050000000002</v>
      </c>
      <c r="Y7145">
        <v>0.15872939999999999</v>
      </c>
      <c r="Z7145">
        <v>-4.048906E-2</v>
      </c>
      <c r="AA7145">
        <v>0.98649160000000002</v>
      </c>
      <c r="AB7145">
        <v>39</v>
      </c>
      <c r="AC7145">
        <v>4.7175000000000002</v>
      </c>
      <c r="AD7145">
        <v>-1.1107544205</v>
      </c>
      <c r="AE7145">
        <v>26.253160000000001</v>
      </c>
      <c r="AF7145">
        <v>4.3513619533082002</v>
      </c>
      <c r="AG7145">
        <v>-1.1107544205</v>
      </c>
      <c r="AH7145">
        <v>26.269520708290798</v>
      </c>
      <c r="AI7145">
        <v>92.388686138091202</v>
      </c>
      <c r="AJ7145">
        <v>80.594754407463697</v>
      </c>
      <c r="AK7145">
        <v>26.6506255925574</v>
      </c>
      <c r="AL7145">
        <v>90.659733668174894</v>
      </c>
      <c r="AM7145">
        <v>87.063278643071001</v>
      </c>
      <c r="AN7145">
        <v>0.99999997769961302</v>
      </c>
    </row>
    <row r="7146" spans="1:40" x14ac:dyDescent="0.25">
      <c r="A7146" t="str">
        <f>"20190312161200156"</f>
        <v>20190312161200156</v>
      </c>
      <c r="B7146" t="str">
        <f>"1552378320144301"</f>
        <v>1552378320144301</v>
      </c>
      <c r="C7146" t="s">
        <v>40</v>
      </c>
      <c r="D7146">
        <v>5.7701989999999999</v>
      </c>
      <c r="E7146">
        <v>0.54174860000000002</v>
      </c>
      <c r="F7146" t="s">
        <v>41</v>
      </c>
      <c r="G7146">
        <v>-182.77699999999999</v>
      </c>
      <c r="H7146" s="1">
        <v>-3.6197860000000001E-6</v>
      </c>
      <c r="I7146">
        <v>104.6375</v>
      </c>
      <c r="J7146">
        <v>-187.5145</v>
      </c>
      <c r="K7146">
        <v>1.110776</v>
      </c>
      <c r="L7146">
        <v>78.206209999999999</v>
      </c>
      <c r="M7146">
        <v>1.360193E-2</v>
      </c>
      <c r="N7146">
        <v>0</v>
      </c>
      <c r="O7146">
        <v>0.99968579999999996</v>
      </c>
      <c r="P7146">
        <v>6.5293359999999995E-2</v>
      </c>
      <c r="Q7146">
        <v>-3.1608890000000001E-2</v>
      </c>
      <c r="R7146">
        <v>0.99736539999999996</v>
      </c>
      <c r="S7146">
        <v>0.52519229999999995</v>
      </c>
      <c r="T7146">
        <v>-0.1229991</v>
      </c>
      <c r="U7146">
        <v>2.9697879999999999</v>
      </c>
      <c r="V7146">
        <v>5.1719279999999999E-2</v>
      </c>
      <c r="W7146">
        <v>-1.057834E-2</v>
      </c>
      <c r="X7146">
        <v>0.99860559999999998</v>
      </c>
      <c r="Y7146">
        <v>0.1605849</v>
      </c>
      <c r="Z7146">
        <v>-4.0791139999999997E-2</v>
      </c>
      <c r="AA7146">
        <v>0.98617880000000002</v>
      </c>
      <c r="AB7146">
        <v>39</v>
      </c>
      <c r="AC7146">
        <v>4.7374999999999803</v>
      </c>
      <c r="AD7146">
        <v>-1.110779619786</v>
      </c>
      <c r="AE7146">
        <v>26.431290000000001</v>
      </c>
      <c r="AF7146">
        <v>4.3699875972228801</v>
      </c>
      <c r="AG7146">
        <v>-1.110779619786</v>
      </c>
      <c r="AH7146">
        <v>26.4480408036444</v>
      </c>
      <c r="AI7146">
        <v>92.372793069223505</v>
      </c>
      <c r="AJ7146">
        <v>80.617833394336401</v>
      </c>
      <c r="AK7146">
        <v>26.829638188295601</v>
      </c>
      <c r="AL7146">
        <v>90.606105561960305</v>
      </c>
      <c r="AM7146">
        <v>87.035214725811997</v>
      </c>
      <c r="AN7146">
        <v>0.99999996477611597</v>
      </c>
    </row>
    <row r="7147" spans="1:40" x14ac:dyDescent="0.25">
      <c r="A7147" t="str">
        <f>"20190312161200200"</f>
        <v>20190312161200200</v>
      </c>
      <c r="B7147" t="str">
        <f>"1552378320194077"</f>
        <v>1552378320194077</v>
      </c>
      <c r="C7147" t="s">
        <v>40</v>
      </c>
      <c r="D7147">
        <v>5.769876</v>
      </c>
      <c r="E7147">
        <v>0.54208089999999998</v>
      </c>
      <c r="F7147" t="s">
        <v>41</v>
      </c>
      <c r="G7147">
        <v>-182.67580000000001</v>
      </c>
      <c r="H7147" s="1">
        <v>-3.9240129999999998E-6</v>
      </c>
      <c r="I7147">
        <v>105.4524</v>
      </c>
      <c r="J7147">
        <v>-187.50409999999999</v>
      </c>
      <c r="K7147">
        <v>1.110795</v>
      </c>
      <c r="L7147">
        <v>78.975740000000002</v>
      </c>
      <c r="M7147">
        <v>1.35576E-2</v>
      </c>
      <c r="N7147">
        <v>0</v>
      </c>
      <c r="O7147">
        <v>0.99967260000000002</v>
      </c>
      <c r="P7147">
        <v>6.4741019999999996E-2</v>
      </c>
      <c r="Q7147">
        <v>-3.022967E-2</v>
      </c>
      <c r="R7147">
        <v>0.99744409999999994</v>
      </c>
      <c r="S7147">
        <v>0.52737429999999996</v>
      </c>
      <c r="T7147">
        <v>-0.1210644</v>
      </c>
      <c r="U7147">
        <v>2.9695740000000002</v>
      </c>
      <c r="V7147">
        <v>5.1209310000000001E-2</v>
      </c>
      <c r="W7147">
        <v>-8.5584540000000001E-3</v>
      </c>
      <c r="X7147">
        <v>0.99865130000000002</v>
      </c>
      <c r="Y7147">
        <v>0.16134770000000001</v>
      </c>
      <c r="Z7147">
        <v>-4.0148410000000002E-2</v>
      </c>
      <c r="AA7147">
        <v>0.98608059999999997</v>
      </c>
      <c r="AB7147">
        <v>39</v>
      </c>
      <c r="AC7147">
        <v>4.8282999999999801</v>
      </c>
      <c r="AD7147">
        <v>-1.1107989240130001</v>
      </c>
      <c r="AE7147">
        <v>26.476659999999899</v>
      </c>
      <c r="AF7147">
        <v>4.4612119378988799</v>
      </c>
      <c r="AG7147">
        <v>-1.1107989240130001</v>
      </c>
      <c r="AH7147">
        <v>26.494568057191501</v>
      </c>
      <c r="AI7147">
        <v>92.367461713275901</v>
      </c>
      <c r="AJ7147">
        <v>80.442071838119901</v>
      </c>
      <c r="AK7147">
        <v>26.8904894477879</v>
      </c>
      <c r="AL7147">
        <v>90.4903692652356</v>
      </c>
      <c r="AM7147">
        <v>87.064531249383805</v>
      </c>
      <c r="AN7147">
        <v>1.00000002977861</v>
      </c>
    </row>
    <row r="7148" spans="1:40" x14ac:dyDescent="0.25">
      <c r="A7148" t="str">
        <f>"20190312161200220"</f>
        <v>20190312161200220</v>
      </c>
      <c r="B7148" t="str">
        <f>"1552378320214572"</f>
        <v>1552378320214572</v>
      </c>
      <c r="C7148" t="s">
        <v>40</v>
      </c>
      <c r="D7148">
        <v>5.8974359999999999</v>
      </c>
      <c r="E7148">
        <v>0.54236169999999995</v>
      </c>
      <c r="F7148" t="s">
        <v>41</v>
      </c>
      <c r="G7148">
        <v>-182.43100000000001</v>
      </c>
      <c r="H7148" s="1">
        <v>-4.7114749999999996E-6</v>
      </c>
      <c r="I7148">
        <v>107.48569999999999</v>
      </c>
      <c r="J7148">
        <v>-187.49950000000001</v>
      </c>
      <c r="K7148">
        <v>1.1108129999999901</v>
      </c>
      <c r="L7148">
        <v>79.318790000000007</v>
      </c>
      <c r="M7148">
        <v>1.354844E-2</v>
      </c>
      <c r="N7148">
        <v>0</v>
      </c>
      <c r="O7148">
        <v>0.99966719999999998</v>
      </c>
      <c r="P7148">
        <v>6.4899319999999996E-2</v>
      </c>
      <c r="Q7148">
        <v>-3.119452E-2</v>
      </c>
      <c r="R7148">
        <v>0.99740410000000002</v>
      </c>
      <c r="S7148">
        <v>0.52847290000000002</v>
      </c>
      <c r="T7148">
        <v>-0.115712</v>
      </c>
      <c r="U7148">
        <v>2.9698790000000002</v>
      </c>
      <c r="V7148">
        <v>5.1377060000000002E-2</v>
      </c>
      <c r="W7148">
        <v>-9.2724320000000006E-3</v>
      </c>
      <c r="X7148">
        <v>0.99863630000000003</v>
      </c>
      <c r="Y7148">
        <v>0.16170499999999999</v>
      </c>
      <c r="Z7148">
        <v>-3.8369880000000002E-2</v>
      </c>
      <c r="AA7148">
        <v>0.98609290000000005</v>
      </c>
      <c r="AB7148">
        <v>38</v>
      </c>
      <c r="AC7148">
        <v>5.0685000000000198</v>
      </c>
      <c r="AD7148">
        <v>-1.11081771147499</v>
      </c>
      <c r="AE7148">
        <v>28.166909999999898</v>
      </c>
      <c r="AF7148">
        <v>4.6792755853104904</v>
      </c>
      <c r="AG7148">
        <v>-1.11081771147499</v>
      </c>
      <c r="AH7148">
        <v>28.1905414048769</v>
      </c>
      <c r="AI7148">
        <v>92.226083966360704</v>
      </c>
      <c r="AJ7148">
        <v>80.575547397571299</v>
      </c>
      <c r="AK7148">
        <v>28.597834895171498</v>
      </c>
      <c r="AL7148">
        <v>90.531278822038502</v>
      </c>
      <c r="AM7148">
        <v>87.054888066776698</v>
      </c>
      <c r="AN7148">
        <v>1.0000000199835599</v>
      </c>
    </row>
    <row r="7149" spans="1:40" x14ac:dyDescent="0.25">
      <c r="A7149" t="str">
        <f>"20190312161200243"</f>
        <v>20190312161200243</v>
      </c>
      <c r="B7149" t="str">
        <f>"1552378320234093"</f>
        <v>1552378320234093</v>
      </c>
      <c r="C7149" t="s">
        <v>40</v>
      </c>
      <c r="D7149">
        <v>5.8551979999999997</v>
      </c>
      <c r="E7149">
        <v>0.54252119999999904</v>
      </c>
      <c r="F7149" t="s">
        <v>41</v>
      </c>
      <c r="G7149">
        <v>-182.59039999999999</v>
      </c>
      <c r="H7149" s="1">
        <v>-4.391039E-6</v>
      </c>
      <c r="I7149">
        <v>106.758</v>
      </c>
      <c r="J7149">
        <v>-187.49420000000001</v>
      </c>
      <c r="K7149">
        <v>1.1108359999999999</v>
      </c>
      <c r="L7149">
        <v>79.713200000000001</v>
      </c>
      <c r="M7149">
        <v>1.3543060000000001E-2</v>
      </c>
      <c r="N7149">
        <v>0</v>
      </c>
      <c r="O7149">
        <v>0.99966129999999997</v>
      </c>
      <c r="P7149">
        <v>6.5368490000000001E-2</v>
      </c>
      <c r="Q7149">
        <v>-3.1475780000000002E-2</v>
      </c>
      <c r="R7149">
        <v>0.99736460000000005</v>
      </c>
      <c r="S7149">
        <v>0.53126530000000005</v>
      </c>
      <c r="T7149">
        <v>-0.12021320000000001</v>
      </c>
      <c r="U7149">
        <v>2.9694820000000002</v>
      </c>
      <c r="V7149">
        <v>5.1851849999999998E-2</v>
      </c>
      <c r="W7149">
        <v>-9.2841810000000007E-3</v>
      </c>
      <c r="X7149">
        <v>0.99861160000000004</v>
      </c>
      <c r="Y7149">
        <v>0.1626213</v>
      </c>
      <c r="Z7149">
        <v>-3.9859039999999998E-2</v>
      </c>
      <c r="AA7149">
        <v>0.98588310000000001</v>
      </c>
      <c r="AB7149">
        <v>38</v>
      </c>
      <c r="AC7149">
        <v>4.9038000000000102</v>
      </c>
      <c r="AD7149">
        <v>-1.1108403910389999</v>
      </c>
      <c r="AE7149">
        <v>27.044799999999899</v>
      </c>
      <c r="AF7149">
        <v>4.5295916754782297</v>
      </c>
      <c r="AG7149">
        <v>-1.1108403910389999</v>
      </c>
      <c r="AH7149">
        <v>27.064540665741301</v>
      </c>
      <c r="AI7149">
        <v>92.318130355288005</v>
      </c>
      <c r="AJ7149">
        <v>80.498886258978501</v>
      </c>
      <c r="AK7149">
        <v>27.463439853166498</v>
      </c>
      <c r="AL7149">
        <v>90.531952046232206</v>
      </c>
      <c r="AM7149">
        <v>87.027646645415004</v>
      </c>
      <c r="AN7149">
        <v>0.99999996900991095</v>
      </c>
    </row>
    <row r="7150" spans="1:40" x14ac:dyDescent="0.25">
      <c r="A7150" t="str">
        <f>"20190312161200266"</f>
        <v>20190312161200266</v>
      </c>
      <c r="B7150" t="str">
        <f>"1552378320254591"</f>
        <v>1552378320254591</v>
      </c>
      <c r="C7150" t="s">
        <v>40</v>
      </c>
      <c r="D7150">
        <v>5.7970189999999997</v>
      </c>
      <c r="E7150">
        <v>0.54218710000000003</v>
      </c>
      <c r="F7150" t="s">
        <v>41</v>
      </c>
      <c r="G7150">
        <v>-182.5514</v>
      </c>
      <c r="H7150" s="1">
        <v>-4.5690900000000002E-6</v>
      </c>
      <c r="I7150">
        <v>107.20350000000001</v>
      </c>
      <c r="J7150">
        <v>-187.48910000000001</v>
      </c>
      <c r="K7150">
        <v>1.110857</v>
      </c>
      <c r="L7150">
        <v>80.086579999999998</v>
      </c>
      <c r="M7150">
        <v>1.354225E-2</v>
      </c>
      <c r="N7150">
        <v>0</v>
      </c>
      <c r="O7150">
        <v>0.99965610000000005</v>
      </c>
      <c r="P7150">
        <v>6.6053979999999998E-2</v>
      </c>
      <c r="Q7150">
        <v>-3.104318E-2</v>
      </c>
      <c r="R7150">
        <v>0.99733300000000003</v>
      </c>
      <c r="S7150">
        <v>0.53385930000000004</v>
      </c>
      <c r="T7150">
        <v>-0.1199784</v>
      </c>
      <c r="U7150">
        <v>2.969147</v>
      </c>
      <c r="V7150">
        <v>5.2538319999999999E-2</v>
      </c>
      <c r="W7150">
        <v>-8.6222339999999995E-3</v>
      </c>
      <c r="X7150">
        <v>0.99858170000000002</v>
      </c>
      <c r="Y7150">
        <v>0.16347629999999999</v>
      </c>
      <c r="Z7150">
        <v>-3.9779889999999998E-2</v>
      </c>
      <c r="AA7150">
        <v>0.98574490000000003</v>
      </c>
      <c r="AB7150">
        <v>38</v>
      </c>
      <c r="AC7150">
        <v>4.9377000000000004</v>
      </c>
      <c r="AD7150">
        <v>-1.1108615690899999</v>
      </c>
      <c r="AE7150">
        <v>27.11692</v>
      </c>
      <c r="AF7150">
        <v>4.5625192274750503</v>
      </c>
      <c r="AG7150">
        <v>-1.1108615690899999</v>
      </c>
      <c r="AH7150">
        <v>27.137236840643698</v>
      </c>
      <c r="AI7150">
        <v>92.311682997165406</v>
      </c>
      <c r="AJ7150">
        <v>80.456252635976995</v>
      </c>
      <c r="AK7150">
        <v>27.5405195751996</v>
      </c>
      <c r="AL7150">
        <v>90.494023732195103</v>
      </c>
      <c r="AM7150">
        <v>86.988277426412097</v>
      </c>
      <c r="AN7150">
        <v>1.00000001478123</v>
      </c>
    </row>
    <row r="7151" spans="1:40" x14ac:dyDescent="0.25">
      <c r="A7151" t="str">
        <f>"20190312161200286"</f>
        <v>20190312161200286</v>
      </c>
      <c r="B7151" t="str">
        <f>"1552378320274109"</f>
        <v>1552378320274109</v>
      </c>
      <c r="C7151" t="s">
        <v>40</v>
      </c>
      <c r="D7151">
        <v>5.8088930000000003</v>
      </c>
      <c r="E7151">
        <v>0.54189290000000001</v>
      </c>
      <c r="F7151" t="s">
        <v>41</v>
      </c>
      <c r="G7151">
        <v>-182.40940000000001</v>
      </c>
      <c r="H7151" s="1">
        <v>-5.0934549999999998E-6</v>
      </c>
      <c r="I7151">
        <v>108.36709999999999</v>
      </c>
      <c r="J7151">
        <v>-187.48429999999999</v>
      </c>
      <c r="K7151">
        <v>1.11087</v>
      </c>
      <c r="L7151">
        <v>80.442049999999995</v>
      </c>
      <c r="M7151">
        <v>1.354288E-2</v>
      </c>
      <c r="N7151">
        <v>0</v>
      </c>
      <c r="O7151">
        <v>0.99965170000000003</v>
      </c>
      <c r="P7151">
        <v>6.6650570000000006E-2</v>
      </c>
      <c r="Q7151">
        <v>-3.0662709999999999E-2</v>
      </c>
      <c r="R7151">
        <v>0.99730510000000006</v>
      </c>
      <c r="S7151">
        <v>0.5333099</v>
      </c>
      <c r="T7151">
        <v>-0.1166259</v>
      </c>
      <c r="U7151">
        <v>2.9690859999999999</v>
      </c>
      <c r="V7151">
        <v>5.3134489999999999E-2</v>
      </c>
      <c r="W7151">
        <v>-8.0470719999999902E-3</v>
      </c>
      <c r="X7151">
        <v>0.99855490000000002</v>
      </c>
      <c r="Y7151">
        <v>0.16331019999999999</v>
      </c>
      <c r="Z7151">
        <v>-3.8671990000000003E-2</v>
      </c>
      <c r="AA7151">
        <v>0.98581649999999998</v>
      </c>
      <c r="AB7151">
        <v>38</v>
      </c>
      <c r="AC7151">
        <v>5.07489999999998</v>
      </c>
      <c r="AD7151">
        <v>-1.110875093455</v>
      </c>
      <c r="AE7151">
        <v>27.925049999999999</v>
      </c>
      <c r="AF7151">
        <v>4.6889686512444504</v>
      </c>
      <c r="AG7151">
        <v>-1.110875093455</v>
      </c>
      <c r="AH7151">
        <v>27.9484198711177</v>
      </c>
      <c r="AI7151">
        <v>92.244815174111096</v>
      </c>
      <c r="AJ7151">
        <v>80.476056903819796</v>
      </c>
      <c r="AK7151">
        <v>28.360794131651101</v>
      </c>
      <c r="AL7151">
        <v>90.461068258207604</v>
      </c>
      <c r="AM7151">
        <v>86.954084792863696</v>
      </c>
      <c r="AN7151">
        <v>0.99999995885466997</v>
      </c>
    </row>
    <row r="7152" spans="1:40" x14ac:dyDescent="0.25">
      <c r="A7152" t="str">
        <f>"20190312161200310"</f>
        <v>20190312161200310</v>
      </c>
      <c r="B7152" t="str">
        <f>"1552378320304365"</f>
        <v>1552378320304365</v>
      </c>
      <c r="C7152" t="s">
        <v>40</v>
      </c>
      <c r="D7152">
        <v>5.800446</v>
      </c>
      <c r="E7152">
        <v>0.5414698</v>
      </c>
      <c r="F7152" t="s">
        <v>41</v>
      </c>
      <c r="G7152">
        <v>-182.33949999999999</v>
      </c>
      <c r="H7152" s="1">
        <v>-5.4247160000000004E-6</v>
      </c>
      <c r="I7152">
        <v>109.1104</v>
      </c>
      <c r="J7152">
        <v>-187.47929999999999</v>
      </c>
      <c r="K7152">
        <v>1.1108849999999999</v>
      </c>
      <c r="L7152">
        <v>80.814149999999998</v>
      </c>
      <c r="M7152">
        <v>1.354413E-2</v>
      </c>
      <c r="N7152">
        <v>0</v>
      </c>
      <c r="O7152">
        <v>0.99964759999999997</v>
      </c>
      <c r="P7152">
        <v>6.7286949999999998E-2</v>
      </c>
      <c r="Q7152">
        <v>-2.9901420000000001E-2</v>
      </c>
      <c r="R7152">
        <v>0.99728550000000005</v>
      </c>
      <c r="S7152">
        <v>0.53280640000000001</v>
      </c>
      <c r="T7152">
        <v>-0.1150448</v>
      </c>
      <c r="U7152">
        <v>2.9689640000000002</v>
      </c>
      <c r="V7152">
        <v>5.3769730000000002E-2</v>
      </c>
      <c r="W7152">
        <v>-7.1067250000000004E-3</v>
      </c>
      <c r="X7152">
        <v>0.99852810000000003</v>
      </c>
      <c r="Y7152">
        <v>0.16315760000000001</v>
      </c>
      <c r="Z7152">
        <v>-3.8151089999999999E-2</v>
      </c>
      <c r="AA7152">
        <v>0.98586209999999996</v>
      </c>
      <c r="AB7152">
        <v>37</v>
      </c>
      <c r="AC7152">
        <v>5.1398000000000001</v>
      </c>
      <c r="AD7152">
        <v>-1.1108904247159901</v>
      </c>
      <c r="AE7152">
        <v>28.296250000000001</v>
      </c>
      <c r="AF7152">
        <v>4.7488946473654297</v>
      </c>
      <c r="AG7152">
        <v>-1.1108904247159901</v>
      </c>
      <c r="AH7152">
        <v>28.3210286827847</v>
      </c>
      <c r="AI7152">
        <v>92.215374159898801</v>
      </c>
      <c r="AJ7152">
        <v>80.481148226161693</v>
      </c>
      <c r="AK7152">
        <v>28.737897340595602</v>
      </c>
      <c r="AL7152">
        <v>90.407188764877404</v>
      </c>
      <c r="AM7152">
        <v>86.917657126853697</v>
      </c>
      <c r="AN7152">
        <v>1.00000002794705</v>
      </c>
    </row>
    <row r="7153" spans="1:40" x14ac:dyDescent="0.25">
      <c r="A7153" t="str">
        <f>"20190312161200331"</f>
        <v>20190312161200331</v>
      </c>
      <c r="B7153" t="str">
        <f>"1552378320324860"</f>
        <v>1552378320324860</v>
      </c>
      <c r="C7153" t="s">
        <v>40</v>
      </c>
      <c r="D7153">
        <v>5.7201230000000001</v>
      </c>
      <c r="E7153">
        <v>0.54119719999999905</v>
      </c>
      <c r="F7153" t="s">
        <v>41</v>
      </c>
      <c r="G7153">
        <v>-182.1429</v>
      </c>
      <c r="H7153" s="1">
        <v>-2.4249880000000002E-6</v>
      </c>
      <c r="I7153">
        <v>110.6307</v>
      </c>
      <c r="J7153">
        <v>-187.4743</v>
      </c>
      <c r="K7153">
        <v>1.1109039999999999</v>
      </c>
      <c r="L7153">
        <v>81.180149999999998</v>
      </c>
      <c r="M7153">
        <v>1.354525E-2</v>
      </c>
      <c r="N7153">
        <v>0</v>
      </c>
      <c r="O7153">
        <v>0.99964399999999998</v>
      </c>
      <c r="P7153">
        <v>6.7561759999999998E-2</v>
      </c>
      <c r="Q7153">
        <v>-3.030832E-2</v>
      </c>
      <c r="R7153">
        <v>0.99725459999999999</v>
      </c>
      <c r="S7153">
        <v>0.53137209999999901</v>
      </c>
      <c r="T7153">
        <v>-0.1106168</v>
      </c>
      <c r="U7153">
        <v>2.9689939999999999</v>
      </c>
      <c r="V7153">
        <v>5.4043710000000002E-2</v>
      </c>
      <c r="W7153">
        <v>-7.3600089999999998E-3</v>
      </c>
      <c r="X7153">
        <v>0.99851140000000005</v>
      </c>
      <c r="Y7153">
        <v>0.16270279999999901</v>
      </c>
      <c r="Z7153">
        <v>-3.6687280000000003E-2</v>
      </c>
      <c r="AA7153">
        <v>0.9859928</v>
      </c>
      <c r="AB7153">
        <v>37</v>
      </c>
      <c r="AC7153">
        <v>5.3314000000000004</v>
      </c>
      <c r="AD7153">
        <v>-1.1109064249879901</v>
      </c>
      <c r="AE7153">
        <v>29.45055</v>
      </c>
      <c r="AF7153">
        <v>4.9251046741577698</v>
      </c>
      <c r="AG7153">
        <v>-1.1109064249879901</v>
      </c>
      <c r="AH7153">
        <v>29.479466252095602</v>
      </c>
      <c r="AI7153">
        <v>92.128642062801603</v>
      </c>
      <c r="AJ7153">
        <v>80.515250797890801</v>
      </c>
      <c r="AK7153">
        <v>29.9086893668869</v>
      </c>
      <c r="AL7153">
        <v>90.421701279522694</v>
      </c>
      <c r="AM7153">
        <v>86.901930062318897</v>
      </c>
      <c r="AN7153">
        <v>0.999999954126501</v>
      </c>
    </row>
    <row r="7154" spans="1:40" x14ac:dyDescent="0.25">
      <c r="A7154" t="str">
        <f>"20190312161200357"</f>
        <v>20190312161200357</v>
      </c>
      <c r="B7154" t="str">
        <f>"1552378320344381"</f>
        <v>1552378320344381</v>
      </c>
      <c r="C7154" t="s">
        <v>40</v>
      </c>
      <c r="D7154">
        <v>5.8123480000000001</v>
      </c>
      <c r="E7154">
        <v>0.54093859999999905</v>
      </c>
      <c r="F7154" t="s">
        <v>41</v>
      </c>
      <c r="G7154">
        <v>-182.20500000000001</v>
      </c>
      <c r="H7154" s="1">
        <v>-2.4311630000000002E-6</v>
      </c>
      <c r="I7154">
        <v>110.6974</v>
      </c>
      <c r="J7154">
        <v>-187.46889999999999</v>
      </c>
      <c r="K7154">
        <v>1.1109150000000001</v>
      </c>
      <c r="L7154">
        <v>81.58408</v>
      </c>
      <c r="M7154">
        <v>1.3546320000000001E-2</v>
      </c>
      <c r="N7154">
        <v>0</v>
      </c>
      <c r="O7154">
        <v>0.99964059999999999</v>
      </c>
      <c r="P7154">
        <v>6.7468550000000002E-2</v>
      </c>
      <c r="Q7154">
        <v>-3.0724339999999999E-2</v>
      </c>
      <c r="R7154">
        <v>0.99724820000000003</v>
      </c>
      <c r="S7154">
        <v>0.53001399999999999</v>
      </c>
      <c r="T7154">
        <v>-0.1117394</v>
      </c>
      <c r="U7154">
        <v>2.9689640000000002</v>
      </c>
      <c r="V7154">
        <v>5.3949450000000003E-2</v>
      </c>
      <c r="W7154">
        <v>-7.6293790000000004E-3</v>
      </c>
      <c r="X7154">
        <v>0.99851449999999997</v>
      </c>
      <c r="Y7154">
        <v>0.16226399999999999</v>
      </c>
      <c r="Z7154">
        <v>-3.7062270000000001E-2</v>
      </c>
      <c r="AA7154">
        <v>0.98605109999999996</v>
      </c>
      <c r="AB7154">
        <v>37</v>
      </c>
      <c r="AC7154">
        <v>5.2638999999999703</v>
      </c>
      <c r="AD7154">
        <v>-1.1109174311629999</v>
      </c>
      <c r="AE7154">
        <v>29.113320000000002</v>
      </c>
      <c r="AF7154">
        <v>4.8620774494806804</v>
      </c>
      <c r="AG7154">
        <v>-1.1109174311629999</v>
      </c>
      <c r="AH7154">
        <v>29.1408850744204</v>
      </c>
      <c r="AI7154">
        <v>92.153449901882198</v>
      </c>
      <c r="AJ7154">
        <v>80.527609318505696</v>
      </c>
      <c r="AK7154">
        <v>29.564592295247198</v>
      </c>
      <c r="AL7154">
        <v>90.437135467165803</v>
      </c>
      <c r="AM7154">
        <v>86.9073326260242</v>
      </c>
      <c r="AN7154">
        <v>0.999999978644738</v>
      </c>
    </row>
    <row r="7155" spans="1:40" x14ac:dyDescent="0.25">
      <c r="A7155" t="str">
        <f>"20190312161200400"</f>
        <v>20190312161200400</v>
      </c>
      <c r="B7155" t="str">
        <f>"1552378320394157"</f>
        <v>1552378320394157</v>
      </c>
      <c r="C7155" t="s">
        <v>40</v>
      </c>
      <c r="D7155">
        <v>5.8681419999999997</v>
      </c>
      <c r="E7155">
        <v>0.53247730000000004</v>
      </c>
      <c r="F7155" t="s">
        <v>41</v>
      </c>
      <c r="G7155">
        <v>-182.25749999999999</v>
      </c>
      <c r="H7155" s="1">
        <v>-2.4895000000000001E-6</v>
      </c>
      <c r="I7155">
        <v>110.90989999999999</v>
      </c>
      <c r="J7155">
        <v>-187.45939999999999</v>
      </c>
      <c r="K7155">
        <v>1.110951</v>
      </c>
      <c r="L7155">
        <v>82.281679999999994</v>
      </c>
      <c r="M7155">
        <v>1.354789E-2</v>
      </c>
      <c r="N7155">
        <v>0</v>
      </c>
      <c r="O7155">
        <v>0.99963539999999995</v>
      </c>
      <c r="P7155">
        <v>6.7718710000000001E-2</v>
      </c>
      <c r="Q7155">
        <v>-3.1332209999999999E-2</v>
      </c>
      <c r="R7155">
        <v>0.9972124</v>
      </c>
      <c r="S7155">
        <v>0.52763369999999998</v>
      </c>
      <c r="T7155">
        <v>-0.1124758</v>
      </c>
      <c r="U7155">
        <v>2.9691160000000001</v>
      </c>
      <c r="V7155">
        <v>5.4198389999999999E-2</v>
      </c>
      <c r="W7155">
        <v>-8.0150859999999994E-3</v>
      </c>
      <c r="X7155">
        <v>0.998498</v>
      </c>
      <c r="Y7155">
        <v>0.16148570000000001</v>
      </c>
      <c r="Z7155">
        <v>-3.730928E-2</v>
      </c>
      <c r="AA7155">
        <v>0.98616959999999998</v>
      </c>
      <c r="AB7155">
        <v>37</v>
      </c>
      <c r="AC7155">
        <v>5.2018999999999904</v>
      </c>
      <c r="AD7155">
        <v>-1.1109534894999999</v>
      </c>
      <c r="AE7155">
        <v>28.628219999999899</v>
      </c>
      <c r="AF7155">
        <v>4.8064576984081402</v>
      </c>
      <c r="AG7155">
        <v>-1.1109534894999999</v>
      </c>
      <c r="AH7155">
        <v>28.6543131183908</v>
      </c>
      <c r="AI7155">
        <v>92.189735189653902</v>
      </c>
      <c r="AJ7155">
        <v>80.477885492442596</v>
      </c>
      <c r="AK7155">
        <v>29.075864794519902</v>
      </c>
      <c r="AL7155">
        <v>90.459235525804502</v>
      </c>
      <c r="AM7155">
        <v>86.893038724067594</v>
      </c>
      <c r="AN7155">
        <v>0.999999981543089</v>
      </c>
    </row>
    <row r="7156" spans="1:40" x14ac:dyDescent="0.25">
      <c r="A7156" t="str">
        <f>"20190312161200421"</f>
        <v>20190312161200421</v>
      </c>
      <c r="B7156" t="str">
        <f>"1552378320414653"</f>
        <v>1552378320414653</v>
      </c>
      <c r="C7156" t="s">
        <v>40</v>
      </c>
      <c r="D7156">
        <v>5.859483</v>
      </c>
      <c r="E7156">
        <v>0.53230059999999901</v>
      </c>
      <c r="F7156" t="s">
        <v>87</v>
      </c>
      <c r="G7156">
        <v>-181.41560000000001</v>
      </c>
      <c r="H7156" s="1">
        <v>-2.7361329999999998E-6</v>
      </c>
      <c r="I7156">
        <v>121.1893</v>
      </c>
      <c r="J7156">
        <v>-187.4545</v>
      </c>
      <c r="K7156">
        <v>1.1109709999999999</v>
      </c>
      <c r="L7156">
        <v>82.641419999999997</v>
      </c>
      <c r="M7156">
        <v>1.35485E-2</v>
      </c>
      <c r="N7156">
        <v>0</v>
      </c>
      <c r="O7156">
        <v>0.99963279999999999</v>
      </c>
      <c r="P7156">
        <v>6.7913070000000006E-2</v>
      </c>
      <c r="Q7156">
        <v>-3.1490150000000001E-2</v>
      </c>
      <c r="R7156">
        <v>0.99719420000000003</v>
      </c>
      <c r="S7156">
        <v>0.46202090000000001</v>
      </c>
      <c r="T7156">
        <v>-8.4928039999999996E-2</v>
      </c>
      <c r="U7156">
        <v>2.974335</v>
      </c>
      <c r="V7156">
        <v>5.4392330000000003E-2</v>
      </c>
      <c r="W7156">
        <v>-8.061683E-3</v>
      </c>
      <c r="X7156">
        <v>0.99848709999999996</v>
      </c>
      <c r="Y7156">
        <v>0.14002819999999999</v>
      </c>
      <c r="Z7156">
        <v>-2.8228329999999999E-2</v>
      </c>
      <c r="AA7156">
        <v>0.98974510000000004</v>
      </c>
      <c r="AB7156">
        <v>36</v>
      </c>
      <c r="AC7156">
        <v>6.0388999999999804</v>
      </c>
      <c r="AD7156">
        <v>-1.1109737361330001</v>
      </c>
      <c r="AE7156">
        <v>38.547879999999999</v>
      </c>
      <c r="AF7156">
        <v>5.5114672782620602</v>
      </c>
      <c r="AG7156">
        <v>-1.1109737361330001</v>
      </c>
      <c r="AH7156">
        <v>38.594890433618197</v>
      </c>
      <c r="AI7156">
        <v>91.632282878758403</v>
      </c>
      <c r="AJ7156">
        <v>81.872936124869597</v>
      </c>
      <c r="AK7156">
        <v>39.002257649842797</v>
      </c>
      <c r="AL7156">
        <v>90.461905413834103</v>
      </c>
      <c r="AM7156">
        <v>86.881908903119694</v>
      </c>
      <c r="AN7156">
        <v>1.0000000025810101</v>
      </c>
    </row>
    <row r="7157" spans="1:40" x14ac:dyDescent="0.25">
      <c r="A7157" t="str">
        <f>"20190312161200443"</f>
        <v>20190312161200443</v>
      </c>
      <c r="B7157" t="str">
        <f>"1552378320434174"</f>
        <v>1552378320434174</v>
      </c>
      <c r="C7157" t="s">
        <v>40</v>
      </c>
      <c r="D7157">
        <v>5.8683820000000004</v>
      </c>
      <c r="E7157">
        <v>0.532346599999999</v>
      </c>
      <c r="F7157" t="s">
        <v>87</v>
      </c>
      <c r="G7157">
        <v>-181.48249999999999</v>
      </c>
      <c r="H7157" s="1">
        <v>-2.7073119999999998E-6</v>
      </c>
      <c r="I7157">
        <v>121.15179999999999</v>
      </c>
      <c r="J7157">
        <v>-187.4496</v>
      </c>
      <c r="K7157">
        <v>1.110992</v>
      </c>
      <c r="L7157">
        <v>83.000730000000004</v>
      </c>
      <c r="M7157">
        <v>1.3548940000000001E-2</v>
      </c>
      <c r="N7157">
        <v>0</v>
      </c>
      <c r="O7157">
        <v>0.99963029999999997</v>
      </c>
      <c r="P7157">
        <v>6.789763E-2</v>
      </c>
      <c r="Q7157">
        <v>-3.0993730000000001E-2</v>
      </c>
      <c r="R7157">
        <v>0.99721070000000001</v>
      </c>
      <c r="S7157">
        <v>0.46124270000000001</v>
      </c>
      <c r="T7157">
        <v>-8.5804699999999998E-2</v>
      </c>
      <c r="U7157">
        <v>2.9743040000000001</v>
      </c>
      <c r="V7157">
        <v>5.4376199999999902E-2</v>
      </c>
      <c r="W7157">
        <v>-7.4604190000000003E-3</v>
      </c>
      <c r="X7157">
        <v>0.99849270000000001</v>
      </c>
      <c r="Y7157">
        <v>0.13977510000000001</v>
      </c>
      <c r="Z7157">
        <v>-2.852085E-2</v>
      </c>
      <c r="AA7157">
        <v>0.9897724</v>
      </c>
      <c r="AB7157">
        <v>36</v>
      </c>
      <c r="AC7157">
        <v>5.9671000000000101</v>
      </c>
      <c r="AD7157">
        <v>-1.1109947073119999</v>
      </c>
      <c r="AE7157">
        <v>38.151069999999898</v>
      </c>
      <c r="AF7157">
        <v>5.4449944810512996</v>
      </c>
      <c r="AG7157">
        <v>-1.1109947073119999</v>
      </c>
      <c r="AH7157">
        <v>38.196817969583002</v>
      </c>
      <c r="AI7157">
        <v>91.649373761887006</v>
      </c>
      <c r="AJ7157">
        <v>81.887088434380104</v>
      </c>
      <c r="AK7157">
        <v>38.598953057561197</v>
      </c>
      <c r="AL7157">
        <v>90.427454465789296</v>
      </c>
      <c r="AM7157">
        <v>86.882849194647804</v>
      </c>
      <c r="AN7157">
        <v>1.0000000504656901</v>
      </c>
    </row>
    <row r="7158" spans="1:40" x14ac:dyDescent="0.25">
      <c r="A7158" t="str">
        <f>"20190312161200467"</f>
        <v>20190312161200467</v>
      </c>
      <c r="B7158" t="str">
        <f>"1552378320454668"</f>
        <v>1552378320454668</v>
      </c>
      <c r="C7158" t="s">
        <v>40</v>
      </c>
      <c r="D7158">
        <v>5.94733</v>
      </c>
      <c r="E7158">
        <v>0.5326748</v>
      </c>
      <c r="F7158" t="s">
        <v>87</v>
      </c>
      <c r="G7158">
        <v>-180.90029999999999</v>
      </c>
      <c r="H7158" s="1">
        <v>-4.1549669999999998E-6</v>
      </c>
      <c r="I7158">
        <v>125.2047</v>
      </c>
      <c r="J7158">
        <v>-187.44460000000001</v>
      </c>
      <c r="K7158">
        <v>1.1110089999999999</v>
      </c>
      <c r="L7158">
        <v>83.373990000000006</v>
      </c>
      <c r="M7158">
        <v>1.354928E-2</v>
      </c>
      <c r="N7158">
        <v>0</v>
      </c>
      <c r="O7158">
        <v>0.99962779999999996</v>
      </c>
      <c r="P7158">
        <v>6.7897600000000002E-2</v>
      </c>
      <c r="Q7158">
        <v>-3.037979E-2</v>
      </c>
      <c r="R7158">
        <v>0.99722960000000005</v>
      </c>
      <c r="S7158">
        <v>0.46159359999999999</v>
      </c>
      <c r="T7158">
        <v>-7.8302499999999997E-2</v>
      </c>
      <c r="U7158">
        <v>2.9745180000000002</v>
      </c>
      <c r="V7158">
        <v>5.4375569999999998E-2</v>
      </c>
      <c r="W7158">
        <v>-6.7416780000000001E-3</v>
      </c>
      <c r="X7158">
        <v>0.99849779999999999</v>
      </c>
      <c r="Y7158">
        <v>0.1398885</v>
      </c>
      <c r="Z7158">
        <v>-2.6026669999999998E-2</v>
      </c>
      <c r="AA7158">
        <v>0.98982510000000001</v>
      </c>
      <c r="AB7158">
        <v>36</v>
      </c>
      <c r="AC7158">
        <v>6.5443000000000202</v>
      </c>
      <c r="AD7158">
        <v>-1.1110131549669999</v>
      </c>
      <c r="AE7158">
        <v>41.830710000000003</v>
      </c>
      <c r="AF7158">
        <v>5.9726513944633499</v>
      </c>
      <c r="AG7158">
        <v>-1.1110131549669999</v>
      </c>
      <c r="AH7158">
        <v>41.8867215703632</v>
      </c>
      <c r="AI7158">
        <v>91.504163020256996</v>
      </c>
      <c r="AJ7158">
        <v>81.884866380835206</v>
      </c>
      <c r="AK7158">
        <v>42.324985042211502</v>
      </c>
      <c r="AL7158">
        <v>90.38627262048</v>
      </c>
      <c r="AM7158">
        <v>86.882901128390003</v>
      </c>
      <c r="AN7158">
        <v>1.00000000471996</v>
      </c>
    </row>
    <row r="7159" spans="1:40" x14ac:dyDescent="0.25">
      <c r="A7159" t="str">
        <f>"20190312161200487"</f>
        <v>20190312161200487</v>
      </c>
      <c r="B7159" t="str">
        <f>"1552378320474189"</f>
        <v>1552378320474189</v>
      </c>
      <c r="C7159" t="s">
        <v>40</v>
      </c>
      <c r="D7159">
        <v>5.8623949999999896</v>
      </c>
      <c r="E7159">
        <v>0.53301549999999998</v>
      </c>
      <c r="F7159" t="s">
        <v>87</v>
      </c>
      <c r="G7159">
        <v>-181.11840000000001</v>
      </c>
      <c r="H7159" s="1">
        <v>-3.6193959999999999E-6</v>
      </c>
      <c r="I7159">
        <v>123.91970000000001</v>
      </c>
      <c r="J7159">
        <v>-187.4401</v>
      </c>
      <c r="K7159">
        <v>1.111038</v>
      </c>
      <c r="L7159">
        <v>83.702910000000003</v>
      </c>
      <c r="M7159">
        <v>1.354955E-2</v>
      </c>
      <c r="N7159">
        <v>0</v>
      </c>
      <c r="O7159">
        <v>0.99962569999999995</v>
      </c>
      <c r="P7159">
        <v>6.8013050000000005E-2</v>
      </c>
      <c r="Q7159">
        <v>-3.003981E-2</v>
      </c>
      <c r="R7159">
        <v>0.99723209999999995</v>
      </c>
      <c r="S7159">
        <v>0.46406560000000002</v>
      </c>
      <c r="T7159">
        <v>-8.1499580000000002E-2</v>
      </c>
      <c r="U7159">
        <v>2.9742739999999999</v>
      </c>
      <c r="V7159">
        <v>5.4490690000000001E-2</v>
      </c>
      <c r="W7159">
        <v>-6.3131680000000001E-3</v>
      </c>
      <c r="X7159">
        <v>0.99849429999999995</v>
      </c>
      <c r="Y7159">
        <v>0.1406993</v>
      </c>
      <c r="Z7159">
        <v>-2.7087480000000001E-2</v>
      </c>
      <c r="AA7159">
        <v>0.98968179999999994</v>
      </c>
      <c r="AB7159">
        <v>36</v>
      </c>
      <c r="AC7159">
        <v>6.3216999999999901</v>
      </c>
      <c r="AD7159">
        <v>-1.111041619396</v>
      </c>
      <c r="AE7159">
        <v>40.216790000000003</v>
      </c>
      <c r="AF7159">
        <v>5.7717471140482903</v>
      </c>
      <c r="AG7159">
        <v>-1.111041619396</v>
      </c>
      <c r="AH7159">
        <v>40.268783847522798</v>
      </c>
      <c r="AI7159">
        <v>91.564446465902293</v>
      </c>
      <c r="AJ7159">
        <v>81.843317415478595</v>
      </c>
      <c r="AK7159">
        <v>40.695484157177297</v>
      </c>
      <c r="AL7159">
        <v>90.361720292079099</v>
      </c>
      <c r="AM7159">
        <v>86.876303960870899</v>
      </c>
      <c r="AN7159">
        <v>0.99999997925968098</v>
      </c>
    </row>
    <row r="7160" spans="1:40" x14ac:dyDescent="0.25">
      <c r="A7160" t="str">
        <f>"20190312161200511"</f>
        <v>20190312161200511</v>
      </c>
      <c r="B7160" t="str">
        <f>"1552378320504445"</f>
        <v>1552378320504445</v>
      </c>
      <c r="C7160" t="s">
        <v>40</v>
      </c>
      <c r="D7160">
        <v>5.8773689999999998</v>
      </c>
      <c r="E7160">
        <v>0.54290950000000004</v>
      </c>
      <c r="F7160" t="s">
        <v>87</v>
      </c>
      <c r="G7160">
        <v>-180.73089999999999</v>
      </c>
      <c r="H7160" s="1">
        <v>-4.4916600000000003E-6</v>
      </c>
      <c r="I7160">
        <v>126.4102</v>
      </c>
      <c r="J7160">
        <v>-187.43530000000001</v>
      </c>
      <c r="K7160">
        <v>1.111062</v>
      </c>
      <c r="L7160">
        <v>84.053159999999906</v>
      </c>
      <c r="M7160">
        <v>1.354988E-2</v>
      </c>
      <c r="N7160">
        <v>0</v>
      </c>
      <c r="O7160">
        <v>0.9996237</v>
      </c>
      <c r="P7160">
        <v>6.8081870000000003E-2</v>
      </c>
      <c r="Q7160">
        <v>-2.9747180000000002E-2</v>
      </c>
      <c r="R7160">
        <v>0.99723620000000002</v>
      </c>
      <c r="S7160">
        <v>0.46722409999999998</v>
      </c>
      <c r="T7160">
        <v>-7.7372549999999998E-2</v>
      </c>
      <c r="U7160">
        <v>2.9741209999999998</v>
      </c>
      <c r="V7160">
        <v>5.4559120000000003E-2</v>
      </c>
      <c r="W7160">
        <v>-5.9335300000000002E-3</v>
      </c>
      <c r="X7160">
        <v>0.99849290000000002</v>
      </c>
      <c r="Y7160">
        <v>0.14173810000000001</v>
      </c>
      <c r="Z7160">
        <v>-2.5714040000000001E-2</v>
      </c>
      <c r="AA7160">
        <v>0.98957010000000001</v>
      </c>
      <c r="AB7160">
        <v>35</v>
      </c>
      <c r="AC7160">
        <v>6.7044000000000201</v>
      </c>
      <c r="AD7160">
        <v>-1.1110664916599999</v>
      </c>
      <c r="AE7160">
        <v>42.357039999999998</v>
      </c>
      <c r="AF7160">
        <v>6.1255762630363702</v>
      </c>
      <c r="AG7160">
        <v>-1.1110664916599999</v>
      </c>
      <c r="AH7160">
        <v>42.415547603996103</v>
      </c>
      <c r="AI7160">
        <v>91.485107721645505</v>
      </c>
      <c r="AJ7160">
        <v>81.782264744371105</v>
      </c>
      <c r="AK7160">
        <v>42.8699875419859</v>
      </c>
      <c r="AL7160">
        <v>90.339968225628397</v>
      </c>
      <c r="AM7160">
        <v>86.872384595999904</v>
      </c>
      <c r="AN7160">
        <v>0.99999998785192201</v>
      </c>
    </row>
    <row r="7161" spans="1:40" x14ac:dyDescent="0.25">
      <c r="A7161" t="str">
        <f>"20190312161200532"</f>
        <v>20190312161200532</v>
      </c>
      <c r="B7161" t="str">
        <f>"1552378320524940"</f>
        <v>1552378320524940</v>
      </c>
      <c r="C7161" t="s">
        <v>40</v>
      </c>
      <c r="D7161">
        <v>5.8746429999999998</v>
      </c>
      <c r="E7161">
        <v>0.54356569999999904</v>
      </c>
      <c r="F7161" t="s">
        <v>42</v>
      </c>
      <c r="G7161">
        <v>-187.2834</v>
      </c>
      <c r="H7161">
        <v>0.86484340000000004</v>
      </c>
      <c r="I7161">
        <v>84.911379999999994</v>
      </c>
      <c r="J7161">
        <v>-187.4306</v>
      </c>
      <c r="K7161">
        <v>1.1110819999999999</v>
      </c>
      <c r="L7161">
        <v>84.403589999999994</v>
      </c>
      <c r="M7161">
        <v>1.355022E-2</v>
      </c>
      <c r="N7161">
        <v>0</v>
      </c>
      <c r="O7161">
        <v>0.99962169999999895</v>
      </c>
      <c r="P7161">
        <v>6.8742830000000005E-2</v>
      </c>
      <c r="Q7161">
        <v>-2.9826740000000001E-2</v>
      </c>
      <c r="R7161">
        <v>0.99718839999999997</v>
      </c>
      <c r="S7161">
        <v>0.52101140000000001</v>
      </c>
      <c r="T7161">
        <v>-0.84562809999999899</v>
      </c>
      <c r="U7161">
        <v>2.9475099999999999</v>
      </c>
      <c r="V7161">
        <v>5.522026E-2</v>
      </c>
      <c r="W7161">
        <v>-5.9335710000000003E-3</v>
      </c>
      <c r="X7161">
        <v>0.99845649999999997</v>
      </c>
      <c r="Y7161">
        <v>0.15413470000000001</v>
      </c>
      <c r="Z7161">
        <v>-0.27214179999999999</v>
      </c>
      <c r="AA7161">
        <v>0.94983229999999996</v>
      </c>
      <c r="AB7161">
        <v>35</v>
      </c>
      <c r="AC7161">
        <v>0.147199999999998</v>
      </c>
      <c r="AD7161">
        <v>-0.246238599999999</v>
      </c>
      <c r="AE7161">
        <v>0.50778999999999996</v>
      </c>
      <c r="AF7161">
        <v>0.11529412009930901</v>
      </c>
      <c r="AG7161">
        <v>-0.246238599999999</v>
      </c>
      <c r="AH7161">
        <v>0.41887559033466298</v>
      </c>
      <c r="AI7161">
        <v>119.543624666959</v>
      </c>
      <c r="AJ7161">
        <v>74.610608994828695</v>
      </c>
      <c r="AK7161">
        <v>0.49938256120698299</v>
      </c>
      <c r="AL7161">
        <v>90.339970593313893</v>
      </c>
      <c r="AM7161">
        <v>86.834446025951394</v>
      </c>
      <c r="AN7161">
        <v>0.99999993338576199</v>
      </c>
    </row>
    <row r="7162" spans="1:40" x14ac:dyDescent="0.25">
      <c r="A7162" t="str">
        <f>"20190312161200558"</f>
        <v>20190312161200558</v>
      </c>
      <c r="B7162" t="str">
        <f>"1552378320554220"</f>
        <v>1552378320554220</v>
      </c>
      <c r="C7162" t="s">
        <v>40</v>
      </c>
      <c r="D7162">
        <v>6.0115360000000004</v>
      </c>
      <c r="E7162">
        <v>0.54403190000000001</v>
      </c>
      <c r="F7162" t="s">
        <v>42</v>
      </c>
      <c r="G7162">
        <v>-187.28380000000001</v>
      </c>
      <c r="H7162">
        <v>0.868731699999999</v>
      </c>
      <c r="I7162">
        <v>85.224109999999996</v>
      </c>
      <c r="J7162">
        <v>-187.42529999999999</v>
      </c>
      <c r="K7162">
        <v>1.1111</v>
      </c>
      <c r="L7162">
        <v>84.790040000000005</v>
      </c>
      <c r="M7162">
        <v>1.3550609999999999E-2</v>
      </c>
      <c r="N7162">
        <v>0</v>
      </c>
      <c r="O7162">
        <v>0.99961960000000005</v>
      </c>
      <c r="P7162">
        <v>6.9622399999999904E-2</v>
      </c>
      <c r="Q7162">
        <v>-2.9344390000000001E-2</v>
      </c>
      <c r="R7162">
        <v>0.99714170000000002</v>
      </c>
      <c r="S7162">
        <v>0.52662659999999994</v>
      </c>
      <c r="T7162">
        <v>-0.87017479999999903</v>
      </c>
      <c r="U7162">
        <v>2.9461360000000001</v>
      </c>
      <c r="V7162">
        <v>5.610002E-2</v>
      </c>
      <c r="W7162">
        <v>-5.3653980000000004E-3</v>
      </c>
      <c r="X7162">
        <v>0.99841080000000004</v>
      </c>
      <c r="Y7162">
        <v>0.15559500000000001</v>
      </c>
      <c r="Z7162">
        <v>-0.27946890000000002</v>
      </c>
      <c r="AA7162">
        <v>0.94746359999999996</v>
      </c>
      <c r="AB7162">
        <v>35</v>
      </c>
      <c r="AC7162">
        <v>0.141499999999979</v>
      </c>
      <c r="AD7162">
        <v>-0.24236830000000001</v>
      </c>
      <c r="AE7162">
        <v>0.43406999999999102</v>
      </c>
      <c r="AF7162">
        <v>0.10578968508889799</v>
      </c>
      <c r="AG7162">
        <v>-0.24236830000000001</v>
      </c>
      <c r="AH7162">
        <v>0.34010072336859298</v>
      </c>
      <c r="AI7162">
        <v>124.234391519803</v>
      </c>
      <c r="AJ7162">
        <v>72.721485949860096</v>
      </c>
      <c r="AK7162">
        <v>0.430815914692039</v>
      </c>
      <c r="AL7162">
        <v>90.307416116517501</v>
      </c>
      <c r="AM7162">
        <v>86.783971081984404</v>
      </c>
      <c r="AN7162">
        <v>1.00000006264816</v>
      </c>
    </row>
    <row r="7163" spans="1:40" x14ac:dyDescent="0.25">
      <c r="A7163" t="str">
        <f>"20190312161200579"</f>
        <v>20190312161200579</v>
      </c>
      <c r="B7163" t="str">
        <f>"1552378320574717"</f>
        <v>1552378320574717</v>
      </c>
      <c r="C7163" t="s">
        <v>40</v>
      </c>
      <c r="D7163">
        <v>5.9507199999999996</v>
      </c>
      <c r="E7163">
        <v>0.52885609999999905</v>
      </c>
      <c r="F7163" t="s">
        <v>42</v>
      </c>
      <c r="G7163">
        <v>-187.28970000000001</v>
      </c>
      <c r="H7163">
        <v>0.88477329999999998</v>
      </c>
      <c r="I7163">
        <v>85.540169999999904</v>
      </c>
      <c r="J7163">
        <v>-187.42080000000001</v>
      </c>
      <c r="K7163">
        <v>1.1111219999999999</v>
      </c>
      <c r="L7163">
        <v>85.123500000000007</v>
      </c>
      <c r="M7163">
        <v>1.3550970000000001E-2</v>
      </c>
      <c r="N7163">
        <v>0</v>
      </c>
      <c r="O7163">
        <v>0.9996178</v>
      </c>
      <c r="P7163">
        <v>7.0120349999999998E-2</v>
      </c>
      <c r="Q7163">
        <v>-2.93239E-2</v>
      </c>
      <c r="R7163">
        <v>0.99710739999999998</v>
      </c>
      <c r="S7163">
        <v>0.5317383</v>
      </c>
      <c r="T7163">
        <v>-0.88864109999999996</v>
      </c>
      <c r="U7163">
        <v>2.9453130000000001</v>
      </c>
      <c r="V7163">
        <v>5.6597969999999997E-2</v>
      </c>
      <c r="W7163">
        <v>-5.2693219999999999E-3</v>
      </c>
      <c r="X7163">
        <v>0.99838320000000003</v>
      </c>
      <c r="Y7163">
        <v>0.1569487</v>
      </c>
      <c r="Z7163">
        <v>-0.28491870000000002</v>
      </c>
      <c r="AA7163">
        <v>0.94561539999999999</v>
      </c>
      <c r="AB7163">
        <v>35</v>
      </c>
      <c r="AC7163">
        <v>0.13110000000000299</v>
      </c>
      <c r="AD7163">
        <v>-0.22634870000000001</v>
      </c>
      <c r="AE7163">
        <v>0.416669999999982</v>
      </c>
      <c r="AF7163">
        <v>9.8886990188654503E-2</v>
      </c>
      <c r="AG7163">
        <v>-0.22634870000000001</v>
      </c>
      <c r="AH7163">
        <v>0.32984034464011303</v>
      </c>
      <c r="AI7163">
        <v>123.31818640703</v>
      </c>
      <c r="AJ7163">
        <v>73.311133081321799</v>
      </c>
      <c r="AK7163">
        <v>0.41207647806271303</v>
      </c>
      <c r="AL7163">
        <v>90.301911292032898</v>
      </c>
      <c r="AM7163">
        <v>86.755396468799503</v>
      </c>
      <c r="AN7163">
        <v>1.00000005500234</v>
      </c>
    </row>
    <row r="7164" spans="1:40" x14ac:dyDescent="0.25">
      <c r="A7164" t="str">
        <f>"20190312161200601"</f>
        <v>20190312161200601</v>
      </c>
      <c r="B7164" t="str">
        <f>"1552378320594238"</f>
        <v>1552378320594238</v>
      </c>
      <c r="C7164" t="s">
        <v>40</v>
      </c>
      <c r="D7164">
        <v>6.0271179999999998</v>
      </c>
      <c r="E7164">
        <v>0.52872529999999995</v>
      </c>
      <c r="F7164" t="s">
        <v>42</v>
      </c>
      <c r="G7164">
        <v>-187.31270000000001</v>
      </c>
      <c r="H7164">
        <v>0.95656249999999998</v>
      </c>
      <c r="I7164">
        <v>85.880969999999905</v>
      </c>
      <c r="J7164">
        <v>-187.41640000000001</v>
      </c>
      <c r="K7164">
        <v>1.1111340000000001</v>
      </c>
      <c r="L7164">
        <v>85.448089999999993</v>
      </c>
      <c r="M7164">
        <v>1.355134E-2</v>
      </c>
      <c r="N7164">
        <v>0</v>
      </c>
      <c r="O7164">
        <v>0.99961599999999995</v>
      </c>
      <c r="P7164">
        <v>7.0928279999999996E-2</v>
      </c>
      <c r="Q7164">
        <v>-2.9429049999999998E-2</v>
      </c>
      <c r="R7164">
        <v>0.99704720000000002</v>
      </c>
      <c r="S7164">
        <v>0.42231750000000001</v>
      </c>
      <c r="T7164">
        <v>-0.60423549999999904</v>
      </c>
      <c r="U7164">
        <v>2.9612120000000002</v>
      </c>
      <c r="V7164">
        <v>5.7406279999999997E-2</v>
      </c>
      <c r="W7164">
        <v>-5.30045E-3</v>
      </c>
      <c r="X7164">
        <v>0.99833689999999997</v>
      </c>
      <c r="Y7164">
        <v>0.124956399999999</v>
      </c>
      <c r="Z7164">
        <v>-0.19815869999999999</v>
      </c>
      <c r="AA7164">
        <v>0.97217229999999999</v>
      </c>
      <c r="AB7164">
        <v>35</v>
      </c>
      <c r="AC7164">
        <v>0.103700000000003</v>
      </c>
      <c r="AD7164">
        <v>-0.1545715</v>
      </c>
      <c r="AE7164">
        <v>0.432879999999983</v>
      </c>
      <c r="AF7164">
        <v>8.7296143942709098E-2</v>
      </c>
      <c r="AG7164">
        <v>-0.1545715</v>
      </c>
      <c r="AH7164">
        <v>0.38751753468941402</v>
      </c>
      <c r="AI7164">
        <v>111.262252082247</v>
      </c>
      <c r="AJ7164">
        <v>77.304883228402701</v>
      </c>
      <c r="AK7164">
        <v>0.42624265982099602</v>
      </c>
      <c r="AL7164">
        <v>90.303694815060695</v>
      </c>
      <c r="AM7164">
        <v>86.709007158032705</v>
      </c>
      <c r="AN7164">
        <v>1.00000007082762</v>
      </c>
    </row>
    <row r="7165" spans="1:40" x14ac:dyDescent="0.25">
      <c r="A7165" t="str">
        <f>"20190312161200622"</f>
        <v>20190312161200622</v>
      </c>
      <c r="B7165" t="str">
        <f>"1552378320614733"</f>
        <v>1552378320614733</v>
      </c>
      <c r="C7165" t="s">
        <v>40</v>
      </c>
      <c r="D7165">
        <v>5.3771060000000004</v>
      </c>
      <c r="E7165">
        <v>0.52906149999999996</v>
      </c>
      <c r="F7165" t="s">
        <v>42</v>
      </c>
      <c r="G7165">
        <v>-187.3099</v>
      </c>
      <c r="H7165">
        <v>0.96453909999999998</v>
      </c>
      <c r="I7165">
        <v>86.190569999999994</v>
      </c>
      <c r="J7165">
        <v>-187.4118</v>
      </c>
      <c r="K7165">
        <v>1.111156</v>
      </c>
      <c r="L7165">
        <v>85.787660000000002</v>
      </c>
      <c r="M7165">
        <v>1.355173E-2</v>
      </c>
      <c r="N7165">
        <v>0</v>
      </c>
      <c r="O7165">
        <v>0.99961409999999995</v>
      </c>
      <c r="P7165">
        <v>7.1322280000000002E-2</v>
      </c>
      <c r="Q7165">
        <v>-2.9545479999999999E-2</v>
      </c>
      <c r="R7165">
        <v>0.99701569999999995</v>
      </c>
      <c r="S7165">
        <v>0.42419430000000002</v>
      </c>
      <c r="T7165">
        <v>-0.58473909999999996</v>
      </c>
      <c r="U7165">
        <v>2.9614560000000001</v>
      </c>
      <c r="V7165">
        <v>5.7800259999999999E-2</v>
      </c>
      <c r="W7165">
        <v>-5.3423189999999999E-3</v>
      </c>
      <c r="X7165">
        <v>0.99831380000000003</v>
      </c>
      <c r="Y7165">
        <v>0.1257229</v>
      </c>
      <c r="Z7165">
        <v>-0.19197359999999999</v>
      </c>
      <c r="AA7165">
        <v>0.97331389999999995</v>
      </c>
      <c r="AB7165">
        <v>34</v>
      </c>
      <c r="AC7165">
        <v>0.1019</v>
      </c>
      <c r="AD7165">
        <v>-0.14661689999999999</v>
      </c>
      <c r="AE7165">
        <v>0.402909999999991</v>
      </c>
      <c r="AF7165">
        <v>8.5755843331152007E-2</v>
      </c>
      <c r="AG7165">
        <v>-0.14661689999999999</v>
      </c>
      <c r="AH7165">
        <v>0.359510143879337</v>
      </c>
      <c r="AI7165">
        <v>111.63795296441199</v>
      </c>
      <c r="AJ7165">
        <v>76.583646106285599</v>
      </c>
      <c r="AK7165">
        <v>0.39761554746160099</v>
      </c>
      <c r="AL7165">
        <v>90.306093809920597</v>
      </c>
      <c r="AM7165">
        <v>86.686394688579696</v>
      </c>
      <c r="AN7165">
        <v>0.99999992684939998</v>
      </c>
    </row>
    <row r="7166" spans="1:40" x14ac:dyDescent="0.25">
      <c r="A7166" t="str">
        <f>"20190312161200645"</f>
        <v>20190312161200645</v>
      </c>
      <c r="B7166" t="str">
        <f>"1552378320634253"</f>
        <v>1552378320634253</v>
      </c>
      <c r="C7166" t="s">
        <v>40</v>
      </c>
      <c r="D7166">
        <v>6.1577449999999896</v>
      </c>
      <c r="E7166">
        <v>0.52959940000000005</v>
      </c>
      <c r="F7166" t="s">
        <v>42</v>
      </c>
      <c r="G7166">
        <v>-187.309</v>
      </c>
      <c r="H7166">
        <v>0.97217240000000005</v>
      </c>
      <c r="I7166">
        <v>86.498090000000005</v>
      </c>
      <c r="J7166">
        <v>-187.40729999999999</v>
      </c>
      <c r="K7166">
        <v>1.1111759999999999</v>
      </c>
      <c r="L7166">
        <v>86.120999999999995</v>
      </c>
      <c r="M7166">
        <v>1.3552120000000001E-2</v>
      </c>
      <c r="N7166">
        <v>0</v>
      </c>
      <c r="O7166">
        <v>0.99961230000000001</v>
      </c>
      <c r="P7166">
        <v>7.1637469999999995E-2</v>
      </c>
      <c r="Q7166">
        <v>-2.9996149999999999E-2</v>
      </c>
      <c r="R7166">
        <v>0.99697959999999997</v>
      </c>
      <c r="S7166">
        <v>0.42822270000000001</v>
      </c>
      <c r="T7166">
        <v>-0.57933639999999997</v>
      </c>
      <c r="U7166">
        <v>2.961182</v>
      </c>
      <c r="V7166">
        <v>5.8115470000000002E-2</v>
      </c>
      <c r="W7166">
        <v>-5.7195429999999997E-3</v>
      </c>
      <c r="X7166">
        <v>0.99829349999999994</v>
      </c>
      <c r="Y7166">
        <v>0.12708039999999901</v>
      </c>
      <c r="Z7166">
        <v>-0.19024740000000001</v>
      </c>
      <c r="AA7166">
        <v>0.97347649999999997</v>
      </c>
      <c r="AB7166">
        <v>34</v>
      </c>
      <c r="AC7166">
        <v>9.8299999999966303E-2</v>
      </c>
      <c r="AD7166">
        <v>-0.13900359999999901</v>
      </c>
      <c r="AE7166">
        <v>0.37708999999999498</v>
      </c>
      <c r="AF7166">
        <v>8.2661573112946293E-2</v>
      </c>
      <c r="AG7166">
        <v>-0.13900359999999901</v>
      </c>
      <c r="AH7166">
        <v>0.33567769115039098</v>
      </c>
      <c r="AI7166">
        <v>111.904392905411</v>
      </c>
      <c r="AJ7166">
        <v>76.1660031349696</v>
      </c>
      <c r="AK7166">
        <v>0.372604950072492</v>
      </c>
      <c r="AL7166">
        <v>90.327707455950502</v>
      </c>
      <c r="AM7166">
        <v>86.668297155706995</v>
      </c>
      <c r="AN7166">
        <v>1.0000000165838401</v>
      </c>
    </row>
    <row r="7167" spans="1:40" x14ac:dyDescent="0.25">
      <c r="A7167" t="str">
        <f>"20190312161200669"</f>
        <v>20190312161200669</v>
      </c>
      <c r="B7167" t="str">
        <f>"1552378320664509"</f>
        <v>1552378320664509</v>
      </c>
      <c r="C7167" t="s">
        <v>40</v>
      </c>
      <c r="D7167">
        <v>6.1260209999999997</v>
      </c>
      <c r="E7167">
        <v>0.52969980000000005</v>
      </c>
      <c r="F7167" t="s">
        <v>42</v>
      </c>
      <c r="G7167">
        <v>-187.26769999999999</v>
      </c>
      <c r="H7167">
        <v>0.9218655</v>
      </c>
      <c r="I7167">
        <v>87.075280000000006</v>
      </c>
      <c r="J7167">
        <v>-187.4025</v>
      </c>
      <c r="K7167">
        <v>1.1111949999999999</v>
      </c>
      <c r="L7167">
        <v>86.475740000000002</v>
      </c>
      <c r="M7167">
        <v>1.355254E-2</v>
      </c>
      <c r="N7167">
        <v>0</v>
      </c>
      <c r="O7167">
        <v>0.99961040000000001</v>
      </c>
      <c r="P7167">
        <v>7.1867689999999998E-2</v>
      </c>
      <c r="Q7167">
        <v>-2.9831460000000001E-2</v>
      </c>
      <c r="R7167">
        <v>0.99696799999999997</v>
      </c>
      <c r="S7167">
        <v>0.4328613</v>
      </c>
      <c r="T7167">
        <v>-0.58727769999999901</v>
      </c>
      <c r="U7167">
        <v>2.9603269999999999</v>
      </c>
      <c r="V7167">
        <v>5.8345389999999997E-2</v>
      </c>
      <c r="W7167">
        <v>-5.4768890000000004E-3</v>
      </c>
      <c r="X7167">
        <v>0.99828139999999999</v>
      </c>
      <c r="Y7167">
        <v>0.1285422</v>
      </c>
      <c r="Z7167">
        <v>-0.1927722</v>
      </c>
      <c r="AA7167">
        <v>0.97278759999999997</v>
      </c>
      <c r="AB7167">
        <v>34</v>
      </c>
      <c r="AC7167">
        <v>0.13480000000001199</v>
      </c>
      <c r="AD7167">
        <v>-0.18932950000000001</v>
      </c>
      <c r="AE7167">
        <v>0.59954000000000396</v>
      </c>
      <c r="AF7167">
        <v>0.115679024858285</v>
      </c>
      <c r="AG7167">
        <v>-0.18932950000000001</v>
      </c>
      <c r="AH7167">
        <v>0.54918109529568904</v>
      </c>
      <c r="AI7167">
        <v>108.641624753811</v>
      </c>
      <c r="AJ7167">
        <v>78.105152974213496</v>
      </c>
      <c r="AK7167">
        <v>0.59230665351031397</v>
      </c>
      <c r="AL7167">
        <v>90.313804203690694</v>
      </c>
      <c r="AM7167">
        <v>86.655105486383704</v>
      </c>
      <c r="AN7167">
        <v>0.99999996721666395</v>
      </c>
    </row>
    <row r="7168" spans="1:40" x14ac:dyDescent="0.25">
      <c r="A7168" t="str">
        <f>"20190312161200689"</f>
        <v>20190312161200689</v>
      </c>
      <c r="B7168" t="str">
        <f>"1552378320684029"</f>
        <v>1552378320684029</v>
      </c>
      <c r="C7168" t="s">
        <v>40</v>
      </c>
      <c r="D7168">
        <v>6.5890319999999996</v>
      </c>
      <c r="E7168">
        <v>0.53008449999999996</v>
      </c>
      <c r="F7168" t="s">
        <v>42</v>
      </c>
      <c r="G7168">
        <v>-187.2696</v>
      </c>
      <c r="H7168">
        <v>0.93560109999999996</v>
      </c>
      <c r="I7168">
        <v>87.379729999999995</v>
      </c>
      <c r="J7168">
        <v>-187.39830000000001</v>
      </c>
      <c r="K7168">
        <v>1.1112120000000001</v>
      </c>
      <c r="L7168">
        <v>86.783569999999997</v>
      </c>
      <c r="M7168">
        <v>1.355291E-2</v>
      </c>
      <c r="N7168">
        <v>0</v>
      </c>
      <c r="O7168">
        <v>0.99960879999999996</v>
      </c>
      <c r="P7168">
        <v>7.2085919999999998E-2</v>
      </c>
      <c r="Q7168">
        <v>-2.9388250000000001E-2</v>
      </c>
      <c r="R7168">
        <v>0.99696530000000005</v>
      </c>
      <c r="S7168">
        <v>0.43476870000000001</v>
      </c>
      <c r="T7168">
        <v>-0.57506740000000001</v>
      </c>
      <c r="U7168">
        <v>2.9605709999999998</v>
      </c>
      <c r="V7168">
        <v>5.8563270000000001E-2</v>
      </c>
      <c r="W7168">
        <v>-4.9702660000000001E-3</v>
      </c>
      <c r="X7168">
        <v>0.99827129999999997</v>
      </c>
      <c r="Y7168">
        <v>0.1292538</v>
      </c>
      <c r="Z7168">
        <v>-0.18887780000000001</v>
      </c>
      <c r="AA7168">
        <v>0.97345700000000002</v>
      </c>
      <c r="AB7168">
        <v>34</v>
      </c>
      <c r="AC7168">
        <v>0.128700000000009</v>
      </c>
      <c r="AD7168">
        <v>-0.17561089999999999</v>
      </c>
      <c r="AE7168">
        <v>0.59616000000001101</v>
      </c>
      <c r="AF7168">
        <v>0.11137242625952901</v>
      </c>
      <c r="AG7168">
        <v>-0.17561089999999999</v>
      </c>
      <c r="AH7168">
        <v>0.55207847534648502</v>
      </c>
      <c r="AI7168">
        <v>107.31794947337001</v>
      </c>
      <c r="AJ7168">
        <v>78.594626895585506</v>
      </c>
      <c r="AK7168">
        <v>0.58994376721060804</v>
      </c>
      <c r="AL7168">
        <v>90.284776444690607</v>
      </c>
      <c r="AM7168">
        <v>86.642609229923494</v>
      </c>
      <c r="AN7168">
        <v>0.99999997427044596</v>
      </c>
    </row>
    <row r="7169" spans="1:40" x14ac:dyDescent="0.25">
      <c r="A7169" t="str">
        <f>"20190312161200712"</f>
        <v>20190312161200712</v>
      </c>
      <c r="B7169" t="str">
        <f>"1552378320704526"</f>
        <v>1552378320704526</v>
      </c>
      <c r="C7169" t="s">
        <v>40</v>
      </c>
      <c r="D7169">
        <v>6.2491399999999997</v>
      </c>
      <c r="E7169">
        <v>0.53053719999999904</v>
      </c>
      <c r="F7169" t="s">
        <v>42</v>
      </c>
      <c r="G7169">
        <v>-187.26609999999999</v>
      </c>
      <c r="H7169">
        <v>0.93684509999999999</v>
      </c>
      <c r="I7169">
        <v>87.676339999999996</v>
      </c>
      <c r="J7169">
        <v>-187.3938</v>
      </c>
      <c r="K7169">
        <v>1.1112299999999999</v>
      </c>
      <c r="L7169">
        <v>87.117980000000003</v>
      </c>
      <c r="M7169">
        <v>1.3553330000000001E-2</v>
      </c>
      <c r="N7169">
        <v>0</v>
      </c>
      <c r="O7169">
        <v>0.99960729999999998</v>
      </c>
      <c r="P7169">
        <v>7.2270039999999994E-2</v>
      </c>
      <c r="Q7169">
        <v>-2.9425940000000001E-2</v>
      </c>
      <c r="R7169">
        <v>0.99695089999999997</v>
      </c>
      <c r="S7169">
        <v>0.43803409999999898</v>
      </c>
      <c r="T7169">
        <v>-0.57820930000000004</v>
      </c>
      <c r="U7169">
        <v>2.960388</v>
      </c>
      <c r="V7169">
        <v>5.874712E-2</v>
      </c>
      <c r="W7169">
        <v>-4.9464259999999899E-3</v>
      </c>
      <c r="X7169">
        <v>0.99826060000000005</v>
      </c>
      <c r="Y7169">
        <v>0.13028529999999999</v>
      </c>
      <c r="Z7169">
        <v>-0.1898561</v>
      </c>
      <c r="AA7169">
        <v>0.97312920000000003</v>
      </c>
      <c r="AB7169">
        <v>33</v>
      </c>
      <c r="AC7169">
        <v>0.127700000000004</v>
      </c>
      <c r="AD7169">
        <v>-0.17438490000000001</v>
      </c>
      <c r="AE7169">
        <v>0.55835999999999297</v>
      </c>
      <c r="AF7169">
        <v>0.109928723838272</v>
      </c>
      <c r="AG7169">
        <v>-0.17438490000000001</v>
      </c>
      <c r="AH7169">
        <v>0.51253184099386795</v>
      </c>
      <c r="AI7169">
        <v>108.401054259839</v>
      </c>
      <c r="AJ7169">
        <v>77.894504699402503</v>
      </c>
      <c r="AK7169">
        <v>0.55243398311950798</v>
      </c>
      <c r="AL7169">
        <v>90.283410500985596</v>
      </c>
      <c r="AM7169">
        <v>86.632057447419001</v>
      </c>
      <c r="AN7169">
        <v>0.999999958375413</v>
      </c>
    </row>
    <row r="7170" spans="1:40" x14ac:dyDescent="0.25">
      <c r="A7170" t="str">
        <f>"20190312161200734"</f>
        <v>20190312161200734</v>
      </c>
      <c r="B7170" t="str">
        <f>"1552378320725021"</f>
        <v>1552378320725021</v>
      </c>
      <c r="C7170" t="s">
        <v>40</v>
      </c>
      <c r="D7170">
        <v>5.9546049999999999</v>
      </c>
      <c r="E7170">
        <v>0.53051389999999998</v>
      </c>
      <c r="F7170" t="s">
        <v>42</v>
      </c>
      <c r="G7170">
        <v>-187.26589999999999</v>
      </c>
      <c r="H7170">
        <v>0.94305280000000002</v>
      </c>
      <c r="I7170">
        <v>87.973429999999993</v>
      </c>
      <c r="J7170">
        <v>-187.38929999999999</v>
      </c>
      <c r="K7170">
        <v>1.1112489999999999</v>
      </c>
      <c r="L7170">
        <v>87.448359999999994</v>
      </c>
      <c r="M7170">
        <v>1.355375E-2</v>
      </c>
      <c r="N7170">
        <v>0</v>
      </c>
      <c r="O7170">
        <v>0.99960599999999999</v>
      </c>
      <c r="P7170">
        <v>7.2399119999999997E-2</v>
      </c>
      <c r="Q7170">
        <v>-2.906046E-2</v>
      </c>
      <c r="R7170">
        <v>0.99695230000000001</v>
      </c>
      <c r="S7170">
        <v>0.44190980000000002</v>
      </c>
      <c r="T7170">
        <v>-0.581924</v>
      </c>
      <c r="U7170">
        <v>2.9599609999999998</v>
      </c>
      <c r="V7170">
        <v>5.8875759999999999E-2</v>
      </c>
      <c r="W7170">
        <v>-4.5275699999999999E-3</v>
      </c>
      <c r="X7170">
        <v>0.99825509999999995</v>
      </c>
      <c r="Y7170">
        <v>0.1315183</v>
      </c>
      <c r="Z7170">
        <v>-0.1910241</v>
      </c>
      <c r="AA7170">
        <v>0.97273469999999995</v>
      </c>
      <c r="AB7170">
        <v>33</v>
      </c>
      <c r="AC7170">
        <v>0.12340000000000299</v>
      </c>
      <c r="AD7170">
        <v>-0.16819619999999899</v>
      </c>
      <c r="AE7170">
        <v>0.52507000000001303</v>
      </c>
      <c r="AF7170">
        <v>0.105965628787693</v>
      </c>
      <c r="AG7170">
        <v>-0.16819619999999899</v>
      </c>
      <c r="AH7170">
        <v>0.48001737512984699</v>
      </c>
      <c r="AI7170">
        <v>108.888801208454</v>
      </c>
      <c r="AJ7170">
        <v>77.551395817538705</v>
      </c>
      <c r="AK7170">
        <v>0.51955303541155395</v>
      </c>
      <c r="AL7170">
        <v>90.259411525930204</v>
      </c>
      <c r="AM7170">
        <v>86.624681060042704</v>
      </c>
      <c r="AN7170">
        <v>1.0000000493408401</v>
      </c>
    </row>
    <row r="7171" spans="1:40" x14ac:dyDescent="0.25">
      <c r="A7171" t="str">
        <f>"20190312161200758"</f>
        <v>20190312161200758</v>
      </c>
      <c r="B7171" t="str">
        <f>"1552378320754301"</f>
        <v>1552378320754301</v>
      </c>
      <c r="C7171" t="s">
        <v>40</v>
      </c>
      <c r="D7171">
        <v>5.9615460000000002</v>
      </c>
      <c r="E7171">
        <v>0.547821</v>
      </c>
      <c r="F7171" t="s">
        <v>42</v>
      </c>
      <c r="G7171">
        <v>-187.26650000000001</v>
      </c>
      <c r="H7171">
        <v>0.95066669999999998</v>
      </c>
      <c r="I7171">
        <v>88.269279999999995</v>
      </c>
      <c r="J7171">
        <v>-187.38460000000001</v>
      </c>
      <c r="K7171">
        <v>1.1112690000000001</v>
      </c>
      <c r="L7171">
        <v>87.790130000000005</v>
      </c>
      <c r="M7171">
        <v>1.3554200000000001E-2</v>
      </c>
      <c r="N7171">
        <v>0</v>
      </c>
      <c r="O7171">
        <v>0.99960479999999996</v>
      </c>
      <c r="P7171">
        <v>7.3021970000000005E-2</v>
      </c>
      <c r="Q7171">
        <v>-2.9198740000000001E-2</v>
      </c>
      <c r="R7171">
        <v>0.99690279999999998</v>
      </c>
      <c r="S7171">
        <v>0.44232179999999999</v>
      </c>
      <c r="T7171">
        <v>-0.57906650000000004</v>
      </c>
      <c r="U7171">
        <v>2.960175</v>
      </c>
      <c r="V7171">
        <v>5.9498750000000003E-2</v>
      </c>
      <c r="W7171">
        <v>-4.6193880000000003E-3</v>
      </c>
      <c r="X7171">
        <v>0.99821769999999999</v>
      </c>
      <c r="Y7171">
        <v>0.13166639999999999</v>
      </c>
      <c r="Z7171">
        <v>-0.19010350000000001</v>
      </c>
      <c r="AA7171">
        <v>0.97289499999999995</v>
      </c>
      <c r="AB7171">
        <v>33</v>
      </c>
      <c r="AC7171">
        <v>0.118099999999998</v>
      </c>
      <c r="AD7171">
        <v>-0.1606023</v>
      </c>
      <c r="AE7171">
        <v>0.47915000000000402</v>
      </c>
      <c r="AF7171">
        <v>0.10090553017055399</v>
      </c>
      <c r="AG7171">
        <v>-0.1606023</v>
      </c>
      <c r="AH7171">
        <v>0.43467021915426901</v>
      </c>
      <c r="AI7171">
        <v>109.79432250930201</v>
      </c>
      <c r="AJ7171">
        <v>76.930689160251504</v>
      </c>
      <c r="AK7171">
        <v>0.47425017048379797</v>
      </c>
      <c r="AL7171">
        <v>90.264672375439602</v>
      </c>
      <c r="AM7171">
        <v>86.588921735100698</v>
      </c>
      <c r="AN7171">
        <v>1.0000000082951701</v>
      </c>
    </row>
    <row r="7172" spans="1:40" x14ac:dyDescent="0.25">
      <c r="A7172" t="str">
        <f>"20190312161200780"</f>
        <v>20190312161200780</v>
      </c>
      <c r="B7172" t="str">
        <f>"1552378320774796"</f>
        <v>1552378320774796</v>
      </c>
      <c r="C7172" t="s">
        <v>40</v>
      </c>
      <c r="D7172">
        <v>4.3072819999999998</v>
      </c>
      <c r="E7172">
        <v>0.50374470000000005</v>
      </c>
      <c r="F7172" t="s">
        <v>42</v>
      </c>
      <c r="G7172">
        <v>-187.2415</v>
      </c>
      <c r="H7172">
        <v>0.88177819999999996</v>
      </c>
      <c r="I7172">
        <v>88.527940000000001</v>
      </c>
      <c r="J7172">
        <v>-187.38030000000001</v>
      </c>
      <c r="K7172">
        <v>1.1112820000000001</v>
      </c>
      <c r="L7172">
        <v>88.111329999999995</v>
      </c>
      <c r="M7172">
        <v>1.355463E-2</v>
      </c>
      <c r="N7172">
        <v>0</v>
      </c>
      <c r="O7172">
        <v>0.99960389999999999</v>
      </c>
      <c r="P7172">
        <v>7.3554499999999995E-2</v>
      </c>
      <c r="Q7172">
        <v>-2.8823649999999999E-2</v>
      </c>
      <c r="R7172">
        <v>0.99687460000000006</v>
      </c>
      <c r="S7172">
        <v>0.569992099999999</v>
      </c>
      <c r="T7172">
        <v>-0.91471049999999998</v>
      </c>
      <c r="U7172">
        <v>2.9407649999999999</v>
      </c>
      <c r="V7172">
        <v>6.0031189999999998E-2</v>
      </c>
      <c r="W7172">
        <v>-4.2073950000000001E-3</v>
      </c>
      <c r="X7172">
        <v>0.99818770000000001</v>
      </c>
      <c r="Y7172">
        <v>0.1686443</v>
      </c>
      <c r="Z7172">
        <v>-0.29236760000000001</v>
      </c>
      <c r="AA7172">
        <v>0.9413184</v>
      </c>
      <c r="AB7172">
        <v>33</v>
      </c>
      <c r="AC7172">
        <v>0.138800000000003</v>
      </c>
      <c r="AD7172">
        <v>-0.22950379999999901</v>
      </c>
      <c r="AE7172">
        <v>0.41660999999999099</v>
      </c>
      <c r="AF7172">
        <v>0.104573827963761</v>
      </c>
      <c r="AG7172">
        <v>-0.22950379999999901</v>
      </c>
      <c r="AH7172">
        <v>0.32867496367176102</v>
      </c>
      <c r="AI7172">
        <v>123.63987212743601</v>
      </c>
      <c r="AJ7172">
        <v>72.350599134367201</v>
      </c>
      <c r="AK7172">
        <v>0.41428843992328301</v>
      </c>
      <c r="AL7172">
        <v>90.241066671767101</v>
      </c>
      <c r="AM7172">
        <v>86.5583666756376</v>
      </c>
      <c r="AN7172">
        <v>1.00000006518839</v>
      </c>
    </row>
    <row r="7173" spans="1:40" x14ac:dyDescent="0.25">
      <c r="A7173" t="str">
        <f>"20190312161200803"</f>
        <v>20190312161200803</v>
      </c>
      <c r="B7173" t="str">
        <f>"1552378320794317"</f>
        <v>1552378320794317</v>
      </c>
      <c r="C7173" t="s">
        <v>40</v>
      </c>
      <c r="D7173">
        <v>6.213749</v>
      </c>
      <c r="E7173">
        <v>0.54196940000000005</v>
      </c>
      <c r="F7173" t="s">
        <v>42</v>
      </c>
      <c r="G7173">
        <v>-187.31989999999999</v>
      </c>
      <c r="H7173">
        <v>0.99494020000000005</v>
      </c>
      <c r="I7173">
        <v>88.870699999999999</v>
      </c>
      <c r="J7173">
        <v>-187.3759</v>
      </c>
      <c r="K7173">
        <v>1.111283</v>
      </c>
      <c r="L7173">
        <v>88.430819999999997</v>
      </c>
      <c r="M7173">
        <v>1.3555040000000001E-2</v>
      </c>
      <c r="N7173">
        <v>0</v>
      </c>
      <c r="O7173">
        <v>0.99960309999999997</v>
      </c>
      <c r="P7173">
        <v>7.3551210000000006E-2</v>
      </c>
      <c r="Q7173">
        <v>-2.8167109999999999E-2</v>
      </c>
      <c r="R7173">
        <v>0.99689360000000005</v>
      </c>
      <c r="S7173">
        <v>0.23690800000000001</v>
      </c>
      <c r="T7173">
        <v>-0.45637709999999998</v>
      </c>
      <c r="U7173">
        <v>2.978729</v>
      </c>
      <c r="V7173">
        <v>6.0027240000000003E-2</v>
      </c>
      <c r="W7173">
        <v>-3.5197119999999999E-3</v>
      </c>
      <c r="X7173">
        <v>0.99819049999999998</v>
      </c>
      <c r="Y7173">
        <v>6.4849699999999996E-2</v>
      </c>
      <c r="Z7173">
        <v>-0.1510321</v>
      </c>
      <c r="AA7173">
        <v>0.98639940000000004</v>
      </c>
      <c r="AB7173">
        <v>32</v>
      </c>
      <c r="AC7173">
        <v>5.6000000000011603E-2</v>
      </c>
      <c r="AD7173">
        <v>-0.116342799999999</v>
      </c>
      <c r="AE7173">
        <v>0.43988000000000199</v>
      </c>
      <c r="AF7173">
        <v>4.6808254543149901E-2</v>
      </c>
      <c r="AG7173">
        <v>-0.116342799999999</v>
      </c>
      <c r="AH7173">
        <v>0.41222231075508903</v>
      </c>
      <c r="AI7173">
        <v>105.665144277452</v>
      </c>
      <c r="AJ7173">
        <v>83.521755122533094</v>
      </c>
      <c r="AK7173">
        <v>0.43087572835967602</v>
      </c>
      <c r="AL7173">
        <v>90.201665065922597</v>
      </c>
      <c r="AM7173">
        <v>86.558602218041102</v>
      </c>
      <c r="AN7173">
        <v>0.99999996610241404</v>
      </c>
    </row>
    <row r="7174" spans="1:40" x14ac:dyDescent="0.25">
      <c r="A7174" t="str">
        <f>"20190312161200824"</f>
        <v>20190312161200824</v>
      </c>
      <c r="B7174" t="str">
        <f>"1552378320814813"</f>
        <v>1552378320814813</v>
      </c>
      <c r="C7174" t="s">
        <v>40</v>
      </c>
      <c r="D7174">
        <v>6.4340849999999996</v>
      </c>
      <c r="E7174">
        <v>0.53497700000000004</v>
      </c>
      <c r="F7174" t="s">
        <v>42</v>
      </c>
      <c r="G7174">
        <v>-187.25110000000001</v>
      </c>
      <c r="H7174">
        <v>0.93077659999999995</v>
      </c>
      <c r="I7174">
        <v>89.124700000000004</v>
      </c>
      <c r="J7174">
        <v>-187.37180000000001</v>
      </c>
      <c r="K7174">
        <v>1.111289</v>
      </c>
      <c r="L7174">
        <v>88.737179999999995</v>
      </c>
      <c r="M7174">
        <v>1.3557369999999999E-2</v>
      </c>
      <c r="N7174">
        <v>0</v>
      </c>
      <c r="O7174">
        <v>0.99960249999999995</v>
      </c>
      <c r="P7174">
        <v>7.3600960000000007E-2</v>
      </c>
      <c r="Q7174">
        <v>-2.7891389999999999E-2</v>
      </c>
      <c r="R7174">
        <v>0.9968977</v>
      </c>
      <c r="S7174">
        <v>0.529815699999999</v>
      </c>
      <c r="T7174">
        <v>-0.76703239999999995</v>
      </c>
      <c r="U7174">
        <v>2.9485779999999999</v>
      </c>
      <c r="V7174">
        <v>6.0074620000000002E-2</v>
      </c>
      <c r="W7174">
        <v>-3.220063E-3</v>
      </c>
      <c r="X7174">
        <v>0.99818870000000004</v>
      </c>
      <c r="Y7174">
        <v>0.15795339999999999</v>
      </c>
      <c r="Z7174">
        <v>-0.2482847</v>
      </c>
      <c r="AA7174">
        <v>0.95572250000000003</v>
      </c>
      <c r="AB7174">
        <v>32</v>
      </c>
      <c r="AC7174">
        <v>0.120699999999999</v>
      </c>
      <c r="AD7174">
        <v>-0.18051239999999999</v>
      </c>
      <c r="AE7174">
        <v>0.38751999999999498</v>
      </c>
      <c r="AF7174">
        <v>9.6371735475296705E-2</v>
      </c>
      <c r="AG7174">
        <v>-0.18051239999999999</v>
      </c>
      <c r="AH7174">
        <v>0.32486475101388501</v>
      </c>
      <c r="AI7174">
        <v>118.04460253591201</v>
      </c>
      <c r="AJ7174">
        <v>73.4769118432922</v>
      </c>
      <c r="AK7174">
        <v>0.38393924571941601</v>
      </c>
      <c r="AL7174">
        <v>90.184496337617702</v>
      </c>
      <c r="AM7174">
        <v>86.555886234472794</v>
      </c>
      <c r="AN7174">
        <v>1.00000000479077</v>
      </c>
    </row>
    <row r="7175" spans="1:40" x14ac:dyDescent="0.25">
      <c r="A7175" t="str">
        <f>"20190312161200847"</f>
        <v>20190312161200847</v>
      </c>
      <c r="B7175" t="str">
        <f>"1552378320834334"</f>
        <v>1552378320834334</v>
      </c>
      <c r="C7175" t="s">
        <v>40</v>
      </c>
      <c r="D7175">
        <v>6.0170339999999998</v>
      </c>
      <c r="E7175">
        <v>0.53912419999999905</v>
      </c>
      <c r="F7175" t="s">
        <v>42</v>
      </c>
      <c r="G7175">
        <v>-187.2193</v>
      </c>
      <c r="H7175">
        <v>0.90271210000000002</v>
      </c>
      <c r="I7175">
        <v>89.679670000000002</v>
      </c>
      <c r="J7175">
        <v>-187.3674</v>
      </c>
      <c r="K7175">
        <v>1.1112930000000001</v>
      </c>
      <c r="L7175">
        <v>89.057429999999997</v>
      </c>
      <c r="M7175">
        <v>1.3567849999999999E-2</v>
      </c>
      <c r="N7175">
        <v>0</v>
      </c>
      <c r="O7175">
        <v>0.99960179999999998</v>
      </c>
      <c r="P7175">
        <v>7.3850449999999998E-2</v>
      </c>
      <c r="Q7175">
        <v>-2.7543700000000001E-2</v>
      </c>
      <c r="R7175">
        <v>0.99688889999999997</v>
      </c>
      <c r="S7175">
        <v>0.47819519999999999</v>
      </c>
      <c r="T7175">
        <v>-0.65412399999999904</v>
      </c>
      <c r="U7175">
        <v>2.9557500000000001</v>
      </c>
      <c r="V7175">
        <v>6.031371E-2</v>
      </c>
      <c r="W7175">
        <v>-2.8539329999999999E-3</v>
      </c>
      <c r="X7175">
        <v>0.99817540000000005</v>
      </c>
      <c r="Y7175">
        <v>0.1426103</v>
      </c>
      <c r="Z7175">
        <v>-0.21362210000000001</v>
      </c>
      <c r="AA7175">
        <v>0.96645119999999896</v>
      </c>
      <c r="AB7175">
        <v>32</v>
      </c>
      <c r="AC7175">
        <v>0.14809999999999901</v>
      </c>
      <c r="AD7175">
        <v>-0.20858090000000001</v>
      </c>
      <c r="AE7175">
        <v>0.62223999999999002</v>
      </c>
      <c r="AF7175">
        <v>0.12621900922136201</v>
      </c>
      <c r="AG7175">
        <v>-0.20858090000000001</v>
      </c>
      <c r="AH7175">
        <v>0.56419537761429195</v>
      </c>
      <c r="AI7175">
        <v>109.838341103491</v>
      </c>
      <c r="AJ7175">
        <v>77.3897092719494</v>
      </c>
      <c r="AK7175">
        <v>0.61461667261388697</v>
      </c>
      <c r="AL7175">
        <v>90.163518536439994</v>
      </c>
      <c r="AM7175">
        <v>86.542166293429702</v>
      </c>
      <c r="AN7175">
        <v>1.0000000088563401</v>
      </c>
    </row>
    <row r="7176" spans="1:40" x14ac:dyDescent="0.25">
      <c r="A7176" t="str">
        <f>"20190312161200869"</f>
        <v>20190312161200869</v>
      </c>
      <c r="B7176" t="str">
        <f>"1552378320864590"</f>
        <v>1552378320864590</v>
      </c>
      <c r="C7176" t="s">
        <v>40</v>
      </c>
      <c r="D7176">
        <v>6.0455230000000002</v>
      </c>
      <c r="E7176">
        <v>0.54142990000000002</v>
      </c>
      <c r="F7176" t="s">
        <v>42</v>
      </c>
      <c r="G7176">
        <v>-187.21279999999999</v>
      </c>
      <c r="H7176">
        <v>0.88878049999999997</v>
      </c>
      <c r="I7176">
        <v>89.954340000000002</v>
      </c>
      <c r="J7176">
        <v>-187.36330000000001</v>
      </c>
      <c r="K7176">
        <v>1.1112949999999999</v>
      </c>
      <c r="L7176">
        <v>89.362179999999995</v>
      </c>
      <c r="M7176">
        <v>1.3585989999999999E-2</v>
      </c>
      <c r="N7176">
        <v>0</v>
      </c>
      <c r="O7176">
        <v>0.99960130000000003</v>
      </c>
      <c r="P7176">
        <v>7.3857119999999998E-2</v>
      </c>
      <c r="Q7176">
        <v>-2.6959750000000001E-2</v>
      </c>
      <c r="R7176">
        <v>0.99690440000000002</v>
      </c>
      <c r="S7176">
        <v>0.5089264</v>
      </c>
      <c r="T7176">
        <v>-0.73221459999999905</v>
      </c>
      <c r="U7176">
        <v>2.951416</v>
      </c>
      <c r="V7176">
        <v>6.0302059999999998E-2</v>
      </c>
      <c r="W7176">
        <v>-2.257149E-3</v>
      </c>
      <c r="X7176">
        <v>0.9981776</v>
      </c>
      <c r="Y7176">
        <v>0.1516497</v>
      </c>
      <c r="Z7176">
        <v>-0.23771529999999999</v>
      </c>
      <c r="AA7176">
        <v>0.95942369999999999</v>
      </c>
      <c r="AB7176">
        <v>32</v>
      </c>
      <c r="AC7176">
        <v>0.15050000000002201</v>
      </c>
      <c r="AD7176">
        <v>-0.2225145</v>
      </c>
      <c r="AE7176">
        <v>0.59215999999999203</v>
      </c>
      <c r="AF7176">
        <v>0.12575869771270101</v>
      </c>
      <c r="AG7176">
        <v>-0.2225145</v>
      </c>
      <c r="AH7176">
        <v>0.52457432804611004</v>
      </c>
      <c r="AI7176">
        <v>112.415809743335</v>
      </c>
      <c r="AJ7176">
        <v>76.518637337947098</v>
      </c>
      <c r="AK7176">
        <v>0.58352907245969499</v>
      </c>
      <c r="AL7176">
        <v>90.129325224199803</v>
      </c>
      <c r="AM7176">
        <v>86.542840178404802</v>
      </c>
      <c r="AN7176">
        <v>0.999999977151805</v>
      </c>
    </row>
    <row r="7177" spans="1:40" x14ac:dyDescent="0.25">
      <c r="A7177" t="str">
        <f>"20190312161200889"</f>
        <v>20190312161200889</v>
      </c>
      <c r="B7177" t="str">
        <f>"1552378320884109"</f>
        <v>1552378320884109</v>
      </c>
      <c r="C7177" t="s">
        <v>40</v>
      </c>
      <c r="D7177">
        <v>6.2632050000000001</v>
      </c>
      <c r="E7177">
        <v>0.5404021</v>
      </c>
      <c r="F7177" t="s">
        <v>42</v>
      </c>
      <c r="G7177">
        <v>-187.20849999999999</v>
      </c>
      <c r="H7177">
        <v>0.88020010000000004</v>
      </c>
      <c r="I7177">
        <v>90.229389999999995</v>
      </c>
      <c r="J7177">
        <v>-187.35919999999999</v>
      </c>
      <c r="K7177">
        <v>1.111299</v>
      </c>
      <c r="L7177">
        <v>89.655850000000001</v>
      </c>
      <c r="M7177">
        <v>1.3617570000000001E-2</v>
      </c>
      <c r="N7177">
        <v>0</v>
      </c>
      <c r="O7177">
        <v>0.99960059999999995</v>
      </c>
      <c r="P7177">
        <v>7.3831569999999999E-2</v>
      </c>
      <c r="Q7177">
        <v>-2.6616560000000001E-2</v>
      </c>
      <c r="R7177">
        <v>0.99691549999999995</v>
      </c>
      <c r="S7177">
        <v>0.52589419999999898</v>
      </c>
      <c r="T7177">
        <v>-0.78586859999999903</v>
      </c>
      <c r="U7177">
        <v>2.9490970000000001</v>
      </c>
      <c r="V7177">
        <v>6.0244789999999999E-2</v>
      </c>
      <c r="W7177">
        <v>-1.9060189999999999E-3</v>
      </c>
      <c r="X7177">
        <v>0.99818180000000001</v>
      </c>
      <c r="Y7177">
        <v>0.1563726</v>
      </c>
      <c r="Z7177">
        <v>-0.25400650000000002</v>
      </c>
      <c r="AA7177">
        <v>0.95447800000000005</v>
      </c>
      <c r="AB7177">
        <v>31</v>
      </c>
      <c r="AC7177">
        <v>0.1507</v>
      </c>
      <c r="AD7177">
        <v>-0.2310989</v>
      </c>
      <c r="AE7177">
        <v>0.57354000000000804</v>
      </c>
      <c r="AF7177">
        <v>0.124035952843148</v>
      </c>
      <c r="AG7177">
        <v>-0.2310989</v>
      </c>
      <c r="AH7177">
        <v>0.49965633992410902</v>
      </c>
      <c r="AI7177">
        <v>114.174889612925</v>
      </c>
      <c r="AJ7177">
        <v>76.058568114371795</v>
      </c>
      <c r="AK7177">
        <v>0.56431203886260894</v>
      </c>
      <c r="AL7177">
        <v>90.109206911942906</v>
      </c>
      <c r="AM7177">
        <v>86.546130053504896</v>
      </c>
      <c r="AN7177">
        <v>0.99999998674090596</v>
      </c>
    </row>
    <row r="7178" spans="1:40" x14ac:dyDescent="0.25">
      <c r="A7178" t="str">
        <f>"20190312161200913"</f>
        <v>20190312161200913</v>
      </c>
      <c r="B7178" t="str">
        <f>"1552378320904605"</f>
        <v>1552378320904605</v>
      </c>
      <c r="C7178" t="s">
        <v>40</v>
      </c>
      <c r="D7178">
        <v>6.3698670000000002</v>
      </c>
      <c r="E7178">
        <v>0.51847569999999998</v>
      </c>
      <c r="F7178" t="s">
        <v>42</v>
      </c>
      <c r="G7178">
        <v>-187.209</v>
      </c>
      <c r="H7178">
        <v>0.88778559999999995</v>
      </c>
      <c r="I7178">
        <v>90.509609999999995</v>
      </c>
      <c r="J7178">
        <v>-187.35480000000001</v>
      </c>
      <c r="K7178">
        <v>1.111289</v>
      </c>
      <c r="L7178">
        <v>89.980409999999907</v>
      </c>
      <c r="M7178">
        <v>1.368102E-2</v>
      </c>
      <c r="N7178">
        <v>0</v>
      </c>
      <c r="O7178">
        <v>0.99959960000000003</v>
      </c>
      <c r="P7178">
        <v>7.4449959999999996E-2</v>
      </c>
      <c r="Q7178">
        <v>-2.7207530000000001E-2</v>
      </c>
      <c r="R7178">
        <v>0.99685349999999995</v>
      </c>
      <c r="S7178">
        <v>0.51875309999999997</v>
      </c>
      <c r="T7178">
        <v>-0.77237549999999999</v>
      </c>
      <c r="U7178">
        <v>2.9502259999999998</v>
      </c>
      <c r="V7178">
        <v>6.0800470000000002E-2</v>
      </c>
      <c r="W7178">
        <v>-2.4945010000000001E-3</v>
      </c>
      <c r="X7178">
        <v>0.9981468</v>
      </c>
      <c r="Y7178">
        <v>0.15418999999999999</v>
      </c>
      <c r="Z7178">
        <v>-0.2499268</v>
      </c>
      <c r="AA7178">
        <v>0.95590900000000001</v>
      </c>
      <c r="AB7178">
        <v>31</v>
      </c>
      <c r="AC7178">
        <v>0.14580000000000801</v>
      </c>
      <c r="AD7178">
        <v>-0.22350339999999999</v>
      </c>
      <c r="AE7178">
        <v>0.529200000000003</v>
      </c>
      <c r="AF7178">
        <v>0.11884156729092001</v>
      </c>
      <c r="AG7178">
        <v>-0.22350339999999999</v>
      </c>
      <c r="AH7178">
        <v>0.45561074010078001</v>
      </c>
      <c r="AI7178">
        <v>115.39255142278201</v>
      </c>
      <c r="AJ7178">
        <v>75.380704769422096</v>
      </c>
      <c r="AK7178">
        <v>0.52120843663826399</v>
      </c>
      <c r="AL7178">
        <v>90.142924530801494</v>
      </c>
      <c r="AM7178">
        <v>86.514228850780796</v>
      </c>
      <c r="AN7178">
        <v>0.99999997701884902</v>
      </c>
    </row>
    <row r="7179" spans="1:40" x14ac:dyDescent="0.25">
      <c r="A7179" t="str">
        <f>"20190312161200936"</f>
        <v>20190312161200936</v>
      </c>
      <c r="B7179" t="str">
        <f>"1552378320924125"</f>
        <v>1552378320924125</v>
      </c>
      <c r="C7179" t="s">
        <v>40</v>
      </c>
      <c r="D7179">
        <v>8.0747429999999998</v>
      </c>
      <c r="E7179">
        <v>0.51720279999999996</v>
      </c>
      <c r="F7179" t="s">
        <v>42</v>
      </c>
      <c r="G7179">
        <v>-187.24770000000001</v>
      </c>
      <c r="H7179">
        <v>1.03335</v>
      </c>
      <c r="I7179">
        <v>90.855159999999998</v>
      </c>
      <c r="J7179">
        <v>-187.3503</v>
      </c>
      <c r="K7179">
        <v>1.111272</v>
      </c>
      <c r="L7179">
        <v>90.300349999999995</v>
      </c>
      <c r="M7179">
        <v>1.3782519999999999E-2</v>
      </c>
      <c r="N7179">
        <v>0</v>
      </c>
      <c r="O7179">
        <v>0.99959810000000004</v>
      </c>
      <c r="P7179">
        <v>7.5895829999999997E-2</v>
      </c>
      <c r="Q7179">
        <v>-2.8060040000000001E-2</v>
      </c>
      <c r="R7179">
        <v>0.99672090000000002</v>
      </c>
      <c r="S7179">
        <v>0.36376950000000002</v>
      </c>
      <c r="T7179">
        <v>-0.26508369999999998</v>
      </c>
      <c r="U7179">
        <v>2.9750670000000001</v>
      </c>
      <c r="V7179">
        <v>6.2146409999999999E-2</v>
      </c>
      <c r="W7179">
        <v>-3.3509719999999998E-3</v>
      </c>
      <c r="X7179">
        <v>0.99806139999999999</v>
      </c>
      <c r="Y7179">
        <v>0.1072</v>
      </c>
      <c r="Z7179">
        <v>-8.815626E-2</v>
      </c>
      <c r="AA7179">
        <v>0.99032149999999997</v>
      </c>
      <c r="AB7179">
        <v>31</v>
      </c>
      <c r="AC7179">
        <v>0.102599999999995</v>
      </c>
      <c r="AD7179">
        <v>-7.7922000000000005E-2</v>
      </c>
      <c r="AE7179">
        <v>0.55481000000000302</v>
      </c>
      <c r="AF7179">
        <v>9.31642636482337E-2</v>
      </c>
      <c r="AG7179">
        <v>-7.7922000000000005E-2</v>
      </c>
      <c r="AH7179">
        <v>0.54576225753706598</v>
      </c>
      <c r="AI7179">
        <v>98.011222510170299</v>
      </c>
      <c r="AJ7179">
        <v>80.312708739751002</v>
      </c>
      <c r="AK7179">
        <v>0.559113458840934</v>
      </c>
      <c r="AL7179">
        <v>90.191996915698098</v>
      </c>
      <c r="AM7179">
        <v>86.436956880745598</v>
      </c>
      <c r="AN7179">
        <v>0.99999998172959603</v>
      </c>
    </row>
    <row r="7180" spans="1:40" x14ac:dyDescent="0.25">
      <c r="A7180" t="str">
        <f>"20190312161200959"</f>
        <v>20190312161200959</v>
      </c>
      <c r="B7180" t="str">
        <f>"1552378320954382"</f>
        <v>1552378320954382</v>
      </c>
      <c r="C7180" t="s">
        <v>40</v>
      </c>
      <c r="D7180">
        <v>6.061782</v>
      </c>
      <c r="E7180">
        <v>0.51952480000000001</v>
      </c>
      <c r="F7180" t="s">
        <v>87</v>
      </c>
      <c r="G7180">
        <v>-183.35929999999999</v>
      </c>
      <c r="H7180" s="1">
        <v>-2.7552240000000001E-6</v>
      </c>
      <c r="I7180">
        <v>122.9663</v>
      </c>
      <c r="J7180">
        <v>-187.3459</v>
      </c>
      <c r="K7180">
        <v>1.111243</v>
      </c>
      <c r="L7180">
        <v>90.604429999999994</v>
      </c>
      <c r="M7180">
        <v>1.3923710000000001E-2</v>
      </c>
      <c r="N7180">
        <v>0</v>
      </c>
      <c r="O7180">
        <v>0.99959620000000005</v>
      </c>
      <c r="P7180">
        <v>7.790089E-2</v>
      </c>
      <c r="Q7180">
        <v>-2.786916E-2</v>
      </c>
      <c r="R7180">
        <v>0.99657150000000005</v>
      </c>
      <c r="S7180">
        <v>0.3639984</v>
      </c>
      <c r="T7180">
        <v>-0.10135420000000001</v>
      </c>
      <c r="U7180">
        <v>2.9793090000000002</v>
      </c>
      <c r="V7180">
        <v>6.4012219999999995E-2</v>
      </c>
      <c r="W7180">
        <v>-3.1688770000000001E-3</v>
      </c>
      <c r="X7180">
        <v>0.9979441</v>
      </c>
      <c r="Y7180">
        <v>0.10736759999999999</v>
      </c>
      <c r="Z7180">
        <v>-3.3771089999999997E-2</v>
      </c>
      <c r="AA7180">
        <v>0.99364569999999997</v>
      </c>
      <c r="AB7180">
        <v>31</v>
      </c>
      <c r="AC7180">
        <v>3.9866000000000001</v>
      </c>
      <c r="AD7180">
        <v>-1.111245755224</v>
      </c>
      <c r="AE7180">
        <v>32.361870000000003</v>
      </c>
      <c r="AF7180">
        <v>3.5313760862778301</v>
      </c>
      <c r="AG7180">
        <v>-1.111245755224</v>
      </c>
      <c r="AH7180">
        <v>32.3766513757353</v>
      </c>
      <c r="AI7180">
        <v>91.954178791485006</v>
      </c>
      <c r="AJ7180">
        <v>83.775259152562299</v>
      </c>
      <c r="AK7180">
        <v>32.5876209395092</v>
      </c>
      <c r="AL7180">
        <v>90.181563578788101</v>
      </c>
      <c r="AM7180">
        <v>86.329842209523804</v>
      </c>
      <c r="AN7180">
        <v>1.00000001640778</v>
      </c>
    </row>
    <row r="7181" spans="1:40" x14ac:dyDescent="0.25">
      <c r="A7181" t="str">
        <f>"20190312161200982"</f>
        <v>20190312161200982</v>
      </c>
      <c r="B7181" t="str">
        <f>"1552378320974877"</f>
        <v>1552378320974877</v>
      </c>
      <c r="C7181" t="s">
        <v>40</v>
      </c>
      <c r="D7181">
        <v>6.0400199999999904</v>
      </c>
      <c r="E7181">
        <v>0.52434689999999995</v>
      </c>
      <c r="F7181" t="s">
        <v>54</v>
      </c>
      <c r="G7181">
        <v>-166.44589999999999</v>
      </c>
      <c r="H7181">
        <v>1.3371280000000001</v>
      </c>
      <c r="I7181">
        <v>249.3853</v>
      </c>
      <c r="J7181">
        <v>-187.34139999999999</v>
      </c>
      <c r="K7181">
        <v>1.1112120000000001</v>
      </c>
      <c r="L7181">
        <v>90.917389999999997</v>
      </c>
      <c r="M7181">
        <v>1.411917E-2</v>
      </c>
      <c r="N7181">
        <v>0</v>
      </c>
      <c r="O7181">
        <v>0.99959359999999997</v>
      </c>
      <c r="P7181">
        <v>8.0079789999999998E-2</v>
      </c>
      <c r="Q7181">
        <v>-2.7456600000000001E-2</v>
      </c>
      <c r="R7181">
        <v>0.99641029999999997</v>
      </c>
      <c r="S7181">
        <v>0.3922272</v>
      </c>
      <c r="T7181">
        <v>4.2401549999999998E-3</v>
      </c>
      <c r="U7181">
        <v>2.979797</v>
      </c>
      <c r="V7181">
        <v>6.5997970000000003E-2</v>
      </c>
      <c r="W7181">
        <v>-2.769152E-3</v>
      </c>
      <c r="X7181">
        <v>0.99781589999999998</v>
      </c>
      <c r="Y7181">
        <v>0.1164873</v>
      </c>
      <c r="Z7181">
        <v>1.411821E-3</v>
      </c>
      <c r="AA7181">
        <v>0.99319120000000005</v>
      </c>
      <c r="AB7181">
        <v>31</v>
      </c>
      <c r="AC7181">
        <v>20.895499999999998</v>
      </c>
      <c r="AD7181">
        <v>0.22591599999999901</v>
      </c>
      <c r="AE7181">
        <v>158.46790999999999</v>
      </c>
      <c r="AF7181">
        <v>18.655256813683</v>
      </c>
      <c r="AG7181">
        <v>0.22591599999999901</v>
      </c>
      <c r="AH7181">
        <v>158.74690465474001</v>
      </c>
      <c r="AI7181">
        <v>89.919018504293007</v>
      </c>
      <c r="AJ7181">
        <v>83.297585727550995</v>
      </c>
      <c r="AK7181">
        <v>159.83944876745801</v>
      </c>
      <c r="AL7181">
        <v>90.158660927541703</v>
      </c>
      <c r="AM7181">
        <v>86.215829750770695</v>
      </c>
      <c r="AN7181">
        <v>0.999999985269864</v>
      </c>
    </row>
    <row r="7182" spans="1:40" x14ac:dyDescent="0.25">
      <c r="A7182" t="str">
        <f>"20190312161201004"</f>
        <v>20190312161201004</v>
      </c>
      <c r="B7182" t="str">
        <f>"1552378320994397"</f>
        <v>1552378320994397</v>
      </c>
      <c r="C7182" t="s">
        <v>40</v>
      </c>
      <c r="D7182">
        <v>5.9399329999999999</v>
      </c>
      <c r="E7182">
        <v>0.52731079999999997</v>
      </c>
      <c r="F7182" t="s">
        <v>54</v>
      </c>
      <c r="G7182">
        <v>-168.16040000000001</v>
      </c>
      <c r="H7182">
        <v>0.57831860000000002</v>
      </c>
      <c r="I7182">
        <v>221.6901</v>
      </c>
      <c r="J7182">
        <v>-187.33709999999999</v>
      </c>
      <c r="K7182">
        <v>1.111183</v>
      </c>
      <c r="L7182">
        <v>91.208219999999997</v>
      </c>
      <c r="M7182">
        <v>1.43485E-2</v>
      </c>
      <c r="N7182">
        <v>0</v>
      </c>
      <c r="O7182">
        <v>0.99959039999999999</v>
      </c>
      <c r="P7182">
        <v>8.214262E-2</v>
      </c>
      <c r="Q7182">
        <v>-2.7164810000000001E-2</v>
      </c>
      <c r="R7182">
        <v>0.99625030000000003</v>
      </c>
      <c r="S7182">
        <v>0.43641659999999999</v>
      </c>
      <c r="T7182">
        <v>-1.212335E-2</v>
      </c>
      <c r="U7182">
        <v>2.975403</v>
      </c>
      <c r="V7182">
        <v>6.7833920000000006E-2</v>
      </c>
      <c r="W7182">
        <v>-2.491802E-3</v>
      </c>
      <c r="X7182">
        <v>0.99769350000000001</v>
      </c>
      <c r="Y7182">
        <v>0.13090499999999999</v>
      </c>
      <c r="Z7182">
        <v>-4.0347450000000002E-3</v>
      </c>
      <c r="AA7182">
        <v>0.99138669999999995</v>
      </c>
      <c r="AB7182">
        <v>30</v>
      </c>
      <c r="AC7182">
        <v>19.176699999999901</v>
      </c>
      <c r="AD7182">
        <v>-0.53286440000000002</v>
      </c>
      <c r="AE7182">
        <v>130.48187999999999</v>
      </c>
      <c r="AF7182">
        <v>17.3016486965921</v>
      </c>
      <c r="AG7182">
        <v>-0.53286440000000002</v>
      </c>
      <c r="AH7182">
        <v>130.741546222202</v>
      </c>
      <c r="AI7182">
        <v>90.231501327436206</v>
      </c>
      <c r="AJ7182">
        <v>82.461579686826795</v>
      </c>
      <c r="AK7182">
        <v>131.882458654141</v>
      </c>
      <c r="AL7182">
        <v>90.142769887888704</v>
      </c>
      <c r="AM7182">
        <v>86.110403676486399</v>
      </c>
      <c r="AN7182">
        <v>0.99999998486101105</v>
      </c>
    </row>
    <row r="7183" spans="1:40" x14ac:dyDescent="0.25">
      <c r="A7183" t="str">
        <f>"20190312161201051"</f>
        <v>20190312161201051</v>
      </c>
      <c r="B7183" t="str">
        <f>"1552378321044173"</f>
        <v>1552378321044173</v>
      </c>
      <c r="C7183" t="s">
        <v>40</v>
      </c>
      <c r="D7183">
        <v>5.6790760000000002</v>
      </c>
      <c r="E7183">
        <v>0.53074460000000001</v>
      </c>
      <c r="F7183" t="s">
        <v>55</v>
      </c>
      <c r="G7183">
        <v>-168.9992</v>
      </c>
      <c r="H7183">
        <v>0.14873310000000001</v>
      </c>
      <c r="I7183">
        <v>208.21549999999999</v>
      </c>
      <c r="J7183">
        <v>-187.32759999999999</v>
      </c>
      <c r="K7183">
        <v>1.111127</v>
      </c>
      <c r="L7183">
        <v>91.812290000000004</v>
      </c>
      <c r="M7183">
        <v>1.495983E-2</v>
      </c>
      <c r="N7183">
        <v>0</v>
      </c>
      <c r="O7183">
        <v>0.99958179999999996</v>
      </c>
      <c r="P7183">
        <v>8.5205160000000002E-2</v>
      </c>
      <c r="Q7183">
        <v>-2.6402780000000001E-2</v>
      </c>
      <c r="R7183">
        <v>0.9960135</v>
      </c>
      <c r="S7183">
        <v>0.46582030000000002</v>
      </c>
      <c r="T7183">
        <v>-2.4447320000000002E-2</v>
      </c>
      <c r="U7183">
        <v>2.972229</v>
      </c>
      <c r="V7183">
        <v>7.0289779999999996E-2</v>
      </c>
      <c r="W7183">
        <v>-1.7616719999999999E-3</v>
      </c>
      <c r="X7183">
        <v>0.997525</v>
      </c>
      <c r="Y7183">
        <v>0.14002779999999901</v>
      </c>
      <c r="Z7183">
        <v>-8.1334340000000001E-3</v>
      </c>
      <c r="AA7183">
        <v>0.99011420000000006</v>
      </c>
      <c r="AB7183">
        <v>30</v>
      </c>
      <c r="AC7183">
        <v>18.328399999999899</v>
      </c>
      <c r="AD7183">
        <v>-0.96239390000000002</v>
      </c>
      <c r="AE7183">
        <v>116.40321</v>
      </c>
      <c r="AF7183">
        <v>16.5833358567765</v>
      </c>
      <c r="AG7183">
        <v>-0.96239390000000002</v>
      </c>
      <c r="AH7183">
        <v>116.65666846781799</v>
      </c>
      <c r="AI7183">
        <v>90.467963404586598</v>
      </c>
      <c r="AJ7183">
        <v>81.909323298875606</v>
      </c>
      <c r="AK7183">
        <v>117.833405824358</v>
      </c>
      <c r="AL7183">
        <v>90.100936428636402</v>
      </c>
      <c r="AM7183">
        <v>85.969362110720496</v>
      </c>
      <c r="AN7183">
        <v>0.99999994114283997</v>
      </c>
    </row>
    <row r="7184" spans="1:40" x14ac:dyDescent="0.25">
      <c r="A7184" t="str">
        <f>"20190312161201071"</f>
        <v>20190312161201071</v>
      </c>
      <c r="B7184" t="str">
        <f>"1552378321065646"</f>
        <v>1552378321065646</v>
      </c>
      <c r="C7184" t="s">
        <v>40</v>
      </c>
      <c r="D7184">
        <v>5.6960459999999999</v>
      </c>
      <c r="E7184">
        <v>0.53198489999999998</v>
      </c>
      <c r="F7184" t="s">
        <v>43</v>
      </c>
      <c r="G7184">
        <v>-173.3595</v>
      </c>
      <c r="H7184">
        <v>-0.05</v>
      </c>
      <c r="I7184">
        <v>174.4821</v>
      </c>
      <c r="J7184">
        <v>-187.32300000000001</v>
      </c>
      <c r="K7184">
        <v>1.1111120000000001</v>
      </c>
      <c r="L7184">
        <v>92.096530000000001</v>
      </c>
      <c r="M7184">
        <v>1.5290969999999999E-2</v>
      </c>
      <c r="N7184">
        <v>0</v>
      </c>
      <c r="O7184">
        <v>0.99957700000000005</v>
      </c>
      <c r="P7184">
        <v>8.612061E-2</v>
      </c>
      <c r="Q7184">
        <v>-2.6124749999999999E-2</v>
      </c>
      <c r="R7184">
        <v>0.99594210000000005</v>
      </c>
      <c r="S7184">
        <v>0.50148009999999998</v>
      </c>
      <c r="T7184">
        <v>-4.1686420000000002E-2</v>
      </c>
      <c r="U7184">
        <v>2.9679869999999999</v>
      </c>
      <c r="V7184">
        <v>7.087599E-2</v>
      </c>
      <c r="W7184">
        <v>-1.4982610000000001E-3</v>
      </c>
      <c r="X7184">
        <v>0.99748400000000004</v>
      </c>
      <c r="Y7184">
        <v>0.15148429999999999</v>
      </c>
      <c r="Z7184">
        <v>-1.386224E-2</v>
      </c>
      <c r="AA7184">
        <v>0.98836239999999997</v>
      </c>
      <c r="AB7184">
        <v>29</v>
      </c>
      <c r="AC7184">
        <v>13.9634999999999</v>
      </c>
      <c r="AD7184">
        <v>-1.1611119999999999</v>
      </c>
      <c r="AE7184">
        <v>82.385570000000001</v>
      </c>
      <c r="AF7184">
        <v>12.6992735051527</v>
      </c>
      <c r="AG7184">
        <v>-1.1611119999999999</v>
      </c>
      <c r="AH7184">
        <v>82.573569303367407</v>
      </c>
      <c r="AI7184">
        <v>90.796253709523</v>
      </c>
      <c r="AJ7184">
        <v>81.256788053473997</v>
      </c>
      <c r="AK7184">
        <v>83.552463016557695</v>
      </c>
      <c r="AL7184">
        <v>90.085844064841496</v>
      </c>
      <c r="AM7184">
        <v>85.935692666632207</v>
      </c>
      <c r="AN7184">
        <v>0.99999999050025201</v>
      </c>
    </row>
    <row r="7185" spans="1:40" x14ac:dyDescent="0.25">
      <c r="A7185" t="str">
        <f>"20190312161201094"</f>
        <v>20190312161201094</v>
      </c>
      <c r="B7185" t="str">
        <f>"1552378321084190"</f>
        <v>1552378321084190</v>
      </c>
      <c r="C7185" t="s">
        <v>40</v>
      </c>
      <c r="D7185">
        <v>5.6122379999999996</v>
      </c>
      <c r="E7185">
        <v>0.53293789999999996</v>
      </c>
      <c r="F7185" t="s">
        <v>87</v>
      </c>
      <c r="G7185">
        <v>-176.32169999999999</v>
      </c>
      <c r="H7185">
        <v>7.9984490000000005E-2</v>
      </c>
      <c r="I7185">
        <v>155.61670000000001</v>
      </c>
      <c r="J7185">
        <v>-187.31819999999999</v>
      </c>
      <c r="K7185">
        <v>1.1111089999999999</v>
      </c>
      <c r="L7185">
        <v>92.381529999999998</v>
      </c>
      <c r="M7185">
        <v>1.5640790000000002E-2</v>
      </c>
      <c r="N7185">
        <v>0</v>
      </c>
      <c r="O7185">
        <v>0.99957189999999996</v>
      </c>
      <c r="P7185">
        <v>8.7398249999999997E-2</v>
      </c>
      <c r="Q7185">
        <v>-2.6852830000000001E-2</v>
      </c>
      <c r="R7185">
        <v>0.99581149999999996</v>
      </c>
      <c r="S7185">
        <v>0.51377870000000003</v>
      </c>
      <c r="T7185">
        <v>-4.8155780000000002E-2</v>
      </c>
      <c r="U7185">
        <v>2.9665219999999999</v>
      </c>
      <c r="V7185">
        <v>7.1805949999999993E-2</v>
      </c>
      <c r="W7185">
        <v>-2.2423249999999999E-3</v>
      </c>
      <c r="X7185">
        <v>0.99741610000000003</v>
      </c>
      <c r="Y7185">
        <v>0.155193</v>
      </c>
      <c r="Z7185">
        <v>-1.60105E-2</v>
      </c>
      <c r="AA7185">
        <v>0.98775440000000003</v>
      </c>
      <c r="AB7185">
        <v>29</v>
      </c>
      <c r="AC7185">
        <v>10.9964999999999</v>
      </c>
      <c r="AD7185">
        <v>-1.0311245099999999</v>
      </c>
      <c r="AE7185">
        <v>63.235169999999997</v>
      </c>
      <c r="AF7185">
        <v>10.003221835995101</v>
      </c>
      <c r="AG7185">
        <v>-1.0311245099999999</v>
      </c>
      <c r="AH7185">
        <v>63.383118237377701</v>
      </c>
      <c r="AI7185">
        <v>90.920619986092106</v>
      </c>
      <c r="AJ7185">
        <v>81.031464842222405</v>
      </c>
      <c r="AK7185">
        <v>64.175909361291204</v>
      </c>
      <c r="AL7185">
        <v>90.128475866523203</v>
      </c>
      <c r="AM7185">
        <v>85.882268005672501</v>
      </c>
      <c r="AN7185">
        <v>0.999999999508009</v>
      </c>
    </row>
    <row r="7186" spans="1:40" x14ac:dyDescent="0.25">
      <c r="A7186" t="str">
        <f>"20190312161201116"</f>
        <v>20190312161201116</v>
      </c>
      <c r="B7186" t="str">
        <f>"1552378321105661"</f>
        <v>1552378321105661</v>
      </c>
      <c r="C7186" t="s">
        <v>40</v>
      </c>
      <c r="D7186">
        <v>5.5509729999999999</v>
      </c>
      <c r="E7186">
        <v>0.5336632</v>
      </c>
      <c r="F7186" t="s">
        <v>87</v>
      </c>
      <c r="G7186">
        <v>-177.16970000000001</v>
      </c>
      <c r="H7186">
        <v>3.4083310000000001E-3</v>
      </c>
      <c r="I7186">
        <v>149.6918</v>
      </c>
      <c r="J7186">
        <v>-187.31319999999999</v>
      </c>
      <c r="K7186">
        <v>1.1111040000000001</v>
      </c>
      <c r="L7186">
        <v>92.66968</v>
      </c>
      <c r="M7186">
        <v>1.6010340000000001E-2</v>
      </c>
      <c r="N7186">
        <v>0</v>
      </c>
      <c r="O7186">
        <v>0.99956639999999997</v>
      </c>
      <c r="P7186">
        <v>8.8979610000000001E-2</v>
      </c>
      <c r="Q7186">
        <v>-2.652475E-2</v>
      </c>
      <c r="R7186">
        <v>0.99568020000000002</v>
      </c>
      <c r="S7186">
        <v>0.5250397</v>
      </c>
      <c r="T7186">
        <v>-5.7307839999999999E-2</v>
      </c>
      <c r="U7186">
        <v>2.9649960000000002</v>
      </c>
      <c r="V7186">
        <v>7.3020760000000004E-2</v>
      </c>
      <c r="W7186">
        <v>-1.931164E-3</v>
      </c>
      <c r="X7186">
        <v>0.99732860000000001</v>
      </c>
      <c r="Y7186">
        <v>0.15854279999999901</v>
      </c>
      <c r="Z7186">
        <v>-1.905047E-2</v>
      </c>
      <c r="AA7186">
        <v>0.9871683</v>
      </c>
      <c r="AB7186">
        <v>29</v>
      </c>
      <c r="AC7186">
        <v>10.1434999999999</v>
      </c>
      <c r="AD7186">
        <v>-1.1076956689999999</v>
      </c>
      <c r="AE7186">
        <v>57.022119999999902</v>
      </c>
      <c r="AF7186">
        <v>9.2256020850282692</v>
      </c>
      <c r="AG7186">
        <v>-1.1076956689999999</v>
      </c>
      <c r="AH7186">
        <v>57.1563504267478</v>
      </c>
      <c r="AI7186">
        <v>91.096076042131202</v>
      </c>
      <c r="AJ7186">
        <v>80.830974263544107</v>
      </c>
      <c r="AK7186">
        <v>57.906710471512604</v>
      </c>
      <c r="AL7186">
        <v>90.110647610146998</v>
      </c>
      <c r="AM7186">
        <v>85.812484058184197</v>
      </c>
      <c r="AN7186">
        <v>1.00000004858166</v>
      </c>
    </row>
    <row r="7187" spans="1:40" x14ac:dyDescent="0.25">
      <c r="A7187" t="str">
        <f>"20190312161201138"</f>
        <v>20190312161201138</v>
      </c>
      <c r="B7187" t="str">
        <f>"1552378321124206"</f>
        <v>1552378321124206</v>
      </c>
      <c r="C7187" t="s">
        <v>40</v>
      </c>
      <c r="D7187">
        <v>5.5461839999999896</v>
      </c>
      <c r="E7187">
        <v>0.5345029</v>
      </c>
      <c r="F7187" t="s">
        <v>87</v>
      </c>
      <c r="G7187">
        <v>-178.04220000000001</v>
      </c>
      <c r="H7187" s="1">
        <v>-9.1280999999999999E-6</v>
      </c>
      <c r="I7187">
        <v>144.00299999999999</v>
      </c>
      <c r="J7187">
        <v>-187.3081</v>
      </c>
      <c r="K7187">
        <v>1.1111059999999999</v>
      </c>
      <c r="L7187">
        <v>92.960660000000004</v>
      </c>
      <c r="M7187">
        <v>1.6396529999999999E-2</v>
      </c>
      <c r="N7187">
        <v>0</v>
      </c>
      <c r="O7187">
        <v>0.99956040000000002</v>
      </c>
      <c r="P7187">
        <v>9.0665259999999998E-2</v>
      </c>
      <c r="Q7187">
        <v>-2.653057E-2</v>
      </c>
      <c r="R7187">
        <v>0.99552799999999997</v>
      </c>
      <c r="S7187">
        <v>0.53521730000000001</v>
      </c>
      <c r="T7187">
        <v>-6.4144489999999998E-2</v>
      </c>
      <c r="U7187">
        <v>2.96347</v>
      </c>
      <c r="V7187">
        <v>7.4323420000000001E-2</v>
      </c>
      <c r="W7187">
        <v>-1.9550729999999999E-3</v>
      </c>
      <c r="X7187">
        <v>0.99723229999999996</v>
      </c>
      <c r="Y7187">
        <v>0.1615249</v>
      </c>
      <c r="Z7187">
        <v>-2.1321159999999999E-2</v>
      </c>
      <c r="AA7187">
        <v>0.98663829999999997</v>
      </c>
      <c r="AB7187">
        <v>29</v>
      </c>
      <c r="AC7187">
        <v>9.2658999999999807</v>
      </c>
      <c r="AD7187">
        <v>-1.1111151281</v>
      </c>
      <c r="AE7187">
        <v>51.042339999999903</v>
      </c>
      <c r="AF7187">
        <v>8.4236165701854997</v>
      </c>
      <c r="AG7187">
        <v>-1.1111151281</v>
      </c>
      <c r="AH7187">
        <v>51.163977599038297</v>
      </c>
      <c r="AI7187">
        <v>91.227561501628998</v>
      </c>
      <c r="AJ7187">
        <v>80.650718442668705</v>
      </c>
      <c r="AK7187">
        <v>51.864674844293503</v>
      </c>
      <c r="AL7187">
        <v>90.112017499919403</v>
      </c>
      <c r="AM7187">
        <v>85.737643326725006</v>
      </c>
      <c r="AN7187">
        <v>1.0000000266171101</v>
      </c>
    </row>
    <row r="7188" spans="1:40" x14ac:dyDescent="0.25">
      <c r="A7188" t="str">
        <f>"20190312161201183"</f>
        <v>20190312161201183</v>
      </c>
      <c r="B7188" t="str">
        <f>"1552378321174957"</f>
        <v>1552378321174957</v>
      </c>
      <c r="C7188" t="s">
        <v>40</v>
      </c>
      <c r="D7188">
        <v>5.4297779999999998</v>
      </c>
      <c r="E7188">
        <v>0.53620449999999997</v>
      </c>
      <c r="F7188" t="s">
        <v>87</v>
      </c>
      <c r="G7188">
        <v>-178.54730000000001</v>
      </c>
      <c r="H7188" s="1">
        <v>-8.3149599999999998E-6</v>
      </c>
      <c r="I7188">
        <v>140.43289999999999</v>
      </c>
      <c r="J7188">
        <v>-187.2978</v>
      </c>
      <c r="K7188">
        <v>1.1110960000000001</v>
      </c>
      <c r="L7188">
        <v>93.525019999999998</v>
      </c>
      <c r="M7188">
        <v>1.7181169999999999E-2</v>
      </c>
      <c r="N7188">
        <v>0</v>
      </c>
      <c r="O7188">
        <v>0.99954799999999999</v>
      </c>
      <c r="P7188">
        <v>9.5393229999999996E-2</v>
      </c>
      <c r="Q7188">
        <v>-2.7395860000000001E-2</v>
      </c>
      <c r="R7188">
        <v>0.99506260000000002</v>
      </c>
      <c r="S7188">
        <v>0.54660030000000004</v>
      </c>
      <c r="T7188">
        <v>-6.9323780000000002E-2</v>
      </c>
      <c r="U7188">
        <v>2.9618530000000001</v>
      </c>
      <c r="V7188">
        <v>7.8275380000000006E-2</v>
      </c>
      <c r="W7188">
        <v>-2.8618300000000001E-3</v>
      </c>
      <c r="X7188">
        <v>0.99692769999999997</v>
      </c>
      <c r="Y7188">
        <v>0.16450629999999999</v>
      </c>
      <c r="Z7188">
        <v>-2.3040140000000001E-2</v>
      </c>
      <c r="AA7188">
        <v>0.98610690000000001</v>
      </c>
      <c r="AB7188">
        <v>29</v>
      </c>
      <c r="AC7188">
        <v>8.7504999999999793</v>
      </c>
      <c r="AD7188">
        <v>-1.11110431496</v>
      </c>
      <c r="AE7188">
        <v>46.907879999999899</v>
      </c>
      <c r="AF7188">
        <v>7.9387255577985103</v>
      </c>
      <c r="AG7188">
        <v>-1.11110431496</v>
      </c>
      <c r="AH7188">
        <v>47.025843894058198</v>
      </c>
      <c r="AI7188">
        <v>91.334628487121293</v>
      </c>
      <c r="AJ7188">
        <v>80.417887632480699</v>
      </c>
      <c r="AK7188">
        <v>47.704170784419901</v>
      </c>
      <c r="AL7188">
        <v>90.163970999242295</v>
      </c>
      <c r="AM7188">
        <v>85.510540330413406</v>
      </c>
      <c r="AN7188">
        <v>1.0000000321061899</v>
      </c>
    </row>
    <row r="7189" spans="1:40" x14ac:dyDescent="0.25">
      <c r="A7189" t="str">
        <f>"20190312161201207"</f>
        <v>20190312161201207</v>
      </c>
      <c r="B7189" t="str">
        <f>"1552378321194478"</f>
        <v>1552378321194478</v>
      </c>
      <c r="C7189" t="s">
        <v>40</v>
      </c>
      <c r="D7189">
        <v>5.3663429999999996</v>
      </c>
      <c r="E7189">
        <v>0.53659040000000002</v>
      </c>
      <c r="F7189" t="s">
        <v>87</v>
      </c>
      <c r="G7189">
        <v>-179.06139999999999</v>
      </c>
      <c r="H7189" s="1">
        <v>-7.0920729999999997E-6</v>
      </c>
      <c r="I7189">
        <v>135.95949999999999</v>
      </c>
      <c r="J7189">
        <v>-187.29239999999999</v>
      </c>
      <c r="K7189">
        <v>1.111089</v>
      </c>
      <c r="L7189">
        <v>93.807649999999995</v>
      </c>
      <c r="M7189">
        <v>1.759374E-2</v>
      </c>
      <c r="N7189">
        <v>0</v>
      </c>
      <c r="O7189">
        <v>0.99954120000000002</v>
      </c>
      <c r="P7189">
        <v>9.8176600000000003E-2</v>
      </c>
      <c r="Q7189">
        <v>-2.7732329999999999E-2</v>
      </c>
      <c r="R7189">
        <v>0.99478250000000001</v>
      </c>
      <c r="S7189">
        <v>0.57408139999999996</v>
      </c>
      <c r="T7189">
        <v>-7.7444310000000002E-2</v>
      </c>
      <c r="U7189">
        <v>2.957703</v>
      </c>
      <c r="V7189">
        <v>8.0651600000000004E-2</v>
      </c>
      <c r="W7189">
        <v>-3.2212569999999999E-3</v>
      </c>
      <c r="X7189">
        <v>0.99673710000000004</v>
      </c>
      <c r="Y7189">
        <v>0.17317189999999999</v>
      </c>
      <c r="Z7189">
        <v>-2.5731230000000001E-2</v>
      </c>
      <c r="AA7189">
        <v>0.98455539999999997</v>
      </c>
      <c r="AB7189">
        <v>28</v>
      </c>
      <c r="AC7189">
        <v>8.2309999999999892</v>
      </c>
      <c r="AD7189">
        <v>-1.111096092073</v>
      </c>
      <c r="AE7189">
        <v>42.151850000000003</v>
      </c>
      <c r="AF7189">
        <v>7.4828827690945801</v>
      </c>
      <c r="AG7189">
        <v>-1.111096092073</v>
      </c>
      <c r="AH7189">
        <v>42.261894094213801</v>
      </c>
      <c r="AI7189">
        <v>91.482945634271999</v>
      </c>
      <c r="AJ7189">
        <v>79.959283400683404</v>
      </c>
      <c r="AK7189">
        <v>42.933620409795097</v>
      </c>
      <c r="AL7189">
        <v>90.184564758913595</v>
      </c>
      <c r="AM7189">
        <v>85.373955027080797</v>
      </c>
      <c r="AN7189">
        <v>0.99999995179781298</v>
      </c>
    </row>
    <row r="7190" spans="1:40" x14ac:dyDescent="0.25">
      <c r="A7190" t="str">
        <f>"20190312161201227"</f>
        <v>20190312161201227</v>
      </c>
      <c r="B7190" t="str">
        <f>"1552378321213997"</f>
        <v>1552378321213997</v>
      </c>
      <c r="C7190" t="s">
        <v>40</v>
      </c>
      <c r="D7190">
        <v>5.3690309999999997</v>
      </c>
      <c r="E7190">
        <v>0.53710649999999904</v>
      </c>
      <c r="F7190" t="s">
        <v>87</v>
      </c>
      <c r="G7190">
        <v>-179.24950000000001</v>
      </c>
      <c r="H7190" s="1">
        <v>-6.6717979999999997E-6</v>
      </c>
      <c r="I7190">
        <v>134.42269999999999</v>
      </c>
      <c r="J7190">
        <v>-187.28720000000001</v>
      </c>
      <c r="K7190">
        <v>1.111083</v>
      </c>
      <c r="L7190">
        <v>94.073849999999993</v>
      </c>
      <c r="M7190">
        <v>1.7999379999999999E-2</v>
      </c>
      <c r="N7190">
        <v>0</v>
      </c>
      <c r="O7190">
        <v>0.99953429999999999</v>
      </c>
      <c r="P7190">
        <v>0.10068100000000001</v>
      </c>
      <c r="Q7190">
        <v>-2.7963060000000001E-2</v>
      </c>
      <c r="R7190">
        <v>0.99452569999999996</v>
      </c>
      <c r="S7190">
        <v>0.5853119</v>
      </c>
      <c r="T7190">
        <v>-8.0858830000000007E-2</v>
      </c>
      <c r="U7190">
        <v>2.9557190000000002</v>
      </c>
      <c r="V7190">
        <v>8.2755629999999997E-2</v>
      </c>
      <c r="W7190">
        <v>-3.474048E-3</v>
      </c>
      <c r="X7190">
        <v>0.9965638</v>
      </c>
      <c r="Y7190">
        <v>0.17649129999999999</v>
      </c>
      <c r="Z7190">
        <v>-2.6864579999999999E-2</v>
      </c>
      <c r="AA7190">
        <v>0.98393549999999996</v>
      </c>
      <c r="AB7190">
        <v>28</v>
      </c>
      <c r="AC7190">
        <v>8.0376999999999992</v>
      </c>
      <c r="AD7190">
        <v>-1.1110896717979999</v>
      </c>
      <c r="AE7190">
        <v>40.348849999999999</v>
      </c>
      <c r="AF7190">
        <v>7.3045946137267697</v>
      </c>
      <c r="AG7190">
        <v>-1.1110896717979999</v>
      </c>
      <c r="AH7190">
        <v>40.457519365206402</v>
      </c>
      <c r="AI7190">
        <v>91.548107462237695</v>
      </c>
      <c r="AJ7190">
        <v>79.765519908505695</v>
      </c>
      <c r="AK7190">
        <v>41.126664050415201</v>
      </c>
      <c r="AL7190">
        <v>90.199048691522407</v>
      </c>
      <c r="AM7190">
        <v>85.252994063736196</v>
      </c>
      <c r="AN7190">
        <v>0.99999998538832102</v>
      </c>
    </row>
    <row r="7191" spans="1:40" x14ac:dyDescent="0.25">
      <c r="A7191" t="str">
        <f>"20190312161201252"</f>
        <v>20190312161201252</v>
      </c>
      <c r="B7191" t="str">
        <f>"1552378321244254"</f>
        <v>1552378321244254</v>
      </c>
      <c r="C7191" t="s">
        <v>40</v>
      </c>
      <c r="D7191">
        <v>5.3128409999999997</v>
      </c>
      <c r="E7191">
        <v>0.53746459999999996</v>
      </c>
      <c r="F7191" t="s">
        <v>87</v>
      </c>
      <c r="G7191">
        <v>-179.3415</v>
      </c>
      <c r="H7191" s="1">
        <v>-6.3716199999999897E-6</v>
      </c>
      <c r="I7191">
        <v>133.4006</v>
      </c>
      <c r="J7191">
        <v>-187.28139999999999</v>
      </c>
      <c r="K7191">
        <v>1.1110770000000001</v>
      </c>
      <c r="L7191">
        <v>94.364590000000007</v>
      </c>
      <c r="M7191">
        <v>1.8461470000000001E-2</v>
      </c>
      <c r="N7191">
        <v>0</v>
      </c>
      <c r="O7191">
        <v>0.99952629999999998</v>
      </c>
      <c r="P7191">
        <v>0.1028578</v>
      </c>
      <c r="Q7191">
        <v>-2.773509E-2</v>
      </c>
      <c r="R7191">
        <v>0.99430929999999995</v>
      </c>
      <c r="S7191">
        <v>0.5967865</v>
      </c>
      <c r="T7191">
        <v>-8.3451269999999994E-2</v>
      </c>
      <c r="U7191">
        <v>2.953735</v>
      </c>
      <c r="V7191">
        <v>8.4475579999999995E-2</v>
      </c>
      <c r="W7191">
        <v>-3.2692540000000001E-3</v>
      </c>
      <c r="X7191">
        <v>0.99642019999999998</v>
      </c>
      <c r="Y7191">
        <v>0.17983170000000001</v>
      </c>
      <c r="Z7191">
        <v>-2.7724220000000001E-2</v>
      </c>
      <c r="AA7191">
        <v>0.98330660000000003</v>
      </c>
      <c r="AB7191">
        <v>28</v>
      </c>
      <c r="AC7191">
        <v>7.93989999999999</v>
      </c>
      <c r="AD7191">
        <v>-1.1110833716199999</v>
      </c>
      <c r="AE7191">
        <v>39.036009999999898</v>
      </c>
      <c r="AF7191">
        <v>7.2120546037738098</v>
      </c>
      <c r="AG7191">
        <v>-1.1110833716199999</v>
      </c>
      <c r="AH7191">
        <v>39.1455262170008</v>
      </c>
      <c r="AI7191">
        <v>91.598917405573104</v>
      </c>
      <c r="AJ7191">
        <v>79.561057196822702</v>
      </c>
      <c r="AK7191">
        <v>39.819850083499801</v>
      </c>
      <c r="AL7191">
        <v>90.187314787536096</v>
      </c>
      <c r="AM7191">
        <v>85.154104750322404</v>
      </c>
      <c r="AN7191">
        <v>1.00000001330304</v>
      </c>
    </row>
    <row r="7192" spans="1:40" x14ac:dyDescent="0.25">
      <c r="A7192" t="str">
        <f>"20190312161201273"</f>
        <v>20190312161201273</v>
      </c>
      <c r="B7192" t="str">
        <f>"1552378321264787"</f>
        <v>1552378321264787</v>
      </c>
      <c r="C7192" t="s">
        <v>40</v>
      </c>
      <c r="D7192">
        <v>5.2361680000000002</v>
      </c>
      <c r="E7192">
        <v>0.53769549999999999</v>
      </c>
      <c r="F7192" t="s">
        <v>87</v>
      </c>
      <c r="G7192">
        <v>-179.3604</v>
      </c>
      <c r="H7192" s="1">
        <v>-6.2260950000000001E-6</v>
      </c>
      <c r="I7192">
        <v>132.95079999999999</v>
      </c>
      <c r="J7192">
        <v>-187.27619999999999</v>
      </c>
      <c r="K7192">
        <v>1.1110709999999999</v>
      </c>
      <c r="L7192">
        <v>94.618870000000001</v>
      </c>
      <c r="M7192">
        <v>1.8885180000000001E-2</v>
      </c>
      <c r="N7192">
        <v>0</v>
      </c>
      <c r="O7192">
        <v>0.99951869999999998</v>
      </c>
      <c r="P7192">
        <v>0.10452790000000001</v>
      </c>
      <c r="Q7192">
        <v>-2.7384269999999999E-2</v>
      </c>
      <c r="R7192">
        <v>0.9941449</v>
      </c>
      <c r="S7192">
        <v>0.6060181</v>
      </c>
      <c r="T7192">
        <v>-8.500576E-2</v>
      </c>
      <c r="U7192">
        <v>2.952118</v>
      </c>
      <c r="V7192">
        <v>8.5726380000000005E-2</v>
      </c>
      <c r="W7192">
        <v>-2.9387789999999999E-3</v>
      </c>
      <c r="X7192">
        <v>0.99631440000000004</v>
      </c>
      <c r="Y7192">
        <v>0.18246809999999999</v>
      </c>
      <c r="Z7192">
        <v>-2.8239420000000001E-2</v>
      </c>
      <c r="AA7192">
        <v>0.98280610000000002</v>
      </c>
      <c r="AB7192">
        <v>27</v>
      </c>
      <c r="AC7192">
        <v>7.9157999999999902</v>
      </c>
      <c r="AD7192">
        <v>-1.1110772260949999</v>
      </c>
      <c r="AE7192">
        <v>38.3319299999999</v>
      </c>
      <c r="AF7192">
        <v>7.1844734006683098</v>
      </c>
      <c r="AG7192">
        <v>-1.1110772260949999</v>
      </c>
      <c r="AH7192">
        <v>38.4436481749308</v>
      </c>
      <c r="AI7192">
        <v>91.627312548494501</v>
      </c>
      <c r="AJ7192">
        <v>79.414486312929895</v>
      </c>
      <c r="AK7192">
        <v>39.1249950242184</v>
      </c>
      <c r="AL7192">
        <v>90.1683798732697</v>
      </c>
      <c r="AM7192">
        <v>85.082182944021696</v>
      </c>
      <c r="AN7192">
        <v>1.00000001614863</v>
      </c>
    </row>
    <row r="7193" spans="1:40" x14ac:dyDescent="0.25">
      <c r="A7193" t="str">
        <f>"20190312161201317"</f>
        <v>20190312161201317</v>
      </c>
      <c r="B7193" t="str">
        <f>"1552378321304841"</f>
        <v>1552378321304841</v>
      </c>
      <c r="C7193" t="s">
        <v>40</v>
      </c>
      <c r="D7193">
        <v>5.3344899999999997</v>
      </c>
      <c r="E7193">
        <v>0.53826640000000003</v>
      </c>
      <c r="F7193" t="s">
        <v>87</v>
      </c>
      <c r="G7193">
        <v>-179.33920000000001</v>
      </c>
      <c r="H7193" s="1">
        <v>-6.1760590000000004E-6</v>
      </c>
      <c r="I7193">
        <v>132.84540000000001</v>
      </c>
      <c r="J7193">
        <v>-187.2647</v>
      </c>
      <c r="K7193">
        <v>1.111059</v>
      </c>
      <c r="L7193">
        <v>95.159850000000006</v>
      </c>
      <c r="M7193">
        <v>1.9877559999999999E-2</v>
      </c>
      <c r="N7193">
        <v>0</v>
      </c>
      <c r="O7193">
        <v>0.99950030000000001</v>
      </c>
      <c r="P7193">
        <v>0.10759630000000001</v>
      </c>
      <c r="Q7193">
        <v>-2.6070110000000001E-2</v>
      </c>
      <c r="R7193">
        <v>0.99385279999999998</v>
      </c>
      <c r="S7193">
        <v>0.61270139999999995</v>
      </c>
      <c r="T7193">
        <v>-8.5769529999999997E-2</v>
      </c>
      <c r="U7193">
        <v>2.9508969999999999</v>
      </c>
      <c r="V7193">
        <v>8.7812130000000002E-2</v>
      </c>
      <c r="W7193">
        <v>-1.6700580000000001E-3</v>
      </c>
      <c r="X7193">
        <v>0.99613569999999996</v>
      </c>
      <c r="Y7193">
        <v>0.18370529999999999</v>
      </c>
      <c r="Z7193">
        <v>-2.8493890000000001E-2</v>
      </c>
      <c r="AA7193">
        <v>0.98256829999999995</v>
      </c>
      <c r="AB7193">
        <v>27</v>
      </c>
      <c r="AC7193">
        <v>7.9254999999999898</v>
      </c>
      <c r="AD7193">
        <v>-1.111065176059</v>
      </c>
      <c r="AE7193">
        <v>37.685549999999999</v>
      </c>
      <c r="AF7193">
        <v>7.1686428225856504</v>
      </c>
      <c r="AG7193">
        <v>-1.111065176059</v>
      </c>
      <c r="AH7193">
        <v>37.804218505160499</v>
      </c>
      <c r="AI7193">
        <v>91.653979822536897</v>
      </c>
      <c r="AJ7193">
        <v>79.262745466914495</v>
      </c>
      <c r="AK7193">
        <v>38.493932541754901</v>
      </c>
      <c r="AL7193">
        <v>90.095687315016605</v>
      </c>
      <c r="AM7193">
        <v>84.962240221502796</v>
      </c>
      <c r="AN7193">
        <v>1.00000004604167</v>
      </c>
    </row>
    <row r="7194" spans="1:40" x14ac:dyDescent="0.25">
      <c r="A7194" t="str">
        <f>"20190312161201339"</f>
        <v>20190312161201339</v>
      </c>
      <c r="B7194" t="str">
        <f>"1552378321334121"</f>
        <v>1552378321334121</v>
      </c>
      <c r="C7194" t="s">
        <v>40</v>
      </c>
      <c r="D7194">
        <v>5.2921230000000001</v>
      </c>
      <c r="E7194">
        <v>0.53843289999999999</v>
      </c>
      <c r="F7194" t="s">
        <v>87</v>
      </c>
      <c r="G7194">
        <v>-178.98759999999999</v>
      </c>
      <c r="H7194" s="1">
        <v>-6.4075369999999996E-6</v>
      </c>
      <c r="I7194">
        <v>134.13329999999999</v>
      </c>
      <c r="J7194">
        <v>-187.25880000000001</v>
      </c>
      <c r="K7194">
        <v>1.111049</v>
      </c>
      <c r="L7194">
        <v>95.424099999999996</v>
      </c>
      <c r="M7194">
        <v>2.0415220000000001E-2</v>
      </c>
      <c r="N7194">
        <v>0</v>
      </c>
      <c r="O7194">
        <v>0.99948979999999998</v>
      </c>
      <c r="P7194">
        <v>0.1084155</v>
      </c>
      <c r="Q7194">
        <v>-2.5486580000000002E-2</v>
      </c>
      <c r="R7194">
        <v>0.99377890000000002</v>
      </c>
      <c r="S7194">
        <v>0.62620540000000002</v>
      </c>
      <c r="T7194">
        <v>-8.4058049999999995E-2</v>
      </c>
      <c r="U7194">
        <v>2.948547</v>
      </c>
      <c r="V7194">
        <v>8.8097480000000006E-2</v>
      </c>
      <c r="W7194">
        <v>-1.1081649999999999E-3</v>
      </c>
      <c r="X7194">
        <v>0.99611119999999997</v>
      </c>
      <c r="Y7194">
        <v>0.18764410000000001</v>
      </c>
      <c r="Z7194">
        <v>-2.792358E-2</v>
      </c>
      <c r="AA7194">
        <v>0.98184009999999999</v>
      </c>
      <c r="AB7194">
        <v>27</v>
      </c>
      <c r="AC7194">
        <v>8.2712000000000199</v>
      </c>
      <c r="AD7194">
        <v>-1.1110554075370001</v>
      </c>
      <c r="AE7194">
        <v>38.709200000000003</v>
      </c>
      <c r="AF7194">
        <v>7.47309197936214</v>
      </c>
      <c r="AG7194">
        <v>-1.1110554075370001</v>
      </c>
      <c r="AH7194">
        <v>38.839436617793801</v>
      </c>
      <c r="AI7194">
        <v>91.609078890093997</v>
      </c>
      <c r="AJ7194">
        <v>79.108826023901997</v>
      </c>
      <c r="AK7194">
        <v>39.567453603160402</v>
      </c>
      <c r="AL7194">
        <v>90.063493193141397</v>
      </c>
      <c r="AM7194">
        <v>84.945830750524806</v>
      </c>
      <c r="AN7194">
        <v>0.99999995838872802</v>
      </c>
    </row>
    <row r="7195" spans="1:40" x14ac:dyDescent="0.25">
      <c r="A7195" t="str">
        <f>"20190312161201361"</f>
        <v>20190312161201361</v>
      </c>
      <c r="B7195" t="str">
        <f>"1552378321354617"</f>
        <v>1552378321354617</v>
      </c>
      <c r="C7195" t="s">
        <v>40</v>
      </c>
      <c r="D7195">
        <v>5.2864950000000004</v>
      </c>
      <c r="E7195">
        <v>0.53859659999999998</v>
      </c>
      <c r="F7195" t="s">
        <v>87</v>
      </c>
      <c r="G7195">
        <v>-179.09270000000001</v>
      </c>
      <c r="H7195" s="1">
        <v>-6.3009180000000002E-6</v>
      </c>
      <c r="I7195">
        <v>133.6413</v>
      </c>
      <c r="J7195">
        <v>-187.25299999999999</v>
      </c>
      <c r="K7195">
        <v>1.111019</v>
      </c>
      <c r="L7195">
        <v>95.677760000000006</v>
      </c>
      <c r="M7195">
        <v>2.0978469999999999E-2</v>
      </c>
      <c r="N7195">
        <v>0</v>
      </c>
      <c r="O7195">
        <v>0.99947859999999999</v>
      </c>
      <c r="P7195">
        <v>0.1103681</v>
      </c>
      <c r="Q7195">
        <v>-2.513982E-2</v>
      </c>
      <c r="R7195">
        <v>0.99357280000000003</v>
      </c>
      <c r="S7195">
        <v>0.62988279999999996</v>
      </c>
      <c r="T7195">
        <v>-8.5700269999999995E-2</v>
      </c>
      <c r="U7195">
        <v>2.947845</v>
      </c>
      <c r="V7195">
        <v>8.9493100000000006E-2</v>
      </c>
      <c r="W7195">
        <v>-7.8737369999999998E-4</v>
      </c>
      <c r="X7195">
        <v>0.99598710000000001</v>
      </c>
      <c r="Y7195">
        <v>0.18830649999999999</v>
      </c>
      <c r="Z7195">
        <v>-2.8469319999999999E-2</v>
      </c>
      <c r="AA7195">
        <v>0.98169759999999995</v>
      </c>
      <c r="AB7195">
        <v>27</v>
      </c>
      <c r="AC7195">
        <v>8.1602999999999692</v>
      </c>
      <c r="AD7195">
        <v>-1.111025300918</v>
      </c>
      <c r="AE7195">
        <v>37.963540000000002</v>
      </c>
      <c r="AF7195">
        <v>7.3558242303859904</v>
      </c>
      <c r="AG7195">
        <v>-1.111025300918</v>
      </c>
      <c r="AH7195">
        <v>38.095235780041399</v>
      </c>
      <c r="AI7195">
        <v>91.640243906491705</v>
      </c>
      <c r="AJ7195">
        <v>79.071232857723899</v>
      </c>
      <c r="AK7195">
        <v>38.814810529803701</v>
      </c>
      <c r="AL7195">
        <v>90.045113195963296</v>
      </c>
      <c r="AM7195">
        <v>84.865552060230101</v>
      </c>
      <c r="AN7195">
        <v>0.99999996913568101</v>
      </c>
    </row>
    <row r="7196" spans="1:40" x14ac:dyDescent="0.25">
      <c r="A7196" t="str">
        <f>"20190312161201383"</f>
        <v>20190312161201383</v>
      </c>
      <c r="B7196" t="str">
        <f>"1552378321374137"</f>
        <v>1552378321374137</v>
      </c>
      <c r="C7196" t="s">
        <v>40</v>
      </c>
      <c r="D7196">
        <v>5.3384450000000001</v>
      </c>
      <c r="E7196">
        <v>0.53870549999999995</v>
      </c>
      <c r="F7196" t="s">
        <v>87</v>
      </c>
      <c r="G7196">
        <v>-179.0247</v>
      </c>
      <c r="H7196" s="1">
        <v>-6.296738E-6</v>
      </c>
      <c r="I7196">
        <v>133.75049999999999</v>
      </c>
      <c r="J7196">
        <v>-187.24680000000001</v>
      </c>
      <c r="K7196">
        <v>1.1109880000000001</v>
      </c>
      <c r="L7196">
        <v>95.937650000000005</v>
      </c>
      <c r="M7196">
        <v>2.1618189999999999E-2</v>
      </c>
      <c r="N7196">
        <v>0</v>
      </c>
      <c r="O7196">
        <v>0.9994653</v>
      </c>
      <c r="P7196">
        <v>0.1137145</v>
      </c>
      <c r="Q7196">
        <v>-2.5074099999999998E-2</v>
      </c>
      <c r="R7196">
        <v>0.993197</v>
      </c>
      <c r="S7196">
        <v>0.636795</v>
      </c>
      <c r="T7196">
        <v>-8.5983039999999997E-2</v>
      </c>
      <c r="U7196">
        <v>2.946472</v>
      </c>
      <c r="V7196">
        <v>9.2209550000000001E-2</v>
      </c>
      <c r="W7196">
        <v>-7.5508629999999997E-4</v>
      </c>
      <c r="X7196">
        <v>0.99573929999999999</v>
      </c>
      <c r="Y7196">
        <v>0.1899719</v>
      </c>
      <c r="Z7196">
        <v>-2.8564019999999999E-2</v>
      </c>
      <c r="AA7196">
        <v>0.98137390000000002</v>
      </c>
      <c r="AB7196">
        <v>26</v>
      </c>
      <c r="AC7196">
        <v>8.22210000000001</v>
      </c>
      <c r="AD7196">
        <v>-1.11099429673799</v>
      </c>
      <c r="AE7196">
        <v>37.812849999999898</v>
      </c>
      <c r="AF7196">
        <v>7.3963891002482196</v>
      </c>
      <c r="AG7196">
        <v>-1.11099429673799</v>
      </c>
      <c r="AH7196">
        <v>37.950525873818798</v>
      </c>
      <c r="AI7196">
        <v>91.645893737481103</v>
      </c>
      <c r="AJ7196">
        <v>78.971555719061499</v>
      </c>
      <c r="AK7196">
        <v>38.680528617756003</v>
      </c>
      <c r="AL7196">
        <v>90.043263263895298</v>
      </c>
      <c r="AM7196">
        <v>84.709264601153905</v>
      </c>
      <c r="AN7196">
        <v>0.99999996241550504</v>
      </c>
    </row>
    <row r="7197" spans="1:40" x14ac:dyDescent="0.25">
      <c r="A7197" t="str">
        <f>"20190312161201407"</f>
        <v>20190312161201407</v>
      </c>
      <c r="B7197" t="str">
        <f>"1552378321394633"</f>
        <v>1552378321394633</v>
      </c>
      <c r="C7197" t="s">
        <v>40</v>
      </c>
      <c r="D7197">
        <v>5.3975989999999996</v>
      </c>
      <c r="E7197">
        <v>0.53910669999999905</v>
      </c>
      <c r="F7197" t="s">
        <v>87</v>
      </c>
      <c r="G7197">
        <v>-179.03450000000001</v>
      </c>
      <c r="H7197" s="1">
        <v>-6.1356570000000003E-6</v>
      </c>
      <c r="I7197">
        <v>133.2723</v>
      </c>
      <c r="J7197">
        <v>-187.2405</v>
      </c>
      <c r="K7197">
        <v>1.110957</v>
      </c>
      <c r="L7197">
        <v>96.190730000000002</v>
      </c>
      <c r="M7197">
        <v>2.2314879999999999E-2</v>
      </c>
      <c r="N7197">
        <v>0</v>
      </c>
      <c r="O7197">
        <v>0.99945039999999996</v>
      </c>
      <c r="P7197">
        <v>0.1170828</v>
      </c>
      <c r="Q7197">
        <v>-2.5028189999999999E-2</v>
      </c>
      <c r="R7197">
        <v>0.99280670000000004</v>
      </c>
      <c r="S7197">
        <v>0.64761349999999995</v>
      </c>
      <c r="T7197">
        <v>-8.761215E-2</v>
      </c>
      <c r="U7197">
        <v>2.9441830000000002</v>
      </c>
      <c r="V7197">
        <v>9.4891699999999995E-2</v>
      </c>
      <c r="W7197">
        <v>-7.4439829999999995E-4</v>
      </c>
      <c r="X7197">
        <v>0.99548729999999996</v>
      </c>
      <c r="Y7197">
        <v>0.1928831</v>
      </c>
      <c r="Z7197">
        <v>-2.910656E-2</v>
      </c>
      <c r="AA7197">
        <v>0.98079000000000005</v>
      </c>
      <c r="AB7197">
        <v>26</v>
      </c>
      <c r="AC7197">
        <v>8.20599999999998</v>
      </c>
      <c r="AD7197">
        <v>-1.110963135657</v>
      </c>
      <c r="AE7197">
        <v>37.081569999999999</v>
      </c>
      <c r="AF7197">
        <v>7.369929468214</v>
      </c>
      <c r="AG7197">
        <v>-1.110963135657</v>
      </c>
      <c r="AH7197">
        <v>37.223649685490699</v>
      </c>
      <c r="AI7197">
        <v>91.676986891609999</v>
      </c>
      <c r="AJ7197">
        <v>78.800817078786807</v>
      </c>
      <c r="AK7197">
        <v>37.962484051539299</v>
      </c>
      <c r="AL7197">
        <v>90.042650885801194</v>
      </c>
      <c r="AM7197">
        <v>84.554911839113103</v>
      </c>
      <c r="AN7197">
        <v>0.99999997665950402</v>
      </c>
    </row>
    <row r="7198" spans="1:40" x14ac:dyDescent="0.25">
      <c r="A7198" t="str">
        <f>"20190312161201431"</f>
        <v>20190312161201431</v>
      </c>
      <c r="B7198" t="str">
        <f>"1552378321424890"</f>
        <v>1552378321424890</v>
      </c>
      <c r="C7198" t="s">
        <v>40</v>
      </c>
      <c r="D7198">
        <v>5.2701500000000001</v>
      </c>
      <c r="E7198">
        <v>0.5395491</v>
      </c>
      <c r="F7198" t="s">
        <v>87</v>
      </c>
      <c r="G7198">
        <v>-178.82810000000001</v>
      </c>
      <c r="H7198" s="1">
        <v>-6.1370690000000003E-6</v>
      </c>
      <c r="I7198">
        <v>133.6438</v>
      </c>
      <c r="J7198">
        <v>-187.233</v>
      </c>
      <c r="K7198">
        <v>1.110905</v>
      </c>
      <c r="L7198">
        <v>96.478790000000004</v>
      </c>
      <c r="M7198">
        <v>2.3193849999999998E-2</v>
      </c>
      <c r="N7198">
        <v>0</v>
      </c>
      <c r="O7198">
        <v>0.99943090000000001</v>
      </c>
      <c r="P7198">
        <v>0.12001439999999999</v>
      </c>
      <c r="Q7198">
        <v>-2.4812270000000001E-2</v>
      </c>
      <c r="R7198">
        <v>0.99246199999999996</v>
      </c>
      <c r="S7198">
        <v>0.6607208</v>
      </c>
      <c r="T7198">
        <v>-8.7256669999999995E-2</v>
      </c>
      <c r="U7198">
        <v>2.9416199999999999</v>
      </c>
      <c r="V7198">
        <v>9.695542E-2</v>
      </c>
      <c r="W7198">
        <v>-5.6642740000000002E-4</v>
      </c>
      <c r="X7198">
        <v>0.99528859999999997</v>
      </c>
      <c r="Y7198">
        <v>0.19636329999999999</v>
      </c>
      <c r="Z7198">
        <v>-2.8988380000000001E-2</v>
      </c>
      <c r="AA7198">
        <v>0.98010260000000005</v>
      </c>
      <c r="AB7198">
        <v>26</v>
      </c>
      <c r="AC7198">
        <v>8.4048999999999907</v>
      </c>
      <c r="AD7198">
        <v>-1.1109111370689999</v>
      </c>
      <c r="AE7198">
        <v>37.165010000000002</v>
      </c>
      <c r="AF7198">
        <v>7.5339752509806504</v>
      </c>
      <c r="AG7198">
        <v>-1.1109111370689999</v>
      </c>
      <c r="AH7198">
        <v>37.318285405888602</v>
      </c>
      <c r="AI7198">
        <v>91.671407434482006</v>
      </c>
      <c r="AJ7198">
        <v>78.586296203418797</v>
      </c>
      <c r="AK7198">
        <v>38.087390725438397</v>
      </c>
      <c r="AL7198">
        <v>90.032453899994096</v>
      </c>
      <c r="AM7198">
        <v>84.436122539291105</v>
      </c>
      <c r="AN7198">
        <v>1.00000003579866</v>
      </c>
    </row>
    <row r="7199" spans="1:40" x14ac:dyDescent="0.25">
      <c r="A7199" t="str">
        <f>"20190312161201452"</f>
        <v>20190312161201452</v>
      </c>
      <c r="B7199" t="str">
        <f>"1552378321444409"</f>
        <v>1552378321444409</v>
      </c>
      <c r="C7199" t="s">
        <v>40</v>
      </c>
      <c r="D7199">
        <v>5.3596079999999997</v>
      </c>
      <c r="E7199">
        <v>0.54009169999999995</v>
      </c>
      <c r="F7199" t="s">
        <v>87</v>
      </c>
      <c r="G7199">
        <v>-178.45</v>
      </c>
      <c r="H7199" s="1">
        <v>-6.3200569999999997E-6</v>
      </c>
      <c r="I7199">
        <v>134.84030000000001</v>
      </c>
      <c r="J7199">
        <v>-187.22659999999999</v>
      </c>
      <c r="K7199">
        <v>1.11087</v>
      </c>
      <c r="L7199">
        <v>96.716279999999998</v>
      </c>
      <c r="M7199">
        <v>2.397618E-2</v>
      </c>
      <c r="N7199">
        <v>0</v>
      </c>
      <c r="O7199">
        <v>0.99941279999999999</v>
      </c>
      <c r="P7199">
        <v>0.1230257</v>
      </c>
      <c r="Q7199">
        <v>-2.398138E-2</v>
      </c>
      <c r="R7199">
        <v>0.99211369999999999</v>
      </c>
      <c r="S7199">
        <v>0.67295839999999996</v>
      </c>
      <c r="T7199">
        <v>-8.5118289999999999E-2</v>
      </c>
      <c r="U7199">
        <v>2.93927</v>
      </c>
      <c r="V7199">
        <v>9.919654E-2</v>
      </c>
      <c r="W7199">
        <v>2.31568E-4</v>
      </c>
      <c r="X7199">
        <v>0.99506779999999995</v>
      </c>
      <c r="Y7199">
        <v>0.19964760000000001</v>
      </c>
      <c r="Z7199">
        <v>-2.8277469999999999E-2</v>
      </c>
      <c r="AA7199">
        <v>0.97945959999999999</v>
      </c>
      <c r="AB7199">
        <v>26</v>
      </c>
      <c r="AC7199">
        <v>8.7766000000000002</v>
      </c>
      <c r="AD7199">
        <v>-1.110876320057</v>
      </c>
      <c r="AE7199">
        <v>38.124020000000002</v>
      </c>
      <c r="AF7199">
        <v>7.8534007920536304</v>
      </c>
      <c r="AG7199">
        <v>-1.110876320057</v>
      </c>
      <c r="AH7199">
        <v>38.292670238836003</v>
      </c>
      <c r="AI7199">
        <v>91.627830387169794</v>
      </c>
      <c r="AJ7199">
        <v>78.409986876178394</v>
      </c>
      <c r="AK7199">
        <v>39.1054797211251</v>
      </c>
      <c r="AL7199">
        <v>89.986732130371706</v>
      </c>
      <c r="AM7199">
        <v>84.307094090336605</v>
      </c>
      <c r="AN7199">
        <v>0.99999996688427395</v>
      </c>
    </row>
    <row r="7200" spans="1:40" x14ac:dyDescent="0.25">
      <c r="A7200" t="str">
        <f>"20190312161201473"</f>
        <v>20190312161201473</v>
      </c>
      <c r="B7200" t="str">
        <f>"1552378321464905"</f>
        <v>1552378321464905</v>
      </c>
      <c r="C7200" t="s">
        <v>40</v>
      </c>
      <c r="D7200">
        <v>5.4546989999999997</v>
      </c>
      <c r="E7200">
        <v>0.54050180000000003</v>
      </c>
      <c r="F7200" t="s">
        <v>87</v>
      </c>
      <c r="G7200">
        <v>-178.04490000000001</v>
      </c>
      <c r="H7200" s="1">
        <v>-6.4763000000000001E-6</v>
      </c>
      <c r="I7200">
        <v>136.00819999999999</v>
      </c>
      <c r="J7200">
        <v>-187.21979999999999</v>
      </c>
      <c r="K7200">
        <v>1.1108469999999999</v>
      </c>
      <c r="L7200">
        <v>96.956149999999994</v>
      </c>
      <c r="M7200">
        <v>2.4822589999999999E-2</v>
      </c>
      <c r="N7200">
        <v>0</v>
      </c>
      <c r="O7200">
        <v>0.99939250000000002</v>
      </c>
      <c r="P7200">
        <v>0.1270724</v>
      </c>
      <c r="Q7200">
        <v>-2.3892429999999999E-2</v>
      </c>
      <c r="R7200">
        <v>0.99160559999999998</v>
      </c>
      <c r="S7200">
        <v>0.68624879999999999</v>
      </c>
      <c r="T7200">
        <v>-8.3028550000000007E-2</v>
      </c>
      <c r="U7200">
        <v>2.9367369999999999</v>
      </c>
      <c r="V7200">
        <v>0.10241219999999999</v>
      </c>
      <c r="W7200">
        <v>2.844969E-4</v>
      </c>
      <c r="X7200">
        <v>0.99474200000000002</v>
      </c>
      <c r="Y7200">
        <v>0.2032119</v>
      </c>
      <c r="Z7200">
        <v>-2.7581979999999999E-2</v>
      </c>
      <c r="AA7200">
        <v>0.97874620000000001</v>
      </c>
      <c r="AB7200">
        <v>25</v>
      </c>
      <c r="AC7200">
        <v>9.1748999999999796</v>
      </c>
      <c r="AD7200">
        <v>-1.1108534763</v>
      </c>
      <c r="AE7200">
        <v>39.052050000000001</v>
      </c>
      <c r="AF7200">
        <v>8.1961231016088494</v>
      </c>
      <c r="AG7200">
        <v>-1.1108534763</v>
      </c>
      <c r="AH7200">
        <v>39.237734520161702</v>
      </c>
      <c r="AI7200">
        <v>91.587415323026093</v>
      </c>
      <c r="AJ7200">
        <v>78.201492512125299</v>
      </c>
      <c r="AK7200">
        <v>40.100002987745803</v>
      </c>
      <c r="AL7200">
        <v>89.983699528013105</v>
      </c>
      <c r="AM7200">
        <v>84.121907030357704</v>
      </c>
      <c r="AN7200">
        <v>0.99999999310566301</v>
      </c>
    </row>
    <row r="7201" spans="1:40" x14ac:dyDescent="0.25">
      <c r="A7201" t="str">
        <f>"20190312161201496"</f>
        <v>20190312161201496</v>
      </c>
      <c r="B7201" t="str">
        <f>"1552378321484426"</f>
        <v>1552378321484426</v>
      </c>
      <c r="C7201" t="s">
        <v>40</v>
      </c>
      <c r="D7201">
        <v>5.4726039999999996</v>
      </c>
      <c r="E7201">
        <v>0.54086319999999999</v>
      </c>
      <c r="F7201" t="s">
        <v>87</v>
      </c>
      <c r="G7201">
        <v>-177.64330000000001</v>
      </c>
      <c r="H7201" s="1">
        <v>-6.5726829999999999E-6</v>
      </c>
      <c r="I7201">
        <v>136.99889999999999</v>
      </c>
      <c r="J7201">
        <v>-187.21250000000001</v>
      </c>
      <c r="K7201">
        <v>1.1108169999999999</v>
      </c>
      <c r="L7201">
        <v>97.203490000000002</v>
      </c>
      <c r="M7201">
        <v>2.5753620000000001E-2</v>
      </c>
      <c r="N7201">
        <v>0</v>
      </c>
      <c r="O7201">
        <v>0.99936930000000002</v>
      </c>
      <c r="P7201">
        <v>0.13136239999999999</v>
      </c>
      <c r="Q7201">
        <v>-2.4982319999999999E-2</v>
      </c>
      <c r="R7201">
        <v>0.9910196</v>
      </c>
      <c r="S7201">
        <v>0.70156859999999999</v>
      </c>
      <c r="T7201">
        <v>-8.1380250000000001E-2</v>
      </c>
      <c r="U7201">
        <v>2.9335019999999998</v>
      </c>
      <c r="V7201">
        <v>0.10578750000000001</v>
      </c>
      <c r="W7201">
        <v>-8.4316100000000004E-4</v>
      </c>
      <c r="X7201">
        <v>0.99438839999999995</v>
      </c>
      <c r="Y7201">
        <v>0.20738110000000001</v>
      </c>
      <c r="Z7201">
        <v>-2.7034889999999999E-2</v>
      </c>
      <c r="AA7201">
        <v>0.97788660000000005</v>
      </c>
      <c r="AB7201">
        <v>25</v>
      </c>
      <c r="AC7201">
        <v>9.5691999999999897</v>
      </c>
      <c r="AD7201">
        <v>-1.110823572683</v>
      </c>
      <c r="AE7201">
        <v>39.795409999999897</v>
      </c>
      <c r="AF7201">
        <v>8.5345556094846309</v>
      </c>
      <c r="AG7201">
        <v>-1.110823572683</v>
      </c>
      <c r="AH7201">
        <v>39.999255895265598</v>
      </c>
      <c r="AI7201">
        <v>91.555756662053199</v>
      </c>
      <c r="AJ7201">
        <v>77.955532781439203</v>
      </c>
      <c r="AK7201">
        <v>40.914704454950602</v>
      </c>
      <c r="AL7201">
        <v>90.048309572567504</v>
      </c>
      <c r="AM7201">
        <v>83.9274581313298</v>
      </c>
      <c r="AN7201">
        <v>0.99999999806563999</v>
      </c>
    </row>
    <row r="7202" spans="1:40" x14ac:dyDescent="0.25">
      <c r="A7202" t="str">
        <f>"20190312161201519"</f>
        <v>20190312161201519</v>
      </c>
      <c r="B7202" t="str">
        <f>"1552378321514681"</f>
        <v>1552378321514681</v>
      </c>
      <c r="C7202" t="s">
        <v>40</v>
      </c>
      <c r="D7202">
        <v>5.4803160000000002</v>
      </c>
      <c r="E7202">
        <v>0.54130019999999901</v>
      </c>
      <c r="F7202" t="s">
        <v>87</v>
      </c>
      <c r="G7202">
        <v>-177.64599999999999</v>
      </c>
      <c r="H7202" s="1">
        <v>-6.3278959999999999E-6</v>
      </c>
      <c r="I7202">
        <v>136.29399999999899</v>
      </c>
      <c r="J7202">
        <v>-187.20480000000001</v>
      </c>
      <c r="K7202">
        <v>1.1107899999999999</v>
      </c>
      <c r="L7202">
        <v>97.458709999999996</v>
      </c>
      <c r="M7202">
        <v>2.6770970000000002E-2</v>
      </c>
      <c r="N7202">
        <v>0</v>
      </c>
      <c r="O7202">
        <v>0.99934299999999998</v>
      </c>
      <c r="P7202">
        <v>0.13600760000000001</v>
      </c>
      <c r="Q7202">
        <v>-2.5748389999999999E-2</v>
      </c>
      <c r="R7202">
        <v>0.99037310000000001</v>
      </c>
      <c r="S7202">
        <v>0.71705629999999998</v>
      </c>
      <c r="T7202">
        <v>-8.326161E-2</v>
      </c>
      <c r="U7202">
        <v>2.9300229999999998</v>
      </c>
      <c r="V7202">
        <v>0.10943509999999999</v>
      </c>
      <c r="W7202">
        <v>-1.649502E-3</v>
      </c>
      <c r="X7202">
        <v>0.9939926</v>
      </c>
      <c r="Y7202">
        <v>0.21152470000000001</v>
      </c>
      <c r="Z7202">
        <v>-2.7660810000000001E-2</v>
      </c>
      <c r="AA7202">
        <v>0.97698119999999999</v>
      </c>
      <c r="AB7202">
        <v>25</v>
      </c>
      <c r="AC7202">
        <v>9.5588000000000193</v>
      </c>
      <c r="AD7202">
        <v>-1.110796327896</v>
      </c>
      <c r="AE7202">
        <v>38.835289999999901</v>
      </c>
      <c r="AF7202">
        <v>8.5088396286236598</v>
      </c>
      <c r="AG7202">
        <v>-1.110796327896</v>
      </c>
      <c r="AH7202">
        <v>39.047217192287299</v>
      </c>
      <c r="AI7202">
        <v>91.592139720178494</v>
      </c>
      <c r="AJ7202">
        <v>77.706766578770896</v>
      </c>
      <c r="AK7202">
        <v>39.978986865219099</v>
      </c>
      <c r="AL7202">
        <v>90.094509543354505</v>
      </c>
      <c r="AM7202">
        <v>83.717238984571793</v>
      </c>
      <c r="AN7202">
        <v>1.0000000254118</v>
      </c>
    </row>
    <row r="7203" spans="1:40" x14ac:dyDescent="0.25">
      <c r="A7203" t="str">
        <f>"20190312161201542"</f>
        <v>20190312161201542</v>
      </c>
      <c r="B7203" t="str">
        <f>"1552378321534201"</f>
        <v>1552378321534201</v>
      </c>
      <c r="C7203" t="s">
        <v>40</v>
      </c>
      <c r="D7203">
        <v>5.5232780000000004</v>
      </c>
      <c r="E7203">
        <v>0.5415683</v>
      </c>
      <c r="F7203" t="s">
        <v>87</v>
      </c>
      <c r="G7203">
        <v>-177.59620000000001</v>
      </c>
      <c r="H7203" s="1">
        <v>-6.1045700000000004E-6</v>
      </c>
      <c r="I7203">
        <v>135.744</v>
      </c>
      <c r="J7203">
        <v>-187.1969</v>
      </c>
      <c r="K7203">
        <v>1.1107629999999999</v>
      </c>
      <c r="L7203">
        <v>97.706360000000004</v>
      </c>
      <c r="M7203">
        <v>2.7808639999999999E-2</v>
      </c>
      <c r="N7203">
        <v>0</v>
      </c>
      <c r="O7203">
        <v>0.99931510000000001</v>
      </c>
      <c r="P7203">
        <v>0.14006830000000001</v>
      </c>
      <c r="Q7203">
        <v>-2.5795780000000001E-2</v>
      </c>
      <c r="R7203">
        <v>0.98980579999999996</v>
      </c>
      <c r="S7203">
        <v>0.734375</v>
      </c>
      <c r="T7203">
        <v>-8.4897280000000006E-2</v>
      </c>
      <c r="U7203">
        <v>2.9261170000000001</v>
      </c>
      <c r="V7203">
        <v>0.11247790000000001</v>
      </c>
      <c r="W7203">
        <v>-1.7343529999999999E-3</v>
      </c>
      <c r="X7203">
        <v>0.99365270000000006</v>
      </c>
      <c r="Y7203">
        <v>0.21625220000000001</v>
      </c>
      <c r="Z7203">
        <v>-2.8204529999999998E-2</v>
      </c>
      <c r="AA7203">
        <v>0.97593010000000002</v>
      </c>
      <c r="AB7203">
        <v>25</v>
      </c>
      <c r="AC7203">
        <v>9.6006999999999891</v>
      </c>
      <c r="AD7203">
        <v>-1.1107691045700001</v>
      </c>
      <c r="AE7203">
        <v>38.037640000000003</v>
      </c>
      <c r="AF7203">
        <v>8.53205451346399</v>
      </c>
      <c r="AG7203">
        <v>-1.1107691045700001</v>
      </c>
      <c r="AH7203">
        <v>38.2593111700427</v>
      </c>
      <c r="AI7203">
        <v>91.623132334377402</v>
      </c>
      <c r="AJ7203">
        <v>77.428407564517599</v>
      </c>
      <c r="AK7203">
        <v>39.214852459629903</v>
      </c>
      <c r="AL7203">
        <v>90.099371158186202</v>
      </c>
      <c r="AM7203">
        <v>83.541814709433197</v>
      </c>
      <c r="AN7203">
        <v>0.99999998709301396</v>
      </c>
    </row>
    <row r="7204" spans="1:40" x14ac:dyDescent="0.25">
      <c r="A7204" t="str">
        <f>"20190312161201562"</f>
        <v>20190312161201562</v>
      </c>
      <c r="B7204" t="str">
        <f>"1552378321554697"</f>
        <v>1552378321554697</v>
      </c>
      <c r="C7204" t="s">
        <v>40</v>
      </c>
      <c r="D7204">
        <v>5.5332280000000003</v>
      </c>
      <c r="E7204">
        <v>0.54179200000000005</v>
      </c>
      <c r="F7204" t="s">
        <v>87</v>
      </c>
      <c r="G7204">
        <v>-177.3039</v>
      </c>
      <c r="H7204" s="1">
        <v>-6.1272950000000003E-6</v>
      </c>
      <c r="I7204">
        <v>136.32939999999999</v>
      </c>
      <c r="J7204">
        <v>-187.18960000000001</v>
      </c>
      <c r="K7204">
        <v>1.110743</v>
      </c>
      <c r="L7204">
        <v>97.925290000000004</v>
      </c>
      <c r="M7204">
        <v>2.8770540000000001E-2</v>
      </c>
      <c r="N7204">
        <v>0</v>
      </c>
      <c r="O7204">
        <v>0.99928830000000002</v>
      </c>
      <c r="P7204">
        <v>0.1438296</v>
      </c>
      <c r="Q7204">
        <v>-2.499618E-2</v>
      </c>
      <c r="R7204">
        <v>0.98928669999999996</v>
      </c>
      <c r="S7204">
        <v>0.74864200000000003</v>
      </c>
      <c r="T7204">
        <v>-8.405638E-2</v>
      </c>
      <c r="U7204">
        <v>2.9227599999999998</v>
      </c>
      <c r="V7204">
        <v>0.1152976</v>
      </c>
      <c r="W7204">
        <v>-9.6858689999999999E-4</v>
      </c>
      <c r="X7204">
        <v>0.99333050000000001</v>
      </c>
      <c r="Y7204">
        <v>0.2200531</v>
      </c>
      <c r="Z7204">
        <v>-2.7926800000000002E-2</v>
      </c>
      <c r="AA7204">
        <v>0.97508810000000001</v>
      </c>
      <c r="AB7204">
        <v>25</v>
      </c>
      <c r="AC7204">
        <v>9.8857000000000106</v>
      </c>
      <c r="AD7204">
        <v>-1.1107491272949901</v>
      </c>
      <c r="AE7204">
        <v>38.404109999999903</v>
      </c>
      <c r="AF7204">
        <v>8.7694893979802409</v>
      </c>
      <c r="AG7204">
        <v>-1.1107491272949901</v>
      </c>
      <c r="AH7204">
        <v>38.642388106780203</v>
      </c>
      <c r="AI7204">
        <v>91.605668819493005</v>
      </c>
      <c r="AJ7204">
        <v>77.213882732327093</v>
      </c>
      <c r="AK7204">
        <v>39.640533126083298</v>
      </c>
      <c r="AL7204">
        <v>90.055495951333398</v>
      </c>
      <c r="AM7204">
        <v>83.379206284600201</v>
      </c>
      <c r="AN7204">
        <v>0.99999997847829603</v>
      </c>
    </row>
    <row r="7205" spans="1:40" x14ac:dyDescent="0.25">
      <c r="A7205" t="str">
        <f>"20190312161201585"</f>
        <v>20190312161201585</v>
      </c>
      <c r="B7205" t="str">
        <f>"1552378321574217"</f>
        <v>1552378321574217</v>
      </c>
      <c r="C7205" t="s">
        <v>40</v>
      </c>
      <c r="D7205">
        <v>5.5787250000000004</v>
      </c>
      <c r="E7205">
        <v>0.54194119999999901</v>
      </c>
      <c r="F7205" t="s">
        <v>87</v>
      </c>
      <c r="G7205">
        <v>-176.78659999999999</v>
      </c>
      <c r="H7205" s="1">
        <v>-6.3235240000000003E-6</v>
      </c>
      <c r="I7205">
        <v>137.8116</v>
      </c>
      <c r="J7205">
        <v>-187.18109999999999</v>
      </c>
      <c r="K7205">
        <v>1.1107199999999999</v>
      </c>
      <c r="L7205">
        <v>98.174350000000004</v>
      </c>
      <c r="M7205">
        <v>2.992009E-2</v>
      </c>
      <c r="N7205">
        <v>0</v>
      </c>
      <c r="O7205">
        <v>0.99925489999999995</v>
      </c>
      <c r="P7205">
        <v>0.1473566</v>
      </c>
      <c r="Q7205">
        <v>-2.509927E-2</v>
      </c>
      <c r="R7205">
        <v>0.98876489999999995</v>
      </c>
      <c r="S7205">
        <v>0.76152039999999999</v>
      </c>
      <c r="T7205">
        <v>-8.1308599999999995E-2</v>
      </c>
      <c r="U7205">
        <v>2.9197389999999999</v>
      </c>
      <c r="V7205">
        <v>0.117696</v>
      </c>
      <c r="W7205">
        <v>-1.1076949999999999E-3</v>
      </c>
      <c r="X7205">
        <v>0.99304899999999996</v>
      </c>
      <c r="Y7205">
        <v>0.22320989999999999</v>
      </c>
      <c r="Z7205">
        <v>-2.7015750000000002E-2</v>
      </c>
      <c r="AA7205">
        <v>0.97439589999999998</v>
      </c>
      <c r="AB7205">
        <v>24</v>
      </c>
      <c r="AC7205">
        <v>10.394499999999899</v>
      </c>
      <c r="AD7205">
        <v>-1.1107263235239999</v>
      </c>
      <c r="AE7205">
        <v>39.637250000000002</v>
      </c>
      <c r="AF7205">
        <v>9.1967837466484301</v>
      </c>
      <c r="AG7205">
        <v>-1.1107263235239999</v>
      </c>
      <c r="AH7205">
        <v>39.901274130575302</v>
      </c>
      <c r="AI7205">
        <v>91.553804950203997</v>
      </c>
      <c r="AJ7205">
        <v>77.020657031453794</v>
      </c>
      <c r="AK7205">
        <v>40.962497744787299</v>
      </c>
      <c r="AL7205">
        <v>90.063466264899802</v>
      </c>
      <c r="AM7205">
        <v>83.240844695416001</v>
      </c>
      <c r="AN7205">
        <v>0.99999994590260499</v>
      </c>
    </row>
    <row r="7206" spans="1:40" x14ac:dyDescent="0.25">
      <c r="A7206" t="str">
        <f>"20190312161201609"</f>
        <v>20190312161201609</v>
      </c>
      <c r="B7206" t="str">
        <f>"1552378321604474"</f>
        <v>1552378321604474</v>
      </c>
      <c r="C7206" t="s">
        <v>40</v>
      </c>
      <c r="D7206">
        <v>5.580857</v>
      </c>
      <c r="E7206">
        <v>0.54205479999999995</v>
      </c>
      <c r="F7206" t="s">
        <v>87</v>
      </c>
      <c r="G7206">
        <v>-176.63910000000001</v>
      </c>
      <c r="H7206" s="1">
        <v>-6.2814380000000003E-6</v>
      </c>
      <c r="I7206">
        <v>137.9538</v>
      </c>
      <c r="J7206">
        <v>-187.1722</v>
      </c>
      <c r="K7206">
        <v>1.1106959999999999</v>
      </c>
      <c r="L7206">
        <v>98.422179999999997</v>
      </c>
      <c r="M7206">
        <v>3.1134149999999999E-2</v>
      </c>
      <c r="N7206">
        <v>0</v>
      </c>
      <c r="O7206">
        <v>0.99921850000000001</v>
      </c>
      <c r="P7206">
        <v>0.15004619999999999</v>
      </c>
      <c r="Q7206">
        <v>-2.509016E-2</v>
      </c>
      <c r="R7206">
        <v>0.98836060000000003</v>
      </c>
      <c r="S7206">
        <v>0.77299499999999999</v>
      </c>
      <c r="T7206">
        <v>-8.1444379999999997E-2</v>
      </c>
      <c r="U7206">
        <v>2.9168400000000001</v>
      </c>
      <c r="V7206">
        <v>0.1191905</v>
      </c>
      <c r="W7206">
        <v>-1.1407819999999999E-3</v>
      </c>
      <c r="X7206">
        <v>0.99287069999999999</v>
      </c>
      <c r="Y7206">
        <v>0.22584609999999999</v>
      </c>
      <c r="Z7206">
        <v>-2.7063670000000001E-2</v>
      </c>
      <c r="AA7206">
        <v>0.97378699999999996</v>
      </c>
      <c r="AB7206">
        <v>24</v>
      </c>
      <c r="AC7206">
        <v>10.5330999999999</v>
      </c>
      <c r="AD7206">
        <v>-1.1107022814380001</v>
      </c>
      <c r="AE7206">
        <v>39.531619999999897</v>
      </c>
      <c r="AF7206">
        <v>9.2899946312992991</v>
      </c>
      <c r="AG7206">
        <v>-1.1107022814380001</v>
      </c>
      <c r="AH7206">
        <v>39.811136398436702</v>
      </c>
      <c r="AI7206">
        <v>91.556307039134097</v>
      </c>
      <c r="AJ7206">
        <v>76.864982056619795</v>
      </c>
      <c r="AK7206">
        <v>40.895772900661697</v>
      </c>
      <c r="AL7206">
        <v>90.065362011272001</v>
      </c>
      <c r="AM7206">
        <v>83.154608843324795</v>
      </c>
      <c r="AN7206">
        <v>0.99999995179615397</v>
      </c>
    </row>
    <row r="7207" spans="1:40" x14ac:dyDescent="0.25">
      <c r="A7207" t="str">
        <f>"20190312161201632"</f>
        <v>20190312161201632</v>
      </c>
      <c r="B7207" t="str">
        <f>"1552378321624969"</f>
        <v>1552378321624969</v>
      </c>
      <c r="C7207" t="s">
        <v>40</v>
      </c>
      <c r="D7207">
        <v>5.4892310000000002</v>
      </c>
      <c r="E7207">
        <v>0.54212349999999998</v>
      </c>
      <c r="F7207" t="s">
        <v>87</v>
      </c>
      <c r="G7207">
        <v>-176.5752</v>
      </c>
      <c r="H7207" s="1">
        <v>-6.2328120000000002E-6</v>
      </c>
      <c r="I7207">
        <v>137.92840000000001</v>
      </c>
      <c r="J7207">
        <v>-187.16290000000001</v>
      </c>
      <c r="K7207">
        <v>1.110673</v>
      </c>
      <c r="L7207">
        <v>98.670900000000003</v>
      </c>
      <c r="M7207">
        <v>3.2410370000000001E-2</v>
      </c>
      <c r="N7207">
        <v>0</v>
      </c>
      <c r="O7207">
        <v>0.99917880000000003</v>
      </c>
      <c r="P7207">
        <v>0.15273339999999999</v>
      </c>
      <c r="Q7207">
        <v>-2.557309E-2</v>
      </c>
      <c r="R7207">
        <v>0.9879365</v>
      </c>
      <c r="S7207">
        <v>0.78178409999999998</v>
      </c>
      <c r="T7207">
        <v>-8.1941490000000006E-2</v>
      </c>
      <c r="U7207">
        <v>2.9145509999999999</v>
      </c>
      <c r="V7207">
        <v>0.1206212</v>
      </c>
      <c r="W7207">
        <v>-1.6737529999999901E-3</v>
      </c>
      <c r="X7207">
        <v>0.99269719999999995</v>
      </c>
      <c r="Y7207">
        <v>0.22753119999999999</v>
      </c>
      <c r="Z7207">
        <v>-2.72319E-2</v>
      </c>
      <c r="AA7207">
        <v>0.97338990000000003</v>
      </c>
      <c r="AB7207">
        <v>24</v>
      </c>
      <c r="AC7207">
        <v>10.5877</v>
      </c>
      <c r="AD7207">
        <v>-1.1106792328120001</v>
      </c>
      <c r="AE7207">
        <v>39.2575</v>
      </c>
      <c r="AF7207">
        <v>9.3024667494200504</v>
      </c>
      <c r="AG7207">
        <v>-1.1106792328120001</v>
      </c>
      <c r="AH7207">
        <v>39.550604949918302</v>
      </c>
      <c r="AI7207">
        <v>91.565877264095505</v>
      </c>
      <c r="AJ7207">
        <v>76.764364082005699</v>
      </c>
      <c r="AK7207">
        <v>40.645047027734698</v>
      </c>
      <c r="AL7207">
        <v>90.095899027324805</v>
      </c>
      <c r="AM7207">
        <v>83.072035129457603</v>
      </c>
      <c r="AN7207">
        <v>1.0000000031131899</v>
      </c>
    </row>
    <row r="7208" spans="1:40" x14ac:dyDescent="0.25">
      <c r="A7208" t="str">
        <f>"20190312161201653"</f>
        <v>20190312161201653</v>
      </c>
      <c r="B7208" t="str">
        <f>"1552378321644490"</f>
        <v>1552378321644490</v>
      </c>
      <c r="C7208" t="s">
        <v>40</v>
      </c>
      <c r="D7208">
        <v>5.6712800000000003</v>
      </c>
      <c r="E7208">
        <v>0.54219580000000001</v>
      </c>
      <c r="F7208" t="s">
        <v>87</v>
      </c>
      <c r="G7208">
        <v>-176.72640000000001</v>
      </c>
      <c r="H7208" s="1">
        <v>-6.047556E-6</v>
      </c>
      <c r="I7208">
        <v>137.12950000000001</v>
      </c>
      <c r="J7208">
        <v>-187.15479999999999</v>
      </c>
      <c r="K7208">
        <v>1.1106480000000001</v>
      </c>
      <c r="L7208">
        <v>98.878600000000006</v>
      </c>
      <c r="M7208">
        <v>3.3525649999999997E-2</v>
      </c>
      <c r="N7208">
        <v>0</v>
      </c>
      <c r="O7208">
        <v>0.9991428</v>
      </c>
      <c r="P7208">
        <v>0.1546729</v>
      </c>
      <c r="Q7208">
        <v>-2.544196E-2</v>
      </c>
      <c r="R7208">
        <v>0.98763809999999996</v>
      </c>
      <c r="S7208">
        <v>0.79029850000000001</v>
      </c>
      <c r="T7208">
        <v>-8.4105849999999996E-2</v>
      </c>
      <c r="U7208">
        <v>2.9122620000000001</v>
      </c>
      <c r="V7208">
        <v>0.121462</v>
      </c>
      <c r="W7208">
        <v>-1.5841539999999999E-3</v>
      </c>
      <c r="X7208">
        <v>0.9925948</v>
      </c>
      <c r="Y7208">
        <v>0.22928280000000001</v>
      </c>
      <c r="Z7208">
        <v>-2.7953970000000002E-2</v>
      </c>
      <c r="AA7208">
        <v>0.9729584</v>
      </c>
      <c r="AB7208">
        <v>23</v>
      </c>
      <c r="AC7208">
        <v>10.4283999999999</v>
      </c>
      <c r="AD7208">
        <v>-1.1106540475559901</v>
      </c>
      <c r="AE7208">
        <v>38.250900000000001</v>
      </c>
      <c r="AF7208">
        <v>9.1326028194408</v>
      </c>
      <c r="AG7208">
        <v>-1.1106540475559901</v>
      </c>
      <c r="AH7208">
        <v>38.548855227898002</v>
      </c>
      <c r="AI7208">
        <v>91.605899203693895</v>
      </c>
      <c r="AJ7208">
        <v>76.6717944421395</v>
      </c>
      <c r="AK7208">
        <v>39.631455008016601</v>
      </c>
      <c r="AL7208">
        <v>90.090765377896901</v>
      </c>
      <c r="AM7208">
        <v>83.023504814686703</v>
      </c>
      <c r="AN7208">
        <v>0.99999998198746698</v>
      </c>
    </row>
    <row r="7209" spans="1:40" x14ac:dyDescent="0.25">
      <c r="A7209" t="str">
        <f>"20190312161201697"</f>
        <v>20190312161201697</v>
      </c>
      <c r="B7209" t="str">
        <f>"1552378321684505"</f>
        <v>1552378321684505</v>
      </c>
      <c r="C7209" t="s">
        <v>40</v>
      </c>
      <c r="D7209">
        <v>5.6746230000000004</v>
      </c>
      <c r="E7209">
        <v>0.54219289999999998</v>
      </c>
      <c r="F7209" t="s">
        <v>87</v>
      </c>
      <c r="G7209">
        <v>-176.61879999999999</v>
      </c>
      <c r="H7209" s="1">
        <v>-6.0673719999999998E-6</v>
      </c>
      <c r="I7209">
        <v>137.37780000000001</v>
      </c>
      <c r="J7209">
        <v>-187.13630000000001</v>
      </c>
      <c r="K7209">
        <v>1.110587</v>
      </c>
      <c r="L7209">
        <v>99.328220000000002</v>
      </c>
      <c r="M7209">
        <v>3.6134560000000003E-2</v>
      </c>
      <c r="N7209">
        <v>0</v>
      </c>
      <c r="O7209">
        <v>0.99905339999999998</v>
      </c>
      <c r="P7209">
        <v>0.15700629999999999</v>
      </c>
      <c r="Q7209">
        <v>-2.4946840000000001E-2</v>
      </c>
      <c r="R7209">
        <v>0.98728249999999995</v>
      </c>
      <c r="S7209">
        <v>0.796554599999999</v>
      </c>
      <c r="T7209">
        <v>-8.3968520000000005E-2</v>
      </c>
      <c r="U7209">
        <v>2.9106450000000001</v>
      </c>
      <c r="V7209">
        <v>0.121216</v>
      </c>
      <c r="W7209">
        <v>-1.16891E-3</v>
      </c>
      <c r="X7209">
        <v>0.99262550000000005</v>
      </c>
      <c r="Y7209">
        <v>0.22882479999999999</v>
      </c>
      <c r="Z7209">
        <v>-2.7913250000000001E-2</v>
      </c>
      <c r="AA7209">
        <v>0.97306729999999997</v>
      </c>
      <c r="AB7209">
        <v>23</v>
      </c>
      <c r="AC7209">
        <v>10.5175</v>
      </c>
      <c r="AD7209">
        <v>-1.1105930673719999</v>
      </c>
      <c r="AE7209">
        <v>38.049579999999999</v>
      </c>
      <c r="AF7209">
        <v>9.1280944647751099</v>
      </c>
      <c r="AG7209">
        <v>-1.1105930673719999</v>
      </c>
      <c r="AH7209">
        <v>38.374501006455198</v>
      </c>
      <c r="AI7209">
        <v>91.612755831113901</v>
      </c>
      <c r="AJ7209">
        <v>76.619783675573501</v>
      </c>
      <c r="AK7209">
        <v>39.460839486934198</v>
      </c>
      <c r="AL7209">
        <v>90.066973622596507</v>
      </c>
      <c r="AM7209">
        <v>83.037708878641595</v>
      </c>
      <c r="AN7209">
        <v>1.0000000341284101</v>
      </c>
    </row>
    <row r="7210" spans="1:40" x14ac:dyDescent="0.25">
      <c r="A7210" t="str">
        <f>"20190312161201718"</f>
        <v>20190312161201718</v>
      </c>
      <c r="B7210" t="str">
        <f>"1552378321704026"</f>
        <v>1552378321704026</v>
      </c>
      <c r="C7210" t="s">
        <v>40</v>
      </c>
      <c r="D7210">
        <v>5.6822839999999903</v>
      </c>
      <c r="E7210">
        <v>0.54200419999999905</v>
      </c>
      <c r="F7210" t="s">
        <v>87</v>
      </c>
      <c r="G7210">
        <v>-176.54509999999999</v>
      </c>
      <c r="H7210" s="1">
        <v>-6.1264049999999998E-6</v>
      </c>
      <c r="I7210">
        <v>137.67779999999999</v>
      </c>
      <c r="J7210">
        <v>-187.12639999999999</v>
      </c>
      <c r="K7210">
        <v>1.1105510000000001</v>
      </c>
      <c r="L7210">
        <v>99.555999999999997</v>
      </c>
      <c r="M7210">
        <v>3.7564170000000001E-2</v>
      </c>
      <c r="N7210">
        <v>0</v>
      </c>
      <c r="O7210">
        <v>0.99900140000000004</v>
      </c>
      <c r="P7210">
        <v>0.15886889999999901</v>
      </c>
      <c r="Q7210">
        <v>-2.612047E-2</v>
      </c>
      <c r="R7210">
        <v>0.98695409999999995</v>
      </c>
      <c r="S7210">
        <v>0.80332950000000003</v>
      </c>
      <c r="T7210">
        <v>-8.4236619999999998E-2</v>
      </c>
      <c r="U7210">
        <v>2.9087519999999998</v>
      </c>
      <c r="V7210">
        <v>0.1216667</v>
      </c>
      <c r="W7210">
        <v>-2.3871029999999998E-3</v>
      </c>
      <c r="X7210">
        <v>0.99256809999999995</v>
      </c>
      <c r="Y7210">
        <v>0.22969919999999999</v>
      </c>
      <c r="Z7210">
        <v>-2.8006199999999998E-2</v>
      </c>
      <c r="AA7210">
        <v>0.97285860000000002</v>
      </c>
      <c r="AB7210">
        <v>23</v>
      </c>
      <c r="AC7210">
        <v>10.581300000000001</v>
      </c>
      <c r="AD7210">
        <v>-1.110557126405</v>
      </c>
      <c r="AE7210">
        <v>38.121799999999901</v>
      </c>
      <c r="AF7210">
        <v>9.1341972606568707</v>
      </c>
      <c r="AG7210">
        <v>-1.110557126405</v>
      </c>
      <c r="AH7210">
        <v>38.462166130608303</v>
      </c>
      <c r="AI7210">
        <v>91.609168587069107</v>
      </c>
      <c r="AJ7210">
        <v>76.640581374834994</v>
      </c>
      <c r="AK7210">
        <v>39.547504601252797</v>
      </c>
      <c r="AL7210">
        <v>90.136771062712398</v>
      </c>
      <c r="AM7210">
        <v>83.011677358542997</v>
      </c>
      <c r="AN7210">
        <v>0.99999995864361502</v>
      </c>
    </row>
    <row r="7211" spans="1:40" x14ac:dyDescent="0.25">
      <c r="A7211" t="str">
        <f>"20190312161201751"</f>
        <v>20190312161201751</v>
      </c>
      <c r="B7211" t="str">
        <f>"1552378321744041"</f>
        <v>1552378321744041</v>
      </c>
      <c r="C7211" t="s">
        <v>40</v>
      </c>
      <c r="D7211">
        <v>5.7165780000000002</v>
      </c>
      <c r="E7211">
        <v>0.54165069999999904</v>
      </c>
      <c r="F7211" t="s">
        <v>87</v>
      </c>
      <c r="G7211">
        <v>-176.66380000000001</v>
      </c>
      <c r="H7211" s="1">
        <v>-6.0440909999999998E-6</v>
      </c>
      <c r="I7211">
        <v>137.23099999999999</v>
      </c>
      <c r="J7211">
        <v>-187.1112</v>
      </c>
      <c r="K7211">
        <v>1.1104849999999999</v>
      </c>
      <c r="L7211">
        <v>99.884699999999995</v>
      </c>
      <c r="M7211">
        <v>3.9783350000000002E-2</v>
      </c>
      <c r="N7211">
        <v>0</v>
      </c>
      <c r="O7211">
        <v>0.99891660000000004</v>
      </c>
      <c r="P7211">
        <v>0.16107929999999901</v>
      </c>
      <c r="Q7211">
        <v>-2.5979349999999998E-2</v>
      </c>
      <c r="R7211">
        <v>0.98659949999999996</v>
      </c>
      <c r="S7211">
        <v>0.8074036</v>
      </c>
      <c r="T7211">
        <v>-8.570266E-2</v>
      </c>
      <c r="U7211">
        <v>2.90741</v>
      </c>
      <c r="V7211">
        <v>0.1216849</v>
      </c>
      <c r="W7211">
        <v>-2.3094090000000001E-3</v>
      </c>
      <c r="X7211">
        <v>0.99256610000000001</v>
      </c>
      <c r="Y7211">
        <v>0.2289148</v>
      </c>
      <c r="Z7211">
        <v>-2.849962E-2</v>
      </c>
      <c r="AA7211">
        <v>0.97302920000000004</v>
      </c>
      <c r="AB7211">
        <v>23</v>
      </c>
      <c r="AC7211">
        <v>10.447399999999901</v>
      </c>
      <c r="AD7211">
        <v>-1.1104910440910001</v>
      </c>
      <c r="AE7211">
        <v>37.346299999999999</v>
      </c>
      <c r="AF7211">
        <v>8.9455947551095498</v>
      </c>
      <c r="AG7211">
        <v>-1.1104910440910001</v>
      </c>
      <c r="AH7211">
        <v>37.701555333128702</v>
      </c>
      <c r="AI7211">
        <v>91.641595499857004</v>
      </c>
      <c r="AJ7211">
        <v>76.652045504462606</v>
      </c>
      <c r="AK7211">
        <v>38.764211979848298</v>
      </c>
      <c r="AL7211">
        <v>90.132319505751596</v>
      </c>
      <c r="AM7211">
        <v>83.010628377415898</v>
      </c>
      <c r="AN7211">
        <v>1.00000000556357</v>
      </c>
    </row>
    <row r="7212" spans="1:40" x14ac:dyDescent="0.25">
      <c r="A7212" t="str">
        <f>"20190312161201773"</f>
        <v>20190312161201773</v>
      </c>
      <c r="B7212" t="str">
        <f>"1552378321764538"</f>
        <v>1552378321764538</v>
      </c>
      <c r="C7212" t="s">
        <v>40</v>
      </c>
      <c r="D7212">
        <v>5.7038399999999996</v>
      </c>
      <c r="E7212">
        <v>0.54144110000000001</v>
      </c>
      <c r="F7212" t="s">
        <v>87</v>
      </c>
      <c r="G7212">
        <v>-176.1472</v>
      </c>
      <c r="H7212" s="1">
        <v>-6.3952479999999998E-6</v>
      </c>
      <c r="I7212">
        <v>139.15479999999999</v>
      </c>
      <c r="J7212">
        <v>-187.101</v>
      </c>
      <c r="K7212">
        <v>1.1104419999999999</v>
      </c>
      <c r="L7212">
        <v>100.09610000000001</v>
      </c>
      <c r="M7212">
        <v>4.1319229999999998E-2</v>
      </c>
      <c r="N7212">
        <v>0</v>
      </c>
      <c r="O7212">
        <v>0.99885520000000005</v>
      </c>
      <c r="P7212">
        <v>0.162762299999999</v>
      </c>
      <c r="Q7212">
        <v>-2.5894879999999999E-2</v>
      </c>
      <c r="R7212">
        <v>0.98632540000000002</v>
      </c>
      <c r="S7212">
        <v>0.81137079999999995</v>
      </c>
      <c r="T7212">
        <v>-8.2180260000000005E-2</v>
      </c>
      <c r="U7212">
        <v>2.9061279999999998</v>
      </c>
      <c r="V7212">
        <v>0.1218518</v>
      </c>
      <c r="W7212">
        <v>-2.2753999999999999E-3</v>
      </c>
      <c r="X7212">
        <v>0.99254569999999998</v>
      </c>
      <c r="Y7212">
        <v>0.22877020000000001</v>
      </c>
      <c r="Z7212">
        <v>-2.7333779999999998E-2</v>
      </c>
      <c r="AA7212">
        <v>0.97309659999999998</v>
      </c>
      <c r="AB7212">
        <v>22</v>
      </c>
      <c r="AC7212">
        <v>10.953799999999999</v>
      </c>
      <c r="AD7212">
        <v>-1.110448395248</v>
      </c>
      <c r="AE7212">
        <v>39.058699999999902</v>
      </c>
      <c r="AF7212">
        <v>9.3231093052437402</v>
      </c>
      <c r="AG7212">
        <v>-1.110448395248</v>
      </c>
      <c r="AH7212">
        <v>39.448497956263303</v>
      </c>
      <c r="AI7212">
        <v>91.569205542969698</v>
      </c>
      <c r="AJ7212">
        <v>76.702916835711505</v>
      </c>
      <c r="AK7212">
        <v>40.550430993533702</v>
      </c>
      <c r="AL7212">
        <v>90.130370928863499</v>
      </c>
      <c r="AM7212">
        <v>83.000994519681797</v>
      </c>
      <c r="AN7212">
        <v>1.0000000025984399</v>
      </c>
    </row>
    <row r="7213" spans="1:40" x14ac:dyDescent="0.25">
      <c r="A7213" t="str">
        <f>"20190312161201798"</f>
        <v>20190312161201798</v>
      </c>
      <c r="B7213" t="str">
        <f>"1552378321784057"</f>
        <v>1552378321784057</v>
      </c>
      <c r="C7213" t="s">
        <v>40</v>
      </c>
      <c r="D7213">
        <v>5.7329869999999996</v>
      </c>
      <c r="E7213">
        <v>0.54127109999999901</v>
      </c>
      <c r="F7213" t="s">
        <v>87</v>
      </c>
      <c r="G7213">
        <v>-175.7697</v>
      </c>
      <c r="H7213" s="1">
        <v>-6.6093819999999997E-6</v>
      </c>
      <c r="I7213">
        <v>140.50569999999999</v>
      </c>
      <c r="J7213">
        <v>-187.08869999999999</v>
      </c>
      <c r="K7213">
        <v>1.110409</v>
      </c>
      <c r="L7213">
        <v>100.3386</v>
      </c>
      <c r="M7213">
        <v>4.3175449999999997E-2</v>
      </c>
      <c r="N7213">
        <v>0</v>
      </c>
      <c r="O7213">
        <v>0.9987779</v>
      </c>
      <c r="P7213">
        <v>0.16560079999999999</v>
      </c>
      <c r="Q7213">
        <v>-2.6256600000000001E-2</v>
      </c>
      <c r="R7213">
        <v>0.98584329999999998</v>
      </c>
      <c r="S7213">
        <v>0.81460569999999999</v>
      </c>
      <c r="T7213">
        <v>-7.9830529999999997E-2</v>
      </c>
      <c r="U7213">
        <v>2.9050600000000002</v>
      </c>
      <c r="V7213">
        <v>0.12286320000000001</v>
      </c>
      <c r="W7213">
        <v>-2.704578E-3</v>
      </c>
      <c r="X7213">
        <v>0.99241999999999997</v>
      </c>
      <c r="Y7213">
        <v>0.2280643</v>
      </c>
      <c r="Z7213">
        <v>-2.6557359999999999E-2</v>
      </c>
      <c r="AA7213">
        <v>0.97328380000000003</v>
      </c>
      <c r="AB7213">
        <v>22</v>
      </c>
      <c r="AC7213">
        <v>11.3189999999999</v>
      </c>
      <c r="AD7213">
        <v>-1.1104156093819999</v>
      </c>
      <c r="AE7213">
        <v>40.167099999999898</v>
      </c>
      <c r="AF7213">
        <v>9.5669308932021906</v>
      </c>
      <c r="AG7213">
        <v>-1.1104156093819999</v>
      </c>
      <c r="AH7213">
        <v>40.589728843353598</v>
      </c>
      <c r="AI7213">
        <v>91.525278909097693</v>
      </c>
      <c r="AJ7213">
        <v>76.737537883314502</v>
      </c>
      <c r="AK7213">
        <v>41.7167265868001</v>
      </c>
      <c r="AL7213">
        <v>90.154961083061806</v>
      </c>
      <c r="AM7213">
        <v>82.942599580105494</v>
      </c>
      <c r="AN7213">
        <v>1.00000006852819</v>
      </c>
    </row>
    <row r="7214" spans="1:40" x14ac:dyDescent="0.25">
      <c r="A7214" t="str">
        <f>"20190312161201842"</f>
        <v>20190312161201842</v>
      </c>
      <c r="B7214" t="str">
        <f>"1552378321834811"</f>
        <v>1552378321834811</v>
      </c>
      <c r="C7214" t="s">
        <v>40</v>
      </c>
      <c r="D7214">
        <v>5.7518219999999998</v>
      </c>
      <c r="E7214">
        <v>0.5407343</v>
      </c>
      <c r="F7214" t="s">
        <v>87</v>
      </c>
      <c r="G7214">
        <v>-175.62099999999899</v>
      </c>
      <c r="H7214" s="1">
        <v>-6.6262320000000002E-6</v>
      </c>
      <c r="I7214">
        <v>140.84399999999999</v>
      </c>
      <c r="J7214">
        <v>-187.066</v>
      </c>
      <c r="K7214">
        <v>1.1103529999999999</v>
      </c>
      <c r="L7214">
        <v>100.7591</v>
      </c>
      <c r="M7214">
        <v>4.6628299999999998E-2</v>
      </c>
      <c r="N7214">
        <v>0</v>
      </c>
      <c r="O7214">
        <v>0.99862459999999997</v>
      </c>
      <c r="P7214">
        <v>0.17077429999999999</v>
      </c>
      <c r="Q7214">
        <v>-2.6129349999999999E-2</v>
      </c>
      <c r="R7214">
        <v>0.9849637</v>
      </c>
      <c r="S7214">
        <v>0.82185359999999996</v>
      </c>
      <c r="T7214">
        <v>-7.9579949999999997E-2</v>
      </c>
      <c r="U7214">
        <v>2.9028930000000002</v>
      </c>
      <c r="V7214">
        <v>0.12464119999999999</v>
      </c>
      <c r="W7214">
        <v>-2.685485E-3</v>
      </c>
      <c r="X7214">
        <v>0.99219820000000003</v>
      </c>
      <c r="Y7214">
        <v>0.2271388</v>
      </c>
      <c r="Z7214">
        <v>-2.6480960000000001E-2</v>
      </c>
      <c r="AA7214">
        <v>0.97350230000000004</v>
      </c>
      <c r="AB7214">
        <v>22</v>
      </c>
      <c r="AC7214">
        <v>11.444999999999901</v>
      </c>
      <c r="AD7214">
        <v>-1.1103596262319999</v>
      </c>
      <c r="AE7214">
        <v>40.084899999999898</v>
      </c>
      <c r="AF7214">
        <v>9.5561364102605797</v>
      </c>
      <c r="AG7214">
        <v>-1.1103596262319999</v>
      </c>
      <c r="AH7214">
        <v>40.546323070443201</v>
      </c>
      <c r="AI7214">
        <v>91.526838776281494</v>
      </c>
      <c r="AJ7214">
        <v>76.738292678197794</v>
      </c>
      <c r="AK7214">
        <v>41.6720164633754</v>
      </c>
      <c r="AL7214">
        <v>90.153867148417802</v>
      </c>
      <c r="AM7214">
        <v>82.839937704257096</v>
      </c>
      <c r="AN7214">
        <v>0.99999995432518096</v>
      </c>
    </row>
    <row r="7215" spans="1:40" x14ac:dyDescent="0.25">
      <c r="A7215" t="str">
        <f>"20190312161201865"</f>
        <v>20190312161201865</v>
      </c>
      <c r="B7215" t="str">
        <f>"1552378321854836"</f>
        <v>1552378321854836</v>
      </c>
      <c r="C7215" t="s">
        <v>40</v>
      </c>
      <c r="D7215">
        <v>5.7954759999999998</v>
      </c>
      <c r="E7215">
        <v>0.54057749999999904</v>
      </c>
      <c r="F7215" t="s">
        <v>87</v>
      </c>
      <c r="G7215">
        <v>-174.89400000000001</v>
      </c>
      <c r="H7215" s="1">
        <v>-6.9242569999999998E-6</v>
      </c>
      <c r="I7215">
        <v>143.1283</v>
      </c>
      <c r="J7215">
        <v>-187.05340000000001</v>
      </c>
      <c r="K7215">
        <v>1.1103430000000001</v>
      </c>
      <c r="L7215">
        <v>100.9803</v>
      </c>
      <c r="M7215">
        <v>4.8542450000000001E-2</v>
      </c>
      <c r="N7215">
        <v>0</v>
      </c>
      <c r="O7215">
        <v>0.99853440000000004</v>
      </c>
      <c r="P7215">
        <v>0.174037</v>
      </c>
      <c r="Q7215">
        <v>-2.5306740000000001E-2</v>
      </c>
      <c r="R7215">
        <v>0.98441389999999995</v>
      </c>
      <c r="S7215">
        <v>0.83294679999999999</v>
      </c>
      <c r="T7215">
        <v>-7.5983519999999999E-2</v>
      </c>
      <c r="U7215">
        <v>2.899384</v>
      </c>
      <c r="V7215">
        <v>0.12602730000000001</v>
      </c>
      <c r="W7215">
        <v>-1.9147680000000001E-3</v>
      </c>
      <c r="X7215">
        <v>0.99202489999999999</v>
      </c>
      <c r="Y7215">
        <v>0.22903309999999999</v>
      </c>
      <c r="Z7215">
        <v>-2.5292229999999999E-2</v>
      </c>
      <c r="AA7215">
        <v>0.97309000000000001</v>
      </c>
      <c r="AB7215">
        <v>22</v>
      </c>
      <c r="AC7215">
        <v>12.1594</v>
      </c>
      <c r="AD7215">
        <v>-1.1103499242569901</v>
      </c>
      <c r="AE7215">
        <v>42.148000000000003</v>
      </c>
      <c r="AF7215">
        <v>10.092038196772901</v>
      </c>
      <c r="AG7215">
        <v>-1.1103499242569901</v>
      </c>
      <c r="AH7215">
        <v>42.661367665933597</v>
      </c>
      <c r="AI7215">
        <v>91.450877918688207</v>
      </c>
      <c r="AJ7215">
        <v>76.690691880319704</v>
      </c>
      <c r="AK7215">
        <v>43.852872232584602</v>
      </c>
      <c r="AL7215">
        <v>90.109708194987505</v>
      </c>
      <c r="AM7215">
        <v>82.759901550906804</v>
      </c>
      <c r="AN7215">
        <v>0.99999997445089595</v>
      </c>
    </row>
    <row r="7216" spans="1:40" x14ac:dyDescent="0.25">
      <c r="A7216" t="str">
        <f>"20190312161201885"</f>
        <v>20190312161201885</v>
      </c>
      <c r="B7216" t="str">
        <f>"1552378321874357"</f>
        <v>1552378321874357</v>
      </c>
      <c r="C7216" t="s">
        <v>40</v>
      </c>
      <c r="D7216">
        <v>5.7456399999999999</v>
      </c>
      <c r="E7216">
        <v>0.54034479999999996</v>
      </c>
      <c r="F7216" t="s">
        <v>87</v>
      </c>
      <c r="G7216">
        <v>-174.0581</v>
      </c>
      <c r="H7216" s="1">
        <v>-7.3930409999999998E-6</v>
      </c>
      <c r="I7216">
        <v>145.7226</v>
      </c>
      <c r="J7216">
        <v>-187.04220000000001</v>
      </c>
      <c r="K7216">
        <v>1.110341</v>
      </c>
      <c r="L7216">
        <v>101.1686</v>
      </c>
      <c r="M7216">
        <v>5.0212060000000003E-2</v>
      </c>
      <c r="N7216">
        <v>0</v>
      </c>
      <c r="O7216">
        <v>0.99845260000000002</v>
      </c>
      <c r="P7216">
        <v>0.17712510000000001</v>
      </c>
      <c r="Q7216">
        <v>-2.4706849999999999E-2</v>
      </c>
      <c r="R7216">
        <v>0.98387820000000004</v>
      </c>
      <c r="S7216">
        <v>0.84140009999999998</v>
      </c>
      <c r="T7216">
        <v>-7.1891430000000006E-2</v>
      </c>
      <c r="U7216">
        <v>2.8969119999999999</v>
      </c>
      <c r="V7216">
        <v>0.1274816</v>
      </c>
      <c r="W7216">
        <v>-1.357359E-3</v>
      </c>
      <c r="X7216">
        <v>0.99184000000000005</v>
      </c>
      <c r="Y7216">
        <v>0.23025570000000001</v>
      </c>
      <c r="Z7216">
        <v>-2.3934549999999999E-2</v>
      </c>
      <c r="AA7216">
        <v>0.97283580000000003</v>
      </c>
      <c r="AB7216">
        <v>21</v>
      </c>
      <c r="AC7216">
        <v>12.9841</v>
      </c>
      <c r="AD7216">
        <v>-1.1103483930410001</v>
      </c>
      <c r="AE7216">
        <v>44.553999999999903</v>
      </c>
      <c r="AF7216">
        <v>10.7237860169082</v>
      </c>
      <c r="AG7216">
        <v>-1.1103483930410001</v>
      </c>
      <c r="AH7216">
        <v>45.124079501512803</v>
      </c>
      <c r="AI7216">
        <v>91.371388057148906</v>
      </c>
      <c r="AJ7216">
        <v>76.631588036051497</v>
      </c>
      <c r="AK7216">
        <v>46.394126901464702</v>
      </c>
      <c r="AL7216">
        <v>90.077770966395605</v>
      </c>
      <c r="AM7216">
        <v>82.675905429906607</v>
      </c>
      <c r="AN7216">
        <v>0.99999999318100696</v>
      </c>
    </row>
    <row r="7217" spans="1:40" x14ac:dyDescent="0.25">
      <c r="A7217" t="str">
        <f>"20190312161201908"</f>
        <v>20190312161201908</v>
      </c>
      <c r="B7217" t="str">
        <f>"1552378321894853"</f>
        <v>1552378321894853</v>
      </c>
      <c r="C7217" t="s">
        <v>40</v>
      </c>
      <c r="D7217">
        <v>5.811407</v>
      </c>
      <c r="E7217">
        <v>0.54014930000000005</v>
      </c>
      <c r="F7217" t="s">
        <v>87</v>
      </c>
      <c r="G7217">
        <v>-173.3194</v>
      </c>
      <c r="H7217" s="1">
        <v>-7.790853E-6</v>
      </c>
      <c r="I7217">
        <v>147.96430000000001</v>
      </c>
      <c r="J7217">
        <v>-187.0292</v>
      </c>
      <c r="K7217">
        <v>1.1103499999999999</v>
      </c>
      <c r="L7217">
        <v>101.37949999999999</v>
      </c>
      <c r="M7217">
        <v>5.2110700000000003E-2</v>
      </c>
      <c r="N7217">
        <v>0</v>
      </c>
      <c r="O7217">
        <v>0.99835620000000003</v>
      </c>
      <c r="P7217">
        <v>0.18041750000000001</v>
      </c>
      <c r="Q7217">
        <v>-2.4988E-2</v>
      </c>
      <c r="R7217">
        <v>0.9832727</v>
      </c>
      <c r="S7217">
        <v>0.8488464</v>
      </c>
      <c r="T7217">
        <v>-6.8682430000000003E-2</v>
      </c>
      <c r="U7217">
        <v>2.8946230000000002</v>
      </c>
      <c r="V7217">
        <v>0.12891440000000001</v>
      </c>
      <c r="W7217">
        <v>-1.6807599999999999E-3</v>
      </c>
      <c r="X7217">
        <v>0.99165429999999999</v>
      </c>
      <c r="Y7217">
        <v>0.2309242</v>
      </c>
      <c r="Z7217">
        <v>-2.287084E-2</v>
      </c>
      <c r="AA7217">
        <v>0.97270290000000004</v>
      </c>
      <c r="AB7217">
        <v>21</v>
      </c>
      <c r="AC7217">
        <v>13.7098</v>
      </c>
      <c r="AD7217">
        <v>-1.110357790853</v>
      </c>
      <c r="AE7217">
        <v>46.584800000000001</v>
      </c>
      <c r="AF7217">
        <v>11.2570186014571</v>
      </c>
      <c r="AG7217">
        <v>-1.110357790853</v>
      </c>
      <c r="AH7217">
        <v>47.211416870146202</v>
      </c>
      <c r="AI7217">
        <v>91.310555805491006</v>
      </c>
      <c r="AJ7217">
        <v>76.588892290645205</v>
      </c>
      <c r="AK7217">
        <v>48.547618325763203</v>
      </c>
      <c r="AL7217">
        <v>90.096300499802297</v>
      </c>
      <c r="AM7217">
        <v>82.593125314409804</v>
      </c>
      <c r="AN7217">
        <v>0.99999999909501303</v>
      </c>
    </row>
    <row r="7218" spans="1:40" x14ac:dyDescent="0.25">
      <c r="A7218" t="str">
        <f>"20190312161201929"</f>
        <v>20190312161201929</v>
      </c>
      <c r="B7218" t="str">
        <f>"1552378321924133"</f>
        <v>1552378321924133</v>
      </c>
      <c r="C7218" t="s">
        <v>40</v>
      </c>
      <c r="D7218">
        <v>5.7755130000000001</v>
      </c>
      <c r="E7218">
        <v>0.5398444</v>
      </c>
      <c r="F7218" t="s">
        <v>87</v>
      </c>
      <c r="G7218">
        <v>-173.1618</v>
      </c>
      <c r="H7218" s="1">
        <v>-7.7906969999999999E-6</v>
      </c>
      <c r="I7218">
        <v>148.1798</v>
      </c>
      <c r="J7218">
        <v>-187.0172</v>
      </c>
      <c r="K7218">
        <v>1.1103559999999999</v>
      </c>
      <c r="L7218">
        <v>101.56950000000001</v>
      </c>
      <c r="M7218">
        <v>5.3839430000000001E-2</v>
      </c>
      <c r="N7218">
        <v>0</v>
      </c>
      <c r="O7218">
        <v>0.99826519999999996</v>
      </c>
      <c r="P7218">
        <v>0.18326290000000001</v>
      </c>
      <c r="Q7218">
        <v>-2.5782039999999999E-2</v>
      </c>
      <c r="R7218">
        <v>0.98272579999999998</v>
      </c>
      <c r="S7218">
        <v>0.85694889999999901</v>
      </c>
      <c r="T7218">
        <v>-6.861544E-2</v>
      </c>
      <c r="U7218">
        <v>2.8920590000000002</v>
      </c>
      <c r="V7218">
        <v>0.13006619999999999</v>
      </c>
      <c r="W7218">
        <v>-2.5100399999999998E-3</v>
      </c>
      <c r="X7218">
        <v>0.9915022</v>
      </c>
      <c r="Y7218">
        <v>0.2319793</v>
      </c>
      <c r="Z7218">
        <v>-2.285301E-2</v>
      </c>
      <c r="AA7218">
        <v>0.97245219999999999</v>
      </c>
      <c r="AB7218">
        <v>21</v>
      </c>
      <c r="AC7218">
        <v>13.855399999999999</v>
      </c>
      <c r="AD7218">
        <v>-1.1103637906970001</v>
      </c>
      <c r="AE7218">
        <v>46.610300000000002</v>
      </c>
      <c r="AF7218">
        <v>11.319205795969401</v>
      </c>
      <c r="AG7218">
        <v>-1.1103637906970001</v>
      </c>
      <c r="AH7218">
        <v>47.264192230204102</v>
      </c>
      <c r="AI7218">
        <v>91.308789584941294</v>
      </c>
      <c r="AJ7218">
        <v>76.532008915210696</v>
      </c>
      <c r="AK7218">
        <v>48.613384934325303</v>
      </c>
      <c r="AL7218">
        <v>90.143814840125302</v>
      </c>
      <c r="AM7218">
        <v>82.526559032441696</v>
      </c>
      <c r="AN7218">
        <v>1.0000000646440299</v>
      </c>
    </row>
    <row r="7219" spans="1:40" x14ac:dyDescent="0.25">
      <c r="A7219" t="str">
        <f>"20190312161201951"</f>
        <v>20190312161201951</v>
      </c>
      <c r="B7219" t="str">
        <f>"1552378321944629"</f>
        <v>1552378321944629</v>
      </c>
      <c r="C7219" t="s">
        <v>40</v>
      </c>
      <c r="D7219">
        <v>5.920903</v>
      </c>
      <c r="E7219">
        <v>0.53985930000000004</v>
      </c>
      <c r="F7219" t="s">
        <v>87</v>
      </c>
      <c r="G7219">
        <v>-173.2998</v>
      </c>
      <c r="H7219" s="1">
        <v>-7.6312739999999998E-6</v>
      </c>
      <c r="I7219">
        <v>147.49799999999999</v>
      </c>
      <c r="J7219">
        <v>-187.00389999999999</v>
      </c>
      <c r="K7219">
        <v>1.1103700000000001</v>
      </c>
      <c r="L7219">
        <v>101.7722</v>
      </c>
      <c r="M7219">
        <v>5.5695120000000001E-2</v>
      </c>
      <c r="N7219">
        <v>0</v>
      </c>
      <c r="O7219">
        <v>0.99816439999999995</v>
      </c>
      <c r="P7219">
        <v>0.18594240000000001</v>
      </c>
      <c r="Q7219">
        <v>-2.573218E-2</v>
      </c>
      <c r="R7219">
        <v>0.98222359999999997</v>
      </c>
      <c r="S7219">
        <v>0.86312869999999997</v>
      </c>
      <c r="T7219">
        <v>-6.9866659999999997E-2</v>
      </c>
      <c r="U7219">
        <v>2.889923</v>
      </c>
      <c r="V7219">
        <v>0.13092690000000001</v>
      </c>
      <c r="W7219">
        <v>-2.5012120000000001E-3</v>
      </c>
      <c r="X7219">
        <v>0.99138890000000002</v>
      </c>
      <c r="Y7219">
        <v>0.23227439999999999</v>
      </c>
      <c r="Z7219">
        <v>-2.3274610000000001E-2</v>
      </c>
      <c r="AA7219">
        <v>0.97237180000000001</v>
      </c>
      <c r="AB7219">
        <v>21</v>
      </c>
      <c r="AC7219">
        <v>13.704099999999899</v>
      </c>
      <c r="AD7219">
        <v>-1.1103776312739999</v>
      </c>
      <c r="AE7219">
        <v>45.7257999999999</v>
      </c>
      <c r="AF7219">
        <v>11.1293700443986</v>
      </c>
      <c r="AG7219">
        <v>-1.1103776312739999</v>
      </c>
      <c r="AH7219">
        <v>46.393150225206298</v>
      </c>
      <c r="AI7219">
        <v>91.333248015527403</v>
      </c>
      <c r="AJ7219">
        <v>76.510089239784094</v>
      </c>
      <c r="AK7219">
        <v>47.722323957323702</v>
      </c>
      <c r="AL7219">
        <v>90.143309036375697</v>
      </c>
      <c r="AM7219">
        <v>82.476818966488807</v>
      </c>
      <c r="AN7219">
        <v>1.0000000301241401</v>
      </c>
    </row>
    <row r="7220" spans="1:40" x14ac:dyDescent="0.25">
      <c r="A7220" t="str">
        <f>"20190312161201973"</f>
        <v>20190312161201973</v>
      </c>
      <c r="B7220" t="str">
        <f>"1552378321965124"</f>
        <v>1552378321965124</v>
      </c>
      <c r="C7220" t="s">
        <v>40</v>
      </c>
      <c r="D7220">
        <v>5.9184260000000002</v>
      </c>
      <c r="E7220">
        <v>0.53665430000000003</v>
      </c>
      <c r="F7220" t="s">
        <v>87</v>
      </c>
      <c r="G7220">
        <v>-173.2209</v>
      </c>
      <c r="H7220" s="1">
        <v>-7.5859429999999998E-6</v>
      </c>
      <c r="I7220">
        <v>147.46600000000001</v>
      </c>
      <c r="J7220">
        <v>-186.99</v>
      </c>
      <c r="K7220">
        <v>1.1103889999999901</v>
      </c>
      <c r="L7220">
        <v>101.9787</v>
      </c>
      <c r="M7220">
        <v>5.759628E-2</v>
      </c>
      <c r="N7220">
        <v>0</v>
      </c>
      <c r="O7220">
        <v>0.99805779999999999</v>
      </c>
      <c r="P7220">
        <v>0.18800420000000001</v>
      </c>
      <c r="Q7220">
        <v>-2.5002030000000001E-2</v>
      </c>
      <c r="R7220">
        <v>0.98185</v>
      </c>
      <c r="S7220">
        <v>0.87100219999999995</v>
      </c>
      <c r="T7220">
        <v>-7.0169090000000003E-2</v>
      </c>
      <c r="U7220">
        <v>2.8875730000000002</v>
      </c>
      <c r="V7220">
        <v>0.13112070000000001</v>
      </c>
      <c r="W7220">
        <v>-1.8179769999999999E-3</v>
      </c>
      <c r="X7220">
        <v>0.99136480000000005</v>
      </c>
      <c r="Y7220">
        <v>0.23307</v>
      </c>
      <c r="Z7220">
        <v>-2.337846E-2</v>
      </c>
      <c r="AA7220">
        <v>0.97217889999999996</v>
      </c>
      <c r="AB7220">
        <v>20</v>
      </c>
      <c r="AC7220">
        <v>13.7691</v>
      </c>
      <c r="AD7220">
        <v>-1.1103965859429901</v>
      </c>
      <c r="AE7220">
        <v>45.487299999999998</v>
      </c>
      <c r="AF7220">
        <v>11.1195223524404</v>
      </c>
      <c r="AG7220">
        <v>-1.1103965859429901</v>
      </c>
      <c r="AH7220">
        <v>46.179810039940399</v>
      </c>
      <c r="AI7220">
        <v>91.339155677827407</v>
      </c>
      <c r="AJ7220">
        <v>76.461609740050505</v>
      </c>
      <c r="AK7220">
        <v>47.512646876905102</v>
      </c>
      <c r="AL7220">
        <v>90.104162461016003</v>
      </c>
      <c r="AM7220">
        <v>82.465629821224894</v>
      </c>
      <c r="AN7220">
        <v>1.00000005484395</v>
      </c>
    </row>
    <row r="7221" spans="1:40" x14ac:dyDescent="0.25">
      <c r="A7221" t="str">
        <f>"20190312161201998"</f>
        <v>20190312161201998</v>
      </c>
      <c r="B7221" t="str">
        <f>"1552378321994405"</f>
        <v>1552378321994405</v>
      </c>
      <c r="C7221" t="s">
        <v>40</v>
      </c>
      <c r="D7221">
        <v>5.9355169999999999</v>
      </c>
      <c r="E7221">
        <v>0.53624709999999998</v>
      </c>
      <c r="F7221" t="s">
        <v>41</v>
      </c>
      <c r="G7221">
        <v>-183.249</v>
      </c>
      <c r="H7221" s="1">
        <v>-3.5579120000000002E-6</v>
      </c>
      <c r="I7221">
        <v>114.82470000000001</v>
      </c>
      <c r="J7221">
        <v>-186.97540000000001</v>
      </c>
      <c r="K7221">
        <v>1.110403</v>
      </c>
      <c r="L7221">
        <v>102.18980000000001</v>
      </c>
      <c r="M7221">
        <v>5.9548459999999998E-2</v>
      </c>
      <c r="N7221">
        <v>0</v>
      </c>
      <c r="O7221">
        <v>0.99794479999999997</v>
      </c>
      <c r="P7221">
        <v>0.19049779999999999</v>
      </c>
      <c r="Q7221">
        <v>-2.615731E-2</v>
      </c>
      <c r="R7221">
        <v>0.98133910000000002</v>
      </c>
      <c r="S7221">
        <v>0.84104920000000005</v>
      </c>
      <c r="T7221">
        <v>-0.24963779999999999</v>
      </c>
      <c r="U7221">
        <v>2.8880309999999998</v>
      </c>
      <c r="V7221">
        <v>0.1316986</v>
      </c>
      <c r="W7221">
        <v>-3.0392879999999998E-3</v>
      </c>
      <c r="X7221">
        <v>0.99128510000000003</v>
      </c>
      <c r="Y7221">
        <v>0.22095129999999999</v>
      </c>
      <c r="Z7221">
        <v>-8.3112580000000005E-2</v>
      </c>
      <c r="AA7221">
        <v>0.97173699999999996</v>
      </c>
      <c r="AB7221">
        <v>20</v>
      </c>
      <c r="AC7221">
        <v>3.72639999999998</v>
      </c>
      <c r="AD7221">
        <v>-1.1104065579119999</v>
      </c>
      <c r="AE7221">
        <v>12.6349</v>
      </c>
      <c r="AF7221">
        <v>2.9462491112581599</v>
      </c>
      <c r="AG7221">
        <v>-1.1104065579119999</v>
      </c>
      <c r="AH7221">
        <v>12.7438770536764</v>
      </c>
      <c r="AI7221">
        <v>94.852397348725404</v>
      </c>
      <c r="AJ7221">
        <v>76.982529372148704</v>
      </c>
      <c r="AK7221">
        <v>13.1270632248292</v>
      </c>
      <c r="AL7221">
        <v>90.174138651230507</v>
      </c>
      <c r="AM7221">
        <v>82.432205541918194</v>
      </c>
      <c r="AN7221">
        <v>0.99999995399775699</v>
      </c>
    </row>
    <row r="7222" spans="1:40" x14ac:dyDescent="0.25">
      <c r="A7222" t="str">
        <f>"20190312161202020"</f>
        <v>20190312161202020</v>
      </c>
      <c r="B7222" t="str">
        <f>"1552378322014900"</f>
        <v>1552378322014900</v>
      </c>
      <c r="C7222" t="s">
        <v>40</v>
      </c>
      <c r="D7222">
        <v>5.7675159999999996</v>
      </c>
      <c r="E7222">
        <v>0.53708699999999998</v>
      </c>
      <c r="F7222" t="s">
        <v>41</v>
      </c>
      <c r="G7222">
        <v>-183.33150000000001</v>
      </c>
      <c r="H7222" s="1">
        <v>-3.4730789999999999E-6</v>
      </c>
      <c r="I7222">
        <v>114.6399</v>
      </c>
      <c r="J7222">
        <v>-186.96129999999999</v>
      </c>
      <c r="K7222">
        <v>1.110409</v>
      </c>
      <c r="L7222">
        <v>102.38630000000001</v>
      </c>
      <c r="M7222">
        <v>6.1378990000000001E-2</v>
      </c>
      <c r="N7222">
        <v>0</v>
      </c>
      <c r="O7222">
        <v>0.99783639999999996</v>
      </c>
      <c r="P7222">
        <v>0.19361980000000001</v>
      </c>
      <c r="Q7222">
        <v>-2.6889079999999999E-2</v>
      </c>
      <c r="R7222">
        <v>0.98070809999999997</v>
      </c>
      <c r="S7222">
        <v>0.84474179999999999</v>
      </c>
      <c r="T7222">
        <v>-0.25741639999999999</v>
      </c>
      <c r="U7222">
        <v>2.8862000000000001</v>
      </c>
      <c r="V7222">
        <v>0.1330335</v>
      </c>
      <c r="W7222">
        <v>-3.8749660000000001E-3</v>
      </c>
      <c r="X7222">
        <v>0.99110390000000004</v>
      </c>
      <c r="Y7222">
        <v>0.22041189999999999</v>
      </c>
      <c r="Z7222">
        <v>-8.5710899999999896E-2</v>
      </c>
      <c r="AA7222">
        <v>0.97163379999999999</v>
      </c>
      <c r="AB7222">
        <v>20</v>
      </c>
      <c r="AC7222">
        <v>3.6297999999999799</v>
      </c>
      <c r="AD7222">
        <v>-1.1104124730789999</v>
      </c>
      <c r="AE7222">
        <v>12.253599999999899</v>
      </c>
      <c r="AF7222">
        <v>2.8491207066933502</v>
      </c>
      <c r="AG7222">
        <v>-1.1104124730789999</v>
      </c>
      <c r="AH7222">
        <v>12.3600278167591</v>
      </c>
      <c r="AI7222">
        <v>95.0031054207696</v>
      </c>
      <c r="AJ7222">
        <v>77.0194387775514</v>
      </c>
      <c r="AK7222">
        <v>12.7326663465567</v>
      </c>
      <c r="AL7222">
        <v>90.222019767821394</v>
      </c>
      <c r="AM7222">
        <v>82.355019695236095</v>
      </c>
      <c r="AN7222">
        <v>0.99999993403947796</v>
      </c>
    </row>
    <row r="7223" spans="1:40" x14ac:dyDescent="0.25">
      <c r="A7223" t="str">
        <f>"20190312161202043"</f>
        <v>20190312161202043</v>
      </c>
      <c r="B7223" t="str">
        <f>"1552378322034420"</f>
        <v>1552378322034420</v>
      </c>
      <c r="C7223" t="s">
        <v>40</v>
      </c>
      <c r="D7223">
        <v>5.7120800000000003</v>
      </c>
      <c r="E7223">
        <v>0.53743390000000002</v>
      </c>
      <c r="F7223" t="s">
        <v>41</v>
      </c>
      <c r="G7223">
        <v>-182.6781</v>
      </c>
      <c r="H7223" s="1">
        <v>-4.3476840000000003E-6</v>
      </c>
      <c r="I7223">
        <v>116.6991</v>
      </c>
      <c r="J7223">
        <v>-186.94749999999999</v>
      </c>
      <c r="K7223">
        <v>1.1103889999999901</v>
      </c>
      <c r="L7223">
        <v>102.57510000000001</v>
      </c>
      <c r="M7223">
        <v>6.3157450000000004E-2</v>
      </c>
      <c r="N7223">
        <v>0</v>
      </c>
      <c r="O7223">
        <v>0.99772950000000005</v>
      </c>
      <c r="P7223">
        <v>0.196659</v>
      </c>
      <c r="Q7223">
        <v>-2.6511199999999999E-2</v>
      </c>
      <c r="R7223">
        <v>0.98011340000000002</v>
      </c>
      <c r="S7223">
        <v>0.86264039999999997</v>
      </c>
      <c r="T7223">
        <v>-0.22363459999999999</v>
      </c>
      <c r="U7223">
        <v>2.882568</v>
      </c>
      <c r="V7223">
        <v>0.13433889999999901</v>
      </c>
      <c r="W7223">
        <v>-3.6735090000000001E-3</v>
      </c>
      <c r="X7223">
        <v>0.99092860000000005</v>
      </c>
      <c r="Y7223">
        <v>0.2248067</v>
      </c>
      <c r="Z7223">
        <v>-7.4506760000000005E-2</v>
      </c>
      <c r="AA7223">
        <v>0.97155069999999999</v>
      </c>
      <c r="AB7223">
        <v>20</v>
      </c>
      <c r="AC7223">
        <v>4.2693999999999903</v>
      </c>
      <c r="AD7223">
        <v>-1.11039334768399</v>
      </c>
      <c r="AE7223">
        <v>14.123999999999899</v>
      </c>
      <c r="AF7223">
        <v>3.3496221901052201</v>
      </c>
      <c r="AG7223">
        <v>-1.11039334768399</v>
      </c>
      <c r="AH7223">
        <v>14.284608065392399</v>
      </c>
      <c r="AI7223">
        <v>94.327934030689804</v>
      </c>
      <c r="AJ7223">
        <v>76.8030505928118</v>
      </c>
      <c r="AK7223">
        <v>14.714039886615099</v>
      </c>
      <c r="AL7223">
        <v>90.210477042982305</v>
      </c>
      <c r="AM7223">
        <v>82.2795538715324</v>
      </c>
      <c r="AN7223">
        <v>0.99999996250977097</v>
      </c>
    </row>
    <row r="7224" spans="1:40" x14ac:dyDescent="0.25">
      <c r="A7224" t="str">
        <f>"20190312161202063"</f>
        <v>20190312161202063</v>
      </c>
      <c r="B7224" t="str">
        <f>"1552378322054917"</f>
        <v>1552378322054917</v>
      </c>
      <c r="C7224" t="s">
        <v>40</v>
      </c>
      <c r="D7224">
        <v>5.8459709999999996</v>
      </c>
      <c r="E7224">
        <v>0.5376976</v>
      </c>
      <c r="F7224" t="s">
        <v>41</v>
      </c>
      <c r="G7224">
        <v>-182.30850000000001</v>
      </c>
      <c r="H7224" s="1">
        <v>-4.8852619999999998E-6</v>
      </c>
      <c r="I7224">
        <v>117.84010000000001</v>
      </c>
      <c r="J7224">
        <v>-186.9332</v>
      </c>
      <c r="K7224">
        <v>1.110336</v>
      </c>
      <c r="L7224">
        <v>102.76560000000001</v>
      </c>
      <c r="M7224">
        <v>6.4974749999999998E-2</v>
      </c>
      <c r="N7224">
        <v>0</v>
      </c>
      <c r="O7224">
        <v>0.99761929999999999</v>
      </c>
      <c r="P7224">
        <v>0.20000019999999999</v>
      </c>
      <c r="Q7224">
        <v>-2.5389769999999999E-2</v>
      </c>
      <c r="R7224">
        <v>0.97946690000000003</v>
      </c>
      <c r="S7224">
        <v>0.87512209999999901</v>
      </c>
      <c r="T7224">
        <v>-0.20946609999999999</v>
      </c>
      <c r="U7224">
        <v>2.8796080000000002</v>
      </c>
      <c r="V7224">
        <v>0.13591310000000001</v>
      </c>
      <c r="W7224">
        <v>-2.8336709999999998E-3</v>
      </c>
      <c r="X7224">
        <v>0.99071670000000001</v>
      </c>
      <c r="Y7224">
        <v>0.22726479999999999</v>
      </c>
      <c r="Z7224">
        <v>-6.9804050000000006E-2</v>
      </c>
      <c r="AA7224">
        <v>0.97132799999999997</v>
      </c>
      <c r="AB7224">
        <v>20</v>
      </c>
      <c r="AC7224">
        <v>4.62469999999999</v>
      </c>
      <c r="AD7224">
        <v>-1.110340885262</v>
      </c>
      <c r="AE7224">
        <v>15.0745</v>
      </c>
      <c r="AF7224">
        <v>3.6172621871673201</v>
      </c>
      <c r="AG7224">
        <v>-1.110340885262</v>
      </c>
      <c r="AH7224">
        <v>15.267492269267599</v>
      </c>
      <c r="AI7224">
        <v>94.047886975685202</v>
      </c>
      <c r="AJ7224">
        <v>76.670930420541197</v>
      </c>
      <c r="AK7224">
        <v>15.729391685769</v>
      </c>
      <c r="AL7224">
        <v>90.162357607724601</v>
      </c>
      <c r="AM7224">
        <v>82.188545023133898</v>
      </c>
      <c r="AN7224">
        <v>0.999999990050918</v>
      </c>
    </row>
    <row r="7225" spans="1:40" x14ac:dyDescent="0.25">
      <c r="A7225" t="str">
        <f>"20190312161202086"</f>
        <v>20190312161202086</v>
      </c>
      <c r="B7225" t="str">
        <f>"1552378322074437"</f>
        <v>1552378322074437</v>
      </c>
      <c r="C7225" t="s">
        <v>40</v>
      </c>
      <c r="D7225">
        <v>5.8496459999999999</v>
      </c>
      <c r="E7225">
        <v>0.53782269999999999</v>
      </c>
      <c r="F7225" t="s">
        <v>41</v>
      </c>
      <c r="G7225">
        <v>-181.98179999999999</v>
      </c>
      <c r="H7225" s="1">
        <v>-5.3616929999999999E-6</v>
      </c>
      <c r="I7225">
        <v>118.8156</v>
      </c>
      <c r="J7225">
        <v>-186.91849999999999</v>
      </c>
      <c r="K7225">
        <v>1.1102719999999999</v>
      </c>
      <c r="L7225">
        <v>102.95699999999999</v>
      </c>
      <c r="M7225">
        <v>6.6825010000000004E-2</v>
      </c>
      <c r="N7225">
        <v>0</v>
      </c>
      <c r="O7225">
        <v>0.99750550000000004</v>
      </c>
      <c r="P7225">
        <v>0.2029783</v>
      </c>
      <c r="Q7225">
        <v>-2.4487620000000002E-2</v>
      </c>
      <c r="R7225">
        <v>0.978877</v>
      </c>
      <c r="S7225">
        <v>0.88740540000000001</v>
      </c>
      <c r="T7225">
        <v>-0.1989986</v>
      </c>
      <c r="U7225">
        <v>2.8765260000000001</v>
      </c>
      <c r="V7225">
        <v>0.13708870000000001</v>
      </c>
      <c r="W7225">
        <v>-2.3012000000000002E-3</v>
      </c>
      <c r="X7225">
        <v>0.99055610000000005</v>
      </c>
      <c r="Y7225">
        <v>0.22961010000000001</v>
      </c>
      <c r="Z7225">
        <v>-6.6328419999999999E-2</v>
      </c>
      <c r="AA7225">
        <v>0.97101999999999999</v>
      </c>
      <c r="AB7225">
        <v>19</v>
      </c>
      <c r="AC7225">
        <v>4.9367000000000001</v>
      </c>
      <c r="AD7225">
        <v>-1.110277361693</v>
      </c>
      <c r="AE7225">
        <v>15.8585999999999</v>
      </c>
      <c r="AF7225">
        <v>3.8484372226727701</v>
      </c>
      <c r="AG7225">
        <v>-1.110277361693</v>
      </c>
      <c r="AH7225">
        <v>16.0812539162016</v>
      </c>
      <c r="AI7225">
        <v>93.841402334011505</v>
      </c>
      <c r="AJ7225">
        <v>76.541544503911794</v>
      </c>
      <c r="AK7225">
        <v>16.572565051738099</v>
      </c>
      <c r="AL7225">
        <v>90.1318491645508</v>
      </c>
      <c r="AM7225">
        <v>82.120562297589899</v>
      </c>
      <c r="AN7225">
        <v>0.99999999721817001</v>
      </c>
    </row>
    <row r="7226" spans="1:40" x14ac:dyDescent="0.25">
      <c r="A7226" t="str">
        <f>"20190312161202107"</f>
        <v>20190312161202107</v>
      </c>
      <c r="B7226" t="str">
        <f>"1552378322093957"</f>
        <v>1552378322093957</v>
      </c>
      <c r="C7226" t="s">
        <v>40</v>
      </c>
      <c r="D7226">
        <v>5.8234859999999999</v>
      </c>
      <c r="E7226">
        <v>0.52855629999999998</v>
      </c>
      <c r="F7226" t="s">
        <v>87</v>
      </c>
      <c r="G7226">
        <v>-181.70419999999999</v>
      </c>
      <c r="H7226" s="1">
        <v>-2.207866E-6</v>
      </c>
      <c r="I7226">
        <v>119.6563</v>
      </c>
      <c r="J7226">
        <v>-186.90389999999999</v>
      </c>
      <c r="K7226">
        <v>1.110196</v>
      </c>
      <c r="L7226">
        <v>103.1414</v>
      </c>
      <c r="M7226">
        <v>6.8632670000000007E-2</v>
      </c>
      <c r="N7226">
        <v>0</v>
      </c>
      <c r="O7226">
        <v>0.99739219999999895</v>
      </c>
      <c r="P7226">
        <v>0.20535349999999999</v>
      </c>
      <c r="Q7226">
        <v>-2.516989E-2</v>
      </c>
      <c r="R7226">
        <v>0.97836420000000002</v>
      </c>
      <c r="S7226">
        <v>0.89735409999999904</v>
      </c>
      <c r="T7226">
        <v>-0.1910723</v>
      </c>
      <c r="U7226">
        <v>2.8738709999999998</v>
      </c>
      <c r="V7226">
        <v>0.1376966</v>
      </c>
      <c r="W7226">
        <v>-3.3966510000000001E-3</v>
      </c>
      <c r="X7226">
        <v>0.99046860000000003</v>
      </c>
      <c r="Y7226">
        <v>0.23121639999999999</v>
      </c>
      <c r="Z7226">
        <v>-6.3697790000000004E-2</v>
      </c>
      <c r="AA7226">
        <v>0.97081490000000004</v>
      </c>
      <c r="AB7226">
        <v>19</v>
      </c>
      <c r="AC7226">
        <v>5.1997</v>
      </c>
      <c r="AD7226">
        <v>-1.110198207866</v>
      </c>
      <c r="AE7226">
        <v>16.514899999999901</v>
      </c>
      <c r="AF7226">
        <v>4.0370902663557704</v>
      </c>
      <c r="AG7226">
        <v>-1.110198207866</v>
      </c>
      <c r="AH7226">
        <v>16.763971605915199</v>
      </c>
      <c r="AI7226">
        <v>93.683881105940998</v>
      </c>
      <c r="AJ7226">
        <v>76.459881548732994</v>
      </c>
      <c r="AK7226">
        <v>17.2789288407408</v>
      </c>
      <c r="AL7226">
        <v>90.194614146985103</v>
      </c>
      <c r="AM7226">
        <v>82.085373547848206</v>
      </c>
      <c r="AN7226">
        <v>0.99999996923776702</v>
      </c>
    </row>
    <row r="7227" spans="1:40" x14ac:dyDescent="0.25">
      <c r="A7227" t="str">
        <f>"20190312161202129"</f>
        <v>20190312161202129</v>
      </c>
      <c r="B7227" t="str">
        <f>"1552378322124213"</f>
        <v>1552378322124213</v>
      </c>
      <c r="C7227" t="s">
        <v>40</v>
      </c>
      <c r="D7227">
        <v>5.8459700000000003</v>
      </c>
      <c r="E7227">
        <v>0.52647940000000004</v>
      </c>
      <c r="F7227" t="s">
        <v>43</v>
      </c>
      <c r="G7227">
        <v>-168.55889999999999</v>
      </c>
      <c r="H7227">
        <v>-0.05</v>
      </c>
      <c r="I7227">
        <v>166.1636</v>
      </c>
      <c r="J7227">
        <v>-186.88929999999999</v>
      </c>
      <c r="K7227">
        <v>1.1101190000000001</v>
      </c>
      <c r="L7227">
        <v>103.3222</v>
      </c>
      <c r="M7227">
        <v>7.0425860000000007E-2</v>
      </c>
      <c r="N7227">
        <v>0</v>
      </c>
      <c r="O7227">
        <v>0.99727759999999999</v>
      </c>
      <c r="P7227">
        <v>0.20777100000000001</v>
      </c>
      <c r="Q7227">
        <v>-2.642239E-2</v>
      </c>
      <c r="R7227">
        <v>0.97782060000000004</v>
      </c>
      <c r="S7227">
        <v>0.84080509999999997</v>
      </c>
      <c r="T7227">
        <v>-5.3175090000000001E-2</v>
      </c>
      <c r="U7227">
        <v>2.8884889999999999</v>
      </c>
      <c r="V7227">
        <v>0.1383625</v>
      </c>
      <c r="W7227">
        <v>-5.1194980000000001E-3</v>
      </c>
      <c r="X7227">
        <v>0.99036840000000004</v>
      </c>
      <c r="Y7227">
        <v>0.2111143</v>
      </c>
      <c r="Z7227">
        <v>-1.7761949999999999E-2</v>
      </c>
      <c r="AA7227">
        <v>0.97729999999999995</v>
      </c>
      <c r="AB7227">
        <v>19</v>
      </c>
      <c r="AC7227">
        <v>18.330400000000001</v>
      </c>
      <c r="AD7227">
        <v>-1.1601189999999999</v>
      </c>
      <c r="AE7227">
        <v>62.8414</v>
      </c>
      <c r="AF7227">
        <v>13.853796015217201</v>
      </c>
      <c r="AG7227">
        <v>-1.1601189999999999</v>
      </c>
      <c r="AH7227">
        <v>63.956445879483297</v>
      </c>
      <c r="AI7227">
        <v>91.015636654152601</v>
      </c>
      <c r="AJ7227">
        <v>77.777815720423604</v>
      </c>
      <c r="AK7227">
        <v>65.449984794961495</v>
      </c>
      <c r="AL7227">
        <v>90.293326916052195</v>
      </c>
      <c r="AM7227">
        <v>82.046792687906404</v>
      </c>
      <c r="AN7227">
        <v>0.99999997919229</v>
      </c>
    </row>
    <row r="7228" spans="1:40" x14ac:dyDescent="0.25">
      <c r="A7228" t="str">
        <f>"20190312161202151"</f>
        <v>20190312161202151</v>
      </c>
      <c r="B7228" t="str">
        <f>"1552378322144709"</f>
        <v>1552378322144709</v>
      </c>
      <c r="C7228" t="s">
        <v>40</v>
      </c>
      <c r="D7228">
        <v>5.9400469999999999</v>
      </c>
      <c r="E7228">
        <v>0.53560909999999995</v>
      </c>
      <c r="F7228" t="s">
        <v>87</v>
      </c>
      <c r="G7228">
        <v>-172.61600000000001</v>
      </c>
      <c r="H7228">
        <v>7.9984109999999997E-2</v>
      </c>
      <c r="I7228">
        <v>152.92779999999999</v>
      </c>
      <c r="J7228">
        <v>-186.8734</v>
      </c>
      <c r="K7228">
        <v>1.1100380000000001</v>
      </c>
      <c r="L7228">
        <v>103.5141</v>
      </c>
      <c r="M7228">
        <v>7.2344560000000002E-2</v>
      </c>
      <c r="N7228">
        <v>0</v>
      </c>
      <c r="O7228">
        <v>0.99715209999999999</v>
      </c>
      <c r="P7228">
        <v>0.2107551</v>
      </c>
      <c r="Q7228">
        <v>-2.713206E-2</v>
      </c>
      <c r="R7228">
        <v>0.97716230000000004</v>
      </c>
      <c r="S7228">
        <v>0.8314819</v>
      </c>
      <c r="T7228">
        <v>-6.0009840000000002E-2</v>
      </c>
      <c r="U7228">
        <v>2.8897400000000002</v>
      </c>
      <c r="V7228">
        <v>0.13947899999999999</v>
      </c>
      <c r="W7228">
        <v>-6.375319E-3</v>
      </c>
      <c r="X7228">
        <v>0.99020450000000004</v>
      </c>
      <c r="Y7228">
        <v>0.20619680000000001</v>
      </c>
      <c r="Z7228">
        <v>-2.0051030000000001E-2</v>
      </c>
      <c r="AA7228">
        <v>0.97830510000000004</v>
      </c>
      <c r="AB7228">
        <v>19</v>
      </c>
      <c r="AC7228">
        <v>14.257400000000001</v>
      </c>
      <c r="AD7228">
        <v>-1.03005388999999</v>
      </c>
      <c r="AE7228">
        <v>49.413699999999899</v>
      </c>
      <c r="AF7228">
        <v>10.640132088912001</v>
      </c>
      <c r="AG7228">
        <v>-1.03005388999999</v>
      </c>
      <c r="AH7228">
        <v>50.295666271640201</v>
      </c>
      <c r="AI7228">
        <v>91.147854555185006</v>
      </c>
      <c r="AJ7228">
        <v>78.055098553145896</v>
      </c>
      <c r="AK7228">
        <v>51.419135227986999</v>
      </c>
      <c r="AL7228">
        <v>90.365281348436199</v>
      </c>
      <c r="AM7228">
        <v>81.982136582364603</v>
      </c>
      <c r="AN7228">
        <v>0.99999999397680095</v>
      </c>
    </row>
    <row r="7229" spans="1:40" x14ac:dyDescent="0.25">
      <c r="A7229" t="str">
        <f>"20190312161202175"</f>
        <v>20190312161202175</v>
      </c>
      <c r="B7229" t="str">
        <f>"1552378322164228"</f>
        <v>1552378322164228</v>
      </c>
      <c r="C7229" t="s">
        <v>40</v>
      </c>
      <c r="D7229">
        <v>5.937659</v>
      </c>
      <c r="E7229">
        <v>0.51145309999999999</v>
      </c>
      <c r="F7229" t="s">
        <v>87</v>
      </c>
      <c r="G7229">
        <v>-181.1686</v>
      </c>
      <c r="H7229" s="1">
        <v>-2.9275649999999998E-6</v>
      </c>
      <c r="I7229">
        <v>121.6161</v>
      </c>
      <c r="J7229">
        <v>-186.85579999999999</v>
      </c>
      <c r="K7229">
        <v>1.1099399999999999</v>
      </c>
      <c r="L7229">
        <v>103.7206</v>
      </c>
      <c r="M7229">
        <v>7.4421290000000001E-2</v>
      </c>
      <c r="N7229">
        <v>0</v>
      </c>
      <c r="O7229">
        <v>0.99701289999999998</v>
      </c>
      <c r="P7229">
        <v>0.21344659999999999</v>
      </c>
      <c r="Q7229">
        <v>-2.7600880000000001E-2</v>
      </c>
      <c r="R7229">
        <v>0.97656480000000001</v>
      </c>
      <c r="S7229">
        <v>0.9045105</v>
      </c>
      <c r="T7229">
        <v>-0.17600150000000001</v>
      </c>
      <c r="U7229">
        <v>2.8701479999999999</v>
      </c>
      <c r="V7229">
        <v>0.14014389999999999</v>
      </c>
      <c r="W7229">
        <v>-7.4909030000000001E-3</v>
      </c>
      <c r="X7229">
        <v>0.99010279999999995</v>
      </c>
      <c r="Y7229">
        <v>0.22822410000000001</v>
      </c>
      <c r="Z7229">
        <v>-5.8727439999999999E-2</v>
      </c>
      <c r="AA7229">
        <v>0.97183580000000003</v>
      </c>
      <c r="AB7229">
        <v>19</v>
      </c>
      <c r="AC7229">
        <v>5.68719999999999</v>
      </c>
      <c r="AD7229">
        <v>-1.1099429275649999</v>
      </c>
      <c r="AE7229">
        <v>17.895499999999998</v>
      </c>
      <c r="AF7229">
        <v>4.3242225803022301</v>
      </c>
      <c r="AG7229">
        <v>-1.1099429275649999</v>
      </c>
      <c r="AH7229">
        <v>18.2055807471172</v>
      </c>
      <c r="AI7229">
        <v>93.394630844138405</v>
      </c>
      <c r="AJ7229">
        <v>76.638598397357896</v>
      </c>
      <c r="AK7229">
        <v>18.744973848108</v>
      </c>
      <c r="AL7229">
        <v>90.429201144809497</v>
      </c>
      <c r="AM7229">
        <v>81.943599178213901</v>
      </c>
      <c r="AN7229">
        <v>0.99999999045140198</v>
      </c>
    </row>
    <row r="7230" spans="1:40" x14ac:dyDescent="0.25">
      <c r="A7230" t="str">
        <f>"20190312161202198"</f>
        <v>20190312161202198</v>
      </c>
      <c r="B7230" t="str">
        <f>"1552378322194486"</f>
        <v>1552378322194486</v>
      </c>
      <c r="C7230" t="s">
        <v>40</v>
      </c>
      <c r="D7230">
        <v>5.9155720000000001</v>
      </c>
      <c r="E7230">
        <v>0.5015096</v>
      </c>
      <c r="F7230" t="s">
        <v>42</v>
      </c>
      <c r="G7230">
        <v>-186.66309999999999</v>
      </c>
      <c r="H7230">
        <v>1.029064</v>
      </c>
      <c r="I7230">
        <v>104.5027</v>
      </c>
      <c r="J7230">
        <v>-186.83959999999999</v>
      </c>
      <c r="K7230">
        <v>1.1098380000000001</v>
      </c>
      <c r="L7230">
        <v>103.9081</v>
      </c>
      <c r="M7230">
        <v>7.6320289999999999E-2</v>
      </c>
      <c r="N7230">
        <v>0</v>
      </c>
      <c r="O7230">
        <v>0.99688319999999997</v>
      </c>
      <c r="P7230">
        <v>0.21530579999999999</v>
      </c>
      <c r="Q7230">
        <v>-2.7257739999999999E-2</v>
      </c>
      <c r="R7230">
        <v>0.97616619999999998</v>
      </c>
      <c r="S7230">
        <v>0.71626279999999998</v>
      </c>
      <c r="T7230">
        <v>-0.30061100000000002</v>
      </c>
      <c r="U7230">
        <v>2.906952</v>
      </c>
      <c r="V7230">
        <v>0.14014289999999999</v>
      </c>
      <c r="W7230">
        <v>-7.8166499999999996E-3</v>
      </c>
      <c r="X7230">
        <v>0.99010039999999999</v>
      </c>
      <c r="Y7230">
        <v>0.16321840000000001</v>
      </c>
      <c r="Z7230">
        <v>-0.1002439</v>
      </c>
      <c r="AA7230">
        <v>0.98148409999999997</v>
      </c>
      <c r="AB7230">
        <v>19</v>
      </c>
      <c r="AC7230">
        <v>0.17650000000000399</v>
      </c>
      <c r="AD7230">
        <v>-8.0773999999999901E-2</v>
      </c>
      <c r="AE7230">
        <v>0.59459999999999902</v>
      </c>
      <c r="AF7230">
        <v>0.12841796691355001</v>
      </c>
      <c r="AG7230">
        <v>-8.0773999999999901E-2</v>
      </c>
      <c r="AH7230">
        <v>0.59622643814128296</v>
      </c>
      <c r="AI7230">
        <v>97.544249310467606</v>
      </c>
      <c r="AJ7230">
        <v>77.845061530631796</v>
      </c>
      <c r="AK7230">
        <v>0.61522481975360099</v>
      </c>
      <c r="AL7230">
        <v>90.447865630439907</v>
      </c>
      <c r="AM7230">
        <v>81.943636637953105</v>
      </c>
      <c r="AN7230">
        <v>0.99999996725889495</v>
      </c>
    </row>
    <row r="7231" spans="1:40" x14ac:dyDescent="0.25">
      <c r="A7231" t="str">
        <f>"20190312161202219"</f>
        <v>20190312161202219</v>
      </c>
      <c r="B7231" t="str">
        <f>"1552378322214982"</f>
        <v>1552378322214982</v>
      </c>
      <c r="C7231" t="s">
        <v>40</v>
      </c>
      <c r="D7231">
        <v>5.8500670000000001</v>
      </c>
      <c r="E7231">
        <v>0.50327310000000003</v>
      </c>
      <c r="F7231" t="s">
        <v>42</v>
      </c>
      <c r="G7231">
        <v>-186.68719999999999</v>
      </c>
      <c r="H7231">
        <v>0.93602779999999997</v>
      </c>
      <c r="I7231">
        <v>104.6262</v>
      </c>
      <c r="J7231">
        <v>-186.8235</v>
      </c>
      <c r="K7231">
        <v>1.1097429999999999</v>
      </c>
      <c r="L7231">
        <v>104.0886</v>
      </c>
      <c r="M7231">
        <v>7.8157279999999996E-2</v>
      </c>
      <c r="N7231">
        <v>0</v>
      </c>
      <c r="O7231">
        <v>0.99675429999999998</v>
      </c>
      <c r="P7231">
        <v>0.21740809999999999</v>
      </c>
      <c r="Q7231">
        <v>-2.7088790000000001E-2</v>
      </c>
      <c r="R7231">
        <v>0.97570480000000004</v>
      </c>
      <c r="S7231">
        <v>0.6186218</v>
      </c>
      <c r="T7231">
        <v>-0.70602889999999996</v>
      </c>
      <c r="U7231">
        <v>2.917084</v>
      </c>
      <c r="V7231">
        <v>0.1404503</v>
      </c>
      <c r="W7231">
        <v>-8.3317369999999901E-3</v>
      </c>
      <c r="X7231">
        <v>0.99005259999999995</v>
      </c>
      <c r="Y7231">
        <v>0.1247366</v>
      </c>
      <c r="Z7231">
        <v>-0.2308548</v>
      </c>
      <c r="AA7231">
        <v>0.96495949999999997</v>
      </c>
      <c r="AB7231">
        <v>19</v>
      </c>
      <c r="AC7231">
        <v>0.136300000000005</v>
      </c>
      <c r="AD7231">
        <v>-0.17371519999999899</v>
      </c>
      <c r="AE7231">
        <v>0.53759999999999697</v>
      </c>
      <c r="AF7231">
        <v>8.5472275537623599E-2</v>
      </c>
      <c r="AG7231">
        <v>-0.17371519999999899</v>
      </c>
      <c r="AH7231">
        <v>0.49777440203990198</v>
      </c>
      <c r="AI7231">
        <v>108.980661902037</v>
      </c>
      <c r="AJ7231">
        <v>80.256821252090703</v>
      </c>
      <c r="AK7231">
        <v>0.53409908811268503</v>
      </c>
      <c r="AL7231">
        <v>90.4773789238441</v>
      </c>
      <c r="AM7231">
        <v>81.925813294225094</v>
      </c>
      <c r="AN7231">
        <v>0.99999992768914003</v>
      </c>
    </row>
    <row r="7232" spans="1:40" x14ac:dyDescent="0.25">
      <c r="A7232" t="str">
        <f>"20190312161202242"</f>
        <v>20190312161202242</v>
      </c>
      <c r="B7232" t="str">
        <f>"1552378322234501"</f>
        <v>1552378322234501</v>
      </c>
      <c r="C7232" t="s">
        <v>40</v>
      </c>
      <c r="D7232">
        <v>5.8334979999999996</v>
      </c>
      <c r="E7232">
        <v>0.5084516</v>
      </c>
      <c r="F7232" t="s">
        <v>42</v>
      </c>
      <c r="G7232">
        <v>-186.6711</v>
      </c>
      <c r="H7232">
        <v>0.92311929999999998</v>
      </c>
      <c r="I7232">
        <v>104.788</v>
      </c>
      <c r="J7232">
        <v>-186.8064</v>
      </c>
      <c r="K7232">
        <v>1.109656</v>
      </c>
      <c r="L7232">
        <v>104.2779</v>
      </c>
      <c r="M7232">
        <v>8.0084820000000001E-2</v>
      </c>
      <c r="N7232">
        <v>0</v>
      </c>
      <c r="O7232">
        <v>0.99661449999999996</v>
      </c>
      <c r="P7232">
        <v>0.21965170000000001</v>
      </c>
      <c r="Q7232">
        <v>-2.7082439999999999E-2</v>
      </c>
      <c r="R7232">
        <v>0.97520240000000002</v>
      </c>
      <c r="S7232">
        <v>0.63447569999999998</v>
      </c>
      <c r="T7232">
        <v>-0.77686860000000002</v>
      </c>
      <c r="U7232">
        <v>2.9117579999999998</v>
      </c>
      <c r="V7232">
        <v>0.14081199999999999</v>
      </c>
      <c r="W7232">
        <v>-9.0085259999999993E-3</v>
      </c>
      <c r="X7232">
        <v>0.98999539999999997</v>
      </c>
      <c r="Y7232">
        <v>0.12703329999999999</v>
      </c>
      <c r="Z7232">
        <v>-0.25278289999999998</v>
      </c>
      <c r="AA7232">
        <v>0.95914719999999998</v>
      </c>
      <c r="AB7232">
        <v>19</v>
      </c>
      <c r="AC7232">
        <v>0.1353</v>
      </c>
      <c r="AD7232">
        <v>-0.186536699999999</v>
      </c>
      <c r="AE7232">
        <v>0.510099999999994</v>
      </c>
      <c r="AF7232">
        <v>8.3566409237791101E-2</v>
      </c>
      <c r="AG7232">
        <v>-0.186536699999999</v>
      </c>
      <c r="AH7232">
        <v>0.46162443920225399</v>
      </c>
      <c r="AI7232">
        <v>111.683998864961</v>
      </c>
      <c r="AJ7232">
        <v>79.739049796825896</v>
      </c>
      <c r="AK7232">
        <v>0.50485285783937395</v>
      </c>
      <c r="AL7232">
        <v>90.516157484177896</v>
      </c>
      <c r="AM7232">
        <v>81.904833678384307</v>
      </c>
      <c r="AN7232">
        <v>1.0000000324529199</v>
      </c>
    </row>
    <row r="7233" spans="1:40" x14ac:dyDescent="0.25">
      <c r="A7233" t="str">
        <f>"20190312161202264"</f>
        <v>20190312161202264</v>
      </c>
      <c r="B7233" t="str">
        <f>"1552378322254021"</f>
        <v>1552378322254021</v>
      </c>
      <c r="C7233" t="s">
        <v>40</v>
      </c>
      <c r="D7233">
        <v>5.9324629999999896</v>
      </c>
      <c r="E7233">
        <v>0.50908980000000004</v>
      </c>
      <c r="F7233" t="s">
        <v>42</v>
      </c>
      <c r="G7233">
        <v>-186.64869999999999</v>
      </c>
      <c r="H7233">
        <v>0.91614879999999999</v>
      </c>
      <c r="I7233">
        <v>104.9522</v>
      </c>
      <c r="J7233">
        <v>-186.7893</v>
      </c>
      <c r="K7233">
        <v>1.1096010000000001</v>
      </c>
      <c r="L7233">
        <v>104.4618</v>
      </c>
      <c r="M7233">
        <v>8.1960340000000007E-2</v>
      </c>
      <c r="N7233">
        <v>0</v>
      </c>
      <c r="O7233">
        <v>0.99647300000000005</v>
      </c>
      <c r="P7233">
        <v>0.2220434</v>
      </c>
      <c r="Q7233">
        <v>-2.6981120000000001E-2</v>
      </c>
      <c r="R7233">
        <v>0.97466339999999996</v>
      </c>
      <c r="S7233">
        <v>0.67739869999999902</v>
      </c>
      <c r="T7233">
        <v>-0.8322484</v>
      </c>
      <c r="U7233">
        <v>2.900604</v>
      </c>
      <c r="V7233">
        <v>0.141376799999999</v>
      </c>
      <c r="W7233">
        <v>-9.503025E-3</v>
      </c>
      <c r="X7233">
        <v>0.98991019999999996</v>
      </c>
      <c r="Y7233">
        <v>0.138381</v>
      </c>
      <c r="Z7233">
        <v>-0.26978970000000002</v>
      </c>
      <c r="AA7233">
        <v>0.95292399999999999</v>
      </c>
      <c r="AB7233">
        <v>19</v>
      </c>
      <c r="AC7233">
        <v>0.140600000000006</v>
      </c>
      <c r="AD7233">
        <v>-0.19345219999999999</v>
      </c>
      <c r="AE7233">
        <v>0.490400000000008</v>
      </c>
      <c r="AF7233">
        <v>8.7364503755161693E-2</v>
      </c>
      <c r="AG7233">
        <v>-0.19345219999999999</v>
      </c>
      <c r="AH7233">
        <v>0.43738234140291199</v>
      </c>
      <c r="AI7233">
        <v>113.447711812455</v>
      </c>
      <c r="AJ7233">
        <v>78.704171122108207</v>
      </c>
      <c r="AK7233">
        <v>0.48616830704224201</v>
      </c>
      <c r="AL7233">
        <v>90.544491444788207</v>
      </c>
      <c r="AM7233">
        <v>81.872106581736702</v>
      </c>
      <c r="AN7233">
        <v>0.99999995556321397</v>
      </c>
    </row>
    <row r="7234" spans="1:40" x14ac:dyDescent="0.25">
      <c r="A7234" t="str">
        <f>"20190312161202286"</f>
        <v>20190312161202286</v>
      </c>
      <c r="B7234" t="str">
        <f>"1552378322274518"</f>
        <v>1552378322274518</v>
      </c>
      <c r="C7234" t="s">
        <v>40</v>
      </c>
      <c r="D7234">
        <v>5.9170319999999998</v>
      </c>
      <c r="E7234">
        <v>0.5106117</v>
      </c>
      <c r="F7234" t="s">
        <v>42</v>
      </c>
      <c r="G7234">
        <v>-186.59829999999999</v>
      </c>
      <c r="H7234">
        <v>0.87191059999999998</v>
      </c>
      <c r="I7234">
        <v>105.26690000000001</v>
      </c>
      <c r="J7234">
        <v>-186.7715</v>
      </c>
      <c r="K7234">
        <v>1.109561</v>
      </c>
      <c r="L7234">
        <v>104.6502</v>
      </c>
      <c r="M7234">
        <v>8.3900349999999999E-2</v>
      </c>
      <c r="N7234">
        <v>0</v>
      </c>
      <c r="O7234">
        <v>0.99632129999999997</v>
      </c>
      <c r="P7234">
        <v>0.22440579999999999</v>
      </c>
      <c r="Q7234">
        <v>-2.672836E-2</v>
      </c>
      <c r="R7234">
        <v>0.97412920000000003</v>
      </c>
      <c r="S7234">
        <v>0.68684389999999995</v>
      </c>
      <c r="T7234">
        <v>-0.85540830000000001</v>
      </c>
      <c r="U7234">
        <v>2.8978269999999999</v>
      </c>
      <c r="V7234">
        <v>0.141848799999999</v>
      </c>
      <c r="W7234">
        <v>-9.7996590000000005E-3</v>
      </c>
      <c r="X7234">
        <v>0.98983989999999999</v>
      </c>
      <c r="Y7234">
        <v>0.13914089999999901</v>
      </c>
      <c r="Z7234">
        <v>-0.2767869</v>
      </c>
      <c r="AA7234">
        <v>0.95080430000000005</v>
      </c>
      <c r="AB7234">
        <v>19</v>
      </c>
      <c r="AC7234">
        <v>0.17320000000000799</v>
      </c>
      <c r="AD7234">
        <v>-0.23765040000000001</v>
      </c>
      <c r="AE7234">
        <v>0.61670000000000802</v>
      </c>
      <c r="AF7234">
        <v>0.106219435037855</v>
      </c>
      <c r="AG7234">
        <v>-0.23765040000000001</v>
      </c>
      <c r="AH7234">
        <v>0.55294861107272897</v>
      </c>
      <c r="AI7234">
        <v>112.88317948148899</v>
      </c>
      <c r="AJ7234">
        <v>79.126148067382303</v>
      </c>
      <c r="AK7234">
        <v>0.61115664725762497</v>
      </c>
      <c r="AL7234">
        <v>90.561488048388597</v>
      </c>
      <c r="AM7234">
        <v>81.844763839904502</v>
      </c>
      <c r="AN7234">
        <v>1.0000000715049799</v>
      </c>
    </row>
    <row r="7235" spans="1:40" x14ac:dyDescent="0.25">
      <c r="A7235" t="str">
        <f>"20190312161202306"</f>
        <v>20190312161202306</v>
      </c>
      <c r="B7235" t="str">
        <f>"1552378322304773"</f>
        <v>1552378322304773</v>
      </c>
      <c r="C7235" t="s">
        <v>40</v>
      </c>
      <c r="D7235">
        <v>5.8545249999999998</v>
      </c>
      <c r="E7235">
        <v>0.5120401</v>
      </c>
      <c r="F7235" t="s">
        <v>42</v>
      </c>
      <c r="G7235">
        <v>-186.58099999999999</v>
      </c>
      <c r="H7235">
        <v>0.86957299999999904</v>
      </c>
      <c r="I7235">
        <v>105.4329</v>
      </c>
      <c r="J7235">
        <v>-186.75489999999999</v>
      </c>
      <c r="K7235">
        <v>1.1095280000000001</v>
      </c>
      <c r="L7235">
        <v>104.822</v>
      </c>
      <c r="M7235">
        <v>8.5683620000000002E-2</v>
      </c>
      <c r="N7235">
        <v>0</v>
      </c>
      <c r="O7235">
        <v>0.9961776</v>
      </c>
      <c r="P7235">
        <v>0.22685</v>
      </c>
      <c r="Q7235">
        <v>-2.6635590000000001E-2</v>
      </c>
      <c r="R7235">
        <v>0.97356540000000003</v>
      </c>
      <c r="S7235">
        <v>0.70382690000000003</v>
      </c>
      <c r="T7235">
        <v>-0.88706109999999905</v>
      </c>
      <c r="U7235">
        <v>2.8932039999999999</v>
      </c>
      <c r="V7235">
        <v>0.14256070000000001</v>
      </c>
      <c r="W7235">
        <v>-1.0173110000000001E-2</v>
      </c>
      <c r="X7235">
        <v>0.9897338</v>
      </c>
      <c r="Y7235">
        <v>0.14232700000000001</v>
      </c>
      <c r="Z7235">
        <v>-0.28629559999999998</v>
      </c>
      <c r="AA7235">
        <v>0.9475114</v>
      </c>
      <c r="AB7235">
        <v>19</v>
      </c>
      <c r="AC7235">
        <v>0.173900000000003</v>
      </c>
      <c r="AD7235">
        <v>-0.239955</v>
      </c>
      <c r="AE7235">
        <v>0.6109</v>
      </c>
      <c r="AF7235">
        <v>0.105807853320822</v>
      </c>
      <c r="AG7235">
        <v>-0.239955</v>
      </c>
      <c r="AH7235">
        <v>0.54567697069272203</v>
      </c>
      <c r="AI7235">
        <v>113.349740832591</v>
      </c>
      <c r="AJ7235">
        <v>79.026409960560997</v>
      </c>
      <c r="AK7235">
        <v>0.60542304233795596</v>
      </c>
      <c r="AL7235">
        <v>90.582886310124707</v>
      </c>
      <c r="AM7235">
        <v>81.803522968819493</v>
      </c>
      <c r="AN7235">
        <v>1.0000000201070001</v>
      </c>
    </row>
    <row r="7236" spans="1:40" x14ac:dyDescent="0.25">
      <c r="A7236" t="str">
        <f>"20190312161202330"</f>
        <v>20190312161202330</v>
      </c>
      <c r="B7236" t="str">
        <f>"1552378322324293"</f>
        <v>1552378322324293</v>
      </c>
      <c r="C7236" t="s">
        <v>40</v>
      </c>
      <c r="D7236">
        <v>5.8675639999999998</v>
      </c>
      <c r="E7236">
        <v>0.51205279999999997</v>
      </c>
      <c r="F7236" t="s">
        <v>42</v>
      </c>
      <c r="G7236">
        <v>-186.5615</v>
      </c>
      <c r="H7236">
        <v>0.86422180000000004</v>
      </c>
      <c r="I7236">
        <v>105.59739999999999</v>
      </c>
      <c r="J7236">
        <v>-186.73589999999999</v>
      </c>
      <c r="K7236">
        <v>1.1094839999999999</v>
      </c>
      <c r="L7236">
        <v>105.0145</v>
      </c>
      <c r="M7236">
        <v>8.7692599999999996E-2</v>
      </c>
      <c r="N7236">
        <v>0</v>
      </c>
      <c r="O7236">
        <v>0.99601079999999997</v>
      </c>
      <c r="P7236">
        <v>0.22987150000000001</v>
      </c>
      <c r="Q7236">
        <v>-2.6655640000000001E-2</v>
      </c>
      <c r="R7236">
        <v>0.9728559</v>
      </c>
      <c r="S7236">
        <v>0.71990969999999999</v>
      </c>
      <c r="T7236">
        <v>-0.91370759999999995</v>
      </c>
      <c r="U7236">
        <v>2.8887019999999999</v>
      </c>
      <c r="V7236">
        <v>0.14363619999999999</v>
      </c>
      <c r="W7236">
        <v>-1.066899E-2</v>
      </c>
      <c r="X7236">
        <v>0.98957309999999998</v>
      </c>
      <c r="Y7236">
        <v>0.14506089999999999</v>
      </c>
      <c r="Z7236">
        <v>-0.29424860000000003</v>
      </c>
      <c r="AA7236">
        <v>0.9446561</v>
      </c>
      <c r="AB7236">
        <v>19</v>
      </c>
      <c r="AC7236">
        <v>0.17439999999999101</v>
      </c>
      <c r="AD7236">
        <v>-0.24526219999999899</v>
      </c>
      <c r="AE7236">
        <v>0.58289999999999498</v>
      </c>
      <c r="AF7236">
        <v>0.105467124964177</v>
      </c>
      <c r="AG7236">
        <v>-0.24526219999999899</v>
      </c>
      <c r="AH7236">
        <v>0.51264706157588202</v>
      </c>
      <c r="AI7236">
        <v>115.108208036928</v>
      </c>
      <c r="AJ7236">
        <v>78.374714202053198</v>
      </c>
      <c r="AK7236">
        <v>0.57799988835590199</v>
      </c>
      <c r="AL7236">
        <v>90.611299663885106</v>
      </c>
      <c r="AM7236">
        <v>81.741214581662504</v>
      </c>
      <c r="AN7236">
        <v>1.0000000527708299</v>
      </c>
    </row>
    <row r="7237" spans="1:40" x14ac:dyDescent="0.25">
      <c r="A7237" t="str">
        <f>"20190312161202353"</f>
        <v>20190312161202353</v>
      </c>
      <c r="B7237" t="str">
        <f>"1552378322344789"</f>
        <v>1552378322344789</v>
      </c>
      <c r="C7237" t="s">
        <v>40</v>
      </c>
      <c r="D7237">
        <v>5.844544</v>
      </c>
      <c r="E7237">
        <v>0.51142169999999998</v>
      </c>
      <c r="F7237" t="s">
        <v>42</v>
      </c>
      <c r="G7237">
        <v>-186.54599999999999</v>
      </c>
      <c r="H7237">
        <v>0.86955819999999995</v>
      </c>
      <c r="I7237">
        <v>105.7663</v>
      </c>
      <c r="J7237">
        <v>-186.71639999999999</v>
      </c>
      <c r="K7237">
        <v>1.1094440000000001</v>
      </c>
      <c r="L7237">
        <v>105.20829999999999</v>
      </c>
      <c r="M7237">
        <v>8.9722609999999994E-2</v>
      </c>
      <c r="N7237">
        <v>0</v>
      </c>
      <c r="O7237">
        <v>0.99583679999999997</v>
      </c>
      <c r="P7237">
        <v>0.2330604</v>
      </c>
      <c r="Q7237">
        <v>-2.6718140000000001E-2</v>
      </c>
      <c r="R7237">
        <v>0.97209520000000005</v>
      </c>
      <c r="S7237">
        <v>0.72875979999999996</v>
      </c>
      <c r="T7237">
        <v>-0.92114569999999996</v>
      </c>
      <c r="U7237">
        <v>2.8862610000000002</v>
      </c>
      <c r="V7237">
        <v>0.14486289999999999</v>
      </c>
      <c r="W7237">
        <v>-1.1154829999999999E-2</v>
      </c>
      <c r="X7237">
        <v>0.98938890000000002</v>
      </c>
      <c r="Y7237">
        <v>0.14579149999999999</v>
      </c>
      <c r="Z7237">
        <v>-0.29646030000000001</v>
      </c>
      <c r="AA7237">
        <v>0.94385180000000002</v>
      </c>
      <c r="AB7237">
        <v>19</v>
      </c>
      <c r="AC7237">
        <v>0.1704</v>
      </c>
      <c r="AD7237">
        <v>-0.23988580000000001</v>
      </c>
      <c r="AE7237">
        <v>0.55800000000000605</v>
      </c>
      <c r="AF7237">
        <v>0.102340104149862</v>
      </c>
      <c r="AG7237">
        <v>-0.23988580000000001</v>
      </c>
      <c r="AH7237">
        <v>0.48846397483727499</v>
      </c>
      <c r="AI7237">
        <v>115.67200847270701</v>
      </c>
      <c r="AJ7237">
        <v>78.166886032289497</v>
      </c>
      <c r="AK7237">
        <v>0.55372894874015299</v>
      </c>
      <c r="AL7237">
        <v>90.639137908018199</v>
      </c>
      <c r="AM7237">
        <v>81.670138302552203</v>
      </c>
      <c r="AN7237">
        <v>1.0000000427359701</v>
      </c>
    </row>
    <row r="7238" spans="1:40" x14ac:dyDescent="0.25">
      <c r="A7238" t="str">
        <f>"20190312161202375"</f>
        <v>20190312161202375</v>
      </c>
      <c r="B7238" t="str">
        <f>"1552378322364322"</f>
        <v>1552378322364322</v>
      </c>
      <c r="C7238" t="s">
        <v>40</v>
      </c>
      <c r="D7238">
        <v>5.9214599999999997</v>
      </c>
      <c r="E7238">
        <v>0.51024229999999904</v>
      </c>
      <c r="F7238" t="s">
        <v>42</v>
      </c>
      <c r="G7238">
        <v>-186.53110000000001</v>
      </c>
      <c r="H7238">
        <v>0.87833559999999999</v>
      </c>
      <c r="I7238">
        <v>105.93640000000001</v>
      </c>
      <c r="J7238">
        <v>-186.6977</v>
      </c>
      <c r="K7238">
        <v>1.109416</v>
      </c>
      <c r="L7238">
        <v>105.3899</v>
      </c>
      <c r="M7238">
        <v>9.1638380000000005E-2</v>
      </c>
      <c r="N7238">
        <v>0</v>
      </c>
      <c r="O7238">
        <v>0.99566779999999999</v>
      </c>
      <c r="P7238">
        <v>0.2363587</v>
      </c>
      <c r="Q7238">
        <v>-2.6478990000000001E-2</v>
      </c>
      <c r="R7238">
        <v>0.97130499999999997</v>
      </c>
      <c r="S7238">
        <v>0.73345950000000004</v>
      </c>
      <c r="T7238">
        <v>-0.91559650000000004</v>
      </c>
      <c r="U7238">
        <v>2.8851010000000001</v>
      </c>
      <c r="V7238">
        <v>0.14631659999999999</v>
      </c>
      <c r="W7238">
        <v>-1.1265280000000001E-2</v>
      </c>
      <c r="X7238">
        <v>0.98917370000000004</v>
      </c>
      <c r="Y7238">
        <v>0.14555079999999901</v>
      </c>
      <c r="Z7238">
        <v>-0.2948152</v>
      </c>
      <c r="AA7238">
        <v>0.94440400000000002</v>
      </c>
      <c r="AB7238">
        <v>19</v>
      </c>
      <c r="AC7238">
        <v>0.16659999999998801</v>
      </c>
      <c r="AD7238">
        <v>-0.23108039999999999</v>
      </c>
      <c r="AE7238">
        <v>0.54650000000000798</v>
      </c>
      <c r="AF7238">
        <v>9.9530254493943204E-2</v>
      </c>
      <c r="AG7238">
        <v>-0.23108039999999999</v>
      </c>
      <c r="AH7238">
        <v>0.48081333556287098</v>
      </c>
      <c r="AI7238">
        <v>115.202876563464</v>
      </c>
      <c r="AJ7238">
        <v>78.3047306682124</v>
      </c>
      <c r="AK7238">
        <v>0.54266553831884601</v>
      </c>
      <c r="AL7238">
        <v>90.645466631597202</v>
      </c>
      <c r="AM7238">
        <v>81.585934462793006</v>
      </c>
      <c r="AN7238">
        <v>1.0000000313703601</v>
      </c>
    </row>
    <row r="7239" spans="1:40" x14ac:dyDescent="0.25">
      <c r="A7239" t="str">
        <f>"20190312161202397"</f>
        <v>20190312161202397</v>
      </c>
      <c r="B7239" t="str">
        <f>"1552378322384808"</f>
        <v>1552378322384808</v>
      </c>
      <c r="C7239" t="s">
        <v>40</v>
      </c>
      <c r="D7239">
        <v>5.8837080000000004</v>
      </c>
      <c r="E7239">
        <v>0.50918699999999995</v>
      </c>
      <c r="F7239" t="s">
        <v>42</v>
      </c>
      <c r="G7239">
        <v>-186.51509999999999</v>
      </c>
      <c r="H7239">
        <v>0.88684609999999997</v>
      </c>
      <c r="I7239">
        <v>106.1062</v>
      </c>
      <c r="J7239">
        <v>-186.6788</v>
      </c>
      <c r="K7239">
        <v>1.1093900000000001</v>
      </c>
      <c r="L7239">
        <v>105.56950000000001</v>
      </c>
      <c r="M7239">
        <v>9.3554289999999998E-2</v>
      </c>
      <c r="N7239">
        <v>0</v>
      </c>
      <c r="O7239">
        <v>0.99549430000000005</v>
      </c>
      <c r="P7239">
        <v>0.23970669999999999</v>
      </c>
      <c r="Q7239">
        <v>-2.7477720000000001E-2</v>
      </c>
      <c r="R7239">
        <v>0.9704564</v>
      </c>
      <c r="S7239">
        <v>0.73551940000000005</v>
      </c>
      <c r="T7239">
        <v>-0.8964493</v>
      </c>
      <c r="U7239">
        <v>2.8852229999999999</v>
      </c>
      <c r="V7239">
        <v>0.1478227</v>
      </c>
      <c r="W7239">
        <v>-1.2571010000000001E-2</v>
      </c>
      <c r="X7239">
        <v>0.98893399999999998</v>
      </c>
      <c r="Y7239">
        <v>0.1447051</v>
      </c>
      <c r="Z7239">
        <v>-0.28908810000000001</v>
      </c>
      <c r="AA7239">
        <v>0.94630250000000005</v>
      </c>
      <c r="AB7239">
        <v>19</v>
      </c>
      <c r="AC7239">
        <v>0.16370000000000501</v>
      </c>
      <c r="AD7239">
        <v>-0.22254389999999899</v>
      </c>
      <c r="AE7239">
        <v>0.53669999999999596</v>
      </c>
      <c r="AF7239">
        <v>9.74380549336685E-2</v>
      </c>
      <c r="AG7239">
        <v>-0.22254389999999899</v>
      </c>
      <c r="AH7239">
        <v>0.474951286304232</v>
      </c>
      <c r="AI7239">
        <v>114.655209333478</v>
      </c>
      <c r="AJ7239">
        <v>78.406418058358696</v>
      </c>
      <c r="AK7239">
        <v>0.53347791551151502</v>
      </c>
      <c r="AL7239">
        <v>90.720284775774005</v>
      </c>
      <c r="AM7239">
        <v>81.498553563846798</v>
      </c>
      <c r="AN7239">
        <v>1.0000000186418501</v>
      </c>
    </row>
    <row r="7240" spans="1:40" x14ac:dyDescent="0.25">
      <c r="A7240" t="str">
        <f>"20190312161202420"</f>
        <v>20190312161202420</v>
      </c>
      <c r="B7240" t="str">
        <f>"1552378322414084"</f>
        <v>1552378322414084</v>
      </c>
      <c r="C7240" t="s">
        <v>40</v>
      </c>
      <c r="D7240">
        <v>5.8934040000000003</v>
      </c>
      <c r="E7240">
        <v>0.50787729999999998</v>
      </c>
      <c r="F7240" t="s">
        <v>42</v>
      </c>
      <c r="G7240">
        <v>-186.4984</v>
      </c>
      <c r="H7240">
        <v>0.89312950000000002</v>
      </c>
      <c r="I7240">
        <v>106.2747</v>
      </c>
      <c r="J7240">
        <v>-186.65799999999999</v>
      </c>
      <c r="K7240">
        <v>1.109367</v>
      </c>
      <c r="L7240">
        <v>105.76390000000001</v>
      </c>
      <c r="M7240">
        <v>9.5650689999999997E-2</v>
      </c>
      <c r="N7240">
        <v>0</v>
      </c>
      <c r="O7240">
        <v>0.99529939999999995</v>
      </c>
      <c r="P7240">
        <v>0.24384339999999999</v>
      </c>
      <c r="Q7240">
        <v>-2.8547320000000001E-2</v>
      </c>
      <c r="R7240">
        <v>0.96939439999999999</v>
      </c>
      <c r="S7240">
        <v>0.73725889999999905</v>
      </c>
      <c r="T7240">
        <v>-0.88435580000000003</v>
      </c>
      <c r="U7240">
        <v>2.8841709999999998</v>
      </c>
      <c r="V7240">
        <v>0.14995629999999999</v>
      </c>
      <c r="W7240">
        <v>-1.393669E-2</v>
      </c>
      <c r="X7240">
        <v>0.98859439999999998</v>
      </c>
      <c r="Y7240">
        <v>0.143506299999999</v>
      </c>
      <c r="Z7240">
        <v>-0.28552880000000003</v>
      </c>
      <c r="AA7240">
        <v>0.94756490000000004</v>
      </c>
      <c r="AB7240">
        <v>19</v>
      </c>
      <c r="AC7240">
        <v>0.15959999999998301</v>
      </c>
      <c r="AD7240">
        <v>-0.2162375</v>
      </c>
      <c r="AE7240">
        <v>0.51079999999998904</v>
      </c>
      <c r="AF7240">
        <v>9.4564529227364996E-2</v>
      </c>
      <c r="AG7240">
        <v>-0.2162375</v>
      </c>
      <c r="AH7240">
        <v>0.45021800278095198</v>
      </c>
      <c r="AI7240">
        <v>115.17533315877699</v>
      </c>
      <c r="AJ7240">
        <v>78.137935680764798</v>
      </c>
      <c r="AK7240">
        <v>0.50832800102130105</v>
      </c>
      <c r="AL7240">
        <v>90.798539364659902</v>
      </c>
      <c r="AM7240">
        <v>81.374761887226796</v>
      </c>
      <c r="AN7240">
        <v>1.0000000054746001</v>
      </c>
    </row>
    <row r="7241" spans="1:40" x14ac:dyDescent="0.25">
      <c r="A7241" t="str">
        <f>"20190312161202443"</f>
        <v>20190312161202443</v>
      </c>
      <c r="B7241" t="str">
        <f>"1552378322434580"</f>
        <v>1552378322434580</v>
      </c>
      <c r="C7241" t="s">
        <v>40</v>
      </c>
      <c r="D7241">
        <v>5.8790389999999997</v>
      </c>
      <c r="E7241">
        <v>0.507909099999999</v>
      </c>
      <c r="F7241" t="s">
        <v>42</v>
      </c>
      <c r="G7241">
        <v>-186.48310000000001</v>
      </c>
      <c r="H7241">
        <v>0.90408739999999999</v>
      </c>
      <c r="I7241">
        <v>106.4451</v>
      </c>
      <c r="J7241">
        <v>-186.6378</v>
      </c>
      <c r="K7241">
        <v>1.1093500000000001</v>
      </c>
      <c r="L7241">
        <v>105.9487</v>
      </c>
      <c r="M7241">
        <v>9.7666210000000003E-2</v>
      </c>
      <c r="N7241">
        <v>0</v>
      </c>
      <c r="O7241">
        <v>0.99510719999999997</v>
      </c>
      <c r="P7241">
        <v>0.24841740000000001</v>
      </c>
      <c r="Q7241">
        <v>-2.9563349999999999E-2</v>
      </c>
      <c r="R7241">
        <v>0.96820189999999995</v>
      </c>
      <c r="S7241">
        <v>0.74021910000000002</v>
      </c>
      <c r="T7241">
        <v>-0.86864710000000001</v>
      </c>
      <c r="U7241">
        <v>2.8829349999999998</v>
      </c>
      <c r="V7241">
        <v>0.152619899999999</v>
      </c>
      <c r="W7241">
        <v>-1.5202419999999999E-2</v>
      </c>
      <c r="X7241">
        <v>0.98816809999999999</v>
      </c>
      <c r="Y7241">
        <v>0.1428567</v>
      </c>
      <c r="Z7241">
        <v>-0.28087499999999999</v>
      </c>
      <c r="AA7241">
        <v>0.94905280000000003</v>
      </c>
      <c r="AB7241">
        <v>19</v>
      </c>
      <c r="AC7241">
        <v>0.15469999999999101</v>
      </c>
      <c r="AD7241">
        <v>-0.20526259999999999</v>
      </c>
      <c r="AE7241">
        <v>0.49639999999999401</v>
      </c>
      <c r="AF7241">
        <v>9.1251909231359105E-2</v>
      </c>
      <c r="AG7241">
        <v>-0.20526259999999999</v>
      </c>
      <c r="AH7241">
        <v>0.440487799603963</v>
      </c>
      <c r="AI7241">
        <v>114.527257440055</v>
      </c>
      <c r="AJ7241">
        <v>78.296099764859306</v>
      </c>
      <c r="AK7241">
        <v>0.49445843859425498</v>
      </c>
      <c r="AL7241">
        <v>90.871067997642399</v>
      </c>
      <c r="AM7241">
        <v>81.220193732854298</v>
      </c>
      <c r="AN7241">
        <v>1.00000007065373</v>
      </c>
    </row>
    <row r="7242" spans="1:40" x14ac:dyDescent="0.25">
      <c r="A7242" t="str">
        <f>"20190312161202464"</f>
        <v>20190312161202464</v>
      </c>
      <c r="B7242" t="str">
        <f>"1552378322454101"</f>
        <v>1552378322454101</v>
      </c>
      <c r="C7242" t="s">
        <v>40</v>
      </c>
      <c r="D7242">
        <v>6.1209949999999997</v>
      </c>
      <c r="E7242">
        <v>0.507909099999999</v>
      </c>
      <c r="F7242" t="s">
        <v>42</v>
      </c>
      <c r="G7242">
        <v>-186.4641</v>
      </c>
      <c r="H7242">
        <v>0.90749930000000001</v>
      </c>
      <c r="I7242">
        <v>106.6121</v>
      </c>
      <c r="J7242">
        <v>-186.6173</v>
      </c>
      <c r="K7242">
        <v>1.1093280000000001</v>
      </c>
      <c r="L7242">
        <v>106.1328</v>
      </c>
      <c r="M7242">
        <v>9.9691879999999997E-2</v>
      </c>
      <c r="N7242">
        <v>0</v>
      </c>
      <c r="O7242">
        <v>0.9949093</v>
      </c>
      <c r="P7242">
        <v>0.25339719999999999</v>
      </c>
      <c r="Q7242">
        <v>-3.0133449999999999E-2</v>
      </c>
      <c r="R7242">
        <v>0.96689290000000006</v>
      </c>
      <c r="S7242">
        <v>0.75350950000000005</v>
      </c>
      <c r="T7242">
        <v>-0.87564769999999903</v>
      </c>
      <c r="U7242">
        <v>2.8784480000000001</v>
      </c>
      <c r="V7242">
        <v>0.1556921</v>
      </c>
      <c r="W7242">
        <v>-1.599128E-2</v>
      </c>
      <c r="X7242">
        <v>0.9876762</v>
      </c>
      <c r="Y7242">
        <v>0.14514189999999999</v>
      </c>
      <c r="Z7242">
        <v>-0.28306979999999998</v>
      </c>
      <c r="AA7242">
        <v>0.94805349999999999</v>
      </c>
      <c r="AB7242">
        <v>19</v>
      </c>
      <c r="AC7242">
        <v>0.153199999999998</v>
      </c>
      <c r="AD7242">
        <v>-0.2018287</v>
      </c>
      <c r="AE7242">
        <v>0.47929999999999501</v>
      </c>
      <c r="AF7242">
        <v>9.0146325895389595E-2</v>
      </c>
      <c r="AG7242">
        <v>-0.2018287</v>
      </c>
      <c r="AH7242">
        <v>0.42397653181406197</v>
      </c>
      <c r="AI7242">
        <v>114.96804148678601</v>
      </c>
      <c r="AJ7242">
        <v>77.996466083037404</v>
      </c>
      <c r="AK7242">
        <v>0.47813939781742298</v>
      </c>
      <c r="AL7242">
        <v>90.916271895099101</v>
      </c>
      <c r="AM7242">
        <v>81.041907260039196</v>
      </c>
      <c r="AN7242">
        <v>1.0000000135424401</v>
      </c>
    </row>
    <row r="7243" spans="1:40" x14ac:dyDescent="0.25">
      <c r="A7243" t="str">
        <f>"20190312161202486"</f>
        <v>20190312161202486</v>
      </c>
      <c r="B7243" t="str">
        <f>"1552378322474600"</f>
        <v>1552378322474600</v>
      </c>
      <c r="C7243" t="s">
        <v>40</v>
      </c>
      <c r="D7243">
        <v>5.96671</v>
      </c>
      <c r="E7243">
        <v>0.55297600000000002</v>
      </c>
      <c r="F7243" t="s">
        <v>42</v>
      </c>
      <c r="G7243">
        <v>-186.4058</v>
      </c>
      <c r="H7243">
        <v>0.86772640000000001</v>
      </c>
      <c r="I7243">
        <v>106.9243</v>
      </c>
      <c r="J7243">
        <v>-186.59690000000001</v>
      </c>
      <c r="K7243">
        <v>1.10931</v>
      </c>
      <c r="L7243">
        <v>106.31270000000001</v>
      </c>
      <c r="M7243">
        <v>0.10168580000000001</v>
      </c>
      <c r="N7243">
        <v>0</v>
      </c>
      <c r="O7243">
        <v>0.99471010000000004</v>
      </c>
      <c r="P7243">
        <v>0.2585749</v>
      </c>
      <c r="Q7243">
        <v>-3.0762009999999999E-2</v>
      </c>
      <c r="R7243">
        <v>0.96550119999999895</v>
      </c>
      <c r="S7243">
        <v>0.76783749999999995</v>
      </c>
      <c r="T7243">
        <v>-0.87732710000000003</v>
      </c>
      <c r="U7243">
        <v>2.874161</v>
      </c>
      <c r="V7243">
        <v>0.15900329999999999</v>
      </c>
      <c r="W7243">
        <v>-1.680792E-2</v>
      </c>
      <c r="X7243">
        <v>0.98713499999999998</v>
      </c>
      <c r="Y7243">
        <v>0.1478805</v>
      </c>
      <c r="Z7243">
        <v>-0.28364030000000001</v>
      </c>
      <c r="AA7243">
        <v>0.94745950000000001</v>
      </c>
      <c r="AB7243">
        <v>19</v>
      </c>
      <c r="AC7243">
        <v>0.19110000000000499</v>
      </c>
      <c r="AD7243">
        <v>-0.24158359999999901</v>
      </c>
      <c r="AE7243">
        <v>0.61159999999999504</v>
      </c>
      <c r="AF7243">
        <v>0.11199205747416199</v>
      </c>
      <c r="AG7243">
        <v>-0.24158359999999901</v>
      </c>
      <c r="AH7243">
        <v>0.54972107198962294</v>
      </c>
      <c r="AI7243">
        <v>113.297697385744</v>
      </c>
      <c r="AJ7243">
        <v>78.484984029137095</v>
      </c>
      <c r="AK7243">
        <v>0.61081757809977599</v>
      </c>
      <c r="AL7243">
        <v>90.963068196747201</v>
      </c>
      <c r="AM7243">
        <v>80.849647652570198</v>
      </c>
      <c r="AN7243">
        <v>1.0000000319053</v>
      </c>
    </row>
    <row r="7244" spans="1:40" x14ac:dyDescent="0.25">
      <c r="A7244" t="str">
        <f>"20190312161202507"</f>
        <v>20190312161202507</v>
      </c>
      <c r="B7244" t="str">
        <f>"1552378322494117"</f>
        <v>1552378322494117</v>
      </c>
      <c r="C7244" t="s">
        <v>40</v>
      </c>
      <c r="D7244">
        <v>5.8730339999999996</v>
      </c>
      <c r="E7244">
        <v>0.56359879999999996</v>
      </c>
      <c r="F7244" t="s">
        <v>41</v>
      </c>
      <c r="G7244">
        <v>-169.44749999999999</v>
      </c>
      <c r="H7244" s="1">
        <v>-2.1064409999999999E-6</v>
      </c>
      <c r="I7244">
        <v>146.6249</v>
      </c>
      <c r="J7244">
        <v>-186.577</v>
      </c>
      <c r="K7244">
        <v>1.1092799999999901</v>
      </c>
      <c r="L7244">
        <v>106.4845</v>
      </c>
      <c r="M7244">
        <v>0.1035981</v>
      </c>
      <c r="N7244">
        <v>0</v>
      </c>
      <c r="O7244">
        <v>0.99451480000000003</v>
      </c>
      <c r="P7244">
        <v>0.26302189999999998</v>
      </c>
      <c r="Q7244">
        <v>-3.1384950000000002E-2</v>
      </c>
      <c r="R7244">
        <v>0.9642792</v>
      </c>
      <c r="S7244">
        <v>1.1857150000000001</v>
      </c>
      <c r="T7244">
        <v>-7.6698420000000003E-2</v>
      </c>
      <c r="U7244">
        <v>2.787201</v>
      </c>
      <c r="V7244">
        <v>0.1616533</v>
      </c>
      <c r="W7244">
        <v>-1.7587330000000002E-2</v>
      </c>
      <c r="X7244">
        <v>0.98669090000000004</v>
      </c>
      <c r="Y7244">
        <v>0.29388839999999999</v>
      </c>
      <c r="Z7244">
        <v>-2.557183E-2</v>
      </c>
      <c r="AA7244">
        <v>0.95549759999999995</v>
      </c>
      <c r="AB7244">
        <v>19</v>
      </c>
      <c r="AC7244">
        <v>17.1295</v>
      </c>
      <c r="AD7244">
        <v>-1.1092821064409999</v>
      </c>
      <c r="AE7244">
        <v>40.1404</v>
      </c>
      <c r="AF7244">
        <v>12.870095200592599</v>
      </c>
      <c r="AG7244">
        <v>-1.1092821064409999</v>
      </c>
      <c r="AH7244">
        <v>41.672214978284302</v>
      </c>
      <c r="AI7244">
        <v>91.456939321602505</v>
      </c>
      <c r="AJ7244">
        <v>72.837159012406104</v>
      </c>
      <c r="AK7244">
        <v>43.628469586502</v>
      </c>
      <c r="AL7244">
        <v>91.007731719409506</v>
      </c>
      <c r="AM7244">
        <v>80.695675591558398</v>
      </c>
      <c r="AN7244">
        <v>1.0000000178601101</v>
      </c>
    </row>
    <row r="7245" spans="1:40" x14ac:dyDescent="0.25">
      <c r="A7245" t="str">
        <f>"20190312161202530"</f>
        <v>20190312161202530</v>
      </c>
      <c r="B7245" t="str">
        <f>"1552378322524373"</f>
        <v>1552378322524373</v>
      </c>
      <c r="C7245" t="s">
        <v>40</v>
      </c>
      <c r="D7245">
        <v>5.9126649999999996</v>
      </c>
      <c r="E7245">
        <v>0.56654569999999904</v>
      </c>
      <c r="F7245" t="s">
        <v>87</v>
      </c>
      <c r="G7245">
        <v>-176.69630000000001</v>
      </c>
      <c r="H7245">
        <v>7.9987939999999993E-2</v>
      </c>
      <c r="I7245">
        <v>127.8318</v>
      </c>
      <c r="J7245">
        <v>-186.55500000000001</v>
      </c>
      <c r="K7245">
        <v>1.109267</v>
      </c>
      <c r="L7245">
        <v>106.67140000000001</v>
      </c>
      <c r="M7245">
        <v>0.10569149999999999</v>
      </c>
      <c r="N7245">
        <v>0</v>
      </c>
      <c r="O7245">
        <v>0.99429659999999997</v>
      </c>
      <c r="P7245">
        <v>0.26829459999999999</v>
      </c>
      <c r="Q7245">
        <v>-3.178512E-2</v>
      </c>
      <c r="R7245">
        <v>0.96281240000000001</v>
      </c>
      <c r="S7245">
        <v>1.27681</v>
      </c>
      <c r="T7245">
        <v>-0.13300799999999999</v>
      </c>
      <c r="U7245">
        <v>2.7585600000000001</v>
      </c>
      <c r="V7245">
        <v>0.1649736</v>
      </c>
      <c r="W7245">
        <v>-1.813961E-2</v>
      </c>
      <c r="X7245">
        <v>0.98613119999999999</v>
      </c>
      <c r="Y7245">
        <v>0.32135269999999999</v>
      </c>
      <c r="Z7245">
        <v>-4.4233269999999998E-2</v>
      </c>
      <c r="AA7245">
        <v>0.94592600000000004</v>
      </c>
      <c r="AB7245">
        <v>18</v>
      </c>
      <c r="AC7245">
        <v>9.8587000000000007</v>
      </c>
      <c r="AD7245">
        <v>-1.0292790599999999</v>
      </c>
      <c r="AE7245">
        <v>21.160399999999999</v>
      </c>
      <c r="AF7245">
        <v>7.5520861947946996</v>
      </c>
      <c r="AG7245">
        <v>-1.0292790599999999</v>
      </c>
      <c r="AH7245">
        <v>22.041093889372299</v>
      </c>
      <c r="AI7245">
        <v>92.529507863274702</v>
      </c>
      <c r="AJ7245">
        <v>71.086661686838596</v>
      </c>
      <c r="AK7245">
        <v>23.321733235698598</v>
      </c>
      <c r="AL7245">
        <v>91.039380060461099</v>
      </c>
      <c r="AM7245">
        <v>80.502722416233595</v>
      </c>
      <c r="AN7245">
        <v>1.00000003888067</v>
      </c>
    </row>
    <row r="7246" spans="1:40" x14ac:dyDescent="0.25">
      <c r="A7246" t="str">
        <f>"20190312161202553"</f>
        <v>20190312161202553</v>
      </c>
      <c r="B7246" t="str">
        <f>"1552378322544869"</f>
        <v>1552378322544869</v>
      </c>
      <c r="C7246" t="s">
        <v>40</v>
      </c>
      <c r="D7246">
        <v>5.8426049999999998</v>
      </c>
      <c r="E7246">
        <v>0.56913840000000004</v>
      </c>
      <c r="F7246" t="s">
        <v>87</v>
      </c>
      <c r="G7246">
        <v>-174.261</v>
      </c>
      <c r="H7246" s="1">
        <v>-2.7422569999999999E-6</v>
      </c>
      <c r="I7246">
        <v>132.3304</v>
      </c>
      <c r="J7246">
        <v>-186.5317</v>
      </c>
      <c r="K7246">
        <v>1.1092489999999999</v>
      </c>
      <c r="L7246">
        <v>106.8653</v>
      </c>
      <c r="M7246">
        <v>0.1078759</v>
      </c>
      <c r="N7246">
        <v>0</v>
      </c>
      <c r="O7246">
        <v>0.99406369999999999</v>
      </c>
      <c r="P7246">
        <v>0.2730262</v>
      </c>
      <c r="Q7246">
        <v>-3.2765750000000003E-2</v>
      </c>
      <c r="R7246">
        <v>0.96144839999999998</v>
      </c>
      <c r="S7246">
        <v>1.315399</v>
      </c>
      <c r="T7246">
        <v>-0.1186869</v>
      </c>
      <c r="U7246">
        <v>2.7454070000000002</v>
      </c>
      <c r="V7246">
        <v>0.16765569999999999</v>
      </c>
      <c r="W7246">
        <v>-1.9255810000000002E-2</v>
      </c>
      <c r="X7246">
        <v>0.98565749999999996</v>
      </c>
      <c r="Y7246">
        <v>0.33193779999999901</v>
      </c>
      <c r="Z7246">
        <v>-3.9448499999999997E-2</v>
      </c>
      <c r="AA7246">
        <v>0.94247610000000004</v>
      </c>
      <c r="AB7246">
        <v>18</v>
      </c>
      <c r="AC7246">
        <v>12.2707</v>
      </c>
      <c r="AD7246">
        <v>-1.1092517422570001</v>
      </c>
      <c r="AE7246">
        <v>25.4651</v>
      </c>
      <c r="AF7246">
        <v>9.4372005016890501</v>
      </c>
      <c r="AG7246">
        <v>-1.1092517422570001</v>
      </c>
      <c r="AH7246">
        <v>26.5993503102559</v>
      </c>
      <c r="AI7246">
        <v>92.250675613259006</v>
      </c>
      <c r="AJ7246">
        <v>70.465791323031794</v>
      </c>
      <c r="AK7246">
        <v>28.245647977422799</v>
      </c>
      <c r="AL7246">
        <v>91.103344875576397</v>
      </c>
      <c r="AM7246">
        <v>80.346648310601495</v>
      </c>
      <c r="AN7246">
        <v>0.99999996363374699</v>
      </c>
    </row>
    <row r="7247" spans="1:40" x14ac:dyDescent="0.25">
      <c r="A7247" t="str">
        <f>"20190312161202575"</f>
        <v>20190312161202575</v>
      </c>
      <c r="B7247" t="str">
        <f>"1552378322564392"</f>
        <v>1552378322564392</v>
      </c>
      <c r="C7247" t="s">
        <v>40</v>
      </c>
      <c r="D7247">
        <v>5.678242</v>
      </c>
      <c r="E7247">
        <v>0.56958199999999903</v>
      </c>
      <c r="F7247" t="s">
        <v>87</v>
      </c>
      <c r="G7247">
        <v>-173.43360000000001</v>
      </c>
      <c r="H7247" s="1">
        <v>-2.7796079999999998E-6</v>
      </c>
      <c r="I7247">
        <v>133.39580000000001</v>
      </c>
      <c r="J7247">
        <v>-186.50980000000001</v>
      </c>
      <c r="K7247">
        <v>1.1092249999999999</v>
      </c>
      <c r="L7247">
        <v>107.0442</v>
      </c>
      <c r="M7247">
        <v>0.109903399999999</v>
      </c>
      <c r="N7247">
        <v>0</v>
      </c>
      <c r="O7247">
        <v>0.99384289999999997</v>
      </c>
      <c r="P7247">
        <v>0.27767269999999999</v>
      </c>
      <c r="Q7247">
        <v>-3.4465099999999999E-2</v>
      </c>
      <c r="R7247">
        <v>0.9600573</v>
      </c>
      <c r="S7247">
        <v>1.34938</v>
      </c>
      <c r="T7247">
        <v>-0.1142765</v>
      </c>
      <c r="U7247">
        <v>2.7332000000000001</v>
      </c>
      <c r="V7247">
        <v>0.17041190000000001</v>
      </c>
      <c r="W7247">
        <v>-2.106777E-2</v>
      </c>
      <c r="X7247">
        <v>0.98514769999999896</v>
      </c>
      <c r="Y7247">
        <v>0.34113009999999999</v>
      </c>
      <c r="Z7247">
        <v>-3.7961689999999999E-2</v>
      </c>
      <c r="AA7247">
        <v>0.93924929999999995</v>
      </c>
      <c r="AB7247">
        <v>18</v>
      </c>
      <c r="AC7247">
        <v>13.0762</v>
      </c>
      <c r="AD7247">
        <v>-1.1092277796079999</v>
      </c>
      <c r="AE7247">
        <v>26.351600000000001</v>
      </c>
      <c r="AF7247">
        <v>10.086215514624101</v>
      </c>
      <c r="AG7247">
        <v>-1.1092277796079999</v>
      </c>
      <c r="AH7247">
        <v>27.5899719297853</v>
      </c>
      <c r="AI7247">
        <v>92.162455699505003</v>
      </c>
      <c r="AJ7247">
        <v>69.918830163547298</v>
      </c>
      <c r="AK7247">
        <v>29.396746091376201</v>
      </c>
      <c r="AL7247">
        <v>91.207183582923903</v>
      </c>
      <c r="AM7247">
        <v>80.186031876890695</v>
      </c>
      <c r="AN7247">
        <v>1.0000000287048301</v>
      </c>
    </row>
    <row r="7248" spans="1:40" x14ac:dyDescent="0.25">
      <c r="A7248" t="str">
        <f>"20190312161202597"</f>
        <v>20190312161202597</v>
      </c>
      <c r="B7248" t="str">
        <f>"1552378322594645"</f>
        <v>1552378322594645</v>
      </c>
      <c r="C7248" t="s">
        <v>40</v>
      </c>
      <c r="D7248">
        <v>5.885732</v>
      </c>
      <c r="E7248">
        <v>0.57000269999999897</v>
      </c>
      <c r="F7248" t="s">
        <v>87</v>
      </c>
      <c r="G7248">
        <v>-173.32230000000001</v>
      </c>
      <c r="H7248" s="1">
        <v>-2.713447E-6</v>
      </c>
      <c r="I7248">
        <v>133.35149999999999</v>
      </c>
      <c r="J7248">
        <v>-186.48769999999999</v>
      </c>
      <c r="K7248">
        <v>1.109192</v>
      </c>
      <c r="L7248">
        <v>107.22150000000001</v>
      </c>
      <c r="M7248">
        <v>0.11192630000000001</v>
      </c>
      <c r="N7248">
        <v>0</v>
      </c>
      <c r="O7248">
        <v>0.99361829999999995</v>
      </c>
      <c r="P7248">
        <v>0.2822518</v>
      </c>
      <c r="Q7248">
        <v>-3.6178719999999998E-2</v>
      </c>
      <c r="R7248">
        <v>0.95865789999999995</v>
      </c>
      <c r="S7248">
        <v>1.3662719999999999</v>
      </c>
      <c r="T7248">
        <v>-0.1149197</v>
      </c>
      <c r="U7248">
        <v>2.7255250000000002</v>
      </c>
      <c r="V7248">
        <v>0.17310909999999999</v>
      </c>
      <c r="W7248">
        <v>-2.2881439999999999E-2</v>
      </c>
      <c r="X7248">
        <v>0.98463679999999998</v>
      </c>
      <c r="Y7248">
        <v>0.34492329999999999</v>
      </c>
      <c r="Z7248">
        <v>-3.8180579999999999E-2</v>
      </c>
      <c r="AA7248">
        <v>0.93785399999999997</v>
      </c>
      <c r="AB7248">
        <v>18</v>
      </c>
      <c r="AC7248">
        <v>13.165399999999901</v>
      </c>
      <c r="AD7248">
        <v>-1.1091947134469999</v>
      </c>
      <c r="AE7248">
        <v>26.1299999999999</v>
      </c>
      <c r="AF7248">
        <v>10.143162678886799</v>
      </c>
      <c r="AG7248">
        <v>-1.1091947134469999</v>
      </c>
      <c r="AH7248">
        <v>27.400101757633699</v>
      </c>
      <c r="AI7248">
        <v>92.174113246427694</v>
      </c>
      <c r="AJ7248">
        <v>69.686100493946498</v>
      </c>
      <c r="AK7248">
        <v>29.238324821565602</v>
      </c>
      <c r="AL7248">
        <v>91.311124400562406</v>
      </c>
      <c r="AM7248">
        <v>80.0287242923619</v>
      </c>
      <c r="AN7248">
        <v>0.99999997435676102</v>
      </c>
    </row>
    <row r="7249" spans="1:40" x14ac:dyDescent="0.25">
      <c r="A7249" t="str">
        <f>"20190312161202620"</f>
        <v>20190312161202620</v>
      </c>
      <c r="B7249" t="str">
        <f>"1552378322614165"</f>
        <v>1552378322614165</v>
      </c>
      <c r="C7249" t="s">
        <v>40</v>
      </c>
      <c r="D7249">
        <v>5.9076810000000002</v>
      </c>
      <c r="E7249">
        <v>0.57070459999999901</v>
      </c>
      <c r="F7249" t="s">
        <v>87</v>
      </c>
      <c r="G7249">
        <v>-172.7216</v>
      </c>
      <c r="H7249" s="1">
        <v>-2.7968059999999998E-6</v>
      </c>
      <c r="I7249">
        <v>134.2731</v>
      </c>
      <c r="J7249">
        <v>-186.4633</v>
      </c>
      <c r="K7249">
        <v>1.10917</v>
      </c>
      <c r="L7249">
        <v>107.4149</v>
      </c>
      <c r="M7249">
        <v>0.114151</v>
      </c>
      <c r="N7249">
        <v>0</v>
      </c>
      <c r="O7249">
        <v>0.99336639999999998</v>
      </c>
      <c r="P7249">
        <v>0.2875624</v>
      </c>
      <c r="Q7249">
        <v>-3.7340619999999998E-2</v>
      </c>
      <c r="R7249">
        <v>0.95703380000000005</v>
      </c>
      <c r="S7249">
        <v>1.3831180000000001</v>
      </c>
      <c r="T7249">
        <v>-0.1114433</v>
      </c>
      <c r="U7249">
        <v>2.7179410000000002</v>
      </c>
      <c r="V7249">
        <v>0.1763622</v>
      </c>
      <c r="W7249">
        <v>-2.4142569999999999E-2</v>
      </c>
      <c r="X7249">
        <v>0.98402920000000005</v>
      </c>
      <c r="Y7249">
        <v>0.34851539999999998</v>
      </c>
      <c r="Z7249">
        <v>-3.7030590000000002E-2</v>
      </c>
      <c r="AA7249">
        <v>0.9365713</v>
      </c>
      <c r="AB7249">
        <v>18</v>
      </c>
      <c r="AC7249">
        <v>13.7417</v>
      </c>
      <c r="AD7249">
        <v>-1.1091727968059999</v>
      </c>
      <c r="AE7249">
        <v>26.8582</v>
      </c>
      <c r="AF7249">
        <v>10.571384117868</v>
      </c>
      <c r="AG7249">
        <v>-1.1091727968059999</v>
      </c>
      <c r="AH7249">
        <v>28.2132506997267</v>
      </c>
      <c r="AI7249">
        <v>92.108359277306505</v>
      </c>
      <c r="AJ7249">
        <v>69.459241173412295</v>
      </c>
      <c r="AK7249">
        <v>30.149161539026501</v>
      </c>
      <c r="AL7249">
        <v>91.383401809538597</v>
      </c>
      <c r="AM7249">
        <v>79.839067213618094</v>
      </c>
      <c r="AN7249">
        <v>0.99999997786384198</v>
      </c>
    </row>
    <row r="7250" spans="1:40" x14ac:dyDescent="0.25">
      <c r="A7250" t="str">
        <f>"20190312161202644"</f>
        <v>20190312161202644</v>
      </c>
      <c r="B7250" t="str">
        <f>"1552378322634661"</f>
        <v>1552378322634661</v>
      </c>
      <c r="C7250" t="s">
        <v>40</v>
      </c>
      <c r="D7250">
        <v>5.8985690000000002</v>
      </c>
      <c r="E7250">
        <v>0.5710731</v>
      </c>
      <c r="F7250" t="s">
        <v>87</v>
      </c>
      <c r="G7250">
        <v>-172.56450000000001</v>
      </c>
      <c r="H7250" s="1">
        <v>-2.7008090000000001E-6</v>
      </c>
      <c r="I7250">
        <v>134.23220000000001</v>
      </c>
      <c r="J7250">
        <v>-186.4385</v>
      </c>
      <c r="K7250">
        <v>1.109148</v>
      </c>
      <c r="L7250">
        <v>107.6065</v>
      </c>
      <c r="M7250">
        <v>0.1163739</v>
      </c>
      <c r="N7250">
        <v>0</v>
      </c>
      <c r="O7250">
        <v>0.99310929999999997</v>
      </c>
      <c r="P7250">
        <v>0.29092069999999998</v>
      </c>
      <c r="Q7250">
        <v>-3.7820230000000003E-2</v>
      </c>
      <c r="R7250">
        <v>0.95599940000000005</v>
      </c>
      <c r="S7250">
        <v>1.4037630000000001</v>
      </c>
      <c r="T7250">
        <v>-0.1120256</v>
      </c>
      <c r="U7250">
        <v>2.7085270000000001</v>
      </c>
      <c r="V7250">
        <v>0.17761450000000001</v>
      </c>
      <c r="W7250">
        <v>-2.4699240000000001E-2</v>
      </c>
      <c r="X7250">
        <v>0.98379019999999995</v>
      </c>
      <c r="Y7250">
        <v>0.35336970000000001</v>
      </c>
      <c r="Z7250">
        <v>-3.7227620000000003E-2</v>
      </c>
      <c r="AA7250">
        <v>0.93474270000000004</v>
      </c>
      <c r="AB7250">
        <v>18</v>
      </c>
      <c r="AC7250">
        <v>13.873999999999899</v>
      </c>
      <c r="AD7250">
        <v>-1.109150700809</v>
      </c>
      <c r="AE7250">
        <v>26.625699999999998</v>
      </c>
      <c r="AF7250">
        <v>10.666325168585301</v>
      </c>
      <c r="AG7250">
        <v>-1.109150700809</v>
      </c>
      <c r="AH7250">
        <v>28.021239819572799</v>
      </c>
      <c r="AI7250">
        <v>92.118580276701095</v>
      </c>
      <c r="AJ7250">
        <v>69.160601120576601</v>
      </c>
      <c r="AK7250">
        <v>30.003176313602399</v>
      </c>
      <c r="AL7250">
        <v>91.415306050473504</v>
      </c>
      <c r="AM7250">
        <v>79.766002991589701</v>
      </c>
      <c r="AN7250">
        <v>1.0000000603414301</v>
      </c>
    </row>
    <row r="7251" spans="1:40" x14ac:dyDescent="0.25">
      <c r="A7251" t="str">
        <f>"20190312161202666"</f>
        <v>20190312161202666</v>
      </c>
      <c r="B7251" t="str">
        <f>"1552378322654687"</f>
        <v>1552378322654687</v>
      </c>
      <c r="C7251" t="s">
        <v>40</v>
      </c>
      <c r="D7251">
        <v>5.8429349999999998</v>
      </c>
      <c r="E7251">
        <v>0.57073580000000002</v>
      </c>
      <c r="F7251" t="s">
        <v>87</v>
      </c>
      <c r="G7251">
        <v>-172.00389999999999</v>
      </c>
      <c r="H7251" s="1">
        <v>-2.7876499999999999E-6</v>
      </c>
      <c r="I7251">
        <v>135.15010000000001</v>
      </c>
      <c r="J7251">
        <v>-186.41499999999999</v>
      </c>
      <c r="K7251">
        <v>1.109127</v>
      </c>
      <c r="L7251">
        <v>107.7851</v>
      </c>
      <c r="M7251">
        <v>0.118461999999999</v>
      </c>
      <c r="N7251">
        <v>0</v>
      </c>
      <c r="O7251">
        <v>0.99286319999999995</v>
      </c>
      <c r="P7251">
        <v>0.29539339999999997</v>
      </c>
      <c r="Q7251">
        <v>-3.9036229999999998E-2</v>
      </c>
      <c r="R7251">
        <v>0.95457789999999998</v>
      </c>
      <c r="S7251">
        <v>1.416412</v>
      </c>
      <c r="T7251">
        <v>-0.10883669999999999</v>
      </c>
      <c r="U7251">
        <v>2.702744</v>
      </c>
      <c r="V7251">
        <v>0.18015229999999999</v>
      </c>
      <c r="W7251">
        <v>-2.5984380000000001E-2</v>
      </c>
      <c r="X7251">
        <v>0.98329540000000004</v>
      </c>
      <c r="Y7251">
        <v>0.35567539999999997</v>
      </c>
      <c r="Z7251">
        <v>-3.6170910000000001E-2</v>
      </c>
      <c r="AA7251">
        <v>0.9339094</v>
      </c>
      <c r="AB7251">
        <v>18</v>
      </c>
      <c r="AC7251">
        <v>14.411099999999999</v>
      </c>
      <c r="AD7251">
        <v>-1.1091297876499999</v>
      </c>
      <c r="AE7251">
        <v>27.364999999999998</v>
      </c>
      <c r="AF7251">
        <v>11.0533709332106</v>
      </c>
      <c r="AG7251">
        <v>-1.1091297876499999</v>
      </c>
      <c r="AH7251">
        <v>28.842510633206398</v>
      </c>
      <c r="AI7251">
        <v>92.056500939057202</v>
      </c>
      <c r="AJ7251">
        <v>69.031572512296407</v>
      </c>
      <c r="AK7251">
        <v>30.9078889201385</v>
      </c>
      <c r="AL7251">
        <v>91.488962981537696</v>
      </c>
      <c r="AM7251">
        <v>79.617824001820395</v>
      </c>
      <c r="AN7251">
        <v>0.99999994143021498</v>
      </c>
    </row>
    <row r="7252" spans="1:40" x14ac:dyDescent="0.25">
      <c r="A7252" t="str">
        <f>"20190312161202686"</f>
        <v>20190312161202686</v>
      </c>
      <c r="B7252" t="str">
        <f>"1552378322674208"</f>
        <v>1552378322674208</v>
      </c>
      <c r="C7252" t="s">
        <v>40</v>
      </c>
      <c r="D7252">
        <v>5.9698719999999996</v>
      </c>
      <c r="E7252">
        <v>0.57067699999999999</v>
      </c>
      <c r="F7252" t="s">
        <v>87</v>
      </c>
      <c r="G7252">
        <v>-171.90860000000001</v>
      </c>
      <c r="H7252" s="1">
        <v>-2.757E-6</v>
      </c>
      <c r="I7252">
        <v>135.20349999999999</v>
      </c>
      <c r="J7252">
        <v>-186.39279999999999</v>
      </c>
      <c r="K7252">
        <v>1.109118</v>
      </c>
      <c r="L7252">
        <v>107.9509</v>
      </c>
      <c r="M7252">
        <v>0.1204122</v>
      </c>
      <c r="N7252">
        <v>0</v>
      </c>
      <c r="O7252">
        <v>0.99262919999999999</v>
      </c>
      <c r="P7252">
        <v>0.3001279</v>
      </c>
      <c r="Q7252">
        <v>-4.0504900000000003E-2</v>
      </c>
      <c r="R7252">
        <v>0.95303859999999996</v>
      </c>
      <c r="S7252">
        <v>1.4267879999999999</v>
      </c>
      <c r="T7252">
        <v>-0.1090894</v>
      </c>
      <c r="U7252">
        <v>2.6967620000000001</v>
      </c>
      <c r="V7252">
        <v>0.1831025</v>
      </c>
      <c r="W7252">
        <v>-2.751321E-2</v>
      </c>
      <c r="X7252">
        <v>0.98270880000000005</v>
      </c>
      <c r="Y7252">
        <v>0.3575004</v>
      </c>
      <c r="Z7252">
        <v>-3.6269019999999999E-2</v>
      </c>
      <c r="AA7252">
        <v>0.9332085</v>
      </c>
      <c r="AB7252">
        <v>18</v>
      </c>
      <c r="AC7252">
        <v>14.4841999999999</v>
      </c>
      <c r="AD7252">
        <v>-1.1091207569999999</v>
      </c>
      <c r="AE7252">
        <v>27.252599999999902</v>
      </c>
      <c r="AF7252">
        <v>11.0826252505578</v>
      </c>
      <c r="AG7252">
        <v>-1.1091207569999999</v>
      </c>
      <c r="AH7252">
        <v>28.7613653060105</v>
      </c>
      <c r="AI7252">
        <v>92.060834016591002</v>
      </c>
      <c r="AJ7252">
        <v>68.926814921742306</v>
      </c>
      <c r="AK7252">
        <v>30.842679286399498</v>
      </c>
      <c r="AL7252">
        <v>91.576589694241804</v>
      </c>
      <c r="AM7252">
        <v>79.445435065822494</v>
      </c>
      <c r="AN7252">
        <v>1.0000000439140899</v>
      </c>
    </row>
    <row r="7253" spans="1:40" x14ac:dyDescent="0.25">
      <c r="A7253" t="str">
        <f>"20190312161202709"</f>
        <v>20190312161202709</v>
      </c>
      <c r="B7253" t="str">
        <f>"1552378322704464"</f>
        <v>1552378322704464</v>
      </c>
      <c r="C7253" t="s">
        <v>40</v>
      </c>
      <c r="D7253">
        <v>5.9429850000000002</v>
      </c>
      <c r="E7253">
        <v>0.57026589999999999</v>
      </c>
      <c r="F7253" t="s">
        <v>87</v>
      </c>
      <c r="G7253">
        <v>-172.0855</v>
      </c>
      <c r="H7253" s="1">
        <v>-2.626915E-6</v>
      </c>
      <c r="I7253">
        <v>134.68209999999999</v>
      </c>
      <c r="J7253">
        <v>-186.36840000000001</v>
      </c>
      <c r="K7253">
        <v>1.1091059999999999</v>
      </c>
      <c r="L7253">
        <v>108.1311</v>
      </c>
      <c r="M7253">
        <v>0.1225396</v>
      </c>
      <c r="N7253">
        <v>0</v>
      </c>
      <c r="O7253">
        <v>0.99236939999999996</v>
      </c>
      <c r="P7253">
        <v>0.30473109999999998</v>
      </c>
      <c r="Q7253">
        <v>-4.1729189999999999E-2</v>
      </c>
      <c r="R7253">
        <v>0.95152380000000003</v>
      </c>
      <c r="S7253">
        <v>1.43962099999999</v>
      </c>
      <c r="T7253">
        <v>-0.1116008</v>
      </c>
      <c r="U7253">
        <v>2.6897129999999998</v>
      </c>
      <c r="V7253">
        <v>0.18574760000000001</v>
      </c>
      <c r="W7253">
        <v>-2.8792499999999999E-2</v>
      </c>
      <c r="X7253">
        <v>0.98217560000000004</v>
      </c>
      <c r="Y7253">
        <v>0.35996119999999998</v>
      </c>
      <c r="Z7253">
        <v>-3.7116240000000002E-2</v>
      </c>
      <c r="AA7253">
        <v>0.93222870000000002</v>
      </c>
      <c r="AB7253">
        <v>18</v>
      </c>
      <c r="AC7253">
        <v>14.2829</v>
      </c>
      <c r="AD7253">
        <v>-1.1091086269149999</v>
      </c>
      <c r="AE7253">
        <v>26.550999999999899</v>
      </c>
      <c r="AF7253">
        <v>10.9066249886706</v>
      </c>
      <c r="AG7253">
        <v>-1.1091086269149999</v>
      </c>
      <c r="AH7253">
        <v>28.063269698553999</v>
      </c>
      <c r="AI7253">
        <v>92.109677659706094</v>
      </c>
      <c r="AJ7253">
        <v>68.761676987788405</v>
      </c>
      <c r="AK7253">
        <v>30.1285860398986</v>
      </c>
      <c r="AL7253">
        <v>91.649916678132897</v>
      </c>
      <c r="AM7253">
        <v>79.290785922651693</v>
      </c>
      <c r="AN7253">
        <v>1.00000004409868</v>
      </c>
    </row>
    <row r="7254" spans="1:40" x14ac:dyDescent="0.25">
      <c r="A7254" t="str">
        <f>"20190312161202732"</f>
        <v>20190312161202732</v>
      </c>
      <c r="B7254" t="str">
        <f>"1552378322724960"</f>
        <v>1552378322724960</v>
      </c>
      <c r="C7254" t="s">
        <v>40</v>
      </c>
      <c r="D7254">
        <v>5.8706129999999996</v>
      </c>
      <c r="E7254">
        <v>0.56995989999999996</v>
      </c>
      <c r="F7254" t="s">
        <v>87</v>
      </c>
      <c r="G7254">
        <v>-171.92150000000001</v>
      </c>
      <c r="H7254" s="1">
        <v>-2.616918E-6</v>
      </c>
      <c r="I7254">
        <v>134.8706</v>
      </c>
      <c r="J7254">
        <v>-186.34200000000001</v>
      </c>
      <c r="K7254">
        <v>1.109092</v>
      </c>
      <c r="L7254">
        <v>108.322</v>
      </c>
      <c r="M7254">
        <v>0.1247998</v>
      </c>
      <c r="N7254">
        <v>0</v>
      </c>
      <c r="O7254">
        <v>0.99208819999999998</v>
      </c>
      <c r="P7254">
        <v>0.3094634</v>
      </c>
      <c r="Q7254">
        <v>-4.2862009999999999E-2</v>
      </c>
      <c r="R7254">
        <v>0.94994489999999998</v>
      </c>
      <c r="S7254">
        <v>1.449905</v>
      </c>
      <c r="T7254">
        <v>-0.1113116</v>
      </c>
      <c r="U7254">
        <v>2.6836090000000001</v>
      </c>
      <c r="V7254">
        <v>0.1884005</v>
      </c>
      <c r="W7254">
        <v>-2.9975890000000002E-2</v>
      </c>
      <c r="X7254">
        <v>0.98163469999999997</v>
      </c>
      <c r="Y7254">
        <v>0.3614888</v>
      </c>
      <c r="Z7254">
        <v>-3.703526E-2</v>
      </c>
      <c r="AA7254">
        <v>0.93164060000000004</v>
      </c>
      <c r="AB7254">
        <v>18</v>
      </c>
      <c r="AC7254">
        <v>14.420500000000001</v>
      </c>
      <c r="AD7254">
        <v>-1.109094616918</v>
      </c>
      <c r="AE7254">
        <v>26.5486</v>
      </c>
      <c r="AF7254">
        <v>10.9793743319099</v>
      </c>
      <c r="AG7254">
        <v>-1.109094616918</v>
      </c>
      <c r="AH7254">
        <v>28.1029732228216</v>
      </c>
      <c r="AI7254">
        <v>92.105221458087399</v>
      </c>
      <c r="AJ7254">
        <v>68.660221390984503</v>
      </c>
      <c r="AK7254">
        <v>30.191950178021099</v>
      </c>
      <c r="AL7254">
        <v>91.717749309573705</v>
      </c>
      <c r="AM7254">
        <v>79.135604473662696</v>
      </c>
      <c r="AN7254">
        <v>0.99999999331281597</v>
      </c>
    </row>
    <row r="7255" spans="1:40" x14ac:dyDescent="0.25">
      <c r="A7255" t="str">
        <f>"20190312161202754"</f>
        <v>20190312161202754</v>
      </c>
      <c r="B7255" t="str">
        <f>"1552378322744479"</f>
        <v>1552378322744479</v>
      </c>
      <c r="C7255" t="s">
        <v>40</v>
      </c>
      <c r="D7255">
        <v>5.8472460000000002</v>
      </c>
      <c r="E7255">
        <v>0.56955339999999999</v>
      </c>
      <c r="F7255" t="s">
        <v>87</v>
      </c>
      <c r="G7255">
        <v>-172.2431</v>
      </c>
      <c r="H7255" s="1">
        <v>-2.48413E-6</v>
      </c>
      <c r="I7255">
        <v>134.1567</v>
      </c>
      <c r="J7255">
        <v>-186.31700000000001</v>
      </c>
      <c r="K7255">
        <v>1.109086</v>
      </c>
      <c r="L7255">
        <v>108.5004</v>
      </c>
      <c r="M7255">
        <v>0.12691250000000001</v>
      </c>
      <c r="N7255">
        <v>0</v>
      </c>
      <c r="O7255">
        <v>0.99182060000000005</v>
      </c>
      <c r="P7255">
        <v>0.313666</v>
      </c>
      <c r="Q7255">
        <v>-4.3480959999999999E-2</v>
      </c>
      <c r="R7255">
        <v>0.94853730000000003</v>
      </c>
      <c r="S7255">
        <v>1.4609219999999901</v>
      </c>
      <c r="T7255">
        <v>-0.1149236</v>
      </c>
      <c r="U7255">
        <v>2.676971</v>
      </c>
      <c r="V7255">
        <v>0.1906563</v>
      </c>
      <c r="W7255">
        <v>-3.06354E-2</v>
      </c>
      <c r="X7255">
        <v>0.98117869999999996</v>
      </c>
      <c r="Y7255">
        <v>0.36340529999999999</v>
      </c>
      <c r="Z7255">
        <v>-3.8252500000000002E-2</v>
      </c>
      <c r="AA7255">
        <v>0.93084549999999999</v>
      </c>
      <c r="AB7255">
        <v>18</v>
      </c>
      <c r="AC7255">
        <v>14.0739</v>
      </c>
      <c r="AD7255">
        <v>-1.1090884841299999</v>
      </c>
      <c r="AE7255">
        <v>25.656300000000002</v>
      </c>
      <c r="AF7255">
        <v>10.688316088689501</v>
      </c>
      <c r="AG7255">
        <v>-1.1090884841299999</v>
      </c>
      <c r="AH7255">
        <v>27.1960553449237</v>
      </c>
      <c r="AI7255">
        <v>92.173630254451496</v>
      </c>
      <c r="AJ7255">
        <v>68.544687227174805</v>
      </c>
      <c r="AK7255">
        <v>29.242017789501499</v>
      </c>
      <c r="AL7255">
        <v>91.755553808187898</v>
      </c>
      <c r="AM7255">
        <v>79.003686723211004</v>
      </c>
      <c r="AN7255">
        <v>0.99999999689827002</v>
      </c>
    </row>
    <row r="7256" spans="1:40" x14ac:dyDescent="0.25">
      <c r="A7256" t="str">
        <f>"20190312161202775"</f>
        <v>20190312161202775</v>
      </c>
      <c r="B7256" t="str">
        <f>"1552378322764979"</f>
        <v>1552378322764979</v>
      </c>
      <c r="C7256" t="s">
        <v>40</v>
      </c>
      <c r="D7256">
        <v>5.8699949999999896</v>
      </c>
      <c r="E7256">
        <v>0.56937579999999999</v>
      </c>
      <c r="F7256" t="s">
        <v>87</v>
      </c>
      <c r="G7256">
        <v>-172.1626</v>
      </c>
      <c r="H7256" s="1">
        <v>-2.4695479999999999E-6</v>
      </c>
      <c r="I7256">
        <v>134.22739999999999</v>
      </c>
      <c r="J7256">
        <v>-186.29239999999999</v>
      </c>
      <c r="K7256">
        <v>1.1090799999999901</v>
      </c>
      <c r="L7256">
        <v>108.6728</v>
      </c>
      <c r="M7256">
        <v>0.12895129999999999</v>
      </c>
      <c r="N7256">
        <v>0</v>
      </c>
      <c r="O7256">
        <v>0.99155789999999999</v>
      </c>
      <c r="P7256">
        <v>0.31750089999999997</v>
      </c>
      <c r="Q7256">
        <v>-4.3926899999999998E-2</v>
      </c>
      <c r="R7256">
        <v>0.94723999999999997</v>
      </c>
      <c r="S7256">
        <v>1.4697720000000001</v>
      </c>
      <c r="T7256">
        <v>-0.1151659</v>
      </c>
      <c r="U7256">
        <v>2.6714479999999998</v>
      </c>
      <c r="V7256">
        <v>0.19260910000000001</v>
      </c>
      <c r="W7256">
        <v>-3.111535E-2</v>
      </c>
      <c r="X7256">
        <v>0.98078209999999999</v>
      </c>
      <c r="Y7256">
        <v>0.36466769999999998</v>
      </c>
      <c r="Z7256">
        <v>-3.8348460000000001E-2</v>
      </c>
      <c r="AA7256">
        <v>0.9303477</v>
      </c>
      <c r="AB7256">
        <v>18</v>
      </c>
      <c r="AC7256">
        <v>14.1297999999999</v>
      </c>
      <c r="AD7256">
        <v>-1.1090824695479999</v>
      </c>
      <c r="AE7256">
        <v>25.554599999999901</v>
      </c>
      <c r="AF7256">
        <v>10.700767889077399</v>
      </c>
      <c r="AG7256">
        <v>-1.1090824695479999</v>
      </c>
      <c r="AH7256">
        <v>27.124298720472801</v>
      </c>
      <c r="AI7256">
        <v>92.178251040849403</v>
      </c>
      <c r="AJ7256">
        <v>68.470341543409404</v>
      </c>
      <c r="AK7256">
        <v>29.1798574091377</v>
      </c>
      <c r="AL7256">
        <v>91.783066066435495</v>
      </c>
      <c r="AM7256">
        <v>78.889464035763694</v>
      </c>
      <c r="AN7256">
        <v>0.99999997904442095</v>
      </c>
    </row>
    <row r="7257" spans="1:40" x14ac:dyDescent="0.25">
      <c r="A7257" t="str">
        <f>"20190312161202798"</f>
        <v>20190312161202798</v>
      </c>
      <c r="B7257" t="str">
        <f>"1552378322794256"</f>
        <v>1552378322794256</v>
      </c>
      <c r="C7257" t="s">
        <v>40</v>
      </c>
      <c r="D7257">
        <v>5.8691579999999997</v>
      </c>
      <c r="E7257">
        <v>0.56939079999999997</v>
      </c>
      <c r="F7257" t="s">
        <v>87</v>
      </c>
      <c r="G7257">
        <v>-172.26769999999999</v>
      </c>
      <c r="H7257" s="1">
        <v>-2.4058290000000001E-6</v>
      </c>
      <c r="I7257">
        <v>133.94820000000001</v>
      </c>
      <c r="J7257">
        <v>-186.2664</v>
      </c>
      <c r="K7257">
        <v>1.109081</v>
      </c>
      <c r="L7257">
        <v>108.8528</v>
      </c>
      <c r="M7257">
        <v>0.13107629999999901</v>
      </c>
      <c r="N7257">
        <v>0</v>
      </c>
      <c r="O7257">
        <v>0.99127949999999998</v>
      </c>
      <c r="P7257">
        <v>0.3207624</v>
      </c>
      <c r="Q7257">
        <v>-4.4833240000000003E-2</v>
      </c>
      <c r="R7257">
        <v>0.94609799999999999</v>
      </c>
      <c r="S7257">
        <v>1.479233</v>
      </c>
      <c r="T7257">
        <v>-0.116978</v>
      </c>
      <c r="U7257">
        <v>2.6658629999999999</v>
      </c>
      <c r="V7257">
        <v>0.1938888</v>
      </c>
      <c r="W7257">
        <v>-3.2050099999999998E-2</v>
      </c>
      <c r="X7257">
        <v>0.98049980000000003</v>
      </c>
      <c r="Y7257">
        <v>0.36601119999999998</v>
      </c>
      <c r="Z7257">
        <v>-3.896347E-2</v>
      </c>
      <c r="AA7257">
        <v>0.92979440000000002</v>
      </c>
      <c r="AB7257">
        <v>18</v>
      </c>
      <c r="AC7257">
        <v>13.998699999999999</v>
      </c>
      <c r="AD7257">
        <v>-1.109083405829</v>
      </c>
      <c r="AE7257">
        <v>25.095400000000001</v>
      </c>
      <c r="AF7257">
        <v>10.5724368751291</v>
      </c>
      <c r="AG7257">
        <v>-1.109083405829</v>
      </c>
      <c r="AH7257">
        <v>26.6741754430657</v>
      </c>
      <c r="AI7257">
        <v>92.213577748039498</v>
      </c>
      <c r="AJ7257">
        <v>68.378864674034403</v>
      </c>
      <c r="AK7257">
        <v>28.7144236063885</v>
      </c>
      <c r="AL7257">
        <v>91.836650052853201</v>
      </c>
      <c r="AM7257">
        <v>78.814361380827805</v>
      </c>
      <c r="AN7257">
        <v>0.99999996673774405</v>
      </c>
    </row>
    <row r="7258" spans="1:40" x14ac:dyDescent="0.25">
      <c r="A7258" t="str">
        <f>"20190312161202821"</f>
        <v>20190312161202821</v>
      </c>
      <c r="B7258" t="str">
        <f>"1552378322814754"</f>
        <v>1552378322814754</v>
      </c>
      <c r="C7258" t="s">
        <v>40</v>
      </c>
      <c r="D7258">
        <v>5.87127</v>
      </c>
      <c r="E7258">
        <v>0.56937680000000002</v>
      </c>
      <c r="F7258" t="s">
        <v>87</v>
      </c>
      <c r="G7258">
        <v>-172.46510000000001</v>
      </c>
      <c r="H7258" s="1">
        <v>-2.3294990000000001E-6</v>
      </c>
      <c r="I7258">
        <v>133.52160000000001</v>
      </c>
      <c r="J7258">
        <v>-186.23949999999999</v>
      </c>
      <c r="K7258">
        <v>1.1090739999999999</v>
      </c>
      <c r="L7258">
        <v>109.0368</v>
      </c>
      <c r="M7258">
        <v>0.13324540000000001</v>
      </c>
      <c r="N7258">
        <v>0</v>
      </c>
      <c r="O7258">
        <v>0.99099060000000005</v>
      </c>
      <c r="P7258">
        <v>0.32365850000000002</v>
      </c>
      <c r="Q7258">
        <v>-4.4784030000000002E-2</v>
      </c>
      <c r="R7258">
        <v>0.94511350000000005</v>
      </c>
      <c r="S7258">
        <v>1.48851</v>
      </c>
      <c r="T7258">
        <v>-0.1196176</v>
      </c>
      <c r="U7258">
        <v>2.6605989999999999</v>
      </c>
      <c r="V7258">
        <v>0.19474549999999999</v>
      </c>
      <c r="W7258">
        <v>-3.2024289999999997E-2</v>
      </c>
      <c r="X7258">
        <v>0.98033090000000001</v>
      </c>
      <c r="Y7258">
        <v>0.36721039999999999</v>
      </c>
      <c r="Z7258">
        <v>-3.9850730000000001E-2</v>
      </c>
      <c r="AA7258">
        <v>0.92928379999999999</v>
      </c>
      <c r="AB7258">
        <v>18</v>
      </c>
      <c r="AC7258">
        <v>13.774399999999901</v>
      </c>
      <c r="AD7258">
        <v>-1.10907632949899</v>
      </c>
      <c r="AE7258">
        <v>24.4848</v>
      </c>
      <c r="AF7258">
        <v>10.3726001273123</v>
      </c>
      <c r="AG7258">
        <v>-1.10907632949899</v>
      </c>
      <c r="AH7258">
        <v>26.061357057100601</v>
      </c>
      <c r="AI7258">
        <v>92.264278366167403</v>
      </c>
      <c r="AJ7258">
        <v>68.297102767127797</v>
      </c>
      <c r="AK7258">
        <v>28.071608706368401</v>
      </c>
      <c r="AL7258">
        <v>91.835170392917206</v>
      </c>
      <c r="AM7258">
        <v>78.764305564341996</v>
      </c>
      <c r="AN7258">
        <v>1.00000001920753</v>
      </c>
    </row>
    <row r="7259" spans="1:40" x14ac:dyDescent="0.25">
      <c r="A7259" t="str">
        <f>"20190312161202844"</f>
        <v>20190312161202844</v>
      </c>
      <c r="B7259" t="str">
        <f>"1552378322834272"</f>
        <v>1552378322834272</v>
      </c>
      <c r="C7259" t="s">
        <v>40</v>
      </c>
      <c r="D7259">
        <v>5.8774639999999998</v>
      </c>
      <c r="E7259">
        <v>0.56941180000000002</v>
      </c>
      <c r="F7259" t="s">
        <v>87</v>
      </c>
      <c r="G7259">
        <v>-172.39169999999999</v>
      </c>
      <c r="H7259" s="1">
        <v>-2.328377E-6</v>
      </c>
      <c r="I7259">
        <v>133.61359999999999</v>
      </c>
      <c r="J7259">
        <v>-186.2123</v>
      </c>
      <c r="K7259">
        <v>1.10907</v>
      </c>
      <c r="L7259">
        <v>109.2192</v>
      </c>
      <c r="M7259">
        <v>0.1353914</v>
      </c>
      <c r="N7259">
        <v>0</v>
      </c>
      <c r="O7259">
        <v>0.99070000000000003</v>
      </c>
      <c r="P7259">
        <v>0.32593909999999998</v>
      </c>
      <c r="Q7259">
        <v>-4.5374289999999998E-2</v>
      </c>
      <c r="R7259">
        <v>0.94430130000000001</v>
      </c>
      <c r="S7259">
        <v>1.4965520000000001</v>
      </c>
      <c r="T7259">
        <v>-0.11985990000000001</v>
      </c>
      <c r="U7259">
        <v>2.6560519999999999</v>
      </c>
      <c r="V7259">
        <v>0.19499150000000001</v>
      </c>
      <c r="W7259">
        <v>-3.263228E-2</v>
      </c>
      <c r="X7259">
        <v>0.98026190000000002</v>
      </c>
      <c r="Y7259">
        <v>0.36801040000000002</v>
      </c>
      <c r="Z7259">
        <v>-3.9938719999999997E-2</v>
      </c>
      <c r="AA7259">
        <v>0.92896350000000005</v>
      </c>
      <c r="AB7259">
        <v>18</v>
      </c>
      <c r="AC7259">
        <v>13.820600000000001</v>
      </c>
      <c r="AD7259">
        <v>-1.1090723283769901</v>
      </c>
      <c r="AE7259">
        <v>24.394399999999901</v>
      </c>
      <c r="AF7259">
        <v>10.373992851585299</v>
      </c>
      <c r="AG7259">
        <v>-1.1090723283769901</v>
      </c>
      <c r="AH7259">
        <v>26.000417059464802</v>
      </c>
      <c r="AI7259">
        <v>92.268802732545396</v>
      </c>
      <c r="AJ7259">
        <v>68.248330382873405</v>
      </c>
      <c r="AK7259">
        <v>28.015557399067099</v>
      </c>
      <c r="AL7259">
        <v>91.870023960440093</v>
      </c>
      <c r="AM7259">
        <v>78.749702862099099</v>
      </c>
      <c r="AN7259">
        <v>0.99999997168092802</v>
      </c>
    </row>
    <row r="7260" spans="1:40" x14ac:dyDescent="0.25">
      <c r="A7260" t="str">
        <f>"20190312161202865"</f>
        <v>20190312161202865</v>
      </c>
      <c r="B7260" t="str">
        <f>"1552378322854771"</f>
        <v>1552378322854771</v>
      </c>
      <c r="C7260" t="s">
        <v>40</v>
      </c>
      <c r="D7260">
        <v>5.7944129999999996</v>
      </c>
      <c r="E7260">
        <v>0.5693454</v>
      </c>
      <c r="F7260" t="s">
        <v>87</v>
      </c>
      <c r="G7260">
        <v>-172.65899999999999</v>
      </c>
      <c r="H7260" s="1">
        <v>-2.2693800000000001E-6</v>
      </c>
      <c r="I7260">
        <v>133.1362</v>
      </c>
      <c r="J7260">
        <v>-186.18600000000001</v>
      </c>
      <c r="K7260">
        <v>1.109076</v>
      </c>
      <c r="L7260">
        <v>109.3933</v>
      </c>
      <c r="M7260">
        <v>0.1374378</v>
      </c>
      <c r="N7260">
        <v>0</v>
      </c>
      <c r="O7260">
        <v>0.99041840000000003</v>
      </c>
      <c r="P7260">
        <v>0.328484</v>
      </c>
      <c r="Q7260">
        <v>-4.579826E-2</v>
      </c>
      <c r="R7260">
        <v>0.94339850000000003</v>
      </c>
      <c r="S7260">
        <v>1.502991</v>
      </c>
      <c r="T7260">
        <v>-0.1229904</v>
      </c>
      <c r="U7260">
        <v>2.6522670000000002</v>
      </c>
      <c r="V7260">
        <v>0.19561120000000001</v>
      </c>
      <c r="W7260">
        <v>-3.307293E-2</v>
      </c>
      <c r="X7260">
        <v>0.98012370000000004</v>
      </c>
      <c r="Y7260">
        <v>0.36834440000000002</v>
      </c>
      <c r="Z7260">
        <v>-4.0987309999999999E-2</v>
      </c>
      <c r="AA7260">
        <v>0.92878539999999998</v>
      </c>
      <c r="AB7260">
        <v>18</v>
      </c>
      <c r="AC7260">
        <v>13.5269999999999</v>
      </c>
      <c r="AD7260">
        <v>-1.1090782693800001</v>
      </c>
      <c r="AE7260">
        <v>23.742899999999999</v>
      </c>
      <c r="AF7260">
        <v>10.118473070839901</v>
      </c>
      <c r="AG7260">
        <v>-1.1090782693800001</v>
      </c>
      <c r="AH7260">
        <v>25.335103876415101</v>
      </c>
      <c r="AI7260">
        <v>92.328016379149901</v>
      </c>
      <c r="AJ7260">
        <v>68.228949002803006</v>
      </c>
      <c r="AK7260">
        <v>27.3034986828002</v>
      </c>
      <c r="AL7260">
        <v>91.895284902489493</v>
      </c>
      <c r="AM7260">
        <v>78.713314216920395</v>
      </c>
      <c r="AN7260">
        <v>1.0000000137829499</v>
      </c>
    </row>
    <row r="7261" spans="1:40" x14ac:dyDescent="0.25">
      <c r="A7261" t="str">
        <f>"20190312161202886"</f>
        <v>20190312161202886</v>
      </c>
      <c r="B7261" t="str">
        <f>"1552378322874288"</f>
        <v>1552378322874288</v>
      </c>
      <c r="C7261" t="s">
        <v>40</v>
      </c>
      <c r="D7261">
        <v>5.8998309999999998</v>
      </c>
      <c r="E7261">
        <v>0.56925819999999905</v>
      </c>
      <c r="F7261" t="s">
        <v>87</v>
      </c>
      <c r="G7261">
        <v>-172.9776</v>
      </c>
      <c r="H7261" s="1">
        <v>-2.1978890000000001E-6</v>
      </c>
      <c r="I7261">
        <v>132.56450000000001</v>
      </c>
      <c r="J7261">
        <v>-186.15989999999999</v>
      </c>
      <c r="K7261">
        <v>1.1090739999999999</v>
      </c>
      <c r="L7261">
        <v>109.5634</v>
      </c>
      <c r="M7261">
        <v>0.1394357</v>
      </c>
      <c r="N7261">
        <v>0</v>
      </c>
      <c r="O7261">
        <v>0.9901392</v>
      </c>
      <c r="P7261">
        <v>0.33041700000000002</v>
      </c>
      <c r="Q7261">
        <v>-4.5900419999999997E-2</v>
      </c>
      <c r="R7261">
        <v>0.94271830000000001</v>
      </c>
      <c r="S7261">
        <v>1.5095670000000001</v>
      </c>
      <c r="T7261">
        <v>-0.12675519999999901</v>
      </c>
      <c r="U7261">
        <v>2.648209</v>
      </c>
      <c r="V7261">
        <v>0.1956435</v>
      </c>
      <c r="W7261">
        <v>-3.3186569999999999E-2</v>
      </c>
      <c r="X7261">
        <v>0.98011340000000002</v>
      </c>
      <c r="Y7261">
        <v>0.36879600000000001</v>
      </c>
      <c r="Z7261">
        <v>-4.2249469999999997E-2</v>
      </c>
      <c r="AA7261">
        <v>0.92854970000000003</v>
      </c>
      <c r="AB7261">
        <v>18</v>
      </c>
      <c r="AC7261">
        <v>13.1822999999999</v>
      </c>
      <c r="AD7261">
        <v>-1.10907619788899</v>
      </c>
      <c r="AE7261">
        <v>23.001100000000001</v>
      </c>
      <c r="AF7261">
        <v>9.8288317987111498</v>
      </c>
      <c r="AG7261">
        <v>-1.10907619788899</v>
      </c>
      <c r="AH7261">
        <v>24.571610513809699</v>
      </c>
      <c r="AI7261">
        <v>92.399751111749595</v>
      </c>
      <c r="AJ7261">
        <v>68.198213421977698</v>
      </c>
      <c r="AK7261">
        <v>26.4877335342691</v>
      </c>
      <c r="AL7261">
        <v>91.901799593009997</v>
      </c>
      <c r="AM7261">
        <v>78.711382788245203</v>
      </c>
      <c r="AN7261">
        <v>1.0000000021900799</v>
      </c>
    </row>
    <row r="7262" spans="1:40" x14ac:dyDescent="0.25">
      <c r="A7262" t="str">
        <f>"20190312161202909"</f>
        <v>20190312161202909</v>
      </c>
      <c r="B7262" t="str">
        <f>"1552378322904544"</f>
        <v>1552378322904544</v>
      </c>
      <c r="C7262" t="s">
        <v>40</v>
      </c>
      <c r="D7262">
        <v>5.9446640000000004</v>
      </c>
      <c r="E7262">
        <v>0.56912739999999995</v>
      </c>
      <c r="F7262" t="s">
        <v>87</v>
      </c>
      <c r="G7262">
        <v>-172.8758</v>
      </c>
      <c r="H7262" s="1">
        <v>-2.2296030000000001E-6</v>
      </c>
      <c r="I7262">
        <v>132.7672</v>
      </c>
      <c r="J7262">
        <v>-186.13149999999999</v>
      </c>
      <c r="K7262">
        <v>1.1090719999999901</v>
      </c>
      <c r="L7262">
        <v>109.746</v>
      </c>
      <c r="M7262">
        <v>0.1415815</v>
      </c>
      <c r="N7262">
        <v>0</v>
      </c>
      <c r="O7262">
        <v>0.98983489999999996</v>
      </c>
      <c r="P7262">
        <v>0.33212599999999998</v>
      </c>
      <c r="Q7262">
        <v>-4.6366919999999999E-2</v>
      </c>
      <c r="R7262">
        <v>0.94209469999999995</v>
      </c>
      <c r="S7262">
        <v>1.514435</v>
      </c>
      <c r="T7262">
        <v>-0.12643859999999901</v>
      </c>
      <c r="U7262">
        <v>2.6453250000000001</v>
      </c>
      <c r="V7262">
        <v>0.1952991</v>
      </c>
      <c r="W7262">
        <v>-3.3662339999999999E-2</v>
      </c>
      <c r="X7262">
        <v>0.98016579999999998</v>
      </c>
      <c r="Y7262">
        <v>0.36850699999999997</v>
      </c>
      <c r="Z7262">
        <v>-4.21488E-2</v>
      </c>
      <c r="AA7262">
        <v>0.92866899999999997</v>
      </c>
      <c r="AB7262">
        <v>18</v>
      </c>
      <c r="AC7262">
        <v>13.2556999999999</v>
      </c>
      <c r="AD7262">
        <v>-1.1090742296029901</v>
      </c>
      <c r="AE7262">
        <v>23.0212</v>
      </c>
      <c r="AF7262">
        <v>9.8453129713493599</v>
      </c>
      <c r="AG7262">
        <v>-1.1090742296029901</v>
      </c>
      <c r="AH7262">
        <v>24.6232688788198</v>
      </c>
      <c r="AI7262">
        <v>92.394858265960593</v>
      </c>
      <c r="AJ7262">
        <v>68.206603868427905</v>
      </c>
      <c r="AK7262">
        <v>26.541770917352899</v>
      </c>
      <c r="AL7262">
        <v>91.929074559317499</v>
      </c>
      <c r="AM7262">
        <v>78.731332709872305</v>
      </c>
      <c r="AN7262">
        <v>0.99999994354236099</v>
      </c>
    </row>
    <row r="7263" spans="1:40" x14ac:dyDescent="0.25">
      <c r="A7263" t="str">
        <f>"20190312161202932"</f>
        <v>20190312161202932</v>
      </c>
      <c r="B7263" t="str">
        <f>"1552378322925039"</f>
        <v>1552378322925039</v>
      </c>
      <c r="C7263" t="s">
        <v>40</v>
      </c>
      <c r="D7263">
        <v>5.7351070000000002</v>
      </c>
      <c r="E7263">
        <v>0.537636</v>
      </c>
      <c r="F7263" t="s">
        <v>87</v>
      </c>
      <c r="G7263">
        <v>-173.1165</v>
      </c>
      <c r="H7263" s="1">
        <v>-2.206725E-6</v>
      </c>
      <c r="I7263">
        <v>132.4057</v>
      </c>
      <c r="J7263">
        <v>-186.1026</v>
      </c>
      <c r="K7263">
        <v>1.109065</v>
      </c>
      <c r="L7263">
        <v>109.9298</v>
      </c>
      <c r="M7263">
        <v>0.14374219999999999</v>
      </c>
      <c r="N7263">
        <v>0</v>
      </c>
      <c r="O7263">
        <v>0.98952359999999995</v>
      </c>
      <c r="P7263">
        <v>0.33376709999999998</v>
      </c>
      <c r="Q7263">
        <v>-4.69457E-2</v>
      </c>
      <c r="R7263">
        <v>0.94148589999999999</v>
      </c>
      <c r="S7263">
        <v>1.51799</v>
      </c>
      <c r="T7263">
        <v>-0.129355</v>
      </c>
      <c r="U7263">
        <v>2.6428829999999999</v>
      </c>
      <c r="V7263">
        <v>0.1948703</v>
      </c>
      <c r="W7263">
        <v>-3.4248790000000001E-2</v>
      </c>
      <c r="X7263">
        <v>0.98023090000000002</v>
      </c>
      <c r="Y7263">
        <v>0.3677665</v>
      </c>
      <c r="Z7263">
        <v>-4.3126020000000001E-2</v>
      </c>
      <c r="AA7263">
        <v>0.92891760000000001</v>
      </c>
      <c r="AB7263">
        <v>18</v>
      </c>
      <c r="AC7263">
        <v>12.986099999999899</v>
      </c>
      <c r="AD7263">
        <v>-1.109067206725</v>
      </c>
      <c r="AE7263">
        <v>22.475899999999999</v>
      </c>
      <c r="AF7263">
        <v>9.6026592137420206</v>
      </c>
      <c r="AG7263">
        <v>-1.109067206725</v>
      </c>
      <c r="AH7263">
        <v>24.065337516927698</v>
      </c>
      <c r="AI7263">
        <v>92.450984023673897</v>
      </c>
      <c r="AJ7263">
        <v>68.246789618012897</v>
      </c>
      <c r="AK7263">
        <v>25.934177524030801</v>
      </c>
      <c r="AL7263">
        <v>91.962694918030394</v>
      </c>
      <c r="AM7263">
        <v>78.7561709438056</v>
      </c>
      <c r="AN7263">
        <v>1.0000000153766799</v>
      </c>
    </row>
    <row r="7264" spans="1:40" x14ac:dyDescent="0.25">
      <c r="A7264" t="str">
        <f>"20190312161202957"</f>
        <v>20190312161202957</v>
      </c>
      <c r="B7264" t="str">
        <f>"1552378322944560"</f>
        <v>1552378322944560</v>
      </c>
      <c r="C7264" t="s">
        <v>40</v>
      </c>
      <c r="D7264">
        <v>5.8597219999999997</v>
      </c>
      <c r="E7264">
        <v>0.53345010000000004</v>
      </c>
      <c r="F7264" t="s">
        <v>87</v>
      </c>
      <c r="G7264">
        <v>-177.6499</v>
      </c>
      <c r="H7264">
        <v>7.9987929999999999E-2</v>
      </c>
      <c r="I7264">
        <v>127.86409999999999</v>
      </c>
      <c r="J7264">
        <v>-186.0727</v>
      </c>
      <c r="K7264">
        <v>1.1090549999999999</v>
      </c>
      <c r="L7264">
        <v>110.1172</v>
      </c>
      <c r="M7264">
        <v>0.14594599999999999</v>
      </c>
      <c r="N7264">
        <v>0</v>
      </c>
      <c r="O7264">
        <v>0.98920110000000006</v>
      </c>
      <c r="P7264">
        <v>0.3353698</v>
      </c>
      <c r="Q7264">
        <v>-4.7115990000000003E-2</v>
      </c>
      <c r="R7264">
        <v>0.94090770000000001</v>
      </c>
      <c r="S7264">
        <v>1.2836609999999999</v>
      </c>
      <c r="T7264">
        <v>-0.15628020000000001</v>
      </c>
      <c r="U7264">
        <v>2.7235870000000002</v>
      </c>
      <c r="V7264">
        <v>0.19435740000000001</v>
      </c>
      <c r="W7264">
        <v>-3.4429059999999997E-2</v>
      </c>
      <c r="X7264">
        <v>0.98032640000000004</v>
      </c>
      <c r="Y7264">
        <v>0.28915000000000002</v>
      </c>
      <c r="Z7264">
        <v>-5.2398640000000003E-2</v>
      </c>
      <c r="AA7264">
        <v>0.95584860000000005</v>
      </c>
      <c r="AB7264">
        <v>18</v>
      </c>
      <c r="AC7264">
        <v>8.4227999999999899</v>
      </c>
      <c r="AD7264">
        <v>-1.02906707</v>
      </c>
      <c r="AE7264">
        <v>17.746899999999901</v>
      </c>
      <c r="AF7264">
        <v>5.7265586406755897</v>
      </c>
      <c r="AG7264">
        <v>-1.02906707</v>
      </c>
      <c r="AH7264">
        <v>18.734814488072399</v>
      </c>
      <c r="AI7264">
        <v>93.006923331620996</v>
      </c>
      <c r="AJ7264">
        <v>73.003493191613202</v>
      </c>
      <c r="AK7264">
        <v>19.617485231347601</v>
      </c>
      <c r="AL7264">
        <v>91.973029743891701</v>
      </c>
      <c r="AM7264">
        <v>78.786078542332305</v>
      </c>
      <c r="AN7264">
        <v>1.0000000048221001</v>
      </c>
    </row>
    <row r="7265" spans="1:40" x14ac:dyDescent="0.25">
      <c r="A7265" t="str">
        <f>"20190312161202976"</f>
        <v>20190312161202976</v>
      </c>
      <c r="B7265" t="str">
        <f>"1552378322965056"</f>
        <v>1552378322965056</v>
      </c>
      <c r="C7265" t="s">
        <v>40</v>
      </c>
      <c r="D7265">
        <v>5.8389639999999998</v>
      </c>
      <c r="E7265">
        <v>0.53271959999999996</v>
      </c>
      <c r="F7265" t="s">
        <v>87</v>
      </c>
      <c r="G7265">
        <v>-179.3124</v>
      </c>
      <c r="H7265">
        <v>7.9988680000000006E-2</v>
      </c>
      <c r="I7265">
        <v>124.842</v>
      </c>
      <c r="J7265">
        <v>-186.0462</v>
      </c>
      <c r="K7265">
        <v>1.109049</v>
      </c>
      <c r="L7265">
        <v>110.2805</v>
      </c>
      <c r="M7265">
        <v>0.14786939999999901</v>
      </c>
      <c r="N7265">
        <v>0</v>
      </c>
      <c r="O7265">
        <v>0.98891569999999995</v>
      </c>
      <c r="P7265">
        <v>0.33586510000000003</v>
      </c>
      <c r="Q7265">
        <v>-4.7502530000000001E-2</v>
      </c>
      <c r="R7265">
        <v>0.94071150000000003</v>
      </c>
      <c r="S7265">
        <v>1.254211</v>
      </c>
      <c r="T7265">
        <v>-0.19091859999999999</v>
      </c>
      <c r="U7265">
        <v>2.731827</v>
      </c>
      <c r="V7265">
        <v>0.19296969999999999</v>
      </c>
      <c r="W7265">
        <v>-3.4829079999999998E-2</v>
      </c>
      <c r="X7265">
        <v>0.98058630000000002</v>
      </c>
      <c r="Y7265">
        <v>0.27739609999999998</v>
      </c>
      <c r="Z7265">
        <v>-6.4017290000000004E-2</v>
      </c>
      <c r="AA7265">
        <v>0.95862049999999999</v>
      </c>
      <c r="AB7265">
        <v>18</v>
      </c>
      <c r="AC7265">
        <v>6.7337999999999996</v>
      </c>
      <c r="AD7265">
        <v>-1.0290603199999999</v>
      </c>
      <c r="AE7265">
        <v>14.561500000000001</v>
      </c>
      <c r="AF7265">
        <v>4.4879017757146098</v>
      </c>
      <c r="AG7265">
        <v>-1.0290603199999999</v>
      </c>
      <c r="AH7265">
        <v>15.334117244884601</v>
      </c>
      <c r="AI7265">
        <v>93.685179675089799</v>
      </c>
      <c r="AJ7265">
        <v>73.686603732711703</v>
      </c>
      <c r="AK7265">
        <v>16.0104771687332</v>
      </c>
      <c r="AL7265">
        <v>91.995963103944703</v>
      </c>
      <c r="AM7265">
        <v>78.8670149621029</v>
      </c>
      <c r="AN7265">
        <v>0.99999993083970995</v>
      </c>
    </row>
    <row r="7266" spans="1:40" x14ac:dyDescent="0.25">
      <c r="A7266" t="str">
        <f>"20190312161203000"</f>
        <v>20190312161203000</v>
      </c>
      <c r="B7266" t="str">
        <f>"1552378322994337"</f>
        <v>1552378322994337</v>
      </c>
      <c r="C7266" t="s">
        <v>40</v>
      </c>
      <c r="D7266">
        <v>5.7555779999999999</v>
      </c>
      <c r="E7266">
        <v>0.53173309999999996</v>
      </c>
      <c r="F7266" t="s">
        <v>87</v>
      </c>
      <c r="G7266">
        <v>-179.8519</v>
      </c>
      <c r="H7266">
        <v>7.9988989999999996E-2</v>
      </c>
      <c r="I7266">
        <v>123.8355</v>
      </c>
      <c r="J7266">
        <v>-186.01570000000001</v>
      </c>
      <c r="K7266">
        <v>1.1090340000000001</v>
      </c>
      <c r="L7266">
        <v>110.46680000000001</v>
      </c>
      <c r="M7266">
        <v>0.15006549999999999</v>
      </c>
      <c r="N7266">
        <v>0</v>
      </c>
      <c r="O7266">
        <v>0.98858550000000001</v>
      </c>
      <c r="P7266">
        <v>0.33727010000000002</v>
      </c>
      <c r="Q7266">
        <v>-4.8145199999999999E-2</v>
      </c>
      <c r="R7266">
        <v>0.94017600000000001</v>
      </c>
      <c r="S7266">
        <v>1.2487950000000001</v>
      </c>
      <c r="T7266">
        <v>-0.20746249999999999</v>
      </c>
      <c r="U7266">
        <v>2.732742</v>
      </c>
      <c r="V7266">
        <v>0.19226009999999999</v>
      </c>
      <c r="W7266">
        <v>-3.5508480000000002E-2</v>
      </c>
      <c r="X7266">
        <v>0.98070139999999995</v>
      </c>
      <c r="Y7266">
        <v>0.27341300000000002</v>
      </c>
      <c r="Z7266">
        <v>-6.9549600000000003E-2</v>
      </c>
      <c r="AA7266">
        <v>0.95937910000000004</v>
      </c>
      <c r="AB7266">
        <v>18</v>
      </c>
      <c r="AC7266">
        <v>6.1638000000000002</v>
      </c>
      <c r="AD7266">
        <v>-1.0290450099999999</v>
      </c>
      <c r="AE7266">
        <v>13.368699999999899</v>
      </c>
      <c r="AF7266">
        <v>4.0677523450552302</v>
      </c>
      <c r="AG7266">
        <v>-1.0290450099999999</v>
      </c>
      <c r="AH7266">
        <v>14.073575097539999</v>
      </c>
      <c r="AI7266">
        <v>94.018066347402893</v>
      </c>
      <c r="AJ7266">
        <v>73.878868263585801</v>
      </c>
      <c r="AK7266">
        <v>14.6857433859988</v>
      </c>
      <c r="AL7266">
        <v>92.034913779921098</v>
      </c>
      <c r="AM7266">
        <v>78.908206286264203</v>
      </c>
      <c r="AN7266">
        <v>1.00000001708294</v>
      </c>
    </row>
    <row r="7267" spans="1:40" x14ac:dyDescent="0.25">
      <c r="A7267" t="str">
        <f>"20190312161203023"</f>
        <v>20190312161203023</v>
      </c>
      <c r="B7267" t="str">
        <f>"1552378323014832"</f>
        <v>1552378323014832</v>
      </c>
      <c r="C7267" t="s">
        <v>40</v>
      </c>
      <c r="D7267">
        <v>5.7811130000000004</v>
      </c>
      <c r="E7267">
        <v>0.53158070000000002</v>
      </c>
      <c r="F7267" t="s">
        <v>87</v>
      </c>
      <c r="G7267">
        <v>-180.262</v>
      </c>
      <c r="H7267" s="1">
        <v>-3.6089529999999999E-6</v>
      </c>
      <c r="I7267">
        <v>123.1105</v>
      </c>
      <c r="J7267">
        <v>-185.9862</v>
      </c>
      <c r="K7267">
        <v>1.1090120000000001</v>
      </c>
      <c r="L7267">
        <v>110.6442</v>
      </c>
      <c r="M7267">
        <v>0.1521604</v>
      </c>
      <c r="N7267">
        <v>0</v>
      </c>
      <c r="O7267">
        <v>0.98826590000000003</v>
      </c>
      <c r="P7267">
        <v>0.33831060000000002</v>
      </c>
      <c r="Q7267">
        <v>-4.8449239999999998E-2</v>
      </c>
      <c r="R7267">
        <v>0.93978640000000002</v>
      </c>
      <c r="S7267">
        <v>1.243484</v>
      </c>
      <c r="T7267">
        <v>-0.2396836</v>
      </c>
      <c r="U7267">
        <v>2.7325439999999999</v>
      </c>
      <c r="V7267">
        <v>0.1912692</v>
      </c>
      <c r="W7267">
        <v>-3.5865649999999999E-2</v>
      </c>
      <c r="X7267">
        <v>0.98088209999999998</v>
      </c>
      <c r="Y7267">
        <v>0.2695186</v>
      </c>
      <c r="Z7267">
        <v>-8.0325279999999999E-2</v>
      </c>
      <c r="AA7267">
        <v>0.95963929999999997</v>
      </c>
      <c r="AB7267">
        <v>18</v>
      </c>
      <c r="AC7267">
        <v>5.72419999999999</v>
      </c>
      <c r="AD7267">
        <v>-1.1090156089530001</v>
      </c>
      <c r="AE7267">
        <v>12.4663</v>
      </c>
      <c r="AF7267">
        <v>3.7360696349944602</v>
      </c>
      <c r="AG7267">
        <v>-1.1090156089530001</v>
      </c>
      <c r="AH7267">
        <v>13.1065236258968</v>
      </c>
      <c r="AI7267">
        <v>94.652138940137903</v>
      </c>
      <c r="AJ7267">
        <v>74.089575855617497</v>
      </c>
      <c r="AK7267">
        <v>13.6736642307255</v>
      </c>
      <c r="AL7267">
        <v>92.055391247887997</v>
      </c>
      <c r="AM7267">
        <v>78.965949095078798</v>
      </c>
      <c r="AN7267">
        <v>0.99999997290948495</v>
      </c>
    </row>
    <row r="7268" spans="1:40" x14ac:dyDescent="0.25">
      <c r="A7268" t="str">
        <f>"20190312161203046"</f>
        <v>20190312161203046</v>
      </c>
      <c r="B7268" t="str">
        <f>"1552378323034352"</f>
        <v>1552378323034352</v>
      </c>
      <c r="C7268" t="s">
        <v>40</v>
      </c>
      <c r="D7268">
        <v>5.7639139999999998</v>
      </c>
      <c r="E7268">
        <v>0.53189430000000004</v>
      </c>
      <c r="F7268" t="s">
        <v>87</v>
      </c>
      <c r="G7268">
        <v>-180.3826</v>
      </c>
      <c r="H7268" s="1">
        <v>-3.5262990000000002E-6</v>
      </c>
      <c r="I7268">
        <v>122.9389</v>
      </c>
      <c r="J7268">
        <v>-185.95590000000001</v>
      </c>
      <c r="K7268">
        <v>1.1089899999999999</v>
      </c>
      <c r="L7268">
        <v>110.82389999999999</v>
      </c>
      <c r="M7268">
        <v>0.15428499999999901</v>
      </c>
      <c r="N7268">
        <v>0</v>
      </c>
      <c r="O7268">
        <v>0.98793759999999997</v>
      </c>
      <c r="P7268">
        <v>0.3392365</v>
      </c>
      <c r="Q7268">
        <v>-4.8269109999999997E-2</v>
      </c>
      <c r="R7268">
        <v>0.93946189999999996</v>
      </c>
      <c r="S7268">
        <v>1.2448729999999999</v>
      </c>
      <c r="T7268">
        <v>-0.24637719999999999</v>
      </c>
      <c r="U7268">
        <v>2.7313689999999999</v>
      </c>
      <c r="V7268">
        <v>0.19012599999999999</v>
      </c>
      <c r="W7268">
        <v>-3.5757900000000002E-2</v>
      </c>
      <c r="X7268">
        <v>0.98110830000000004</v>
      </c>
      <c r="Y7268">
        <v>0.267932</v>
      </c>
      <c r="Z7268">
        <v>-8.2553979999999999E-2</v>
      </c>
      <c r="AA7268">
        <v>0.95989440000000004</v>
      </c>
      <c r="AB7268">
        <v>18</v>
      </c>
      <c r="AC7268">
        <v>5.5733000000000104</v>
      </c>
      <c r="AD7268">
        <v>-1.1089935262989901</v>
      </c>
      <c r="AE7268">
        <v>12.115</v>
      </c>
      <c r="AF7268">
        <v>3.6122474173038999</v>
      </c>
      <c r="AG7268">
        <v>-1.1089935262989901</v>
      </c>
      <c r="AH7268">
        <v>12.7417469911243</v>
      </c>
      <c r="AI7268">
        <v>94.7865688326889</v>
      </c>
      <c r="AJ7268">
        <v>74.172124329144097</v>
      </c>
      <c r="AK7268">
        <v>13.2902337989599</v>
      </c>
      <c r="AL7268">
        <v>92.049213589234299</v>
      </c>
      <c r="AM7268">
        <v>79.032762007680404</v>
      </c>
      <c r="AN7268">
        <v>1.0000000098086499</v>
      </c>
    </row>
    <row r="7269" spans="1:40" x14ac:dyDescent="0.25">
      <c r="A7269" t="str">
        <f>"20190312161203068"</f>
        <v>20190312161203068</v>
      </c>
      <c r="B7269" t="str">
        <f>"1552378323054848"</f>
        <v>1552378323054848</v>
      </c>
      <c r="C7269" t="s">
        <v>40</v>
      </c>
      <c r="D7269">
        <v>5.7755140000000003</v>
      </c>
      <c r="E7269">
        <v>0.53218480000000001</v>
      </c>
      <c r="F7269" t="s">
        <v>87</v>
      </c>
      <c r="G7269">
        <v>-180.31319999999999</v>
      </c>
      <c r="H7269" s="1">
        <v>-3.6046799999999998E-6</v>
      </c>
      <c r="I7269">
        <v>123.14230000000001</v>
      </c>
      <c r="J7269">
        <v>-185.92490000000001</v>
      </c>
      <c r="K7269">
        <v>1.10897</v>
      </c>
      <c r="L7269">
        <v>111.0051</v>
      </c>
      <c r="M7269">
        <v>0.15643009999999999</v>
      </c>
      <c r="N7269">
        <v>0</v>
      </c>
      <c r="O7269">
        <v>0.98760139999999996</v>
      </c>
      <c r="P7269">
        <v>0.33994479999999999</v>
      </c>
      <c r="Q7269">
        <v>-4.8665800000000002E-2</v>
      </c>
      <c r="R7269">
        <v>0.93918539999999995</v>
      </c>
      <c r="S7269">
        <v>1.2501979999999999</v>
      </c>
      <c r="T7269">
        <v>-0.2457085</v>
      </c>
      <c r="U7269">
        <v>2.7292480000000001</v>
      </c>
      <c r="V7269">
        <v>0.18873809999999999</v>
      </c>
      <c r="W7269">
        <v>-3.6236119999999997E-2</v>
      </c>
      <c r="X7269">
        <v>0.98135870000000003</v>
      </c>
      <c r="Y7269">
        <v>0.26767929999999901</v>
      </c>
      <c r="Z7269">
        <v>-8.2318429999999998E-2</v>
      </c>
      <c r="AA7269">
        <v>0.95998510000000004</v>
      </c>
      <c r="AB7269">
        <v>18</v>
      </c>
      <c r="AC7269">
        <v>5.6117000000000097</v>
      </c>
      <c r="AD7269">
        <v>-1.1089736046800001</v>
      </c>
      <c r="AE7269">
        <v>12.1372</v>
      </c>
      <c r="AF7269">
        <v>3.61892345440631</v>
      </c>
      <c r="AG7269">
        <v>-1.1089736046800001</v>
      </c>
      <c r="AH7269">
        <v>12.777781286839099</v>
      </c>
      <c r="AI7269">
        <v>94.773392675417796</v>
      </c>
      <c r="AJ7269">
        <v>74.186816215806004</v>
      </c>
      <c r="AK7269">
        <v>13.326594615243099</v>
      </c>
      <c r="AL7269">
        <v>92.076631340984605</v>
      </c>
      <c r="AM7269">
        <v>79.1136130436185</v>
      </c>
      <c r="AN7269">
        <v>1.0000000124249699</v>
      </c>
    </row>
    <row r="7270" spans="1:40" x14ac:dyDescent="0.25">
      <c r="A7270" t="str">
        <f>"20190312161203089"</f>
        <v>20190312161203089</v>
      </c>
      <c r="B7270" t="str">
        <f>"1552378323084128"</f>
        <v>1552378323084128</v>
      </c>
      <c r="C7270" t="s">
        <v>40</v>
      </c>
      <c r="D7270">
        <v>5.8028659999999999</v>
      </c>
      <c r="E7270">
        <v>0.53242149999999999</v>
      </c>
      <c r="F7270" t="s">
        <v>87</v>
      </c>
      <c r="G7270">
        <v>-180.3039</v>
      </c>
      <c r="H7270" s="1">
        <v>-3.6323209999999999E-6</v>
      </c>
      <c r="I7270">
        <v>123.2277</v>
      </c>
      <c r="J7270">
        <v>-185.89660000000001</v>
      </c>
      <c r="K7270">
        <v>1.108967</v>
      </c>
      <c r="L7270">
        <v>111.1688</v>
      </c>
      <c r="M7270">
        <v>0.1583707</v>
      </c>
      <c r="N7270">
        <v>0</v>
      </c>
      <c r="O7270">
        <v>0.98729310000000003</v>
      </c>
      <c r="P7270">
        <v>0.34106819999999999</v>
      </c>
      <c r="Q7270">
        <v>-4.8756199999999902E-2</v>
      </c>
      <c r="R7270">
        <v>0.93877330000000003</v>
      </c>
      <c r="S7270">
        <v>1.2543029999999999</v>
      </c>
      <c r="T7270">
        <v>-0.24746080000000001</v>
      </c>
      <c r="U7270">
        <v>2.727417</v>
      </c>
      <c r="V7270">
        <v>0.1879846</v>
      </c>
      <c r="W7270">
        <v>-3.6401620000000003E-2</v>
      </c>
      <c r="X7270">
        <v>0.98149719999999996</v>
      </c>
      <c r="Y7270">
        <v>0.26720339999999998</v>
      </c>
      <c r="Z7270">
        <v>-8.2893510000000004E-2</v>
      </c>
      <c r="AA7270">
        <v>0.96006820000000004</v>
      </c>
      <c r="AB7270">
        <v>18</v>
      </c>
      <c r="AC7270">
        <v>5.5926999999999998</v>
      </c>
      <c r="AD7270">
        <v>-1.108970632321</v>
      </c>
      <c r="AE7270">
        <v>12.0588999999999</v>
      </c>
      <c r="AF7270">
        <v>3.5871994053384801</v>
      </c>
      <c r="AG7270">
        <v>-1.108970632321</v>
      </c>
      <c r="AH7270">
        <v>12.704061313010101</v>
      </c>
      <c r="AI7270">
        <v>94.8020184103584</v>
      </c>
      <c r="AJ7270">
        <v>74.232105991779605</v>
      </c>
      <c r="AK7270">
        <v>13.247301207481099</v>
      </c>
      <c r="AL7270">
        <v>92.086120035290193</v>
      </c>
      <c r="AM7270">
        <v>79.1575362896115</v>
      </c>
      <c r="AN7270">
        <v>1.00000002069181</v>
      </c>
    </row>
    <row r="7271" spans="1:40" x14ac:dyDescent="0.25">
      <c r="A7271" t="str">
        <f>"20190312161203112"</f>
        <v>20190312161203112</v>
      </c>
      <c r="B7271" t="str">
        <f>"1552378323104624"</f>
        <v>1552378323104624</v>
      </c>
      <c r="C7271" t="s">
        <v>40</v>
      </c>
      <c r="D7271">
        <v>5.7828089999999897</v>
      </c>
      <c r="E7271">
        <v>0.53285869999999902</v>
      </c>
      <c r="F7271" t="s">
        <v>87</v>
      </c>
      <c r="G7271">
        <v>-180.3785</v>
      </c>
      <c r="H7271" s="1">
        <v>-3.5786610000000001E-6</v>
      </c>
      <c r="I7271">
        <v>123.113</v>
      </c>
      <c r="J7271">
        <v>-185.8646</v>
      </c>
      <c r="K7271">
        <v>1.1089549999999999</v>
      </c>
      <c r="L7271">
        <v>111.3518</v>
      </c>
      <c r="M7271">
        <v>0.16054280000000001</v>
      </c>
      <c r="N7271">
        <v>0</v>
      </c>
      <c r="O7271">
        <v>0.98694360000000003</v>
      </c>
      <c r="P7271">
        <v>0.34276960000000001</v>
      </c>
      <c r="Q7271">
        <v>-4.8879329999999999E-2</v>
      </c>
      <c r="R7271">
        <v>0.93814699999999995</v>
      </c>
      <c r="S7271">
        <v>1.258972</v>
      </c>
      <c r="T7271">
        <v>-0.25301649999999998</v>
      </c>
      <c r="U7271">
        <v>2.7251280000000002</v>
      </c>
      <c r="V7271">
        <v>0.18760550000000001</v>
      </c>
      <c r="W7271">
        <v>-3.6618049999999999E-2</v>
      </c>
      <c r="X7271">
        <v>0.98156169999999998</v>
      </c>
      <c r="Y7271">
        <v>0.2666808</v>
      </c>
      <c r="Z7271">
        <v>-8.4737110000000004E-2</v>
      </c>
      <c r="AA7271">
        <v>0.96005260000000003</v>
      </c>
      <c r="AB7271">
        <v>18</v>
      </c>
      <c r="AC7271">
        <v>5.4860999999999898</v>
      </c>
      <c r="AD7271">
        <v>-1.1089585786609999</v>
      </c>
      <c r="AE7271">
        <v>11.761200000000001</v>
      </c>
      <c r="AF7271">
        <v>3.5010283989897402</v>
      </c>
      <c r="AG7271">
        <v>-1.1089585786609999</v>
      </c>
      <c r="AH7271">
        <v>12.398912033143599</v>
      </c>
      <c r="AI7271">
        <v>94.919575173394705</v>
      </c>
      <c r="AJ7271">
        <v>74.232136457184495</v>
      </c>
      <c r="AK7271">
        <v>12.93135756931</v>
      </c>
      <c r="AL7271">
        <v>92.098528797174296</v>
      </c>
      <c r="AM7271">
        <v>79.179579317320304</v>
      </c>
      <c r="AN7271">
        <v>1.00000003806147</v>
      </c>
    </row>
    <row r="7272" spans="1:40" x14ac:dyDescent="0.25">
      <c r="A7272" t="str">
        <f>"20190312161203134"</f>
        <v>20190312161203134</v>
      </c>
      <c r="B7272" t="str">
        <f>"1552378323124144"</f>
        <v>1552378323124144</v>
      </c>
      <c r="C7272" t="s">
        <v>40</v>
      </c>
      <c r="D7272">
        <v>5.8522259999999999</v>
      </c>
      <c r="E7272">
        <v>0.53234859999999995</v>
      </c>
      <c r="F7272" t="s">
        <v>87</v>
      </c>
      <c r="G7272">
        <v>-180.3793</v>
      </c>
      <c r="H7272" s="1">
        <v>-3.5846400000000002E-6</v>
      </c>
      <c r="I7272">
        <v>123.134</v>
      </c>
      <c r="J7272">
        <v>-185.83260000000001</v>
      </c>
      <c r="K7272">
        <v>1.1089519999999999</v>
      </c>
      <c r="L7272">
        <v>111.532</v>
      </c>
      <c r="M7272">
        <v>0.162680399999999</v>
      </c>
      <c r="N7272">
        <v>0</v>
      </c>
      <c r="O7272">
        <v>0.98659490000000005</v>
      </c>
      <c r="P7272">
        <v>0.3446053</v>
      </c>
      <c r="Q7272">
        <v>-4.833324E-2</v>
      </c>
      <c r="R7272">
        <v>0.93750259999999996</v>
      </c>
      <c r="S7272">
        <v>1.267029</v>
      </c>
      <c r="T7272">
        <v>-0.25615389999999999</v>
      </c>
      <c r="U7272">
        <v>2.7215120000000002</v>
      </c>
      <c r="V7272">
        <v>0.1873977</v>
      </c>
      <c r="W7272">
        <v>-3.6179969999999999E-2</v>
      </c>
      <c r="X7272">
        <v>0.98161759999999998</v>
      </c>
      <c r="Y7272">
        <v>0.2673799</v>
      </c>
      <c r="Z7272">
        <v>-8.5777599999999996E-2</v>
      </c>
      <c r="AA7272">
        <v>0.95976570000000005</v>
      </c>
      <c r="AB7272">
        <v>18</v>
      </c>
      <c r="AC7272">
        <v>5.4533000000000103</v>
      </c>
      <c r="AD7272">
        <v>-1.1089555846400001</v>
      </c>
      <c r="AE7272">
        <v>11.601999999999901</v>
      </c>
      <c r="AF7272">
        <v>3.4671249105882498</v>
      </c>
      <c r="AG7272">
        <v>-1.1089555846400001</v>
      </c>
      <c r="AH7272">
        <v>12.2430265471063</v>
      </c>
      <c r="AI7272">
        <v>94.980815468079797</v>
      </c>
      <c r="AJ7272">
        <v>74.188312174290303</v>
      </c>
      <c r="AK7272">
        <v>12.772722367118</v>
      </c>
      <c r="AL7272">
        <v>92.073412096963906</v>
      </c>
      <c r="AM7272">
        <v>79.191883023274499</v>
      </c>
      <c r="AN7272">
        <v>1.0000000004121199</v>
      </c>
    </row>
    <row r="7273" spans="1:40" x14ac:dyDescent="0.25">
      <c r="A7273" t="str">
        <f>"20190312161203156"</f>
        <v>20190312161203156</v>
      </c>
      <c r="B7273" t="str">
        <f>"1552378323144640"</f>
        <v>1552378323144640</v>
      </c>
      <c r="C7273" t="s">
        <v>40</v>
      </c>
      <c r="D7273">
        <v>5.7097360000000004</v>
      </c>
      <c r="E7273">
        <v>0.5320085</v>
      </c>
      <c r="F7273" t="s">
        <v>87</v>
      </c>
      <c r="G7273">
        <v>-180.1842</v>
      </c>
      <c r="H7273" s="1">
        <v>-3.785601E-6</v>
      </c>
      <c r="I7273">
        <v>123.64</v>
      </c>
      <c r="J7273">
        <v>-185.8032</v>
      </c>
      <c r="K7273">
        <v>1.10894</v>
      </c>
      <c r="L7273">
        <v>111.696</v>
      </c>
      <c r="M7273">
        <v>0.16462360000000001</v>
      </c>
      <c r="N7273">
        <v>0</v>
      </c>
      <c r="O7273">
        <v>0.98627399999999998</v>
      </c>
      <c r="P7273">
        <v>0.34567170000000003</v>
      </c>
      <c r="Q7273">
        <v>-4.7481540000000003E-2</v>
      </c>
      <c r="R7273">
        <v>0.93715349999999997</v>
      </c>
      <c r="S7273">
        <v>1.26918</v>
      </c>
      <c r="T7273">
        <v>-0.24917719999999999</v>
      </c>
      <c r="U7273">
        <v>2.7206269999999999</v>
      </c>
      <c r="V7273">
        <v>0.1865762</v>
      </c>
      <c r="W7273">
        <v>-3.5431789999999998E-2</v>
      </c>
      <c r="X7273">
        <v>0.98180129999999999</v>
      </c>
      <c r="Y7273">
        <v>0.26630959999999998</v>
      </c>
      <c r="Z7273">
        <v>-8.3441810000000005E-2</v>
      </c>
      <c r="AA7273">
        <v>0.96026909999999999</v>
      </c>
      <c r="AB7273">
        <v>18</v>
      </c>
      <c r="AC7273">
        <v>5.6189999999999998</v>
      </c>
      <c r="AD7273">
        <v>-1.108943785601</v>
      </c>
      <c r="AE7273">
        <v>11.944000000000001</v>
      </c>
      <c r="AF7273">
        <v>3.5508378619605998</v>
      </c>
      <c r="AG7273">
        <v>-1.108943785601</v>
      </c>
      <c r="AH7273">
        <v>12.617057157456401</v>
      </c>
      <c r="AI7273">
        <v>94.836033860037105</v>
      </c>
      <c r="AJ7273">
        <v>74.281723461503304</v>
      </c>
      <c r="AK7273">
        <v>13.1540236108986</v>
      </c>
      <c r="AL7273">
        <v>92.030517153641</v>
      </c>
      <c r="AM7273">
        <v>79.240120537942502</v>
      </c>
      <c r="AN7273">
        <v>0.99999994141536497</v>
      </c>
    </row>
    <row r="7274" spans="1:40" x14ac:dyDescent="0.25">
      <c r="A7274" t="str">
        <f>"20190312161203190"</f>
        <v>20190312161203190</v>
      </c>
      <c r="B7274" t="str">
        <f>"1552378323184656"</f>
        <v>1552378323184656</v>
      </c>
      <c r="C7274" t="s">
        <v>40</v>
      </c>
      <c r="D7274">
        <v>5.9200429999999997</v>
      </c>
      <c r="E7274">
        <v>0.50899479999999997</v>
      </c>
      <c r="F7274" t="s">
        <v>87</v>
      </c>
      <c r="G7274">
        <v>-179.99599999999899</v>
      </c>
      <c r="H7274" s="1">
        <v>-3.9812869999999997E-6</v>
      </c>
      <c r="I7274">
        <v>124.1344</v>
      </c>
      <c r="J7274">
        <v>-185.75409999999999</v>
      </c>
      <c r="K7274">
        <v>1.10893</v>
      </c>
      <c r="L7274">
        <v>111.96599999999999</v>
      </c>
      <c r="M7274">
        <v>0.16780110000000001</v>
      </c>
      <c r="N7274">
        <v>0</v>
      </c>
      <c r="O7274">
        <v>0.98574070000000003</v>
      </c>
      <c r="P7274">
        <v>0.3478869</v>
      </c>
      <c r="Q7274">
        <v>-4.7074339999999999E-2</v>
      </c>
      <c r="R7274">
        <v>0.93635400000000002</v>
      </c>
      <c r="S7274">
        <v>1.2700959999999999</v>
      </c>
      <c r="T7274">
        <v>-0.24253749999999999</v>
      </c>
      <c r="U7274">
        <v>2.7204130000000002</v>
      </c>
      <c r="V7274">
        <v>0.1857328</v>
      </c>
      <c r="W7274">
        <v>-3.5193629999999997E-2</v>
      </c>
      <c r="X7274">
        <v>0.9819698</v>
      </c>
      <c r="Y7274">
        <v>0.26357619999999998</v>
      </c>
      <c r="Z7274">
        <v>-8.1199629999999995E-2</v>
      </c>
      <c r="AA7274">
        <v>0.96121500000000004</v>
      </c>
      <c r="AB7274">
        <v>18</v>
      </c>
      <c r="AC7274">
        <v>5.7581000000000104</v>
      </c>
      <c r="AD7274">
        <v>-1.108933981287</v>
      </c>
      <c r="AE7274">
        <v>12.168399999999901</v>
      </c>
      <c r="AF7274">
        <v>3.6099142379315401</v>
      </c>
      <c r="AG7274">
        <v>-1.108933981287</v>
      </c>
      <c r="AH7274">
        <v>12.874763426361101</v>
      </c>
      <c r="AI7274">
        <v>94.740921180579704</v>
      </c>
      <c r="AJ7274">
        <v>74.337202638705307</v>
      </c>
      <c r="AK7274">
        <v>13.417181099800301</v>
      </c>
      <c r="AL7274">
        <v>92.0168630035826</v>
      </c>
      <c r="AM7274">
        <v>79.2894271432735</v>
      </c>
      <c r="AN7274">
        <v>0.99999997635022797</v>
      </c>
    </row>
    <row r="7275" spans="1:40" x14ac:dyDescent="0.25">
      <c r="A7275" t="str">
        <f>"20190312161203212"</f>
        <v>20190312161203212</v>
      </c>
      <c r="B7275" t="str">
        <f>"1552378323204176"</f>
        <v>1552378323204176</v>
      </c>
      <c r="C7275" t="s">
        <v>40</v>
      </c>
      <c r="D7275">
        <v>5.7633809999999999</v>
      </c>
      <c r="E7275">
        <v>0.50782079999999996</v>
      </c>
      <c r="F7275" t="s">
        <v>87</v>
      </c>
      <c r="G7275">
        <v>-180.76650000000001</v>
      </c>
      <c r="H7275" s="1">
        <v>-3.9742300000000004E-6</v>
      </c>
      <c r="I7275">
        <v>124.5314</v>
      </c>
      <c r="J7275">
        <v>-185.72149999999999</v>
      </c>
      <c r="K7275">
        <v>1.108938</v>
      </c>
      <c r="L7275">
        <v>112.14239999999999</v>
      </c>
      <c r="M7275">
        <v>0.16984659999999999</v>
      </c>
      <c r="N7275">
        <v>0</v>
      </c>
      <c r="O7275">
        <v>0.98539169999999998</v>
      </c>
      <c r="P7275">
        <v>0.34898600000000002</v>
      </c>
      <c r="Q7275">
        <v>-4.6405290000000002E-2</v>
      </c>
      <c r="R7275">
        <v>0.93597830000000004</v>
      </c>
      <c r="S7275">
        <v>1.1040190000000001</v>
      </c>
      <c r="T7275">
        <v>-0.24546680000000001</v>
      </c>
      <c r="U7275">
        <v>2.7813870000000001</v>
      </c>
      <c r="V7275">
        <v>0.18484519999999999</v>
      </c>
      <c r="W7275">
        <v>-3.4621060000000002E-2</v>
      </c>
      <c r="X7275">
        <v>0.98215759999999996</v>
      </c>
      <c r="Y7275">
        <v>0.2044369</v>
      </c>
      <c r="Z7275">
        <v>-8.2006289999999996E-2</v>
      </c>
      <c r="AA7275">
        <v>0.97543869999999999</v>
      </c>
      <c r="AB7275">
        <v>18</v>
      </c>
      <c r="AC7275">
        <v>4.9549999999999796</v>
      </c>
      <c r="AD7275">
        <v>-1.10894197423</v>
      </c>
      <c r="AE7275">
        <v>12.388999999999999</v>
      </c>
      <c r="AF7275">
        <v>2.7595414664162101</v>
      </c>
      <c r="AG7275">
        <v>-1.10894197423</v>
      </c>
      <c r="AH7275">
        <v>12.961096482583301</v>
      </c>
      <c r="AI7275">
        <v>94.783570585442106</v>
      </c>
      <c r="AJ7275">
        <v>77.980649864899206</v>
      </c>
      <c r="AK7275">
        <v>13.2979262833689</v>
      </c>
      <c r="AL7275">
        <v>91.984037187693701</v>
      </c>
      <c r="AM7275">
        <v>79.341427829228195</v>
      </c>
      <c r="AN7275">
        <v>0.99999995849816004</v>
      </c>
    </row>
    <row r="7276" spans="1:40" x14ac:dyDescent="0.25">
      <c r="A7276" t="str">
        <f>"20190312161203235"</f>
        <v>20190312161203235</v>
      </c>
      <c r="B7276" t="str">
        <f>"1552378323224674"</f>
        <v>1552378323224674</v>
      </c>
      <c r="C7276" t="s">
        <v>40</v>
      </c>
      <c r="D7276">
        <v>5.8144770000000001</v>
      </c>
      <c r="E7276">
        <v>0.5074128</v>
      </c>
      <c r="F7276" t="s">
        <v>87</v>
      </c>
      <c r="G7276">
        <v>-180.73929999999999</v>
      </c>
      <c r="H7276" s="1">
        <v>-4.0635570000000002E-6</v>
      </c>
      <c r="I7276">
        <v>124.7664</v>
      </c>
      <c r="J7276">
        <v>-185.6875</v>
      </c>
      <c r="K7276">
        <v>1.1089500000000001</v>
      </c>
      <c r="L7276">
        <v>112.325</v>
      </c>
      <c r="M7276">
        <v>0.1719271</v>
      </c>
      <c r="N7276">
        <v>0</v>
      </c>
      <c r="O7276">
        <v>0.98503220000000002</v>
      </c>
      <c r="P7276">
        <v>0.35049609999999998</v>
      </c>
      <c r="Q7276">
        <v>-4.5514590000000001E-2</v>
      </c>
      <c r="R7276">
        <v>0.9354576</v>
      </c>
      <c r="S7276">
        <v>1.0985259999999999</v>
      </c>
      <c r="T7276">
        <v>-0.2445127</v>
      </c>
      <c r="U7276">
        <v>2.783493</v>
      </c>
      <c r="V7276">
        <v>0.18435299999999999</v>
      </c>
      <c r="W7276">
        <v>-3.3822110000000002E-2</v>
      </c>
      <c r="X7276">
        <v>0.98227799999999998</v>
      </c>
      <c r="Y7276">
        <v>0.20046159999999999</v>
      </c>
      <c r="Z7276">
        <v>-8.1650780000000006E-2</v>
      </c>
      <c r="AA7276">
        <v>0.97629310000000002</v>
      </c>
      <c r="AB7276">
        <v>18</v>
      </c>
      <c r="AC7276">
        <v>4.9482000000000097</v>
      </c>
      <c r="AD7276">
        <v>-1.1089540635570001</v>
      </c>
      <c r="AE7276">
        <v>12.4414</v>
      </c>
      <c r="AF7276">
        <v>2.71669526759112</v>
      </c>
      <c r="AG7276">
        <v>-1.1089540635570001</v>
      </c>
      <c r="AH7276">
        <v>13.0176113180458</v>
      </c>
      <c r="AI7276">
        <v>94.766986256080699</v>
      </c>
      <c r="AJ7276">
        <v>78.211916307046593</v>
      </c>
      <c r="AK7276">
        <v>13.3442278427695</v>
      </c>
      <c r="AL7276">
        <v>91.938233780682395</v>
      </c>
      <c r="AM7276">
        <v>79.370434754111699</v>
      </c>
      <c r="AN7276">
        <v>1.00000001650892</v>
      </c>
    </row>
    <row r="7277" spans="1:40" x14ac:dyDescent="0.25">
      <c r="A7277" t="str">
        <f>"20190312161203257"</f>
        <v>20190312161203257</v>
      </c>
      <c r="B7277" t="str">
        <f>"1552378323244192"</f>
        <v>1552378323244192</v>
      </c>
      <c r="C7277" t="s">
        <v>40</v>
      </c>
      <c r="D7277">
        <v>5.7620889999999996</v>
      </c>
      <c r="E7277">
        <v>0.50719929999999902</v>
      </c>
      <c r="F7277" t="s">
        <v>87</v>
      </c>
      <c r="G7277">
        <v>-180.59970000000001</v>
      </c>
      <c r="H7277" s="1">
        <v>-4.1948570000000001E-6</v>
      </c>
      <c r="I7277">
        <v>125.19710000000001</v>
      </c>
      <c r="J7277">
        <v>-185.65530000000001</v>
      </c>
      <c r="K7277">
        <v>1.1089819999999999</v>
      </c>
      <c r="L7277">
        <v>112.49590000000001</v>
      </c>
      <c r="M7277">
        <v>0.1738152</v>
      </c>
      <c r="N7277">
        <v>0</v>
      </c>
      <c r="O7277">
        <v>0.98470199999999997</v>
      </c>
      <c r="P7277">
        <v>0.35197040000000002</v>
      </c>
      <c r="Q7277">
        <v>-4.4456120000000002E-2</v>
      </c>
      <c r="R7277">
        <v>0.93495479999999997</v>
      </c>
      <c r="S7277">
        <v>1.100052</v>
      </c>
      <c r="T7277">
        <v>-0.23977409999999999</v>
      </c>
      <c r="U7277">
        <v>2.7831730000000001</v>
      </c>
      <c r="V7277">
        <v>0.18401500000000001</v>
      </c>
      <c r="W7277">
        <v>-3.2844020000000002E-2</v>
      </c>
      <c r="X7277">
        <v>0.98237450000000004</v>
      </c>
      <c r="Y7277">
        <v>0.199133</v>
      </c>
      <c r="Z7277">
        <v>-8.0050769999999993E-2</v>
      </c>
      <c r="AA7277">
        <v>0.97669740000000005</v>
      </c>
      <c r="AB7277">
        <v>18</v>
      </c>
      <c r="AC7277">
        <v>5.0555999999999903</v>
      </c>
      <c r="AD7277">
        <v>-1.1089861948569999</v>
      </c>
      <c r="AE7277">
        <v>12.7012</v>
      </c>
      <c r="AF7277">
        <v>2.7526905775656698</v>
      </c>
      <c r="AG7277">
        <v>-1.1089861948569999</v>
      </c>
      <c r="AH7277">
        <v>13.2991216312193</v>
      </c>
      <c r="AI7277">
        <v>94.668249700586003</v>
      </c>
      <c r="AJ7277">
        <v>78.305887364474302</v>
      </c>
      <c r="AK7277">
        <v>13.6262170817203</v>
      </c>
      <c r="AL7277">
        <v>91.882162308918495</v>
      </c>
      <c r="AM7277">
        <v>79.390499118607195</v>
      </c>
      <c r="AN7277">
        <v>0.99999995406250397</v>
      </c>
    </row>
    <row r="7278" spans="1:40" x14ac:dyDescent="0.25">
      <c r="A7278" t="str">
        <f>"20190312161203301"</f>
        <v>20190312161203301</v>
      </c>
      <c r="B7278" t="str">
        <f>"1552378323294944"</f>
        <v>1552378323294944</v>
      </c>
      <c r="C7278" t="s">
        <v>40</v>
      </c>
      <c r="D7278">
        <v>5.7464779999999998</v>
      </c>
      <c r="E7278">
        <v>0.50693980000000005</v>
      </c>
      <c r="F7278" t="s">
        <v>87</v>
      </c>
      <c r="G7278">
        <v>-180.5264</v>
      </c>
      <c r="H7278" s="1">
        <v>-4.2669029999999996E-6</v>
      </c>
      <c r="I7278">
        <v>125.43519999999999</v>
      </c>
      <c r="J7278">
        <v>-185.58930000000001</v>
      </c>
      <c r="K7278">
        <v>1.1091</v>
      </c>
      <c r="L7278">
        <v>112.84269999999999</v>
      </c>
      <c r="M7278">
        <v>0.177345</v>
      </c>
      <c r="N7278">
        <v>0</v>
      </c>
      <c r="O7278">
        <v>0.98407509999999998</v>
      </c>
      <c r="P7278">
        <v>0.35487229999999997</v>
      </c>
      <c r="Q7278">
        <v>-4.2256490000000001E-2</v>
      </c>
      <c r="R7278">
        <v>0.93395930000000005</v>
      </c>
      <c r="S7278">
        <v>1.102814</v>
      </c>
      <c r="T7278">
        <v>-0.2384559</v>
      </c>
      <c r="U7278">
        <v>2.7822269999999998</v>
      </c>
      <c r="V7278">
        <v>0.1835406</v>
      </c>
      <c r="W7278">
        <v>-3.0790399999999999E-2</v>
      </c>
      <c r="X7278">
        <v>0.98252980000000001</v>
      </c>
      <c r="Y7278">
        <v>0.19658500000000001</v>
      </c>
      <c r="Z7278">
        <v>-7.9569650000000006E-2</v>
      </c>
      <c r="AA7278">
        <v>0.97725280000000003</v>
      </c>
      <c r="AB7278">
        <v>18</v>
      </c>
      <c r="AC7278">
        <v>5.0629000000000097</v>
      </c>
      <c r="AD7278">
        <v>-1.109104266903</v>
      </c>
      <c r="AE7278">
        <v>12.592499999999999</v>
      </c>
      <c r="AF7278">
        <v>2.7310184590245701</v>
      </c>
      <c r="AG7278">
        <v>-1.109104266903</v>
      </c>
      <c r="AH7278">
        <v>13.2026418833746</v>
      </c>
      <c r="AI7278">
        <v>94.702829202970406</v>
      </c>
      <c r="AJ7278">
        <v>78.312972233417</v>
      </c>
      <c r="AK7278">
        <v>13.5276874150401</v>
      </c>
      <c r="AL7278">
        <v>91.764438832638504</v>
      </c>
      <c r="AM7278">
        <v>79.418867277833201</v>
      </c>
      <c r="AN7278">
        <v>1.00000000423428</v>
      </c>
    </row>
    <row r="7279" spans="1:40" x14ac:dyDescent="0.25">
      <c r="A7279" t="str">
        <f>"20190312161203345"</f>
        <v>20190312161203345</v>
      </c>
      <c r="B7279" t="str">
        <f>"1552378323334959"</f>
        <v>1552378323334959</v>
      </c>
      <c r="C7279" t="s">
        <v>40</v>
      </c>
      <c r="D7279">
        <v>5.8680209999999997</v>
      </c>
      <c r="E7279">
        <v>0.50670400000000004</v>
      </c>
      <c r="F7279" t="s">
        <v>87</v>
      </c>
      <c r="G7279">
        <v>-180.36279999999999</v>
      </c>
      <c r="H7279" s="1">
        <v>-4.4206679999999998E-6</v>
      </c>
      <c r="I7279">
        <v>125.9396</v>
      </c>
      <c r="J7279">
        <v>-185.5214</v>
      </c>
      <c r="K7279">
        <v>1.109297</v>
      </c>
      <c r="L7279">
        <v>113.196</v>
      </c>
      <c r="M7279">
        <v>0.18034339999999999</v>
      </c>
      <c r="N7279">
        <v>0</v>
      </c>
      <c r="O7279">
        <v>0.98353239999999997</v>
      </c>
      <c r="P7279">
        <v>0.35728700000000002</v>
      </c>
      <c r="Q7279">
        <v>-4.1404509999999999E-2</v>
      </c>
      <c r="R7279">
        <v>0.93307640000000003</v>
      </c>
      <c r="S7279">
        <v>1.109375</v>
      </c>
      <c r="T7279">
        <v>-0.23542060000000001</v>
      </c>
      <c r="U7279">
        <v>2.7799680000000002</v>
      </c>
      <c r="V7279">
        <v>0.18309819999999999</v>
      </c>
      <c r="W7279">
        <v>-3.00354E-2</v>
      </c>
      <c r="X7279">
        <v>0.9826357</v>
      </c>
      <c r="Y7279">
        <v>0.19589129999999999</v>
      </c>
      <c r="Z7279">
        <v>-7.8530100000000005E-2</v>
      </c>
      <c r="AA7279">
        <v>0.97747609999999996</v>
      </c>
      <c r="AB7279">
        <v>18</v>
      </c>
      <c r="AC7279">
        <v>5.1585999999999999</v>
      </c>
      <c r="AD7279">
        <v>-1.1093014206680001</v>
      </c>
      <c r="AE7279">
        <v>12.743600000000001</v>
      </c>
      <c r="AF7279">
        <v>2.7576670253366302</v>
      </c>
      <c r="AG7279">
        <v>-1.1093014206680001</v>
      </c>
      <c r="AH7279">
        <v>13.377910736814799</v>
      </c>
      <c r="AI7279">
        <v>94.642965551006398</v>
      </c>
      <c r="AJ7279">
        <v>78.352432902349406</v>
      </c>
      <c r="AK7279">
        <v>13.7041516609643</v>
      </c>
      <c r="AL7279">
        <v>91.721160510184603</v>
      </c>
      <c r="AM7279">
        <v>79.444909849802102</v>
      </c>
      <c r="AN7279">
        <v>0.99999999750544499</v>
      </c>
    </row>
    <row r="7280" spans="1:40" x14ac:dyDescent="0.25">
      <c r="A7280" t="str">
        <f>"20190312161203368"</f>
        <v>20190312161203368</v>
      </c>
      <c r="B7280" t="str">
        <f>"1552378323354480"</f>
        <v>1552378323354480</v>
      </c>
      <c r="C7280" t="s">
        <v>40</v>
      </c>
      <c r="D7280">
        <v>5.871086</v>
      </c>
      <c r="E7280">
        <v>0.50650099999999998</v>
      </c>
      <c r="F7280" t="s">
        <v>87</v>
      </c>
      <c r="G7280">
        <v>-180.2398</v>
      </c>
      <c r="H7280" s="1">
        <v>-4.5474400000000001E-6</v>
      </c>
      <c r="I7280">
        <v>126.3617</v>
      </c>
      <c r="J7280">
        <v>-185.4881</v>
      </c>
      <c r="K7280">
        <v>1.1094010000000001</v>
      </c>
      <c r="L7280">
        <v>113.3691</v>
      </c>
      <c r="M7280">
        <v>0.18156040000000001</v>
      </c>
      <c r="N7280">
        <v>0</v>
      </c>
      <c r="O7280">
        <v>0.9833094</v>
      </c>
      <c r="P7280">
        <v>0.35809299999999999</v>
      </c>
      <c r="Q7280">
        <v>-4.1811559999999998E-2</v>
      </c>
      <c r="R7280">
        <v>0.9327493</v>
      </c>
      <c r="S7280">
        <v>1.1144559999999999</v>
      </c>
      <c r="T7280">
        <v>-0.23406920000000001</v>
      </c>
      <c r="U7280">
        <v>2.7780459999999998</v>
      </c>
      <c r="V7280">
        <v>0.18274180000000001</v>
      </c>
      <c r="W7280">
        <v>-3.0475249999999999E-2</v>
      </c>
      <c r="X7280">
        <v>0.98268849999999996</v>
      </c>
      <c r="Y7280">
        <v>0.19646530000000001</v>
      </c>
      <c r="Z7280">
        <v>-7.8075539999999999E-2</v>
      </c>
      <c r="AA7280">
        <v>0.97739739999999997</v>
      </c>
      <c r="AB7280">
        <v>18</v>
      </c>
      <c r="AC7280">
        <v>5.2483000000000004</v>
      </c>
      <c r="AD7280">
        <v>-1.10940554744</v>
      </c>
      <c r="AE7280">
        <v>12.9925999999999</v>
      </c>
      <c r="AF7280">
        <v>2.7845011531266599</v>
      </c>
      <c r="AG7280">
        <v>-1.10940554744</v>
      </c>
      <c r="AH7280">
        <v>13.6440555608333</v>
      </c>
      <c r="AI7280">
        <v>94.555042229014205</v>
      </c>
      <c r="AJ7280">
        <v>78.465379272730601</v>
      </c>
      <c r="AK7280">
        <v>13.9694122813939</v>
      </c>
      <c r="AL7280">
        <v>91.746373602117899</v>
      </c>
      <c r="AM7280">
        <v>79.465548288349694</v>
      </c>
      <c r="AN7280">
        <v>0.99999999718102595</v>
      </c>
    </row>
    <row r="7281" spans="1:40" x14ac:dyDescent="0.25">
      <c r="A7281" t="str">
        <f>"20190312161203389"</f>
        <v>20190312161203389</v>
      </c>
      <c r="B7281" t="str">
        <f>"1552378323384737"</f>
        <v>1552378323384737</v>
      </c>
      <c r="C7281" t="s">
        <v>40</v>
      </c>
      <c r="D7281">
        <v>5.8651710000000001</v>
      </c>
      <c r="E7281">
        <v>0.5064206</v>
      </c>
      <c r="F7281" t="s">
        <v>87</v>
      </c>
      <c r="G7281">
        <v>-180.24019999999999</v>
      </c>
      <c r="H7281" s="1">
        <v>-4.5678770000000003E-6</v>
      </c>
      <c r="I7281">
        <v>126.44070000000001</v>
      </c>
      <c r="J7281">
        <v>-185.4547</v>
      </c>
      <c r="K7281">
        <v>1.1094900000000001</v>
      </c>
      <c r="L7281">
        <v>113.542</v>
      </c>
      <c r="M7281">
        <v>0.1826112</v>
      </c>
      <c r="N7281">
        <v>0</v>
      </c>
      <c r="O7281">
        <v>0.98311579999999998</v>
      </c>
      <c r="P7281">
        <v>0.35910019999999998</v>
      </c>
      <c r="Q7281">
        <v>-4.1892289999999999E-2</v>
      </c>
      <c r="R7281">
        <v>0.93235840000000003</v>
      </c>
      <c r="S7281">
        <v>1.1151279999999999</v>
      </c>
      <c r="T7281">
        <v>-0.2357409</v>
      </c>
      <c r="U7281">
        <v>2.7776179999999999</v>
      </c>
      <c r="V7281">
        <v>0.18276039999999999</v>
      </c>
      <c r="W7281">
        <v>-3.0592689999999999E-2</v>
      </c>
      <c r="X7281">
        <v>0.98268140000000004</v>
      </c>
      <c r="Y7281">
        <v>0.19565689999999999</v>
      </c>
      <c r="Z7281">
        <v>-7.8620609999999994E-2</v>
      </c>
      <c r="AA7281">
        <v>0.97751580000000005</v>
      </c>
      <c r="AB7281">
        <v>18</v>
      </c>
      <c r="AC7281">
        <v>5.2145000000000099</v>
      </c>
      <c r="AD7281">
        <v>-1.1094945678769901</v>
      </c>
      <c r="AE7281">
        <v>12.8987</v>
      </c>
      <c r="AF7281">
        <v>2.7536874832749199</v>
      </c>
      <c r="AG7281">
        <v>-1.1094945678769901</v>
      </c>
      <c r="AH7281">
        <v>13.5479152704926</v>
      </c>
      <c r="AI7281">
        <v>94.588333395462996</v>
      </c>
      <c r="AJ7281">
        <v>78.510831293391902</v>
      </c>
      <c r="AK7281">
        <v>13.869382867602299</v>
      </c>
      <c r="AL7281">
        <v>91.753105543339501</v>
      </c>
      <c r="AM7281">
        <v>79.464425649708204</v>
      </c>
      <c r="AN7281">
        <v>1.00000000519777</v>
      </c>
    </row>
    <row r="7282" spans="1:40" x14ac:dyDescent="0.25">
      <c r="A7282" t="str">
        <f>"20190312161203413"</f>
        <v>20190312161203413</v>
      </c>
      <c r="B7282" t="str">
        <f>"1552378323404256"</f>
        <v>1552378323404256</v>
      </c>
      <c r="C7282" t="s">
        <v>40</v>
      </c>
      <c r="D7282">
        <v>5.871543</v>
      </c>
      <c r="E7282">
        <v>0.50623569999999996</v>
      </c>
      <c r="F7282" t="s">
        <v>87</v>
      </c>
      <c r="G7282">
        <v>-180.256</v>
      </c>
      <c r="H7282" s="1">
        <v>-4.5709870000000002E-6</v>
      </c>
      <c r="I7282">
        <v>126.4611</v>
      </c>
      <c r="J7282">
        <v>-185.41929999999999</v>
      </c>
      <c r="K7282">
        <v>1.1095809999999999</v>
      </c>
      <c r="L7282">
        <v>113.7259</v>
      </c>
      <c r="M7282">
        <v>0.1835241</v>
      </c>
      <c r="N7282">
        <v>0</v>
      </c>
      <c r="O7282">
        <v>0.98294680000000001</v>
      </c>
      <c r="P7282">
        <v>0.35961779999999999</v>
      </c>
      <c r="Q7282">
        <v>-4.0990529999999997E-2</v>
      </c>
      <c r="R7282">
        <v>0.93219890000000005</v>
      </c>
      <c r="S7282">
        <v>1.11731</v>
      </c>
      <c r="T7282">
        <v>-0.2384551</v>
      </c>
      <c r="U7282">
        <v>2.7765960000000001</v>
      </c>
      <c r="V7282">
        <v>0.18239430000000001</v>
      </c>
      <c r="W7282">
        <v>-2.972677E-2</v>
      </c>
      <c r="X7282">
        <v>0.98277599999999998</v>
      </c>
      <c r="Y7282">
        <v>0.19550519999999999</v>
      </c>
      <c r="Z7282">
        <v>-7.9516409999999996E-2</v>
      </c>
      <c r="AA7282">
        <v>0.9774737</v>
      </c>
      <c r="AB7282">
        <v>18</v>
      </c>
      <c r="AC7282">
        <v>5.16330000000002</v>
      </c>
      <c r="AD7282">
        <v>-1.1095855709869999</v>
      </c>
      <c r="AE7282">
        <v>12.735200000000001</v>
      </c>
      <c r="AF7282">
        <v>2.7204809844979798</v>
      </c>
      <c r="AG7282">
        <v>-1.1095855709869999</v>
      </c>
      <c r="AH7282">
        <v>13.379293007288901</v>
      </c>
      <c r="AI7282">
        <v>94.646217004093401</v>
      </c>
      <c r="AJ7282">
        <v>78.506443738026903</v>
      </c>
      <c r="AK7282">
        <v>13.6980903158523</v>
      </c>
      <c r="AL7282">
        <v>91.703469386015399</v>
      </c>
      <c r="AM7282">
        <v>79.486048626919697</v>
      </c>
      <c r="AN7282">
        <v>1.0000000138515599</v>
      </c>
    </row>
    <row r="7283" spans="1:40" x14ac:dyDescent="0.25">
      <c r="A7283" t="str">
        <f>"20190312161203436"</f>
        <v>20190312161203436</v>
      </c>
      <c r="B7283" t="str">
        <f>"1552378323424752"</f>
        <v>1552378323424752</v>
      </c>
      <c r="C7283" t="s">
        <v>40</v>
      </c>
      <c r="D7283">
        <v>5.8505260000000003</v>
      </c>
      <c r="E7283">
        <v>0.50617159999999894</v>
      </c>
      <c r="F7283" t="s">
        <v>87</v>
      </c>
      <c r="G7283">
        <v>-180.18620000000001</v>
      </c>
      <c r="H7283" s="1">
        <v>-4.650232E-6</v>
      </c>
      <c r="I7283">
        <v>126.72880000000001</v>
      </c>
      <c r="J7283">
        <v>-185.38380000000001</v>
      </c>
      <c r="K7283">
        <v>1.1096839999999999</v>
      </c>
      <c r="L7283">
        <v>113.91</v>
      </c>
      <c r="M7283">
        <v>0.18421680000000001</v>
      </c>
      <c r="N7283">
        <v>0</v>
      </c>
      <c r="O7283">
        <v>0.98281810000000003</v>
      </c>
      <c r="P7283">
        <v>0.36002400000000001</v>
      </c>
      <c r="Q7283">
        <v>-4.112743E-2</v>
      </c>
      <c r="R7283">
        <v>0.93203610000000003</v>
      </c>
      <c r="S7283">
        <v>1.1174930000000001</v>
      </c>
      <c r="T7283">
        <v>-0.2369455</v>
      </c>
      <c r="U7283">
        <v>2.776688</v>
      </c>
      <c r="V7283">
        <v>0.1821392</v>
      </c>
      <c r="W7283">
        <v>-2.9889880000000001E-2</v>
      </c>
      <c r="X7283">
        <v>0.98281839999999998</v>
      </c>
      <c r="Y7283">
        <v>0.19487389999999999</v>
      </c>
      <c r="Z7283">
        <v>-7.9002530000000001E-2</v>
      </c>
      <c r="AA7283">
        <v>0.97764139999999999</v>
      </c>
      <c r="AB7283">
        <v>18</v>
      </c>
      <c r="AC7283">
        <v>5.1975999999999898</v>
      </c>
      <c r="AD7283">
        <v>-1.109688650232</v>
      </c>
      <c r="AE7283">
        <v>12.8188</v>
      </c>
      <c r="AF7283">
        <v>2.72947298194378</v>
      </c>
      <c r="AG7283">
        <v>-1.109688650232</v>
      </c>
      <c r="AH7283">
        <v>13.470241706702099</v>
      </c>
      <c r="AI7283">
        <v>94.616041350127205</v>
      </c>
      <c r="AJ7283">
        <v>78.545257427697194</v>
      </c>
      <c r="AK7283">
        <v>13.7887215976171</v>
      </c>
      <c r="AL7283">
        <v>91.7128189928289</v>
      </c>
      <c r="AM7283">
        <v>79.500869297625698</v>
      </c>
      <c r="AN7283">
        <v>1.0000000502408</v>
      </c>
    </row>
    <row r="7284" spans="1:40" x14ac:dyDescent="0.25">
      <c r="A7284" t="str">
        <f>"20190312161203458"</f>
        <v>20190312161203458</v>
      </c>
      <c r="B7284" t="str">
        <f>"1552378323444274"</f>
        <v>1552378323444274</v>
      </c>
      <c r="C7284" t="s">
        <v>40</v>
      </c>
      <c r="D7284">
        <v>5.8641110000000003</v>
      </c>
      <c r="E7284">
        <v>0.50619139999999996</v>
      </c>
      <c r="F7284" t="s">
        <v>87</v>
      </c>
      <c r="G7284">
        <v>-180.1754</v>
      </c>
      <c r="H7284" s="1">
        <v>-4.6814179999999998E-6</v>
      </c>
      <c r="I7284">
        <v>126.84310000000001</v>
      </c>
      <c r="J7284">
        <v>-185.35</v>
      </c>
      <c r="K7284">
        <v>1.1097900000000001</v>
      </c>
      <c r="L7284">
        <v>114.0866</v>
      </c>
      <c r="M7284">
        <v>0.1846661</v>
      </c>
      <c r="N7284">
        <v>0</v>
      </c>
      <c r="O7284">
        <v>0.98273460000000001</v>
      </c>
      <c r="P7284">
        <v>0.3600913</v>
      </c>
      <c r="Q7284">
        <v>-4.2064890000000001E-2</v>
      </c>
      <c r="R7284">
        <v>0.93196829999999997</v>
      </c>
      <c r="S7284">
        <v>1.1181030000000001</v>
      </c>
      <c r="T7284">
        <v>-0.2382196</v>
      </c>
      <c r="U7284">
        <v>2.776367</v>
      </c>
      <c r="V7284">
        <v>0.18177750000000001</v>
      </c>
      <c r="W7284">
        <v>-3.084046E-2</v>
      </c>
      <c r="X7284">
        <v>0.98285599999999995</v>
      </c>
      <c r="Y7284">
        <v>0.194637</v>
      </c>
      <c r="Z7284">
        <v>-7.9421640000000002E-2</v>
      </c>
      <c r="AA7284">
        <v>0.97765460000000004</v>
      </c>
      <c r="AB7284">
        <v>18</v>
      </c>
      <c r="AC7284">
        <v>5.1745999999999901</v>
      </c>
      <c r="AD7284">
        <v>-1.109794681418</v>
      </c>
      <c r="AE7284">
        <v>12.756500000000001</v>
      </c>
      <c r="AF7284">
        <v>2.7121175423308399</v>
      </c>
      <c r="AG7284">
        <v>-1.109794681418</v>
      </c>
      <c r="AH7284">
        <v>13.4055852295827</v>
      </c>
      <c r="AI7284">
        <v>94.638934384966603</v>
      </c>
      <c r="AJ7284">
        <v>78.562723564844902</v>
      </c>
      <c r="AK7284">
        <v>13.722133257840399</v>
      </c>
      <c r="AL7284">
        <v>91.7673083322031</v>
      </c>
      <c r="AM7284">
        <v>79.521648660405702</v>
      </c>
      <c r="AN7284">
        <v>1.00000005510762</v>
      </c>
    </row>
    <row r="7285" spans="1:40" x14ac:dyDescent="0.25">
      <c r="A7285" t="str">
        <f>"20190312161203491"</f>
        <v>20190312161203491</v>
      </c>
      <c r="B7285" t="str">
        <f>"1552378323484288"</f>
        <v>1552378323484288</v>
      </c>
      <c r="C7285" t="s">
        <v>40</v>
      </c>
      <c r="D7285">
        <v>5.932296</v>
      </c>
      <c r="E7285">
        <v>0.4839002</v>
      </c>
      <c r="F7285" t="s">
        <v>87</v>
      </c>
      <c r="G7285">
        <v>-180.23099999999999</v>
      </c>
      <c r="H7285" s="1">
        <v>-4.6618879999999999E-6</v>
      </c>
      <c r="I7285">
        <v>126.79770000000001</v>
      </c>
      <c r="J7285">
        <v>-185.30119999999999</v>
      </c>
      <c r="K7285">
        <v>1.109972</v>
      </c>
      <c r="L7285">
        <v>114.3429</v>
      </c>
      <c r="M7285">
        <v>0.1849314</v>
      </c>
      <c r="N7285">
        <v>0</v>
      </c>
      <c r="O7285">
        <v>0.9826857</v>
      </c>
      <c r="P7285">
        <v>0.3593423</v>
      </c>
      <c r="Q7285">
        <v>-4.2692519999999998E-2</v>
      </c>
      <c r="R7285">
        <v>0.93222870000000002</v>
      </c>
      <c r="S7285">
        <v>1.1179809999999999</v>
      </c>
      <c r="T7285">
        <v>-0.24237919999999999</v>
      </c>
      <c r="U7285">
        <v>2.7760929999999999</v>
      </c>
      <c r="V7285">
        <v>0.18074319999999999</v>
      </c>
      <c r="W7285">
        <v>-3.1473969999999997E-2</v>
      </c>
      <c r="X7285">
        <v>0.98302659999999997</v>
      </c>
      <c r="Y7285">
        <v>0.1943269</v>
      </c>
      <c r="Z7285">
        <v>-8.0803459999999994E-2</v>
      </c>
      <c r="AA7285">
        <v>0.97760309999999995</v>
      </c>
      <c r="AB7285">
        <v>18</v>
      </c>
      <c r="AC7285">
        <v>5.0701999999999998</v>
      </c>
      <c r="AD7285">
        <v>-1.109976661888</v>
      </c>
      <c r="AE7285">
        <v>12.454800000000001</v>
      </c>
      <c r="AF7285">
        <v>2.66117106615263</v>
      </c>
      <c r="AG7285">
        <v>-1.109976661888</v>
      </c>
      <c r="AH7285">
        <v>13.0884681870308</v>
      </c>
      <c r="AI7285">
        <v>94.750667064328695</v>
      </c>
      <c r="AJ7285">
        <v>78.507179401884301</v>
      </c>
      <c r="AK7285">
        <v>13.4023087233574</v>
      </c>
      <c r="AL7285">
        <v>91.803623500306202</v>
      </c>
      <c r="AM7285">
        <v>79.581728864971197</v>
      </c>
      <c r="AN7285">
        <v>1.0000000057206799</v>
      </c>
    </row>
    <row r="7286" spans="1:40" x14ac:dyDescent="0.25">
      <c r="A7286" t="str">
        <f>"20190312161203515"</f>
        <v>20190312161203515</v>
      </c>
      <c r="B7286" t="str">
        <f>"1552378323504788"</f>
        <v>1552378323504788</v>
      </c>
      <c r="C7286" t="s">
        <v>40</v>
      </c>
      <c r="D7286">
        <v>5.9063160000000003</v>
      </c>
      <c r="E7286">
        <v>0.48198249999999998</v>
      </c>
      <c r="F7286" t="s">
        <v>42</v>
      </c>
      <c r="G7286">
        <v>-185.03540000000001</v>
      </c>
      <c r="H7286">
        <v>1.0352030000000001</v>
      </c>
      <c r="I7286">
        <v>115.1396</v>
      </c>
      <c r="J7286">
        <v>-185.26509999999999</v>
      </c>
      <c r="K7286">
        <v>1.1101019999999999</v>
      </c>
      <c r="L7286">
        <v>114.5347</v>
      </c>
      <c r="M7286">
        <v>0.1848418</v>
      </c>
      <c r="N7286">
        <v>0</v>
      </c>
      <c r="O7286">
        <v>0.9827034</v>
      </c>
      <c r="P7286">
        <v>0.35840129999999998</v>
      </c>
      <c r="Q7286">
        <v>-4.2617719999999998E-2</v>
      </c>
      <c r="R7286">
        <v>0.93259440000000005</v>
      </c>
      <c r="S7286">
        <v>0.94781490000000002</v>
      </c>
      <c r="T7286">
        <v>-0.26660489999999998</v>
      </c>
      <c r="U7286">
        <v>2.8405459999999998</v>
      </c>
      <c r="V7286">
        <v>0.17985139999999999</v>
      </c>
      <c r="W7286">
        <v>-3.1402140000000002E-2</v>
      </c>
      <c r="X7286">
        <v>0.98319239999999997</v>
      </c>
      <c r="Y7286">
        <v>0.13446</v>
      </c>
      <c r="Z7286">
        <v>-8.8267670000000006E-2</v>
      </c>
      <c r="AA7286">
        <v>0.98697990000000002</v>
      </c>
      <c r="AB7286">
        <v>18</v>
      </c>
      <c r="AC7286">
        <v>0.229699999999979</v>
      </c>
      <c r="AD7286">
        <v>-7.4898999999999993E-2</v>
      </c>
      <c r="AE7286">
        <v>0.60489999999999999</v>
      </c>
      <c r="AF7286">
        <v>0.112417113080505</v>
      </c>
      <c r="AG7286">
        <v>-7.4898999999999993E-2</v>
      </c>
      <c r="AH7286">
        <v>0.62851437179877501</v>
      </c>
      <c r="AI7286">
        <v>96.690600104269393</v>
      </c>
      <c r="AJ7286">
        <v>79.859214948124801</v>
      </c>
      <c r="AK7286">
        <v>0.64286684707796504</v>
      </c>
      <c r="AL7286">
        <v>91.799505995165305</v>
      </c>
      <c r="AM7286">
        <v>79.633726358163003</v>
      </c>
      <c r="AN7286">
        <v>0.999999957948148</v>
      </c>
    </row>
    <row r="7287" spans="1:40" x14ac:dyDescent="0.25">
      <c r="A7287" t="str">
        <f>"20190312161203536"</f>
        <v>20190312161203536</v>
      </c>
      <c r="B7287" t="str">
        <f>"1552378323524304"</f>
        <v>1552378323524304</v>
      </c>
      <c r="C7287" t="s">
        <v>40</v>
      </c>
      <c r="D7287">
        <v>5.9264489999999999</v>
      </c>
      <c r="E7287">
        <v>0.48202830000000002</v>
      </c>
      <c r="F7287" t="s">
        <v>42</v>
      </c>
      <c r="G7287">
        <v>-185.01480000000001</v>
      </c>
      <c r="H7287">
        <v>1.0364640000000001</v>
      </c>
      <c r="I7287">
        <v>115.3004</v>
      </c>
      <c r="J7287">
        <v>-185.23419999999999</v>
      </c>
      <c r="K7287">
        <v>1.1101909999999999</v>
      </c>
      <c r="L7287">
        <v>114.6999</v>
      </c>
      <c r="M7287">
        <v>0.1845801</v>
      </c>
      <c r="N7287">
        <v>0</v>
      </c>
      <c r="O7287">
        <v>0.98275319999999999</v>
      </c>
      <c r="P7287">
        <v>0.35680529999999999</v>
      </c>
      <c r="Q7287">
        <v>-4.2526689999999999E-2</v>
      </c>
      <c r="R7287">
        <v>0.93321030000000005</v>
      </c>
      <c r="S7287">
        <v>0.93014529999999995</v>
      </c>
      <c r="T7287">
        <v>-0.27382499999999999</v>
      </c>
      <c r="U7287">
        <v>2.846848</v>
      </c>
      <c r="V7287">
        <v>0.17843889999999901</v>
      </c>
      <c r="W7287">
        <v>-3.1317150000000002E-2</v>
      </c>
      <c r="X7287">
        <v>0.98345249999999995</v>
      </c>
      <c r="Y7287">
        <v>0.12847500000000001</v>
      </c>
      <c r="Z7287">
        <v>-9.0577439999999995E-2</v>
      </c>
      <c r="AA7287">
        <v>0.98756770000000005</v>
      </c>
      <c r="AB7287">
        <v>18</v>
      </c>
      <c r="AC7287">
        <v>0.219399999999978</v>
      </c>
      <c r="AD7287">
        <v>-7.3726999999999807E-2</v>
      </c>
      <c r="AE7287">
        <v>0.60049999999999604</v>
      </c>
      <c r="AF7287">
        <v>0.103407139272647</v>
      </c>
      <c r="AG7287">
        <v>-7.3726999999999807E-2</v>
      </c>
      <c r="AH7287">
        <v>0.62240285373889304</v>
      </c>
      <c r="AI7287">
        <v>96.6649943344935</v>
      </c>
      <c r="AJ7287">
        <v>80.566939359896693</v>
      </c>
      <c r="AK7287">
        <v>0.63522753350580596</v>
      </c>
      <c r="AL7287">
        <v>91.794633932817604</v>
      </c>
      <c r="AM7287">
        <v>79.716057659834803</v>
      </c>
      <c r="AN7287">
        <v>1.00000001233679</v>
      </c>
    </row>
    <row r="7288" spans="1:40" x14ac:dyDescent="0.25">
      <c r="A7288" t="str">
        <f>"20190312161203557"</f>
        <v>20190312161203557</v>
      </c>
      <c r="B7288" t="str">
        <f>"1552378323544800"</f>
        <v>1552378323544800</v>
      </c>
      <c r="C7288" t="s">
        <v>40</v>
      </c>
      <c r="D7288">
        <v>5.8924899999999996</v>
      </c>
      <c r="E7288">
        <v>0.48214859999999998</v>
      </c>
      <c r="F7288" t="s">
        <v>42</v>
      </c>
      <c r="G7288">
        <v>-184.98779999999999</v>
      </c>
      <c r="H7288">
        <v>1.0342260000000001</v>
      </c>
      <c r="I7288">
        <v>115.4586</v>
      </c>
      <c r="J7288">
        <v>-185.20320000000001</v>
      </c>
      <c r="K7288">
        <v>1.1102810000000001</v>
      </c>
      <c r="L7288">
        <v>114.86709999999999</v>
      </c>
      <c r="M7288">
        <v>0.1841217</v>
      </c>
      <c r="N7288">
        <v>0</v>
      </c>
      <c r="O7288">
        <v>0.98283989999999999</v>
      </c>
      <c r="P7288">
        <v>0.35519030000000001</v>
      </c>
      <c r="Q7288">
        <v>-4.299994E-2</v>
      </c>
      <c r="R7288">
        <v>0.93380450000000004</v>
      </c>
      <c r="S7288">
        <v>0.92483519999999997</v>
      </c>
      <c r="T7288">
        <v>-0.2852172</v>
      </c>
      <c r="U7288">
        <v>2.8481139999999998</v>
      </c>
      <c r="V7288">
        <v>0.1772088</v>
      </c>
      <c r="W7288">
        <v>-3.1802329999999997E-2</v>
      </c>
      <c r="X7288">
        <v>0.98365930000000001</v>
      </c>
      <c r="Y7288">
        <v>0.12703420000000001</v>
      </c>
      <c r="Z7288">
        <v>-9.431966E-2</v>
      </c>
      <c r="AA7288">
        <v>0.98740380000000005</v>
      </c>
      <c r="AB7288">
        <v>18</v>
      </c>
      <c r="AC7288">
        <v>0.215400000000016</v>
      </c>
      <c r="AD7288">
        <v>-7.6054999999999706E-2</v>
      </c>
      <c r="AE7288">
        <v>0.59150000000001002</v>
      </c>
      <c r="AF7288">
        <v>0.101323132198052</v>
      </c>
      <c r="AG7288">
        <v>-7.6054999999999706E-2</v>
      </c>
      <c r="AH7288">
        <v>0.61211336294943997</v>
      </c>
      <c r="AI7288">
        <v>96.988556447775693</v>
      </c>
      <c r="AJ7288">
        <v>80.601054824638098</v>
      </c>
      <c r="AK7288">
        <v>0.62508680136817596</v>
      </c>
      <c r="AL7288">
        <v>91.822446607395193</v>
      </c>
      <c r="AM7288">
        <v>79.787556456175594</v>
      </c>
      <c r="AN7288">
        <v>0.99999998273367896</v>
      </c>
    </row>
    <row r="7289" spans="1:40" x14ac:dyDescent="0.25">
      <c r="A7289" t="str">
        <f>"20190312161203582"</f>
        <v>20190312161203582</v>
      </c>
      <c r="B7289" t="str">
        <f>"1552378323574080"</f>
        <v>1552378323574080</v>
      </c>
      <c r="C7289" t="s">
        <v>40</v>
      </c>
      <c r="D7289">
        <v>5.9181309999999998</v>
      </c>
      <c r="E7289">
        <v>0.48238379999999997</v>
      </c>
      <c r="F7289" t="s">
        <v>42</v>
      </c>
      <c r="G7289">
        <v>-184.9605</v>
      </c>
      <c r="H7289">
        <v>1.0339780000000001</v>
      </c>
      <c r="I7289">
        <v>115.61790000000001</v>
      </c>
      <c r="J7289">
        <v>-185.16650000000001</v>
      </c>
      <c r="K7289">
        <v>1.1103799999999999</v>
      </c>
      <c r="L7289">
        <v>115.06740000000001</v>
      </c>
      <c r="M7289">
        <v>0.18332190000000001</v>
      </c>
      <c r="N7289">
        <v>0</v>
      </c>
      <c r="O7289">
        <v>0.98299009999999998</v>
      </c>
      <c r="P7289">
        <v>0.352607</v>
      </c>
      <c r="Q7289">
        <v>-4.3347509999999999E-2</v>
      </c>
      <c r="R7289">
        <v>0.93476700000000001</v>
      </c>
      <c r="S7289">
        <v>0.92056269999999996</v>
      </c>
      <c r="T7289">
        <v>-0.28967870000000001</v>
      </c>
      <c r="U7289">
        <v>2.849167</v>
      </c>
      <c r="V7289">
        <v>0.1753026</v>
      </c>
      <c r="W7289">
        <v>-3.2167279999999999E-2</v>
      </c>
      <c r="X7289">
        <v>0.98398890000000006</v>
      </c>
      <c r="Y7289">
        <v>0.1263502</v>
      </c>
      <c r="Z7289">
        <v>-9.5795069999999996E-2</v>
      </c>
      <c r="AA7289">
        <v>0.98734949999999999</v>
      </c>
      <c r="AB7289">
        <v>18</v>
      </c>
      <c r="AC7289">
        <v>0.206000000000017</v>
      </c>
      <c r="AD7289">
        <v>-7.6401999999999803E-2</v>
      </c>
      <c r="AE7289">
        <v>0.55049999999999899</v>
      </c>
      <c r="AF7289">
        <v>9.9895712185054802E-2</v>
      </c>
      <c r="AG7289">
        <v>-7.6401999999999803E-2</v>
      </c>
      <c r="AH7289">
        <v>0.56931705912396402</v>
      </c>
      <c r="AI7289">
        <v>97.529707538886399</v>
      </c>
      <c r="AJ7289">
        <v>80.047857410412703</v>
      </c>
      <c r="AK7289">
        <v>0.58304230783581901</v>
      </c>
      <c r="AL7289">
        <v>91.843367475474196</v>
      </c>
      <c r="AM7289">
        <v>79.898449045430795</v>
      </c>
      <c r="AN7289">
        <v>0.99999994539628201</v>
      </c>
    </row>
    <row r="7290" spans="1:40" x14ac:dyDescent="0.25">
      <c r="A7290" t="str">
        <f>"20190312161203602"</f>
        <v>20190312161203602</v>
      </c>
      <c r="B7290" t="str">
        <f>"1552378323594580"</f>
        <v>1552378323594580</v>
      </c>
      <c r="C7290" t="s">
        <v>40</v>
      </c>
      <c r="D7290">
        <v>5.92225</v>
      </c>
      <c r="E7290">
        <v>0.48275940000000001</v>
      </c>
      <c r="F7290" t="s">
        <v>42</v>
      </c>
      <c r="G7290">
        <v>-184.93790000000001</v>
      </c>
      <c r="H7290">
        <v>1.0372060000000001</v>
      </c>
      <c r="I7290">
        <v>115.77979999999999</v>
      </c>
      <c r="J7290">
        <v>-185.137</v>
      </c>
      <c r="K7290">
        <v>1.1104540000000001</v>
      </c>
      <c r="L7290">
        <v>115.23050000000001</v>
      </c>
      <c r="M7290">
        <v>0.18246970000000001</v>
      </c>
      <c r="N7290">
        <v>0</v>
      </c>
      <c r="O7290">
        <v>0.9831493</v>
      </c>
      <c r="P7290">
        <v>0.3506764</v>
      </c>
      <c r="Q7290">
        <v>-4.4794699999999903E-2</v>
      </c>
      <c r="R7290">
        <v>0.93542479999999995</v>
      </c>
      <c r="S7290">
        <v>0.91433719999999996</v>
      </c>
      <c r="T7290">
        <v>-0.29294550000000003</v>
      </c>
      <c r="U7290">
        <v>2.850876</v>
      </c>
      <c r="V7290">
        <v>0.174147</v>
      </c>
      <c r="W7290">
        <v>-3.362888E-2</v>
      </c>
      <c r="X7290">
        <v>0.9841453</v>
      </c>
      <c r="Y7290">
        <v>0.12505079999999999</v>
      </c>
      <c r="Z7290">
        <v>-9.6872810000000004E-2</v>
      </c>
      <c r="AA7290">
        <v>0.98740969999999995</v>
      </c>
      <c r="AB7290">
        <v>18</v>
      </c>
      <c r="AC7290">
        <v>0.19909999999998701</v>
      </c>
      <c r="AD7290">
        <v>-7.3248000000000202E-2</v>
      </c>
      <c r="AE7290">
        <v>0.54929999999998802</v>
      </c>
      <c r="AF7290">
        <v>9.4042214796493703E-2</v>
      </c>
      <c r="AG7290">
        <v>-7.3248000000000202E-2</v>
      </c>
      <c r="AH7290">
        <v>0.56748973436669403</v>
      </c>
      <c r="AI7290">
        <v>97.256823335801599</v>
      </c>
      <c r="AJ7290">
        <v>80.590674547316198</v>
      </c>
      <c r="AK7290">
        <v>0.57987395723502799</v>
      </c>
      <c r="AL7290">
        <v>91.927156198683207</v>
      </c>
      <c r="AM7290">
        <v>79.965243177366105</v>
      </c>
      <c r="AN7290">
        <v>1.0000000253455701</v>
      </c>
    </row>
    <row r="7291" spans="1:40" x14ac:dyDescent="0.25">
      <c r="A7291" t="str">
        <f>"20190312161203625"</f>
        <v>20190312161203625</v>
      </c>
      <c r="B7291" t="str">
        <f>"1552378323615072"</f>
        <v>1552378323615072</v>
      </c>
      <c r="C7291" t="s">
        <v>40</v>
      </c>
      <c r="D7291">
        <v>5.9554710000000002</v>
      </c>
      <c r="E7291">
        <v>0.48297580000000001</v>
      </c>
      <c r="F7291" t="s">
        <v>42</v>
      </c>
      <c r="G7291">
        <v>-184.91050000000001</v>
      </c>
      <c r="H7291">
        <v>1.0365249999999999</v>
      </c>
      <c r="I7291">
        <v>115.93899999999999</v>
      </c>
      <c r="J7291">
        <v>-185.10380000000001</v>
      </c>
      <c r="K7291">
        <v>1.1105510000000001</v>
      </c>
      <c r="L7291">
        <v>115.4164</v>
      </c>
      <c r="M7291">
        <v>0.18130470000000001</v>
      </c>
      <c r="N7291">
        <v>0</v>
      </c>
      <c r="O7291">
        <v>0.98336559999999995</v>
      </c>
      <c r="P7291">
        <v>0.3486687</v>
      </c>
      <c r="Q7291">
        <v>-4.5661260000000002E-2</v>
      </c>
      <c r="R7291">
        <v>0.93613310000000005</v>
      </c>
      <c r="S7291">
        <v>0.91093440000000003</v>
      </c>
      <c r="T7291">
        <v>-0.29770990000000003</v>
      </c>
      <c r="U7291">
        <v>2.8513639999999998</v>
      </c>
      <c r="V7291">
        <v>0.1732206</v>
      </c>
      <c r="W7291">
        <v>-3.4513699999999897E-2</v>
      </c>
      <c r="X7291">
        <v>0.98427810000000004</v>
      </c>
      <c r="Y7291">
        <v>0.12506030000000001</v>
      </c>
      <c r="Z7291">
        <v>-9.8466079999999997E-2</v>
      </c>
      <c r="AA7291">
        <v>0.98725090000000004</v>
      </c>
      <c r="AB7291">
        <v>18</v>
      </c>
      <c r="AC7291">
        <v>0.19329999999999301</v>
      </c>
      <c r="AD7291">
        <v>-7.4026000000000106E-2</v>
      </c>
      <c r="AE7291">
        <v>0.52259999999999696</v>
      </c>
      <c r="AF7291">
        <v>9.3686928115326307E-2</v>
      </c>
      <c r="AG7291">
        <v>-7.4026000000000106E-2</v>
      </c>
      <c r="AH7291">
        <v>0.53946472259413203</v>
      </c>
      <c r="AI7291">
        <v>97.6995647497655</v>
      </c>
      <c r="AJ7291">
        <v>80.147907104435205</v>
      </c>
      <c r="AK7291">
        <v>0.55252083770591798</v>
      </c>
      <c r="AL7291">
        <v>91.977882201614406</v>
      </c>
      <c r="AM7291">
        <v>80.018867771021704</v>
      </c>
      <c r="AN7291">
        <v>0.99999997494582904</v>
      </c>
    </row>
    <row r="7292" spans="1:40" x14ac:dyDescent="0.25">
      <c r="A7292" t="str">
        <f>"20190312161203648"</f>
        <v>20190312161203648</v>
      </c>
      <c r="B7292" t="str">
        <f>"1552378323644352"</f>
        <v>1552378323644352</v>
      </c>
      <c r="C7292" t="s">
        <v>40</v>
      </c>
      <c r="D7292">
        <v>5.9526979999999998</v>
      </c>
      <c r="E7292">
        <v>0.48359249999999998</v>
      </c>
      <c r="F7292" t="s">
        <v>42</v>
      </c>
      <c r="G7292">
        <v>-184.83920000000001</v>
      </c>
      <c r="H7292">
        <v>1.022079</v>
      </c>
      <c r="I7292">
        <v>116.2488</v>
      </c>
      <c r="J7292">
        <v>-185.0729</v>
      </c>
      <c r="K7292">
        <v>1.110633</v>
      </c>
      <c r="L7292">
        <v>115.59229999999999</v>
      </c>
      <c r="M7292">
        <v>0.18002760000000001</v>
      </c>
      <c r="N7292">
        <v>0</v>
      </c>
      <c r="O7292">
        <v>0.9836009</v>
      </c>
      <c r="P7292">
        <v>0.34611439999999999</v>
      </c>
      <c r="Q7292">
        <v>-4.6084750000000001E-2</v>
      </c>
      <c r="R7292">
        <v>0.9370598</v>
      </c>
      <c r="S7292">
        <v>0.90634159999999997</v>
      </c>
      <c r="T7292">
        <v>-0.303272599999999</v>
      </c>
      <c r="U7292">
        <v>2.8523100000000001</v>
      </c>
      <c r="V7292">
        <v>0.1718277</v>
      </c>
      <c r="W7292">
        <v>-3.4958759999999998E-2</v>
      </c>
      <c r="X7292">
        <v>0.98450649999999995</v>
      </c>
      <c r="Y7292">
        <v>0.1247538</v>
      </c>
      <c r="Z7292">
        <v>-0.1003168</v>
      </c>
      <c r="AA7292">
        <v>0.98710330000000002</v>
      </c>
      <c r="AB7292">
        <v>18</v>
      </c>
      <c r="AC7292">
        <v>0.23369999999999799</v>
      </c>
      <c r="AD7292">
        <v>-8.85539999999998E-2</v>
      </c>
      <c r="AE7292">
        <v>0.65650000000000797</v>
      </c>
      <c r="AF7292">
        <v>0.109911180870031</v>
      </c>
      <c r="AG7292">
        <v>-8.85539999999998E-2</v>
      </c>
      <c r="AH7292">
        <v>0.67691634033074699</v>
      </c>
      <c r="AI7292">
        <v>97.357808982462998</v>
      </c>
      <c r="AJ7292">
        <v>80.777348078157502</v>
      </c>
      <c r="AK7292">
        <v>0.69147524207524402</v>
      </c>
      <c r="AL7292">
        <v>92.003397688310898</v>
      </c>
      <c r="AM7292">
        <v>80.099784837557806</v>
      </c>
      <c r="AN7292">
        <v>0.99999996096513799</v>
      </c>
    </row>
    <row r="7293" spans="1:40" x14ac:dyDescent="0.25">
      <c r="A7293" t="str">
        <f>"20190312161203669"</f>
        <v>20190312161203669</v>
      </c>
      <c r="B7293" t="str">
        <f>"1552378323664848"</f>
        <v>1552378323664848</v>
      </c>
      <c r="C7293" t="s">
        <v>40</v>
      </c>
      <c r="D7293">
        <v>5.9395309999999997</v>
      </c>
      <c r="E7293">
        <v>0.483846</v>
      </c>
      <c r="F7293" t="s">
        <v>42</v>
      </c>
      <c r="G7293">
        <v>-184.81399999999999</v>
      </c>
      <c r="H7293">
        <v>1.023069</v>
      </c>
      <c r="I7293">
        <v>116.4098</v>
      </c>
      <c r="J7293">
        <v>-185.04320000000001</v>
      </c>
      <c r="K7293">
        <v>1.1106769999999999</v>
      </c>
      <c r="L7293">
        <v>115.76349999999999</v>
      </c>
      <c r="M7293">
        <v>0.17865899999999901</v>
      </c>
      <c r="N7293">
        <v>0</v>
      </c>
      <c r="O7293">
        <v>0.98385100000000003</v>
      </c>
      <c r="P7293">
        <v>0.34403460000000002</v>
      </c>
      <c r="Q7293">
        <v>-4.7876830000000002E-2</v>
      </c>
      <c r="R7293">
        <v>0.9377356</v>
      </c>
      <c r="S7293">
        <v>0.90328980000000003</v>
      </c>
      <c r="T7293">
        <v>-0.30553819999999998</v>
      </c>
      <c r="U7293">
        <v>2.8528289999999998</v>
      </c>
      <c r="V7293">
        <v>0.17103929999999901</v>
      </c>
      <c r="W7293">
        <v>-3.677888E-2</v>
      </c>
      <c r="X7293">
        <v>0.98457749999999999</v>
      </c>
      <c r="Y7293">
        <v>0.12509909999999999</v>
      </c>
      <c r="Z7293">
        <v>-0.1010926</v>
      </c>
      <c r="AA7293">
        <v>0.98698050000000004</v>
      </c>
      <c r="AB7293">
        <v>18</v>
      </c>
      <c r="AC7293">
        <v>0.22919999999999099</v>
      </c>
      <c r="AD7293">
        <v>-8.7608000000000102E-2</v>
      </c>
      <c r="AE7293">
        <v>0.64630000000000998</v>
      </c>
      <c r="AF7293">
        <v>0.10827065397034499</v>
      </c>
      <c r="AG7293">
        <v>-8.7608000000000102E-2</v>
      </c>
      <c r="AH7293">
        <v>0.66598143910041896</v>
      </c>
      <c r="AI7293">
        <v>97.398039551041705</v>
      </c>
      <c r="AJ7293">
        <v>80.766034334781097</v>
      </c>
      <c r="AK7293">
        <v>0.68038883985661502</v>
      </c>
      <c r="AL7293">
        <v>92.107749988114605</v>
      </c>
      <c r="AM7293">
        <v>80.145014188256795</v>
      </c>
      <c r="AN7293">
        <v>0.99999999083239699</v>
      </c>
    </row>
    <row r="7294" spans="1:40" x14ac:dyDescent="0.25">
      <c r="A7294" t="str">
        <f>"20190312161203692"</f>
        <v>20190312161203692</v>
      </c>
      <c r="B7294" t="str">
        <f>"1552378323684369"</f>
        <v>1552378323684369</v>
      </c>
      <c r="C7294" t="s">
        <v>40</v>
      </c>
      <c r="D7294">
        <v>5.9750959999999997</v>
      </c>
      <c r="E7294">
        <v>0.48413309999999998</v>
      </c>
      <c r="F7294" t="s">
        <v>42</v>
      </c>
      <c r="G7294">
        <v>-184.78880000000001</v>
      </c>
      <c r="H7294">
        <v>1.02227</v>
      </c>
      <c r="I7294">
        <v>116.5702</v>
      </c>
      <c r="J7294">
        <v>-185.01179999999999</v>
      </c>
      <c r="K7294">
        <v>1.110703</v>
      </c>
      <c r="L7294">
        <v>115.94629999999999</v>
      </c>
      <c r="M7294">
        <v>0.17707539999999999</v>
      </c>
      <c r="N7294">
        <v>0</v>
      </c>
      <c r="O7294">
        <v>0.98413779999999995</v>
      </c>
      <c r="P7294">
        <v>0.34220109999999998</v>
      </c>
      <c r="Q7294">
        <v>-5.0469510000000002E-2</v>
      </c>
      <c r="R7294">
        <v>0.9382703</v>
      </c>
      <c r="S7294">
        <v>0.89900210000000003</v>
      </c>
      <c r="T7294">
        <v>-0.31293700000000002</v>
      </c>
      <c r="U7294">
        <v>2.8533940000000002</v>
      </c>
      <c r="V7294">
        <v>0.17073389999999999</v>
      </c>
      <c r="W7294">
        <v>-3.9406259999999999E-2</v>
      </c>
      <c r="X7294">
        <v>0.98452879999999998</v>
      </c>
      <c r="Y7294">
        <v>0.12521389999999999</v>
      </c>
      <c r="Z7294">
        <v>-0.1035611</v>
      </c>
      <c r="AA7294">
        <v>0.98670999999999998</v>
      </c>
      <c r="AB7294">
        <v>18</v>
      </c>
      <c r="AC7294">
        <v>0.22299999999998399</v>
      </c>
      <c r="AD7294">
        <v>-8.8432999999999901E-2</v>
      </c>
      <c r="AE7294">
        <v>0.62390000000000601</v>
      </c>
      <c r="AF7294">
        <v>0.107084074851699</v>
      </c>
      <c r="AG7294">
        <v>-8.8432999999999901E-2</v>
      </c>
      <c r="AH7294">
        <v>0.64209085616717398</v>
      </c>
      <c r="AI7294">
        <v>97.736290661534596</v>
      </c>
      <c r="AJ7294">
        <v>80.531693107874503</v>
      </c>
      <c r="AK7294">
        <v>0.65693840057446695</v>
      </c>
      <c r="AL7294">
        <v>92.258397275145796</v>
      </c>
      <c r="AM7294">
        <v>80.161789574962498</v>
      </c>
      <c r="AN7294">
        <v>0.99999993798291598</v>
      </c>
    </row>
    <row r="7295" spans="1:40" x14ac:dyDescent="0.25">
      <c r="A7295" t="str">
        <f>"20190312161203715"</f>
        <v>20190312161203715</v>
      </c>
      <c r="B7295" t="str">
        <f>"1552378323704865"</f>
        <v>1552378323704865</v>
      </c>
      <c r="C7295" t="s">
        <v>40</v>
      </c>
      <c r="D7295">
        <v>6.0294109999999996</v>
      </c>
      <c r="E7295">
        <v>0.48429870000000003</v>
      </c>
      <c r="F7295" t="s">
        <v>42</v>
      </c>
      <c r="G7295">
        <v>-184.76560000000001</v>
      </c>
      <c r="H7295">
        <v>1.022502</v>
      </c>
      <c r="I7295">
        <v>116.7316</v>
      </c>
      <c r="J7295">
        <v>-184.97980000000001</v>
      </c>
      <c r="K7295">
        <v>1.1107180000000001</v>
      </c>
      <c r="L7295">
        <v>116.136</v>
      </c>
      <c r="M7295">
        <v>0.17532029999999901</v>
      </c>
      <c r="N7295">
        <v>0</v>
      </c>
      <c r="O7295">
        <v>0.98445249999999995</v>
      </c>
      <c r="P7295">
        <v>0.34006439999999999</v>
      </c>
      <c r="Q7295">
        <v>-5.1312360000000001E-2</v>
      </c>
      <c r="R7295">
        <v>0.93900119999999998</v>
      </c>
      <c r="S7295">
        <v>0.89506529999999995</v>
      </c>
      <c r="T7295">
        <v>-0.32053690000000001</v>
      </c>
      <c r="U7295">
        <v>2.8536830000000002</v>
      </c>
      <c r="V7295">
        <v>0.17026129999999901</v>
      </c>
      <c r="W7295">
        <v>-4.0286830000000003E-2</v>
      </c>
      <c r="X7295">
        <v>0.98457510000000004</v>
      </c>
      <c r="Y7295">
        <v>0.12563440000000001</v>
      </c>
      <c r="Z7295">
        <v>-0.1061058</v>
      </c>
      <c r="AA7295">
        <v>0.98638610000000004</v>
      </c>
      <c r="AB7295">
        <v>18</v>
      </c>
      <c r="AC7295">
        <v>0.214200000000005</v>
      </c>
      <c r="AD7295">
        <v>-8.8216000000000003E-2</v>
      </c>
      <c r="AE7295">
        <v>0.59559999999999003</v>
      </c>
      <c r="AF7295">
        <v>0.10442664547960701</v>
      </c>
      <c r="AG7295">
        <v>-8.8216000000000003E-2</v>
      </c>
      <c r="AH7295">
        <v>0.61204083453987501</v>
      </c>
      <c r="AI7295">
        <v>98.086513281294401</v>
      </c>
      <c r="AJ7295">
        <v>80.317410954493496</v>
      </c>
      <c r="AK7295">
        <v>0.62712117655712296</v>
      </c>
      <c r="AL7295">
        <v>92.308890105440398</v>
      </c>
      <c r="AM7295">
        <v>80.188944675910307</v>
      </c>
      <c r="AN7295">
        <v>1.00000003324457</v>
      </c>
    </row>
    <row r="7296" spans="1:40" x14ac:dyDescent="0.25">
      <c r="A7296" t="str">
        <f>"20190312161203736"</f>
        <v>20190312161203736</v>
      </c>
      <c r="B7296" t="str">
        <f>"1552378323724385"</f>
        <v>1552378323724385</v>
      </c>
      <c r="C7296" t="s">
        <v>40</v>
      </c>
      <c r="D7296">
        <v>5.9912720000000004</v>
      </c>
      <c r="E7296">
        <v>0.48443449999999999</v>
      </c>
      <c r="F7296" t="s">
        <v>42</v>
      </c>
      <c r="G7296">
        <v>-184.7431</v>
      </c>
      <c r="H7296">
        <v>1.025668</v>
      </c>
      <c r="I7296">
        <v>116.8947</v>
      </c>
      <c r="J7296">
        <v>-184.95269999999999</v>
      </c>
      <c r="K7296">
        <v>1.1107229999999999</v>
      </c>
      <c r="L7296">
        <v>116.29900000000001</v>
      </c>
      <c r="M7296">
        <v>0.17374329999999999</v>
      </c>
      <c r="N7296">
        <v>0</v>
      </c>
      <c r="O7296">
        <v>0.98473250000000001</v>
      </c>
      <c r="P7296">
        <v>0.3388042</v>
      </c>
      <c r="Q7296">
        <v>-5.101576E-2</v>
      </c>
      <c r="R7296">
        <v>0.9394728</v>
      </c>
      <c r="S7296">
        <v>0.89018249999999999</v>
      </c>
      <c r="T7296">
        <v>-0.32017659999999998</v>
      </c>
      <c r="U7296">
        <v>2.8549799999999999</v>
      </c>
      <c r="V7296">
        <v>0.1705149</v>
      </c>
      <c r="W7296">
        <v>-4.002435E-2</v>
      </c>
      <c r="X7296">
        <v>0.98454189999999997</v>
      </c>
      <c r="Y7296">
        <v>0.1255618</v>
      </c>
      <c r="Z7296">
        <v>-0.10601389999999999</v>
      </c>
      <c r="AA7296">
        <v>0.98640530000000004</v>
      </c>
      <c r="AB7296">
        <v>18</v>
      </c>
      <c r="AC7296">
        <v>0.20959999999999401</v>
      </c>
      <c r="AD7296">
        <v>-8.5054999999999797E-2</v>
      </c>
      <c r="AE7296">
        <v>0.595700000000007</v>
      </c>
      <c r="AF7296">
        <v>0.101073428559722</v>
      </c>
      <c r="AG7296">
        <v>-8.5054999999999797E-2</v>
      </c>
      <c r="AH7296">
        <v>0.611956292341575</v>
      </c>
      <c r="AI7296">
        <v>97.808317346394503</v>
      </c>
      <c r="AJ7296">
        <v>80.621442203407199</v>
      </c>
      <c r="AK7296">
        <v>0.62605167096835102</v>
      </c>
      <c r="AL7296">
        <v>92.293839008955302</v>
      </c>
      <c r="AM7296">
        <v>80.174291090653398</v>
      </c>
      <c r="AN7296">
        <v>1.00000001628527</v>
      </c>
    </row>
    <row r="7297" spans="1:40" x14ac:dyDescent="0.25">
      <c r="A7297" t="str">
        <f>"20190312161203758"</f>
        <v>20190312161203758</v>
      </c>
      <c r="B7297" t="str">
        <f>"1552378323754641"</f>
        <v>1552378323754641</v>
      </c>
      <c r="C7297" t="s">
        <v>40</v>
      </c>
      <c r="D7297">
        <v>6.012467</v>
      </c>
      <c r="E7297">
        <v>0.4845119</v>
      </c>
      <c r="F7297" t="s">
        <v>42</v>
      </c>
      <c r="G7297">
        <v>-184.71709999999999</v>
      </c>
      <c r="H7297">
        <v>1.027131</v>
      </c>
      <c r="I7297">
        <v>117.0566</v>
      </c>
      <c r="J7297">
        <v>-184.92269999999999</v>
      </c>
      <c r="K7297">
        <v>1.110727</v>
      </c>
      <c r="L7297">
        <v>116.48050000000001</v>
      </c>
      <c r="M7297">
        <v>0.17194389999999901</v>
      </c>
      <c r="N7297">
        <v>0</v>
      </c>
      <c r="O7297">
        <v>0.98504879999999995</v>
      </c>
      <c r="P7297">
        <v>0.33751429999999999</v>
      </c>
      <c r="Q7297">
        <v>-5.1901950000000002E-2</v>
      </c>
      <c r="R7297">
        <v>0.93988850000000002</v>
      </c>
      <c r="S7297">
        <v>0.88784789999999902</v>
      </c>
      <c r="T7297">
        <v>-0.31517220000000001</v>
      </c>
      <c r="U7297">
        <v>2.855988</v>
      </c>
      <c r="V7297">
        <v>0.17097319999999999</v>
      </c>
      <c r="W7297">
        <v>-4.0952719999999998E-2</v>
      </c>
      <c r="X7297">
        <v>0.98442419999999997</v>
      </c>
      <c r="Y7297">
        <v>0.12659200000000001</v>
      </c>
      <c r="Z7297">
        <v>-0.104396</v>
      </c>
      <c r="AA7297">
        <v>0.98644609999999999</v>
      </c>
      <c r="AB7297">
        <v>18</v>
      </c>
      <c r="AC7297">
        <v>0.205600000000003</v>
      </c>
      <c r="AD7297">
        <v>-8.3596000000000004E-2</v>
      </c>
      <c r="AE7297">
        <v>0.57609999999999595</v>
      </c>
      <c r="AF7297">
        <v>0.101577873464183</v>
      </c>
      <c r="AG7297">
        <v>-8.3596000000000004E-2</v>
      </c>
      <c r="AH7297">
        <v>0.59181919444409903</v>
      </c>
      <c r="AI7297">
        <v>97.925598668313398</v>
      </c>
      <c r="AJ7297">
        <v>80.260839289581796</v>
      </c>
      <c r="AK7297">
        <v>0.60626422829156601</v>
      </c>
      <c r="AL7297">
        <v>92.347074423887705</v>
      </c>
      <c r="AM7297">
        <v>80.147244094647604</v>
      </c>
      <c r="AN7297">
        <v>0.99999998296963899</v>
      </c>
    </row>
    <row r="7298" spans="1:40" x14ac:dyDescent="0.25">
      <c r="A7298" t="str">
        <f>"20190312161203780"</f>
        <v>20190312161203780</v>
      </c>
      <c r="B7298" t="str">
        <f>"1552378323774161"</f>
        <v>1552378323774161</v>
      </c>
      <c r="C7298" t="s">
        <v>40</v>
      </c>
      <c r="D7298">
        <v>6.0517370000000001</v>
      </c>
      <c r="E7298">
        <v>0.48475040000000003</v>
      </c>
      <c r="F7298" t="s">
        <v>42</v>
      </c>
      <c r="G7298">
        <v>-184.6935</v>
      </c>
      <c r="H7298">
        <v>1.0304230000000001</v>
      </c>
      <c r="I7298">
        <v>117.2201</v>
      </c>
      <c r="J7298">
        <v>-184.89320000000001</v>
      </c>
      <c r="K7298">
        <v>1.110716</v>
      </c>
      <c r="L7298">
        <v>116.6626</v>
      </c>
      <c r="M7298">
        <v>0.17012060000000001</v>
      </c>
      <c r="N7298">
        <v>0</v>
      </c>
      <c r="O7298">
        <v>0.98536570000000001</v>
      </c>
      <c r="P7298">
        <v>0.33669179999999999</v>
      </c>
      <c r="Q7298">
        <v>-5.2637620000000003E-2</v>
      </c>
      <c r="R7298">
        <v>0.94014249999999999</v>
      </c>
      <c r="S7298">
        <v>0.88525390000000004</v>
      </c>
      <c r="T7298">
        <v>-0.31024230000000003</v>
      </c>
      <c r="U7298">
        <v>2.8568419999999999</v>
      </c>
      <c r="V7298">
        <v>0.17194209999999999</v>
      </c>
      <c r="W7298">
        <v>-4.1731490000000003E-2</v>
      </c>
      <c r="X7298">
        <v>0.98422270000000001</v>
      </c>
      <c r="Y7298">
        <v>0.12757689999999999</v>
      </c>
      <c r="Z7298">
        <v>-0.10280789999999999</v>
      </c>
      <c r="AA7298">
        <v>0.98648599999999997</v>
      </c>
      <c r="AB7298">
        <v>18</v>
      </c>
      <c r="AC7298">
        <v>0.19970000000000701</v>
      </c>
      <c r="AD7298">
        <v>-8.02930000000001E-2</v>
      </c>
      <c r="AE7298">
        <v>0.55750000000000399</v>
      </c>
      <c r="AF7298">
        <v>0.100100837955376</v>
      </c>
      <c r="AG7298">
        <v>-8.02930000000001E-2</v>
      </c>
      <c r="AH7298">
        <v>0.57281696140790195</v>
      </c>
      <c r="AI7298">
        <v>97.861670756161203</v>
      </c>
      <c r="AJ7298">
        <v>80.087549154117298</v>
      </c>
      <c r="AK7298">
        <v>0.58701483361577</v>
      </c>
      <c r="AL7298">
        <v>92.391732888266304</v>
      </c>
      <c r="AM7298">
        <v>80.090524019195399</v>
      </c>
      <c r="AN7298">
        <v>0.99999996310265904</v>
      </c>
    </row>
    <row r="7299" spans="1:40" x14ac:dyDescent="0.25">
      <c r="A7299" t="str">
        <f>"20190312161203804"</f>
        <v>20190312161203804</v>
      </c>
      <c r="B7299" t="str">
        <f>"1552378323794660"</f>
        <v>1552378323794660</v>
      </c>
      <c r="C7299" t="s">
        <v>40</v>
      </c>
      <c r="D7299">
        <v>6.1277059999999999</v>
      </c>
      <c r="E7299">
        <v>0.48494569999999998</v>
      </c>
      <c r="F7299" t="s">
        <v>42</v>
      </c>
      <c r="G7299">
        <v>-184.67009999999999</v>
      </c>
      <c r="H7299">
        <v>1.032243</v>
      </c>
      <c r="I7299">
        <v>117.3831</v>
      </c>
      <c r="J7299">
        <v>-184.86320000000001</v>
      </c>
      <c r="K7299">
        <v>1.1106940000000001</v>
      </c>
      <c r="L7299">
        <v>116.8493</v>
      </c>
      <c r="M7299">
        <v>0.168248799999999</v>
      </c>
      <c r="N7299">
        <v>0</v>
      </c>
      <c r="O7299">
        <v>0.9856876</v>
      </c>
      <c r="P7299">
        <v>0.33552520000000002</v>
      </c>
      <c r="Q7299">
        <v>-5.2941009999999997E-2</v>
      </c>
      <c r="R7299">
        <v>0.94054249999999995</v>
      </c>
      <c r="S7299">
        <v>0.88447569999999998</v>
      </c>
      <c r="T7299">
        <v>-0.31116769999999999</v>
      </c>
      <c r="U7299">
        <v>2.8568120000000001</v>
      </c>
      <c r="V7299">
        <v>0.17259279999999999</v>
      </c>
      <c r="W7299">
        <v>-4.2082210000000002E-2</v>
      </c>
      <c r="X7299">
        <v>0.98409389999999997</v>
      </c>
      <c r="Y7299">
        <v>0.12920779999999901</v>
      </c>
      <c r="Z7299">
        <v>-0.1031552</v>
      </c>
      <c r="AA7299">
        <v>0.98623749999999999</v>
      </c>
      <c r="AB7299">
        <v>18</v>
      </c>
      <c r="AC7299">
        <v>0.19310000000001501</v>
      </c>
      <c r="AD7299">
        <v>-7.8451000000000007E-2</v>
      </c>
      <c r="AE7299">
        <v>0.53379999999999905</v>
      </c>
      <c r="AF7299">
        <v>9.8646571956121004E-2</v>
      </c>
      <c r="AG7299">
        <v>-7.8451000000000007E-2</v>
      </c>
      <c r="AH7299">
        <v>0.54820951108555205</v>
      </c>
      <c r="AI7299">
        <v>98.016921244028296</v>
      </c>
      <c r="AJ7299">
        <v>79.799178752368803</v>
      </c>
      <c r="AK7299">
        <v>0.56251166530513297</v>
      </c>
      <c r="AL7299">
        <v>92.411845255025298</v>
      </c>
      <c r="AM7299">
        <v>80.052494197104096</v>
      </c>
      <c r="AN7299">
        <v>0.99999999551376695</v>
      </c>
    </row>
    <row r="7300" spans="1:40" x14ac:dyDescent="0.25">
      <c r="A7300" t="str">
        <f>"20190312161203824"</f>
        <v>20190312161203824</v>
      </c>
      <c r="B7300" t="str">
        <f>"1552378323814177"</f>
        <v>1552378323814177</v>
      </c>
      <c r="C7300" t="s">
        <v>40</v>
      </c>
      <c r="D7300">
        <v>6.0407950000000001</v>
      </c>
      <c r="E7300">
        <v>0.48500189999999999</v>
      </c>
      <c r="F7300" t="s">
        <v>42</v>
      </c>
      <c r="G7300">
        <v>-184.6011</v>
      </c>
      <c r="H7300">
        <v>1.0185869999999999</v>
      </c>
      <c r="I7300">
        <v>117.6978</v>
      </c>
      <c r="J7300">
        <v>-184.83600000000001</v>
      </c>
      <c r="K7300">
        <v>1.1106609999999999</v>
      </c>
      <c r="L7300">
        <v>117.0213</v>
      </c>
      <c r="M7300">
        <v>0.1665315</v>
      </c>
      <c r="N7300">
        <v>0</v>
      </c>
      <c r="O7300">
        <v>0.98597959999999996</v>
      </c>
      <c r="P7300">
        <v>0.3342929</v>
      </c>
      <c r="Q7300">
        <v>-5.3015850000000003E-2</v>
      </c>
      <c r="R7300">
        <v>0.9409769</v>
      </c>
      <c r="S7300">
        <v>0.88273619999999997</v>
      </c>
      <c r="T7300">
        <v>-0.31013550000000001</v>
      </c>
      <c r="U7300">
        <v>2.8573</v>
      </c>
      <c r="V7300">
        <v>0.1730167</v>
      </c>
      <c r="W7300">
        <v>-4.2204829999999999E-2</v>
      </c>
      <c r="X7300">
        <v>0.98401419999999995</v>
      </c>
      <c r="Y7300">
        <v>0.1303491</v>
      </c>
      <c r="Z7300">
        <v>-0.1028466</v>
      </c>
      <c r="AA7300">
        <v>0.98611950000000004</v>
      </c>
      <c r="AB7300">
        <v>18</v>
      </c>
      <c r="AC7300">
        <v>0.23489999999998101</v>
      </c>
      <c r="AD7300">
        <v>-9.2074000000000003E-2</v>
      </c>
      <c r="AE7300">
        <v>0.67650000000000399</v>
      </c>
      <c r="AF7300">
        <v>0.11702021276218801</v>
      </c>
      <c r="AG7300">
        <v>-9.2074000000000003E-2</v>
      </c>
      <c r="AH7300">
        <v>0.69468887971811399</v>
      </c>
      <c r="AI7300">
        <v>97.446268554226407</v>
      </c>
      <c r="AJ7300">
        <v>80.438301061287802</v>
      </c>
      <c r="AK7300">
        <v>0.71046744561233499</v>
      </c>
      <c r="AL7300">
        <v>92.418877133956201</v>
      </c>
      <c r="AM7300">
        <v>80.027760768206505</v>
      </c>
      <c r="AN7300">
        <v>0.99999998597792905</v>
      </c>
    </row>
    <row r="7301" spans="1:40" x14ac:dyDescent="0.25">
      <c r="A7301" t="str">
        <f>"20190312161203872"</f>
        <v>20190312161203872</v>
      </c>
      <c r="B7301" t="str">
        <f>"1552378323864928"</f>
        <v>1552378323864928</v>
      </c>
      <c r="C7301" t="s">
        <v>40</v>
      </c>
      <c r="D7301">
        <v>6.1308610000000003</v>
      </c>
      <c r="E7301">
        <v>0.48526799999999998</v>
      </c>
      <c r="F7301" t="s">
        <v>42</v>
      </c>
      <c r="G7301">
        <v>-184.5772</v>
      </c>
      <c r="H7301">
        <v>1.0206500000000001</v>
      </c>
      <c r="I7301">
        <v>117.8616</v>
      </c>
      <c r="J7301">
        <v>-184.77600000000001</v>
      </c>
      <c r="K7301">
        <v>1.1105940000000001</v>
      </c>
      <c r="L7301">
        <v>117.4068</v>
      </c>
      <c r="M7301">
        <v>0.1627237</v>
      </c>
      <c r="N7301">
        <v>0</v>
      </c>
      <c r="O7301">
        <v>0.9866161</v>
      </c>
      <c r="P7301">
        <v>0.33161770000000002</v>
      </c>
      <c r="Q7301">
        <v>-5.2475649999999999E-2</v>
      </c>
      <c r="R7301">
        <v>0.94195329999999999</v>
      </c>
      <c r="S7301">
        <v>0.87959290000000001</v>
      </c>
      <c r="T7301">
        <v>-0.3063323</v>
      </c>
      <c r="U7301">
        <v>2.8584290000000001</v>
      </c>
      <c r="V7301">
        <v>0.174007299999999</v>
      </c>
      <c r="W7301">
        <v>-4.1774619999999998E-2</v>
      </c>
      <c r="X7301">
        <v>0.98385789999999995</v>
      </c>
      <c r="Y7301">
        <v>0.13311310000000001</v>
      </c>
      <c r="Z7301">
        <v>-0.10165540000000001</v>
      </c>
      <c r="AA7301">
        <v>0.98587380000000002</v>
      </c>
      <c r="AB7301">
        <v>18</v>
      </c>
      <c r="AC7301">
        <v>0.198799999999977</v>
      </c>
      <c r="AD7301">
        <v>-8.9943999999999996E-2</v>
      </c>
      <c r="AE7301">
        <v>0.45479999999999099</v>
      </c>
      <c r="AF7301">
        <v>0.11825604062297999</v>
      </c>
      <c r="AG7301">
        <v>-8.9943999999999996E-2</v>
      </c>
      <c r="AH7301">
        <v>0.465793494135956</v>
      </c>
      <c r="AI7301">
        <v>100.60088268305699</v>
      </c>
      <c r="AJ7301">
        <v>75.754672720234794</v>
      </c>
      <c r="AK7301">
        <v>0.48891511886952999</v>
      </c>
      <c r="AL7301">
        <v>92.394206091764502</v>
      </c>
      <c r="AM7301">
        <v>79.970260062588096</v>
      </c>
      <c r="AN7301">
        <v>1.0000000133609199</v>
      </c>
    </row>
    <row r="7302" spans="1:40" x14ac:dyDescent="0.25">
      <c r="A7302" t="str">
        <f>"20190312161203894"</f>
        <v>20190312161203894</v>
      </c>
      <c r="B7302" t="str">
        <f>"1552378323884452"</f>
        <v>1552378323884452</v>
      </c>
      <c r="C7302" t="s">
        <v>40</v>
      </c>
      <c r="D7302">
        <v>6.0192199999999998</v>
      </c>
      <c r="E7302">
        <v>0.48549809999999999</v>
      </c>
      <c r="F7302" t="s">
        <v>42</v>
      </c>
      <c r="G7302">
        <v>-184.53569999999999</v>
      </c>
      <c r="H7302">
        <v>1.0288120000000001</v>
      </c>
      <c r="I7302">
        <v>118.193</v>
      </c>
      <c r="J7302">
        <v>-184.74940000000001</v>
      </c>
      <c r="K7302">
        <v>1.1105700000000001</v>
      </c>
      <c r="L7302">
        <v>117.58069999999999</v>
      </c>
      <c r="M7302">
        <v>0.16103139999999999</v>
      </c>
      <c r="N7302">
        <v>0</v>
      </c>
      <c r="O7302">
        <v>0.98689420000000005</v>
      </c>
      <c r="P7302">
        <v>0.32991150000000002</v>
      </c>
      <c r="Q7302">
        <v>-5.1874690000000001E-2</v>
      </c>
      <c r="R7302">
        <v>0.94258549999999997</v>
      </c>
      <c r="S7302">
        <v>0.87377929999999904</v>
      </c>
      <c r="T7302">
        <v>-0.2977474</v>
      </c>
      <c r="U7302">
        <v>2.8606720000000001</v>
      </c>
      <c r="V7302">
        <v>0.17390429999999901</v>
      </c>
      <c r="W7302">
        <v>-4.12241E-2</v>
      </c>
      <c r="X7302">
        <v>0.98389930000000003</v>
      </c>
      <c r="Y7302">
        <v>0.1328481</v>
      </c>
      <c r="Z7302">
        <v>-9.883393E-2</v>
      </c>
      <c r="AA7302">
        <v>0.98619630000000003</v>
      </c>
      <c r="AB7302">
        <v>18</v>
      </c>
      <c r="AC7302">
        <v>0.21370000000001699</v>
      </c>
      <c r="AD7302">
        <v>-8.1757999999999997E-2</v>
      </c>
      <c r="AE7302">
        <v>0.61230000000000395</v>
      </c>
      <c r="AF7302">
        <v>0.110548887702923</v>
      </c>
      <c r="AG7302">
        <v>-8.1757999999999997E-2</v>
      </c>
      <c r="AH7302">
        <v>0.62872988594673496</v>
      </c>
      <c r="AI7302">
        <v>97.298261122206796</v>
      </c>
      <c r="AJ7302">
        <v>80.027679448483497</v>
      </c>
      <c r="AK7302">
        <v>0.64358891896842696</v>
      </c>
      <c r="AL7302">
        <v>92.362636496463097</v>
      </c>
      <c r="AM7302">
        <v>79.976489748286795</v>
      </c>
      <c r="AN7302">
        <v>0.99999998225989395</v>
      </c>
    </row>
    <row r="7303" spans="1:40" x14ac:dyDescent="0.25">
      <c r="A7303" t="str">
        <f>"20190312161203915"</f>
        <v>20190312161203915</v>
      </c>
      <c r="B7303" t="str">
        <f>"1552378323904948"</f>
        <v>1552378323904948</v>
      </c>
      <c r="C7303" t="s">
        <v>40</v>
      </c>
      <c r="D7303">
        <v>6.2139100000000003</v>
      </c>
      <c r="E7303">
        <v>0.48573630000000001</v>
      </c>
      <c r="F7303" t="s">
        <v>42</v>
      </c>
      <c r="G7303">
        <v>-184.51300000000001</v>
      </c>
      <c r="H7303">
        <v>1.030111</v>
      </c>
      <c r="I7303">
        <v>118.3574</v>
      </c>
      <c r="J7303">
        <v>-184.72239999999999</v>
      </c>
      <c r="K7303">
        <v>1.110544</v>
      </c>
      <c r="L7303">
        <v>117.7593</v>
      </c>
      <c r="M7303">
        <v>0.1593156</v>
      </c>
      <c r="N7303">
        <v>0</v>
      </c>
      <c r="O7303">
        <v>0.98717310000000003</v>
      </c>
      <c r="P7303">
        <v>0.32788089999999998</v>
      </c>
      <c r="Q7303">
        <v>-5.1817750000000003E-2</v>
      </c>
      <c r="R7303">
        <v>0.94329689999999999</v>
      </c>
      <c r="S7303">
        <v>0.87060550000000003</v>
      </c>
      <c r="T7303">
        <v>-0.29648960000000002</v>
      </c>
      <c r="U7303">
        <v>2.861694</v>
      </c>
      <c r="V7303">
        <v>0.1734936</v>
      </c>
      <c r="W7303">
        <v>-4.1222700000000001E-2</v>
      </c>
      <c r="X7303">
        <v>0.98397190000000001</v>
      </c>
      <c r="Y7303">
        <v>0.133483399999999</v>
      </c>
      <c r="Z7303">
        <v>-9.8439789999999999E-2</v>
      </c>
      <c r="AA7303">
        <v>0.98614999999999997</v>
      </c>
      <c r="AB7303">
        <v>19</v>
      </c>
      <c r="AC7303">
        <v>0.20939999999998801</v>
      </c>
      <c r="AD7303">
        <v>-8.0432999999999893E-2</v>
      </c>
      <c r="AE7303">
        <v>0.59810000000000196</v>
      </c>
      <c r="AF7303">
        <v>0.109666625370621</v>
      </c>
      <c r="AG7303">
        <v>-8.0432999999999893E-2</v>
      </c>
      <c r="AH7303">
        <v>0.61393188452231495</v>
      </c>
      <c r="AI7303">
        <v>97.348950118808503</v>
      </c>
      <c r="AJ7303">
        <v>79.8720786434682</v>
      </c>
      <c r="AK7303">
        <v>0.62881523124229499</v>
      </c>
      <c r="AL7303">
        <v>92.362556124646105</v>
      </c>
      <c r="AM7303">
        <v>80.000406282066905</v>
      </c>
      <c r="AN7303">
        <v>1.00000002011293</v>
      </c>
    </row>
    <row r="7304" spans="1:40" x14ac:dyDescent="0.25">
      <c r="A7304" t="str">
        <f>"20190312161203936"</f>
        <v>20190312161203936</v>
      </c>
      <c r="B7304" t="str">
        <f>"1552378323924465"</f>
        <v>1552378323924465</v>
      </c>
      <c r="C7304" t="s">
        <v>40</v>
      </c>
      <c r="D7304">
        <v>6.1788339999999904</v>
      </c>
      <c r="E7304">
        <v>0.48645620000000001</v>
      </c>
      <c r="F7304" t="s">
        <v>42</v>
      </c>
      <c r="G7304">
        <v>-184.4913</v>
      </c>
      <c r="H7304">
        <v>1.031458</v>
      </c>
      <c r="I7304">
        <v>118.5223</v>
      </c>
      <c r="J7304">
        <v>-184.69730000000001</v>
      </c>
      <c r="K7304">
        <v>1.110509</v>
      </c>
      <c r="L7304">
        <v>117.9267</v>
      </c>
      <c r="M7304">
        <v>0.15773789999999999</v>
      </c>
      <c r="N7304">
        <v>0</v>
      </c>
      <c r="O7304">
        <v>0.9874269</v>
      </c>
      <c r="P7304">
        <v>0.32662360000000001</v>
      </c>
      <c r="Q7304">
        <v>-5.246671E-2</v>
      </c>
      <c r="R7304">
        <v>0.94369709999999996</v>
      </c>
      <c r="S7304">
        <v>0.86651610000000001</v>
      </c>
      <c r="T7304">
        <v>-0.29691600000000001</v>
      </c>
      <c r="U7304">
        <v>2.8628230000000001</v>
      </c>
      <c r="V7304">
        <v>0.17375979999999999</v>
      </c>
      <c r="W7304">
        <v>-4.193069E-2</v>
      </c>
      <c r="X7304">
        <v>0.98389499999999996</v>
      </c>
      <c r="Y7304">
        <v>0.13366430000000001</v>
      </c>
      <c r="Z7304">
        <v>-9.8599370000000006E-2</v>
      </c>
      <c r="AA7304">
        <v>0.98610960000000003</v>
      </c>
      <c r="AB7304">
        <v>19</v>
      </c>
      <c r="AC7304">
        <v>0.206000000000017</v>
      </c>
      <c r="AD7304">
        <v>-7.9050999999999899E-2</v>
      </c>
      <c r="AE7304">
        <v>0.59560000000000402</v>
      </c>
      <c r="AF7304">
        <v>0.107771448028512</v>
      </c>
      <c r="AG7304">
        <v>-7.9050999999999899E-2</v>
      </c>
      <c r="AH7304">
        <v>0.61102491682793403</v>
      </c>
      <c r="AI7304">
        <v>97.260811685204303</v>
      </c>
      <c r="AJ7304">
        <v>79.997156317668797</v>
      </c>
      <c r="AK7304">
        <v>0.62547197746641403</v>
      </c>
      <c r="AL7304">
        <v>92.403156091818602</v>
      </c>
      <c r="AM7304">
        <v>79.984606874751506</v>
      </c>
      <c r="AN7304">
        <v>1.0000000109424501</v>
      </c>
    </row>
    <row r="7305" spans="1:40" x14ac:dyDescent="0.25">
      <c r="A7305" t="str">
        <f>"20190312161203961"</f>
        <v>20190312161203961</v>
      </c>
      <c r="B7305" t="str">
        <f>"1552378323954721"</f>
        <v>1552378323954721</v>
      </c>
      <c r="C7305" t="s">
        <v>40</v>
      </c>
      <c r="D7305">
        <v>6.2462739999999997</v>
      </c>
      <c r="E7305">
        <v>0.50047229999999998</v>
      </c>
      <c r="F7305" t="s">
        <v>42</v>
      </c>
      <c r="G7305">
        <v>-184.4666</v>
      </c>
      <c r="H7305">
        <v>1.0327580000000001</v>
      </c>
      <c r="I7305">
        <v>118.687</v>
      </c>
      <c r="J7305">
        <v>-184.66829999999999</v>
      </c>
      <c r="K7305">
        <v>1.1104639999999999</v>
      </c>
      <c r="L7305">
        <v>118.12220000000001</v>
      </c>
      <c r="M7305">
        <v>0.1559429</v>
      </c>
      <c r="N7305">
        <v>0</v>
      </c>
      <c r="O7305">
        <v>0.9877127</v>
      </c>
      <c r="P7305">
        <v>0.32548139999999998</v>
      </c>
      <c r="Q7305">
        <v>-5.2279730000000003E-2</v>
      </c>
      <c r="R7305">
        <v>0.944102</v>
      </c>
      <c r="S7305">
        <v>0.86834719999999999</v>
      </c>
      <c r="T7305">
        <v>-0.29274090000000003</v>
      </c>
      <c r="U7305">
        <v>2.8621370000000002</v>
      </c>
      <c r="V7305">
        <v>0.17435200000000001</v>
      </c>
      <c r="W7305">
        <v>-4.1819559999999999E-2</v>
      </c>
      <c r="X7305">
        <v>0.98379490000000003</v>
      </c>
      <c r="Y7305">
        <v>0.1361473</v>
      </c>
      <c r="Z7305">
        <v>-9.7265030000000002E-2</v>
      </c>
      <c r="AA7305">
        <v>0.98590239999999996</v>
      </c>
      <c r="AB7305">
        <v>19</v>
      </c>
      <c r="AC7305">
        <v>0.201699999999988</v>
      </c>
      <c r="AD7305">
        <v>-7.7705999999999803E-2</v>
      </c>
      <c r="AE7305">
        <v>0.56480000000000496</v>
      </c>
      <c r="AF7305">
        <v>0.109315803475611</v>
      </c>
      <c r="AG7305">
        <v>-7.7705999999999803E-2</v>
      </c>
      <c r="AH7305">
        <v>0.57961450676048998</v>
      </c>
      <c r="AI7305">
        <v>97.505062273700702</v>
      </c>
      <c r="AJ7305">
        <v>79.319423557682498</v>
      </c>
      <c r="AK7305">
        <v>0.59492952840880597</v>
      </c>
      <c r="AL7305">
        <v>92.396783367188903</v>
      </c>
      <c r="AM7305">
        <v>79.950165803086605</v>
      </c>
      <c r="AN7305">
        <v>0.99999995038430001</v>
      </c>
    </row>
    <row r="7306" spans="1:40" x14ac:dyDescent="0.25">
      <c r="A7306" t="str">
        <f>"20190312161203984"</f>
        <v>20190312161203984</v>
      </c>
      <c r="B7306" t="str">
        <f>"1552378323974241"</f>
        <v>1552378323974241</v>
      </c>
      <c r="C7306" t="s">
        <v>40</v>
      </c>
      <c r="D7306">
        <v>6.1780679999999997</v>
      </c>
      <c r="E7306">
        <v>0.50318890000000005</v>
      </c>
      <c r="F7306" t="s">
        <v>55</v>
      </c>
      <c r="G7306">
        <v>-166.2972</v>
      </c>
      <c r="H7306">
        <v>0.33934019999999998</v>
      </c>
      <c r="I7306">
        <v>170.8356</v>
      </c>
      <c r="J7306">
        <v>-184.64019999999999</v>
      </c>
      <c r="K7306">
        <v>1.1104069999999999</v>
      </c>
      <c r="L7306">
        <v>118.3129</v>
      </c>
      <c r="M7306">
        <v>0.154256</v>
      </c>
      <c r="N7306">
        <v>0</v>
      </c>
      <c r="O7306">
        <v>0.98797820000000003</v>
      </c>
      <c r="P7306">
        <v>0.32414219999999999</v>
      </c>
      <c r="Q7306">
        <v>-5.0993919999999998E-2</v>
      </c>
      <c r="R7306">
        <v>0.94463299999999994</v>
      </c>
      <c r="S7306">
        <v>0.98793030000000004</v>
      </c>
      <c r="T7306">
        <v>-4.1466360000000001E-2</v>
      </c>
      <c r="U7306">
        <v>2.8347319999999998</v>
      </c>
      <c r="V7306">
        <v>0.174619</v>
      </c>
      <c r="W7306">
        <v>-4.0613549999999998E-2</v>
      </c>
      <c r="X7306">
        <v>0.98379810000000001</v>
      </c>
      <c r="Y7306">
        <v>0.1794539</v>
      </c>
      <c r="Z7306">
        <v>-1.3839250000000001E-2</v>
      </c>
      <c r="AA7306">
        <v>0.98366900000000002</v>
      </c>
      <c r="AB7306">
        <v>19</v>
      </c>
      <c r="AC7306">
        <v>18.3429999999999</v>
      </c>
      <c r="AD7306">
        <v>-0.77106679999999905</v>
      </c>
      <c r="AE7306">
        <v>52.5227</v>
      </c>
      <c r="AF7306">
        <v>10.0191398389849</v>
      </c>
      <c r="AG7306">
        <v>-0.77106679999999905</v>
      </c>
      <c r="AH7306">
        <v>54.713140612566903</v>
      </c>
      <c r="AI7306">
        <v>90.794205549388593</v>
      </c>
      <c r="AJ7306">
        <v>79.622897809358506</v>
      </c>
      <c r="AK7306">
        <v>55.628279344356102</v>
      </c>
      <c r="AL7306">
        <v>92.327625242836504</v>
      </c>
      <c r="AM7306">
        <v>79.935122138996306</v>
      </c>
      <c r="AN7306">
        <v>0.99999997858410505</v>
      </c>
    </row>
    <row r="7307" spans="1:40" x14ac:dyDescent="0.25">
      <c r="A7307" t="str">
        <f>"20190312161204026"</f>
        <v>20190312161204026</v>
      </c>
      <c r="B7307" t="str">
        <f>"1552378324014257"</f>
        <v>1552378324014257</v>
      </c>
      <c r="C7307" t="s">
        <v>40</v>
      </c>
      <c r="D7307">
        <v>6.1724699999999997</v>
      </c>
      <c r="E7307">
        <v>0.50437100000000001</v>
      </c>
      <c r="F7307" t="s">
        <v>55</v>
      </c>
      <c r="G7307">
        <v>-166.0881</v>
      </c>
      <c r="H7307">
        <v>0.118474</v>
      </c>
      <c r="I7307">
        <v>170.62690000000001</v>
      </c>
      <c r="J7307">
        <v>-184.58789999999999</v>
      </c>
      <c r="K7307">
        <v>1.1102559999999999</v>
      </c>
      <c r="L7307">
        <v>118.673</v>
      </c>
      <c r="M7307">
        <v>0.1513467</v>
      </c>
      <c r="N7307">
        <v>0</v>
      </c>
      <c r="O7307">
        <v>0.98842920000000001</v>
      </c>
      <c r="P7307">
        <v>0.32505869999999998</v>
      </c>
      <c r="Q7307">
        <v>-5.1692370000000001E-2</v>
      </c>
      <c r="R7307">
        <v>0.94428000000000001</v>
      </c>
      <c r="S7307">
        <v>1.0031589999999999</v>
      </c>
      <c r="T7307">
        <v>-5.3634290000000001E-2</v>
      </c>
      <c r="U7307">
        <v>2.828735</v>
      </c>
      <c r="V7307">
        <v>0.17846129999999999</v>
      </c>
      <c r="W7307">
        <v>-4.14775E-2</v>
      </c>
      <c r="X7307">
        <v>0.98307230000000001</v>
      </c>
      <c r="Y7307">
        <v>0.18768180000000001</v>
      </c>
      <c r="Z7307">
        <v>-1.7917499999999999E-2</v>
      </c>
      <c r="AA7307">
        <v>0.98206649999999995</v>
      </c>
      <c r="AB7307">
        <v>19</v>
      </c>
      <c r="AC7307">
        <v>18.4998</v>
      </c>
      <c r="AD7307">
        <v>-0.99178200000000005</v>
      </c>
      <c r="AE7307">
        <v>51.953899999999997</v>
      </c>
      <c r="AF7307">
        <v>10.419852366134799</v>
      </c>
      <c r="AG7307">
        <v>-0.99178200000000005</v>
      </c>
      <c r="AH7307">
        <v>54.137885928253397</v>
      </c>
      <c r="AI7307">
        <v>91.030604609338496</v>
      </c>
      <c r="AJ7307">
        <v>79.105573226658507</v>
      </c>
      <c r="AK7307">
        <v>55.140435686056598</v>
      </c>
      <c r="AL7307">
        <v>92.377167674631806</v>
      </c>
      <c r="AM7307">
        <v>79.710901420401299</v>
      </c>
      <c r="AN7307">
        <v>0.99999998281561397</v>
      </c>
    </row>
    <row r="7308" spans="1:40" x14ac:dyDescent="0.25">
      <c r="A7308" t="str">
        <f>"20190312161204049"</f>
        <v>20190312161204049</v>
      </c>
      <c r="B7308" t="str">
        <f>"1552378324044513"</f>
        <v>1552378324044513</v>
      </c>
      <c r="C7308" t="s">
        <v>40</v>
      </c>
      <c r="D7308">
        <v>6.1676310000000001</v>
      </c>
      <c r="E7308">
        <v>0.50545739999999995</v>
      </c>
      <c r="F7308" t="s">
        <v>43</v>
      </c>
      <c r="G7308">
        <v>-166.69319999999999</v>
      </c>
      <c r="H7308">
        <v>-0.05</v>
      </c>
      <c r="I7308">
        <v>168.50749999999999</v>
      </c>
      <c r="J7308">
        <v>-184.56139999999999</v>
      </c>
      <c r="K7308">
        <v>1.1101760000000001</v>
      </c>
      <c r="L7308">
        <v>118.857</v>
      </c>
      <c r="M7308">
        <v>0.15001239999999999</v>
      </c>
      <c r="N7308">
        <v>0</v>
      </c>
      <c r="O7308">
        <v>0.98863310000000004</v>
      </c>
      <c r="P7308">
        <v>0.32595770000000002</v>
      </c>
      <c r="Q7308">
        <v>-5.2240790000000002E-2</v>
      </c>
      <c r="R7308">
        <v>0.94393990000000005</v>
      </c>
      <c r="S7308">
        <v>1.01416</v>
      </c>
      <c r="T7308">
        <v>-6.5756079999999995E-2</v>
      </c>
      <c r="U7308">
        <v>2.8243100000000001</v>
      </c>
      <c r="V7308">
        <v>0.1807214</v>
      </c>
      <c r="W7308">
        <v>-4.2108329999999999E-2</v>
      </c>
      <c r="X7308">
        <v>0.98263250000000002</v>
      </c>
      <c r="Y7308">
        <v>0.1928549</v>
      </c>
      <c r="Z7308">
        <v>-2.197913E-2</v>
      </c>
      <c r="AA7308">
        <v>0.98098110000000005</v>
      </c>
      <c r="AB7308">
        <v>19</v>
      </c>
      <c r="AC7308">
        <v>17.868200000000002</v>
      </c>
      <c r="AD7308">
        <v>-1.1601760000000001</v>
      </c>
      <c r="AE7308">
        <v>49.650499999999901</v>
      </c>
      <c r="AF7308">
        <v>10.212481894995999</v>
      </c>
      <c r="AG7308">
        <v>-1.1601760000000001</v>
      </c>
      <c r="AH7308">
        <v>51.744177151324301</v>
      </c>
      <c r="AI7308">
        <v>91.260134973679499</v>
      </c>
      <c r="AJ7308">
        <v>78.835316615464194</v>
      </c>
      <c r="AK7308">
        <v>52.755100832755801</v>
      </c>
      <c r="AL7308">
        <v>92.413343178826693</v>
      </c>
      <c r="AM7308">
        <v>79.578871534024998</v>
      </c>
      <c r="AN7308">
        <v>0.99999998296479897</v>
      </c>
    </row>
    <row r="7309" spans="1:40" x14ac:dyDescent="0.25">
      <c r="A7309" t="str">
        <f>"20190312161204073"</f>
        <v>20190312161204073</v>
      </c>
      <c r="B7309" t="str">
        <f>"1552378324064834"</f>
        <v>1552378324064834</v>
      </c>
      <c r="C7309" t="s">
        <v>40</v>
      </c>
      <c r="D7309">
        <v>5.7616529999999999</v>
      </c>
      <c r="E7309">
        <v>0.50573889999999999</v>
      </c>
      <c r="F7309" t="s">
        <v>43</v>
      </c>
      <c r="G7309">
        <v>-167.7645</v>
      </c>
      <c r="H7309">
        <v>-0.05</v>
      </c>
      <c r="I7309">
        <v>165.06739999999999</v>
      </c>
      <c r="J7309">
        <v>-184.53290000000001</v>
      </c>
      <c r="K7309">
        <v>1.1100989999999999</v>
      </c>
      <c r="L7309">
        <v>119.05540000000001</v>
      </c>
      <c r="M7309">
        <v>0.14869599999999999</v>
      </c>
      <c r="N7309">
        <v>0</v>
      </c>
      <c r="O7309">
        <v>0.9888325</v>
      </c>
      <c r="P7309">
        <v>0.32659769999999999</v>
      </c>
      <c r="Q7309">
        <v>-5.2027440000000001E-2</v>
      </c>
      <c r="R7309">
        <v>0.94373039999999997</v>
      </c>
      <c r="S7309">
        <v>1.025131</v>
      </c>
      <c r="T7309">
        <v>-7.0806620000000001E-2</v>
      </c>
      <c r="U7309">
        <v>2.8202669999999999</v>
      </c>
      <c r="V7309">
        <v>0.1826855</v>
      </c>
      <c r="W7309">
        <v>-4.198259E-2</v>
      </c>
      <c r="X7309">
        <v>0.98227469999999995</v>
      </c>
      <c r="Y7309">
        <v>0.19796759999999999</v>
      </c>
      <c r="Z7309">
        <v>-2.3677900000000002E-2</v>
      </c>
      <c r="AA7309">
        <v>0.97992250000000003</v>
      </c>
      <c r="AB7309">
        <v>19</v>
      </c>
      <c r="AC7309">
        <v>16.7684</v>
      </c>
      <c r="AD7309">
        <v>-1.160099</v>
      </c>
      <c r="AE7309">
        <v>46.011999999999901</v>
      </c>
      <c r="AF7309">
        <v>9.7343619337382599</v>
      </c>
      <c r="AG7309">
        <v>-1.160099</v>
      </c>
      <c r="AH7309">
        <v>47.967032271361496</v>
      </c>
      <c r="AI7309">
        <v>91.357781132458399</v>
      </c>
      <c r="AJ7309">
        <v>78.528266267203406</v>
      </c>
      <c r="AK7309">
        <v>48.9585520299431</v>
      </c>
      <c r="AL7309">
        <v>92.406132250217794</v>
      </c>
      <c r="AM7309">
        <v>79.464384007224396</v>
      </c>
      <c r="AN7309">
        <v>1.0000000580167201</v>
      </c>
    </row>
    <row r="7310" spans="1:40" x14ac:dyDescent="0.25">
      <c r="A7310" t="str">
        <f>"20190312161204095"</f>
        <v>20190312161204095</v>
      </c>
      <c r="B7310" t="str">
        <f>"1552378324084357"</f>
        <v>1552378324084357</v>
      </c>
      <c r="C7310" t="s">
        <v>40</v>
      </c>
      <c r="D7310">
        <v>6.0224599999999997</v>
      </c>
      <c r="E7310">
        <v>0.50623169999999995</v>
      </c>
      <c r="F7310" t="s">
        <v>43</v>
      </c>
      <c r="G7310">
        <v>-167.43530000000001</v>
      </c>
      <c r="H7310">
        <v>-0.05</v>
      </c>
      <c r="I7310">
        <v>165.89089999999999</v>
      </c>
      <c r="J7310">
        <v>-184.50649999999999</v>
      </c>
      <c r="K7310">
        <v>1.1100319999999999</v>
      </c>
      <c r="L7310">
        <v>119.2402</v>
      </c>
      <c r="M7310">
        <v>0.1476006</v>
      </c>
      <c r="N7310">
        <v>0</v>
      </c>
      <c r="O7310">
        <v>0.98899720000000002</v>
      </c>
      <c r="P7310">
        <v>0.32696550000000002</v>
      </c>
      <c r="Q7310">
        <v>-5.1478540000000003E-2</v>
      </c>
      <c r="R7310">
        <v>0.94363319999999995</v>
      </c>
      <c r="S7310">
        <v>1.029053</v>
      </c>
      <c r="T7310">
        <v>-6.9822910000000002E-2</v>
      </c>
      <c r="U7310">
        <v>2.8188930000000001</v>
      </c>
      <c r="V7310">
        <v>0.1841438</v>
      </c>
      <c r="W7310">
        <v>-4.1517159999999997E-2</v>
      </c>
      <c r="X7310">
        <v>0.98202210000000001</v>
      </c>
      <c r="Y7310">
        <v>0.20041220000000001</v>
      </c>
      <c r="Z7310">
        <v>-2.335431E-2</v>
      </c>
      <c r="AA7310">
        <v>0.97943329999999995</v>
      </c>
      <c r="AB7310">
        <v>19</v>
      </c>
      <c r="AC7310">
        <v>17.071199999999902</v>
      </c>
      <c r="AD7310">
        <v>-1.160032</v>
      </c>
      <c r="AE7310">
        <v>46.650699999999901</v>
      </c>
      <c r="AF7310">
        <v>9.9927414562446408</v>
      </c>
      <c r="AG7310">
        <v>-1.160032</v>
      </c>
      <c r="AH7310">
        <v>48.633009874719697</v>
      </c>
      <c r="AI7310">
        <v>91.338452520088296</v>
      </c>
      <c r="AJ7310">
        <v>78.388901037008495</v>
      </c>
      <c r="AK7310">
        <v>49.6625634208199</v>
      </c>
      <c r="AL7310">
        <v>92.379441921358804</v>
      </c>
      <c r="AM7310">
        <v>79.379518653269997</v>
      </c>
      <c r="AN7310">
        <v>1.00000000927065</v>
      </c>
    </row>
    <row r="7311" spans="1:40" x14ac:dyDescent="0.25">
      <c r="A7311" t="str">
        <f>"20190312161204116"</f>
        <v>20190312161204116</v>
      </c>
      <c r="B7311" t="str">
        <f>"1552378324104850"</f>
        <v>1552378324104850</v>
      </c>
      <c r="C7311" t="s">
        <v>40</v>
      </c>
      <c r="D7311">
        <v>6.1554690000000001</v>
      </c>
      <c r="E7311">
        <v>0.50643660000000001</v>
      </c>
      <c r="F7311" t="s">
        <v>43</v>
      </c>
      <c r="G7311">
        <v>-167.12599999999901</v>
      </c>
      <c r="H7311">
        <v>-0.05</v>
      </c>
      <c r="I7311">
        <v>166.60570000000001</v>
      </c>
      <c r="J7311">
        <v>-184.48169999999999</v>
      </c>
      <c r="K7311">
        <v>1.1099600000000001</v>
      </c>
      <c r="L7311">
        <v>119.41419999999999</v>
      </c>
      <c r="M7311">
        <v>0.14669889999999999</v>
      </c>
      <c r="N7311">
        <v>0</v>
      </c>
      <c r="O7311">
        <v>0.98913189999999995</v>
      </c>
      <c r="P7311">
        <v>0.32766970000000001</v>
      </c>
      <c r="Q7311">
        <v>-5.1583030000000002E-2</v>
      </c>
      <c r="R7311">
        <v>0.94338319999999998</v>
      </c>
      <c r="S7311">
        <v>1.033768</v>
      </c>
      <c r="T7311">
        <v>-6.8996909999999995E-2</v>
      </c>
      <c r="U7311">
        <v>2.8172299999999999</v>
      </c>
      <c r="V7311">
        <v>0.18576519999999999</v>
      </c>
      <c r="W7311">
        <v>-4.1704480000000002E-2</v>
      </c>
      <c r="X7311">
        <v>0.98170869999999999</v>
      </c>
      <c r="Y7311">
        <v>0.2029386</v>
      </c>
      <c r="Z7311">
        <v>-2.3083099999999999E-2</v>
      </c>
      <c r="AA7311">
        <v>0.97891930000000005</v>
      </c>
      <c r="AB7311">
        <v>19</v>
      </c>
      <c r="AC7311">
        <v>17.355699999999999</v>
      </c>
      <c r="AD7311">
        <v>-1.1599600000000001</v>
      </c>
      <c r="AE7311">
        <v>47.191499999999998</v>
      </c>
      <c r="AF7311">
        <v>10.239185737157801</v>
      </c>
      <c r="AG7311">
        <v>-1.1599600000000001</v>
      </c>
      <c r="AH7311">
        <v>49.200896358091498</v>
      </c>
      <c r="AI7311">
        <v>91.322235793251394</v>
      </c>
      <c r="AJ7311">
        <v>78.243989681743201</v>
      </c>
      <c r="AK7311">
        <v>50.268425817816102</v>
      </c>
      <c r="AL7311">
        <v>92.390183958484002</v>
      </c>
      <c r="AM7311">
        <v>79.284818819811903</v>
      </c>
      <c r="AN7311">
        <v>0.99999997241939897</v>
      </c>
    </row>
    <row r="7312" spans="1:40" x14ac:dyDescent="0.25">
      <c r="A7312" t="str">
        <f>"20190312161204137"</f>
        <v>20190312161204137</v>
      </c>
      <c r="B7312" t="str">
        <f>"1552378324124370"</f>
        <v>1552378324124370</v>
      </c>
      <c r="C7312" t="s">
        <v>40</v>
      </c>
      <c r="D7312">
        <v>6.1334299999999997</v>
      </c>
      <c r="E7312">
        <v>0.50652730000000001</v>
      </c>
      <c r="F7312" t="s">
        <v>43</v>
      </c>
      <c r="G7312">
        <v>-167.3039</v>
      </c>
      <c r="H7312">
        <v>-0.05</v>
      </c>
      <c r="I7312">
        <v>166.03099999999901</v>
      </c>
      <c r="J7312">
        <v>-184.4563</v>
      </c>
      <c r="K7312">
        <v>1.1098790000000001</v>
      </c>
      <c r="L7312">
        <v>119.5929</v>
      </c>
      <c r="M7312">
        <v>0.14591019999999999</v>
      </c>
      <c r="N7312">
        <v>0</v>
      </c>
      <c r="O7312">
        <v>0.98924909999999999</v>
      </c>
      <c r="P7312">
        <v>0.32846370000000003</v>
      </c>
      <c r="Q7312">
        <v>-5.0469939999999998E-2</v>
      </c>
      <c r="R7312">
        <v>0.94316719999999998</v>
      </c>
      <c r="S7312">
        <v>1.037598</v>
      </c>
      <c r="T7312">
        <v>-7.0065379999999997E-2</v>
      </c>
      <c r="U7312">
        <v>2.8158110000000001</v>
      </c>
      <c r="V7312">
        <v>0.18735560000000001</v>
      </c>
      <c r="W7312">
        <v>-4.0680929999999997E-2</v>
      </c>
      <c r="X7312">
        <v>0.98144940000000003</v>
      </c>
      <c r="Y7312">
        <v>0.20504839999999999</v>
      </c>
      <c r="Z7312">
        <v>-2.3444989999999999E-2</v>
      </c>
      <c r="AA7312">
        <v>0.97847099999999998</v>
      </c>
      <c r="AB7312">
        <v>19</v>
      </c>
      <c r="AC7312">
        <v>17.1524</v>
      </c>
      <c r="AD7312">
        <v>-1.1598790000000001</v>
      </c>
      <c r="AE7312">
        <v>46.438099999999899</v>
      </c>
      <c r="AF7312">
        <v>10.187103028418401</v>
      </c>
      <c r="AG7312">
        <v>-1.1598790000000001</v>
      </c>
      <c r="AH7312">
        <v>48.4173157516841</v>
      </c>
      <c r="AI7312">
        <v>91.342916077791301</v>
      </c>
      <c r="AJ7312">
        <v>78.118159254828498</v>
      </c>
      <c r="AK7312">
        <v>49.490997686493799</v>
      </c>
      <c r="AL7312">
        <v>92.331488994810499</v>
      </c>
      <c r="AM7312">
        <v>79.192445688539905</v>
      </c>
      <c r="AN7312">
        <v>0.99999999183869204</v>
      </c>
    </row>
    <row r="7313" spans="1:40" x14ac:dyDescent="0.25">
      <c r="A7313" t="str">
        <f>"20190312161204161"</f>
        <v>20190312161204161</v>
      </c>
      <c r="B7313" t="str">
        <f>"1552378324154289"</f>
        <v>1552378324154289</v>
      </c>
      <c r="C7313" t="s">
        <v>40</v>
      </c>
      <c r="D7313">
        <v>6.2265769999999998</v>
      </c>
      <c r="E7313">
        <v>0.50674459999999999</v>
      </c>
      <c r="F7313" t="s">
        <v>43</v>
      </c>
      <c r="G7313">
        <v>-166.1534</v>
      </c>
      <c r="H7313">
        <v>-0.05</v>
      </c>
      <c r="I7313">
        <v>169.09</v>
      </c>
      <c r="J7313">
        <v>-184.4272</v>
      </c>
      <c r="K7313">
        <v>1.109777</v>
      </c>
      <c r="L7313">
        <v>119.7966</v>
      </c>
      <c r="M7313">
        <v>0.14518029999999901</v>
      </c>
      <c r="N7313">
        <v>0</v>
      </c>
      <c r="O7313">
        <v>0.98935700000000004</v>
      </c>
      <c r="P7313">
        <v>0.328970599999999</v>
      </c>
      <c r="Q7313">
        <v>-4.8874580000000001E-2</v>
      </c>
      <c r="R7313">
        <v>0.94307459999999999</v>
      </c>
      <c r="S7313">
        <v>1.0408329999999999</v>
      </c>
      <c r="T7313">
        <v>-6.595898E-2</v>
      </c>
      <c r="U7313">
        <v>2.8147579999999999</v>
      </c>
      <c r="V7313">
        <v>0.18858330000000001</v>
      </c>
      <c r="W7313">
        <v>-3.91928E-2</v>
      </c>
      <c r="X7313">
        <v>0.9812748</v>
      </c>
      <c r="Y7313">
        <v>0.2068895</v>
      </c>
      <c r="Z7313">
        <v>-2.207435E-2</v>
      </c>
      <c r="AA7313">
        <v>0.97811530000000002</v>
      </c>
      <c r="AB7313">
        <v>19</v>
      </c>
      <c r="AC7313">
        <v>18.273799999999898</v>
      </c>
      <c r="AD7313">
        <v>-1.1597770000000001</v>
      </c>
      <c r="AE7313">
        <v>49.293399999999998</v>
      </c>
      <c r="AF7313">
        <v>10.918088786466299</v>
      </c>
      <c r="AG7313">
        <v>-1.1597770000000001</v>
      </c>
      <c r="AH7313">
        <v>51.399204123096702</v>
      </c>
      <c r="AI7313">
        <v>91.264407015489098</v>
      </c>
      <c r="AJ7313">
        <v>78.007625208297497</v>
      </c>
      <c r="AK7313">
        <v>52.558804494838498</v>
      </c>
      <c r="AL7313">
        <v>92.246157356353095</v>
      </c>
      <c r="AM7313">
        <v>79.121420930411603</v>
      </c>
      <c r="AN7313">
        <v>0.99999998486288399</v>
      </c>
    </row>
    <row r="7314" spans="1:40" x14ac:dyDescent="0.25">
      <c r="A7314" t="str">
        <f>"20190312161204183"</f>
        <v>20190312161204183</v>
      </c>
      <c r="B7314" t="str">
        <f>"1552378324174788"</f>
        <v>1552378324174788</v>
      </c>
      <c r="C7314" t="s">
        <v>40</v>
      </c>
      <c r="D7314">
        <v>6.2186199999999996</v>
      </c>
      <c r="E7314">
        <v>0.5200766</v>
      </c>
      <c r="F7314" t="s">
        <v>55</v>
      </c>
      <c r="G7314">
        <v>-165.71109999999999</v>
      </c>
      <c r="H7314">
        <v>1.2779240000000001E-2</v>
      </c>
      <c r="I7314">
        <v>170.25040000000001</v>
      </c>
      <c r="J7314">
        <v>-184.40090000000001</v>
      </c>
      <c r="K7314">
        <v>1.109667</v>
      </c>
      <c r="L7314">
        <v>119.9802</v>
      </c>
      <c r="M7314">
        <v>0.1446943</v>
      </c>
      <c r="N7314">
        <v>0</v>
      </c>
      <c r="O7314">
        <v>0.98942870000000005</v>
      </c>
      <c r="P7314">
        <v>0.32981949999999999</v>
      </c>
      <c r="Q7314">
        <v>-4.8611210000000002E-2</v>
      </c>
      <c r="R7314">
        <v>0.94279159999999995</v>
      </c>
      <c r="S7314">
        <v>1.0438080000000001</v>
      </c>
      <c r="T7314">
        <v>-6.1178209999999997E-2</v>
      </c>
      <c r="U7314">
        <v>2.813828</v>
      </c>
      <c r="V7314">
        <v>0.1899361</v>
      </c>
      <c r="W7314">
        <v>-3.9028790000000001E-2</v>
      </c>
      <c r="X7314">
        <v>0.98102040000000001</v>
      </c>
      <c r="Y7314">
        <v>0.20839650000000001</v>
      </c>
      <c r="Z7314">
        <v>-2.0476680000000001E-2</v>
      </c>
      <c r="AA7314">
        <v>0.97783010000000004</v>
      </c>
      <c r="AB7314">
        <v>19</v>
      </c>
      <c r="AC7314">
        <v>18.689800000000002</v>
      </c>
      <c r="AD7314">
        <v>-1.09688776</v>
      </c>
      <c r="AE7314">
        <v>50.270200000000003</v>
      </c>
      <c r="AF7314">
        <v>11.214251923128501</v>
      </c>
      <c r="AG7314">
        <v>-1.09688776</v>
      </c>
      <c r="AH7314">
        <v>52.423633690642198</v>
      </c>
      <c r="AI7314">
        <v>91.172144322775793</v>
      </c>
      <c r="AJ7314">
        <v>77.925499732436407</v>
      </c>
      <c r="AK7314">
        <v>53.6208912485057</v>
      </c>
      <c r="AL7314">
        <v>92.236753053123806</v>
      </c>
      <c r="AM7314">
        <v>79.042493026874098</v>
      </c>
      <c r="AN7314">
        <v>0.999999996874117</v>
      </c>
    </row>
    <row r="7315" spans="1:40" x14ac:dyDescent="0.25">
      <c r="A7315" t="str">
        <f>"20190312161204227"</f>
        <v>20190312161204227</v>
      </c>
      <c r="B7315" t="str">
        <f>"1552378324214801"</f>
        <v>1552378324214801</v>
      </c>
      <c r="C7315" t="s">
        <v>40</v>
      </c>
      <c r="D7315">
        <v>6.1698180000000002</v>
      </c>
      <c r="E7315">
        <v>0.504826</v>
      </c>
      <c r="F7315" t="s">
        <v>87</v>
      </c>
      <c r="G7315">
        <v>-178.12110000000001</v>
      </c>
      <c r="H7315" s="1">
        <v>-6.2766470000000004E-6</v>
      </c>
      <c r="I7315">
        <v>135.30170000000001</v>
      </c>
      <c r="J7315">
        <v>-184.3475</v>
      </c>
      <c r="K7315">
        <v>1.1094200000000001</v>
      </c>
      <c r="L7315">
        <v>120.3505</v>
      </c>
      <c r="M7315">
        <v>0.14428969999999999</v>
      </c>
      <c r="N7315">
        <v>0</v>
      </c>
      <c r="O7315">
        <v>0.98948879999999995</v>
      </c>
      <c r="P7315">
        <v>0.33502710000000002</v>
      </c>
      <c r="Q7315">
        <v>-5.0518769999999998E-2</v>
      </c>
      <c r="R7315">
        <v>0.94085319999999995</v>
      </c>
      <c r="S7315">
        <v>1.1369629999999999</v>
      </c>
      <c r="T7315">
        <v>-0.20090520000000001</v>
      </c>
      <c r="U7315">
        <v>2.7739410000000002</v>
      </c>
      <c r="V7315">
        <v>0.1957478</v>
      </c>
      <c r="W7315">
        <v>-4.1152859999999999E-2</v>
      </c>
      <c r="X7315">
        <v>0.97979039999999995</v>
      </c>
      <c r="Y7315">
        <v>0.24090149999999999</v>
      </c>
      <c r="Z7315">
        <v>-6.734801E-2</v>
      </c>
      <c r="AA7315">
        <v>0.96821000000000002</v>
      </c>
      <c r="AB7315">
        <v>19</v>
      </c>
      <c r="AC7315">
        <v>6.2263999999999804</v>
      </c>
      <c r="AD7315">
        <v>-1.109426276647</v>
      </c>
      <c r="AE7315">
        <v>14.9512</v>
      </c>
      <c r="AF7315">
        <v>3.9851343378923501</v>
      </c>
      <c r="AG7315">
        <v>-1.109426276647</v>
      </c>
      <c r="AH7315">
        <v>15.6198818153118</v>
      </c>
      <c r="AI7315">
        <v>93.937000038319695</v>
      </c>
      <c r="AJ7315">
        <v>75.687337967301403</v>
      </c>
      <c r="AK7315">
        <v>16.158367190984102</v>
      </c>
      <c r="AL7315">
        <v>92.358551251765903</v>
      </c>
      <c r="AM7315">
        <v>78.7018917323294</v>
      </c>
      <c r="AN7315">
        <v>0.99999999351158897</v>
      </c>
    </row>
    <row r="7316" spans="1:40" x14ac:dyDescent="0.25">
      <c r="A7316" t="str">
        <f>"20190312161204253"</f>
        <v>20190312161204253</v>
      </c>
      <c r="B7316" t="str">
        <f>"1552378324245057"</f>
        <v>1552378324245057</v>
      </c>
      <c r="C7316" t="s">
        <v>40</v>
      </c>
      <c r="D7316">
        <v>6.2650750000000004</v>
      </c>
      <c r="E7316">
        <v>0.50704470000000001</v>
      </c>
      <c r="F7316" t="s">
        <v>55</v>
      </c>
      <c r="G7316">
        <v>-165.69919999999999</v>
      </c>
      <c r="H7316">
        <v>0.87301450000000003</v>
      </c>
      <c r="I7316">
        <v>170.2379</v>
      </c>
      <c r="J7316">
        <v>-184.3158</v>
      </c>
      <c r="K7316">
        <v>1.1093</v>
      </c>
      <c r="L7316">
        <v>120.56789999999999</v>
      </c>
      <c r="M7316">
        <v>0.14436019999999999</v>
      </c>
      <c r="N7316">
        <v>0</v>
      </c>
      <c r="O7316">
        <v>0.989479</v>
      </c>
      <c r="P7316">
        <v>0.3392964</v>
      </c>
      <c r="Q7316">
        <v>-5.010092E-2</v>
      </c>
      <c r="R7316">
        <v>0.93934430000000002</v>
      </c>
      <c r="S7316">
        <v>1.051666</v>
      </c>
      <c r="T7316">
        <v>-1.333022E-2</v>
      </c>
      <c r="U7316">
        <v>2.8133849999999998</v>
      </c>
      <c r="V7316">
        <v>0.20010990000000001</v>
      </c>
      <c r="W7316">
        <v>-4.0850209999999998E-2</v>
      </c>
      <c r="X7316">
        <v>0.9789215</v>
      </c>
      <c r="Y7316">
        <v>0.21124519999999999</v>
      </c>
      <c r="Z7316">
        <v>-4.4601099999999998E-3</v>
      </c>
      <c r="AA7316">
        <v>0.97742289999999998</v>
      </c>
      <c r="AB7316">
        <v>19</v>
      </c>
      <c r="AC7316">
        <v>18.616599999999998</v>
      </c>
      <c r="AD7316">
        <v>-0.23628549999999901</v>
      </c>
      <c r="AE7316">
        <v>49.67</v>
      </c>
      <c r="AF7316">
        <v>11.250654783983601</v>
      </c>
      <c r="AG7316">
        <v>-0.23628549999999901</v>
      </c>
      <c r="AH7316">
        <v>51.836259550048503</v>
      </c>
      <c r="AI7316">
        <v>90.255227566747493</v>
      </c>
      <c r="AJ7316">
        <v>77.754328320438603</v>
      </c>
      <c r="AK7316">
        <v>53.043669443637498</v>
      </c>
      <c r="AL7316">
        <v>92.341196057027105</v>
      </c>
      <c r="AM7316">
        <v>78.446838004490999</v>
      </c>
      <c r="AN7316">
        <v>1.0000000074486499</v>
      </c>
    </row>
    <row r="7317" spans="1:40" x14ac:dyDescent="0.25">
      <c r="A7317" t="str">
        <f>"20190312161204283"</f>
        <v>20190312161204283</v>
      </c>
      <c r="B7317" t="str">
        <f>"1552378324274844"</f>
        <v>1552378324274844</v>
      </c>
      <c r="C7317" t="s">
        <v>40</v>
      </c>
      <c r="D7317">
        <v>6.2191530000000004</v>
      </c>
      <c r="E7317">
        <v>0.51913409999999904</v>
      </c>
      <c r="F7317" t="s">
        <v>55</v>
      </c>
      <c r="G7317">
        <v>-165.32149999999999</v>
      </c>
      <c r="H7317">
        <v>0.50093169999999998</v>
      </c>
      <c r="I7317">
        <v>169.86089999999999</v>
      </c>
      <c r="J7317">
        <v>-184.27680000000001</v>
      </c>
      <c r="K7317">
        <v>1.109162</v>
      </c>
      <c r="L7317">
        <v>120.8326</v>
      </c>
      <c r="M7317">
        <v>0.14471970000000001</v>
      </c>
      <c r="N7317">
        <v>0</v>
      </c>
      <c r="O7317">
        <v>0.98942699999999995</v>
      </c>
      <c r="P7317">
        <v>0.34513240000000001</v>
      </c>
      <c r="Q7317">
        <v>-5.0501740000000003E-2</v>
      </c>
      <c r="R7317">
        <v>0.93719430000000004</v>
      </c>
      <c r="S7317">
        <v>1.079666</v>
      </c>
      <c r="T7317">
        <v>-3.45788E-2</v>
      </c>
      <c r="U7317">
        <v>2.801895</v>
      </c>
      <c r="V7317">
        <v>0.20582819999999999</v>
      </c>
      <c r="W7317">
        <v>-4.1378760000000001E-2</v>
      </c>
      <c r="X7317">
        <v>0.9777129</v>
      </c>
      <c r="Y7317">
        <v>0.2207065</v>
      </c>
      <c r="Z7317">
        <v>-1.158007E-2</v>
      </c>
      <c r="AA7317">
        <v>0.97527149999999996</v>
      </c>
      <c r="AB7317">
        <v>19</v>
      </c>
      <c r="AC7317">
        <v>18.955300000000001</v>
      </c>
      <c r="AD7317">
        <v>-0.6082303</v>
      </c>
      <c r="AE7317">
        <v>49.028299999999902</v>
      </c>
      <c r="AF7317">
        <v>11.6584909721018</v>
      </c>
      <c r="AG7317">
        <v>-0.6082303</v>
      </c>
      <c r="AH7317">
        <v>51.248584835143603</v>
      </c>
      <c r="AI7317">
        <v>90.663029573000699</v>
      </c>
      <c r="AJ7317">
        <v>77.183949830749697</v>
      </c>
      <c r="AK7317">
        <v>52.561466907320302</v>
      </c>
      <c r="AL7317">
        <v>92.371505429465401</v>
      </c>
      <c r="AM7317">
        <v>78.111683965519703</v>
      </c>
      <c r="AN7317">
        <v>0.99999998226039299</v>
      </c>
    </row>
    <row r="7318" spans="1:40" x14ac:dyDescent="0.25">
      <c r="A7318" t="str">
        <f>"20190312161204305"</f>
        <v>20190312161204305</v>
      </c>
      <c r="B7318" t="str">
        <f>"1552378324294368"</f>
        <v>1552378324294368</v>
      </c>
      <c r="C7318" t="s">
        <v>40</v>
      </c>
      <c r="D7318">
        <v>6.2142770000000001</v>
      </c>
      <c r="E7318">
        <v>0.56167299999999998</v>
      </c>
      <c r="F7318" t="s">
        <v>87</v>
      </c>
      <c r="G7318">
        <v>-174.4376</v>
      </c>
      <c r="H7318" s="1">
        <v>-6.9505889999999999E-6</v>
      </c>
      <c r="I7318">
        <v>143.83510000000001</v>
      </c>
      <c r="J7318">
        <v>-184.24969999999999</v>
      </c>
      <c r="K7318">
        <v>1.109056</v>
      </c>
      <c r="L7318">
        <v>121.0146</v>
      </c>
      <c r="M7318">
        <v>0.14521510000000001</v>
      </c>
      <c r="N7318">
        <v>0</v>
      </c>
      <c r="O7318">
        <v>0.98935470000000003</v>
      </c>
      <c r="P7318">
        <v>0.35019149999999999</v>
      </c>
      <c r="Q7318">
        <v>-5.2063829999999998E-2</v>
      </c>
      <c r="R7318">
        <v>0.93523009999999995</v>
      </c>
      <c r="S7318">
        <v>1.1802520000000001</v>
      </c>
      <c r="T7318">
        <v>-0.13304959999999999</v>
      </c>
      <c r="U7318">
        <v>2.7592469999999998</v>
      </c>
      <c r="V7318">
        <v>0.210618</v>
      </c>
      <c r="W7318">
        <v>-4.3036650000000003E-2</v>
      </c>
      <c r="X7318">
        <v>0.97662070000000001</v>
      </c>
      <c r="Y7318">
        <v>0.25519380000000003</v>
      </c>
      <c r="Z7318">
        <v>-4.4656429999999997E-2</v>
      </c>
      <c r="AA7318">
        <v>0.96585810000000005</v>
      </c>
      <c r="AB7318">
        <v>19</v>
      </c>
      <c r="AC7318">
        <v>9.8120999999999796</v>
      </c>
      <c r="AD7318">
        <v>-1.109062950589</v>
      </c>
      <c r="AE7318">
        <v>22.820499999999999</v>
      </c>
      <c r="AF7318">
        <v>6.3813329028678396</v>
      </c>
      <c r="AG7318">
        <v>-1.109062950589</v>
      </c>
      <c r="AH7318">
        <v>23.955759474136599</v>
      </c>
      <c r="AI7318">
        <v>92.561492820060806</v>
      </c>
      <c r="AJ7318">
        <v>75.083923413183498</v>
      </c>
      <c r="AK7318">
        <v>24.8159191292259</v>
      </c>
      <c r="AL7318">
        <v>92.466580116268503</v>
      </c>
      <c r="AM7318">
        <v>77.829981428225693</v>
      </c>
      <c r="AN7318">
        <v>1.00000004341785</v>
      </c>
    </row>
    <row r="7319" spans="1:40" x14ac:dyDescent="0.25">
      <c r="A7319" t="str">
        <f>"20190312161204326"</f>
        <v>20190312161204326</v>
      </c>
      <c r="B7319" t="str">
        <f>"1552378324324620"</f>
        <v>1552378324324620</v>
      </c>
      <c r="C7319" t="s">
        <v>40</v>
      </c>
      <c r="D7319">
        <v>6.0798899999999998</v>
      </c>
      <c r="E7319">
        <v>0.56077639999999995</v>
      </c>
      <c r="F7319" t="s">
        <v>87</v>
      </c>
      <c r="G7319">
        <v>-172.8313</v>
      </c>
      <c r="H7319" s="1">
        <v>-5.2833459999999999E-6</v>
      </c>
      <c r="I7319">
        <v>140.88409999999999</v>
      </c>
      <c r="J7319">
        <v>-184.22120000000001</v>
      </c>
      <c r="K7319">
        <v>1.1089059999999999</v>
      </c>
      <c r="L7319">
        <v>121.2039</v>
      </c>
      <c r="M7319">
        <v>0.1459934</v>
      </c>
      <c r="N7319">
        <v>0</v>
      </c>
      <c r="O7319">
        <v>0.98924049999999997</v>
      </c>
      <c r="P7319">
        <v>0.35489749999999998</v>
      </c>
      <c r="Q7319">
        <v>-5.2541570000000003E-2</v>
      </c>
      <c r="R7319">
        <v>0.93342760000000002</v>
      </c>
      <c r="S7319">
        <v>1.513107</v>
      </c>
      <c r="T7319">
        <v>-0.14696670000000001</v>
      </c>
      <c r="U7319">
        <v>2.6329959999999999</v>
      </c>
      <c r="V7319">
        <v>0.214753</v>
      </c>
      <c r="W7319">
        <v>-4.363003E-2</v>
      </c>
      <c r="X7319">
        <v>0.97569329999999999</v>
      </c>
      <c r="Y7319">
        <v>0.36572860000000001</v>
      </c>
      <c r="Z7319">
        <v>-4.9159120000000001E-2</v>
      </c>
      <c r="AA7319">
        <v>0.92942239999999998</v>
      </c>
      <c r="AB7319">
        <v>19</v>
      </c>
      <c r="AC7319">
        <v>11.389900000000001</v>
      </c>
      <c r="AD7319">
        <v>-1.108911283346</v>
      </c>
      <c r="AE7319">
        <v>19.6801999999999</v>
      </c>
      <c r="AF7319">
        <v>8.3746277954897508</v>
      </c>
      <c r="AG7319">
        <v>-1.108911283346</v>
      </c>
      <c r="AH7319">
        <v>21.082103330979798</v>
      </c>
      <c r="AI7319">
        <v>92.798616616816801</v>
      </c>
      <c r="AJ7319">
        <v>68.335107781234299</v>
      </c>
      <c r="AK7319">
        <v>22.7116524234902</v>
      </c>
      <c r="AL7319">
        <v>92.500610551547098</v>
      </c>
      <c r="AM7319">
        <v>77.586953828763797</v>
      </c>
      <c r="AN7319">
        <v>0.99999992309584196</v>
      </c>
    </row>
    <row r="7320" spans="1:40" x14ac:dyDescent="0.25">
      <c r="A7320" t="str">
        <f>"20190312161204349"</f>
        <v>20190312161204349</v>
      </c>
      <c r="B7320" t="str">
        <f>"1552378324344140"</f>
        <v>1552378324344140</v>
      </c>
      <c r="C7320" t="s">
        <v>40</v>
      </c>
      <c r="D7320">
        <v>6.1291479999999998</v>
      </c>
      <c r="E7320">
        <v>0.56068339999999905</v>
      </c>
      <c r="F7320" t="s">
        <v>41</v>
      </c>
      <c r="G7320">
        <v>-167.0814</v>
      </c>
      <c r="H7320">
        <v>7.9985909999999993E-2</v>
      </c>
      <c r="I7320">
        <v>150.76669999999999</v>
      </c>
      <c r="J7320">
        <v>-184.19069999999999</v>
      </c>
      <c r="K7320">
        <v>1.10873</v>
      </c>
      <c r="L7320">
        <v>121.40260000000001</v>
      </c>
      <c r="M7320">
        <v>0.14704999999999999</v>
      </c>
      <c r="N7320">
        <v>0</v>
      </c>
      <c r="O7320">
        <v>0.98908419999999997</v>
      </c>
      <c r="P7320">
        <v>0.35944100000000001</v>
      </c>
      <c r="Q7320">
        <v>-5.1199590000000003E-2</v>
      </c>
      <c r="R7320">
        <v>0.93176219999999998</v>
      </c>
      <c r="S7320">
        <v>1.5243679999999999</v>
      </c>
      <c r="T7320">
        <v>-9.1509579999999993E-2</v>
      </c>
      <c r="U7320">
        <v>2.6292420000000001</v>
      </c>
      <c r="V7320">
        <v>0.21843499999999999</v>
      </c>
      <c r="W7320">
        <v>-4.2412749999999999E-2</v>
      </c>
      <c r="X7320">
        <v>0.97492939999999995</v>
      </c>
      <c r="Y7320">
        <v>0.36866300000000002</v>
      </c>
      <c r="Z7320">
        <v>-3.0615110000000001E-2</v>
      </c>
      <c r="AA7320">
        <v>0.92905879999999996</v>
      </c>
      <c r="AB7320">
        <v>19</v>
      </c>
      <c r="AC7320">
        <v>17.109299999999902</v>
      </c>
      <c r="AD7320">
        <v>-1.02874409</v>
      </c>
      <c r="AE7320">
        <v>29.364099999999901</v>
      </c>
      <c r="AF7320">
        <v>12.5935671484386</v>
      </c>
      <c r="AG7320">
        <v>-1.02874409</v>
      </c>
      <c r="AH7320">
        <v>31.5319973779559</v>
      </c>
      <c r="AI7320">
        <v>91.735433426403603</v>
      </c>
      <c r="AJ7320">
        <v>68.228722271285605</v>
      </c>
      <c r="AK7320">
        <v>33.969443718853498</v>
      </c>
      <c r="AL7320">
        <v>92.430800684034097</v>
      </c>
      <c r="AM7320">
        <v>77.371319515565801</v>
      </c>
      <c r="AN7320">
        <v>1.0000000127859601</v>
      </c>
    </row>
    <row r="7321" spans="1:40" x14ac:dyDescent="0.25">
      <c r="A7321" t="str">
        <f>"20190312161204373"</f>
        <v>20190312161204373</v>
      </c>
      <c r="B7321" t="str">
        <f>"1552378324364636"</f>
        <v>1552378324364636</v>
      </c>
      <c r="C7321" t="s">
        <v>40</v>
      </c>
      <c r="D7321">
        <v>6.2883709999999997</v>
      </c>
      <c r="E7321">
        <v>0.56098610000000004</v>
      </c>
      <c r="F7321" t="s">
        <v>43</v>
      </c>
      <c r="G7321">
        <v>-161.02629999999999</v>
      </c>
      <c r="H7321">
        <v>-0.05</v>
      </c>
      <c r="I7321">
        <v>160.91999999999999</v>
      </c>
      <c r="J7321">
        <v>-184.15899999999999</v>
      </c>
      <c r="K7321">
        <v>1.108557</v>
      </c>
      <c r="L7321">
        <v>121.6062</v>
      </c>
      <c r="M7321">
        <v>0.1483845</v>
      </c>
      <c r="N7321">
        <v>0</v>
      </c>
      <c r="O7321">
        <v>0.98888500000000001</v>
      </c>
      <c r="P7321">
        <v>0.36375370000000001</v>
      </c>
      <c r="Q7321">
        <v>-5.0693389999999998E-2</v>
      </c>
      <c r="R7321">
        <v>0.93011469999999896</v>
      </c>
      <c r="S7321">
        <v>1.537247</v>
      </c>
      <c r="T7321">
        <v>-7.6896069999999997E-2</v>
      </c>
      <c r="U7321">
        <v>2.6224669999999999</v>
      </c>
      <c r="V7321">
        <v>0.2216127</v>
      </c>
      <c r="W7321">
        <v>-4.2031819999999998E-2</v>
      </c>
      <c r="X7321">
        <v>0.97422850000000005</v>
      </c>
      <c r="Y7321">
        <v>0.37192009999999998</v>
      </c>
      <c r="Z7321">
        <v>-2.573228E-2</v>
      </c>
      <c r="AA7321">
        <v>0.92790810000000001</v>
      </c>
      <c r="AB7321">
        <v>19</v>
      </c>
      <c r="AC7321">
        <v>23.1327</v>
      </c>
      <c r="AD7321">
        <v>-1.1585570000000001</v>
      </c>
      <c r="AE7321">
        <v>39.313799999999901</v>
      </c>
      <c r="AF7321">
        <v>17.0317884354894</v>
      </c>
      <c r="AG7321">
        <v>-1.1585570000000001</v>
      </c>
      <c r="AH7321">
        <v>42.283956167800604</v>
      </c>
      <c r="AI7321">
        <v>91.455868807944498</v>
      </c>
      <c r="AJ7321">
        <v>68.060644502200006</v>
      </c>
      <c r="AK7321">
        <v>45.599967333694401</v>
      </c>
      <c r="AL7321">
        <v>92.408955513447694</v>
      </c>
      <c r="AM7321">
        <v>77.184710241644595</v>
      </c>
      <c r="AN7321">
        <v>1.0000000164530201</v>
      </c>
    </row>
    <row r="7322" spans="1:40" x14ac:dyDescent="0.25">
      <c r="A7322" t="str">
        <f>"20190312161204394"</f>
        <v>20190312161204394</v>
      </c>
      <c r="B7322" t="str">
        <f>"1552378324384156"</f>
        <v>1552378324384156</v>
      </c>
      <c r="C7322" t="s">
        <v>40</v>
      </c>
      <c r="D7322">
        <v>6.3238219999999998</v>
      </c>
      <c r="E7322">
        <v>0.56172569999999999</v>
      </c>
      <c r="F7322" t="s">
        <v>55</v>
      </c>
      <c r="G7322">
        <v>-159.16050000000001</v>
      </c>
      <c r="H7322">
        <v>6.3024520000000001E-2</v>
      </c>
      <c r="I7322">
        <v>163.70679999999999</v>
      </c>
      <c r="J7322">
        <v>-184.12970000000001</v>
      </c>
      <c r="K7322">
        <v>1.1083959999999999</v>
      </c>
      <c r="L7322">
        <v>121.7903</v>
      </c>
      <c r="M7322">
        <v>0.1498409</v>
      </c>
      <c r="N7322">
        <v>0</v>
      </c>
      <c r="O7322">
        <v>0.98866560000000003</v>
      </c>
      <c r="P7322">
        <v>0.36800270000000002</v>
      </c>
      <c r="Q7322">
        <v>-5.0887189999999999E-2</v>
      </c>
      <c r="R7322">
        <v>0.92843129999999996</v>
      </c>
      <c r="S7322">
        <v>1.5525359999999999</v>
      </c>
      <c r="T7322">
        <v>-6.4931150000000007E-2</v>
      </c>
      <c r="U7322">
        <v>2.6146699999999998</v>
      </c>
      <c r="V7322">
        <v>0.22461529999999999</v>
      </c>
      <c r="W7322">
        <v>-4.2336650000000003E-2</v>
      </c>
      <c r="X7322">
        <v>0.97352740000000004</v>
      </c>
      <c r="Y7322">
        <v>0.3758264</v>
      </c>
      <c r="Z7322">
        <v>-2.1731090000000002E-2</v>
      </c>
      <c r="AA7322">
        <v>0.92643520000000001</v>
      </c>
      <c r="AB7322">
        <v>19</v>
      </c>
      <c r="AC7322">
        <v>24.969200000000001</v>
      </c>
      <c r="AD7322">
        <v>-1.04537148</v>
      </c>
      <c r="AE7322">
        <v>41.9164999999999</v>
      </c>
      <c r="AF7322">
        <v>18.3977473324152</v>
      </c>
      <c r="AG7322">
        <v>-1.04537148</v>
      </c>
      <c r="AH7322">
        <v>45.164064421016498</v>
      </c>
      <c r="AI7322">
        <v>91.227993906878794</v>
      </c>
      <c r="AJ7322">
        <v>67.836294926908195</v>
      </c>
      <c r="AK7322">
        <v>48.778710760579997</v>
      </c>
      <c r="AL7322">
        <v>92.426436557901397</v>
      </c>
      <c r="AM7322">
        <v>77.007890438021406</v>
      </c>
      <c r="AN7322">
        <v>1.00000001173903</v>
      </c>
    </row>
    <row r="7323" spans="1:40" x14ac:dyDescent="0.25">
      <c r="A7323" t="str">
        <f>"20190312161204417"</f>
        <v>20190312161204417</v>
      </c>
      <c r="B7323" t="str">
        <f>"1552378324404652"</f>
        <v>1552378324404652</v>
      </c>
      <c r="C7323" t="s">
        <v>40</v>
      </c>
      <c r="D7323">
        <v>6.2551639999999997</v>
      </c>
      <c r="E7323">
        <v>0.56183309999999997</v>
      </c>
      <c r="F7323" t="s">
        <v>55</v>
      </c>
      <c r="G7323">
        <v>-158.97730000000001</v>
      </c>
      <c r="H7323">
        <v>-1.429367E-2</v>
      </c>
      <c r="I7323">
        <v>163.52369999999999</v>
      </c>
      <c r="J7323">
        <v>-184.09899999999999</v>
      </c>
      <c r="K7323">
        <v>1.108244</v>
      </c>
      <c r="L7323">
        <v>121.98009999999999</v>
      </c>
      <c r="M7323">
        <v>0.15161769999999999</v>
      </c>
      <c r="N7323">
        <v>0</v>
      </c>
      <c r="O7323">
        <v>0.98839480000000002</v>
      </c>
      <c r="P7323">
        <v>0.37213269999999998</v>
      </c>
      <c r="Q7323">
        <v>-5.0352260000000003E-2</v>
      </c>
      <c r="R7323">
        <v>0.92681279999999999</v>
      </c>
      <c r="S7323">
        <v>1.570068</v>
      </c>
      <c r="T7323">
        <v>-7.0078489999999993E-2</v>
      </c>
      <c r="U7323">
        <v>2.6050870000000002</v>
      </c>
      <c r="V7323">
        <v>0.22717950000000001</v>
      </c>
      <c r="W7323">
        <v>-4.1913150000000003E-2</v>
      </c>
      <c r="X7323">
        <v>0.97295050000000005</v>
      </c>
      <c r="Y7323">
        <v>0.38021820000000001</v>
      </c>
      <c r="Z7323">
        <v>-2.3457289999999999E-2</v>
      </c>
      <c r="AA7323">
        <v>0.92459930000000001</v>
      </c>
      <c r="AB7323">
        <v>20</v>
      </c>
      <c r="AC7323">
        <v>25.121700000000001</v>
      </c>
      <c r="AD7323">
        <v>-1.12253767</v>
      </c>
      <c r="AE7323">
        <v>41.543599999999998</v>
      </c>
      <c r="AF7323">
        <v>18.522323615818699</v>
      </c>
      <c r="AG7323">
        <v>-1.12253767</v>
      </c>
      <c r="AH7323">
        <v>44.848365384492503</v>
      </c>
      <c r="AI7323">
        <v>91.325260165425505</v>
      </c>
      <c r="AJ7323">
        <v>67.559430705298297</v>
      </c>
      <c r="AK7323">
        <v>48.535682138099503</v>
      </c>
      <c r="AL7323">
        <v>92.402150370681994</v>
      </c>
      <c r="AM7323">
        <v>76.857169837883006</v>
      </c>
      <c r="AN7323">
        <v>0.99999995640671002</v>
      </c>
    </row>
    <row r="7324" spans="1:40" x14ac:dyDescent="0.25">
      <c r="A7324" t="str">
        <f>"20190312161204439"</f>
        <v>20190312161204439</v>
      </c>
      <c r="B7324" t="str">
        <f>"1552378324434909"</f>
        <v>1552378324434909</v>
      </c>
      <c r="C7324" t="s">
        <v>40</v>
      </c>
      <c r="D7324">
        <v>6.3701749999999997</v>
      </c>
      <c r="E7324">
        <v>0.56276839999999995</v>
      </c>
      <c r="F7324" t="s">
        <v>43</v>
      </c>
      <c r="G7324">
        <v>-159.81389999999999</v>
      </c>
      <c r="H7324">
        <v>-0.05</v>
      </c>
      <c r="I7324">
        <v>161.85419999999999</v>
      </c>
      <c r="J7324">
        <v>-184.066</v>
      </c>
      <c r="K7324">
        <v>1.108087</v>
      </c>
      <c r="L7324">
        <v>122.1794</v>
      </c>
      <c r="M7324">
        <v>0.1537761</v>
      </c>
      <c r="N7324">
        <v>0</v>
      </c>
      <c r="O7324">
        <v>0.98806150000000004</v>
      </c>
      <c r="P7324">
        <v>0.37556270000000003</v>
      </c>
      <c r="Q7324">
        <v>-4.9206409999999999E-2</v>
      </c>
      <c r="R7324">
        <v>0.92548980000000003</v>
      </c>
      <c r="S7324">
        <v>1.582031</v>
      </c>
      <c r="T7324">
        <v>-7.54528E-2</v>
      </c>
      <c r="U7324">
        <v>2.5975649999999999</v>
      </c>
      <c r="V7324">
        <v>0.22863510000000001</v>
      </c>
      <c r="W7324">
        <v>-4.0879270000000002E-2</v>
      </c>
      <c r="X7324">
        <v>0.97265349999999995</v>
      </c>
      <c r="Y7324">
        <v>0.38246950000000002</v>
      </c>
      <c r="Z7324">
        <v>-2.526428E-2</v>
      </c>
      <c r="AA7324">
        <v>0.92362270000000002</v>
      </c>
      <c r="AB7324">
        <v>20</v>
      </c>
      <c r="AC7324">
        <v>24.252099999999899</v>
      </c>
      <c r="AD7324">
        <v>-1.1580870000000001</v>
      </c>
      <c r="AE7324">
        <v>39.674799999999898</v>
      </c>
      <c r="AF7324">
        <v>17.851238285969298</v>
      </c>
      <c r="AG7324">
        <v>-1.1580870000000001</v>
      </c>
      <c r="AH7324">
        <v>42.905798718480199</v>
      </c>
      <c r="AI7324">
        <v>91.427545196474497</v>
      </c>
      <c r="AJ7324">
        <v>67.409927788347005</v>
      </c>
      <c r="AK7324">
        <v>46.4856476507832</v>
      </c>
      <c r="AL7324">
        <v>92.342862534859194</v>
      </c>
      <c r="AM7324">
        <v>76.772014157238303</v>
      </c>
      <c r="AN7324">
        <v>0.99999997736499602</v>
      </c>
    </row>
    <row r="7325" spans="1:40" x14ac:dyDescent="0.25">
      <c r="A7325" t="str">
        <f>"20190312161204463"</f>
        <v>20190312161204463</v>
      </c>
      <c r="B7325" t="str">
        <f>"1552378324454428"</f>
        <v>1552378324454428</v>
      </c>
      <c r="C7325" t="s">
        <v>40</v>
      </c>
      <c r="D7325">
        <v>6.264367</v>
      </c>
      <c r="E7325">
        <v>0.56269369999999996</v>
      </c>
      <c r="F7325" t="s">
        <v>41</v>
      </c>
      <c r="G7325">
        <v>-164.69110000000001</v>
      </c>
      <c r="H7325">
        <v>7.9986680000000004E-2</v>
      </c>
      <c r="I7325">
        <v>153.58029999999999</v>
      </c>
      <c r="J7325">
        <v>-184.03190000000001</v>
      </c>
      <c r="K7325">
        <v>1.107925</v>
      </c>
      <c r="L7325">
        <v>122.3811</v>
      </c>
      <c r="M7325">
        <v>0.15623570000000001</v>
      </c>
      <c r="N7325">
        <v>0</v>
      </c>
      <c r="O7325">
        <v>0.98767570000000005</v>
      </c>
      <c r="P7325">
        <v>0.37928099999999998</v>
      </c>
      <c r="Q7325">
        <v>-4.9113940000000002E-2</v>
      </c>
      <c r="R7325">
        <v>0.9239771</v>
      </c>
      <c r="S7325">
        <v>1.597351</v>
      </c>
      <c r="T7325">
        <v>-8.4760790000000003E-2</v>
      </c>
      <c r="U7325">
        <v>2.5888209999999998</v>
      </c>
      <c r="V7325">
        <v>0.2301077</v>
      </c>
      <c r="W7325">
        <v>-4.0897669999999997E-2</v>
      </c>
      <c r="X7325">
        <v>0.97230539999999999</v>
      </c>
      <c r="Y7325">
        <v>0.38547670000000001</v>
      </c>
      <c r="Z7325">
        <v>-2.8383809999999999E-2</v>
      </c>
      <c r="AA7325">
        <v>0.92228089999999996</v>
      </c>
      <c r="AB7325">
        <v>20</v>
      </c>
      <c r="AC7325">
        <v>19.340800000000002</v>
      </c>
      <c r="AD7325">
        <v>-1.0279383200000001</v>
      </c>
      <c r="AE7325">
        <v>31.199199999999902</v>
      </c>
      <c r="AF7325">
        <v>14.217479968417299</v>
      </c>
      <c r="AG7325">
        <v>-1.0279383200000001</v>
      </c>
      <c r="AH7325">
        <v>33.811374676286803</v>
      </c>
      <c r="AI7325">
        <v>91.605310564873307</v>
      </c>
      <c r="AJ7325">
        <v>67.193538881366393</v>
      </c>
      <c r="AK7325">
        <v>36.693357046505298</v>
      </c>
      <c r="AL7325">
        <v>92.343917648879994</v>
      </c>
      <c r="AM7325">
        <v>76.685242562745898</v>
      </c>
      <c r="AN7325">
        <v>0.999999981939939</v>
      </c>
    </row>
    <row r="7326" spans="1:40" x14ac:dyDescent="0.25">
      <c r="A7326" t="str">
        <f>"20190312161204484"</f>
        <v>20190312161204484</v>
      </c>
      <c r="B7326" t="str">
        <f>"1552378324474924"</f>
        <v>1552378324474924</v>
      </c>
      <c r="C7326" t="s">
        <v>40</v>
      </c>
      <c r="D7326">
        <v>6.3198780000000001</v>
      </c>
      <c r="E7326">
        <v>0.56283339999999904</v>
      </c>
      <c r="F7326" t="s">
        <v>41</v>
      </c>
      <c r="G7326">
        <v>-165.35489999999999</v>
      </c>
      <c r="H7326">
        <v>7.9985399999999998E-2</v>
      </c>
      <c r="I7326">
        <v>152.3998</v>
      </c>
      <c r="J7326">
        <v>-183.99930000000001</v>
      </c>
      <c r="K7326">
        <v>1.1077840000000001</v>
      </c>
      <c r="L7326">
        <v>122.56910000000001</v>
      </c>
      <c r="M7326">
        <v>0.15875819999999999</v>
      </c>
      <c r="N7326">
        <v>0</v>
      </c>
      <c r="O7326">
        <v>0.98727350000000003</v>
      </c>
      <c r="P7326">
        <v>0.38420199999999999</v>
      </c>
      <c r="Q7326">
        <v>-5.077752E-2</v>
      </c>
      <c r="R7326">
        <v>0.92185159999999999</v>
      </c>
      <c r="S7326">
        <v>1.6068119999999999</v>
      </c>
      <c r="T7326">
        <v>-8.8435169999999994E-2</v>
      </c>
      <c r="U7326">
        <v>2.5825499999999999</v>
      </c>
      <c r="V7326">
        <v>0.23280010000000001</v>
      </c>
      <c r="W7326">
        <v>-4.2665979999999999E-2</v>
      </c>
      <c r="X7326">
        <v>0.97158829999999996</v>
      </c>
      <c r="Y7326">
        <v>0.3865403</v>
      </c>
      <c r="Z7326">
        <v>-2.9622430000000002E-2</v>
      </c>
      <c r="AA7326">
        <v>0.92179670000000002</v>
      </c>
      <c r="AB7326">
        <v>20</v>
      </c>
      <c r="AC7326">
        <v>18.644400000000001</v>
      </c>
      <c r="AD7326">
        <v>-1.0277985999999999</v>
      </c>
      <c r="AE7326">
        <v>29.8307</v>
      </c>
      <c r="AF7326">
        <v>13.6601867328234</v>
      </c>
      <c r="AG7326">
        <v>-1.0277985999999999</v>
      </c>
      <c r="AH7326">
        <v>32.384773807501603</v>
      </c>
      <c r="AI7326">
        <v>91.674972320311696</v>
      </c>
      <c r="AJ7326">
        <v>67.129548551693901</v>
      </c>
      <c r="AK7326">
        <v>35.162915779281001</v>
      </c>
      <c r="AL7326">
        <v>92.445322752196603</v>
      </c>
      <c r="AM7326">
        <v>76.525518111296705</v>
      </c>
      <c r="AN7326">
        <v>1.00000004855312</v>
      </c>
    </row>
    <row r="7327" spans="1:40" x14ac:dyDescent="0.25">
      <c r="A7327" t="str">
        <f>"20190312161204506"</f>
        <v>20190312161204506</v>
      </c>
      <c r="B7327" t="str">
        <f>"1552378324494444"</f>
        <v>1552378324494444</v>
      </c>
      <c r="C7327" t="s">
        <v>40</v>
      </c>
      <c r="D7327">
        <v>6.3571970000000002</v>
      </c>
      <c r="E7327">
        <v>0.54484719999999998</v>
      </c>
      <c r="F7327" t="s">
        <v>41</v>
      </c>
      <c r="G7327">
        <v>-166.9581</v>
      </c>
      <c r="H7327">
        <v>4.0695429999999998E-2</v>
      </c>
      <c r="I7327">
        <v>149.6163</v>
      </c>
      <c r="J7327">
        <v>-183.96600000000001</v>
      </c>
      <c r="K7327">
        <v>1.107666</v>
      </c>
      <c r="L7327">
        <v>122.75700000000001</v>
      </c>
      <c r="M7327">
        <v>0.16148319999999999</v>
      </c>
      <c r="N7327">
        <v>0</v>
      </c>
      <c r="O7327">
        <v>0.98683149999999997</v>
      </c>
      <c r="P7327">
        <v>0.38994050000000002</v>
      </c>
      <c r="Q7327">
        <v>-5.1755210000000003E-2</v>
      </c>
      <c r="R7327">
        <v>0.91938450000000005</v>
      </c>
      <c r="S7327">
        <v>1.6211850000000001</v>
      </c>
      <c r="T7327">
        <v>-0.10151549999999999</v>
      </c>
      <c r="U7327">
        <v>2.5730900000000001</v>
      </c>
      <c r="V7327">
        <v>0.23616329999999999</v>
      </c>
      <c r="W7327">
        <v>-4.3746739999999999E-2</v>
      </c>
      <c r="X7327">
        <v>0.97072820000000004</v>
      </c>
      <c r="Y7327">
        <v>0.38913209999999998</v>
      </c>
      <c r="Z7327">
        <v>-3.401523E-2</v>
      </c>
      <c r="AA7327">
        <v>0.92055370000000003</v>
      </c>
      <c r="AB7327">
        <v>20</v>
      </c>
      <c r="AC7327">
        <v>17.0078999999999</v>
      </c>
      <c r="AD7327">
        <v>-1.0669705700000001</v>
      </c>
      <c r="AE7327">
        <v>26.859299999999902</v>
      </c>
      <c r="AF7327">
        <v>12.433141269403301</v>
      </c>
      <c r="AG7327">
        <v>-1.0669705700000001</v>
      </c>
      <c r="AH7327">
        <v>29.220449103799801</v>
      </c>
      <c r="AI7327">
        <v>91.924382973786507</v>
      </c>
      <c r="AJ7327">
        <v>66.950512684160799</v>
      </c>
      <c r="AK7327">
        <v>31.7735121421908</v>
      </c>
      <c r="AL7327">
        <v>92.507303590057106</v>
      </c>
      <c r="AM7327">
        <v>76.326451335218295</v>
      </c>
      <c r="AN7327">
        <v>1.0000000599013701</v>
      </c>
    </row>
    <row r="7328" spans="1:40" x14ac:dyDescent="0.25">
      <c r="A7328" t="str">
        <f>"20190312161204528"</f>
        <v>20190312161204528</v>
      </c>
      <c r="B7328" t="str">
        <f>"1552378324524701"</f>
        <v>1552378324524701</v>
      </c>
      <c r="C7328" t="s">
        <v>40</v>
      </c>
      <c r="D7328">
        <v>7.0685310000000001</v>
      </c>
      <c r="E7328">
        <v>0.54724949999999895</v>
      </c>
      <c r="F7328" t="s">
        <v>55</v>
      </c>
      <c r="G7328">
        <v>-159.88509999999999</v>
      </c>
      <c r="H7328">
        <v>1.0337540000000001</v>
      </c>
      <c r="I7328">
        <v>164.4299</v>
      </c>
      <c r="J7328">
        <v>-183.92959999999999</v>
      </c>
      <c r="K7328">
        <v>1.1075699999999999</v>
      </c>
      <c r="L7328">
        <v>122.9573</v>
      </c>
      <c r="M7328">
        <v>0.1645452</v>
      </c>
      <c r="N7328">
        <v>0</v>
      </c>
      <c r="O7328">
        <v>0.98632580000000003</v>
      </c>
      <c r="P7328">
        <v>0.39606229999999998</v>
      </c>
      <c r="Q7328">
        <v>-5.1354740000000003E-2</v>
      </c>
      <c r="R7328">
        <v>0.9167864</v>
      </c>
      <c r="S7328">
        <v>1.5142819999999999</v>
      </c>
      <c r="T7328">
        <v>-4.645705E-3</v>
      </c>
      <c r="U7328">
        <v>2.6205289999999999</v>
      </c>
      <c r="V7328">
        <v>0.23960880000000001</v>
      </c>
      <c r="W7328">
        <v>-4.3440649999999997E-2</v>
      </c>
      <c r="X7328">
        <v>0.96989720000000001</v>
      </c>
      <c r="Y7328">
        <v>0.35103060000000003</v>
      </c>
      <c r="Z7328">
        <v>-1.559829E-3</v>
      </c>
      <c r="AA7328">
        <v>0.93636269999999999</v>
      </c>
      <c r="AB7328">
        <v>20</v>
      </c>
      <c r="AC7328">
        <v>24.044499999999999</v>
      </c>
      <c r="AD7328">
        <v>-7.3816000000000104E-2</v>
      </c>
      <c r="AE7328">
        <v>41.4726</v>
      </c>
      <c r="AF7328">
        <v>16.8922822489649</v>
      </c>
      <c r="AG7328">
        <v>-7.3816000000000104E-2</v>
      </c>
      <c r="AH7328">
        <v>44.8637318316961</v>
      </c>
      <c r="AI7328">
        <v>90.088224253452907</v>
      </c>
      <c r="AJ7328">
        <v>69.367427995145405</v>
      </c>
      <c r="AK7328">
        <v>47.938596999149802</v>
      </c>
      <c r="AL7328">
        <v>92.4897493300561</v>
      </c>
      <c r="AM7328">
        <v>76.123186254462894</v>
      </c>
      <c r="AN7328">
        <v>1.0000000228388499</v>
      </c>
    </row>
    <row r="7329" spans="1:40" x14ac:dyDescent="0.25">
      <c r="A7329" t="str">
        <f>"20190312161204552"</f>
        <v>20190312161204552</v>
      </c>
      <c r="B7329" t="str">
        <f>"1552378324544220"</f>
        <v>1552378324544220</v>
      </c>
      <c r="C7329" t="s">
        <v>40</v>
      </c>
      <c r="D7329">
        <v>6.3474449999999996</v>
      </c>
      <c r="E7329">
        <v>0.547257199999999</v>
      </c>
      <c r="F7329" t="s">
        <v>55</v>
      </c>
      <c r="G7329">
        <v>-159.49100000000001</v>
      </c>
      <c r="H7329">
        <v>0.8166409</v>
      </c>
      <c r="I7329">
        <v>164.03630000000001</v>
      </c>
      <c r="J7329">
        <v>-183.89169999999999</v>
      </c>
      <c r="K7329">
        <v>1.1075010000000001</v>
      </c>
      <c r="L7329">
        <v>123.16119999999999</v>
      </c>
      <c r="M7329">
        <v>0.16779649999999999</v>
      </c>
      <c r="N7329">
        <v>0</v>
      </c>
      <c r="O7329">
        <v>0.98577809999999999</v>
      </c>
      <c r="P7329">
        <v>0.4013198</v>
      </c>
      <c r="Q7329">
        <v>-5.047861E-2</v>
      </c>
      <c r="R7329">
        <v>0.91454599999999997</v>
      </c>
      <c r="S7329">
        <v>1.548233</v>
      </c>
      <c r="T7329">
        <v>-1.8428799999999999E-2</v>
      </c>
      <c r="U7329">
        <v>2.6024319999999999</v>
      </c>
      <c r="V7329">
        <v>0.2419674</v>
      </c>
      <c r="W7329">
        <v>-4.2636819999999999E-2</v>
      </c>
      <c r="X7329">
        <v>0.96934710000000002</v>
      </c>
      <c r="Y7329">
        <v>0.35980810000000002</v>
      </c>
      <c r="Z7329">
        <v>-6.1895159999999999E-3</v>
      </c>
      <c r="AA7329">
        <v>0.9330058</v>
      </c>
      <c r="AB7329">
        <v>20</v>
      </c>
      <c r="AC7329">
        <v>24.400699999999901</v>
      </c>
      <c r="AD7329">
        <v>-0.29086010000000001</v>
      </c>
      <c r="AE7329">
        <v>40.875100000000003</v>
      </c>
      <c r="AF7329">
        <v>17.195073380867498</v>
      </c>
      <c r="AG7329">
        <v>-0.29086010000000001</v>
      </c>
      <c r="AH7329">
        <v>44.388379359977399</v>
      </c>
      <c r="AI7329">
        <v>90.350083419128794</v>
      </c>
      <c r="AJ7329">
        <v>68.824737505594697</v>
      </c>
      <c r="AK7329">
        <v>47.603396626464097</v>
      </c>
      <c r="AL7329">
        <v>92.443650700470101</v>
      </c>
      <c r="AM7329">
        <v>75.984306956632693</v>
      </c>
      <c r="AN7329">
        <v>0.99999996068043995</v>
      </c>
    </row>
    <row r="7330" spans="1:40" x14ac:dyDescent="0.25">
      <c r="A7330" t="str">
        <f>"20190312161204574"</f>
        <v>20190312161204574</v>
      </c>
      <c r="B7330" t="str">
        <f>"1552378324564720"</f>
        <v>1552378324564720</v>
      </c>
      <c r="C7330" t="s">
        <v>40</v>
      </c>
      <c r="D7330">
        <v>6.1324149999999999</v>
      </c>
      <c r="E7330">
        <v>0.54718159999999905</v>
      </c>
      <c r="F7330" t="s">
        <v>55</v>
      </c>
      <c r="G7330">
        <v>-159.34219999999999</v>
      </c>
      <c r="H7330">
        <v>0.87279699999999905</v>
      </c>
      <c r="I7330">
        <v>163.8877</v>
      </c>
      <c r="J7330">
        <v>-183.85419999999999</v>
      </c>
      <c r="K7330">
        <v>1.107453</v>
      </c>
      <c r="L7330">
        <v>123.35939999999999</v>
      </c>
      <c r="M7330">
        <v>0.1710662</v>
      </c>
      <c r="N7330">
        <v>0</v>
      </c>
      <c r="O7330">
        <v>0.98521619999999999</v>
      </c>
      <c r="P7330">
        <v>0.40636929999999999</v>
      </c>
      <c r="Q7330">
        <v>-5.054881E-2</v>
      </c>
      <c r="R7330">
        <v>0.91230960000000005</v>
      </c>
      <c r="S7330">
        <v>1.5633090000000001</v>
      </c>
      <c r="T7330">
        <v>-1.494384E-2</v>
      </c>
      <c r="U7330">
        <v>2.5934599999999999</v>
      </c>
      <c r="V7330">
        <v>0.2441044</v>
      </c>
      <c r="W7330">
        <v>-4.2768849999999997E-2</v>
      </c>
      <c r="X7330">
        <v>0.96880540000000004</v>
      </c>
      <c r="Y7330">
        <v>0.3621202</v>
      </c>
      <c r="Z7330">
        <v>-5.0203160000000004E-3</v>
      </c>
      <c r="AA7330">
        <v>0.93211790000000005</v>
      </c>
      <c r="AB7330">
        <v>20</v>
      </c>
      <c r="AC7330">
        <v>24.511999999999901</v>
      </c>
      <c r="AD7330">
        <v>-0.234656</v>
      </c>
      <c r="AE7330">
        <v>40.528300000000002</v>
      </c>
      <c r="AF7330">
        <v>17.2169097828336</v>
      </c>
      <c r="AG7330">
        <v>-0.234656</v>
      </c>
      <c r="AH7330">
        <v>44.123113439528801</v>
      </c>
      <c r="AI7330">
        <v>90.283863700187098</v>
      </c>
      <c r="AJ7330">
        <v>68.684190812726897</v>
      </c>
      <c r="AK7330">
        <v>47.363764477774502</v>
      </c>
      <c r="AL7330">
        <v>92.451222229064101</v>
      </c>
      <c r="AM7330">
        <v>75.857878425714404</v>
      </c>
      <c r="AN7330">
        <v>1.0000000178494199</v>
      </c>
    </row>
    <row r="7331" spans="1:40" x14ac:dyDescent="0.25">
      <c r="A7331" t="str">
        <f>"20190312161204594"</f>
        <v>20190312161204594</v>
      </c>
      <c r="B7331" t="str">
        <f>"1552378324584236"</f>
        <v>1552378324584236</v>
      </c>
      <c r="C7331" t="s">
        <v>40</v>
      </c>
      <c r="D7331">
        <v>6.5554249999999996</v>
      </c>
      <c r="E7331">
        <v>0.56422729999999999</v>
      </c>
      <c r="F7331" t="s">
        <v>55</v>
      </c>
      <c r="G7331">
        <v>-159.20920000000001</v>
      </c>
      <c r="H7331">
        <v>0.8683052</v>
      </c>
      <c r="I7331">
        <v>163.75489999999999</v>
      </c>
      <c r="J7331">
        <v>-183.8185</v>
      </c>
      <c r="K7331">
        <v>1.107415</v>
      </c>
      <c r="L7331">
        <v>123.5437</v>
      </c>
      <c r="M7331">
        <v>0.17418649999999999</v>
      </c>
      <c r="N7331">
        <v>0</v>
      </c>
      <c r="O7331">
        <v>0.98466949999999998</v>
      </c>
      <c r="P7331">
        <v>0.41195399999999999</v>
      </c>
      <c r="Q7331">
        <v>-5.0888839999999998E-2</v>
      </c>
      <c r="R7331">
        <v>0.90978250000000005</v>
      </c>
      <c r="S7331">
        <v>1.5771029999999999</v>
      </c>
      <c r="T7331">
        <v>-1.530159E-2</v>
      </c>
      <c r="U7331">
        <v>2.5850219999999999</v>
      </c>
      <c r="V7331">
        <v>0.24696989999999999</v>
      </c>
      <c r="W7331">
        <v>-4.3170420000000001E-2</v>
      </c>
      <c r="X7331">
        <v>0.96806099999999995</v>
      </c>
      <c r="Y7331">
        <v>0.36414340000000001</v>
      </c>
      <c r="Z7331">
        <v>-5.1417839999999999E-3</v>
      </c>
      <c r="AA7331">
        <v>0.93132870000000001</v>
      </c>
      <c r="AB7331">
        <v>20</v>
      </c>
      <c r="AC7331">
        <v>24.609299999999902</v>
      </c>
      <c r="AD7331">
        <v>-0.23910980000000001</v>
      </c>
      <c r="AE7331">
        <v>40.211199999999899</v>
      </c>
      <c r="AF7331">
        <v>17.228068322719501</v>
      </c>
      <c r="AG7331">
        <v>-0.23910980000000001</v>
      </c>
      <c r="AH7331">
        <v>43.882087133782299</v>
      </c>
      <c r="AI7331">
        <v>90.290603526386803</v>
      </c>
      <c r="AJ7331">
        <v>68.565072354993106</v>
      </c>
      <c r="AK7331">
        <v>47.143409749885599</v>
      </c>
      <c r="AL7331">
        <v>92.474251913249901</v>
      </c>
      <c r="AM7331">
        <v>75.688093893089203</v>
      </c>
      <c r="AN7331">
        <v>0.99999995819499199</v>
      </c>
    </row>
    <row r="7332" spans="1:40" x14ac:dyDescent="0.25">
      <c r="A7332" t="str">
        <f>"20190312161204617"</f>
        <v>20190312161204617</v>
      </c>
      <c r="B7332" t="str">
        <f>"1552378324604736"</f>
        <v>1552378324604736</v>
      </c>
      <c r="C7332" t="s">
        <v>40</v>
      </c>
      <c r="D7332">
        <v>6.2679549999999997</v>
      </c>
      <c r="E7332">
        <v>0.56330819999999904</v>
      </c>
      <c r="F7332" t="s">
        <v>87</v>
      </c>
      <c r="G7332">
        <v>-173.81890000000001</v>
      </c>
      <c r="H7332" s="1">
        <v>-4.8279699999999998E-6</v>
      </c>
      <c r="I7332">
        <v>138.3433</v>
      </c>
      <c r="J7332">
        <v>-183.78</v>
      </c>
      <c r="K7332">
        <v>1.107369</v>
      </c>
      <c r="L7332">
        <v>123.73909999999999</v>
      </c>
      <c r="M7332">
        <v>0.17756440000000001</v>
      </c>
      <c r="N7332">
        <v>0</v>
      </c>
      <c r="O7332">
        <v>0.9840662</v>
      </c>
      <c r="P7332">
        <v>0.4177034</v>
      </c>
      <c r="Q7332">
        <v>-5.1980119999999998E-2</v>
      </c>
      <c r="R7332">
        <v>0.90709530000000005</v>
      </c>
      <c r="S7332">
        <v>1.700607</v>
      </c>
      <c r="T7332">
        <v>-0.18833520000000001</v>
      </c>
      <c r="U7332">
        <v>2.5169069999999998</v>
      </c>
      <c r="V7332">
        <v>0.24977379999999999</v>
      </c>
      <c r="W7332">
        <v>-4.4328149999999997E-2</v>
      </c>
      <c r="X7332">
        <v>0.96728899999999995</v>
      </c>
      <c r="Y7332">
        <v>0.40270080000000003</v>
      </c>
      <c r="Z7332">
        <v>-6.3214569999999998E-2</v>
      </c>
      <c r="AA7332">
        <v>0.91314620000000002</v>
      </c>
      <c r="AB7332">
        <v>20</v>
      </c>
      <c r="AC7332">
        <v>9.9610999999999805</v>
      </c>
      <c r="AD7332">
        <v>-1.1073738279700001</v>
      </c>
      <c r="AE7332">
        <v>14.604200000000001</v>
      </c>
      <c r="AF7332">
        <v>7.1813212112639304</v>
      </c>
      <c r="AG7332">
        <v>-1.1073738279700001</v>
      </c>
      <c r="AH7332">
        <v>16.077829565037099</v>
      </c>
      <c r="AI7332">
        <v>93.598461682200906</v>
      </c>
      <c r="AJ7332">
        <v>65.931601503037896</v>
      </c>
      <c r="AK7332">
        <v>17.643532941466201</v>
      </c>
      <c r="AL7332">
        <v>92.540648497483005</v>
      </c>
      <c r="AM7332">
        <v>75.521329763348803</v>
      </c>
      <c r="AN7332">
        <v>0.99999997278493002</v>
      </c>
    </row>
    <row r="7333" spans="1:40" x14ac:dyDescent="0.25">
      <c r="A7333" t="str">
        <f>"20190312161204639"</f>
        <v>20190312161204639</v>
      </c>
      <c r="B7333" t="str">
        <f>"1552378324634988"</f>
        <v>1552378324634988</v>
      </c>
      <c r="C7333" t="s">
        <v>40</v>
      </c>
      <c r="D7333">
        <v>6.3761859999999997</v>
      </c>
      <c r="E7333">
        <v>0.56821499999999903</v>
      </c>
      <c r="F7333" t="s">
        <v>87</v>
      </c>
      <c r="G7333">
        <v>-171.95920000000001</v>
      </c>
      <c r="H7333" s="1">
        <v>-4.9524649999999997E-6</v>
      </c>
      <c r="I7333">
        <v>141.05670000000001</v>
      </c>
      <c r="J7333">
        <v>-183.73929999999999</v>
      </c>
      <c r="K7333">
        <v>1.1073170000000001</v>
      </c>
      <c r="L7333">
        <v>123.9417</v>
      </c>
      <c r="M7333">
        <v>0.1811371</v>
      </c>
      <c r="N7333">
        <v>0</v>
      </c>
      <c r="O7333">
        <v>0.98341509999999999</v>
      </c>
      <c r="P7333">
        <v>0.42327540000000002</v>
      </c>
      <c r="Q7333">
        <v>-5.2807350000000003E-2</v>
      </c>
      <c r="R7333">
        <v>0.90446079999999995</v>
      </c>
      <c r="S7333">
        <v>1.712845</v>
      </c>
      <c r="T7333">
        <v>-0.1604595</v>
      </c>
      <c r="U7333">
        <v>2.5093380000000001</v>
      </c>
      <c r="V7333">
        <v>0.25220900000000002</v>
      </c>
      <c r="W7333">
        <v>-4.5226990000000002E-2</v>
      </c>
      <c r="X7333">
        <v>0.96661529999999996</v>
      </c>
      <c r="Y7333">
        <v>0.4040087</v>
      </c>
      <c r="Z7333">
        <v>-5.388693E-2</v>
      </c>
      <c r="AA7333">
        <v>0.91316660000000005</v>
      </c>
      <c r="AB7333">
        <v>20</v>
      </c>
      <c r="AC7333">
        <v>11.7800999999999</v>
      </c>
      <c r="AD7333">
        <v>-1.107321952465</v>
      </c>
      <c r="AE7333">
        <v>17.114999999999998</v>
      </c>
      <c r="AF7333">
        <v>8.4608916262933302</v>
      </c>
      <c r="AG7333">
        <v>-1.107321952465</v>
      </c>
      <c r="AH7333">
        <v>18.9120432223162</v>
      </c>
      <c r="AI7333">
        <v>93.059337106689597</v>
      </c>
      <c r="AJ7333">
        <v>65.897157858255795</v>
      </c>
      <c r="AK7333">
        <v>20.747969246676899</v>
      </c>
      <c r="AL7333">
        <v>92.592199877495602</v>
      </c>
      <c r="AM7333">
        <v>75.376435122295504</v>
      </c>
      <c r="AN7333">
        <v>0.99999999924977501</v>
      </c>
    </row>
    <row r="7334" spans="1:40" x14ac:dyDescent="0.25">
      <c r="A7334" t="str">
        <f>"20190312161204664"</f>
        <v>20190312161204664</v>
      </c>
      <c r="B7334" t="str">
        <f>"1552378324654508"</f>
        <v>1552378324654508</v>
      </c>
      <c r="C7334" t="s">
        <v>40</v>
      </c>
      <c r="D7334">
        <v>6.3830999999999998</v>
      </c>
      <c r="E7334">
        <v>0.5721271</v>
      </c>
      <c r="F7334" t="s">
        <v>41</v>
      </c>
      <c r="G7334">
        <v>-167.34799999999899</v>
      </c>
      <c r="H7334" s="1">
        <v>-3.1866690000000001E-6</v>
      </c>
      <c r="I7334">
        <v>146.95480000000001</v>
      </c>
      <c r="J7334">
        <v>-183.69569999999999</v>
      </c>
      <c r="K7334">
        <v>1.1072599999999999</v>
      </c>
      <c r="L7334">
        <v>124.1537</v>
      </c>
      <c r="M7334">
        <v>0.18495149999999999</v>
      </c>
      <c r="N7334">
        <v>0</v>
      </c>
      <c r="O7334">
        <v>0.98270519999999995</v>
      </c>
      <c r="P7334">
        <v>0.42817919999999998</v>
      </c>
      <c r="Q7334">
        <v>-5.2836439999999998E-2</v>
      </c>
      <c r="R7334">
        <v>0.9021479</v>
      </c>
      <c r="S7334">
        <v>1.7681579999999999</v>
      </c>
      <c r="T7334">
        <v>-0.1194489</v>
      </c>
      <c r="U7334">
        <v>2.4824679999999999</v>
      </c>
      <c r="V7334">
        <v>0.25369930000000002</v>
      </c>
      <c r="W7334">
        <v>-4.5330919999999997E-2</v>
      </c>
      <c r="X7334">
        <v>0.96622039999999998</v>
      </c>
      <c r="Y7334">
        <v>0.41901470000000002</v>
      </c>
      <c r="Z7334">
        <v>-4.0078259999999997E-2</v>
      </c>
      <c r="AA7334">
        <v>0.90709450000000003</v>
      </c>
      <c r="AB7334">
        <v>20</v>
      </c>
      <c r="AC7334">
        <v>16.3477</v>
      </c>
      <c r="AD7334">
        <v>-1.1072631866689999</v>
      </c>
      <c r="AE7334">
        <v>22.801100000000002</v>
      </c>
      <c r="AF7334">
        <v>11.829940319774</v>
      </c>
      <c r="AG7334">
        <v>-1.1072631866689999</v>
      </c>
      <c r="AH7334">
        <v>25.3918022610614</v>
      </c>
      <c r="AI7334">
        <v>92.263591706865</v>
      </c>
      <c r="AJ7334">
        <v>65.019374424562002</v>
      </c>
      <c r="AK7334">
        <v>28.0342137717256</v>
      </c>
      <c r="AL7334">
        <v>92.598160624431799</v>
      </c>
      <c r="AM7334">
        <v>75.288010045544794</v>
      </c>
      <c r="AN7334">
        <v>1.00000004425234</v>
      </c>
    </row>
    <row r="7335" spans="1:40" x14ac:dyDescent="0.25">
      <c r="A7335" t="str">
        <f>"20190312161204684"</f>
        <v>20190312161204684</v>
      </c>
      <c r="B7335" t="str">
        <f>"1552378324675004"</f>
        <v>1552378324675004</v>
      </c>
      <c r="C7335" t="s">
        <v>40</v>
      </c>
      <c r="D7335">
        <v>6.2216550000000002</v>
      </c>
      <c r="E7335">
        <v>0.57492829999999995</v>
      </c>
      <c r="F7335" t="s">
        <v>41</v>
      </c>
      <c r="G7335">
        <v>-163.91579999999999</v>
      </c>
      <c r="H7335">
        <v>7.9986329999999994E-2</v>
      </c>
      <c r="I7335">
        <v>150.99930000000001</v>
      </c>
      <c r="J7335">
        <v>-183.65620000000001</v>
      </c>
      <c r="K7335">
        <v>1.1072059999999999</v>
      </c>
      <c r="L7335">
        <v>124.34180000000001</v>
      </c>
      <c r="M7335">
        <v>0.18842139999999999</v>
      </c>
      <c r="N7335">
        <v>0</v>
      </c>
      <c r="O7335">
        <v>0.98204610000000003</v>
      </c>
      <c r="P7335">
        <v>0.43254419999999999</v>
      </c>
      <c r="Q7335">
        <v>-5.2432970000000002E-2</v>
      </c>
      <c r="R7335">
        <v>0.90008679999999996</v>
      </c>
      <c r="S7335">
        <v>1.8123320000000001</v>
      </c>
      <c r="T7335">
        <v>-9.4123600000000002E-2</v>
      </c>
      <c r="U7335">
        <v>2.4597169999999999</v>
      </c>
      <c r="V7335">
        <v>0.25495810000000002</v>
      </c>
      <c r="W7335">
        <v>-4.4998429999999999E-2</v>
      </c>
      <c r="X7335">
        <v>0.96590450000000005</v>
      </c>
      <c r="Y7335">
        <v>0.43055880000000002</v>
      </c>
      <c r="Z7335">
        <v>-3.1554369999999998E-2</v>
      </c>
      <c r="AA7335">
        <v>0.9020108</v>
      </c>
      <c r="AB7335">
        <v>20</v>
      </c>
      <c r="AC7335">
        <v>19.740400000000001</v>
      </c>
      <c r="AD7335">
        <v>-1.02721967</v>
      </c>
      <c r="AE7335">
        <v>26.657499999999999</v>
      </c>
      <c r="AF7335">
        <v>14.349972817922501</v>
      </c>
      <c r="AG7335">
        <v>-1.02721967</v>
      </c>
      <c r="AH7335">
        <v>29.871000148529699</v>
      </c>
      <c r="AI7335">
        <v>91.775442148914905</v>
      </c>
      <c r="AJ7335">
        <v>64.340457098952896</v>
      </c>
      <c r="AK7335">
        <v>33.154992836660597</v>
      </c>
      <c r="AL7335">
        <v>92.579091013056498</v>
      </c>
      <c r="AM7335">
        <v>75.213578696669501</v>
      </c>
      <c r="AN7335">
        <v>0.999999997289162</v>
      </c>
    </row>
    <row r="7336" spans="1:40" x14ac:dyDescent="0.25">
      <c r="A7336" t="str">
        <f>"20190312161204706"</f>
        <v>20190312161204706</v>
      </c>
      <c r="B7336" t="str">
        <f>"1552378324694524"</f>
        <v>1552378324694524</v>
      </c>
      <c r="C7336" t="s">
        <v>40</v>
      </c>
      <c r="D7336">
        <v>6.3102010000000002</v>
      </c>
      <c r="E7336">
        <v>0.57907929999999996</v>
      </c>
      <c r="F7336" t="s">
        <v>55</v>
      </c>
      <c r="G7336">
        <v>-156.68690000000001</v>
      </c>
      <c r="H7336">
        <v>-1.4366149999999999E-2</v>
      </c>
      <c r="I7336">
        <v>160.012</v>
      </c>
      <c r="J7336">
        <v>-183.61429999999999</v>
      </c>
      <c r="K7336">
        <v>1.1071439999999999</v>
      </c>
      <c r="L7336">
        <v>124.5373</v>
      </c>
      <c r="M7336">
        <v>0.19212599999999999</v>
      </c>
      <c r="N7336">
        <v>0</v>
      </c>
      <c r="O7336">
        <v>0.98132839999999999</v>
      </c>
      <c r="P7336">
        <v>0.43646069999999998</v>
      </c>
      <c r="Q7336">
        <v>-5.2642139999999997E-2</v>
      </c>
      <c r="R7336">
        <v>0.89818199999999904</v>
      </c>
      <c r="S7336">
        <v>1.8459319999999999</v>
      </c>
      <c r="T7336">
        <v>-7.6764230000000003E-2</v>
      </c>
      <c r="U7336">
        <v>2.4414669999999998</v>
      </c>
      <c r="V7336">
        <v>0.2555151</v>
      </c>
      <c r="W7336">
        <v>-4.5280670000000002E-2</v>
      </c>
      <c r="X7336">
        <v>0.96574409999999999</v>
      </c>
      <c r="Y7336">
        <v>0.43840099999999999</v>
      </c>
      <c r="Z7336">
        <v>-2.5717750000000001E-2</v>
      </c>
      <c r="AA7336">
        <v>0.89841150000000003</v>
      </c>
      <c r="AB7336">
        <v>20</v>
      </c>
      <c r="AC7336">
        <v>26.927399999999899</v>
      </c>
      <c r="AD7336">
        <v>-1.12151015</v>
      </c>
      <c r="AE7336">
        <v>35.474699999999999</v>
      </c>
      <c r="AF7336">
        <v>19.597388916676401</v>
      </c>
      <c r="AG7336">
        <v>-1.12151015</v>
      </c>
      <c r="AH7336">
        <v>39.962086771987103</v>
      </c>
      <c r="AI7336">
        <v>91.443407180432004</v>
      </c>
      <c r="AJ7336">
        <v>63.876689201498401</v>
      </c>
      <c r="AK7336">
        <v>44.522846006739599</v>
      </c>
      <c r="AL7336">
        <v>92.595278703396502</v>
      </c>
      <c r="AM7336">
        <v>75.180342210770107</v>
      </c>
      <c r="AN7336">
        <v>0.99999998604423401</v>
      </c>
    </row>
    <row r="7337" spans="1:40" x14ac:dyDescent="0.25">
      <c r="A7337" t="str">
        <f>"20190312161204728"</f>
        <v>20190312161204728</v>
      </c>
      <c r="B7337" t="str">
        <f>"1552378324724780"</f>
        <v>1552378324724780</v>
      </c>
      <c r="C7337" t="s">
        <v>40</v>
      </c>
      <c r="D7337">
        <v>6.2330269999999999</v>
      </c>
      <c r="E7337">
        <v>0.5833815</v>
      </c>
      <c r="F7337" t="s">
        <v>55</v>
      </c>
      <c r="G7337">
        <v>-155.91470000000001</v>
      </c>
      <c r="H7337">
        <v>0.36286930000000001</v>
      </c>
      <c r="I7337">
        <v>160.01159999999999</v>
      </c>
      <c r="J7337">
        <v>-183.57</v>
      </c>
      <c r="K7337">
        <v>1.1070799999999901</v>
      </c>
      <c r="L7337">
        <v>124.7392</v>
      </c>
      <c r="M7337">
        <v>0.1960353</v>
      </c>
      <c r="N7337">
        <v>0</v>
      </c>
      <c r="O7337">
        <v>0.98055530000000002</v>
      </c>
      <c r="P7337">
        <v>0.44084060000000003</v>
      </c>
      <c r="Q7337">
        <v>-5.2604600000000001E-2</v>
      </c>
      <c r="R7337">
        <v>0.89604259999999902</v>
      </c>
      <c r="S7337">
        <v>1.8889769999999999</v>
      </c>
      <c r="T7337">
        <v>-5.075371E-2</v>
      </c>
      <c r="U7337">
        <v>2.4191739999999999</v>
      </c>
      <c r="V7337">
        <v>0.25637470000000001</v>
      </c>
      <c r="W7337">
        <v>-4.5318289999999997E-2</v>
      </c>
      <c r="X7337">
        <v>0.96551450000000005</v>
      </c>
      <c r="Y7337">
        <v>0.4488916</v>
      </c>
      <c r="Z7337">
        <v>-1.6981299999999901E-2</v>
      </c>
      <c r="AA7337">
        <v>0.89342489999999997</v>
      </c>
      <c r="AB7337">
        <v>20</v>
      </c>
      <c r="AC7337">
        <v>27.655299999999901</v>
      </c>
      <c r="AD7337">
        <v>-0.744210699999999</v>
      </c>
      <c r="AE7337">
        <v>35.272399999999898</v>
      </c>
      <c r="AF7337">
        <v>20.198170002510601</v>
      </c>
      <c r="AG7337">
        <v>-0.744210699999999</v>
      </c>
      <c r="AH7337">
        <v>39.998556313593497</v>
      </c>
      <c r="AI7337">
        <v>90.951509042255793</v>
      </c>
      <c r="AJ7337">
        <v>63.207480958781403</v>
      </c>
      <c r="AK7337">
        <v>44.815225405971397</v>
      </c>
      <c r="AL7337">
        <v>92.597436370242207</v>
      </c>
      <c r="AM7337">
        <v>75.129311857674395</v>
      </c>
      <c r="AN7337">
        <v>0.99999999195943201</v>
      </c>
    </row>
    <row r="7338" spans="1:40" x14ac:dyDescent="0.25">
      <c r="A7338" t="str">
        <f>"20190312161204752"</f>
        <v>20190312161204752</v>
      </c>
      <c r="B7338" t="str">
        <f>"1552378324744300"</f>
        <v>1552378324744300</v>
      </c>
      <c r="C7338" t="s">
        <v>40</v>
      </c>
      <c r="D7338">
        <v>6.2439790000000004</v>
      </c>
      <c r="E7338">
        <v>0.58510719999999905</v>
      </c>
      <c r="F7338" t="s">
        <v>55</v>
      </c>
      <c r="G7338">
        <v>-155.0881</v>
      </c>
      <c r="H7338">
        <v>0.71312710000000001</v>
      </c>
      <c r="I7338">
        <v>160.0112</v>
      </c>
      <c r="J7338">
        <v>-183.52379999999999</v>
      </c>
      <c r="K7338">
        <v>1.107019</v>
      </c>
      <c r="L7338">
        <v>124.9457</v>
      </c>
      <c r="M7338">
        <v>0.20012820000000001</v>
      </c>
      <c r="N7338">
        <v>0</v>
      </c>
      <c r="O7338">
        <v>0.9797285</v>
      </c>
      <c r="P7338">
        <v>0.4453087</v>
      </c>
      <c r="Q7338">
        <v>-5.2278459999999999E-2</v>
      </c>
      <c r="R7338">
        <v>0.89384969999999997</v>
      </c>
      <c r="S7338">
        <v>1.9339599999999999</v>
      </c>
      <c r="T7338">
        <v>-2.6747699999999999E-2</v>
      </c>
      <c r="U7338">
        <v>2.3950200000000001</v>
      </c>
      <c r="V7338">
        <v>0.25715510000000003</v>
      </c>
      <c r="W7338">
        <v>-4.5063850000000003E-2</v>
      </c>
      <c r="X7338">
        <v>0.96531889999999998</v>
      </c>
      <c r="Y7338">
        <v>0.45979769999999998</v>
      </c>
      <c r="Z7338">
        <v>-8.9363199999999993E-3</v>
      </c>
      <c r="AA7338">
        <v>0.88797870000000001</v>
      </c>
      <c r="AB7338">
        <v>20</v>
      </c>
      <c r="AC7338">
        <v>28.435700000000001</v>
      </c>
      <c r="AD7338">
        <v>-0.39389190000000002</v>
      </c>
      <c r="AE7338">
        <v>35.0655</v>
      </c>
      <c r="AF7338">
        <v>20.8409255913976</v>
      </c>
      <c r="AG7338">
        <v>-0.39389190000000002</v>
      </c>
      <c r="AH7338">
        <v>40.0440242608529</v>
      </c>
      <c r="AI7338">
        <v>90.499920136456197</v>
      </c>
      <c r="AJ7338">
        <v>62.5052620284361</v>
      </c>
      <c r="AK7338">
        <v>45.144470418189997</v>
      </c>
      <c r="AL7338">
        <v>92.582843005570794</v>
      </c>
      <c r="AM7338">
        <v>75.083172766736396</v>
      </c>
      <c r="AN7338">
        <v>1.00000003736502</v>
      </c>
    </row>
    <row r="7339" spans="1:40" x14ac:dyDescent="0.25">
      <c r="A7339" t="str">
        <f>"20190312161204773"</f>
        <v>20190312161204773</v>
      </c>
      <c r="B7339" t="str">
        <f>"1552378324764799"</f>
        <v>1552378324764799</v>
      </c>
      <c r="C7339" t="s">
        <v>40</v>
      </c>
      <c r="D7339">
        <v>6.2568590000000004</v>
      </c>
      <c r="E7339">
        <v>0.5862598</v>
      </c>
      <c r="F7339" t="s">
        <v>55</v>
      </c>
      <c r="G7339">
        <v>-153.97499999999999</v>
      </c>
      <c r="H7339">
        <v>0.82638929999999999</v>
      </c>
      <c r="I7339">
        <v>160.82390000000001</v>
      </c>
      <c r="J7339">
        <v>-183.47810000000001</v>
      </c>
      <c r="K7339">
        <v>1.1069580000000001</v>
      </c>
      <c r="L7339">
        <v>125.14579999999999</v>
      </c>
      <c r="M7339">
        <v>0.20419209999999999</v>
      </c>
      <c r="N7339">
        <v>0</v>
      </c>
      <c r="O7339">
        <v>0.97888980000000003</v>
      </c>
      <c r="P7339">
        <v>0.44879140000000001</v>
      </c>
      <c r="Q7339">
        <v>-5.1265239999999997E-2</v>
      </c>
      <c r="R7339">
        <v>0.89216479999999998</v>
      </c>
      <c r="S7339">
        <v>1.9593510000000001</v>
      </c>
      <c r="T7339">
        <v>-1.8605590000000002E-2</v>
      </c>
      <c r="U7339">
        <v>2.3790439999999999</v>
      </c>
      <c r="V7339">
        <v>0.25690200000000002</v>
      </c>
      <c r="W7339">
        <v>-4.4112680000000001E-2</v>
      </c>
      <c r="X7339">
        <v>0.96543020000000002</v>
      </c>
      <c r="Y7339">
        <v>0.46470240000000002</v>
      </c>
      <c r="Z7339">
        <v>-6.2133140000000002E-3</v>
      </c>
      <c r="AA7339">
        <v>0.88544509999999899</v>
      </c>
      <c r="AB7339">
        <v>20</v>
      </c>
      <c r="AC7339">
        <v>29.5031</v>
      </c>
      <c r="AD7339">
        <v>-0.28056869999999901</v>
      </c>
      <c r="AE7339">
        <v>35.678100000000001</v>
      </c>
      <c r="AF7339">
        <v>21.595171962762599</v>
      </c>
      <c r="AG7339">
        <v>-0.28056869999999901</v>
      </c>
      <c r="AH7339">
        <v>40.949369326043602</v>
      </c>
      <c r="AI7339">
        <v>90.347236165634797</v>
      </c>
      <c r="AJ7339">
        <v>62.194505550262399</v>
      </c>
      <c r="AK7339">
        <v>46.295583148907703</v>
      </c>
      <c r="AL7339">
        <v>92.528290771358797</v>
      </c>
      <c r="AM7339">
        <v>75.098842437657495</v>
      </c>
      <c r="AN7339">
        <v>1.00000001860641</v>
      </c>
    </row>
    <row r="7340" spans="1:40" x14ac:dyDescent="0.25">
      <c r="A7340" t="str">
        <f>"20190312161204796"</f>
        <v>20190312161204796</v>
      </c>
      <c r="B7340" t="str">
        <f>"1552378324784318"</f>
        <v>1552378324784318</v>
      </c>
      <c r="C7340" t="s">
        <v>40</v>
      </c>
      <c r="D7340">
        <v>6.2535379999999998</v>
      </c>
      <c r="E7340">
        <v>0.58699659999999998</v>
      </c>
      <c r="F7340" t="s">
        <v>55</v>
      </c>
      <c r="G7340">
        <v>-153.6823</v>
      </c>
      <c r="H7340">
        <v>0.94963839999999999</v>
      </c>
      <c r="I7340">
        <v>160.82380000000001</v>
      </c>
      <c r="J7340">
        <v>-183.43369999999999</v>
      </c>
      <c r="K7340">
        <v>1.1068929999999999</v>
      </c>
      <c r="L7340">
        <v>125.33629999999999</v>
      </c>
      <c r="M7340">
        <v>0.20816850000000001</v>
      </c>
      <c r="N7340">
        <v>0</v>
      </c>
      <c r="O7340">
        <v>0.97805220000000004</v>
      </c>
      <c r="P7340">
        <v>0.45221840000000002</v>
      </c>
      <c r="Q7340">
        <v>-5.0582090000000003E-2</v>
      </c>
      <c r="R7340">
        <v>0.89047180000000004</v>
      </c>
      <c r="S7340">
        <v>1.9771270000000001</v>
      </c>
      <c r="T7340">
        <v>-1.043665E-2</v>
      </c>
      <c r="U7340">
        <v>2.3674469999999999</v>
      </c>
      <c r="V7340">
        <v>0.25667960000000001</v>
      </c>
      <c r="W7340">
        <v>-4.3496930000000003E-2</v>
      </c>
      <c r="X7340">
        <v>0.96551730000000002</v>
      </c>
      <c r="Y7340">
        <v>0.46716609999999997</v>
      </c>
      <c r="Z7340">
        <v>-3.4841339999999998E-3</v>
      </c>
      <c r="AA7340">
        <v>0.88416269999999997</v>
      </c>
      <c r="AB7340">
        <v>20</v>
      </c>
      <c r="AC7340">
        <v>29.751399999999901</v>
      </c>
      <c r="AD7340">
        <v>-0.15725459999999999</v>
      </c>
      <c r="AE7340">
        <v>35.487499999999997</v>
      </c>
      <c r="AF7340">
        <v>21.711658208593899</v>
      </c>
      <c r="AG7340">
        <v>-0.15725459999999999</v>
      </c>
      <c r="AH7340">
        <v>40.903091556509601</v>
      </c>
      <c r="AI7340">
        <v>90.1945653266514</v>
      </c>
      <c r="AJ7340">
        <v>62.040312622158503</v>
      </c>
      <c r="AK7340">
        <v>46.308570805588801</v>
      </c>
      <c r="AL7340">
        <v>92.492976973690602</v>
      </c>
      <c r="AM7340">
        <v>75.1124526872633</v>
      </c>
      <c r="AN7340">
        <v>1.00000002828743</v>
      </c>
    </row>
    <row r="7341" spans="1:40" x14ac:dyDescent="0.25">
      <c r="A7341" t="str">
        <f>"20190312161204808"</f>
        <v>20190312161204808</v>
      </c>
      <c r="B7341" t="str">
        <f>"1552378324804813"</f>
        <v>1552378324804813</v>
      </c>
      <c r="C7341" t="s">
        <v>40</v>
      </c>
      <c r="D7341">
        <v>6.3003929999999997</v>
      </c>
      <c r="E7341">
        <v>0.58751089999999995</v>
      </c>
      <c r="F7341" t="s">
        <v>55</v>
      </c>
      <c r="G7341">
        <v>-153.4502</v>
      </c>
      <c r="H7341">
        <v>1.04776</v>
      </c>
      <c r="I7341">
        <v>160.8237</v>
      </c>
      <c r="J7341">
        <v>-183.40530000000001</v>
      </c>
      <c r="K7341">
        <v>1.1068420000000001</v>
      </c>
      <c r="L7341">
        <v>125.45610000000001</v>
      </c>
      <c r="M7341">
        <v>0.2107242</v>
      </c>
      <c r="N7341">
        <v>0</v>
      </c>
      <c r="O7341">
        <v>0.97750490000000001</v>
      </c>
      <c r="P7341">
        <v>0.45466079999999998</v>
      </c>
      <c r="Q7341">
        <v>-5.0775180000000003E-2</v>
      </c>
      <c r="R7341">
        <v>0.88921620000000001</v>
      </c>
      <c r="S7341">
        <v>1.9916990000000001</v>
      </c>
      <c r="T7341">
        <v>-3.9255619999999996E-3</v>
      </c>
      <c r="U7341">
        <v>2.3573</v>
      </c>
      <c r="V7341">
        <v>0.25680209999999998</v>
      </c>
      <c r="W7341">
        <v>-4.373896E-2</v>
      </c>
      <c r="X7341">
        <v>0.96547380000000005</v>
      </c>
      <c r="Y7341">
        <v>0.46992430000000002</v>
      </c>
      <c r="Z7341">
        <v>-1.3103749999999999E-3</v>
      </c>
      <c r="AA7341">
        <v>0.88270569999999904</v>
      </c>
      <c r="AB7341">
        <v>21</v>
      </c>
      <c r="AC7341">
        <v>29.955100000000002</v>
      </c>
      <c r="AD7341">
        <v>-5.9082000000000003E-2</v>
      </c>
      <c r="AE7341">
        <v>35.367600000000003</v>
      </c>
      <c r="AF7341">
        <v>21.8292798786986</v>
      </c>
      <c r="AG7341">
        <v>-5.9082000000000003E-2</v>
      </c>
      <c r="AH7341">
        <v>40.885825225853203</v>
      </c>
      <c r="AI7341">
        <v>90.073037087653404</v>
      </c>
      <c r="AJ7341">
        <v>61.9018730990961</v>
      </c>
      <c r="AK7341">
        <v>46.348372734156399</v>
      </c>
      <c r="AL7341">
        <v>92.506857459695894</v>
      </c>
      <c r="AM7341">
        <v>75.105022103004799</v>
      </c>
      <c r="AN7341">
        <v>1.00000003683636</v>
      </c>
    </row>
    <row r="7342" spans="1:40" x14ac:dyDescent="0.25">
      <c r="A7342" t="str">
        <f>"20190312161204821"</f>
        <v>20190312161204821</v>
      </c>
      <c r="B7342" t="str">
        <f>"1552378324814573"</f>
        <v>1552378324814573</v>
      </c>
      <c r="C7342" t="s">
        <v>40</v>
      </c>
      <c r="D7342">
        <v>6.2358460000000004</v>
      </c>
      <c r="E7342">
        <v>0.58782199999999996</v>
      </c>
      <c r="F7342" t="s">
        <v>55</v>
      </c>
      <c r="G7342">
        <v>-153.27500000000001</v>
      </c>
      <c r="H7342">
        <v>1.0984969999999901</v>
      </c>
      <c r="I7342">
        <v>160.8236</v>
      </c>
      <c r="J7342">
        <v>-183.3768</v>
      </c>
      <c r="K7342">
        <v>1.106779</v>
      </c>
      <c r="L7342">
        <v>125.5749</v>
      </c>
      <c r="M7342">
        <v>0.21330180000000001</v>
      </c>
      <c r="N7342">
        <v>0</v>
      </c>
      <c r="O7342">
        <v>0.97694590000000003</v>
      </c>
      <c r="P7342">
        <v>0.4571982</v>
      </c>
      <c r="Q7342">
        <v>-5.1116380000000003E-2</v>
      </c>
      <c r="R7342">
        <v>0.88789470000000004</v>
      </c>
      <c r="S7342">
        <v>2.0020600000000002</v>
      </c>
      <c r="T7342">
        <v>-5.5205819999999998E-4</v>
      </c>
      <c r="U7342">
        <v>2.3500519999999998</v>
      </c>
      <c r="V7342">
        <v>0.25700859999999998</v>
      </c>
      <c r="W7342">
        <v>-4.4132070000000002E-2</v>
      </c>
      <c r="X7342">
        <v>0.96540090000000001</v>
      </c>
      <c r="Y7342">
        <v>0.47119640000000002</v>
      </c>
      <c r="Z7342">
        <v>-1.8425430000000001E-4</v>
      </c>
      <c r="AA7342">
        <v>0.88202829999999999</v>
      </c>
      <c r="AB7342">
        <v>21</v>
      </c>
      <c r="AC7342">
        <v>30.101800000000001</v>
      </c>
      <c r="AD7342">
        <v>-8.2820000000003394E-3</v>
      </c>
      <c r="AE7342">
        <v>35.248699999999999</v>
      </c>
      <c r="AF7342">
        <v>21.8900834652745</v>
      </c>
      <c r="AG7342">
        <v>-8.2820000000003394E-3</v>
      </c>
      <c r="AH7342">
        <v>40.858454738649499</v>
      </c>
      <c r="AI7342">
        <v>90.010237199625294</v>
      </c>
      <c r="AJ7342">
        <v>61.819638704902097</v>
      </c>
      <c r="AK7342">
        <v>46.352876354531404</v>
      </c>
      <c r="AL7342">
        <v>92.529402919991199</v>
      </c>
      <c r="AM7342">
        <v>75.092502229093299</v>
      </c>
      <c r="AN7342">
        <v>0.99999997889862702</v>
      </c>
    </row>
    <row r="7343" spans="1:40" x14ac:dyDescent="0.25">
      <c r="A7343" t="str">
        <f>"20190312161204841"</f>
        <v>20190312161204841</v>
      </c>
      <c r="B7343" t="str">
        <f>"1552378324834093"</f>
        <v>1552378324834093</v>
      </c>
      <c r="C7343" t="s">
        <v>40</v>
      </c>
      <c r="D7343">
        <v>6.3017690000000002</v>
      </c>
      <c r="E7343">
        <v>0.58827039999999997</v>
      </c>
      <c r="F7343" t="s">
        <v>55</v>
      </c>
      <c r="G7343">
        <v>-153.12569999999999</v>
      </c>
      <c r="H7343">
        <v>1.121672</v>
      </c>
      <c r="I7343">
        <v>160.8235</v>
      </c>
      <c r="J7343">
        <v>-183.33439999999999</v>
      </c>
      <c r="K7343">
        <v>1.1066800000000001</v>
      </c>
      <c r="L7343">
        <v>125.7483</v>
      </c>
      <c r="M7343">
        <v>0.21715789999999999</v>
      </c>
      <c r="N7343">
        <v>0</v>
      </c>
      <c r="O7343">
        <v>0.97609619999999997</v>
      </c>
      <c r="P7343">
        <v>0.46105600000000002</v>
      </c>
      <c r="Q7343">
        <v>-5.2319499999999998E-2</v>
      </c>
      <c r="R7343">
        <v>0.88582729999999998</v>
      </c>
      <c r="S7343">
        <v>2.0110779999999999</v>
      </c>
      <c r="T7343">
        <v>9.924173000000001E-4</v>
      </c>
      <c r="U7343">
        <v>2.3433069999999998</v>
      </c>
      <c r="V7343">
        <v>0.2573936</v>
      </c>
      <c r="W7343">
        <v>-4.5414599999999902E-2</v>
      </c>
      <c r="X7343">
        <v>0.96523890000000001</v>
      </c>
      <c r="Y7343">
        <v>0.47092349999999999</v>
      </c>
      <c r="Z7343">
        <v>3.3117489999999998E-4</v>
      </c>
      <c r="AA7343">
        <v>0.88217400000000001</v>
      </c>
      <c r="AB7343">
        <v>21</v>
      </c>
      <c r="AC7343">
        <v>30.2087</v>
      </c>
      <c r="AD7343">
        <v>1.4992000000000101E-2</v>
      </c>
      <c r="AE7343">
        <v>35.075199999999903</v>
      </c>
      <c r="AF7343">
        <v>21.870598339789399</v>
      </c>
      <c r="AG7343">
        <v>1.4992000000000101E-2</v>
      </c>
      <c r="AH7343">
        <v>40.798427536726699</v>
      </c>
      <c r="AI7343">
        <v>89.981443851076705</v>
      </c>
      <c r="AJ7343">
        <v>61.805810335368498</v>
      </c>
      <c r="AK7343">
        <v>46.290765666275199</v>
      </c>
      <c r="AL7343">
        <v>92.602960082072798</v>
      </c>
      <c r="AM7343">
        <v>75.068773461024193</v>
      </c>
      <c r="AN7343">
        <v>1.0000000426436599</v>
      </c>
    </row>
    <row r="7344" spans="1:40" x14ac:dyDescent="0.25">
      <c r="A7344" t="str">
        <f>"20190312161204865"</f>
        <v>20190312161204865</v>
      </c>
      <c r="B7344" t="str">
        <f>"1552378324854588"</f>
        <v>1552378324854588</v>
      </c>
      <c r="C7344" t="s">
        <v>40</v>
      </c>
      <c r="D7344">
        <v>5.8769999999999998</v>
      </c>
      <c r="E7344">
        <v>0.5886998</v>
      </c>
      <c r="F7344" t="s">
        <v>55</v>
      </c>
      <c r="G7344">
        <v>-152.89189999999999</v>
      </c>
      <c r="H7344">
        <v>1.112247</v>
      </c>
      <c r="I7344">
        <v>160.8235</v>
      </c>
      <c r="J7344">
        <v>-183.28149999999999</v>
      </c>
      <c r="K7344">
        <v>1.1065560000000001</v>
      </c>
      <c r="L7344">
        <v>125.9603</v>
      </c>
      <c r="M7344">
        <v>0.2220232</v>
      </c>
      <c r="N7344">
        <v>0</v>
      </c>
      <c r="O7344">
        <v>0.97500120000000001</v>
      </c>
      <c r="P7344">
        <v>0.4663197</v>
      </c>
      <c r="Q7344">
        <v>-5.279607E-2</v>
      </c>
      <c r="R7344">
        <v>0.88303940000000003</v>
      </c>
      <c r="S7344">
        <v>2.02475</v>
      </c>
      <c r="T7344">
        <v>3.7264820000000001E-4</v>
      </c>
      <c r="U7344">
        <v>2.3328700000000002</v>
      </c>
      <c r="V7344">
        <v>0.25831310000000002</v>
      </c>
      <c r="W7344">
        <v>-4.5995750000000002E-2</v>
      </c>
      <c r="X7344">
        <v>0.96496559999999998</v>
      </c>
      <c r="Y7344">
        <v>0.47142790000000001</v>
      </c>
      <c r="Z7344">
        <v>1.2433600000000001E-4</v>
      </c>
      <c r="AA7344">
        <v>0.88190460000000004</v>
      </c>
      <c r="AB7344">
        <v>21</v>
      </c>
      <c r="AC7344">
        <v>30.389600000000002</v>
      </c>
      <c r="AD7344">
        <v>5.69100000000011E-3</v>
      </c>
      <c r="AE7344">
        <v>34.8631999999999</v>
      </c>
      <c r="AF7344">
        <v>21.890314574501801</v>
      </c>
      <c r="AG7344">
        <v>5.69100000000011E-3</v>
      </c>
      <c r="AH7344">
        <v>40.740453672662802</v>
      </c>
      <c r="AI7344">
        <v>89.992949680073394</v>
      </c>
      <c r="AJ7344">
        <v>61.750350110419603</v>
      </c>
      <c r="AK7344">
        <v>46.249005070514897</v>
      </c>
      <c r="AL7344">
        <v>92.636292632817998</v>
      </c>
      <c r="AM7344">
        <v>75.013775915056598</v>
      </c>
      <c r="AN7344">
        <v>0.99999993791651398</v>
      </c>
    </row>
    <row r="7345" spans="1:40" x14ac:dyDescent="0.25">
      <c r="A7345" t="str">
        <f>"20190312161204884"</f>
        <v>20190312161204884</v>
      </c>
      <c r="B7345" t="str">
        <f>"1552378324874109"</f>
        <v>1552378324874109</v>
      </c>
      <c r="C7345" t="s">
        <v>40</v>
      </c>
      <c r="D7345">
        <v>6.168253</v>
      </c>
      <c r="E7345">
        <v>0.58917140000000001</v>
      </c>
      <c r="F7345" t="s">
        <v>55</v>
      </c>
      <c r="G7345">
        <v>-152.5856</v>
      </c>
      <c r="H7345">
        <v>1.1381840000000001</v>
      </c>
      <c r="I7345">
        <v>160.82329999999999</v>
      </c>
      <c r="J7345">
        <v>-183.23259999999999</v>
      </c>
      <c r="K7345">
        <v>1.1064339999999999</v>
      </c>
      <c r="L7345">
        <v>126.1512</v>
      </c>
      <c r="M7345">
        <v>0.22657430000000001</v>
      </c>
      <c r="N7345">
        <v>0</v>
      </c>
      <c r="O7345">
        <v>0.97395379999999998</v>
      </c>
      <c r="P7345">
        <v>0.47133789999999998</v>
      </c>
      <c r="Q7345">
        <v>-5.337302E-2</v>
      </c>
      <c r="R7345">
        <v>0.88033619999999901</v>
      </c>
      <c r="S7345">
        <v>2.0419459999999998</v>
      </c>
      <c r="T7345">
        <v>2.10619E-3</v>
      </c>
      <c r="U7345">
        <v>2.319153</v>
      </c>
      <c r="V7345">
        <v>0.25928869999999998</v>
      </c>
      <c r="W7345">
        <v>-4.6670009999999998E-2</v>
      </c>
      <c r="X7345">
        <v>0.96467159999999996</v>
      </c>
      <c r="Y7345">
        <v>0.47358070000000002</v>
      </c>
      <c r="Z7345">
        <v>7.0277950000000001E-4</v>
      </c>
      <c r="AA7345">
        <v>0.88075009999999998</v>
      </c>
      <c r="AB7345">
        <v>21</v>
      </c>
      <c r="AC7345">
        <v>30.646999999999899</v>
      </c>
      <c r="AD7345">
        <v>3.1750000000000098E-2</v>
      </c>
      <c r="AE7345">
        <v>34.672099999999901</v>
      </c>
      <c r="AF7345">
        <v>21.993803645719701</v>
      </c>
      <c r="AG7345">
        <v>3.1750000000000098E-2</v>
      </c>
      <c r="AH7345">
        <v>40.714416518967099</v>
      </c>
      <c r="AI7345">
        <v>89.960688619423607</v>
      </c>
      <c r="AJ7345">
        <v>61.622217639569399</v>
      </c>
      <c r="AK7345">
        <v>46.275178220606797</v>
      </c>
      <c r="AL7345">
        <v>92.674966234650597</v>
      </c>
      <c r="AM7345">
        <v>74.955359799608303</v>
      </c>
      <c r="AN7345">
        <v>1.00000000781382</v>
      </c>
    </row>
    <row r="7346" spans="1:40" x14ac:dyDescent="0.25">
      <c r="A7346" t="str">
        <f>"20190312161204907"</f>
        <v>20190312161204907</v>
      </c>
      <c r="B7346" t="str">
        <f>"1552378324904365"</f>
        <v>1552378324904365</v>
      </c>
      <c r="C7346" t="s">
        <v>40</v>
      </c>
      <c r="D7346">
        <v>6.1616749999999998</v>
      </c>
      <c r="E7346">
        <v>0.60861480000000001</v>
      </c>
      <c r="F7346" t="s">
        <v>55</v>
      </c>
      <c r="G7346">
        <v>-152.27359999999999</v>
      </c>
      <c r="H7346">
        <v>1.1557770000000001</v>
      </c>
      <c r="I7346">
        <v>160.82320000000001</v>
      </c>
      <c r="J7346">
        <v>-183.18</v>
      </c>
      <c r="K7346">
        <v>1.1063160000000001</v>
      </c>
      <c r="L7346">
        <v>126.35209999999999</v>
      </c>
      <c r="M7346">
        <v>0.23150509999999999</v>
      </c>
      <c r="N7346">
        <v>0</v>
      </c>
      <c r="O7346">
        <v>0.97279360000000004</v>
      </c>
      <c r="P7346">
        <v>0.47644320000000001</v>
      </c>
      <c r="Q7346">
        <v>-5.3661639999999997E-2</v>
      </c>
      <c r="R7346">
        <v>0.87756610000000002</v>
      </c>
      <c r="S7346">
        <v>2.058792</v>
      </c>
      <c r="T7346">
        <v>3.2835009999999999E-3</v>
      </c>
      <c r="U7346">
        <v>2.3057099999999999</v>
      </c>
      <c r="V7346">
        <v>0.2599938</v>
      </c>
      <c r="W7346">
        <v>-4.7049300000000002E-2</v>
      </c>
      <c r="X7346">
        <v>0.96446339999999997</v>
      </c>
      <c r="Y7346">
        <v>0.4752517</v>
      </c>
      <c r="Z7346">
        <v>1.095555E-3</v>
      </c>
      <c r="AA7346">
        <v>0.8798492</v>
      </c>
      <c r="AB7346">
        <v>21</v>
      </c>
      <c r="AC7346">
        <v>30.906400000000001</v>
      </c>
      <c r="AD7346">
        <v>4.9460999999999901E-2</v>
      </c>
      <c r="AE7346">
        <v>34.4711</v>
      </c>
      <c r="AF7346">
        <v>22.086148841730001</v>
      </c>
      <c r="AG7346">
        <v>4.9460999999999901E-2</v>
      </c>
      <c r="AH7346">
        <v>40.689795191648301</v>
      </c>
      <c r="AI7346">
        <v>89.938789217529902</v>
      </c>
      <c r="AJ7346">
        <v>61.507186089896003</v>
      </c>
      <c r="AK7346">
        <v>46.297514509829298</v>
      </c>
      <c r="AL7346">
        <v>92.696721786342493</v>
      </c>
      <c r="AM7346">
        <v>74.913202161871396</v>
      </c>
      <c r="AN7346">
        <v>1.0000000313042401</v>
      </c>
    </row>
    <row r="7347" spans="1:40" x14ac:dyDescent="0.25">
      <c r="A7347" t="str">
        <f>"20190312161204930"</f>
        <v>20190312161204930</v>
      </c>
      <c r="B7347" t="str">
        <f>"1552378324924861"</f>
        <v>1552378324924861</v>
      </c>
      <c r="C7347" t="s">
        <v>40</v>
      </c>
      <c r="D7347">
        <v>6.1567530000000001</v>
      </c>
      <c r="E7347">
        <v>0.60880489999999998</v>
      </c>
      <c r="F7347" t="s">
        <v>55</v>
      </c>
      <c r="G7347">
        <v>-148.6806</v>
      </c>
      <c r="H7347">
        <v>3.3240280000000002</v>
      </c>
      <c r="I7347">
        <v>160.82130000000001</v>
      </c>
      <c r="J7347">
        <v>-183.12379999999999</v>
      </c>
      <c r="K7347">
        <v>1.1061989999999999</v>
      </c>
      <c r="L7347">
        <v>126.5611</v>
      </c>
      <c r="M7347">
        <v>0.2367978</v>
      </c>
      <c r="N7347">
        <v>0</v>
      </c>
      <c r="O7347">
        <v>0.97151900000000002</v>
      </c>
      <c r="P7347">
        <v>0.48159619999999997</v>
      </c>
      <c r="Q7347">
        <v>-5.3653100000000002E-2</v>
      </c>
      <c r="R7347">
        <v>0.87474940000000001</v>
      </c>
      <c r="S7347">
        <v>2.2225649999999999</v>
      </c>
      <c r="T7347">
        <v>0.14287459999999999</v>
      </c>
      <c r="U7347">
        <v>2.2206269999999999</v>
      </c>
      <c r="V7347">
        <v>0.26040239999999998</v>
      </c>
      <c r="W7347">
        <v>-4.7125489999999999E-2</v>
      </c>
      <c r="X7347">
        <v>0.96434940000000002</v>
      </c>
      <c r="Y7347">
        <v>0.51912619999999998</v>
      </c>
      <c r="Z7347">
        <v>4.7150930000000001E-2</v>
      </c>
      <c r="AA7347">
        <v>0.85339609999999899</v>
      </c>
      <c r="AB7347">
        <v>21</v>
      </c>
      <c r="AC7347">
        <v>34.443199999999898</v>
      </c>
      <c r="AD7347">
        <v>2.2178290000000001</v>
      </c>
      <c r="AE7347">
        <v>34.260199999999998</v>
      </c>
      <c r="AF7347">
        <v>25.297743288433502</v>
      </c>
      <c r="AG7347">
        <v>2.2178290000000001</v>
      </c>
      <c r="AH7347">
        <v>41.355926452830502</v>
      </c>
      <c r="AI7347">
        <v>87.380686923802202</v>
      </c>
      <c r="AJ7347">
        <v>58.545548729742201</v>
      </c>
      <c r="AK7347">
        <v>48.530477369717303</v>
      </c>
      <c r="AL7347">
        <v>92.701092101373703</v>
      </c>
      <c r="AM7347">
        <v>74.888870901283099</v>
      </c>
      <c r="AN7347">
        <v>0.99999999350693003</v>
      </c>
    </row>
    <row r="7348" spans="1:40" x14ac:dyDescent="0.25">
      <c r="A7348" t="str">
        <f>"20190312161204944"</f>
        <v>20190312161204944</v>
      </c>
      <c r="B7348" t="str">
        <f>"1552378324934621"</f>
        <v>1552378324934621</v>
      </c>
      <c r="C7348" t="s">
        <v>40</v>
      </c>
      <c r="D7348">
        <v>6.165133</v>
      </c>
      <c r="E7348">
        <v>0.60918490000000003</v>
      </c>
      <c r="F7348" t="s">
        <v>55</v>
      </c>
      <c r="G7348">
        <v>-148.40270000000001</v>
      </c>
      <c r="H7348">
        <v>3.2924859999999998</v>
      </c>
      <c r="I7348">
        <v>160.8212</v>
      </c>
      <c r="J7348">
        <v>-183.0883</v>
      </c>
      <c r="K7348">
        <v>1.1061270000000001</v>
      </c>
      <c r="L7348">
        <v>126.69110000000001</v>
      </c>
      <c r="M7348">
        <v>0.24016370000000001</v>
      </c>
      <c r="N7348">
        <v>0</v>
      </c>
      <c r="O7348">
        <v>0.97069249999999996</v>
      </c>
      <c r="P7348">
        <v>0.48506199999999999</v>
      </c>
      <c r="Q7348">
        <v>-5.3968450000000001E-2</v>
      </c>
      <c r="R7348">
        <v>0.8728129</v>
      </c>
      <c r="S7348">
        <v>2.236542</v>
      </c>
      <c r="T7348">
        <v>0.14083039999999999</v>
      </c>
      <c r="U7348">
        <v>2.2068479999999999</v>
      </c>
      <c r="V7348">
        <v>0.26087900000000003</v>
      </c>
      <c r="W7348">
        <v>-4.7496589999999998E-2</v>
      </c>
      <c r="X7348">
        <v>0.96420240000000002</v>
      </c>
      <c r="Y7348">
        <v>0.52151590000000003</v>
      </c>
      <c r="Z7348">
        <v>4.6495969999999998E-2</v>
      </c>
      <c r="AA7348">
        <v>0.8519738</v>
      </c>
      <c r="AB7348">
        <v>21</v>
      </c>
      <c r="AC7348">
        <v>34.685599999999901</v>
      </c>
      <c r="AD7348">
        <v>2.1863589999999999</v>
      </c>
      <c r="AE7348">
        <v>34.130099999999999</v>
      </c>
      <c r="AF7348">
        <v>25.421908428701101</v>
      </c>
      <c r="AG7348">
        <v>2.1863589999999999</v>
      </c>
      <c r="AH7348">
        <v>41.378130517835302</v>
      </c>
      <c r="AI7348">
        <v>87.422254206375698</v>
      </c>
      <c r="AJ7348">
        <v>58.434253497176996</v>
      </c>
      <c r="AK7348">
        <v>48.612789253293798</v>
      </c>
      <c r="AL7348">
        <v>92.722378320153894</v>
      </c>
      <c r="AM7348">
        <v>74.860280018161703</v>
      </c>
      <c r="AN7348">
        <v>1.0000000234341899</v>
      </c>
    </row>
    <row r="7349" spans="1:40" x14ac:dyDescent="0.25">
      <c r="A7349" t="str">
        <f>"20190312161204957"</f>
        <v>20190312161204957</v>
      </c>
      <c r="B7349" t="str">
        <f>"1552378324954141"</f>
        <v>1552378324954141</v>
      </c>
      <c r="C7349" t="s">
        <v>40</v>
      </c>
      <c r="D7349">
        <v>5.9526570000000003</v>
      </c>
      <c r="E7349">
        <v>0.60925589999999996</v>
      </c>
      <c r="F7349" t="s">
        <v>55</v>
      </c>
      <c r="G7349">
        <v>-148.15539999999999</v>
      </c>
      <c r="H7349">
        <v>3.294683</v>
      </c>
      <c r="I7349">
        <v>160.8212</v>
      </c>
      <c r="J7349">
        <v>-183.0547</v>
      </c>
      <c r="K7349">
        <v>1.10606</v>
      </c>
      <c r="L7349">
        <v>126.8116</v>
      </c>
      <c r="M7349">
        <v>0.24337990000000001</v>
      </c>
      <c r="N7349">
        <v>0</v>
      </c>
      <c r="O7349">
        <v>0.96989110000000001</v>
      </c>
      <c r="P7349">
        <v>0.48804140000000001</v>
      </c>
      <c r="Q7349">
        <v>-5.4448120000000003E-2</v>
      </c>
      <c r="R7349">
        <v>0.87112060000000002</v>
      </c>
      <c r="S7349">
        <v>2.248138</v>
      </c>
      <c r="T7349">
        <v>0.14084849999999999</v>
      </c>
      <c r="U7349">
        <v>2.196472</v>
      </c>
      <c r="V7349">
        <v>0.26097310000000001</v>
      </c>
      <c r="W7349">
        <v>-4.802729E-2</v>
      </c>
      <c r="X7349">
        <v>0.96415059999999997</v>
      </c>
      <c r="Y7349">
        <v>0.52289809999999903</v>
      </c>
      <c r="Z7349">
        <v>4.6501340000000002E-2</v>
      </c>
      <c r="AA7349">
        <v>0.85112589999999999</v>
      </c>
      <c r="AB7349">
        <v>21</v>
      </c>
      <c r="AC7349">
        <v>34.899299999999997</v>
      </c>
      <c r="AD7349">
        <v>2.1886230000000002</v>
      </c>
      <c r="AE7349">
        <v>34.009599999999999</v>
      </c>
      <c r="AF7349">
        <v>25.520777583369199</v>
      </c>
      <c r="AG7349">
        <v>2.1886230000000002</v>
      </c>
      <c r="AH7349">
        <v>41.397496454927399</v>
      </c>
      <c r="AI7349">
        <v>87.423208313040305</v>
      </c>
      <c r="AJ7349">
        <v>58.346949033165501</v>
      </c>
      <c r="AK7349">
        <v>48.681134660478698</v>
      </c>
      <c r="AL7349">
        <v>92.752820052609707</v>
      </c>
      <c r="AM7349">
        <v>74.854293564151504</v>
      </c>
      <c r="AN7349">
        <v>0.99999997949435604</v>
      </c>
    </row>
    <row r="7350" spans="1:40" x14ac:dyDescent="0.25">
      <c r="A7350" t="str">
        <f>"20190312161204975"</f>
        <v>20190312161204975</v>
      </c>
      <c r="B7350" t="str">
        <f>"1552378324964877"</f>
        <v>1552378324964877</v>
      </c>
      <c r="C7350" t="s">
        <v>40</v>
      </c>
      <c r="D7350">
        <v>6.1096510000000004</v>
      </c>
      <c r="E7350">
        <v>0.60913859999999997</v>
      </c>
      <c r="F7350" t="s">
        <v>55</v>
      </c>
      <c r="G7350">
        <v>-147.9965</v>
      </c>
      <c r="H7350">
        <v>3.3083949999999902</v>
      </c>
      <c r="I7350">
        <v>160.8211</v>
      </c>
      <c r="J7350">
        <v>-183.0102</v>
      </c>
      <c r="K7350">
        <v>1.105958</v>
      </c>
      <c r="L7350">
        <v>126.9691</v>
      </c>
      <c r="M7350">
        <v>0.24766379999999999</v>
      </c>
      <c r="N7350">
        <v>0</v>
      </c>
      <c r="O7350">
        <v>0.9688061</v>
      </c>
      <c r="P7350">
        <v>0.49210949999999998</v>
      </c>
      <c r="Q7350">
        <v>-5.5480130000000002E-2</v>
      </c>
      <c r="R7350">
        <v>0.86876359999999997</v>
      </c>
      <c r="S7350">
        <v>2.2561800000000001</v>
      </c>
      <c r="T7350">
        <v>0.1417341</v>
      </c>
      <c r="U7350">
        <v>2.1886899999999998</v>
      </c>
      <c r="V7350">
        <v>0.26121719999999998</v>
      </c>
      <c r="W7350">
        <v>-4.9130210000000001E-2</v>
      </c>
      <c r="X7350">
        <v>0.96402900000000002</v>
      </c>
      <c r="Y7350">
        <v>0.52215149999999999</v>
      </c>
      <c r="Z7350">
        <v>4.6788639999999999E-2</v>
      </c>
      <c r="AA7350">
        <v>0.85156829999999994</v>
      </c>
      <c r="AB7350">
        <v>21</v>
      </c>
      <c r="AC7350">
        <v>35.0137</v>
      </c>
      <c r="AD7350">
        <v>2.2024370000000002</v>
      </c>
      <c r="AE7350">
        <v>33.851999999999997</v>
      </c>
      <c r="AF7350">
        <v>25.486437861121299</v>
      </c>
      <c r="AG7350">
        <v>2.2024370000000002</v>
      </c>
      <c r="AH7350">
        <v>41.384620314959498</v>
      </c>
      <c r="AI7350">
        <v>87.405422622424595</v>
      </c>
      <c r="AJ7350">
        <v>58.373442990008797</v>
      </c>
      <c r="AK7350">
        <v>48.652811246639402</v>
      </c>
      <c r="AL7350">
        <v>92.8160871933528</v>
      </c>
      <c r="AM7350">
        <v>74.838954604745197</v>
      </c>
      <c r="AN7350">
        <v>1.00000005797574</v>
      </c>
    </row>
    <row r="7351" spans="1:40" x14ac:dyDescent="0.25">
      <c r="A7351" t="str">
        <f>"20190312161204997"</f>
        <v>20190312161204997</v>
      </c>
      <c r="B7351" t="str">
        <f>"1552378324995144"</f>
        <v>1552378324995144</v>
      </c>
      <c r="C7351" t="s">
        <v>40</v>
      </c>
      <c r="D7351">
        <v>5.4533820000000004</v>
      </c>
      <c r="E7351">
        <v>0.60904999999999998</v>
      </c>
      <c r="F7351" t="s">
        <v>55</v>
      </c>
      <c r="G7351">
        <v>-147.80680000000001</v>
      </c>
      <c r="H7351">
        <v>3.2621570000000002</v>
      </c>
      <c r="I7351">
        <v>160.8211</v>
      </c>
      <c r="J7351">
        <v>-182.95189999999999</v>
      </c>
      <c r="K7351">
        <v>1.10581</v>
      </c>
      <c r="L7351">
        <v>127.1709</v>
      </c>
      <c r="M7351">
        <v>0.25332569999999999</v>
      </c>
      <c r="N7351">
        <v>0</v>
      </c>
      <c r="O7351">
        <v>0.96734120000000001</v>
      </c>
      <c r="P7351">
        <v>0.49769439999999998</v>
      </c>
      <c r="Q7351">
        <v>-5.599788E-2</v>
      </c>
      <c r="R7351">
        <v>0.8655429</v>
      </c>
      <c r="S7351">
        <v>2.2656399999999999</v>
      </c>
      <c r="T7351">
        <v>0.1387719</v>
      </c>
      <c r="U7351">
        <v>2.1786650000000001</v>
      </c>
      <c r="V7351">
        <v>0.26177519999999999</v>
      </c>
      <c r="W7351">
        <v>-4.974754E-2</v>
      </c>
      <c r="X7351">
        <v>0.96384590000000003</v>
      </c>
      <c r="Y7351">
        <v>0.52093210000000001</v>
      </c>
      <c r="Z7351">
        <v>4.5812100000000001E-2</v>
      </c>
      <c r="AA7351">
        <v>0.85236789999999996</v>
      </c>
      <c r="AB7351">
        <v>21</v>
      </c>
      <c r="AC7351">
        <v>35.1450999999999</v>
      </c>
      <c r="AD7351">
        <v>2.1563469999999998</v>
      </c>
      <c r="AE7351">
        <v>33.650199999999998</v>
      </c>
      <c r="AF7351">
        <v>25.423891779533299</v>
      </c>
      <c r="AG7351">
        <v>2.1563469999999998</v>
      </c>
      <c r="AH7351">
        <v>41.3747193526807</v>
      </c>
      <c r="AI7351">
        <v>87.457494320087307</v>
      </c>
      <c r="AJ7351">
        <v>58.430152842400801</v>
      </c>
      <c r="AK7351">
        <v>48.6095824618451</v>
      </c>
      <c r="AL7351">
        <v>92.851501077887505</v>
      </c>
      <c r="AM7351">
        <v>74.805310962681602</v>
      </c>
      <c r="AN7351">
        <v>0.99999999600894995</v>
      </c>
    </row>
    <row r="7352" spans="1:40" x14ac:dyDescent="0.25">
      <c r="A7352" t="str">
        <f>"20190312161205020"</f>
        <v>20190312161205020</v>
      </c>
      <c r="B7352" t="str">
        <f>"1552378325014653"</f>
        <v>1552378325014653</v>
      </c>
      <c r="C7352" t="s">
        <v>40</v>
      </c>
      <c r="D7352">
        <v>6.1132269999999904</v>
      </c>
      <c r="E7352">
        <v>0.60905290000000001</v>
      </c>
      <c r="F7352" t="s">
        <v>55</v>
      </c>
      <c r="G7352">
        <v>-147.529</v>
      </c>
      <c r="H7352">
        <v>3.240971</v>
      </c>
      <c r="I7352">
        <v>160.821</v>
      </c>
      <c r="J7352">
        <v>-182.88919999999999</v>
      </c>
      <c r="K7352">
        <v>1.1056459999999999</v>
      </c>
      <c r="L7352">
        <v>127.3824</v>
      </c>
      <c r="M7352">
        <v>0.25947249999999999</v>
      </c>
      <c r="N7352">
        <v>0</v>
      </c>
      <c r="O7352">
        <v>0.96571059999999997</v>
      </c>
      <c r="P7352">
        <v>0.50358849999999999</v>
      </c>
      <c r="Q7352">
        <v>-5.5992439999999997E-2</v>
      </c>
      <c r="R7352">
        <v>0.86212730000000004</v>
      </c>
      <c r="S7352">
        <v>2.278702</v>
      </c>
      <c r="T7352">
        <v>0.137354</v>
      </c>
      <c r="U7352">
        <v>2.1646580000000002</v>
      </c>
      <c r="V7352">
        <v>0.26220189999999999</v>
      </c>
      <c r="W7352">
        <v>-4.9851189999999997E-2</v>
      </c>
      <c r="X7352">
        <v>0.96372460000000004</v>
      </c>
      <c r="Y7352">
        <v>0.52071460000000003</v>
      </c>
      <c r="Z7352">
        <v>4.5351049999999997E-2</v>
      </c>
      <c r="AA7352">
        <v>0.85252539999999999</v>
      </c>
      <c r="AB7352">
        <v>21</v>
      </c>
      <c r="AC7352">
        <v>35.360199999999899</v>
      </c>
      <c r="AD7352">
        <v>2.1353249999999999</v>
      </c>
      <c r="AE7352">
        <v>33.438599999999902</v>
      </c>
      <c r="AF7352">
        <v>25.4233612767196</v>
      </c>
      <c r="AG7352">
        <v>2.1353249999999999</v>
      </c>
      <c r="AH7352">
        <v>41.388929143460501</v>
      </c>
      <c r="AI7352">
        <v>87.482861275857701</v>
      </c>
      <c r="AJ7352">
        <v>58.439461219646198</v>
      </c>
      <c r="AK7352">
        <v>48.620472715766901</v>
      </c>
      <c r="AL7352">
        <v>92.857447034228798</v>
      </c>
      <c r="AM7352">
        <v>74.779864313993201</v>
      </c>
      <c r="AN7352">
        <v>1.0000000410765899</v>
      </c>
    </row>
    <row r="7353" spans="1:40" x14ac:dyDescent="0.25">
      <c r="A7353" t="str">
        <f>"20190312161205034"</f>
        <v>20190312161205034</v>
      </c>
      <c r="B7353" t="str">
        <f>"1552378325024414"</f>
        <v>1552378325024414</v>
      </c>
      <c r="C7353" t="s">
        <v>40</v>
      </c>
      <c r="D7353">
        <v>6.1119430000000001</v>
      </c>
      <c r="E7353">
        <v>0.60889349999999998</v>
      </c>
      <c r="F7353" t="s">
        <v>55</v>
      </c>
      <c r="G7353">
        <v>-147.21090000000001</v>
      </c>
      <c r="H7353">
        <v>3.2084619999999999</v>
      </c>
      <c r="I7353">
        <v>160.82089999999999</v>
      </c>
      <c r="J7353">
        <v>-182.84960000000001</v>
      </c>
      <c r="K7353">
        <v>1.105537</v>
      </c>
      <c r="L7353">
        <v>127.5125</v>
      </c>
      <c r="M7353">
        <v>0.2633837</v>
      </c>
      <c r="N7353">
        <v>0</v>
      </c>
      <c r="O7353">
        <v>0.96465120000000004</v>
      </c>
      <c r="P7353">
        <v>0.5070308</v>
      </c>
      <c r="Q7353">
        <v>-5.5954610000000002E-2</v>
      </c>
      <c r="R7353">
        <v>0.86010969999999998</v>
      </c>
      <c r="S7353">
        <v>2.2930600000000001</v>
      </c>
      <c r="T7353">
        <v>0.1351511</v>
      </c>
      <c r="U7353">
        <v>2.1491090000000002</v>
      </c>
      <c r="V7353">
        <v>0.26213570000000003</v>
      </c>
      <c r="W7353">
        <v>-4.9878859999999997E-2</v>
      </c>
      <c r="X7353">
        <v>0.96374110000000002</v>
      </c>
      <c r="Y7353">
        <v>0.52301869999999995</v>
      </c>
      <c r="Z7353">
        <v>4.4646449999999997E-2</v>
      </c>
      <c r="AA7353">
        <v>0.85115099999999999</v>
      </c>
      <c r="AB7353">
        <v>21</v>
      </c>
      <c r="AC7353">
        <v>35.6387</v>
      </c>
      <c r="AD7353">
        <v>2.1029249999999999</v>
      </c>
      <c r="AE7353">
        <v>33.308399999999899</v>
      </c>
      <c r="AF7353">
        <v>25.5595111679967</v>
      </c>
      <c r="AG7353">
        <v>2.1029249999999999</v>
      </c>
      <c r="AH7353">
        <v>41.442222971352599</v>
      </c>
      <c r="AI7353">
        <v>87.5269434851932</v>
      </c>
      <c r="AJ7353">
        <v>58.335769656358302</v>
      </c>
      <c r="AK7353">
        <v>48.7357030267327</v>
      </c>
      <c r="AL7353">
        <v>92.859034595465005</v>
      </c>
      <c r="AM7353">
        <v>74.783777312961305</v>
      </c>
      <c r="AN7353">
        <v>0.99999996685929904</v>
      </c>
    </row>
    <row r="7354" spans="1:40" x14ac:dyDescent="0.25">
      <c r="A7354" t="str">
        <f>"20190312161205048"</f>
        <v>20190312161205048</v>
      </c>
      <c r="B7354" t="str">
        <f>"1552378325044909"</f>
        <v>1552378325044909</v>
      </c>
      <c r="C7354" t="s">
        <v>40</v>
      </c>
      <c r="D7354">
        <v>5.4458989999999998</v>
      </c>
      <c r="E7354">
        <v>0.60883869999999995</v>
      </c>
      <c r="F7354" t="s">
        <v>55</v>
      </c>
      <c r="G7354">
        <v>-147.0581</v>
      </c>
      <c r="H7354">
        <v>3.2047690000000002</v>
      </c>
      <c r="I7354">
        <v>160.82079999999999</v>
      </c>
      <c r="J7354">
        <v>-182.81</v>
      </c>
      <c r="K7354">
        <v>1.1054280000000001</v>
      </c>
      <c r="L7354">
        <v>127.64100000000001</v>
      </c>
      <c r="M7354">
        <v>0.26731959999999999</v>
      </c>
      <c r="N7354">
        <v>0</v>
      </c>
      <c r="O7354">
        <v>0.96356790000000003</v>
      </c>
      <c r="P7354">
        <v>0.51092459999999995</v>
      </c>
      <c r="Q7354">
        <v>-5.593915E-2</v>
      </c>
      <c r="R7354">
        <v>0.85780349999999905</v>
      </c>
      <c r="S7354">
        <v>2.300278</v>
      </c>
      <c r="T7354">
        <v>0.13491710000000001</v>
      </c>
      <c r="U7354">
        <v>2.1406860000000001</v>
      </c>
      <c r="V7354">
        <v>0.26255650000000003</v>
      </c>
      <c r="W7354">
        <v>-4.993471E-2</v>
      </c>
      <c r="X7354">
        <v>0.96362369999999997</v>
      </c>
      <c r="Y7354">
        <v>0.52254440000000002</v>
      </c>
      <c r="Z7354">
        <v>4.4573840000000003E-2</v>
      </c>
      <c r="AA7354">
        <v>0.85144609999999998</v>
      </c>
      <c r="AB7354">
        <v>21</v>
      </c>
      <c r="AC7354">
        <v>35.751899999999999</v>
      </c>
      <c r="AD7354">
        <v>2.0993409999999999</v>
      </c>
      <c r="AE7354">
        <v>33.179799999999901</v>
      </c>
      <c r="AF7354">
        <v>25.533458681855599</v>
      </c>
      <c r="AG7354">
        <v>2.0993409999999999</v>
      </c>
      <c r="AH7354">
        <v>41.452984653810098</v>
      </c>
      <c r="AI7354">
        <v>87.530924742777103</v>
      </c>
      <c r="AJ7354">
        <v>58.368513715995299</v>
      </c>
      <c r="AK7354">
        <v>48.731044331117303</v>
      </c>
      <c r="AL7354">
        <v>92.862238424978401</v>
      </c>
      <c r="AM7354">
        <v>74.758715769344903</v>
      </c>
      <c r="AN7354">
        <v>1.00000001307836</v>
      </c>
    </row>
    <row r="7355" spans="1:40" x14ac:dyDescent="0.25">
      <c r="A7355" t="str">
        <f>"20190312161205065"</f>
        <v>20190312161205065</v>
      </c>
      <c r="B7355" t="str">
        <f>"1552378325054669"</f>
        <v>1552378325054669</v>
      </c>
      <c r="C7355" t="s">
        <v>40</v>
      </c>
      <c r="D7355">
        <v>6.114547</v>
      </c>
      <c r="E7355">
        <v>0.60873690000000003</v>
      </c>
      <c r="F7355" t="s">
        <v>55</v>
      </c>
      <c r="G7355">
        <v>-146.84780000000001</v>
      </c>
      <c r="H7355">
        <v>3.1754609999999999</v>
      </c>
      <c r="I7355">
        <v>160.82079999999999</v>
      </c>
      <c r="J7355">
        <v>-182.76089999999999</v>
      </c>
      <c r="K7355">
        <v>1.1052850000000001</v>
      </c>
      <c r="L7355">
        <v>127.79730000000001</v>
      </c>
      <c r="M7355">
        <v>0.2722367</v>
      </c>
      <c r="N7355">
        <v>0</v>
      </c>
      <c r="O7355">
        <v>0.9621902</v>
      </c>
      <c r="P7355">
        <v>0.51558789999999999</v>
      </c>
      <c r="Q7355">
        <v>-5.6142289999999997E-2</v>
      </c>
      <c r="R7355">
        <v>0.85499539999999996</v>
      </c>
      <c r="S7355">
        <v>2.3092190000000001</v>
      </c>
      <c r="T7355">
        <v>0.13292379999999901</v>
      </c>
      <c r="U7355">
        <v>2.1305540000000001</v>
      </c>
      <c r="V7355">
        <v>0.26286789999999999</v>
      </c>
      <c r="W7355">
        <v>-5.0223190000000001E-2</v>
      </c>
      <c r="X7355">
        <v>0.96352380000000004</v>
      </c>
      <c r="Y7355">
        <v>0.52187439999999996</v>
      </c>
      <c r="Z7355">
        <v>4.3916530000000002E-2</v>
      </c>
      <c r="AA7355">
        <v>0.85189119999999996</v>
      </c>
      <c r="AB7355">
        <v>21</v>
      </c>
      <c r="AC7355">
        <v>35.913099999999901</v>
      </c>
      <c r="AD7355">
        <v>2.070176</v>
      </c>
      <c r="AE7355">
        <v>33.023499999999899</v>
      </c>
      <c r="AF7355">
        <v>25.5200633116688</v>
      </c>
      <c r="AG7355">
        <v>2.070176</v>
      </c>
      <c r="AH7355">
        <v>41.478675339192201</v>
      </c>
      <c r="AI7355">
        <v>87.565926485496703</v>
      </c>
      <c r="AJ7355">
        <v>58.397783486222302</v>
      </c>
      <c r="AK7355">
        <v>48.744638351275903</v>
      </c>
      <c r="AL7355">
        <v>92.878787892832406</v>
      </c>
      <c r="AM7355">
        <v>74.739973047287904</v>
      </c>
      <c r="AN7355">
        <v>1.0000000074153099</v>
      </c>
    </row>
    <row r="7356" spans="1:40" x14ac:dyDescent="0.25">
      <c r="A7356" t="str">
        <f>"20190312161205086"</f>
        <v>20190312161205086</v>
      </c>
      <c r="B7356" t="str">
        <f>"1552378325084924"</f>
        <v>1552378325084924</v>
      </c>
      <c r="C7356" t="s">
        <v>40</v>
      </c>
      <c r="D7356">
        <v>6.1127390000000004</v>
      </c>
      <c r="E7356">
        <v>0.60856739999999998</v>
      </c>
      <c r="F7356" t="s">
        <v>55</v>
      </c>
      <c r="G7356">
        <v>-146.60169999999999</v>
      </c>
      <c r="H7356">
        <v>3.1699600000000001</v>
      </c>
      <c r="I7356">
        <v>160.82069999999999</v>
      </c>
      <c r="J7356">
        <v>-182.6961</v>
      </c>
      <c r="K7356">
        <v>1.105121</v>
      </c>
      <c r="L7356">
        <v>127.9982</v>
      </c>
      <c r="M7356">
        <v>0.278781</v>
      </c>
      <c r="N7356">
        <v>0</v>
      </c>
      <c r="O7356">
        <v>0.96031429999999995</v>
      </c>
      <c r="P7356">
        <v>0.52209349999999999</v>
      </c>
      <c r="Q7356">
        <v>-5.5860989999999999E-2</v>
      </c>
      <c r="R7356">
        <v>0.85105690000000001</v>
      </c>
      <c r="S7356">
        <v>2.3197779999999999</v>
      </c>
      <c r="T7356">
        <v>0.13246079999999999</v>
      </c>
      <c r="U7356">
        <v>2.1186069999999999</v>
      </c>
      <c r="V7356">
        <v>0.26363300000000001</v>
      </c>
      <c r="W7356">
        <v>-5.0049999999999997E-2</v>
      </c>
      <c r="X7356">
        <v>0.9633237</v>
      </c>
      <c r="Y7356">
        <v>0.52039609999999903</v>
      </c>
      <c r="Z7356">
        <v>4.3755769999999999E-2</v>
      </c>
      <c r="AA7356">
        <v>0.85280330000000004</v>
      </c>
      <c r="AB7356">
        <v>21</v>
      </c>
      <c r="AC7356">
        <v>36.0944</v>
      </c>
      <c r="AD7356">
        <v>2.0648390000000001</v>
      </c>
      <c r="AE7356">
        <v>32.822499999999899</v>
      </c>
      <c r="AF7356">
        <v>25.467049368450599</v>
      </c>
      <c r="AG7356">
        <v>2.0648390000000001</v>
      </c>
      <c r="AH7356">
        <v>41.509605532699197</v>
      </c>
      <c r="AI7356">
        <v>87.572124489195204</v>
      </c>
      <c r="AJ7356">
        <v>58.469975323068603</v>
      </c>
      <c r="AK7356">
        <v>48.743015039196301</v>
      </c>
      <c r="AL7356">
        <v>92.868852488974795</v>
      </c>
      <c r="AM7356">
        <v>74.694607261514193</v>
      </c>
      <c r="AN7356">
        <v>0.99999995608534398</v>
      </c>
    </row>
    <row r="7357" spans="1:40" x14ac:dyDescent="0.25">
      <c r="A7357" t="str">
        <f>"20190312161205108"</f>
        <v>20190312161205108</v>
      </c>
      <c r="B7357" t="str">
        <f>"1552378325104445"</f>
        <v>1552378325104445</v>
      </c>
      <c r="C7357" t="s">
        <v>40</v>
      </c>
      <c r="D7357">
        <v>5.9423389999999996</v>
      </c>
      <c r="E7357">
        <v>0.60856580000000005</v>
      </c>
      <c r="F7357" t="s">
        <v>55</v>
      </c>
      <c r="G7357">
        <v>-146.2346</v>
      </c>
      <c r="H7357">
        <v>3.1701160000000002</v>
      </c>
      <c r="I7357">
        <v>160.82060000000001</v>
      </c>
      <c r="J7357">
        <v>-182.6301</v>
      </c>
      <c r="K7357">
        <v>1.1049629999999999</v>
      </c>
      <c r="L7357">
        <v>128.19710000000001</v>
      </c>
      <c r="M7357">
        <v>0.28547240000000002</v>
      </c>
      <c r="N7357">
        <v>0</v>
      </c>
      <c r="O7357">
        <v>0.95834640000000004</v>
      </c>
      <c r="P7357">
        <v>0.52857759999999998</v>
      </c>
      <c r="Q7357">
        <v>-5.5524999999999998E-2</v>
      </c>
      <c r="R7357">
        <v>0.84706709999999996</v>
      </c>
      <c r="S7357">
        <v>2.334549</v>
      </c>
      <c r="T7357">
        <v>0.13221939999999999</v>
      </c>
      <c r="U7357">
        <v>2.1015470000000001</v>
      </c>
      <c r="V7357">
        <v>0.2642485</v>
      </c>
      <c r="W7357">
        <v>-4.9810210000000001E-2</v>
      </c>
      <c r="X7357">
        <v>0.96316749999999995</v>
      </c>
      <c r="Y7357">
        <v>0.5205687</v>
      </c>
      <c r="Z7357">
        <v>4.3680990000000003E-2</v>
      </c>
      <c r="AA7357">
        <v>0.85270170000000001</v>
      </c>
      <c r="AB7357">
        <v>21</v>
      </c>
      <c r="AC7357">
        <v>36.395499999999998</v>
      </c>
      <c r="AD7357">
        <v>2.065153</v>
      </c>
      <c r="AE7357">
        <v>32.6235</v>
      </c>
      <c r="AF7357">
        <v>25.521817571932001</v>
      </c>
      <c r="AG7357">
        <v>2.065153</v>
      </c>
      <c r="AH7357">
        <v>41.581908011860897</v>
      </c>
      <c r="AI7357">
        <v>87.576243068264901</v>
      </c>
      <c r="AJ7357">
        <v>58.4595561442177</v>
      </c>
      <c r="AK7357">
        <v>48.833217209142099</v>
      </c>
      <c r="AL7357">
        <v>92.855096307475193</v>
      </c>
      <c r="AM7357">
        <v>74.658184902296099</v>
      </c>
      <c r="AN7357">
        <v>0.99999997991437095</v>
      </c>
    </row>
    <row r="7358" spans="1:40" x14ac:dyDescent="0.25">
      <c r="A7358" t="str">
        <f>"20190312161205122"</f>
        <v>20190312161205122</v>
      </c>
      <c r="B7358" t="str">
        <f>"1552378325115181"</f>
        <v>1552378325115181</v>
      </c>
      <c r="C7358" t="s">
        <v>40</v>
      </c>
      <c r="D7358">
        <v>6.0570329999999997</v>
      </c>
      <c r="E7358">
        <v>0.60850170000000003</v>
      </c>
      <c r="F7358" t="s">
        <v>55</v>
      </c>
      <c r="G7358">
        <v>-145.834</v>
      </c>
      <c r="H7358">
        <v>3.2136079999999998</v>
      </c>
      <c r="I7358">
        <v>160.82040000000001</v>
      </c>
      <c r="J7358">
        <v>-182.5865</v>
      </c>
      <c r="K7358">
        <v>1.1048629999999999</v>
      </c>
      <c r="L7358">
        <v>128.3262</v>
      </c>
      <c r="M7358">
        <v>0.28991220000000001</v>
      </c>
      <c r="N7358">
        <v>0</v>
      </c>
      <c r="O7358">
        <v>0.95701250000000004</v>
      </c>
      <c r="P7358">
        <v>0.53286250000000002</v>
      </c>
      <c r="Q7358">
        <v>-5.5601640000000001E-2</v>
      </c>
      <c r="R7358">
        <v>0.84437320000000005</v>
      </c>
      <c r="S7358">
        <v>2.3503419999999999</v>
      </c>
      <c r="T7358">
        <v>0.13469100000000001</v>
      </c>
      <c r="U7358">
        <v>2.0838009999999998</v>
      </c>
      <c r="V7358">
        <v>0.264652</v>
      </c>
      <c r="W7358">
        <v>-4.9945370000000003E-2</v>
      </c>
      <c r="X7358">
        <v>0.96304970000000001</v>
      </c>
      <c r="Y7358">
        <v>0.52303049999999995</v>
      </c>
      <c r="Z7358">
        <v>4.4512570000000001E-2</v>
      </c>
      <c r="AA7358">
        <v>0.85115079999999999</v>
      </c>
      <c r="AB7358">
        <v>21</v>
      </c>
      <c r="AC7358">
        <v>36.752499999999998</v>
      </c>
      <c r="AD7358">
        <v>2.1087449999999999</v>
      </c>
      <c r="AE7358">
        <v>32.494199999999999</v>
      </c>
      <c r="AF7358">
        <v>25.705643841962299</v>
      </c>
      <c r="AG7358">
        <v>2.1087449999999999</v>
      </c>
      <c r="AH7358">
        <v>41.676973770129997</v>
      </c>
      <c r="AI7358">
        <v>87.534094310844594</v>
      </c>
      <c r="AJ7358">
        <v>58.334425169939898</v>
      </c>
      <c r="AK7358">
        <v>49.012213512969801</v>
      </c>
      <c r="AL7358">
        <v>92.862850076223694</v>
      </c>
      <c r="AM7358">
        <v>74.634074065300396</v>
      </c>
      <c r="AN7358">
        <v>0.99999997287926301</v>
      </c>
    </row>
    <row r="7359" spans="1:40" x14ac:dyDescent="0.25">
      <c r="A7359" t="str">
        <f>"20190312161205143"</f>
        <v>20190312161205143</v>
      </c>
      <c r="B7359" t="str">
        <f>"1552378325134710"</f>
        <v>1552378325134710</v>
      </c>
      <c r="C7359" t="s">
        <v>40</v>
      </c>
      <c r="D7359">
        <v>6.1648800000000001</v>
      </c>
      <c r="E7359">
        <v>0.60842619999999903</v>
      </c>
      <c r="F7359" t="s">
        <v>55</v>
      </c>
      <c r="G7359">
        <v>-145.57849999999999</v>
      </c>
      <c r="H7359">
        <v>3.2134399999999999</v>
      </c>
      <c r="I7359">
        <v>160.8203</v>
      </c>
      <c r="J7359">
        <v>-182.5198</v>
      </c>
      <c r="K7359">
        <v>1.1047209999999901</v>
      </c>
      <c r="L7359">
        <v>128.51910000000001</v>
      </c>
      <c r="M7359">
        <v>0.2967167</v>
      </c>
      <c r="N7359">
        <v>0</v>
      </c>
      <c r="O7359">
        <v>0.95492460000000001</v>
      </c>
      <c r="P7359">
        <v>0.53928889999999996</v>
      </c>
      <c r="Q7359">
        <v>-5.5633420000000003E-2</v>
      </c>
      <c r="R7359">
        <v>0.8402811</v>
      </c>
      <c r="S7359">
        <v>2.3601839999999998</v>
      </c>
      <c r="T7359">
        <v>0.1344764</v>
      </c>
      <c r="U7359">
        <v>2.072311</v>
      </c>
      <c r="V7359">
        <v>0.26512799999999997</v>
      </c>
      <c r="W7359">
        <v>-5.0057949999999997E-2</v>
      </c>
      <c r="X7359">
        <v>0.96291300000000002</v>
      </c>
      <c r="Y7359">
        <v>0.52106679999999905</v>
      </c>
      <c r="Z7359">
        <v>4.4422129999999997E-2</v>
      </c>
      <c r="AA7359">
        <v>0.85235910000000004</v>
      </c>
      <c r="AB7359">
        <v>21</v>
      </c>
      <c r="AC7359">
        <v>36.941299999999998</v>
      </c>
      <c r="AD7359">
        <v>2.1087189999999998</v>
      </c>
      <c r="AE7359">
        <v>32.301199999999902</v>
      </c>
      <c r="AF7359">
        <v>25.645498045701299</v>
      </c>
      <c r="AG7359">
        <v>2.1087189999999998</v>
      </c>
      <c r="AH7359">
        <v>41.730885192511899</v>
      </c>
      <c r="AI7359">
        <v>87.534847509023507</v>
      </c>
      <c r="AJ7359">
        <v>58.427412233788097</v>
      </c>
      <c r="AK7359">
        <v>49.026574883257297</v>
      </c>
      <c r="AL7359">
        <v>92.869308291980701</v>
      </c>
      <c r="AM7359">
        <v>74.605665141832603</v>
      </c>
      <c r="AN7359">
        <v>1.0000000501555999</v>
      </c>
    </row>
    <row r="7360" spans="1:40" x14ac:dyDescent="0.25">
      <c r="A7360" t="str">
        <f>"20190312161205163"</f>
        <v>20190312161205163</v>
      </c>
      <c r="B7360" t="str">
        <f>"1552378325154221"</f>
        <v>1552378325154221</v>
      </c>
      <c r="C7360" t="s">
        <v>40</v>
      </c>
      <c r="D7360">
        <v>5.4004940000000001</v>
      </c>
      <c r="E7360">
        <v>0.60821579999999997</v>
      </c>
      <c r="F7360" t="s">
        <v>55</v>
      </c>
      <c r="G7360">
        <v>-145.1833</v>
      </c>
      <c r="H7360">
        <v>3.2086489999999999</v>
      </c>
      <c r="I7360">
        <v>160.8202</v>
      </c>
      <c r="J7360">
        <v>-182.4521</v>
      </c>
      <c r="K7360">
        <v>1.1045659999999999</v>
      </c>
      <c r="L7360">
        <v>128.7099</v>
      </c>
      <c r="M7360">
        <v>0.30366659999999901</v>
      </c>
      <c r="N7360">
        <v>0</v>
      </c>
      <c r="O7360">
        <v>0.95273719999999995</v>
      </c>
      <c r="P7360">
        <v>0.5459986</v>
      </c>
      <c r="Q7360">
        <v>-5.5981549999999998E-2</v>
      </c>
      <c r="R7360">
        <v>0.83591369999999898</v>
      </c>
      <c r="S7360">
        <v>2.3750610000000001</v>
      </c>
      <c r="T7360">
        <v>0.13383789999999901</v>
      </c>
      <c r="U7360">
        <v>2.0547490000000002</v>
      </c>
      <c r="V7360">
        <v>0.26580540000000002</v>
      </c>
      <c r="W7360">
        <v>-5.049787E-2</v>
      </c>
      <c r="X7360">
        <v>0.96270319999999998</v>
      </c>
      <c r="Y7360">
        <v>0.52110339999999999</v>
      </c>
      <c r="Z7360">
        <v>4.420661E-2</v>
      </c>
      <c r="AA7360">
        <v>0.85234789999999905</v>
      </c>
      <c r="AB7360">
        <v>21</v>
      </c>
      <c r="AC7360">
        <v>37.268799999999999</v>
      </c>
      <c r="AD7360">
        <v>2.1040830000000001</v>
      </c>
      <c r="AE7360">
        <v>32.110299999999903</v>
      </c>
      <c r="AF7360">
        <v>25.7105222195684</v>
      </c>
      <c r="AG7360">
        <v>2.1040830000000001</v>
      </c>
      <c r="AH7360">
        <v>41.8350782713472</v>
      </c>
      <c r="AI7360">
        <v>87.546405055511599</v>
      </c>
      <c r="AJ7360">
        <v>58.426425223161303</v>
      </c>
      <c r="AK7360">
        <v>49.149078242054102</v>
      </c>
      <c r="AL7360">
        <v>92.894545918821905</v>
      </c>
      <c r="AM7360">
        <v>74.565002602360707</v>
      </c>
      <c r="AN7360">
        <v>0.99999999841696796</v>
      </c>
    </row>
    <row r="7361" spans="1:40" x14ac:dyDescent="0.25">
      <c r="A7361" t="str">
        <f>"20190312161205178"</f>
        <v>20190312161205178</v>
      </c>
      <c r="B7361" t="str">
        <f>"1552378325174717"</f>
        <v>1552378325174717</v>
      </c>
      <c r="C7361" t="s">
        <v>40</v>
      </c>
      <c r="D7361">
        <v>5.6583160000000001</v>
      </c>
      <c r="E7361">
        <v>0.60812299999999997</v>
      </c>
      <c r="F7361" t="s">
        <v>55</v>
      </c>
      <c r="G7361">
        <v>-144.76990000000001</v>
      </c>
      <c r="H7361">
        <v>3.1996150000000001</v>
      </c>
      <c r="I7361">
        <v>160.8201</v>
      </c>
      <c r="J7361">
        <v>-182.40209999999999</v>
      </c>
      <c r="K7361">
        <v>1.104444</v>
      </c>
      <c r="L7361">
        <v>128.84710000000001</v>
      </c>
      <c r="M7361">
        <v>0.30882559999999998</v>
      </c>
      <c r="N7361">
        <v>0</v>
      </c>
      <c r="O7361">
        <v>0.95107730000000001</v>
      </c>
      <c r="P7361">
        <v>0.55061949999999904</v>
      </c>
      <c r="Q7361">
        <v>-5.5754350000000001E-2</v>
      </c>
      <c r="R7361">
        <v>0.83289239999999998</v>
      </c>
      <c r="S7361">
        <v>2.390091</v>
      </c>
      <c r="T7361">
        <v>0.1328859</v>
      </c>
      <c r="U7361">
        <v>2.036667</v>
      </c>
      <c r="V7361">
        <v>0.26590279999999999</v>
      </c>
      <c r="W7361">
        <v>-5.0338729999999998E-2</v>
      </c>
      <c r="X7361">
        <v>0.9626846</v>
      </c>
      <c r="Y7361">
        <v>0.52286980000000005</v>
      </c>
      <c r="Z7361">
        <v>4.3903789999999998E-2</v>
      </c>
      <c r="AA7361">
        <v>0.85128119999999996</v>
      </c>
      <c r="AB7361">
        <v>22</v>
      </c>
      <c r="AC7361">
        <v>37.632199999999898</v>
      </c>
      <c r="AD7361">
        <v>2.0951710000000001</v>
      </c>
      <c r="AE7361">
        <v>31.9729999999999</v>
      </c>
      <c r="AF7361">
        <v>25.8714961594067</v>
      </c>
      <c r="AG7361">
        <v>2.0951710000000001</v>
      </c>
      <c r="AH7361">
        <v>41.956704588452197</v>
      </c>
      <c r="AI7361">
        <v>87.566090120737897</v>
      </c>
      <c r="AJ7361">
        <v>58.341034737643803</v>
      </c>
      <c r="AK7361">
        <v>49.336488676922301</v>
      </c>
      <c r="AL7361">
        <v>92.8854163597168</v>
      </c>
      <c r="AM7361">
        <v>74.559332449256004</v>
      </c>
      <c r="AN7361">
        <v>0.99999996293150495</v>
      </c>
    </row>
    <row r="7362" spans="1:40" x14ac:dyDescent="0.25">
      <c r="A7362" t="str">
        <f>"20190312161205191"</f>
        <v>20190312161205191</v>
      </c>
      <c r="B7362" t="str">
        <f>"1552378325184477"</f>
        <v>1552378325184477</v>
      </c>
      <c r="C7362" t="s">
        <v>40</v>
      </c>
      <c r="D7362">
        <v>6.1084379999999996</v>
      </c>
      <c r="E7362">
        <v>0.60811029999999999</v>
      </c>
      <c r="F7362" t="s">
        <v>55</v>
      </c>
      <c r="G7362">
        <v>-144.5164</v>
      </c>
      <c r="H7362">
        <v>3.2191369999999999</v>
      </c>
      <c r="I7362">
        <v>160.78960000000001</v>
      </c>
      <c r="J7362">
        <v>-182.36009999999999</v>
      </c>
      <c r="K7362">
        <v>1.1043510000000001</v>
      </c>
      <c r="L7362">
        <v>128.9605</v>
      </c>
      <c r="M7362">
        <v>0.31314799999999998</v>
      </c>
      <c r="N7362">
        <v>0</v>
      </c>
      <c r="O7362">
        <v>0.94966289999999998</v>
      </c>
      <c r="P7362">
        <v>0.55515300000000001</v>
      </c>
      <c r="Q7362">
        <v>-5.5532159999999997E-2</v>
      </c>
      <c r="R7362">
        <v>0.82989249999999903</v>
      </c>
      <c r="S7362">
        <v>2.4004970000000001</v>
      </c>
      <c r="T7362">
        <v>0.13399259999999999</v>
      </c>
      <c r="U7362">
        <v>2.0239259999999999</v>
      </c>
      <c r="V7362">
        <v>0.26675929999999998</v>
      </c>
      <c r="W7362">
        <v>-5.018301E-2</v>
      </c>
      <c r="X7362">
        <v>0.96245579999999997</v>
      </c>
      <c r="Y7362">
        <v>0.52344069999999998</v>
      </c>
      <c r="Z7362">
        <v>4.4269669999999997E-2</v>
      </c>
      <c r="AA7362">
        <v>0.85091130000000004</v>
      </c>
      <c r="AB7362">
        <v>22</v>
      </c>
      <c r="AC7362">
        <v>37.843699999999899</v>
      </c>
      <c r="AD7362">
        <v>2.1147860000000001</v>
      </c>
      <c r="AE7362">
        <v>31.8291</v>
      </c>
      <c r="AF7362">
        <v>25.925144119898</v>
      </c>
      <c r="AG7362">
        <v>2.1147860000000001</v>
      </c>
      <c r="AH7362">
        <v>42.0024282514498</v>
      </c>
      <c r="AI7362">
        <v>87.546666311749405</v>
      </c>
      <c r="AJ7362">
        <v>58.315885129190299</v>
      </c>
      <c r="AK7362">
        <v>49.404345927068697</v>
      </c>
      <c r="AL7362">
        <v>92.876482826349601</v>
      </c>
      <c r="AM7362">
        <v>74.508475550517502</v>
      </c>
      <c r="AN7362">
        <v>1.0000000127913899</v>
      </c>
    </row>
    <row r="7363" spans="1:40" x14ac:dyDescent="0.25">
      <c r="A7363" t="str">
        <f>"20190312161205208"</f>
        <v>20190312161205208</v>
      </c>
      <c r="B7363" t="str">
        <f>"1552378325204973"</f>
        <v>1552378325204973</v>
      </c>
      <c r="C7363" t="s">
        <v>40</v>
      </c>
      <c r="D7363">
        <v>6.0208849999999998</v>
      </c>
      <c r="E7363">
        <v>0.60823959999999999</v>
      </c>
      <c r="F7363" t="s">
        <v>55</v>
      </c>
      <c r="G7363">
        <v>-144.5164</v>
      </c>
      <c r="H7363">
        <v>3.2114560000000001</v>
      </c>
      <c r="I7363">
        <v>160.5147</v>
      </c>
      <c r="J7363">
        <v>-182.2997</v>
      </c>
      <c r="K7363">
        <v>1.1042110000000001</v>
      </c>
      <c r="L7363">
        <v>129.1208</v>
      </c>
      <c r="M7363">
        <v>0.31936479999999901</v>
      </c>
      <c r="N7363">
        <v>0</v>
      </c>
      <c r="O7363">
        <v>0.94759020000000005</v>
      </c>
      <c r="P7363">
        <v>0.56130389999999997</v>
      </c>
      <c r="Q7363">
        <v>-5.5534359999999998E-2</v>
      </c>
      <c r="R7363">
        <v>0.82574449999999999</v>
      </c>
      <c r="S7363">
        <v>2.41153</v>
      </c>
      <c r="T7363">
        <v>0.134274</v>
      </c>
      <c r="U7363">
        <v>2.010742</v>
      </c>
      <c r="V7363">
        <v>0.26758589999999999</v>
      </c>
      <c r="W7363">
        <v>-5.0273430000000001E-2</v>
      </c>
      <c r="X7363">
        <v>0.96222160000000001</v>
      </c>
      <c r="Y7363">
        <v>0.52251449999999999</v>
      </c>
      <c r="Z7363">
        <v>4.4341390000000001E-2</v>
      </c>
      <c r="AA7363">
        <v>0.85147659999999903</v>
      </c>
      <c r="AB7363">
        <v>22</v>
      </c>
      <c r="AC7363">
        <v>37.783299999999997</v>
      </c>
      <c r="AD7363">
        <v>2.1072449999999998</v>
      </c>
      <c r="AE7363">
        <v>31.393899999999999</v>
      </c>
      <c r="AF7363">
        <v>25.730648308357701</v>
      </c>
      <c r="AG7363">
        <v>2.1072449999999998</v>
      </c>
      <c r="AH7363">
        <v>41.740052033187901</v>
      </c>
      <c r="AI7363">
        <v>87.539199837309297</v>
      </c>
      <c r="AJ7363">
        <v>58.348250409350598</v>
      </c>
      <c r="AK7363">
        <v>49.078902673059503</v>
      </c>
      <c r="AL7363">
        <v>92.881670038603502</v>
      </c>
      <c r="AM7363">
        <v>74.459189074866003</v>
      </c>
      <c r="AN7363">
        <v>1.0000000195746599</v>
      </c>
    </row>
    <row r="7364" spans="1:40" x14ac:dyDescent="0.25">
      <c r="A7364" t="str">
        <f>"20190312161205220"</f>
        <v>20190312161205220</v>
      </c>
      <c r="B7364" t="str">
        <f>"1552378325214733"</f>
        <v>1552378325214733</v>
      </c>
      <c r="C7364" t="s">
        <v>40</v>
      </c>
      <c r="D7364">
        <v>5.8135479999999999</v>
      </c>
      <c r="E7364">
        <v>0.60823959999999999</v>
      </c>
      <c r="F7364" t="s">
        <v>55</v>
      </c>
      <c r="G7364">
        <v>-144.51660000000001</v>
      </c>
      <c r="H7364">
        <v>3.2033839999999998</v>
      </c>
      <c r="I7364">
        <v>160.13890000000001</v>
      </c>
      <c r="J7364">
        <v>-182.2552</v>
      </c>
      <c r="K7364">
        <v>1.1041099999999999</v>
      </c>
      <c r="L7364">
        <v>129.23699999999999</v>
      </c>
      <c r="M7364">
        <v>0.32394899999999999</v>
      </c>
      <c r="N7364">
        <v>0</v>
      </c>
      <c r="O7364">
        <v>0.94603269999999995</v>
      </c>
      <c r="P7364">
        <v>0.56611730000000005</v>
      </c>
      <c r="Q7364">
        <v>-5.5562439999999998E-2</v>
      </c>
      <c r="R7364">
        <v>0.82245000000000001</v>
      </c>
      <c r="S7364">
        <v>2.426987</v>
      </c>
      <c r="T7364">
        <v>0.13484179999999901</v>
      </c>
      <c r="U7364">
        <v>1.992432</v>
      </c>
      <c r="V7364">
        <v>0.26853490000000002</v>
      </c>
      <c r="W7364">
        <v>-5.0370909999999998E-2</v>
      </c>
      <c r="X7364">
        <v>0.96195209999999998</v>
      </c>
      <c r="Y7364">
        <v>0.52487680000000003</v>
      </c>
      <c r="Z7364">
        <v>4.4534820000000003E-2</v>
      </c>
      <c r="AA7364">
        <v>0.8500124</v>
      </c>
      <c r="AB7364">
        <v>22</v>
      </c>
      <c r="AC7364">
        <v>37.738599999999899</v>
      </c>
      <c r="AD7364">
        <v>2.0992739999999999</v>
      </c>
      <c r="AE7364">
        <v>30.901900000000001</v>
      </c>
      <c r="AF7364">
        <v>25.644824297760302</v>
      </c>
      <c r="AG7364">
        <v>2.0992739999999999</v>
      </c>
      <c r="AH7364">
        <v>41.384572811579702</v>
      </c>
      <c r="AI7364">
        <v>87.531020314862303</v>
      </c>
      <c r="AJ7364">
        <v>58.214700733239802</v>
      </c>
      <c r="AK7364">
        <v>48.731374199657203</v>
      </c>
      <c r="AL7364">
        <v>92.8872622806946</v>
      </c>
      <c r="AM7364">
        <v>74.402594358153195</v>
      </c>
      <c r="AN7364">
        <v>1.00000003189332</v>
      </c>
    </row>
    <row r="7365" spans="1:40" x14ac:dyDescent="0.25">
      <c r="A7365" t="str">
        <f>"20190312161205234"</f>
        <v>20190312161205234</v>
      </c>
      <c r="B7365" t="str">
        <f>"1552378325224493"</f>
        <v>1552378325224493</v>
      </c>
      <c r="C7365" t="s">
        <v>40</v>
      </c>
      <c r="D7365">
        <v>6.004842</v>
      </c>
      <c r="E7365">
        <v>0.628324199999999</v>
      </c>
      <c r="F7365" t="s">
        <v>55</v>
      </c>
      <c r="G7365">
        <v>-144.3339</v>
      </c>
      <c r="H7365">
        <v>3.2156009999999999</v>
      </c>
      <c r="I7365">
        <v>160.0068</v>
      </c>
      <c r="J7365">
        <v>-182.20930000000001</v>
      </c>
      <c r="K7365">
        <v>1.1040099999999999</v>
      </c>
      <c r="L7365">
        <v>129.35409999999999</v>
      </c>
      <c r="M7365">
        <v>0.32866689999999998</v>
      </c>
      <c r="N7365">
        <v>0</v>
      </c>
      <c r="O7365">
        <v>0.94440389999999996</v>
      </c>
      <c r="P7365">
        <v>0.57048049999999995</v>
      </c>
      <c r="Q7365">
        <v>-5.5059370000000003E-2</v>
      </c>
      <c r="R7365">
        <v>0.81946359999999996</v>
      </c>
      <c r="S7365">
        <v>2.4382779999999999</v>
      </c>
      <c r="T7365">
        <v>0.13576759999999999</v>
      </c>
      <c r="U7365">
        <v>1.9784550000000001</v>
      </c>
      <c r="V7365">
        <v>0.26882909999999999</v>
      </c>
      <c r="W7365">
        <v>-4.9925810000000001E-2</v>
      </c>
      <c r="X7365">
        <v>0.96189309999999995</v>
      </c>
      <c r="Y7365">
        <v>0.52548289999999998</v>
      </c>
      <c r="Z7365">
        <v>4.483438E-2</v>
      </c>
      <c r="AA7365">
        <v>0.84962199999999999</v>
      </c>
      <c r="AB7365">
        <v>22</v>
      </c>
      <c r="AC7365">
        <v>37.875399999999999</v>
      </c>
      <c r="AD7365">
        <v>2.1115910000000002</v>
      </c>
      <c r="AE7365">
        <v>30.652699999999999</v>
      </c>
      <c r="AF7365">
        <v>25.647997982546201</v>
      </c>
      <c r="AG7365">
        <v>2.1115910000000002</v>
      </c>
      <c r="AH7365">
        <v>41.3209579769592</v>
      </c>
      <c r="AI7365">
        <v>87.513880374454402</v>
      </c>
      <c r="AJ7365">
        <v>58.172046108590003</v>
      </c>
      <c r="AK7365">
        <v>48.679566403138899</v>
      </c>
      <c r="AL7365">
        <v>92.861727882666401</v>
      </c>
      <c r="AM7365">
        <v>74.385428351501105</v>
      </c>
      <c r="AN7365">
        <v>1.00000000366928</v>
      </c>
    </row>
    <row r="7366" spans="1:40" x14ac:dyDescent="0.25">
      <c r="A7366" t="str">
        <f>"20190312161205255"</f>
        <v>20190312161205255</v>
      </c>
      <c r="B7366" t="str">
        <f>"1552378325244989"</f>
        <v>1552378325244989</v>
      </c>
      <c r="C7366" t="s">
        <v>40</v>
      </c>
      <c r="D7366">
        <v>5.62852</v>
      </c>
      <c r="E7366">
        <v>0.6758035</v>
      </c>
      <c r="F7366" t="s">
        <v>112</v>
      </c>
      <c r="G7366">
        <v>-143.26419999999999</v>
      </c>
      <c r="H7366">
        <v>4.9222099999999998</v>
      </c>
      <c r="I7366">
        <v>157.53819999999999</v>
      </c>
      <c r="J7366">
        <v>-182.1309</v>
      </c>
      <c r="K7366">
        <v>1.103828</v>
      </c>
      <c r="L7366">
        <v>129.55029999999999</v>
      </c>
      <c r="M7366">
        <v>0.33672370000000001</v>
      </c>
      <c r="N7366">
        <v>0</v>
      </c>
      <c r="O7366">
        <v>0.94156119999999999</v>
      </c>
      <c r="P7366">
        <v>0.57880859999999901</v>
      </c>
      <c r="Q7366">
        <v>-5.5027380000000001E-2</v>
      </c>
      <c r="R7366">
        <v>0.81360469999999996</v>
      </c>
      <c r="S7366">
        <v>2.5904240000000001</v>
      </c>
      <c r="T7366">
        <v>0.25396800000000003</v>
      </c>
      <c r="U7366">
        <v>1.8746640000000001</v>
      </c>
      <c r="V7366">
        <v>0.27039970000000002</v>
      </c>
      <c r="W7366">
        <v>-5.000773E-2</v>
      </c>
      <c r="X7366">
        <v>0.96144850000000004</v>
      </c>
      <c r="Y7366">
        <v>0.56251759999999995</v>
      </c>
      <c r="Z7366">
        <v>8.2797419999999997E-2</v>
      </c>
      <c r="AA7366">
        <v>0.82262900000000005</v>
      </c>
      <c r="AB7366">
        <v>22</v>
      </c>
      <c r="AC7366">
        <v>38.866700000000002</v>
      </c>
      <c r="AD7366">
        <v>3.8183820000000002</v>
      </c>
      <c r="AE7366">
        <v>27.9879</v>
      </c>
      <c r="AF7366">
        <v>27.0006565824016</v>
      </c>
      <c r="AG7366">
        <v>3.8183820000000002</v>
      </c>
      <c r="AH7366">
        <v>39.192129912615997</v>
      </c>
      <c r="AI7366">
        <v>85.412954569252904</v>
      </c>
      <c r="AJ7366">
        <v>55.435855641654499</v>
      </c>
      <c r="AK7366">
        <v>47.745560464467097</v>
      </c>
      <c r="AL7366">
        <v>92.8664274495396</v>
      </c>
      <c r="AM7366">
        <v>74.291786885227296</v>
      </c>
      <c r="AN7366">
        <v>0.99999999448604604</v>
      </c>
    </row>
    <row r="7367" spans="1:40" x14ac:dyDescent="0.25">
      <c r="A7367" t="str">
        <f>"20190312161205276"</f>
        <v>20190312161205276</v>
      </c>
      <c r="B7367" t="str">
        <f>"1552378325264509"</f>
        <v>1552378325264509</v>
      </c>
      <c r="C7367" t="s">
        <v>40</v>
      </c>
      <c r="D7367">
        <v>5.7586459999999997</v>
      </c>
      <c r="E7367">
        <v>0.68138750000000003</v>
      </c>
      <c r="F7367" t="s">
        <v>41</v>
      </c>
      <c r="G7367">
        <v>-150.87020000000001</v>
      </c>
      <c r="H7367" s="1">
        <v>-5.3183810000000003E-6</v>
      </c>
      <c r="I7367">
        <v>147.1619</v>
      </c>
      <c r="J7367">
        <v>-182.05170000000001</v>
      </c>
      <c r="K7367">
        <v>1.103661</v>
      </c>
      <c r="L7367">
        <v>129.7433</v>
      </c>
      <c r="M7367">
        <v>0.34486670000000003</v>
      </c>
      <c r="N7367">
        <v>0</v>
      </c>
      <c r="O7367">
        <v>0.93860889999999997</v>
      </c>
      <c r="P7367">
        <v>0.58716020000000002</v>
      </c>
      <c r="Q7367">
        <v>-5.6416979999999999E-2</v>
      </c>
      <c r="R7367">
        <v>0.80750230000000001</v>
      </c>
      <c r="S7367">
        <v>2.88707</v>
      </c>
      <c r="T7367">
        <v>-0.1019439</v>
      </c>
      <c r="U7367">
        <v>1.626511</v>
      </c>
      <c r="V7367">
        <v>0.2719705</v>
      </c>
      <c r="W7367">
        <v>-5.1509050000000001E-2</v>
      </c>
      <c r="X7367">
        <v>0.96092610000000001</v>
      </c>
      <c r="Y7367">
        <v>0.64803219999999995</v>
      </c>
      <c r="Z7367">
        <v>-3.2766999999999998E-2</v>
      </c>
      <c r="AA7367">
        <v>0.76090780000000002</v>
      </c>
      <c r="AB7367">
        <v>22</v>
      </c>
      <c r="AC7367">
        <v>31.1815</v>
      </c>
      <c r="AD7367">
        <v>-1.103666318381</v>
      </c>
      <c r="AE7367">
        <v>17.418599999999898</v>
      </c>
      <c r="AF7367">
        <v>23.238882829558499</v>
      </c>
      <c r="AG7367">
        <v>-1.103666318381</v>
      </c>
      <c r="AH7367">
        <v>27.077947099512201</v>
      </c>
      <c r="AI7367">
        <v>91.771590274530794</v>
      </c>
      <c r="AJ7367">
        <v>49.363089622233701</v>
      </c>
      <c r="AK7367">
        <v>35.699845568745197</v>
      </c>
      <c r="AL7367">
        <v>92.9525576120474</v>
      </c>
      <c r="AM7367">
        <v>74.196918386158998</v>
      </c>
      <c r="AN7367">
        <v>1.0000000523816699</v>
      </c>
    </row>
    <row r="7368" spans="1:40" x14ac:dyDescent="0.25">
      <c r="A7368" t="str">
        <f>"20190312161205299"</f>
        <v>20190312161205299</v>
      </c>
      <c r="B7368" t="str">
        <f>"1552378325294765"</f>
        <v>1552378325294765</v>
      </c>
      <c r="C7368" t="s">
        <v>40</v>
      </c>
      <c r="D7368">
        <v>5.1976490000000002</v>
      </c>
      <c r="E7368">
        <v>0.67811140000000003</v>
      </c>
      <c r="F7368" t="s">
        <v>42</v>
      </c>
      <c r="G7368">
        <v>-181.41749999999999</v>
      </c>
      <c r="H7368">
        <v>1.2071529999999999</v>
      </c>
      <c r="I7368">
        <v>130.07679999999999</v>
      </c>
      <c r="J7368">
        <v>-181.96639999999999</v>
      </c>
      <c r="K7368">
        <v>1.1034980000000001</v>
      </c>
      <c r="L7368">
        <v>129.9451</v>
      </c>
      <c r="M7368">
        <v>0.35360130000000001</v>
      </c>
      <c r="N7368">
        <v>0</v>
      </c>
      <c r="O7368">
        <v>0.93535310000000005</v>
      </c>
      <c r="P7368">
        <v>0.59557839999999995</v>
      </c>
      <c r="Q7368">
        <v>-5.6697419999999998E-2</v>
      </c>
      <c r="R7368">
        <v>0.80129379999999994</v>
      </c>
      <c r="S7368">
        <v>2.9917449999999999</v>
      </c>
      <c r="T7368">
        <v>0.48828050000000001</v>
      </c>
      <c r="U7368">
        <v>1.5739289999999999</v>
      </c>
      <c r="V7368">
        <v>0.27305000000000001</v>
      </c>
      <c r="W7368">
        <v>-5.1893670000000003E-2</v>
      </c>
      <c r="X7368">
        <v>0.96059910000000004</v>
      </c>
      <c r="Y7368">
        <v>0.65248640000000002</v>
      </c>
      <c r="Z7368">
        <v>0.15278129999999901</v>
      </c>
      <c r="AA7368">
        <v>0.74223939999999999</v>
      </c>
      <c r="AB7368">
        <v>22</v>
      </c>
      <c r="AC7368">
        <v>0.54890000000000305</v>
      </c>
      <c r="AD7368">
        <v>0.103655</v>
      </c>
      <c r="AE7368">
        <v>0.13169999999999499</v>
      </c>
      <c r="AF7368">
        <v>0.45163577638319302</v>
      </c>
      <c r="AG7368">
        <v>0.103655</v>
      </c>
      <c r="AH7368">
        <v>0.30694057194320301</v>
      </c>
      <c r="AI7368">
        <v>79.2518989019961</v>
      </c>
      <c r="AJ7368">
        <v>34.200799711634303</v>
      </c>
      <c r="AK7368">
        <v>0.55581629000873201</v>
      </c>
      <c r="AL7368">
        <v>92.974624550902107</v>
      </c>
      <c r="AM7368">
        <v>74.132215812436499</v>
      </c>
      <c r="AN7368">
        <v>0.99999994320343699</v>
      </c>
    </row>
    <row r="7369" spans="1:40" x14ac:dyDescent="0.25">
      <c r="A7369" t="str">
        <f>"20190312161205321"</f>
        <v>20190312161205321</v>
      </c>
      <c r="B7369" t="str">
        <f>"1552378325314285"</f>
        <v>1552378325314285</v>
      </c>
      <c r="C7369" t="s">
        <v>40</v>
      </c>
      <c r="D7369">
        <v>5.276262</v>
      </c>
      <c r="E7369">
        <v>0.66165410000000002</v>
      </c>
      <c r="F7369" t="s">
        <v>42</v>
      </c>
      <c r="G7369">
        <v>-181.3571</v>
      </c>
      <c r="H7369">
        <v>1.203541</v>
      </c>
      <c r="I7369">
        <v>130.26310000000001</v>
      </c>
      <c r="J7369">
        <v>-181.87690000000001</v>
      </c>
      <c r="K7369">
        <v>1.103324</v>
      </c>
      <c r="L7369">
        <v>130.15129999999999</v>
      </c>
      <c r="M7369">
        <v>0.36275190000000002</v>
      </c>
      <c r="N7369">
        <v>0</v>
      </c>
      <c r="O7369">
        <v>0.93184219999999895</v>
      </c>
      <c r="P7369">
        <v>0.60466809999999904</v>
      </c>
      <c r="Q7369">
        <v>-5.5788049999999999E-2</v>
      </c>
      <c r="R7369">
        <v>0.79452140000000004</v>
      </c>
      <c r="S7369">
        <v>2.9865879999999998</v>
      </c>
      <c r="T7369">
        <v>0.49032249999999999</v>
      </c>
      <c r="U7369">
        <v>1.558762</v>
      </c>
      <c r="V7369">
        <v>0.27454539999999999</v>
      </c>
      <c r="W7369">
        <v>-5.1094880000000002E-2</v>
      </c>
      <c r="X7369">
        <v>0.96021570000000001</v>
      </c>
      <c r="Y7369">
        <v>0.64739780000000002</v>
      </c>
      <c r="Z7369">
        <v>0.15372079999999999</v>
      </c>
      <c r="AA7369">
        <v>0.74648919999999996</v>
      </c>
      <c r="AB7369">
        <v>22</v>
      </c>
      <c r="AC7369">
        <v>0.51980000000000304</v>
      </c>
      <c r="AD7369">
        <v>0.100217</v>
      </c>
      <c r="AE7369">
        <v>0.111800000000016</v>
      </c>
      <c r="AF7369">
        <v>0.42860641184877901</v>
      </c>
      <c r="AG7369">
        <v>0.100217</v>
      </c>
      <c r="AH7369">
        <v>0.28270629696944</v>
      </c>
      <c r="AI7369">
        <v>78.955565377837004</v>
      </c>
      <c r="AJ7369">
        <v>33.408611811685297</v>
      </c>
      <c r="AK7369">
        <v>0.52313454647256696</v>
      </c>
      <c r="AL7369">
        <v>92.928796205174507</v>
      </c>
      <c r="AM7369">
        <v>74.043678610106994</v>
      </c>
      <c r="AN7369">
        <v>1.0000000269749301</v>
      </c>
    </row>
    <row r="7370" spans="1:40" x14ac:dyDescent="0.25">
      <c r="A7370" t="str">
        <f>"20190312161205343"</f>
        <v>20190312161205343</v>
      </c>
      <c r="B7370" t="str">
        <f>"1552378325334784"</f>
        <v>1552378325334784</v>
      </c>
      <c r="C7370" t="s">
        <v>40</v>
      </c>
      <c r="D7370">
        <v>5.4776309999999997</v>
      </c>
      <c r="E7370">
        <v>0.66948030000000003</v>
      </c>
      <c r="F7370" t="s">
        <v>55</v>
      </c>
      <c r="G7370">
        <v>-127.20050000000001</v>
      </c>
      <c r="H7370">
        <v>1.164574</v>
      </c>
      <c r="I7370">
        <v>160.81489999999999</v>
      </c>
      <c r="J7370">
        <v>-181.78290000000001</v>
      </c>
      <c r="K7370">
        <v>1.1031489999999999</v>
      </c>
      <c r="L7370">
        <v>130.3612</v>
      </c>
      <c r="M7370">
        <v>0.37230489999999999</v>
      </c>
      <c r="N7370">
        <v>0</v>
      </c>
      <c r="O7370">
        <v>0.92806639999999996</v>
      </c>
      <c r="P7370">
        <v>0.61367090000000002</v>
      </c>
      <c r="Q7370">
        <v>-5.4896880000000002E-2</v>
      </c>
      <c r="R7370">
        <v>0.7876512</v>
      </c>
      <c r="S7370">
        <v>2.8566440000000002</v>
      </c>
      <c r="T7370">
        <v>3.201962E-3</v>
      </c>
      <c r="U7370">
        <v>1.602066</v>
      </c>
      <c r="V7370">
        <v>0.27557680000000001</v>
      </c>
      <c r="W7370">
        <v>-5.0307709999999999E-2</v>
      </c>
      <c r="X7370">
        <v>0.95996179999999998</v>
      </c>
      <c r="Y7370">
        <v>0.62737290000000001</v>
      </c>
      <c r="Z7370">
        <v>1.0357299999999999E-3</v>
      </c>
      <c r="AA7370">
        <v>0.77871840000000003</v>
      </c>
      <c r="AB7370">
        <v>22</v>
      </c>
      <c r="AC7370">
        <v>54.5824</v>
      </c>
      <c r="AD7370">
        <v>6.1425E-2</v>
      </c>
      <c r="AE7370">
        <v>30.453700000000001</v>
      </c>
      <c r="AF7370">
        <v>39.319600335952401</v>
      </c>
      <c r="AG7370">
        <v>6.1425E-2</v>
      </c>
      <c r="AH7370">
        <v>48.586291449550302</v>
      </c>
      <c r="AI7370">
        <v>89.943692671493693</v>
      </c>
      <c r="AJ7370">
        <v>51.017669394619197</v>
      </c>
      <c r="AK7370">
        <v>62.503299596343702</v>
      </c>
      <c r="AL7370">
        <v>92.883636544539499</v>
      </c>
      <c r="AM7370">
        <v>73.982784317193506</v>
      </c>
      <c r="AN7370">
        <v>1.0000000479214599</v>
      </c>
    </row>
    <row r="7371" spans="1:40" x14ac:dyDescent="0.25">
      <c r="A7371" t="str">
        <f>"20190312161205365"</f>
        <v>20190312161205365</v>
      </c>
      <c r="B7371" t="str">
        <f>"1552378325354301"</f>
        <v>1552378325354301</v>
      </c>
      <c r="C7371" t="s">
        <v>40</v>
      </c>
      <c r="D7371">
        <v>5.4724909999999998</v>
      </c>
      <c r="E7371">
        <v>0.66221640000000004</v>
      </c>
      <c r="F7371" t="s">
        <v>42</v>
      </c>
      <c r="G7371">
        <v>-181.24260000000001</v>
      </c>
      <c r="H7371">
        <v>1.188429</v>
      </c>
      <c r="I7371">
        <v>130.64070000000001</v>
      </c>
      <c r="J7371">
        <v>-181.69280000000001</v>
      </c>
      <c r="K7371">
        <v>1.1029770000000001</v>
      </c>
      <c r="L7371">
        <v>130.5564</v>
      </c>
      <c r="M7371">
        <v>0.38142399999999999</v>
      </c>
      <c r="N7371">
        <v>0</v>
      </c>
      <c r="O7371">
        <v>0.9243557</v>
      </c>
      <c r="P7371">
        <v>0.62188880000000002</v>
      </c>
      <c r="Q7371">
        <v>-5.3884950000000001E-2</v>
      </c>
      <c r="R7371">
        <v>0.78124959999999999</v>
      </c>
      <c r="S7371">
        <v>2.962723</v>
      </c>
      <c r="T7371">
        <v>0.4676361</v>
      </c>
      <c r="U7371">
        <v>1.5330809999999999</v>
      </c>
      <c r="V7371">
        <v>0.27615030000000002</v>
      </c>
      <c r="W7371">
        <v>-4.9385619999999998E-2</v>
      </c>
      <c r="X7371">
        <v>0.95984480000000005</v>
      </c>
      <c r="Y7371">
        <v>0.63556919999999995</v>
      </c>
      <c r="Z7371">
        <v>0.14761099999999999</v>
      </c>
      <c r="AA7371">
        <v>0.75780139999999996</v>
      </c>
      <c r="AB7371">
        <v>22</v>
      </c>
      <c r="AC7371">
        <v>0.45019999999999499</v>
      </c>
      <c r="AD7371">
        <v>8.5452E-2</v>
      </c>
      <c r="AE7371">
        <v>8.4300000000013101E-2</v>
      </c>
      <c r="AF7371">
        <v>0.37109014698154502</v>
      </c>
      <c r="AG7371">
        <v>8.5452E-2</v>
      </c>
      <c r="AH7371">
        <v>0.24125323361856801</v>
      </c>
      <c r="AI7371">
        <v>79.072899721777702</v>
      </c>
      <c r="AJ7371">
        <v>33.028712319215501</v>
      </c>
      <c r="AK7371">
        <v>0.45079159732874402</v>
      </c>
      <c r="AL7371">
        <v>92.830739103347</v>
      </c>
      <c r="AM7371">
        <v>73.949310269078595</v>
      </c>
      <c r="AN7371">
        <v>0.99999998386995703</v>
      </c>
    </row>
    <row r="7372" spans="1:40" x14ac:dyDescent="0.25">
      <c r="A7372" t="str">
        <f>"20190312161205387"</f>
        <v>20190312161205387</v>
      </c>
      <c r="B7372" t="str">
        <f>"1552378325384558"</f>
        <v>1552378325384558</v>
      </c>
      <c r="C7372" t="s">
        <v>40</v>
      </c>
      <c r="D7372">
        <v>5.3191940000000004</v>
      </c>
      <c r="E7372">
        <v>0.65349109999999999</v>
      </c>
      <c r="F7372" t="s">
        <v>55</v>
      </c>
      <c r="G7372">
        <v>-124.7377</v>
      </c>
      <c r="H7372">
        <v>1.054678</v>
      </c>
      <c r="I7372">
        <v>160.8141</v>
      </c>
      <c r="J7372">
        <v>-181.59610000000001</v>
      </c>
      <c r="K7372">
        <v>1.102797</v>
      </c>
      <c r="L7372">
        <v>130.75970000000001</v>
      </c>
      <c r="M7372">
        <v>0.39115480000000002</v>
      </c>
      <c r="N7372">
        <v>0</v>
      </c>
      <c r="O7372">
        <v>0.92027979999999998</v>
      </c>
      <c r="P7372">
        <v>0.63064529999999996</v>
      </c>
      <c r="Q7372">
        <v>-5.3176899999999999E-2</v>
      </c>
      <c r="R7372">
        <v>0.77424720000000002</v>
      </c>
      <c r="S7372">
        <v>2.8930359999999999</v>
      </c>
      <c r="T7372">
        <v>-2.451777E-3</v>
      </c>
      <c r="U7372">
        <v>1.536942</v>
      </c>
      <c r="V7372">
        <v>0.27680129999999997</v>
      </c>
      <c r="W7372">
        <v>-4.8771769999999999E-2</v>
      </c>
      <c r="X7372">
        <v>0.95968869999999895</v>
      </c>
      <c r="Y7372">
        <v>0.6292238</v>
      </c>
      <c r="Z7372">
        <v>-7.9243289999999904E-4</v>
      </c>
      <c r="AA7372">
        <v>0.77722380000000002</v>
      </c>
      <c r="AB7372">
        <v>22</v>
      </c>
      <c r="AC7372">
        <v>56.858400000000003</v>
      </c>
      <c r="AD7372">
        <v>-4.8119000000000002E-2</v>
      </c>
      <c r="AE7372">
        <v>30.054399999999902</v>
      </c>
      <c r="AF7372">
        <v>40.571375441526001</v>
      </c>
      <c r="AG7372">
        <v>-4.8119000000000002E-2</v>
      </c>
      <c r="AH7372">
        <v>49.900936602736202</v>
      </c>
      <c r="AI7372">
        <v>90.0428688201266</v>
      </c>
      <c r="AJ7372">
        <v>50.887566126434201</v>
      </c>
      <c r="AK7372">
        <v>64.312847040740806</v>
      </c>
      <c r="AL7372">
        <v>92.795525543086796</v>
      </c>
      <c r="AM7372">
        <v>73.910946220483495</v>
      </c>
      <c r="AN7372">
        <v>1.0000000230691499</v>
      </c>
    </row>
    <row r="7373" spans="1:40" x14ac:dyDescent="0.25">
      <c r="A7373" t="str">
        <f>"20190312161205410"</f>
        <v>20190312161205410</v>
      </c>
      <c r="B7373" t="str">
        <f>"1552378325405053"</f>
        <v>1552378325405053</v>
      </c>
      <c r="C7373" t="s">
        <v>40</v>
      </c>
      <c r="D7373">
        <v>5.4007750000000003</v>
      </c>
      <c r="E7373">
        <v>0.64963389999999999</v>
      </c>
      <c r="F7373" t="s">
        <v>55</v>
      </c>
      <c r="G7373">
        <v>-126.14919999999999</v>
      </c>
      <c r="H7373">
        <v>1.3157179999999999</v>
      </c>
      <c r="I7373">
        <v>160.81450000000001</v>
      </c>
      <c r="J7373">
        <v>-181.49199999999999</v>
      </c>
      <c r="K7373">
        <v>1.1026260000000001</v>
      </c>
      <c r="L7373">
        <v>130.97190000000001</v>
      </c>
      <c r="M7373">
        <v>0.40152539999999998</v>
      </c>
      <c r="N7373">
        <v>0</v>
      </c>
      <c r="O7373">
        <v>0.91580209999999995</v>
      </c>
      <c r="P7373">
        <v>0.639544</v>
      </c>
      <c r="Q7373">
        <v>-5.2844259999999997E-2</v>
      </c>
      <c r="R7373">
        <v>0.76693619999999996</v>
      </c>
      <c r="S7373">
        <v>2.856827</v>
      </c>
      <c r="T7373">
        <v>1.0972259999999999E-2</v>
      </c>
      <c r="U7373">
        <v>1.548538</v>
      </c>
      <c r="V7373">
        <v>0.27701880000000001</v>
      </c>
      <c r="W7373">
        <v>-4.8519609999999998E-2</v>
      </c>
      <c r="X7373">
        <v>0.95963869999999896</v>
      </c>
      <c r="Y7373">
        <v>0.61380469999999998</v>
      </c>
      <c r="Z7373">
        <v>3.557452E-3</v>
      </c>
      <c r="AA7373">
        <v>0.78944989999999904</v>
      </c>
      <c r="AB7373">
        <v>22</v>
      </c>
      <c r="AC7373">
        <v>55.342799999999997</v>
      </c>
      <c r="AD7373">
        <v>0.213091999999999</v>
      </c>
      <c r="AE7373">
        <v>29.842600000000001</v>
      </c>
      <c r="AF7373">
        <v>38.701668981629702</v>
      </c>
      <c r="AG7373">
        <v>0.213091999999999</v>
      </c>
      <c r="AH7373">
        <v>49.552964490533299</v>
      </c>
      <c r="AI7373">
        <v>89.805818711248193</v>
      </c>
      <c r="AJ7373">
        <v>52.009586341334703</v>
      </c>
      <c r="AK7373">
        <v>62.875757490181897</v>
      </c>
      <c r="AL7373">
        <v>92.781060775200601</v>
      </c>
      <c r="AM7373">
        <v>73.898163514743402</v>
      </c>
      <c r="AN7373">
        <v>1.0000000013228401</v>
      </c>
    </row>
    <row r="7374" spans="1:40" x14ac:dyDescent="0.25">
      <c r="A7374" t="str">
        <f>"20190312161205432"</f>
        <v>20190312161205432</v>
      </c>
      <c r="B7374" t="str">
        <f>"1552378325424577"</f>
        <v>1552378325424577</v>
      </c>
      <c r="C7374" t="s">
        <v>40</v>
      </c>
      <c r="D7374">
        <v>5.4498110000000004</v>
      </c>
      <c r="E7374">
        <v>0.64747149999999998</v>
      </c>
      <c r="F7374" t="s">
        <v>55</v>
      </c>
      <c r="G7374">
        <v>-126.0819</v>
      </c>
      <c r="H7374">
        <v>1.5093669999999999</v>
      </c>
      <c r="I7374">
        <v>160.81440000000001</v>
      </c>
      <c r="J7374">
        <v>-181.39099999999999</v>
      </c>
      <c r="K7374">
        <v>1.1024830000000001</v>
      </c>
      <c r="L7374">
        <v>131.17189999999999</v>
      </c>
      <c r="M7374">
        <v>0.41148370000000001</v>
      </c>
      <c r="N7374">
        <v>0</v>
      </c>
      <c r="O7374">
        <v>0.91137080000000004</v>
      </c>
      <c r="P7374">
        <v>0.64796739999999997</v>
      </c>
      <c r="Q7374">
        <v>-5.2341609999999997E-2</v>
      </c>
      <c r="R7374">
        <v>0.75986750000000003</v>
      </c>
      <c r="S7374">
        <v>2.8511660000000001</v>
      </c>
      <c r="T7374">
        <v>2.0930890000000001E-2</v>
      </c>
      <c r="U7374">
        <v>1.535568</v>
      </c>
      <c r="V7374">
        <v>0.27712429999999999</v>
      </c>
      <c r="W7374">
        <v>-4.8084460000000002E-2</v>
      </c>
      <c r="X7374">
        <v>0.95963010000000004</v>
      </c>
      <c r="Y7374">
        <v>0.60728530000000003</v>
      </c>
      <c r="Z7374">
        <v>6.7907559999999898E-3</v>
      </c>
      <c r="AA7374">
        <v>0.79445489999999996</v>
      </c>
      <c r="AB7374">
        <v>22</v>
      </c>
      <c r="AC7374">
        <v>55.309100000000001</v>
      </c>
      <c r="AD7374">
        <v>0.40688399999999902</v>
      </c>
      <c r="AE7374">
        <v>29.642499999999998</v>
      </c>
      <c r="AF7374">
        <v>38.2096998144088</v>
      </c>
      <c r="AG7374">
        <v>0.40688399999999902</v>
      </c>
      <c r="AH7374">
        <v>49.7741107490004</v>
      </c>
      <c r="AI7374">
        <v>89.6284818771435</v>
      </c>
      <c r="AJ7374">
        <v>52.487915938824202</v>
      </c>
      <c r="AK7374">
        <v>62.750369045531897</v>
      </c>
      <c r="AL7374">
        <v>92.756099492565994</v>
      </c>
      <c r="AM7374">
        <v>73.892212397887107</v>
      </c>
      <c r="AN7374">
        <v>0.99999996088499499</v>
      </c>
    </row>
    <row r="7375" spans="1:40" x14ac:dyDescent="0.25">
      <c r="A7375" t="str">
        <f>"20190312161205454"</f>
        <v>20190312161205454</v>
      </c>
      <c r="B7375" t="str">
        <f>"1552378325445070"</f>
        <v>1552378325445070</v>
      </c>
      <c r="C7375" t="s">
        <v>40</v>
      </c>
      <c r="D7375">
        <v>5.8612380000000002</v>
      </c>
      <c r="E7375">
        <v>0.64698679999999997</v>
      </c>
      <c r="F7375" t="s">
        <v>55</v>
      </c>
      <c r="G7375">
        <v>-125.5517</v>
      </c>
      <c r="H7375">
        <v>1.4894579999999999</v>
      </c>
      <c r="I7375">
        <v>160.8143</v>
      </c>
      <c r="J7375">
        <v>-181.28550000000001</v>
      </c>
      <c r="K7375">
        <v>1.1023400000000001</v>
      </c>
      <c r="L7375">
        <v>131.37479999999999</v>
      </c>
      <c r="M7375">
        <v>0.42178779999999999</v>
      </c>
      <c r="N7375">
        <v>0</v>
      </c>
      <c r="O7375">
        <v>0.9066476</v>
      </c>
      <c r="P7375">
        <v>0.6567347</v>
      </c>
      <c r="Q7375">
        <v>-5.1838229999999999E-2</v>
      </c>
      <c r="R7375">
        <v>0.7523379</v>
      </c>
      <c r="S7375">
        <v>2.8544770000000002</v>
      </c>
      <c r="T7375">
        <v>1.9783619999999998E-2</v>
      </c>
      <c r="U7375">
        <v>1.5153049999999999</v>
      </c>
      <c r="V7375">
        <v>0.27735029999999999</v>
      </c>
      <c r="W7375">
        <v>-4.7649440000000001E-2</v>
      </c>
      <c r="X7375">
        <v>0.95958659999999996</v>
      </c>
      <c r="Y7375">
        <v>0.60304499999999905</v>
      </c>
      <c r="Z7375">
        <v>6.4165059999999998E-3</v>
      </c>
      <c r="AA7375">
        <v>0.79768130000000004</v>
      </c>
      <c r="AB7375">
        <v>22</v>
      </c>
      <c r="AC7375">
        <v>55.733800000000002</v>
      </c>
      <c r="AD7375">
        <v>0.38711800000000002</v>
      </c>
      <c r="AE7375">
        <v>29.439499999999999</v>
      </c>
      <c r="AF7375">
        <v>38.113879793927602</v>
      </c>
      <c r="AG7375">
        <v>0.38711800000000002</v>
      </c>
      <c r="AH7375">
        <v>50.1993335215682</v>
      </c>
      <c r="AI7375">
        <v>89.648098691997504</v>
      </c>
      <c r="AJ7375">
        <v>52.7923886683351</v>
      </c>
      <c r="AK7375">
        <v>63.030078369787297</v>
      </c>
      <c r="AL7375">
        <v>92.731145832942801</v>
      </c>
      <c r="AM7375">
        <v>73.8790654766388</v>
      </c>
      <c r="AN7375">
        <v>1.0000000504709801</v>
      </c>
    </row>
    <row r="7376" spans="1:40" x14ac:dyDescent="0.25">
      <c r="A7376" t="str">
        <f>"20190312161205477"</f>
        <v>20190312161205477</v>
      </c>
      <c r="B7376" t="str">
        <f>"1552378325474350"</f>
        <v>1552378325474350</v>
      </c>
      <c r="C7376" t="s">
        <v>40</v>
      </c>
      <c r="D7376">
        <v>6.0762999999999998</v>
      </c>
      <c r="E7376">
        <v>0.64693780000000001</v>
      </c>
      <c r="F7376" t="s">
        <v>55</v>
      </c>
      <c r="G7376">
        <v>-124.4229</v>
      </c>
      <c r="H7376">
        <v>1.4193129999999901</v>
      </c>
      <c r="I7376">
        <v>160.81389999999999</v>
      </c>
      <c r="J7376">
        <v>-181.1764</v>
      </c>
      <c r="K7376">
        <v>1.1021840000000001</v>
      </c>
      <c r="L7376">
        <v>131.57839999999999</v>
      </c>
      <c r="M7376">
        <v>0.4323304</v>
      </c>
      <c r="N7376">
        <v>0</v>
      </c>
      <c r="O7376">
        <v>0.90166760000000001</v>
      </c>
      <c r="P7376">
        <v>0.66597689999999998</v>
      </c>
      <c r="Q7376">
        <v>-5.1144210000000002E-2</v>
      </c>
      <c r="R7376">
        <v>0.74421700000000002</v>
      </c>
      <c r="S7376">
        <v>2.8682099999999999</v>
      </c>
      <c r="T7376">
        <v>1.599014E-2</v>
      </c>
      <c r="U7376">
        <v>1.4849399999999999</v>
      </c>
      <c r="V7376">
        <v>0.27798729999999999</v>
      </c>
      <c r="W7376">
        <v>-4.7032129999999998E-2</v>
      </c>
      <c r="X7376">
        <v>0.95943270000000003</v>
      </c>
      <c r="Y7376">
        <v>0.60196419999999995</v>
      </c>
      <c r="Z7376">
        <v>5.1805310000000004E-3</v>
      </c>
      <c r="AA7376">
        <v>0.7985063</v>
      </c>
      <c r="AB7376">
        <v>22</v>
      </c>
      <c r="AC7376">
        <v>56.753500000000003</v>
      </c>
      <c r="AD7376">
        <v>0.317128999999999</v>
      </c>
      <c r="AE7376">
        <v>29.235499999999998</v>
      </c>
      <c r="AF7376">
        <v>38.534102220864199</v>
      </c>
      <c r="AG7376">
        <v>0.317128999999999</v>
      </c>
      <c r="AH7376">
        <v>50.8978983296115</v>
      </c>
      <c r="AI7376">
        <v>89.715379613991502</v>
      </c>
      <c r="AJ7376">
        <v>52.871134829035697</v>
      </c>
      <c r="AK7376">
        <v>63.8402197610732</v>
      </c>
      <c r="AL7376">
        <v>92.695736922941094</v>
      </c>
      <c r="AM7376">
        <v>73.841513261143405</v>
      </c>
      <c r="AN7376">
        <v>1.00000003302145</v>
      </c>
    </row>
    <row r="7377" spans="1:40" x14ac:dyDescent="0.25">
      <c r="A7377" t="str">
        <f>"20190312161205501"</f>
        <v>20190312161205501</v>
      </c>
      <c r="B7377" t="str">
        <f>"1552378325494846"</f>
        <v>1552378325494846</v>
      </c>
      <c r="C7377" t="s">
        <v>40</v>
      </c>
      <c r="D7377">
        <v>5.8668719999999999</v>
      </c>
      <c r="E7377">
        <v>0.64691929999999997</v>
      </c>
      <c r="F7377" t="s">
        <v>55</v>
      </c>
      <c r="G7377">
        <v>-123.02030000000001</v>
      </c>
      <c r="H7377">
        <v>1.21526</v>
      </c>
      <c r="I7377">
        <v>160.8135</v>
      </c>
      <c r="J7377">
        <v>-181.0591</v>
      </c>
      <c r="K7377">
        <v>1.1020179999999999</v>
      </c>
      <c r="L7377">
        <v>131.791</v>
      </c>
      <c r="M7377">
        <v>0.44355139999999998</v>
      </c>
      <c r="N7377">
        <v>0</v>
      </c>
      <c r="O7377">
        <v>0.89620049999999996</v>
      </c>
      <c r="P7377">
        <v>0.67581049999999998</v>
      </c>
      <c r="Q7377">
        <v>-5.1051300000000001E-2</v>
      </c>
      <c r="R7377">
        <v>0.73530549999999995</v>
      </c>
      <c r="S7377">
        <v>2.8846280000000002</v>
      </c>
      <c r="T7377">
        <v>5.6104659999999997E-3</v>
      </c>
      <c r="U7377">
        <v>1.4501040000000001</v>
      </c>
      <c r="V7377">
        <v>0.27874409999999999</v>
      </c>
      <c r="W7377">
        <v>-4.7024389999999999E-2</v>
      </c>
      <c r="X7377">
        <v>0.95921339999999999</v>
      </c>
      <c r="Y7377">
        <v>0.60152609999999995</v>
      </c>
      <c r="Z7377">
        <v>1.8151809999999999E-3</v>
      </c>
      <c r="AA7377">
        <v>0.79885109999999904</v>
      </c>
      <c r="AB7377">
        <v>22</v>
      </c>
      <c r="AC7377">
        <v>58.038800000000002</v>
      </c>
      <c r="AD7377">
        <v>0.113242</v>
      </c>
      <c r="AE7377">
        <v>29.022500000000001</v>
      </c>
      <c r="AF7377">
        <v>39.143011092919203</v>
      </c>
      <c r="AG7377">
        <v>0.113242</v>
      </c>
      <c r="AH7377">
        <v>51.755259122968702</v>
      </c>
      <c r="AI7377">
        <v>89.900011895566294</v>
      </c>
      <c r="AJ7377">
        <v>52.899425313951298</v>
      </c>
      <c r="AK7377">
        <v>64.890638678137506</v>
      </c>
      <c r="AL7377">
        <v>92.695293168429799</v>
      </c>
      <c r="AM7377">
        <v>73.796318009903302</v>
      </c>
      <c r="AN7377">
        <v>0.99999995663962005</v>
      </c>
    </row>
    <row r="7378" spans="1:40" x14ac:dyDescent="0.25">
      <c r="A7378" t="str">
        <f>"20190312161205522"</f>
        <v>20190312161205522</v>
      </c>
      <c r="B7378" t="str">
        <f>"1552378325514368"</f>
        <v>1552378325514368</v>
      </c>
      <c r="C7378" t="s">
        <v>40</v>
      </c>
      <c r="D7378">
        <v>6.0384289999999998</v>
      </c>
      <c r="E7378">
        <v>0.64874770000000004</v>
      </c>
      <c r="F7378" t="s">
        <v>55</v>
      </c>
      <c r="G7378">
        <v>-121.3933</v>
      </c>
      <c r="H7378">
        <v>1.0896889999999999</v>
      </c>
      <c r="I7378">
        <v>160.81299999999999</v>
      </c>
      <c r="J7378">
        <v>-180.95410000000001</v>
      </c>
      <c r="K7378">
        <v>1.10186299999999</v>
      </c>
      <c r="L7378">
        <v>131.97550000000001</v>
      </c>
      <c r="M7378">
        <v>0.45348359999999899</v>
      </c>
      <c r="N7378">
        <v>0</v>
      </c>
      <c r="O7378">
        <v>0.89121539999999999</v>
      </c>
      <c r="P7378">
        <v>0.68513659999999998</v>
      </c>
      <c r="Q7378">
        <v>-5.0930690000000001E-2</v>
      </c>
      <c r="R7378">
        <v>0.7266319</v>
      </c>
      <c r="S7378">
        <v>2.9028170000000002</v>
      </c>
      <c r="T7378">
        <v>-5.9807299999999996E-4</v>
      </c>
      <c r="U7378">
        <v>1.4119569999999999</v>
      </c>
      <c r="V7378">
        <v>0.28030179999999999</v>
      </c>
      <c r="W7378">
        <v>-4.6999939999999997E-2</v>
      </c>
      <c r="X7378">
        <v>0.95876059999999996</v>
      </c>
      <c r="Y7378">
        <v>0.60310489999999894</v>
      </c>
      <c r="Z7378">
        <v>-1.9331820000000001E-4</v>
      </c>
      <c r="AA7378">
        <v>0.79766190000000003</v>
      </c>
      <c r="AB7378">
        <v>22</v>
      </c>
      <c r="AC7378">
        <v>59.5608</v>
      </c>
      <c r="AD7378">
        <v>-1.21739999999999E-2</v>
      </c>
      <c r="AE7378">
        <v>28.837499999999899</v>
      </c>
      <c r="AF7378">
        <v>40.0059225323959</v>
      </c>
      <c r="AG7378">
        <v>-1.21739999999999E-2</v>
      </c>
      <c r="AH7378">
        <v>52.712580745106699</v>
      </c>
      <c r="AI7378">
        <v>90.010540567387295</v>
      </c>
      <c r="AJ7378">
        <v>52.803519986235202</v>
      </c>
      <c r="AK7378">
        <v>66.174694216775407</v>
      </c>
      <c r="AL7378">
        <v>92.693890643881502</v>
      </c>
      <c r="AM7378">
        <v>73.703271265330301</v>
      </c>
      <c r="AN7378">
        <v>0.999999990777801</v>
      </c>
    </row>
    <row r="7379" spans="1:40" x14ac:dyDescent="0.25">
      <c r="A7379" t="str">
        <f>"20190312161205543"</f>
        <v>20190312161205543</v>
      </c>
      <c r="B7379" t="str">
        <f>"1552378325534864"</f>
        <v>1552378325534864</v>
      </c>
      <c r="C7379" t="s">
        <v>40</v>
      </c>
      <c r="D7379">
        <v>5.9231280000000002</v>
      </c>
      <c r="E7379">
        <v>0.6461654</v>
      </c>
      <c r="F7379" t="s">
        <v>42</v>
      </c>
      <c r="G7379">
        <v>-180.36</v>
      </c>
      <c r="H7379">
        <v>1.1836139999999999</v>
      </c>
      <c r="I7379">
        <v>132.2491</v>
      </c>
      <c r="J7379">
        <v>-180.83779999999999</v>
      </c>
      <c r="K7379">
        <v>1.1016870000000001</v>
      </c>
      <c r="L7379">
        <v>132.17420000000001</v>
      </c>
      <c r="M7379">
        <v>0.46436519999999998</v>
      </c>
      <c r="N7379">
        <v>0</v>
      </c>
      <c r="O7379">
        <v>0.88559379999999999</v>
      </c>
      <c r="P7379">
        <v>0.6952102</v>
      </c>
      <c r="Q7379">
        <v>-5.1234790000000002E-2</v>
      </c>
      <c r="R7379">
        <v>0.71697829999999996</v>
      </c>
      <c r="S7379">
        <v>2.9617460000000002</v>
      </c>
      <c r="T7379">
        <v>0.40758159999999999</v>
      </c>
      <c r="U7379">
        <v>1.3645940000000001</v>
      </c>
      <c r="V7379">
        <v>0.28192260000000002</v>
      </c>
      <c r="W7379">
        <v>-4.7410760000000003E-2</v>
      </c>
      <c r="X7379">
        <v>0.95826500000000003</v>
      </c>
      <c r="Y7379">
        <v>0.60178489999999996</v>
      </c>
      <c r="Z7379">
        <v>0.12935559999999999</v>
      </c>
      <c r="AA7379">
        <v>0.78811290000000001</v>
      </c>
      <c r="AB7379">
        <v>22</v>
      </c>
      <c r="AC7379">
        <v>0.47779999999997302</v>
      </c>
      <c r="AD7379">
        <v>8.1926999999999806E-2</v>
      </c>
      <c r="AE7379">
        <v>7.4899999999985298E-2</v>
      </c>
      <c r="AF7379">
        <v>0.377539171166759</v>
      </c>
      <c r="AG7379">
        <v>8.1926999999999806E-2</v>
      </c>
      <c r="AH7379">
        <v>0.28017751142798702</v>
      </c>
      <c r="AI7379">
        <v>80.114930792473004</v>
      </c>
      <c r="AJ7379">
        <v>36.57966710062</v>
      </c>
      <c r="AK7379">
        <v>0.47722876799734498</v>
      </c>
      <c r="AL7379">
        <v>92.717455218717106</v>
      </c>
      <c r="AM7379">
        <v>73.606059897367004</v>
      </c>
      <c r="AN7379">
        <v>0.99999997138976804</v>
      </c>
    </row>
    <row r="7380" spans="1:40" x14ac:dyDescent="0.25">
      <c r="A7380" t="str">
        <f>"20190312161205566"</f>
        <v>20190312161205566</v>
      </c>
      <c r="B7380" t="str">
        <f>"1552378325554382"</f>
        <v>1552378325554382</v>
      </c>
      <c r="C7380" t="s">
        <v>40</v>
      </c>
      <c r="D7380">
        <v>6.0423419999999997</v>
      </c>
      <c r="E7380">
        <v>0.64494960000000001</v>
      </c>
      <c r="F7380" t="s">
        <v>42</v>
      </c>
      <c r="G7380">
        <v>-180.23609999999999</v>
      </c>
      <c r="H7380">
        <v>1.1833720000000001</v>
      </c>
      <c r="I7380">
        <v>132.44560000000001</v>
      </c>
      <c r="J7380">
        <v>-180.72210000000001</v>
      </c>
      <c r="K7380">
        <v>1.101521</v>
      </c>
      <c r="L7380">
        <v>132.36590000000001</v>
      </c>
      <c r="M7380">
        <v>0.47507120000000003</v>
      </c>
      <c r="N7380">
        <v>0</v>
      </c>
      <c r="O7380">
        <v>0.87989660000000003</v>
      </c>
      <c r="P7380">
        <v>0.70496800000000004</v>
      </c>
      <c r="Q7380">
        <v>-5.1237789999999998E-2</v>
      </c>
      <c r="R7380">
        <v>0.70738599999999996</v>
      </c>
      <c r="S7380">
        <v>2.9656370000000001</v>
      </c>
      <c r="T7380">
        <v>0.40257779999999999</v>
      </c>
      <c r="U7380">
        <v>1.337418</v>
      </c>
      <c r="V7380">
        <v>0.2834102</v>
      </c>
      <c r="W7380">
        <v>-4.7515090000000003E-2</v>
      </c>
      <c r="X7380">
        <v>0.95782100000000003</v>
      </c>
      <c r="Y7380">
        <v>0.5987114</v>
      </c>
      <c r="Z7380">
        <v>0.127707399999999</v>
      </c>
      <c r="AA7380">
        <v>0.79071829999999999</v>
      </c>
      <c r="AB7380">
        <v>23</v>
      </c>
      <c r="AC7380">
        <v>0.48600000000001797</v>
      </c>
      <c r="AD7380">
        <v>8.1850999999999896E-2</v>
      </c>
      <c r="AE7380">
        <v>7.9700000000002505E-2</v>
      </c>
      <c r="AF7380">
        <v>0.37930688847018301</v>
      </c>
      <c r="AG7380">
        <v>8.1850999999999896E-2</v>
      </c>
      <c r="AH7380">
        <v>0.29293446494819098</v>
      </c>
      <c r="AI7380">
        <v>80.308058332926393</v>
      </c>
      <c r="AJ7380">
        <v>37.678507348366701</v>
      </c>
      <c r="AK7380">
        <v>0.48619327699631398</v>
      </c>
      <c r="AL7380">
        <v>92.723439426902104</v>
      </c>
      <c r="AM7380">
        <v>73.517011345791502</v>
      </c>
      <c r="AN7380">
        <v>1.0000000466413701</v>
      </c>
    </row>
    <row r="7381" spans="1:40" x14ac:dyDescent="0.25">
      <c r="A7381" t="str">
        <f>"20190312161205588"</f>
        <v>20190312161205588</v>
      </c>
      <c r="B7381" t="str">
        <f>"1552378325584637"</f>
        <v>1552378325584637</v>
      </c>
      <c r="C7381" t="s">
        <v>40</v>
      </c>
      <c r="D7381">
        <v>5.9661350000000004</v>
      </c>
      <c r="E7381">
        <v>0.64276899999999904</v>
      </c>
      <c r="F7381" t="s">
        <v>42</v>
      </c>
      <c r="G7381">
        <v>-179.97569999999999</v>
      </c>
      <c r="H7381">
        <v>1.1994579999999999</v>
      </c>
      <c r="I7381">
        <v>132.69299999999899</v>
      </c>
      <c r="J7381">
        <v>-180.59610000000001</v>
      </c>
      <c r="K7381">
        <v>1.1013520000000001</v>
      </c>
      <c r="L7381">
        <v>132.56799999999899</v>
      </c>
      <c r="M7381">
        <v>0.48656339999999998</v>
      </c>
      <c r="N7381">
        <v>0</v>
      </c>
      <c r="O7381">
        <v>0.87359359999999997</v>
      </c>
      <c r="P7381">
        <v>0.71495759999999997</v>
      </c>
      <c r="Q7381">
        <v>-5.0286499999999998E-2</v>
      </c>
      <c r="R7381">
        <v>0.69735709999999995</v>
      </c>
      <c r="S7381">
        <v>2.9756619999999998</v>
      </c>
      <c r="T7381">
        <v>0.3904686</v>
      </c>
      <c r="U7381">
        <v>1.3037570000000001</v>
      </c>
      <c r="V7381">
        <v>0.28444340000000001</v>
      </c>
      <c r="W7381">
        <v>-4.6654580000000001E-2</v>
      </c>
      <c r="X7381">
        <v>0.95755690000000004</v>
      </c>
      <c r="Y7381">
        <v>0.59722200000000003</v>
      </c>
      <c r="Z7381">
        <v>0.1237284</v>
      </c>
      <c r="AA7381">
        <v>0.79247529999999999</v>
      </c>
      <c r="AB7381">
        <v>23</v>
      </c>
      <c r="AC7381">
        <v>0.62040000000001705</v>
      </c>
      <c r="AD7381">
        <v>9.8105999999999804E-2</v>
      </c>
      <c r="AE7381">
        <v>0.125</v>
      </c>
      <c r="AF7381">
        <v>0.46988706957269599</v>
      </c>
      <c r="AG7381">
        <v>9.8105999999999804E-2</v>
      </c>
      <c r="AH7381">
        <v>0.40143494390423401</v>
      </c>
      <c r="AI7381">
        <v>80.979935144007499</v>
      </c>
      <c r="AJ7381">
        <v>40.507999494985398</v>
      </c>
      <c r="AK7381">
        <v>0.62575447227727599</v>
      </c>
      <c r="AL7381">
        <v>92.674081332202903</v>
      </c>
      <c r="AM7381">
        <v>73.455886211991995</v>
      </c>
      <c r="AN7381">
        <v>0.999999957188072</v>
      </c>
    </row>
    <row r="7382" spans="1:40" x14ac:dyDescent="0.25">
      <c r="A7382" t="str">
        <f>"20190312161205610"</f>
        <v>20190312161205610</v>
      </c>
      <c r="B7382" t="str">
        <f>"1552378325605133"</f>
        <v>1552378325605133</v>
      </c>
      <c r="C7382" t="s">
        <v>40</v>
      </c>
      <c r="D7382">
        <v>6.0976400000000002</v>
      </c>
      <c r="E7382">
        <v>0.6426925</v>
      </c>
      <c r="F7382" t="s">
        <v>42</v>
      </c>
      <c r="G7382">
        <v>-179.8827</v>
      </c>
      <c r="H7382">
        <v>1.19143</v>
      </c>
      <c r="I7382">
        <v>132.87289999999999</v>
      </c>
      <c r="J7382">
        <v>-180.46850000000001</v>
      </c>
      <c r="K7382">
        <v>1.101207</v>
      </c>
      <c r="L7382">
        <v>132.76689999999999</v>
      </c>
      <c r="M7382">
        <v>0.49803389999999997</v>
      </c>
      <c r="N7382">
        <v>0</v>
      </c>
      <c r="O7382">
        <v>0.86710489999999996</v>
      </c>
      <c r="P7382">
        <v>0.72491930000000004</v>
      </c>
      <c r="Q7382">
        <v>-5.0079079999999998E-2</v>
      </c>
      <c r="R7382">
        <v>0.68701109999999999</v>
      </c>
      <c r="S7382">
        <v>2.979965</v>
      </c>
      <c r="T7382">
        <v>0.37625160000000002</v>
      </c>
      <c r="U7382">
        <v>1.273895</v>
      </c>
      <c r="V7382">
        <v>0.2855837</v>
      </c>
      <c r="W7382">
        <v>-4.6529790000000001E-2</v>
      </c>
      <c r="X7382">
        <v>0.9572235</v>
      </c>
      <c r="Y7382">
        <v>0.59435400000000005</v>
      </c>
      <c r="Z7382">
        <v>0.1191383</v>
      </c>
      <c r="AA7382">
        <v>0.79532979999999998</v>
      </c>
      <c r="AB7382">
        <v>23</v>
      </c>
      <c r="AC7382">
        <v>0.58580000000000598</v>
      </c>
      <c r="AD7382">
        <v>9.0222999999999901E-2</v>
      </c>
      <c r="AE7382">
        <v>0.105999999999994</v>
      </c>
      <c r="AF7382">
        <v>0.44495894249906198</v>
      </c>
      <c r="AG7382">
        <v>9.0222999999999901E-2</v>
      </c>
      <c r="AH7382">
        <v>0.37506402091086899</v>
      </c>
      <c r="AI7382">
        <v>81.187216663628803</v>
      </c>
      <c r="AJ7382">
        <v>40.128151087552901</v>
      </c>
      <c r="AK7382">
        <v>0.58889869249363502</v>
      </c>
      <c r="AL7382">
        <v>92.666923637412296</v>
      </c>
      <c r="AM7382">
        <v>73.3877433234926</v>
      </c>
      <c r="AN7382">
        <v>0.99999995000769004</v>
      </c>
    </row>
    <row r="7383" spans="1:40" x14ac:dyDescent="0.25">
      <c r="A7383" t="str">
        <f>"20190312161205632"</f>
        <v>20190312161205632</v>
      </c>
      <c r="B7383" t="str">
        <f>"1552378325624653"</f>
        <v>1552378325624653</v>
      </c>
      <c r="C7383" t="s">
        <v>40</v>
      </c>
      <c r="D7383">
        <v>5.4578480000000003</v>
      </c>
      <c r="E7383">
        <v>0.6779326</v>
      </c>
      <c r="F7383" t="s">
        <v>42</v>
      </c>
      <c r="G7383">
        <v>-179.78039999999999</v>
      </c>
      <c r="H7383">
        <v>1.1859959999999901</v>
      </c>
      <c r="I7383">
        <v>133.0496</v>
      </c>
      <c r="J7383">
        <v>-180.34399999999999</v>
      </c>
      <c r="K7383">
        <v>1.101075</v>
      </c>
      <c r="L7383">
        <v>132.95519999999999</v>
      </c>
      <c r="M7383">
        <v>0.50904359999999904</v>
      </c>
      <c r="N7383">
        <v>0</v>
      </c>
      <c r="O7383">
        <v>0.86068729999999904</v>
      </c>
      <c r="P7383">
        <v>0.73446959999999994</v>
      </c>
      <c r="Q7383">
        <v>-4.9231370000000003E-2</v>
      </c>
      <c r="R7383">
        <v>0.6768535</v>
      </c>
      <c r="S7383">
        <v>2.9968870000000001</v>
      </c>
      <c r="T7383">
        <v>0.3692954</v>
      </c>
      <c r="U7383">
        <v>1.23143</v>
      </c>
      <c r="V7383">
        <v>0.2867613</v>
      </c>
      <c r="W7383">
        <v>-4.5755709999999998E-2</v>
      </c>
      <c r="X7383">
        <v>0.9569088</v>
      </c>
      <c r="Y7383">
        <v>0.59564519999999999</v>
      </c>
      <c r="Z7383">
        <v>0.1167277</v>
      </c>
      <c r="AA7383">
        <v>0.79472089999999995</v>
      </c>
      <c r="AB7383">
        <v>23</v>
      </c>
      <c r="AC7383">
        <v>0.56360000000003596</v>
      </c>
      <c r="AD7383">
        <v>8.4920999999999802E-2</v>
      </c>
      <c r="AE7383">
        <v>9.4400000000007298E-2</v>
      </c>
      <c r="AF7383">
        <v>0.42760660607818901</v>
      </c>
      <c r="AG7383">
        <v>8.4920999999999802E-2</v>
      </c>
      <c r="AH7383">
        <v>0.360208055648504</v>
      </c>
      <c r="AI7383">
        <v>81.363488198250707</v>
      </c>
      <c r="AJ7383">
        <v>40.1101792625049</v>
      </c>
      <c r="AK7383">
        <v>0.56551642695573701</v>
      </c>
      <c r="AL7383">
        <v>92.622524590173597</v>
      </c>
      <c r="AM7383">
        <v>73.317859832900098</v>
      </c>
      <c r="AN7383">
        <v>1.00000003984636</v>
      </c>
    </row>
    <row r="7384" spans="1:40" x14ac:dyDescent="0.25">
      <c r="A7384" t="str">
        <f>"20190312161205655"</f>
        <v>20190312161205655</v>
      </c>
      <c r="B7384" t="str">
        <f>"1552378325645149"</f>
        <v>1552378325645149</v>
      </c>
      <c r="C7384" t="s">
        <v>40</v>
      </c>
      <c r="D7384">
        <v>5.079383</v>
      </c>
      <c r="E7384">
        <v>0.6737843</v>
      </c>
      <c r="F7384" t="s">
        <v>42</v>
      </c>
      <c r="G7384">
        <v>-179.6044</v>
      </c>
      <c r="H7384">
        <v>1.225471</v>
      </c>
      <c r="I7384">
        <v>133.18100000000001</v>
      </c>
      <c r="J7384">
        <v>-180.20930000000001</v>
      </c>
      <c r="K7384">
        <v>1.1009450000000001</v>
      </c>
      <c r="L7384">
        <v>133.15299999999999</v>
      </c>
      <c r="M7384">
        <v>0.52076789999999995</v>
      </c>
      <c r="N7384">
        <v>0</v>
      </c>
      <c r="O7384">
        <v>0.85364390000000001</v>
      </c>
      <c r="P7384">
        <v>0.74448689999999995</v>
      </c>
      <c r="Q7384">
        <v>-4.9812229999999999E-2</v>
      </c>
      <c r="R7384">
        <v>0.66577640000000005</v>
      </c>
      <c r="S7384">
        <v>3.2159119999999999</v>
      </c>
      <c r="T7384">
        <v>0.54086119999999904</v>
      </c>
      <c r="U7384">
        <v>0.98196410000000001</v>
      </c>
      <c r="V7384">
        <v>0.28794699999999901</v>
      </c>
      <c r="W7384">
        <v>-4.6413459999999997E-2</v>
      </c>
      <c r="X7384">
        <v>0.95652090000000001</v>
      </c>
      <c r="Y7384">
        <v>0.64949669999999904</v>
      </c>
      <c r="Z7384">
        <v>0.1667901</v>
      </c>
      <c r="AA7384">
        <v>0.74184569999999905</v>
      </c>
      <c r="AB7384">
        <v>23</v>
      </c>
      <c r="AC7384">
        <v>0.60490000000001398</v>
      </c>
      <c r="AD7384">
        <v>0.124525999999999</v>
      </c>
      <c r="AE7384">
        <v>2.8000000000019998E-2</v>
      </c>
      <c r="AF7384">
        <v>0.481451104221986</v>
      </c>
      <c r="AG7384">
        <v>0.124525999999999</v>
      </c>
      <c r="AH7384">
        <v>0.32517891053387299</v>
      </c>
      <c r="AI7384">
        <v>77.902365224242601</v>
      </c>
      <c r="AJ7384">
        <v>34.0356502953355</v>
      </c>
      <c r="AK7384">
        <v>0.59417439720049003</v>
      </c>
      <c r="AL7384">
        <v>92.660251188659998</v>
      </c>
      <c r="AM7384">
        <v>73.246326426266506</v>
      </c>
      <c r="AN7384">
        <v>0.99999995810748998</v>
      </c>
    </row>
    <row r="7385" spans="1:40" x14ac:dyDescent="0.25">
      <c r="A7385" t="str">
        <f>"20190312161205678"</f>
        <v>20190312161205678</v>
      </c>
      <c r="B7385" t="str">
        <f>"1552378325674429"</f>
        <v>1552378325674429</v>
      </c>
      <c r="C7385" t="s">
        <v>40</v>
      </c>
      <c r="D7385">
        <v>4.7040389999999999</v>
      </c>
      <c r="E7385">
        <v>0.67184140000000003</v>
      </c>
      <c r="F7385" t="s">
        <v>42</v>
      </c>
      <c r="G7385">
        <v>-179.5112</v>
      </c>
      <c r="H7385">
        <v>1.194672</v>
      </c>
      <c r="I7385">
        <v>133.36240000000001</v>
      </c>
      <c r="J7385">
        <v>-180.07409999999999</v>
      </c>
      <c r="K7385">
        <v>1.1008089999999999</v>
      </c>
      <c r="L7385">
        <v>133.34559999999999</v>
      </c>
      <c r="M7385">
        <v>0.53233960000000002</v>
      </c>
      <c r="N7385">
        <v>0</v>
      </c>
      <c r="O7385">
        <v>0.84647549999999905</v>
      </c>
      <c r="P7385">
        <v>0.75452919999999901</v>
      </c>
      <c r="Q7385">
        <v>-5.039275E-2</v>
      </c>
      <c r="R7385">
        <v>0.65432900000000005</v>
      </c>
      <c r="S7385">
        <v>3.1999360000000001</v>
      </c>
      <c r="T7385">
        <v>0.4296257</v>
      </c>
      <c r="U7385">
        <v>0.95991519999999997</v>
      </c>
      <c r="V7385">
        <v>0.28947460000000003</v>
      </c>
      <c r="W7385">
        <v>-4.708325E-2</v>
      </c>
      <c r="X7385">
        <v>0.95602699999999996</v>
      </c>
      <c r="Y7385">
        <v>0.64828509999999995</v>
      </c>
      <c r="Z7385">
        <v>0.1333328</v>
      </c>
      <c r="AA7385">
        <v>0.74963239999999998</v>
      </c>
      <c r="AB7385">
        <v>23</v>
      </c>
      <c r="AC7385">
        <v>0.56289999999998397</v>
      </c>
      <c r="AD7385">
        <v>9.3863000000000002E-2</v>
      </c>
      <c r="AE7385">
        <v>1.6800000000017599E-2</v>
      </c>
      <c r="AF7385">
        <v>0.45492173512186201</v>
      </c>
      <c r="AG7385">
        <v>9.3863000000000002E-2</v>
      </c>
      <c r="AH7385">
        <v>0.30540516656542299</v>
      </c>
      <c r="AI7385">
        <v>80.279295880762007</v>
      </c>
      <c r="AJ7385">
        <v>33.874868927605597</v>
      </c>
      <c r="AK7385">
        <v>0.555910391718071</v>
      </c>
      <c r="AL7385">
        <v>92.698669219025405</v>
      </c>
      <c r="AM7385">
        <v>73.154257205340301</v>
      </c>
      <c r="AN7385">
        <v>1.0000000006023599</v>
      </c>
    </row>
    <row r="7386" spans="1:40" x14ac:dyDescent="0.25">
      <c r="A7386" t="str">
        <f>"20190312161205700"</f>
        <v>20190312161205700</v>
      </c>
      <c r="B7386" t="str">
        <f>"1552378325694925"</f>
        <v>1552378325694925</v>
      </c>
      <c r="C7386" t="s">
        <v>40</v>
      </c>
      <c r="D7386">
        <v>4.7758839999999996</v>
      </c>
      <c r="E7386">
        <v>0.6709775</v>
      </c>
      <c r="F7386" t="s">
        <v>42</v>
      </c>
      <c r="G7386">
        <v>-179.40620000000001</v>
      </c>
      <c r="H7386">
        <v>1.1915789999999999</v>
      </c>
      <c r="I7386">
        <v>133.5378</v>
      </c>
      <c r="J7386">
        <v>-179.93610000000001</v>
      </c>
      <c r="K7386">
        <v>1.1006590000000001</v>
      </c>
      <c r="L7386">
        <v>133.53649999999999</v>
      </c>
      <c r="M7386">
        <v>0.5439562</v>
      </c>
      <c r="N7386">
        <v>0</v>
      </c>
      <c r="O7386">
        <v>0.83905730000000001</v>
      </c>
      <c r="P7386">
        <v>0.76448400000000005</v>
      </c>
      <c r="Q7386">
        <v>-5.0797849999999999E-2</v>
      </c>
      <c r="R7386">
        <v>0.64263800000000004</v>
      </c>
      <c r="S7386">
        <v>3.2047880000000002</v>
      </c>
      <c r="T7386">
        <v>0.43551400000000001</v>
      </c>
      <c r="U7386">
        <v>0.922821</v>
      </c>
      <c r="V7386">
        <v>0.29096529999999998</v>
      </c>
      <c r="W7386">
        <v>-4.7582550000000001E-2</v>
      </c>
      <c r="X7386">
        <v>0.9555496</v>
      </c>
      <c r="Y7386">
        <v>0.64591149999999997</v>
      </c>
      <c r="Z7386">
        <v>0.13485039999999901</v>
      </c>
      <c r="AA7386">
        <v>0.75140769999999901</v>
      </c>
      <c r="AB7386">
        <v>23</v>
      </c>
      <c r="AC7386">
        <v>0.52989999999999704</v>
      </c>
      <c r="AD7386">
        <v>9.0920000000000098E-2</v>
      </c>
      <c r="AE7386">
        <v>1.3000000000147299E-3</v>
      </c>
      <c r="AF7386">
        <v>0.431235012512382</v>
      </c>
      <c r="AG7386">
        <v>9.0920000000000098E-2</v>
      </c>
      <c r="AH7386">
        <v>0.281072248976309</v>
      </c>
      <c r="AI7386">
        <v>79.983151323747904</v>
      </c>
      <c r="AJ7386">
        <v>33.095680975601802</v>
      </c>
      <c r="AK7386">
        <v>0.52271568903291499</v>
      </c>
      <c r="AL7386">
        <v>92.727309181983202</v>
      </c>
      <c r="AM7386">
        <v>73.064482981263595</v>
      </c>
      <c r="AN7386">
        <v>0.99999997146437503</v>
      </c>
    </row>
    <row r="7387" spans="1:40" x14ac:dyDescent="0.25">
      <c r="A7387" t="str">
        <f>"20190312161205722"</f>
        <v>20190312161205722</v>
      </c>
      <c r="B7387" t="str">
        <f>"1552378325714448"</f>
        <v>1552378325714448</v>
      </c>
      <c r="C7387" t="s">
        <v>40</v>
      </c>
      <c r="D7387">
        <v>4.8288659999999997</v>
      </c>
      <c r="E7387">
        <v>0.67169730000000005</v>
      </c>
      <c r="F7387" t="s">
        <v>42</v>
      </c>
      <c r="G7387">
        <v>-179.2912</v>
      </c>
      <c r="H7387">
        <v>1.1844840000000001</v>
      </c>
      <c r="I7387">
        <v>133.7131</v>
      </c>
      <c r="J7387">
        <v>-179.79810000000001</v>
      </c>
      <c r="K7387">
        <v>1.1005149999999999</v>
      </c>
      <c r="L7387">
        <v>133.7218</v>
      </c>
      <c r="M7387">
        <v>0.55537479999999995</v>
      </c>
      <c r="N7387">
        <v>0</v>
      </c>
      <c r="O7387">
        <v>0.83154300000000003</v>
      </c>
      <c r="P7387">
        <v>0.77357169999999997</v>
      </c>
      <c r="Q7387">
        <v>-5.1315189999999997E-2</v>
      </c>
      <c r="R7387">
        <v>0.63162769999999901</v>
      </c>
      <c r="S7387">
        <v>3.212936</v>
      </c>
      <c r="T7387">
        <v>0.41757549999999999</v>
      </c>
      <c r="U7387">
        <v>0.8791504</v>
      </c>
      <c r="V7387">
        <v>0.29152810000000001</v>
      </c>
      <c r="W7387">
        <v>-4.817507E-2</v>
      </c>
      <c r="X7387">
        <v>0.95534839999999999</v>
      </c>
      <c r="Y7387">
        <v>0.64633649999999998</v>
      </c>
      <c r="Z7387">
        <v>0.12912280000000001</v>
      </c>
      <c r="AA7387">
        <v>0.7520481</v>
      </c>
      <c r="AB7387">
        <v>23</v>
      </c>
      <c r="AC7387">
        <v>0.50690000000000102</v>
      </c>
      <c r="AD7387">
        <v>8.3969000000000099E-2</v>
      </c>
      <c r="AE7387">
        <v>-8.7000000000045895E-3</v>
      </c>
      <c r="AF7387">
        <v>0.41497730808750299</v>
      </c>
      <c r="AG7387">
        <v>8.3969000000000099E-2</v>
      </c>
      <c r="AH7387">
        <v>0.26697432663402199</v>
      </c>
      <c r="AI7387">
        <v>80.342422012917297</v>
      </c>
      <c r="AJ7387">
        <v>32.755073577997798</v>
      </c>
      <c r="AK7387">
        <v>0.50053196728105198</v>
      </c>
      <c r="AL7387">
        <v>92.761296929275204</v>
      </c>
      <c r="AM7387">
        <v>73.030237535986601</v>
      </c>
      <c r="AN7387">
        <v>1.0000000179208299</v>
      </c>
    </row>
    <row r="7388" spans="1:40" x14ac:dyDescent="0.25">
      <c r="A7388" t="str">
        <f>"20190312161205744"</f>
        <v>20190312161205744</v>
      </c>
      <c r="B7388" t="str">
        <f>"1552378325734941"</f>
        <v>1552378325734941</v>
      </c>
      <c r="C7388" t="s">
        <v>40</v>
      </c>
      <c r="D7388">
        <v>4.6137499999999996</v>
      </c>
      <c r="E7388">
        <v>0.67422879999999996</v>
      </c>
      <c r="F7388" t="s">
        <v>42</v>
      </c>
      <c r="G7388">
        <v>-179.06890000000001</v>
      </c>
      <c r="H7388">
        <v>1.184928</v>
      </c>
      <c r="I7388">
        <v>133.9092</v>
      </c>
      <c r="J7388">
        <v>-179.65549999999999</v>
      </c>
      <c r="K7388">
        <v>1.100366</v>
      </c>
      <c r="L7388">
        <v>133.9076</v>
      </c>
      <c r="M7388">
        <v>0.56696590000000002</v>
      </c>
      <c r="N7388">
        <v>0</v>
      </c>
      <c r="O7388">
        <v>0.82368299999999905</v>
      </c>
      <c r="P7388">
        <v>0.78298310000000004</v>
      </c>
      <c r="Q7388">
        <v>-5.1767500000000001E-2</v>
      </c>
      <c r="R7388">
        <v>0.61988509999999997</v>
      </c>
      <c r="S7388">
        <v>3.2259220000000002</v>
      </c>
      <c r="T7388">
        <v>0.37342439999999999</v>
      </c>
      <c r="U7388">
        <v>0.82910159999999999</v>
      </c>
      <c r="V7388">
        <v>0.2925103</v>
      </c>
      <c r="W7388">
        <v>-4.8715870000000001E-2</v>
      </c>
      <c r="X7388">
        <v>0.95502069999999994</v>
      </c>
      <c r="Y7388">
        <v>0.64925489999999997</v>
      </c>
      <c r="Z7388">
        <v>0.1153391</v>
      </c>
      <c r="AA7388">
        <v>0.75177450000000001</v>
      </c>
      <c r="AB7388">
        <v>23</v>
      </c>
      <c r="AC7388">
        <v>0.58659999999997503</v>
      </c>
      <c r="AD7388">
        <v>8.4561999999999998E-2</v>
      </c>
      <c r="AE7388">
        <v>1.59999999999627E-3</v>
      </c>
      <c r="AF7388">
        <v>0.47247012181334602</v>
      </c>
      <c r="AG7388">
        <v>8.4561999999999998E-2</v>
      </c>
      <c r="AH7388">
        <v>0.327118321183264</v>
      </c>
      <c r="AI7388">
        <v>81.628927986900806</v>
      </c>
      <c r="AJ7388">
        <v>34.6970899160589</v>
      </c>
      <c r="AK7388">
        <v>0.58084864113129797</v>
      </c>
      <c r="AL7388">
        <v>92.792318893356594</v>
      </c>
      <c r="AM7388">
        <v>72.970861383712304</v>
      </c>
      <c r="AN7388">
        <v>1.00000002451221</v>
      </c>
    </row>
    <row r="7389" spans="1:40" x14ac:dyDescent="0.25">
      <c r="A7389" t="str">
        <f>"20190312161205758"</f>
        <v>20190312161205758</v>
      </c>
      <c r="B7389" t="str">
        <f>"1552378325754462"</f>
        <v>1552378325754462</v>
      </c>
      <c r="C7389" t="s">
        <v>40</v>
      </c>
      <c r="D7389">
        <v>5.390911</v>
      </c>
      <c r="E7389">
        <v>0.67600329999999997</v>
      </c>
      <c r="F7389" t="s">
        <v>113</v>
      </c>
      <c r="G7389">
        <v>-81.532510000000002</v>
      </c>
      <c r="H7389">
        <v>13.1585</v>
      </c>
      <c r="I7389">
        <v>156.96719999999999</v>
      </c>
      <c r="J7389">
        <v>-179.56030000000001</v>
      </c>
      <c r="K7389">
        <v>1.1002730000000001</v>
      </c>
      <c r="L7389">
        <v>134.0282</v>
      </c>
      <c r="M7389">
        <v>0.5745924</v>
      </c>
      <c r="N7389">
        <v>0</v>
      </c>
      <c r="O7389">
        <v>0.81838080000000002</v>
      </c>
      <c r="P7389">
        <v>0.78884840000000001</v>
      </c>
      <c r="Q7389">
        <v>-5.1584669999999999E-2</v>
      </c>
      <c r="R7389">
        <v>0.61241919999999905</v>
      </c>
      <c r="S7389">
        <v>3.2527469999999998</v>
      </c>
      <c r="T7389">
        <v>0.3997233</v>
      </c>
      <c r="U7389">
        <v>0.76441959999999998</v>
      </c>
      <c r="V7389">
        <v>0.29271459999999999</v>
      </c>
      <c r="W7389">
        <v>-4.857972E-2</v>
      </c>
      <c r="X7389">
        <v>0.95496499999999995</v>
      </c>
      <c r="Y7389">
        <v>0.6567364</v>
      </c>
      <c r="Z7389">
        <v>0.1231048</v>
      </c>
      <c r="AA7389">
        <v>0.74400429999999995</v>
      </c>
      <c r="AB7389">
        <v>23</v>
      </c>
      <c r="AC7389">
        <v>98.027789999999996</v>
      </c>
      <c r="AD7389">
        <v>12.058227</v>
      </c>
      <c r="AE7389">
        <v>22.939</v>
      </c>
      <c r="AF7389">
        <v>66.098503531631394</v>
      </c>
      <c r="AG7389">
        <v>12.058227</v>
      </c>
      <c r="AH7389">
        <v>74.040336626962002</v>
      </c>
      <c r="AI7389">
        <v>83.073033297678407</v>
      </c>
      <c r="AJ7389">
        <v>48.243549911261297</v>
      </c>
      <c r="AK7389">
        <v>99.981920642376494</v>
      </c>
      <c r="AL7389">
        <v>92.784508925699001</v>
      </c>
      <c r="AM7389">
        <v>72.958720118766806</v>
      </c>
      <c r="AN7389">
        <v>0.99999998873671903</v>
      </c>
    </row>
    <row r="7390" spans="1:40" x14ac:dyDescent="0.25">
      <c r="A7390" t="str">
        <f>"20190312161205777"</f>
        <v>20190312161205777</v>
      </c>
      <c r="B7390" t="str">
        <f>"1552378325774608"</f>
        <v>1552378325774608</v>
      </c>
      <c r="C7390" t="s">
        <v>40</v>
      </c>
      <c r="D7390">
        <v>5.1425780000000003</v>
      </c>
      <c r="E7390">
        <v>0.67704529999999996</v>
      </c>
      <c r="F7390" t="s">
        <v>42</v>
      </c>
      <c r="G7390">
        <v>-178.8818</v>
      </c>
      <c r="H7390">
        <v>1.1865589999999999</v>
      </c>
      <c r="I7390">
        <v>134.17789999999999</v>
      </c>
      <c r="J7390">
        <v>-179.43389999999999</v>
      </c>
      <c r="K7390">
        <v>1.100152</v>
      </c>
      <c r="L7390">
        <v>134.1849</v>
      </c>
      <c r="M7390">
        <v>0.58456750000000002</v>
      </c>
      <c r="N7390">
        <v>0</v>
      </c>
      <c r="O7390">
        <v>0.81128520000000004</v>
      </c>
      <c r="P7390">
        <v>0.79636260000000003</v>
      </c>
      <c r="Q7390">
        <v>-5.1758869999999998E-2</v>
      </c>
      <c r="R7390">
        <v>0.60260069999999999</v>
      </c>
      <c r="S7390">
        <v>3.269577</v>
      </c>
      <c r="T7390">
        <v>0.41583690000000001</v>
      </c>
      <c r="U7390">
        <v>0.72213749999999999</v>
      </c>
      <c r="V7390">
        <v>0.29282709999999901</v>
      </c>
      <c r="W7390">
        <v>-4.8808249999999997E-2</v>
      </c>
      <c r="X7390">
        <v>0.95491890000000001</v>
      </c>
      <c r="Y7390">
        <v>0.65693440000000003</v>
      </c>
      <c r="Z7390">
        <v>0.1273618</v>
      </c>
      <c r="AA7390">
        <v>0.74311249999999995</v>
      </c>
      <c r="AB7390">
        <v>23</v>
      </c>
      <c r="AC7390">
        <v>0.55209999999999504</v>
      </c>
      <c r="AD7390">
        <v>8.6406999999999901E-2</v>
      </c>
      <c r="AE7390">
        <v>-7.0000000000049996E-3</v>
      </c>
      <c r="AF7390">
        <v>0.44121894611776402</v>
      </c>
      <c r="AG7390">
        <v>8.6406999999999901E-2</v>
      </c>
      <c r="AH7390">
        <v>0.309496489872918</v>
      </c>
      <c r="AI7390">
        <v>80.891509099108902</v>
      </c>
      <c r="AJ7390">
        <v>35.048041009880599</v>
      </c>
      <c r="AK7390">
        <v>0.54582818295314095</v>
      </c>
      <c r="AL7390">
        <v>92.797618164009407</v>
      </c>
      <c r="AM7390">
        <v>72.951775004048201</v>
      </c>
      <c r="AN7390">
        <v>1.00000003066984</v>
      </c>
    </row>
    <row r="7391" spans="1:40" x14ac:dyDescent="0.25">
      <c r="A7391" t="str">
        <f>"20190312161205793"</f>
        <v>20190312161205793</v>
      </c>
      <c r="B7391" t="str">
        <f>"1552378325784368"</f>
        <v>1552378325784368</v>
      </c>
      <c r="C7391" t="s">
        <v>40</v>
      </c>
      <c r="D7391">
        <v>5.5250949999999897</v>
      </c>
      <c r="E7391">
        <v>0.67745500000000003</v>
      </c>
      <c r="F7391" t="s">
        <v>42</v>
      </c>
      <c r="G7391">
        <v>-178.738</v>
      </c>
      <c r="H7391">
        <v>1.1902710000000001</v>
      </c>
      <c r="I7391">
        <v>134.32810000000001</v>
      </c>
      <c r="J7391">
        <v>-179.33029999999999</v>
      </c>
      <c r="K7391">
        <v>1.1000589999999999</v>
      </c>
      <c r="L7391">
        <v>134.31049999999999</v>
      </c>
      <c r="M7391">
        <v>0.59262729999999997</v>
      </c>
      <c r="N7391">
        <v>0</v>
      </c>
      <c r="O7391">
        <v>0.80541619999999903</v>
      </c>
      <c r="P7391">
        <v>0.80236240000000003</v>
      </c>
      <c r="Q7391">
        <v>-5.1817370000000001E-2</v>
      </c>
      <c r="R7391">
        <v>0.59458350000000004</v>
      </c>
      <c r="S7391">
        <v>3.2839049999999999</v>
      </c>
      <c r="T7391">
        <v>0.42523939999999999</v>
      </c>
      <c r="U7391">
        <v>0.67512510000000003</v>
      </c>
      <c r="V7391">
        <v>0.29286849999999998</v>
      </c>
      <c r="W7391">
        <v>-4.89068E-2</v>
      </c>
      <c r="X7391">
        <v>0.95490120000000001</v>
      </c>
      <c r="Y7391">
        <v>0.65993539999999995</v>
      </c>
      <c r="Z7391">
        <v>0.1298743</v>
      </c>
      <c r="AA7391">
        <v>0.74001219999999901</v>
      </c>
      <c r="AB7391">
        <v>23</v>
      </c>
      <c r="AC7391">
        <v>0.59229999999999405</v>
      </c>
      <c r="AD7391">
        <v>9.0211999999999695E-2</v>
      </c>
      <c r="AE7391">
        <v>1.7600000000015801E-2</v>
      </c>
      <c r="AF7391">
        <v>0.45607010420045901</v>
      </c>
      <c r="AG7391">
        <v>9.0211999999999695E-2</v>
      </c>
      <c r="AH7391">
        <v>0.35693356491519201</v>
      </c>
      <c r="AI7391">
        <v>81.146229786937099</v>
      </c>
      <c r="AJ7391">
        <v>38.0477542822156</v>
      </c>
      <c r="AK7391">
        <v>0.58612261059652504</v>
      </c>
      <c r="AL7391">
        <v>92.803271310734203</v>
      </c>
      <c r="AM7391">
        <v>72.949206796674204</v>
      </c>
      <c r="AN7391">
        <v>1.0000000675699601</v>
      </c>
    </row>
    <row r="7392" spans="1:40" x14ac:dyDescent="0.25">
      <c r="A7392" t="str">
        <f>"20190312161205804"</f>
        <v>20190312161205804</v>
      </c>
      <c r="B7392" t="str">
        <f>"1552378325795104"</f>
        <v>1552378325795104</v>
      </c>
      <c r="C7392" t="s">
        <v>40</v>
      </c>
      <c r="D7392">
        <v>5.2280239999999996</v>
      </c>
      <c r="E7392">
        <v>0.67765229999999999</v>
      </c>
      <c r="F7392" t="s">
        <v>42</v>
      </c>
      <c r="G7392">
        <v>-178.56649999999999</v>
      </c>
      <c r="H7392">
        <v>1.199408</v>
      </c>
      <c r="I7392">
        <v>134.4588</v>
      </c>
      <c r="J7392">
        <v>-179.2475</v>
      </c>
      <c r="K7392">
        <v>1.099987</v>
      </c>
      <c r="L7392">
        <v>134.40950000000001</v>
      </c>
      <c r="M7392">
        <v>0.59900059999999999</v>
      </c>
      <c r="N7392">
        <v>0</v>
      </c>
      <c r="O7392">
        <v>0.80068739999999905</v>
      </c>
      <c r="P7392">
        <v>0.80713429999999997</v>
      </c>
      <c r="Q7392">
        <v>-5.1846719999999999E-2</v>
      </c>
      <c r="R7392">
        <v>0.58808700000000003</v>
      </c>
      <c r="S7392">
        <v>3.2925260000000001</v>
      </c>
      <c r="T7392">
        <v>0.42827799999999999</v>
      </c>
      <c r="U7392">
        <v>0.63977050000000002</v>
      </c>
      <c r="V7392">
        <v>0.29298839999999998</v>
      </c>
      <c r="W7392">
        <v>-4.8969779999999997E-2</v>
      </c>
      <c r="X7392">
        <v>0.95486110000000002</v>
      </c>
      <c r="Y7392">
        <v>0.66191899999999904</v>
      </c>
      <c r="Z7392">
        <v>0.13056289999999901</v>
      </c>
      <c r="AA7392">
        <v>0.73811689999999996</v>
      </c>
      <c r="AB7392">
        <v>23</v>
      </c>
      <c r="AC7392">
        <v>0.68100000000001104</v>
      </c>
      <c r="AD7392">
        <v>9.9420999999999898E-2</v>
      </c>
      <c r="AE7392">
        <v>4.9299999999988103E-2</v>
      </c>
      <c r="AF7392">
        <v>0.50505412528237204</v>
      </c>
      <c r="AG7392">
        <v>9.9420999999999898E-2</v>
      </c>
      <c r="AH7392">
        <v>0.43812574954960698</v>
      </c>
      <c r="AI7392">
        <v>81.542152128950903</v>
      </c>
      <c r="AJ7392">
        <v>40.941074936899</v>
      </c>
      <c r="AK7392">
        <v>0.67595737818604196</v>
      </c>
      <c r="AL7392">
        <v>92.806884370478798</v>
      </c>
      <c r="AM7392">
        <v>72.941956604081</v>
      </c>
      <c r="AN7392">
        <v>0.99999998109050903</v>
      </c>
    </row>
    <row r="7393" spans="1:40" x14ac:dyDescent="0.25">
      <c r="A7393" t="str">
        <f>"20190312161205822"</f>
        <v>20190312161205822</v>
      </c>
      <c r="B7393" t="str">
        <f>"1552378325814627"</f>
        <v>1552378325814627</v>
      </c>
      <c r="C7393" t="s">
        <v>40</v>
      </c>
      <c r="D7393">
        <v>5.2915349999999997</v>
      </c>
      <c r="E7393">
        <v>0.67772749999999904</v>
      </c>
      <c r="F7393" t="s">
        <v>45</v>
      </c>
      <c r="G7393">
        <v>0</v>
      </c>
      <c r="H7393">
        <v>0</v>
      </c>
      <c r="I7393">
        <v>0</v>
      </c>
      <c r="J7393">
        <v>-179.12119999999999</v>
      </c>
      <c r="K7393">
        <v>1.099885</v>
      </c>
      <c r="L7393">
        <v>134.5564</v>
      </c>
      <c r="M7393">
        <v>0.60857620000000001</v>
      </c>
      <c r="N7393">
        <v>0</v>
      </c>
      <c r="O7393">
        <v>0.79343319999999995</v>
      </c>
      <c r="P7393">
        <v>0.8139594</v>
      </c>
      <c r="Q7393">
        <v>-5.1662300000000001E-2</v>
      </c>
      <c r="R7393">
        <v>0.57862000000000002</v>
      </c>
      <c r="S7393">
        <v>3.2986599999999999</v>
      </c>
      <c r="T7393">
        <v>0.42907020000000001</v>
      </c>
      <c r="U7393">
        <v>0.61181640000000004</v>
      </c>
      <c r="V7393">
        <v>0.29267149999999997</v>
      </c>
      <c r="W7393">
        <v>-4.8822959999999999E-2</v>
      </c>
      <c r="X7393">
        <v>0.95496579999999998</v>
      </c>
      <c r="Y7393">
        <v>0.65929850000000001</v>
      </c>
      <c r="Z7393">
        <v>0.13016179999999999</v>
      </c>
      <c r="AA7393">
        <v>0.7405292</v>
      </c>
      <c r="AB7393">
        <v>23</v>
      </c>
      <c r="AC7393">
        <v>3.2986599999999999</v>
      </c>
      <c r="AD7393">
        <v>0.42907020000000001</v>
      </c>
      <c r="AE7393">
        <v>0.61181640000000004</v>
      </c>
      <c r="AF7393">
        <v>2.2089100900848502</v>
      </c>
      <c r="AG7393">
        <v>0.42907020000000001</v>
      </c>
      <c r="AH7393">
        <v>2.45292306930188</v>
      </c>
      <c r="AI7393">
        <v>82.593945375436903</v>
      </c>
      <c r="AJ7393">
        <v>47.996281980339901</v>
      </c>
      <c r="AK7393">
        <v>3.3286959318207598</v>
      </c>
      <c r="AL7393">
        <v>92.798462122304898</v>
      </c>
      <c r="AM7393">
        <v>72.961097410929398</v>
      </c>
      <c r="AN7393">
        <v>0.99999998375252497</v>
      </c>
    </row>
    <row r="7394" spans="1:40" x14ac:dyDescent="0.25">
      <c r="A7394" t="str">
        <f>"20190312161205844"</f>
        <v>20190312161205844</v>
      </c>
      <c r="B7394" t="str">
        <f>"1552378325835120"</f>
        <v>1552378325835120</v>
      </c>
      <c r="C7394" t="s">
        <v>40</v>
      </c>
      <c r="D7394">
        <v>5.1213389999999999</v>
      </c>
      <c r="E7394">
        <v>0.67772940000000004</v>
      </c>
      <c r="F7394" t="s">
        <v>42</v>
      </c>
      <c r="G7394">
        <v>-178.47120000000001</v>
      </c>
      <c r="H7394">
        <v>1.184393</v>
      </c>
      <c r="I7394">
        <v>134.66909999999999</v>
      </c>
      <c r="J7394">
        <v>-178.96799999999999</v>
      </c>
      <c r="K7394">
        <v>1.099761</v>
      </c>
      <c r="L7394">
        <v>134.7302</v>
      </c>
      <c r="M7394">
        <v>0.61999579999999999</v>
      </c>
      <c r="N7394">
        <v>0</v>
      </c>
      <c r="O7394">
        <v>0.78454199999999996</v>
      </c>
      <c r="P7394">
        <v>0.82181249999999995</v>
      </c>
      <c r="Q7394">
        <v>-5.136491E-2</v>
      </c>
      <c r="R7394">
        <v>0.56743789999999905</v>
      </c>
      <c r="S7394">
        <v>3.3057400000000001</v>
      </c>
      <c r="T7394">
        <v>0.42980299999999999</v>
      </c>
      <c r="U7394">
        <v>0.57289119999999905</v>
      </c>
      <c r="V7394">
        <v>0.29191479999999997</v>
      </c>
      <c r="W7394">
        <v>-4.8559860000000003E-2</v>
      </c>
      <c r="X7394">
        <v>0.95521080000000003</v>
      </c>
      <c r="Y7394">
        <v>0.65725869999999997</v>
      </c>
      <c r="Z7394">
        <v>0.12968060000000001</v>
      </c>
      <c r="AA7394">
        <v>0.74242430000000004</v>
      </c>
      <c r="AB7394">
        <v>23</v>
      </c>
      <c r="AC7394">
        <v>0.49679999999997898</v>
      </c>
      <c r="AD7394">
        <v>8.4631999999999999E-2</v>
      </c>
      <c r="AE7394">
        <v>-6.1100000000010299E-2</v>
      </c>
      <c r="AF7394">
        <v>0.415777090646409</v>
      </c>
      <c r="AG7394">
        <v>8.4631999999999999E-2</v>
      </c>
      <c r="AH7394">
        <v>0.25286240944817301</v>
      </c>
      <c r="AI7394">
        <v>80.134138680442206</v>
      </c>
      <c r="AJ7394">
        <v>31.3066374166869</v>
      </c>
      <c r="AK7394">
        <v>0.493935787974842</v>
      </c>
      <c r="AL7394">
        <v>92.783369679409105</v>
      </c>
      <c r="AM7394">
        <v>73.006717167999895</v>
      </c>
      <c r="AN7394">
        <v>0.99999999144944896</v>
      </c>
    </row>
    <row r="7395" spans="1:40" x14ac:dyDescent="0.25">
      <c r="A7395" t="str">
        <f>"20190312161205867"</f>
        <v>20190312161205867</v>
      </c>
      <c r="B7395" t="str">
        <f>"1552378325864945"</f>
        <v>1552378325864945</v>
      </c>
      <c r="C7395" t="s">
        <v>40</v>
      </c>
      <c r="D7395">
        <v>5.3496579999999998</v>
      </c>
      <c r="E7395">
        <v>0.67706429999999995</v>
      </c>
      <c r="F7395" t="s">
        <v>45</v>
      </c>
      <c r="G7395">
        <v>0</v>
      </c>
      <c r="H7395">
        <v>0</v>
      </c>
      <c r="I7395">
        <v>0</v>
      </c>
      <c r="J7395">
        <v>-178.8022</v>
      </c>
      <c r="K7395">
        <v>1.099645</v>
      </c>
      <c r="L7395">
        <v>134.91220000000001</v>
      </c>
      <c r="M7395">
        <v>0.63208189999999997</v>
      </c>
      <c r="N7395">
        <v>0</v>
      </c>
      <c r="O7395">
        <v>0.77483709999999995</v>
      </c>
      <c r="P7395">
        <v>0.83012710000000001</v>
      </c>
      <c r="Q7395">
        <v>-5.1168869999999998E-2</v>
      </c>
      <c r="R7395">
        <v>0.55522150000000003</v>
      </c>
      <c r="S7395">
        <v>3.3132169999999999</v>
      </c>
      <c r="T7395">
        <v>0.42983060000000001</v>
      </c>
      <c r="U7395">
        <v>0.52734380000000003</v>
      </c>
      <c r="V7395">
        <v>0.29123670000000002</v>
      </c>
      <c r="W7395">
        <v>-4.8400329999999998E-2</v>
      </c>
      <c r="X7395">
        <v>0.95542590000000005</v>
      </c>
      <c r="Y7395">
        <v>0.65593979999999996</v>
      </c>
      <c r="Z7395">
        <v>0.12896379999999999</v>
      </c>
      <c r="AA7395">
        <v>0.7437146</v>
      </c>
      <c r="AB7395">
        <v>23</v>
      </c>
      <c r="AC7395">
        <v>3.3132169999999999</v>
      </c>
      <c r="AD7395">
        <v>0.42983060000000001</v>
      </c>
      <c r="AE7395">
        <v>0.52734380000000003</v>
      </c>
      <c r="AF7395">
        <v>2.19791278814276</v>
      </c>
      <c r="AG7395">
        <v>0.42983060000000001</v>
      </c>
      <c r="AH7395">
        <v>2.46253364317774</v>
      </c>
      <c r="AI7395">
        <v>82.580554733875502</v>
      </c>
      <c r="AJ7395">
        <v>48.249773638166502</v>
      </c>
      <c r="AK7395">
        <v>3.32861035760572</v>
      </c>
      <c r="AL7395">
        <v>92.774218419293703</v>
      </c>
      <c r="AM7395">
        <v>73.047522835357199</v>
      </c>
      <c r="AN7395">
        <v>1.0000000288808999</v>
      </c>
    </row>
    <row r="7396" spans="1:40" x14ac:dyDescent="0.25">
      <c r="A7396" t="str">
        <f>"20190312161205890"</f>
        <v>20190312161205890</v>
      </c>
      <c r="B7396" t="str">
        <f>"1552378325884469"</f>
        <v>1552378325884469</v>
      </c>
      <c r="C7396" t="s">
        <v>40</v>
      </c>
      <c r="D7396">
        <v>5.0465859999999996</v>
      </c>
      <c r="E7396">
        <v>0.67423310000000003</v>
      </c>
      <c r="F7396" t="s">
        <v>41</v>
      </c>
      <c r="G7396">
        <v>-108.5638</v>
      </c>
      <c r="H7396" s="1">
        <v>-2.191004E-6</v>
      </c>
      <c r="I7396">
        <v>145.37270000000001</v>
      </c>
      <c r="J7396">
        <v>-178.63409999999999</v>
      </c>
      <c r="K7396">
        <v>1.099534</v>
      </c>
      <c r="L7396">
        <v>135.09100000000001</v>
      </c>
      <c r="M7396">
        <v>0.64404729999999999</v>
      </c>
      <c r="N7396">
        <v>0</v>
      </c>
      <c r="O7396">
        <v>0.76491999999999905</v>
      </c>
      <c r="P7396">
        <v>0.83846799999999999</v>
      </c>
      <c r="Q7396">
        <v>-5.091619E-2</v>
      </c>
      <c r="R7396">
        <v>0.54256700000000002</v>
      </c>
      <c r="S7396">
        <v>3.2836609999999999</v>
      </c>
      <c r="T7396">
        <v>-5.1408769999999999E-2</v>
      </c>
      <c r="U7396">
        <v>0.48902889999999999</v>
      </c>
      <c r="V7396">
        <v>0.29088560000000002</v>
      </c>
      <c r="W7396">
        <v>-4.8185970000000002E-2</v>
      </c>
      <c r="X7396">
        <v>0.9555437</v>
      </c>
      <c r="Y7396">
        <v>0.66159190000000001</v>
      </c>
      <c r="Z7396">
        <v>-1.561534E-2</v>
      </c>
      <c r="AA7396">
        <v>0.74970150000000002</v>
      </c>
      <c r="AB7396">
        <v>23</v>
      </c>
      <c r="AC7396">
        <v>70.070299999999904</v>
      </c>
      <c r="AD7396">
        <v>-1.099536191004</v>
      </c>
      <c r="AE7396">
        <v>10.281700000000001</v>
      </c>
      <c r="AF7396">
        <v>46.967311484096101</v>
      </c>
      <c r="AG7396">
        <v>-1.099536191004</v>
      </c>
      <c r="AH7396">
        <v>52.983156410721101</v>
      </c>
      <c r="AI7396">
        <v>90.889697145627196</v>
      </c>
      <c r="AJ7396">
        <v>48.444378154271703</v>
      </c>
      <c r="AK7396">
        <v>70.812090712832202</v>
      </c>
      <c r="AL7396">
        <v>92.761922114774293</v>
      </c>
      <c r="AM7396">
        <v>73.068757916266605</v>
      </c>
      <c r="AN7396">
        <v>1.00000004130094</v>
      </c>
    </row>
    <row r="7397" spans="1:40" x14ac:dyDescent="0.25">
      <c r="A7397" t="str">
        <f>"20190312161205904"</f>
        <v>20190312161205904</v>
      </c>
      <c r="B7397" t="str">
        <f>"1552378325894226"</f>
        <v>1552378325894226</v>
      </c>
      <c r="C7397" t="s">
        <v>40</v>
      </c>
      <c r="D7397">
        <v>5.221832</v>
      </c>
      <c r="E7397">
        <v>0.67423310000000003</v>
      </c>
      <c r="F7397" t="s">
        <v>41</v>
      </c>
      <c r="G7397">
        <v>-98.938680000000005</v>
      </c>
      <c r="H7397" s="1">
        <v>-2.1955910000000002E-6</v>
      </c>
      <c r="I7397">
        <v>146.2234</v>
      </c>
      <c r="J7397">
        <v>-178.5223</v>
      </c>
      <c r="K7397">
        <v>1.0994630000000001</v>
      </c>
      <c r="L7397">
        <v>135.2072</v>
      </c>
      <c r="M7397">
        <v>0.65185950000000004</v>
      </c>
      <c r="N7397">
        <v>0</v>
      </c>
      <c r="O7397">
        <v>0.75827319999999998</v>
      </c>
      <c r="P7397">
        <v>0.84397999999999995</v>
      </c>
      <c r="Q7397">
        <v>-5.0555639999999999E-2</v>
      </c>
      <c r="R7397">
        <v>0.53398690000000004</v>
      </c>
      <c r="S7397">
        <v>3.2788089999999999</v>
      </c>
      <c r="T7397">
        <v>-4.5236829999999999E-2</v>
      </c>
      <c r="U7397">
        <v>0.45800780000000002</v>
      </c>
      <c r="V7397">
        <v>0.29084759999999998</v>
      </c>
      <c r="W7397">
        <v>-4.7853489999999999E-2</v>
      </c>
      <c r="X7397">
        <v>0.95557190000000003</v>
      </c>
      <c r="Y7397">
        <v>0.66071990000000003</v>
      </c>
      <c r="Z7397">
        <v>-1.372278E-2</v>
      </c>
      <c r="AA7397">
        <v>0.75050709999999998</v>
      </c>
      <c r="AB7397">
        <v>23</v>
      </c>
      <c r="AC7397">
        <v>79.583619999999996</v>
      </c>
      <c r="AD7397">
        <v>-1.09946519559099</v>
      </c>
      <c r="AE7397">
        <v>11.0161999999999</v>
      </c>
      <c r="AF7397">
        <v>53.157840223467097</v>
      </c>
      <c r="AG7397">
        <v>-1.09946519559099</v>
      </c>
      <c r="AH7397">
        <v>60.222390263547702</v>
      </c>
      <c r="AI7397">
        <v>90.784175471462106</v>
      </c>
      <c r="AJ7397">
        <v>48.565403763649002</v>
      </c>
      <c r="AK7397">
        <v>80.334930696397706</v>
      </c>
      <c r="AL7397">
        <v>92.742850610434999</v>
      </c>
      <c r="AM7397">
        <v>73.071314254345396</v>
      </c>
      <c r="AN7397">
        <v>0.99999996950027403</v>
      </c>
    </row>
    <row r="7398" spans="1:40" x14ac:dyDescent="0.25">
      <c r="A7398" t="str">
        <f>"20190312161205922"</f>
        <v>20190312161205922</v>
      </c>
      <c r="B7398" t="str">
        <f>"1552378325914722"</f>
        <v>1552378325914722</v>
      </c>
      <c r="C7398" t="s">
        <v>40</v>
      </c>
      <c r="D7398">
        <v>5.365767</v>
      </c>
      <c r="E7398">
        <v>0.65866619999999998</v>
      </c>
      <c r="F7398" t="s">
        <v>41</v>
      </c>
      <c r="G7398">
        <v>-97.988590000000002</v>
      </c>
      <c r="H7398" s="1">
        <v>-2.4418180000000001E-6</v>
      </c>
      <c r="I7398">
        <v>145.61689999999999</v>
      </c>
      <c r="J7398">
        <v>-178.38499999999999</v>
      </c>
      <c r="K7398">
        <v>1.099391</v>
      </c>
      <c r="L7398">
        <v>135.34630000000001</v>
      </c>
      <c r="M7398">
        <v>0.66127320000000001</v>
      </c>
      <c r="N7398">
        <v>0</v>
      </c>
      <c r="O7398">
        <v>0.75007769999999996</v>
      </c>
      <c r="P7398">
        <v>0.85044869999999995</v>
      </c>
      <c r="Q7398">
        <v>-5.0351649999999998E-2</v>
      </c>
      <c r="R7398">
        <v>0.52364279999999996</v>
      </c>
      <c r="S7398">
        <v>3.2833860000000001</v>
      </c>
      <c r="T7398">
        <v>-4.4825549999999999E-2</v>
      </c>
      <c r="U7398">
        <v>0.42440800000000001</v>
      </c>
      <c r="V7398">
        <v>0.29059309999999899</v>
      </c>
      <c r="W7398">
        <v>-4.7675490000000001E-2</v>
      </c>
      <c r="X7398">
        <v>0.95565829999999996</v>
      </c>
      <c r="Y7398">
        <v>0.65903959999999995</v>
      </c>
      <c r="Z7398">
        <v>-1.3523510000000001E-2</v>
      </c>
      <c r="AA7398">
        <v>0.75198659999999995</v>
      </c>
      <c r="AB7398">
        <v>24</v>
      </c>
      <c r="AC7398">
        <v>80.396409999999904</v>
      </c>
      <c r="AD7398">
        <v>-1.099393441818</v>
      </c>
      <c r="AE7398">
        <v>10.2705999999999</v>
      </c>
      <c r="AF7398">
        <v>53.504745124697898</v>
      </c>
      <c r="AG7398">
        <v>-1.099393441818</v>
      </c>
      <c r="AH7398">
        <v>60.859621667455698</v>
      </c>
      <c r="AI7398">
        <v>90.777279391811405</v>
      </c>
      <c r="AJ7398">
        <v>48.679676407731101</v>
      </c>
      <c r="AK7398">
        <v>81.042334408040404</v>
      </c>
      <c r="AL7398">
        <v>92.732640103193205</v>
      </c>
      <c r="AM7398">
        <v>73.086723143258993</v>
      </c>
      <c r="AN7398">
        <v>1.0000000442366099</v>
      </c>
    </row>
    <row r="7399" spans="1:40" x14ac:dyDescent="0.25">
      <c r="A7399" t="str">
        <f>"20190312161205944"</f>
        <v>20190312161205944</v>
      </c>
      <c r="B7399" t="str">
        <f>"1552378325934242"</f>
        <v>1552378325934242</v>
      </c>
      <c r="C7399" t="s">
        <v>40</v>
      </c>
      <c r="D7399">
        <v>5.4047879999999999</v>
      </c>
      <c r="E7399">
        <v>0.65869339999999998</v>
      </c>
      <c r="F7399" t="s">
        <v>45</v>
      </c>
      <c r="G7399">
        <v>0</v>
      </c>
      <c r="H7399">
        <v>0</v>
      </c>
      <c r="I7399">
        <v>0</v>
      </c>
      <c r="J7399">
        <v>-178.21680000000001</v>
      </c>
      <c r="K7399">
        <v>1.0992999999999999</v>
      </c>
      <c r="L7399">
        <v>135.5121</v>
      </c>
      <c r="M7399">
        <v>0.67255469999999995</v>
      </c>
      <c r="N7399">
        <v>0</v>
      </c>
      <c r="O7399">
        <v>0.73997869999999999</v>
      </c>
      <c r="P7399">
        <v>0.85816569999999903</v>
      </c>
      <c r="Q7399">
        <v>-5.0303680000000003E-2</v>
      </c>
      <c r="R7399">
        <v>0.51090249999999904</v>
      </c>
      <c r="S7399">
        <v>3.2501530000000001</v>
      </c>
      <c r="T7399">
        <v>0.33956960000000003</v>
      </c>
      <c r="U7399">
        <v>0.48316959999999998</v>
      </c>
      <c r="V7399">
        <v>0.2903676</v>
      </c>
      <c r="W7399">
        <v>-4.7658689999999997E-2</v>
      </c>
      <c r="X7399">
        <v>0.95572760000000001</v>
      </c>
      <c r="Y7399">
        <v>0.62674669999999999</v>
      </c>
      <c r="Z7399">
        <v>0.1006677</v>
      </c>
      <c r="AA7399">
        <v>0.77269319999999997</v>
      </c>
      <c r="AB7399">
        <v>24</v>
      </c>
      <c r="AC7399">
        <v>3.2501530000000001</v>
      </c>
      <c r="AD7399">
        <v>0.33956960000000003</v>
      </c>
      <c r="AE7399">
        <v>0.48316959999999998</v>
      </c>
      <c r="AF7399">
        <v>2.0582108346700099</v>
      </c>
      <c r="AG7399">
        <v>0.33956960000000003</v>
      </c>
      <c r="AH7399">
        <v>2.5166928568059901</v>
      </c>
      <c r="AI7399">
        <v>84.037304369892396</v>
      </c>
      <c r="AJ7399">
        <v>50.722889303017702</v>
      </c>
      <c r="AK7399">
        <v>3.2688350048137198</v>
      </c>
      <c r="AL7399">
        <v>92.7316766426719</v>
      </c>
      <c r="AM7399">
        <v>73.100255012621005</v>
      </c>
      <c r="AN7399">
        <v>0.99999996963201698</v>
      </c>
    </row>
    <row r="7400" spans="1:40" x14ac:dyDescent="0.25">
      <c r="A7400" t="str">
        <f>"20190312161205960"</f>
        <v>20190312161205960</v>
      </c>
      <c r="B7400" t="str">
        <f>"1552378325954738"</f>
        <v>1552378325954738</v>
      </c>
      <c r="C7400" t="s">
        <v>40</v>
      </c>
      <c r="D7400">
        <v>5.4875759999999998</v>
      </c>
      <c r="E7400">
        <v>0.65732969999999902</v>
      </c>
      <c r="F7400" t="s">
        <v>42</v>
      </c>
      <c r="G7400">
        <v>-177.36099999999999</v>
      </c>
      <c r="H7400">
        <v>1.187956</v>
      </c>
      <c r="I7400">
        <v>135.62629999999999</v>
      </c>
      <c r="J7400">
        <v>-178.0917</v>
      </c>
      <c r="K7400">
        <v>1.099243</v>
      </c>
      <c r="L7400">
        <v>135.6319</v>
      </c>
      <c r="M7400">
        <v>0.68075730000000001</v>
      </c>
      <c r="N7400">
        <v>0</v>
      </c>
      <c r="O7400">
        <v>0.73243939999999996</v>
      </c>
      <c r="P7400">
        <v>0.86376949999999997</v>
      </c>
      <c r="Q7400">
        <v>-5.0223249999999997E-2</v>
      </c>
      <c r="R7400">
        <v>0.50137810000000005</v>
      </c>
      <c r="S7400">
        <v>3.2566989999999998</v>
      </c>
      <c r="T7400">
        <v>0.33739639999999999</v>
      </c>
      <c r="U7400">
        <v>0.43487550000000003</v>
      </c>
      <c r="V7400">
        <v>0.29029080000000002</v>
      </c>
      <c r="W7400">
        <v>-4.7600900000000002E-2</v>
      </c>
      <c r="X7400">
        <v>0.95575390000000005</v>
      </c>
      <c r="Y7400">
        <v>0.62965400000000005</v>
      </c>
      <c r="Z7400">
        <v>9.9711279999999999E-2</v>
      </c>
      <c r="AA7400">
        <v>0.77045019999999997</v>
      </c>
      <c r="AB7400">
        <v>24</v>
      </c>
      <c r="AC7400">
        <v>0.73070000000001301</v>
      </c>
      <c r="AD7400">
        <v>8.8713E-2</v>
      </c>
      <c r="AE7400">
        <v>-5.6000000000153696E-3</v>
      </c>
      <c r="AF7400">
        <v>0.53120374595112996</v>
      </c>
      <c r="AG7400">
        <v>8.8713E-2</v>
      </c>
      <c r="AH7400">
        <v>0.48618691105342199</v>
      </c>
      <c r="AI7400">
        <v>82.976886574259197</v>
      </c>
      <c r="AJ7400">
        <v>42.466466450018899</v>
      </c>
      <c r="AK7400">
        <v>0.72555160296231203</v>
      </c>
      <c r="AL7400">
        <v>92.728361521977604</v>
      </c>
      <c r="AM7400">
        <v>73.104908621838803</v>
      </c>
      <c r="AN7400">
        <v>1.0000000558053199</v>
      </c>
    </row>
    <row r="7401" spans="1:40" x14ac:dyDescent="0.25">
      <c r="A7401" t="str">
        <f>"20190312161205979"</f>
        <v>20190312161205979</v>
      </c>
      <c r="B7401" t="str">
        <f>"1552378325974555"</f>
        <v>1552378325974555</v>
      </c>
      <c r="C7401" t="s">
        <v>40</v>
      </c>
      <c r="D7401">
        <v>4.9957060000000002</v>
      </c>
      <c r="E7401">
        <v>0.65503690000000003</v>
      </c>
      <c r="F7401" t="s">
        <v>45</v>
      </c>
      <c r="G7401">
        <v>0</v>
      </c>
      <c r="H7401">
        <v>0</v>
      </c>
      <c r="I7401">
        <v>0</v>
      </c>
      <c r="J7401">
        <v>-177.94239999999999</v>
      </c>
      <c r="K7401">
        <v>1.099172</v>
      </c>
      <c r="L7401">
        <v>135.77160000000001</v>
      </c>
      <c r="M7401">
        <v>0.69034890000000004</v>
      </c>
      <c r="N7401">
        <v>0</v>
      </c>
      <c r="O7401">
        <v>0.72340579999999999</v>
      </c>
      <c r="P7401">
        <v>0.86990749999999994</v>
      </c>
      <c r="Q7401">
        <v>-4.9937490000000001E-2</v>
      </c>
      <c r="R7401">
        <v>0.49068040000000002</v>
      </c>
      <c r="S7401">
        <v>3.2553100000000001</v>
      </c>
      <c r="T7401">
        <v>0.33157360000000002</v>
      </c>
      <c r="U7401">
        <v>0.40849299999999999</v>
      </c>
      <c r="V7401">
        <v>0.2895044</v>
      </c>
      <c r="W7401">
        <v>-4.732012E-2</v>
      </c>
      <c r="X7401">
        <v>0.95600629999999998</v>
      </c>
      <c r="Y7401">
        <v>0.6258011</v>
      </c>
      <c r="Z7401">
        <v>9.7382720000000006E-2</v>
      </c>
      <c r="AA7401">
        <v>0.77387950000000005</v>
      </c>
      <c r="AB7401">
        <v>24</v>
      </c>
      <c r="AC7401">
        <v>3.2553100000000001</v>
      </c>
      <c r="AD7401">
        <v>0.33157360000000002</v>
      </c>
      <c r="AE7401">
        <v>0.40849299999999999</v>
      </c>
      <c r="AF7401">
        <v>2.0520542371667698</v>
      </c>
      <c r="AG7401">
        <v>0.33157360000000002</v>
      </c>
      <c r="AH7401">
        <v>2.5172255557839001</v>
      </c>
      <c r="AI7401">
        <v>84.170535230921999</v>
      </c>
      <c r="AJ7401">
        <v>50.812917407351797</v>
      </c>
      <c r="AK7401">
        <v>3.2645508332973798</v>
      </c>
      <c r="AL7401">
        <v>92.712255965865396</v>
      </c>
      <c r="AM7401">
        <v>73.152277136226004</v>
      </c>
      <c r="AN7401">
        <v>1.0000000185079301</v>
      </c>
    </row>
    <row r="7402" spans="1:40" x14ac:dyDescent="0.25">
      <c r="A7402" t="str">
        <f>"20190312161206001"</f>
        <v>20190312161206001</v>
      </c>
      <c r="B7402" t="str">
        <f>"1552378325995050"</f>
        <v>1552378325995050</v>
      </c>
      <c r="C7402" t="s">
        <v>40</v>
      </c>
      <c r="D7402">
        <v>4.0435720000000002</v>
      </c>
      <c r="E7402">
        <v>0.65417999999999998</v>
      </c>
      <c r="F7402" t="s">
        <v>45</v>
      </c>
      <c r="G7402">
        <v>0</v>
      </c>
      <c r="H7402">
        <v>0</v>
      </c>
      <c r="I7402">
        <v>0</v>
      </c>
      <c r="J7402">
        <v>-177.76509999999999</v>
      </c>
      <c r="K7402">
        <v>1.0990949999999999</v>
      </c>
      <c r="L7402">
        <v>135.9331</v>
      </c>
      <c r="M7402">
        <v>0.701470699999999</v>
      </c>
      <c r="N7402">
        <v>0</v>
      </c>
      <c r="O7402">
        <v>0.71262609999999904</v>
      </c>
      <c r="P7402">
        <v>0.87708269999999899</v>
      </c>
      <c r="Q7402">
        <v>-5.059723E-2</v>
      </c>
      <c r="R7402">
        <v>0.47766720000000001</v>
      </c>
      <c r="S7402">
        <v>3.2502589999999998</v>
      </c>
      <c r="T7402">
        <v>0.32464660000000001</v>
      </c>
      <c r="U7402">
        <v>0.3847198</v>
      </c>
      <c r="V7402">
        <v>0.28888799999999998</v>
      </c>
      <c r="W7402">
        <v>-4.7991260000000001E-2</v>
      </c>
      <c r="X7402">
        <v>0.95615930000000005</v>
      </c>
      <c r="Y7402">
        <v>0.61946829999999997</v>
      </c>
      <c r="Z7402">
        <v>9.4595100000000001E-2</v>
      </c>
      <c r="AA7402">
        <v>0.77930149999999998</v>
      </c>
      <c r="AB7402">
        <v>24</v>
      </c>
      <c r="AC7402">
        <v>3.2502589999999998</v>
      </c>
      <c r="AD7402">
        <v>0.32464660000000001</v>
      </c>
      <c r="AE7402">
        <v>0.3847198</v>
      </c>
      <c r="AF7402">
        <v>2.0265164737563399</v>
      </c>
      <c r="AG7402">
        <v>0.32464660000000001</v>
      </c>
      <c r="AH7402">
        <v>2.5293682276629101</v>
      </c>
      <c r="AI7402">
        <v>84.279945597377704</v>
      </c>
      <c r="AJ7402">
        <v>51.298476721251902</v>
      </c>
      <c r="AK7402">
        <v>3.2572792426207502</v>
      </c>
      <c r="AL7402">
        <v>92.750753184661903</v>
      </c>
      <c r="AM7402">
        <v>73.188661028431497</v>
      </c>
      <c r="AN7402">
        <v>1.00000002227843</v>
      </c>
    </row>
    <row r="7403" spans="1:40" x14ac:dyDescent="0.25">
      <c r="A7403" t="str">
        <f>"20190312161206023"</f>
        <v>20190312161206023</v>
      </c>
      <c r="B7403" t="str">
        <f>"1552378326014571"</f>
        <v>1552378326014571</v>
      </c>
      <c r="C7403" t="s">
        <v>40</v>
      </c>
      <c r="D7403">
        <v>5.0667030000000004</v>
      </c>
      <c r="E7403">
        <v>0.64161679999999999</v>
      </c>
      <c r="F7403" t="s">
        <v>45</v>
      </c>
      <c r="G7403">
        <v>0</v>
      </c>
      <c r="H7403">
        <v>0</v>
      </c>
      <c r="I7403">
        <v>0</v>
      </c>
      <c r="J7403">
        <v>-177.58340000000001</v>
      </c>
      <c r="K7403">
        <v>1.0990200000000001</v>
      </c>
      <c r="L7403">
        <v>136.0934</v>
      </c>
      <c r="M7403">
        <v>0.71254700000000004</v>
      </c>
      <c r="N7403">
        <v>0</v>
      </c>
      <c r="O7403">
        <v>0.70155069999999997</v>
      </c>
      <c r="P7403">
        <v>0.88473519999999894</v>
      </c>
      <c r="Q7403">
        <v>-5.135149E-2</v>
      </c>
      <c r="R7403">
        <v>0.46325690000000003</v>
      </c>
      <c r="S7403">
        <v>3.2525789999999999</v>
      </c>
      <c r="T7403">
        <v>0.32115129999999997</v>
      </c>
      <c r="U7403">
        <v>0.34225460000000002</v>
      </c>
      <c r="V7403">
        <v>0.28949429999999998</v>
      </c>
      <c r="W7403">
        <v>-4.8787089999999998E-2</v>
      </c>
      <c r="X7403">
        <v>0.9559356</v>
      </c>
      <c r="Y7403">
        <v>0.61749670000000001</v>
      </c>
      <c r="Z7403">
        <v>9.2848169999999994E-2</v>
      </c>
      <c r="AA7403">
        <v>0.78107419999999905</v>
      </c>
      <c r="AB7403">
        <v>24</v>
      </c>
      <c r="AC7403">
        <v>3.2525789999999999</v>
      </c>
      <c r="AD7403">
        <v>0.32115129999999997</v>
      </c>
      <c r="AE7403">
        <v>0.34225460000000002</v>
      </c>
      <c r="AF7403">
        <v>2.0186177930901201</v>
      </c>
      <c r="AG7403">
        <v>0.32115129999999997</v>
      </c>
      <c r="AH7403">
        <v>2.5334284725424099</v>
      </c>
      <c r="AI7403">
        <v>84.338076704543198</v>
      </c>
      <c r="AJ7403">
        <v>51.452412222349103</v>
      </c>
      <c r="AK7403">
        <v>3.25518291000065</v>
      </c>
      <c r="AL7403">
        <v>92.796404423414998</v>
      </c>
      <c r="AM7403">
        <v>73.151656203064405</v>
      </c>
      <c r="AN7403">
        <v>1.0000000006152501</v>
      </c>
    </row>
    <row r="7404" spans="1:40" x14ac:dyDescent="0.25">
      <c r="A7404" t="str">
        <f>"20190312161206045"</f>
        <v>20190312161206045</v>
      </c>
      <c r="B7404" t="str">
        <f>"1552378326035067"</f>
        <v>1552378326035067</v>
      </c>
      <c r="C7404" t="s">
        <v>40</v>
      </c>
      <c r="D7404">
        <v>5.5634819999999996</v>
      </c>
      <c r="E7404">
        <v>0.64071719999999999</v>
      </c>
      <c r="F7404" t="s">
        <v>45</v>
      </c>
      <c r="G7404">
        <v>0</v>
      </c>
      <c r="H7404">
        <v>0</v>
      </c>
      <c r="I7404">
        <v>0</v>
      </c>
      <c r="J7404">
        <v>-177.39940000000001</v>
      </c>
      <c r="K7404">
        <v>1.098959</v>
      </c>
      <c r="L7404">
        <v>136.25049999999999</v>
      </c>
      <c r="M7404">
        <v>0.72344370000000002</v>
      </c>
      <c r="N7404">
        <v>0</v>
      </c>
      <c r="O7404">
        <v>0.69030829999999999</v>
      </c>
      <c r="P7404">
        <v>0.89230769999999904</v>
      </c>
      <c r="Q7404">
        <v>-5.218511E-2</v>
      </c>
      <c r="R7404">
        <v>0.4484013</v>
      </c>
      <c r="S7404">
        <v>3.2072750000000001</v>
      </c>
      <c r="T7404">
        <v>0.25711499999999998</v>
      </c>
      <c r="U7404">
        <v>0.37910460000000001</v>
      </c>
      <c r="V7404">
        <v>0.29044769999999998</v>
      </c>
      <c r="W7404">
        <v>-4.9672479999999998E-2</v>
      </c>
      <c r="X7404">
        <v>0.95560069999999997</v>
      </c>
      <c r="Y7404">
        <v>0.59700129999999996</v>
      </c>
      <c r="Z7404">
        <v>7.3917140000000006E-2</v>
      </c>
      <c r="AA7404">
        <v>0.79882779999999998</v>
      </c>
      <c r="AB7404">
        <v>24</v>
      </c>
      <c r="AC7404">
        <v>3.2072750000000001</v>
      </c>
      <c r="AD7404">
        <v>0.25711499999999998</v>
      </c>
      <c r="AE7404">
        <v>0.37910460000000001</v>
      </c>
      <c r="AF7404">
        <v>1.9276308188928299</v>
      </c>
      <c r="AG7404">
        <v>0.25711499999999998</v>
      </c>
      <c r="AH7404">
        <v>2.56585324143414</v>
      </c>
      <c r="AI7404">
        <v>85.419443622966398</v>
      </c>
      <c r="AJ7404">
        <v>53.083814028334899</v>
      </c>
      <c r="AK7404">
        <v>3.2195452402083902</v>
      </c>
      <c r="AL7404">
        <v>92.847195236447504</v>
      </c>
      <c r="AM7404">
        <v>73.0937421575793</v>
      </c>
      <c r="AN7404">
        <v>0.99999995977256395</v>
      </c>
    </row>
    <row r="7405" spans="1:40" x14ac:dyDescent="0.25">
      <c r="A7405" t="str">
        <f>"20190312161206068"</f>
        <v>20190312161206068</v>
      </c>
      <c r="B7405" t="str">
        <f>"1552378326064347"</f>
        <v>1552378326064347</v>
      </c>
      <c r="C7405" t="s">
        <v>40</v>
      </c>
      <c r="D7405">
        <v>5.5755369999999997</v>
      </c>
      <c r="E7405">
        <v>0.63933339999999905</v>
      </c>
      <c r="F7405" t="s">
        <v>45</v>
      </c>
      <c r="G7405">
        <v>0</v>
      </c>
      <c r="H7405">
        <v>0</v>
      </c>
      <c r="I7405">
        <v>0</v>
      </c>
      <c r="J7405">
        <v>-177.2064</v>
      </c>
      <c r="K7405">
        <v>1.0988990000000001</v>
      </c>
      <c r="L7405">
        <v>136.41</v>
      </c>
      <c r="M7405">
        <v>0.73453239999999997</v>
      </c>
      <c r="N7405">
        <v>0</v>
      </c>
      <c r="O7405">
        <v>0.67849709999999996</v>
      </c>
      <c r="P7405">
        <v>0.8998235</v>
      </c>
      <c r="Q7405">
        <v>-5.2543819999999998E-2</v>
      </c>
      <c r="R7405">
        <v>0.43307830000000003</v>
      </c>
      <c r="S7405">
        <v>3.209625</v>
      </c>
      <c r="T7405">
        <v>0.2469944</v>
      </c>
      <c r="U7405">
        <v>0.3321075</v>
      </c>
      <c r="V7405">
        <v>0.29127570000000003</v>
      </c>
      <c r="W7405">
        <v>-5.0081769999999998E-2</v>
      </c>
      <c r="X7405">
        <v>0.95532729999999999</v>
      </c>
      <c r="Y7405">
        <v>0.59596210000000005</v>
      </c>
      <c r="Z7405">
        <v>7.0418670000000003E-2</v>
      </c>
      <c r="AA7405">
        <v>0.79991899999999905</v>
      </c>
      <c r="AB7405">
        <v>24</v>
      </c>
      <c r="AC7405">
        <v>3.209625</v>
      </c>
      <c r="AD7405">
        <v>0.2469944</v>
      </c>
      <c r="AE7405">
        <v>0.3321075</v>
      </c>
      <c r="AF7405">
        <v>1.92261291235279</v>
      </c>
      <c r="AG7405">
        <v>0.2469944</v>
      </c>
      <c r="AH7405">
        <v>2.5679951686607598</v>
      </c>
      <c r="AI7405">
        <v>85.597248924311998</v>
      </c>
      <c r="AJ7405">
        <v>53.1784465816148</v>
      </c>
      <c r="AK7405">
        <v>3.2174595305368001</v>
      </c>
      <c r="AL7405">
        <v>92.870674982543605</v>
      </c>
      <c r="AM7405">
        <v>73.043733409477099</v>
      </c>
      <c r="AN7405">
        <v>0.99999998361105602</v>
      </c>
    </row>
    <row r="7406" spans="1:40" x14ac:dyDescent="0.25">
      <c r="A7406" t="str">
        <f>"20190312161206090"</f>
        <v>20190312161206090</v>
      </c>
      <c r="B7406" t="str">
        <f>"1552378326084843"</f>
        <v>1552378326084843</v>
      </c>
      <c r="C7406" t="s">
        <v>40</v>
      </c>
      <c r="D7406">
        <v>5.6848260000000002</v>
      </c>
      <c r="E7406">
        <v>0.63995279999999999</v>
      </c>
      <c r="F7406" t="s">
        <v>45</v>
      </c>
      <c r="G7406">
        <v>0</v>
      </c>
      <c r="H7406">
        <v>0</v>
      </c>
      <c r="I7406">
        <v>0</v>
      </c>
      <c r="J7406">
        <v>-177.00810000000001</v>
      </c>
      <c r="K7406">
        <v>1.098846</v>
      </c>
      <c r="L7406">
        <v>136.5685</v>
      </c>
      <c r="M7406">
        <v>0.74557280000000004</v>
      </c>
      <c r="N7406">
        <v>0</v>
      </c>
      <c r="O7406">
        <v>0.66634629999999995</v>
      </c>
      <c r="P7406">
        <v>0.90679050000000005</v>
      </c>
      <c r="Q7406">
        <v>-5.2821989999999999E-2</v>
      </c>
      <c r="R7406">
        <v>0.4182594</v>
      </c>
      <c r="S7406">
        <v>3.2098080000000002</v>
      </c>
      <c r="T7406">
        <v>0.24294009999999999</v>
      </c>
      <c r="U7406">
        <v>0.28749079999999999</v>
      </c>
      <c r="V7406">
        <v>0.29123949999999998</v>
      </c>
      <c r="W7406">
        <v>-5.0385850000000003E-2</v>
      </c>
      <c r="X7406">
        <v>0.95532240000000002</v>
      </c>
      <c r="Y7406">
        <v>0.59395889999999996</v>
      </c>
      <c r="Z7406">
        <v>6.8638320000000003E-2</v>
      </c>
      <c r="AA7406">
        <v>0.80156210000000006</v>
      </c>
      <c r="AB7406">
        <v>24</v>
      </c>
      <c r="AC7406">
        <v>3.2098080000000002</v>
      </c>
      <c r="AD7406">
        <v>0.24294009999999999</v>
      </c>
      <c r="AE7406">
        <v>0.28749079999999999</v>
      </c>
      <c r="AF7406">
        <v>1.91372276049476</v>
      </c>
      <c r="AG7406">
        <v>0.24294009999999999</v>
      </c>
      <c r="AH7406">
        <v>2.5702417028356401</v>
      </c>
      <c r="AI7406">
        <v>85.664503698695498</v>
      </c>
      <c r="AJ7406">
        <v>53.329766343817802</v>
      </c>
      <c r="AK7406">
        <v>3.2136423427660898</v>
      </c>
      <c r="AL7406">
        <v>92.888119361586902</v>
      </c>
      <c r="AM7406">
        <v>73.045637891119199</v>
      </c>
      <c r="AN7406">
        <v>1.0000000340911099</v>
      </c>
    </row>
    <row r="7407" spans="1:40" x14ac:dyDescent="0.25">
      <c r="A7407" t="str">
        <f>"20190312161206113"</f>
        <v>20190312161206113</v>
      </c>
      <c r="B7407" t="str">
        <f>"1552378326104371"</f>
        <v>1552378326104371</v>
      </c>
      <c r="C7407" t="s">
        <v>40</v>
      </c>
      <c r="D7407">
        <v>5.603389</v>
      </c>
      <c r="E7407">
        <v>0.64020600000000005</v>
      </c>
      <c r="F7407" t="s">
        <v>45</v>
      </c>
      <c r="G7407">
        <v>0</v>
      </c>
      <c r="H7407">
        <v>0</v>
      </c>
      <c r="I7407">
        <v>0</v>
      </c>
      <c r="J7407">
        <v>-176.8141</v>
      </c>
      <c r="K7407">
        <v>1.0987979999999999</v>
      </c>
      <c r="L7407">
        <v>136.71879999999999</v>
      </c>
      <c r="M7407">
        <v>0.75604869999999902</v>
      </c>
      <c r="N7407">
        <v>0</v>
      </c>
      <c r="O7407">
        <v>0.65443589999999996</v>
      </c>
      <c r="P7407">
        <v>0.91276009999999996</v>
      </c>
      <c r="Q7407">
        <v>-5.3229220000000001E-2</v>
      </c>
      <c r="R7407">
        <v>0.40501320000000002</v>
      </c>
      <c r="S7407">
        <v>3.2097470000000001</v>
      </c>
      <c r="T7407">
        <v>0.15096370000000001</v>
      </c>
      <c r="U7407">
        <v>0.23287959999999999</v>
      </c>
      <c r="V7407">
        <v>0.28996420000000001</v>
      </c>
      <c r="W7407">
        <v>-5.078212E-2</v>
      </c>
      <c r="X7407">
        <v>0.95568929999999996</v>
      </c>
      <c r="Y7407">
        <v>0.59678039999999999</v>
      </c>
      <c r="Z7407">
        <v>4.2421470000000003E-2</v>
      </c>
      <c r="AA7407">
        <v>0.80128239999999995</v>
      </c>
      <c r="AB7407">
        <v>24</v>
      </c>
      <c r="AC7407">
        <v>3.2097470000000001</v>
      </c>
      <c r="AD7407">
        <v>0.15096370000000001</v>
      </c>
      <c r="AE7407">
        <v>0.23287959999999999</v>
      </c>
      <c r="AF7407">
        <v>1.9203796312397301</v>
      </c>
      <c r="AG7407">
        <v>0.15096370000000001</v>
      </c>
      <c r="AH7407">
        <v>2.5736007296177998</v>
      </c>
      <c r="AI7407">
        <v>87.308345901162696</v>
      </c>
      <c r="AJ7407">
        <v>53.270289691328898</v>
      </c>
      <c r="AK7407">
        <v>3.2146646298311499</v>
      </c>
      <c r="AL7407">
        <v>92.910853017870096</v>
      </c>
      <c r="AM7407">
        <v>73.121759817373004</v>
      </c>
      <c r="AN7407">
        <v>1.0000000495639101</v>
      </c>
    </row>
    <row r="7408" spans="1:40" x14ac:dyDescent="0.25">
      <c r="A7408" t="str">
        <f>"20190312161206134"</f>
        <v>20190312161206134</v>
      </c>
      <c r="B7408" t="str">
        <f>"1552378326124859"</f>
        <v>1552378326124859</v>
      </c>
      <c r="C7408" t="s">
        <v>40</v>
      </c>
      <c r="D7408">
        <v>5.678693</v>
      </c>
      <c r="E7408">
        <v>0.6396695</v>
      </c>
      <c r="F7408" t="s">
        <v>45</v>
      </c>
      <c r="G7408">
        <v>0</v>
      </c>
      <c r="H7408">
        <v>0</v>
      </c>
      <c r="I7408">
        <v>0</v>
      </c>
      <c r="J7408">
        <v>-176.6183</v>
      </c>
      <c r="K7408">
        <v>1.0987499999999999</v>
      </c>
      <c r="L7408">
        <v>136.8656</v>
      </c>
      <c r="M7408">
        <v>0.76630200000000004</v>
      </c>
      <c r="N7408">
        <v>0</v>
      </c>
      <c r="O7408">
        <v>0.64239939999999995</v>
      </c>
      <c r="P7408">
        <v>0.91824050000000002</v>
      </c>
      <c r="Q7408">
        <v>-5.3373080000000003E-2</v>
      </c>
      <c r="R7408">
        <v>0.3924106</v>
      </c>
      <c r="S7408">
        <v>3.2098390000000001</v>
      </c>
      <c r="T7408">
        <v>9.5249410000000007E-2</v>
      </c>
      <c r="U7408">
        <v>0.18579100000000001</v>
      </c>
      <c r="V7408">
        <v>0.287995</v>
      </c>
      <c r="W7408">
        <v>-5.0894679999999998E-2</v>
      </c>
      <c r="X7408">
        <v>0.95627859999999998</v>
      </c>
      <c r="Y7408">
        <v>0.59657479999999996</v>
      </c>
      <c r="Z7408">
        <v>2.6539879999999998E-2</v>
      </c>
      <c r="AA7408">
        <v>0.80211849999999996</v>
      </c>
      <c r="AB7408">
        <v>24</v>
      </c>
      <c r="AC7408">
        <v>3.2098390000000001</v>
      </c>
      <c r="AD7408">
        <v>9.5249410000000007E-2</v>
      </c>
      <c r="AE7408">
        <v>0.18579100000000001</v>
      </c>
      <c r="AF7408">
        <v>1.91804339727182</v>
      </c>
      <c r="AG7408">
        <v>9.5249410000000007E-2</v>
      </c>
      <c r="AH7408">
        <v>2.5769309626159398</v>
      </c>
      <c r="AI7408">
        <v>88.301642393077898</v>
      </c>
      <c r="AJ7408">
        <v>53.339207946599501</v>
      </c>
      <c r="AK7408">
        <v>3.2138039937140102</v>
      </c>
      <c r="AL7408">
        <v>92.917310507577994</v>
      </c>
      <c r="AM7408">
        <v>73.239682542907104</v>
      </c>
      <c r="AN7408">
        <v>1.0000000746476201</v>
      </c>
    </row>
    <row r="7409" spans="1:40" x14ac:dyDescent="0.25">
      <c r="A7409" t="str">
        <f>"20190312161206157"</f>
        <v>20190312161206157</v>
      </c>
      <c r="B7409" t="str">
        <f>"1552378326144379"</f>
        <v>1552378326144379</v>
      </c>
      <c r="C7409" t="s">
        <v>40</v>
      </c>
      <c r="D7409">
        <v>5.5371629999999996</v>
      </c>
      <c r="E7409">
        <v>0.63883420000000002</v>
      </c>
      <c r="F7409" t="s">
        <v>45</v>
      </c>
      <c r="G7409">
        <v>0</v>
      </c>
      <c r="H7409">
        <v>0</v>
      </c>
      <c r="I7409">
        <v>0</v>
      </c>
      <c r="J7409">
        <v>-176.4203</v>
      </c>
      <c r="K7409">
        <v>1.098697</v>
      </c>
      <c r="L7409">
        <v>137.0093</v>
      </c>
      <c r="M7409">
        <v>0.77634720000000002</v>
      </c>
      <c r="N7409">
        <v>0</v>
      </c>
      <c r="O7409">
        <v>0.63022270000000002</v>
      </c>
      <c r="P7409">
        <v>0.92351190000000005</v>
      </c>
      <c r="Q7409">
        <v>-5.4292529999999999E-2</v>
      </c>
      <c r="R7409">
        <v>0.37970809999999999</v>
      </c>
      <c r="S7409">
        <v>3.2078549999999999</v>
      </c>
      <c r="T7409">
        <v>5.6800009999999998E-2</v>
      </c>
      <c r="U7409">
        <v>0.14639279999999999</v>
      </c>
      <c r="V7409">
        <v>0.2860278</v>
      </c>
      <c r="W7409">
        <v>-5.1783639999999999E-2</v>
      </c>
      <c r="X7409">
        <v>0.95682109999999998</v>
      </c>
      <c r="Y7409">
        <v>0.59402840000000001</v>
      </c>
      <c r="Z7409">
        <v>1.5667770000000001E-2</v>
      </c>
      <c r="AA7409">
        <v>0.80429150000000005</v>
      </c>
      <c r="AB7409">
        <v>24</v>
      </c>
      <c r="AC7409">
        <v>3.2078549999999999</v>
      </c>
      <c r="AD7409">
        <v>5.6800009999999998E-2</v>
      </c>
      <c r="AE7409">
        <v>0.14639279999999999</v>
      </c>
      <c r="AF7409">
        <v>1.90751417575448</v>
      </c>
      <c r="AG7409">
        <v>5.6800009999999998E-2</v>
      </c>
      <c r="AH7409">
        <v>2.5819962755316599</v>
      </c>
      <c r="AI7409">
        <v>88.986333504432807</v>
      </c>
      <c r="AJ7409">
        <v>53.543939583316003</v>
      </c>
      <c r="AK7409">
        <v>3.2106917227755898</v>
      </c>
      <c r="AL7409">
        <v>92.9683115427476</v>
      </c>
      <c r="AM7409">
        <v>73.356727187400196</v>
      </c>
      <c r="AN7409">
        <v>1.0000000325748399</v>
      </c>
    </row>
    <row r="7410" spans="1:40" x14ac:dyDescent="0.25">
      <c r="A7410" t="str">
        <f>"20190312161206172"</f>
        <v>20190312161206172</v>
      </c>
      <c r="B7410" t="str">
        <f>"1552378326164875"</f>
        <v>1552378326164875</v>
      </c>
      <c r="C7410" t="s">
        <v>40</v>
      </c>
      <c r="D7410">
        <v>5.7257400000000001</v>
      </c>
      <c r="E7410">
        <v>0.63789180000000001</v>
      </c>
      <c r="F7410" t="s">
        <v>45</v>
      </c>
      <c r="G7410">
        <v>0</v>
      </c>
      <c r="H7410">
        <v>0</v>
      </c>
      <c r="I7410">
        <v>0</v>
      </c>
      <c r="J7410">
        <v>-176.2774</v>
      </c>
      <c r="K7410">
        <v>1.098665</v>
      </c>
      <c r="L7410">
        <v>137.11000000000001</v>
      </c>
      <c r="M7410">
        <v>0.78340690000000002</v>
      </c>
      <c r="N7410">
        <v>0</v>
      </c>
      <c r="O7410">
        <v>0.62142519999999901</v>
      </c>
      <c r="P7410">
        <v>0.9272996</v>
      </c>
      <c r="Q7410">
        <v>-5.4668969999999997E-2</v>
      </c>
      <c r="R7410">
        <v>0.37030639999999998</v>
      </c>
      <c r="S7410">
        <v>3.2088320000000001</v>
      </c>
      <c r="T7410">
        <v>7.9002859999999994E-2</v>
      </c>
      <c r="U7410">
        <v>0.107666</v>
      </c>
      <c r="V7410">
        <v>0.28492889999999998</v>
      </c>
      <c r="W7410">
        <v>-5.2146820000000003E-2</v>
      </c>
      <c r="X7410">
        <v>0.95712920000000001</v>
      </c>
      <c r="Y7410">
        <v>0.59449240000000003</v>
      </c>
      <c r="Z7410">
        <v>2.1641440000000001E-2</v>
      </c>
      <c r="AA7410">
        <v>0.80380989999999997</v>
      </c>
      <c r="AB7410">
        <v>24</v>
      </c>
      <c r="AC7410">
        <v>3.2088320000000001</v>
      </c>
      <c r="AD7410">
        <v>7.9002859999999994E-2</v>
      </c>
      <c r="AE7410">
        <v>0.107666</v>
      </c>
      <c r="AF7410">
        <v>1.9086467704712</v>
      </c>
      <c r="AG7410">
        <v>7.9002859999999994E-2</v>
      </c>
      <c r="AH7410">
        <v>2.5793004287469601</v>
      </c>
      <c r="AI7410">
        <v>88.589577326145402</v>
      </c>
      <c r="AJ7410">
        <v>53.499069108767898</v>
      </c>
      <c r="AK7410">
        <v>3.2096673734286898</v>
      </c>
      <c r="AL7410">
        <v>92.989148362329502</v>
      </c>
      <c r="AM7410">
        <v>73.422196880496102</v>
      </c>
      <c r="AN7410">
        <v>1.0000000371919799</v>
      </c>
    </row>
    <row r="7411" spans="1:40" x14ac:dyDescent="0.25">
      <c r="A7411" t="str">
        <f>"20190312161206191"</f>
        <v>20190312161206191</v>
      </c>
      <c r="B7411" t="str">
        <f>"1552378326184398"</f>
        <v>1552378326184398</v>
      </c>
      <c r="C7411" t="s">
        <v>40</v>
      </c>
      <c r="D7411">
        <v>5.5237170000000004</v>
      </c>
      <c r="E7411">
        <v>0.63739219999999996</v>
      </c>
      <c r="F7411" t="s">
        <v>45</v>
      </c>
      <c r="G7411">
        <v>0</v>
      </c>
      <c r="H7411">
        <v>0</v>
      </c>
      <c r="I7411">
        <v>0</v>
      </c>
      <c r="J7411">
        <v>-176.10749999999999</v>
      </c>
      <c r="K7411">
        <v>1.0986279999999999</v>
      </c>
      <c r="L7411">
        <v>137.2268</v>
      </c>
      <c r="M7411">
        <v>0.79159369999999996</v>
      </c>
      <c r="N7411">
        <v>0</v>
      </c>
      <c r="O7411">
        <v>0.61096240000000002</v>
      </c>
      <c r="P7411">
        <v>0.93158110000000005</v>
      </c>
      <c r="Q7411">
        <v>-5.4460450000000001E-2</v>
      </c>
      <c r="R7411">
        <v>0.35943130000000001</v>
      </c>
      <c r="S7411">
        <v>3.2048800000000002</v>
      </c>
      <c r="T7411">
        <v>4.7500130000000002E-2</v>
      </c>
      <c r="U7411">
        <v>8.2916260000000006E-2</v>
      </c>
      <c r="V7411">
        <v>0.28342079999999997</v>
      </c>
      <c r="W7411">
        <v>-5.1915849999999999E-2</v>
      </c>
      <c r="X7411">
        <v>0.95758940000000004</v>
      </c>
      <c r="Y7411">
        <v>0.590192099999999</v>
      </c>
      <c r="Z7411">
        <v>1.28822999999999E-2</v>
      </c>
      <c r="AA7411">
        <v>0.80715999999999999</v>
      </c>
      <c r="AB7411">
        <v>24</v>
      </c>
      <c r="AC7411">
        <v>3.2048800000000002</v>
      </c>
      <c r="AD7411">
        <v>4.7500130000000002E-2</v>
      </c>
      <c r="AE7411">
        <v>8.2916260000000006E-2</v>
      </c>
      <c r="AF7411">
        <v>1.8921085848814001</v>
      </c>
      <c r="AG7411">
        <v>4.7500130000000002E-2</v>
      </c>
      <c r="AH7411">
        <v>2.5871886255826801</v>
      </c>
      <c r="AI7411">
        <v>89.150968322147804</v>
      </c>
      <c r="AJ7411">
        <v>53.820587899000898</v>
      </c>
      <c r="AK7411">
        <v>3.20560074614359</v>
      </c>
      <c r="AL7411">
        <v>92.975896821689204</v>
      </c>
      <c r="AM7411">
        <v>73.512658077771704</v>
      </c>
      <c r="AN7411">
        <v>1.00000003217311</v>
      </c>
    </row>
    <row r="7412" spans="1:40" x14ac:dyDescent="0.25">
      <c r="A7412" t="str">
        <f>"20190312161206206"</f>
        <v>20190312161206206</v>
      </c>
      <c r="B7412" t="str">
        <f>"1552378326195131"</f>
        <v>1552378326195131</v>
      </c>
      <c r="C7412" t="s">
        <v>40</v>
      </c>
      <c r="D7412">
        <v>5.6116400000000004</v>
      </c>
      <c r="E7412">
        <v>0.63695639999999998</v>
      </c>
      <c r="F7412" t="s">
        <v>45</v>
      </c>
      <c r="G7412">
        <v>0</v>
      </c>
      <c r="H7412">
        <v>0</v>
      </c>
      <c r="I7412">
        <v>0</v>
      </c>
      <c r="J7412">
        <v>-175.9579</v>
      </c>
      <c r="K7412">
        <v>1.0985910000000001</v>
      </c>
      <c r="L7412">
        <v>137.3271</v>
      </c>
      <c r="M7412">
        <v>0.79862959999999905</v>
      </c>
      <c r="N7412">
        <v>0</v>
      </c>
      <c r="O7412">
        <v>0.60173599999999905</v>
      </c>
      <c r="P7412">
        <v>0.93523270000000003</v>
      </c>
      <c r="Q7412">
        <v>-5.4072090000000003E-2</v>
      </c>
      <c r="R7412">
        <v>0.34988000000000002</v>
      </c>
      <c r="S7412">
        <v>3.206207</v>
      </c>
      <c r="T7412">
        <v>7.6928849999999993E-2</v>
      </c>
      <c r="U7412">
        <v>4.8233030000000003E-2</v>
      </c>
      <c r="V7412">
        <v>0.2821284</v>
      </c>
      <c r="W7412">
        <v>-5.150826E-2</v>
      </c>
      <c r="X7412">
        <v>0.95799290000000004</v>
      </c>
      <c r="Y7412">
        <v>0.58936330000000003</v>
      </c>
      <c r="Z7412">
        <v>2.068074E-2</v>
      </c>
      <c r="AA7412">
        <v>0.80760339999999997</v>
      </c>
      <c r="AB7412">
        <v>24</v>
      </c>
      <c r="AC7412">
        <v>3.206207</v>
      </c>
      <c r="AD7412">
        <v>7.6928849999999993E-2</v>
      </c>
      <c r="AE7412">
        <v>4.8233030000000003E-2</v>
      </c>
      <c r="AF7412">
        <v>1.88978099744577</v>
      </c>
      <c r="AG7412">
        <v>7.6928849999999993E-2</v>
      </c>
      <c r="AH7412">
        <v>2.5882410337314701</v>
      </c>
      <c r="AI7412">
        <v>88.624889258300598</v>
      </c>
      <c r="AJ7412">
        <v>53.865284544628103</v>
      </c>
      <c r="AK7412">
        <v>3.2056484390776299</v>
      </c>
      <c r="AL7412">
        <v>92.9525125443962</v>
      </c>
      <c r="AM7412">
        <v>73.590326763851706</v>
      </c>
      <c r="AN7412">
        <v>0.99999996569259797</v>
      </c>
    </row>
    <row r="7413" spans="1:40" x14ac:dyDescent="0.25">
      <c r="A7413" t="str">
        <f>"20190312161206224"</f>
        <v>20190312161206224</v>
      </c>
      <c r="B7413" t="str">
        <f>"1552378326214651"</f>
        <v>1552378326214651</v>
      </c>
      <c r="C7413" t="s">
        <v>40</v>
      </c>
      <c r="D7413">
        <v>5.5527989999999896</v>
      </c>
      <c r="E7413">
        <v>0.63660589999999995</v>
      </c>
      <c r="F7413" t="s">
        <v>45</v>
      </c>
      <c r="G7413">
        <v>0</v>
      </c>
      <c r="H7413">
        <v>0</v>
      </c>
      <c r="I7413">
        <v>0</v>
      </c>
      <c r="J7413">
        <v>-175.7946</v>
      </c>
      <c r="K7413">
        <v>1.098552</v>
      </c>
      <c r="L7413">
        <v>137.43379999999999</v>
      </c>
      <c r="M7413">
        <v>0.80612249999999996</v>
      </c>
      <c r="N7413">
        <v>0</v>
      </c>
      <c r="O7413">
        <v>0.59166009999999902</v>
      </c>
      <c r="P7413">
        <v>0.93870880000000001</v>
      </c>
      <c r="Q7413">
        <v>-5.3919330000000001E-2</v>
      </c>
      <c r="R7413">
        <v>0.3404682</v>
      </c>
      <c r="S7413">
        <v>3.2060550000000001</v>
      </c>
      <c r="T7413">
        <v>9.0620039999999999E-2</v>
      </c>
      <c r="U7413">
        <v>1.8585210000000001E-2</v>
      </c>
      <c r="V7413">
        <v>0.27972750000000002</v>
      </c>
      <c r="W7413">
        <v>-5.1305860000000002E-2</v>
      </c>
      <c r="X7413">
        <v>0.95870759999999999</v>
      </c>
      <c r="Y7413">
        <v>0.58656330000000001</v>
      </c>
      <c r="Z7413">
        <v>2.4104339999999998E-2</v>
      </c>
      <c r="AA7413">
        <v>0.80954459999999995</v>
      </c>
      <c r="AB7413">
        <v>24</v>
      </c>
      <c r="AC7413">
        <v>3.2060550000000001</v>
      </c>
      <c r="AD7413">
        <v>9.0620039999999999E-2</v>
      </c>
      <c r="AE7413">
        <v>1.8585210000000001E-2</v>
      </c>
      <c r="AF7413">
        <v>1.8805091873629001</v>
      </c>
      <c r="AG7413">
        <v>9.0620039999999999E-2</v>
      </c>
      <c r="AH7413">
        <v>2.5935332939286</v>
      </c>
      <c r="AI7413">
        <v>88.379684306480101</v>
      </c>
      <c r="AJ7413">
        <v>54.055027623656699</v>
      </c>
      <c r="AK7413">
        <v>3.2048310005555698</v>
      </c>
      <c r="AL7413">
        <v>92.940900382659706</v>
      </c>
      <c r="AM7413">
        <v>73.734042552923995</v>
      </c>
      <c r="AN7413">
        <v>1.0000000139121701</v>
      </c>
    </row>
    <row r="7414" spans="1:40" x14ac:dyDescent="0.25">
      <c r="A7414" t="str">
        <f>"20190312161206245"</f>
        <v>20190312161206245</v>
      </c>
      <c r="B7414" t="str">
        <f>"1552378326235146"</f>
        <v>1552378326235146</v>
      </c>
      <c r="C7414" t="s">
        <v>40</v>
      </c>
      <c r="D7414">
        <v>5.6887259999999999</v>
      </c>
      <c r="E7414">
        <v>0.63562689999999999</v>
      </c>
      <c r="F7414" t="s">
        <v>45</v>
      </c>
      <c r="G7414">
        <v>0</v>
      </c>
      <c r="H7414">
        <v>0</v>
      </c>
      <c r="I7414">
        <v>0</v>
      </c>
      <c r="J7414">
        <v>-175.5855</v>
      </c>
      <c r="K7414">
        <v>1.0984940000000001</v>
      </c>
      <c r="L7414">
        <v>137.5658</v>
      </c>
      <c r="M7414">
        <v>0.81543379999999999</v>
      </c>
      <c r="N7414">
        <v>0</v>
      </c>
      <c r="O7414">
        <v>0.57875969999999999</v>
      </c>
      <c r="P7414">
        <v>0.94275240000000005</v>
      </c>
      <c r="Q7414">
        <v>-5.485814E-2</v>
      </c>
      <c r="R7414">
        <v>0.32895089999999999</v>
      </c>
      <c r="S7414">
        <v>3.204437</v>
      </c>
      <c r="T7414">
        <v>8.3908679999999999E-2</v>
      </c>
      <c r="U7414">
        <v>-1.0269169999999999E-2</v>
      </c>
      <c r="V7414">
        <v>0.27615099999999998</v>
      </c>
      <c r="W7414">
        <v>-5.2166240000000003E-2</v>
      </c>
      <c r="X7414">
        <v>0.95969749999999998</v>
      </c>
      <c r="Y7414">
        <v>0.58102290000000001</v>
      </c>
      <c r="Z7414">
        <v>2.199212E-2</v>
      </c>
      <c r="AA7414">
        <v>0.81359009999999998</v>
      </c>
      <c r="AB7414">
        <v>24</v>
      </c>
      <c r="AC7414">
        <v>3.204437</v>
      </c>
      <c r="AD7414">
        <v>8.3908679999999999E-2</v>
      </c>
      <c r="AE7414">
        <v>-1.0269169999999999E-2</v>
      </c>
      <c r="AF7414">
        <v>1.8617940223584</v>
      </c>
      <c r="AG7414">
        <v>8.3908679999999999E-2</v>
      </c>
      <c r="AH7414">
        <v>2.6054132296347801</v>
      </c>
      <c r="AI7414">
        <v>88.499023604089501</v>
      </c>
      <c r="AJ7414">
        <v>54.4508991687605</v>
      </c>
      <c r="AK7414">
        <v>3.2033569494242702</v>
      </c>
      <c r="AL7414">
        <v>92.990262699740398</v>
      </c>
      <c r="AM7414">
        <v>73.946935027088799</v>
      </c>
      <c r="AN7414">
        <v>0.99999999145149299</v>
      </c>
    </row>
    <row r="7415" spans="1:40" x14ac:dyDescent="0.25">
      <c r="A7415" t="str">
        <f>"20190312161206269"</f>
        <v>20190312161206269</v>
      </c>
      <c r="B7415" t="str">
        <f>"1552378326264428"</f>
        <v>1552378326264428</v>
      </c>
      <c r="C7415" t="s">
        <v>40</v>
      </c>
      <c r="D7415">
        <v>5.6351069999999996</v>
      </c>
      <c r="E7415">
        <v>0.63283140000000004</v>
      </c>
      <c r="F7415" t="s">
        <v>45</v>
      </c>
      <c r="G7415">
        <v>0</v>
      </c>
      <c r="H7415">
        <v>0</v>
      </c>
      <c r="I7415">
        <v>0</v>
      </c>
      <c r="J7415">
        <v>-175.36279999999999</v>
      </c>
      <c r="K7415">
        <v>1.0984370000000001</v>
      </c>
      <c r="L7415">
        <v>137.70150000000001</v>
      </c>
      <c r="M7415">
        <v>0.82502180000000003</v>
      </c>
      <c r="N7415">
        <v>0</v>
      </c>
      <c r="O7415">
        <v>0.56500790000000001</v>
      </c>
      <c r="P7415">
        <v>0.94779349999999996</v>
      </c>
      <c r="Q7415">
        <v>-5.5498209999999999E-2</v>
      </c>
      <c r="R7415">
        <v>0.31401849999999998</v>
      </c>
      <c r="S7415">
        <v>3.2017359999999999</v>
      </c>
      <c r="T7415">
        <v>8.3653569999999997E-2</v>
      </c>
      <c r="U7415">
        <v>-4.2114260000000001E-2</v>
      </c>
      <c r="V7415">
        <v>0.27517819999999998</v>
      </c>
      <c r="W7415">
        <v>-5.2802290000000002E-2</v>
      </c>
      <c r="X7415">
        <v>0.95994210000000002</v>
      </c>
      <c r="Y7415">
        <v>0.57546889999999995</v>
      </c>
      <c r="Z7415">
        <v>2.1582219999999999E-2</v>
      </c>
      <c r="AA7415">
        <v>0.81753880000000001</v>
      </c>
      <c r="AB7415">
        <v>24</v>
      </c>
      <c r="AC7415">
        <v>3.2017359999999999</v>
      </c>
      <c r="AD7415">
        <v>8.3653569999999997E-2</v>
      </c>
      <c r="AE7415">
        <v>-4.2114260000000001E-2</v>
      </c>
      <c r="AF7415">
        <v>1.84259058897262</v>
      </c>
      <c r="AG7415">
        <v>8.3653569999999997E-2</v>
      </c>
      <c r="AH7415">
        <v>2.6160591396888302</v>
      </c>
      <c r="AI7415">
        <v>88.502449651686803</v>
      </c>
      <c r="AJ7415">
        <v>54.841497429725599</v>
      </c>
      <c r="AK7415">
        <v>3.20092227657807</v>
      </c>
      <c r="AL7415">
        <v>93.026756014354504</v>
      </c>
      <c r="AM7415">
        <v>74.004454599296494</v>
      </c>
      <c r="AN7415">
        <v>0.99999997946844599</v>
      </c>
    </row>
    <row r="7416" spans="1:40" x14ac:dyDescent="0.25">
      <c r="A7416" t="str">
        <f>"20190312161206292"</f>
        <v>20190312161206292</v>
      </c>
      <c r="B7416" t="str">
        <f>"1552378326284922"</f>
        <v>1552378326284922</v>
      </c>
      <c r="C7416" t="s">
        <v>40</v>
      </c>
      <c r="D7416">
        <v>5.967657</v>
      </c>
      <c r="E7416">
        <v>0.63136150000000002</v>
      </c>
      <c r="F7416" t="s">
        <v>45</v>
      </c>
      <c r="G7416">
        <v>0</v>
      </c>
      <c r="H7416">
        <v>0</v>
      </c>
      <c r="I7416">
        <v>0</v>
      </c>
      <c r="J7416">
        <v>-175.1354</v>
      </c>
      <c r="K7416">
        <v>1.098376</v>
      </c>
      <c r="L7416">
        <v>137.8348</v>
      </c>
      <c r="M7416">
        <v>0.83446659999999995</v>
      </c>
      <c r="N7416">
        <v>0</v>
      </c>
      <c r="O7416">
        <v>0.55096299999999998</v>
      </c>
      <c r="P7416">
        <v>0.95266850000000003</v>
      </c>
      <c r="Q7416">
        <v>-5.5511989999999997E-2</v>
      </c>
      <c r="R7416">
        <v>0.29889969999999999</v>
      </c>
      <c r="S7416">
        <v>3.194458</v>
      </c>
      <c r="T7416">
        <v>9.0416910000000003E-2</v>
      </c>
      <c r="U7416">
        <v>-7.2128300000000006E-2</v>
      </c>
      <c r="V7416">
        <v>0.27419739999999998</v>
      </c>
      <c r="W7416">
        <v>-5.2810009999999998E-2</v>
      </c>
      <c r="X7416">
        <v>0.96022229999999997</v>
      </c>
      <c r="Y7416">
        <v>0.56925959999999998</v>
      </c>
      <c r="Z7416">
        <v>2.2964749999999999E-2</v>
      </c>
      <c r="AA7416">
        <v>0.82183709999999899</v>
      </c>
      <c r="AB7416">
        <v>25</v>
      </c>
      <c r="AC7416">
        <v>3.194458</v>
      </c>
      <c r="AD7416">
        <v>9.0416910000000003E-2</v>
      </c>
      <c r="AE7416">
        <v>-7.2128300000000006E-2</v>
      </c>
      <c r="AF7416">
        <v>1.8188562270931701</v>
      </c>
      <c r="AG7416">
        <v>9.0416910000000003E-2</v>
      </c>
      <c r="AH7416">
        <v>2.62396562720033</v>
      </c>
      <c r="AI7416">
        <v>88.377831431297295</v>
      </c>
      <c r="AJ7416">
        <v>55.271431985893599</v>
      </c>
      <c r="AK7416">
        <v>3.1939957428240802</v>
      </c>
      <c r="AL7416">
        <v>93.027198928809099</v>
      </c>
      <c r="AM7416">
        <v>74.062980215349498</v>
      </c>
      <c r="AN7416">
        <v>0.99999998837012405</v>
      </c>
    </row>
    <row r="7417" spans="1:40" x14ac:dyDescent="0.25">
      <c r="A7417" t="str">
        <f>"20190312161206313"</f>
        <v>20190312161206313</v>
      </c>
      <c r="B7417" t="str">
        <f>"1552378326304443"</f>
        <v>1552378326304443</v>
      </c>
      <c r="C7417" t="s">
        <v>40</v>
      </c>
      <c r="D7417">
        <v>6.0017509999999996</v>
      </c>
      <c r="E7417">
        <v>0.62943559999999998</v>
      </c>
      <c r="F7417" t="s">
        <v>45</v>
      </c>
      <c r="G7417">
        <v>0</v>
      </c>
      <c r="H7417">
        <v>0</v>
      </c>
      <c r="I7417">
        <v>0</v>
      </c>
      <c r="J7417">
        <v>-174.92660000000001</v>
      </c>
      <c r="K7417">
        <v>1.0983320000000001</v>
      </c>
      <c r="L7417">
        <v>137.953</v>
      </c>
      <c r="M7417">
        <v>0.84285030000000005</v>
      </c>
      <c r="N7417">
        <v>0</v>
      </c>
      <c r="O7417">
        <v>0.53805019999999903</v>
      </c>
      <c r="P7417">
        <v>0.95682279999999997</v>
      </c>
      <c r="Q7417">
        <v>-5.5356639999999999E-2</v>
      </c>
      <c r="R7417">
        <v>0.28535270000000001</v>
      </c>
      <c r="S7417">
        <v>3.1878510000000002</v>
      </c>
      <c r="T7417">
        <v>6.7373279999999994E-2</v>
      </c>
      <c r="U7417">
        <v>-0.1111603</v>
      </c>
      <c r="V7417">
        <v>0.27304250000000002</v>
      </c>
      <c r="W7417">
        <v>-5.2639859999999997E-2</v>
      </c>
      <c r="X7417">
        <v>0.96056070000000005</v>
      </c>
      <c r="Y7417">
        <v>0.56688830000000001</v>
      </c>
      <c r="Z7417">
        <v>1.6897189999999999E-2</v>
      </c>
      <c r="AA7417">
        <v>0.8236213</v>
      </c>
      <c r="AB7417">
        <v>25</v>
      </c>
      <c r="AC7417">
        <v>3.1878510000000002</v>
      </c>
      <c r="AD7417">
        <v>6.7373279999999994E-2</v>
      </c>
      <c r="AE7417">
        <v>-0.1111603</v>
      </c>
      <c r="AF7417">
        <v>1.8082039803482901</v>
      </c>
      <c r="AG7417">
        <v>6.7373279999999994E-2</v>
      </c>
      <c r="AH7417">
        <v>2.6260382193809799</v>
      </c>
      <c r="AI7417">
        <v>88.789464546138305</v>
      </c>
      <c r="AJ7417">
        <v>55.4499738575443</v>
      </c>
      <c r="AK7417">
        <v>3.1890778483842301</v>
      </c>
      <c r="AL7417">
        <v>93.017436407533594</v>
      </c>
      <c r="AM7417">
        <v>74.132027331439204</v>
      </c>
      <c r="AN7417">
        <v>1.00000001002577</v>
      </c>
    </row>
    <row r="7418" spans="1:40" x14ac:dyDescent="0.25">
      <c r="A7418" t="str">
        <f>"20190312161206335"</f>
        <v>20190312161206335</v>
      </c>
      <c r="B7418" t="str">
        <f>"1552378326324939"</f>
        <v>1552378326324939</v>
      </c>
      <c r="C7418" t="s">
        <v>40</v>
      </c>
      <c r="D7418">
        <v>5.9226510000000001</v>
      </c>
      <c r="E7418">
        <v>0.62785329999999995</v>
      </c>
      <c r="F7418" t="s">
        <v>45</v>
      </c>
      <c r="G7418">
        <v>0</v>
      </c>
      <c r="H7418">
        <v>0</v>
      </c>
      <c r="I7418">
        <v>0</v>
      </c>
      <c r="J7418">
        <v>-174.70650000000001</v>
      </c>
      <c r="K7418">
        <v>1.098295</v>
      </c>
      <c r="L7418">
        <v>138.07299999999901</v>
      </c>
      <c r="M7418">
        <v>0.851383</v>
      </c>
      <c r="N7418">
        <v>0</v>
      </c>
      <c r="O7418">
        <v>0.52444389999999996</v>
      </c>
      <c r="P7418">
        <v>0.96088030000000002</v>
      </c>
      <c r="Q7418">
        <v>-5.5336209999999997E-2</v>
      </c>
      <c r="R7418">
        <v>0.2713796</v>
      </c>
      <c r="S7418">
        <v>3.180771</v>
      </c>
      <c r="T7418">
        <v>5.7286379999999998E-2</v>
      </c>
      <c r="U7418">
        <v>-0.14108280000000001</v>
      </c>
      <c r="V7418">
        <v>0.27160990000000002</v>
      </c>
      <c r="W7418">
        <v>-5.2595570000000001E-2</v>
      </c>
      <c r="X7418">
        <v>0.96096919999999997</v>
      </c>
      <c r="Y7418">
        <v>0.56151430000000002</v>
      </c>
      <c r="Z7418">
        <v>1.414267E-2</v>
      </c>
      <c r="AA7418">
        <v>0.82734609999999997</v>
      </c>
      <c r="AB7418">
        <v>25</v>
      </c>
      <c r="AC7418">
        <v>3.180771</v>
      </c>
      <c r="AD7418">
        <v>5.7286379999999998E-2</v>
      </c>
      <c r="AE7418">
        <v>-0.14108280000000001</v>
      </c>
      <c r="AF7418">
        <v>1.78776710201631</v>
      </c>
      <c r="AG7418">
        <v>5.7286379999999998E-2</v>
      </c>
      <c r="AH7418">
        <v>2.6333509122401502</v>
      </c>
      <c r="AI7418">
        <v>88.968881674605896</v>
      </c>
      <c r="AJ7418">
        <v>55.827638025730998</v>
      </c>
      <c r="AK7418">
        <v>3.18338341507607</v>
      </c>
      <c r="AL7418">
        <v>93.014895234580194</v>
      </c>
      <c r="AM7418">
        <v>74.2174993289822</v>
      </c>
      <c r="AN7418">
        <v>1.00000001755513</v>
      </c>
    </row>
    <row r="7419" spans="1:40" x14ac:dyDescent="0.25">
      <c r="A7419" t="str">
        <f>"20190312161206359"</f>
        <v>20190312161206359</v>
      </c>
      <c r="B7419" t="str">
        <f>"1552378326354219"</f>
        <v>1552378326354219</v>
      </c>
      <c r="C7419" t="s">
        <v>40</v>
      </c>
      <c r="D7419">
        <v>6.2965140000000002</v>
      </c>
      <c r="E7419">
        <v>0.62478579999999995</v>
      </c>
      <c r="F7419" t="s">
        <v>45</v>
      </c>
      <c r="G7419">
        <v>0</v>
      </c>
      <c r="H7419">
        <v>0</v>
      </c>
      <c r="I7419">
        <v>0</v>
      </c>
      <c r="J7419">
        <v>-174.47460000000001</v>
      </c>
      <c r="K7419">
        <v>1.0982540000000001</v>
      </c>
      <c r="L7419">
        <v>138.19479999999999</v>
      </c>
      <c r="M7419">
        <v>0.86004659999999999</v>
      </c>
      <c r="N7419">
        <v>0</v>
      </c>
      <c r="O7419">
        <v>0.51011200000000001</v>
      </c>
      <c r="P7419">
        <v>0.96486669999999997</v>
      </c>
      <c r="Q7419">
        <v>-5.5041569999999998E-2</v>
      </c>
      <c r="R7419">
        <v>0.25690990000000002</v>
      </c>
      <c r="S7419">
        <v>3.1737060000000001</v>
      </c>
      <c r="T7419">
        <v>3.9772870000000002E-2</v>
      </c>
      <c r="U7419">
        <v>-0.17446900000000001</v>
      </c>
      <c r="V7419">
        <v>0.26996969999999998</v>
      </c>
      <c r="W7419">
        <v>-5.2268719999999998E-2</v>
      </c>
      <c r="X7419">
        <v>0.96144909999999995</v>
      </c>
      <c r="Y7419">
        <v>0.55649950000000004</v>
      </c>
      <c r="Z7419">
        <v>9.6544119999999994E-3</v>
      </c>
      <c r="AA7419">
        <v>0.83079179999999997</v>
      </c>
      <c r="AB7419">
        <v>25</v>
      </c>
      <c r="AC7419">
        <v>3.1737060000000001</v>
      </c>
      <c r="AD7419">
        <v>3.9772870000000002E-2</v>
      </c>
      <c r="AE7419">
        <v>-0.17446900000000001</v>
      </c>
      <c r="AF7419">
        <v>1.7688134330346801</v>
      </c>
      <c r="AG7419">
        <v>3.9772870000000002E-2</v>
      </c>
      <c r="AH7419">
        <v>2.64026234038286</v>
      </c>
      <c r="AI7419">
        <v>89.282977224674696</v>
      </c>
      <c r="AJ7419">
        <v>56.180346212166199</v>
      </c>
      <c r="AK7419">
        <v>3.1782492142869998</v>
      </c>
      <c r="AL7419">
        <v>92.996142322258606</v>
      </c>
      <c r="AM7419">
        <v>74.315545728789203</v>
      </c>
      <c r="AN7419">
        <v>1.00000001494966</v>
      </c>
    </row>
    <row r="7420" spans="1:40" x14ac:dyDescent="0.25">
      <c r="A7420" t="str">
        <f>"20190312161206380"</f>
        <v>20190312161206380</v>
      </c>
      <c r="B7420" t="str">
        <f>"1552378326374715"</f>
        <v>1552378326374715</v>
      </c>
      <c r="C7420" t="s">
        <v>40</v>
      </c>
      <c r="D7420">
        <v>6.0987749999999998</v>
      </c>
      <c r="E7420">
        <v>0.62284150000000005</v>
      </c>
      <c r="F7420" t="s">
        <v>45</v>
      </c>
      <c r="G7420">
        <v>0</v>
      </c>
      <c r="H7420">
        <v>0</v>
      </c>
      <c r="I7420">
        <v>0</v>
      </c>
      <c r="J7420">
        <v>-174.2465</v>
      </c>
      <c r="K7420">
        <v>1.098225</v>
      </c>
      <c r="L7420">
        <v>138.3098</v>
      </c>
      <c r="M7420">
        <v>0.86824009999999996</v>
      </c>
      <c r="N7420">
        <v>0</v>
      </c>
      <c r="O7420">
        <v>0.49603750000000002</v>
      </c>
      <c r="P7420">
        <v>0.96849879999999999</v>
      </c>
      <c r="Q7420">
        <v>-5.5275709999999999E-2</v>
      </c>
      <c r="R7420">
        <v>0.24280650000000001</v>
      </c>
      <c r="S7420">
        <v>3.1640779999999999</v>
      </c>
      <c r="T7420">
        <v>3.7091609999999997E-2</v>
      </c>
      <c r="U7420">
        <v>-0.19799800000000001</v>
      </c>
      <c r="V7420">
        <v>0.26832289999999998</v>
      </c>
      <c r="W7420">
        <v>-5.2460369999999999E-2</v>
      </c>
      <c r="X7420">
        <v>0.96189950000000002</v>
      </c>
      <c r="Y7420">
        <v>0.54925429999999997</v>
      </c>
      <c r="Z7420">
        <v>8.8432709999999998E-3</v>
      </c>
      <c r="AA7420">
        <v>0.83560849999999898</v>
      </c>
      <c r="AB7420">
        <v>25</v>
      </c>
      <c r="AC7420">
        <v>3.1640779999999999</v>
      </c>
      <c r="AD7420">
        <v>3.7091609999999997E-2</v>
      </c>
      <c r="AE7420">
        <v>-0.19799800000000001</v>
      </c>
      <c r="AF7420">
        <v>1.74126502793688</v>
      </c>
      <c r="AG7420">
        <v>3.7091609999999997E-2</v>
      </c>
      <c r="AH7420">
        <v>2.64874269992068</v>
      </c>
      <c r="AI7420">
        <v>89.3295875010445</v>
      </c>
      <c r="AJ7420">
        <v>56.679358927262903</v>
      </c>
      <c r="AK7420">
        <v>3.17005009036632</v>
      </c>
      <c r="AL7420">
        <v>93.007138313754893</v>
      </c>
      <c r="AM7420">
        <v>74.413498445409701</v>
      </c>
      <c r="AN7420">
        <v>0.99999995859259705</v>
      </c>
    </row>
    <row r="7421" spans="1:40" x14ac:dyDescent="0.25">
      <c r="A7421" t="str">
        <f>"20190312161206403"</f>
        <v>20190312161206403</v>
      </c>
      <c r="B7421" t="str">
        <f>"1552378326394235"</f>
        <v>1552378326394235</v>
      </c>
      <c r="C7421" t="s">
        <v>40</v>
      </c>
      <c r="D7421">
        <v>6.0694839999999903</v>
      </c>
      <c r="E7421">
        <v>0.62141630000000003</v>
      </c>
      <c r="F7421" t="s">
        <v>45</v>
      </c>
      <c r="G7421">
        <v>0</v>
      </c>
      <c r="H7421">
        <v>0</v>
      </c>
      <c r="I7421">
        <v>0</v>
      </c>
      <c r="J7421">
        <v>-174.01650000000001</v>
      </c>
      <c r="K7421">
        <v>1.0982069999999999</v>
      </c>
      <c r="L7421">
        <v>138.4213</v>
      </c>
      <c r="M7421">
        <v>0.87617710000000004</v>
      </c>
      <c r="N7421">
        <v>0</v>
      </c>
      <c r="O7421">
        <v>0.4818789</v>
      </c>
      <c r="P7421">
        <v>0.97179879999999996</v>
      </c>
      <c r="Q7421">
        <v>-5.6169030000000002E-2</v>
      </c>
      <c r="R7421">
        <v>0.22902439999999999</v>
      </c>
      <c r="S7421">
        <v>3.1569370000000001</v>
      </c>
      <c r="T7421">
        <v>3.5102250000000002E-2</v>
      </c>
      <c r="U7421">
        <v>-0.22877500000000001</v>
      </c>
      <c r="V7421">
        <v>0.26632489999999998</v>
      </c>
      <c r="W7421">
        <v>-5.3287929999999997E-2</v>
      </c>
      <c r="X7421">
        <v>0.96240919999999996</v>
      </c>
      <c r="Y7421">
        <v>0.54391409999999996</v>
      </c>
      <c r="Z7421">
        <v>8.2179469999999998E-3</v>
      </c>
      <c r="AA7421">
        <v>0.83910069999999903</v>
      </c>
      <c r="AB7421">
        <v>25</v>
      </c>
      <c r="AC7421">
        <v>3.1569370000000001</v>
      </c>
      <c r="AD7421">
        <v>3.5102250000000002E-2</v>
      </c>
      <c r="AE7421">
        <v>-0.22877500000000001</v>
      </c>
      <c r="AF7421">
        <v>1.7215886252239101</v>
      </c>
      <c r="AG7421">
        <v>3.5102250000000002E-2</v>
      </c>
      <c r="AH7421">
        <v>2.6556087713997298</v>
      </c>
      <c r="AI7421">
        <v>89.364537533271104</v>
      </c>
      <c r="AJ7421">
        <v>57.045304871298796</v>
      </c>
      <c r="AK7421">
        <v>3.1650209334522001</v>
      </c>
      <c r="AL7421">
        <v>93.054620267712295</v>
      </c>
      <c r="AM7421">
        <v>74.531780579714393</v>
      </c>
      <c r="AN7421">
        <v>1.0000000120441599</v>
      </c>
    </row>
    <row r="7422" spans="1:40" x14ac:dyDescent="0.25">
      <c r="A7422" t="str">
        <f>"20190312161206425"</f>
        <v>20190312161206425</v>
      </c>
      <c r="B7422" t="str">
        <f>"1552378326414731"</f>
        <v>1552378326414731</v>
      </c>
      <c r="C7422" t="s">
        <v>40</v>
      </c>
      <c r="D7422">
        <v>6.0674570000000001</v>
      </c>
      <c r="E7422">
        <v>0.6197338</v>
      </c>
      <c r="F7422" t="s">
        <v>45</v>
      </c>
      <c r="G7422">
        <v>0</v>
      </c>
      <c r="H7422">
        <v>0</v>
      </c>
      <c r="I7422">
        <v>0</v>
      </c>
      <c r="J7422">
        <v>-173.78599999999901</v>
      </c>
      <c r="K7422">
        <v>1.098206</v>
      </c>
      <c r="L7422">
        <v>138.5284</v>
      </c>
      <c r="M7422">
        <v>0.88380899999999996</v>
      </c>
      <c r="N7422">
        <v>0</v>
      </c>
      <c r="O7422">
        <v>0.46773389999999998</v>
      </c>
      <c r="P7422">
        <v>0.9749293</v>
      </c>
      <c r="Q7422">
        <v>-5.6639349999999998E-2</v>
      </c>
      <c r="R7422">
        <v>0.21518590000000001</v>
      </c>
      <c r="S7422">
        <v>3.149826</v>
      </c>
      <c r="T7422">
        <v>1.844931E-2</v>
      </c>
      <c r="U7422">
        <v>-0.26174930000000002</v>
      </c>
      <c r="V7422">
        <v>0.26451409999999997</v>
      </c>
      <c r="W7422">
        <v>-5.3688930000000003E-2</v>
      </c>
      <c r="X7422">
        <v>0.96288620000000003</v>
      </c>
      <c r="Y7422">
        <v>0.53933109999999995</v>
      </c>
      <c r="Z7422">
        <v>4.24085E-3</v>
      </c>
      <c r="AA7422">
        <v>0.84208320000000003</v>
      </c>
      <c r="AB7422">
        <v>25</v>
      </c>
      <c r="AC7422">
        <v>3.149826</v>
      </c>
      <c r="AD7422">
        <v>1.844931E-2</v>
      </c>
      <c r="AE7422">
        <v>-0.26174930000000002</v>
      </c>
      <c r="AF7422">
        <v>1.70464961168615</v>
      </c>
      <c r="AG7422">
        <v>1.844931E-2</v>
      </c>
      <c r="AH7422">
        <v>2.6614667964143801</v>
      </c>
      <c r="AI7422">
        <v>89.665549618740599</v>
      </c>
      <c r="AJ7422">
        <v>57.360741470870401</v>
      </c>
      <c r="AK7422">
        <v>3.1606290804327899</v>
      </c>
      <c r="AL7422">
        <v>93.077628781245096</v>
      </c>
      <c r="AM7422">
        <v>74.639217812050106</v>
      </c>
      <c r="AN7422">
        <v>1.0000000222268901</v>
      </c>
    </row>
    <row r="7423" spans="1:40" x14ac:dyDescent="0.25">
      <c r="A7423" t="str">
        <f>"20190312161206447"</f>
        <v>20190312161206447</v>
      </c>
      <c r="B7423" t="str">
        <f>"1552378326444986"</f>
        <v>1552378326444986</v>
      </c>
      <c r="C7423" t="s">
        <v>40</v>
      </c>
      <c r="D7423">
        <v>6.2728780000000004</v>
      </c>
      <c r="E7423">
        <v>0.58115680000000003</v>
      </c>
      <c r="F7423" t="s">
        <v>45</v>
      </c>
      <c r="G7423">
        <v>0</v>
      </c>
      <c r="H7423">
        <v>0</v>
      </c>
      <c r="I7423">
        <v>0</v>
      </c>
      <c r="J7423">
        <v>-173.54939999999999</v>
      </c>
      <c r="K7423">
        <v>1.098206</v>
      </c>
      <c r="L7423">
        <v>138.6337</v>
      </c>
      <c r="M7423">
        <v>0.89130779999999998</v>
      </c>
      <c r="N7423">
        <v>0</v>
      </c>
      <c r="O7423">
        <v>0.45328049999999998</v>
      </c>
      <c r="P7423">
        <v>0.97783319999999996</v>
      </c>
      <c r="Q7423">
        <v>-5.785966E-2</v>
      </c>
      <c r="R7423">
        <v>0.20123279999999999</v>
      </c>
      <c r="S7423">
        <v>3.14209</v>
      </c>
      <c r="T7423">
        <v>5.4118630000000003E-3</v>
      </c>
      <c r="U7423">
        <v>-0.2928925</v>
      </c>
      <c r="V7423">
        <v>0.2625323</v>
      </c>
      <c r="W7423">
        <v>-5.4826769999999997E-2</v>
      </c>
      <c r="X7423">
        <v>0.96336429999999995</v>
      </c>
      <c r="Y7423">
        <v>0.53407649999999995</v>
      </c>
      <c r="Z7423">
        <v>1.2197810000000001E-3</v>
      </c>
      <c r="AA7423">
        <v>0.8454353</v>
      </c>
      <c r="AB7423">
        <v>25</v>
      </c>
      <c r="AC7423">
        <v>3.14209</v>
      </c>
      <c r="AD7423">
        <v>5.4118630000000003E-3</v>
      </c>
      <c r="AE7423">
        <v>-0.2928925</v>
      </c>
      <c r="AF7423">
        <v>1.6853908738402399</v>
      </c>
      <c r="AG7423">
        <v>5.4118630000000003E-3</v>
      </c>
      <c r="AH7423">
        <v>2.6679420178797701</v>
      </c>
      <c r="AI7423">
        <v>89.901740856484906</v>
      </c>
      <c r="AJ7423">
        <v>57.718601198980402</v>
      </c>
      <c r="AK7423">
        <v>3.15570694086975</v>
      </c>
      <c r="AL7423">
        <v>93.142918523810593</v>
      </c>
      <c r="AM7423">
        <v>74.756142561043703</v>
      </c>
      <c r="AN7423">
        <v>0.99999997888320602</v>
      </c>
    </row>
    <row r="7424" spans="1:40" x14ac:dyDescent="0.25">
      <c r="A7424" t="str">
        <f>"20190312161206471"</f>
        <v>20190312161206471</v>
      </c>
      <c r="B7424" t="str">
        <f>"1552378326464507"</f>
        <v>1552378326464507</v>
      </c>
      <c r="C7424" t="s">
        <v>40</v>
      </c>
      <c r="D7424">
        <v>6.2669980000000001</v>
      </c>
      <c r="E7424">
        <v>0.58209809999999995</v>
      </c>
      <c r="F7424" t="s">
        <v>41</v>
      </c>
      <c r="G7424">
        <v>-160.80260000000001</v>
      </c>
      <c r="H7424" s="1">
        <v>-4.5233520000000001E-6</v>
      </c>
      <c r="I7424">
        <v>138.51589999999999</v>
      </c>
      <c r="J7424">
        <v>-173.30609999999999</v>
      </c>
      <c r="K7424">
        <v>1.0982149999999999</v>
      </c>
      <c r="L7424">
        <v>138.73740000000001</v>
      </c>
      <c r="M7424">
        <v>0.89868329999999996</v>
      </c>
      <c r="N7424">
        <v>0</v>
      </c>
      <c r="O7424">
        <v>0.43847530000000001</v>
      </c>
      <c r="P7424">
        <v>0.98053449999999998</v>
      </c>
      <c r="Q7424">
        <v>-5.8078560000000001E-2</v>
      </c>
      <c r="R7424">
        <v>0.18756100000000001</v>
      </c>
      <c r="S7424">
        <v>3.0582120000000002</v>
      </c>
      <c r="T7424">
        <v>-0.26348189999999999</v>
      </c>
      <c r="U7424">
        <v>-2.8259280000000001E-2</v>
      </c>
      <c r="V7424">
        <v>0.26003979999999999</v>
      </c>
      <c r="W7424">
        <v>-5.4943289999999999E-2</v>
      </c>
      <c r="X7424">
        <v>0.96403349999999999</v>
      </c>
      <c r="Y7424">
        <v>0.44360060000000001</v>
      </c>
      <c r="Z7424">
        <v>-5.579373E-2</v>
      </c>
      <c r="AA7424">
        <v>0.89448619999999901</v>
      </c>
      <c r="AB7424">
        <v>25</v>
      </c>
      <c r="AC7424">
        <v>12.503499999999899</v>
      </c>
      <c r="AD7424">
        <v>-1.098219523352</v>
      </c>
      <c r="AE7424">
        <v>-0.22150000000001999</v>
      </c>
      <c r="AF7424">
        <v>5.6383561592453804</v>
      </c>
      <c r="AG7424">
        <v>-1.098219523352</v>
      </c>
      <c r="AH7424">
        <v>11.054906722577501</v>
      </c>
      <c r="AI7424">
        <v>95.057299397675294</v>
      </c>
      <c r="AJ7424">
        <v>62.976963520341997</v>
      </c>
      <c r="AK7424">
        <v>12.4582546508273</v>
      </c>
      <c r="AL7424">
        <v>93.149604558127606</v>
      </c>
      <c r="AM7424">
        <v>74.904232724639101</v>
      </c>
      <c r="AN7424">
        <v>1.0000000259111499</v>
      </c>
    </row>
    <row r="7425" spans="1:40" x14ac:dyDescent="0.25">
      <c r="A7425" t="str">
        <f>"20190312161206493"</f>
        <v>20190312161206493</v>
      </c>
      <c r="B7425" t="str">
        <f>"1552378326485003"</f>
        <v>1552378326485003</v>
      </c>
      <c r="C7425" t="s">
        <v>40</v>
      </c>
      <c r="D7425">
        <v>6.2551310000000004</v>
      </c>
      <c r="E7425">
        <v>0.58142550000000004</v>
      </c>
      <c r="F7425" t="s">
        <v>41</v>
      </c>
      <c r="G7425">
        <v>-160.7475</v>
      </c>
      <c r="H7425" s="1">
        <v>-4.5670740000000004E-6</v>
      </c>
      <c r="I7425">
        <v>138.4162</v>
      </c>
      <c r="J7425">
        <v>-173.06290000000001</v>
      </c>
      <c r="K7425">
        <v>1.09822999999999</v>
      </c>
      <c r="L7425">
        <v>138.8366</v>
      </c>
      <c r="M7425">
        <v>0.90571840000000003</v>
      </c>
      <c r="N7425">
        <v>0</v>
      </c>
      <c r="O7425">
        <v>0.42375230000000003</v>
      </c>
      <c r="P7425">
        <v>0.98295659999999896</v>
      </c>
      <c r="Q7425">
        <v>-5.8121989999999998E-2</v>
      </c>
      <c r="R7425">
        <v>0.17440799999999901</v>
      </c>
      <c r="S7425">
        <v>3.0586850000000001</v>
      </c>
      <c r="T7425">
        <v>-0.26747520000000002</v>
      </c>
      <c r="U7425">
        <v>-7.8231809999999999E-2</v>
      </c>
      <c r="V7425">
        <v>0.25722600000000001</v>
      </c>
      <c r="W7425">
        <v>-5.4870139999999998E-2</v>
      </c>
      <c r="X7425">
        <v>0.96479219999999999</v>
      </c>
      <c r="Y7425">
        <v>0.44355909999999898</v>
      </c>
      <c r="Z7425">
        <v>-5.546972E-2</v>
      </c>
      <c r="AA7425">
        <v>0.89452690000000001</v>
      </c>
      <c r="AB7425">
        <v>25</v>
      </c>
      <c r="AC7425">
        <v>12.3154</v>
      </c>
      <c r="AD7425">
        <v>-1.0982345670739999</v>
      </c>
      <c r="AE7425">
        <v>-0.4204</v>
      </c>
      <c r="AF7425">
        <v>5.5556173991293996</v>
      </c>
      <c r="AG7425">
        <v>-1.0982345670739999</v>
      </c>
      <c r="AH7425">
        <v>10.8902309302586</v>
      </c>
      <c r="AI7425">
        <v>95.133199895751503</v>
      </c>
      <c r="AJ7425">
        <v>62.971740002895899</v>
      </c>
      <c r="AK7425">
        <v>12.274694846072</v>
      </c>
      <c r="AL7425">
        <v>93.145407221477896</v>
      </c>
      <c r="AM7425">
        <v>75.071461511379695</v>
      </c>
      <c r="AN7425">
        <v>0.99999996826022897</v>
      </c>
    </row>
    <row r="7426" spans="1:40" x14ac:dyDescent="0.25">
      <c r="A7426" t="str">
        <f>"20190312161206514"</f>
        <v>20190312161206514</v>
      </c>
      <c r="B7426" t="str">
        <f>"1552378326504523"</f>
        <v>1552378326504523</v>
      </c>
      <c r="C7426" t="s">
        <v>40</v>
      </c>
      <c r="D7426">
        <v>6.1591620000000002</v>
      </c>
      <c r="E7426">
        <v>0.58238970000000001</v>
      </c>
      <c r="F7426" t="s">
        <v>41</v>
      </c>
      <c r="G7426">
        <v>-159.74459999999999</v>
      </c>
      <c r="H7426" s="1">
        <v>-4.1311830000000001E-7</v>
      </c>
      <c r="I7426">
        <v>138.33779999999999</v>
      </c>
      <c r="J7426">
        <v>-172.83410000000001</v>
      </c>
      <c r="K7426">
        <v>1.0982540000000001</v>
      </c>
      <c r="L7426">
        <v>138.92590000000001</v>
      </c>
      <c r="M7426">
        <v>0.91203690000000004</v>
      </c>
      <c r="N7426">
        <v>0</v>
      </c>
      <c r="O7426">
        <v>0.40997529999999999</v>
      </c>
      <c r="P7426">
        <v>0.98498330000000001</v>
      </c>
      <c r="Q7426">
        <v>-5.857652E-2</v>
      </c>
      <c r="R7426">
        <v>0.16240950000000001</v>
      </c>
      <c r="S7426">
        <v>3.0574189999999999</v>
      </c>
      <c r="T7426">
        <v>-0.25211410000000001</v>
      </c>
      <c r="U7426">
        <v>-0.1144867</v>
      </c>
      <c r="V7426">
        <v>0.25434869999999998</v>
      </c>
      <c r="W7426">
        <v>-5.5197830000000003E-2</v>
      </c>
      <c r="X7426">
        <v>0.96553610000000001</v>
      </c>
      <c r="Y7426">
        <v>0.44100869999999998</v>
      </c>
      <c r="Z7426">
        <v>-5.117273E-2</v>
      </c>
      <c r="AA7426">
        <v>0.89604280000000003</v>
      </c>
      <c r="AB7426">
        <v>25</v>
      </c>
      <c r="AC7426">
        <v>13.089499999999999</v>
      </c>
      <c r="AD7426">
        <v>-1.0982544131183001</v>
      </c>
      <c r="AE7426">
        <v>-0.58810000000002505</v>
      </c>
      <c r="AF7426">
        <v>5.86187888606388</v>
      </c>
      <c r="AG7426">
        <v>-1.0982544131183001</v>
      </c>
      <c r="AH7426">
        <v>11.6160280772574</v>
      </c>
      <c r="AI7426">
        <v>94.824773362484805</v>
      </c>
      <c r="AJ7426">
        <v>63.222793656357403</v>
      </c>
      <c r="AK7426">
        <v>13.057560841231</v>
      </c>
      <c r="AL7426">
        <v>93.164210838151604</v>
      </c>
      <c r="AM7426">
        <v>75.241994731752101</v>
      </c>
      <c r="AN7426">
        <v>1.0000000110158</v>
      </c>
    </row>
    <row r="7427" spans="1:40" x14ac:dyDescent="0.25">
      <c r="A7427" t="str">
        <f>"20190312161206536"</f>
        <v>20190312161206536</v>
      </c>
      <c r="B7427" t="str">
        <f>"1552378326525019"</f>
        <v>1552378326525019</v>
      </c>
      <c r="C7427" t="s">
        <v>40</v>
      </c>
      <c r="D7427">
        <v>6.3613660000000003</v>
      </c>
      <c r="E7427">
        <v>0.5818856</v>
      </c>
      <c r="F7427" t="s">
        <v>41</v>
      </c>
      <c r="G7427">
        <v>-159.9307</v>
      </c>
      <c r="H7427" s="1">
        <v>-3.7219850000000002E-7</v>
      </c>
      <c r="I7427">
        <v>138.25360000000001</v>
      </c>
      <c r="J7427">
        <v>-172.59309999999999</v>
      </c>
      <c r="K7427">
        <v>1.0982889999999901</v>
      </c>
      <c r="L7427">
        <v>139.01580000000001</v>
      </c>
      <c r="M7427">
        <v>0.91838109999999995</v>
      </c>
      <c r="N7427">
        <v>0</v>
      </c>
      <c r="O7427">
        <v>0.39555859999999998</v>
      </c>
      <c r="P7427">
        <v>0.98694590000000004</v>
      </c>
      <c r="Q7427">
        <v>-5.9055030000000001E-2</v>
      </c>
      <c r="R7427">
        <v>0.14983489999999999</v>
      </c>
      <c r="S7427">
        <v>3.0565340000000001</v>
      </c>
      <c r="T7427">
        <v>-0.26015189999999999</v>
      </c>
      <c r="U7427">
        <v>-0.15924070000000001</v>
      </c>
      <c r="V7427">
        <v>0.25143690000000002</v>
      </c>
      <c r="W7427">
        <v>-5.5536000000000002E-2</v>
      </c>
      <c r="X7427">
        <v>0.96627909999999995</v>
      </c>
      <c r="Y7427">
        <v>0.43986120000000001</v>
      </c>
      <c r="Z7427">
        <v>-5.162978E-2</v>
      </c>
      <c r="AA7427">
        <v>0.8965805</v>
      </c>
      <c r="AB7427">
        <v>25</v>
      </c>
      <c r="AC7427">
        <v>12.6623999999999</v>
      </c>
      <c r="AD7427">
        <v>-1.0982893721985001</v>
      </c>
      <c r="AE7427">
        <v>-0.76220000000000698</v>
      </c>
      <c r="AF7427">
        <v>5.6665474531931004</v>
      </c>
      <c r="AG7427">
        <v>-1.0982893721985001</v>
      </c>
      <c r="AH7427">
        <v>11.2437511917188</v>
      </c>
      <c r="AI7427">
        <v>94.985210246266703</v>
      </c>
      <c r="AJ7427">
        <v>63.253127712894603</v>
      </c>
      <c r="AK7427">
        <v>12.6387475821638</v>
      </c>
      <c r="AL7427">
        <v>93.1836162561099</v>
      </c>
      <c r="AM7427">
        <v>75.414435529692796</v>
      </c>
      <c r="AN7427">
        <v>1.0000000305372001</v>
      </c>
    </row>
    <row r="7428" spans="1:40" x14ac:dyDescent="0.25">
      <c r="A7428" t="str">
        <f>"20190312161206559"</f>
        <v>20190312161206559</v>
      </c>
      <c r="B7428" t="str">
        <f>"1552378326554299"</f>
        <v>1552378326554299</v>
      </c>
      <c r="C7428" t="s">
        <v>40</v>
      </c>
      <c r="D7428">
        <v>5.9026909999999999</v>
      </c>
      <c r="E7428">
        <v>0.58216119999999905</v>
      </c>
      <c r="F7428" t="s">
        <v>41</v>
      </c>
      <c r="G7428">
        <v>-159.1557</v>
      </c>
      <c r="H7428" s="1">
        <v>-6.6084519999999899E-7</v>
      </c>
      <c r="I7428">
        <v>138.15989999999999</v>
      </c>
      <c r="J7428">
        <v>-172.3442</v>
      </c>
      <c r="K7428">
        <v>1.0983309999999999</v>
      </c>
      <c r="L7428">
        <v>139.10429999999999</v>
      </c>
      <c r="M7428">
        <v>0.92460560000000003</v>
      </c>
      <c r="N7428">
        <v>0</v>
      </c>
      <c r="O7428">
        <v>0.38078099999999998</v>
      </c>
      <c r="P7428">
        <v>0.98879680000000003</v>
      </c>
      <c r="Q7428">
        <v>-5.9078239999999997E-2</v>
      </c>
      <c r="R7428">
        <v>0.13707949999999999</v>
      </c>
      <c r="S7428">
        <v>3.0542760000000002</v>
      </c>
      <c r="T7428">
        <v>-0.24963769999999999</v>
      </c>
      <c r="U7428">
        <v>-0.194519</v>
      </c>
      <c r="V7428">
        <v>0.24842529999999999</v>
      </c>
      <c r="W7428">
        <v>-5.5407829999999998E-2</v>
      </c>
      <c r="X7428">
        <v>0.96706499999999995</v>
      </c>
      <c r="Y7428">
        <v>0.4361218</v>
      </c>
      <c r="Z7428">
        <v>-4.8302419999999999E-2</v>
      </c>
      <c r="AA7428">
        <v>0.89859040000000001</v>
      </c>
      <c r="AB7428">
        <v>25</v>
      </c>
      <c r="AC7428">
        <v>13.188499999999999</v>
      </c>
      <c r="AD7428">
        <v>-1.0983316608451901</v>
      </c>
      <c r="AE7428">
        <v>-0.94440000000000102</v>
      </c>
      <c r="AF7428">
        <v>5.8550525242552798</v>
      </c>
      <c r="AG7428">
        <v>-1.0983316608451901</v>
      </c>
      <c r="AH7428">
        <v>11.754099808919401</v>
      </c>
      <c r="AI7428">
        <v>94.781089011826793</v>
      </c>
      <c r="AJ7428">
        <v>63.520794634335701</v>
      </c>
      <c r="AK7428">
        <v>13.177512466965901</v>
      </c>
      <c r="AL7428">
        <v>93.176261632838404</v>
      </c>
      <c r="AM7428">
        <v>75.5930406686129</v>
      </c>
      <c r="AN7428">
        <v>0.99999993576519697</v>
      </c>
    </row>
    <row r="7429" spans="1:40" x14ac:dyDescent="0.25">
      <c r="A7429" t="str">
        <f>"20190312161206581"</f>
        <v>20190312161206581</v>
      </c>
      <c r="B7429" t="str">
        <f>"1552378326574795"</f>
        <v>1552378326574795</v>
      </c>
      <c r="C7429" t="s">
        <v>40</v>
      </c>
      <c r="D7429">
        <v>5.9008430000000001</v>
      </c>
      <c r="E7429">
        <v>0.58359989999999995</v>
      </c>
      <c r="F7429" t="s">
        <v>41</v>
      </c>
      <c r="G7429">
        <v>-158.16579999999999</v>
      </c>
      <c r="H7429" s="1">
        <v>-1.054869E-6</v>
      </c>
      <c r="I7429">
        <v>138.00550000000001</v>
      </c>
      <c r="J7429">
        <v>-172.09370000000001</v>
      </c>
      <c r="K7429">
        <v>1.0983940000000001</v>
      </c>
      <c r="L7429">
        <v>139.1892</v>
      </c>
      <c r="M7429">
        <v>0.93054720000000002</v>
      </c>
      <c r="N7429">
        <v>0</v>
      </c>
      <c r="O7429">
        <v>0.3660197</v>
      </c>
      <c r="P7429">
        <v>0.99046639999999997</v>
      </c>
      <c r="Q7429">
        <v>-5.9516630000000001E-2</v>
      </c>
      <c r="R7429">
        <v>0.1242345</v>
      </c>
      <c r="S7429">
        <v>3.052673</v>
      </c>
      <c r="T7429">
        <v>-0.2364753</v>
      </c>
      <c r="U7429">
        <v>-0.23657230000000001</v>
      </c>
      <c r="V7429">
        <v>0.24557680000000001</v>
      </c>
      <c r="W7429">
        <v>-5.568886E-2</v>
      </c>
      <c r="X7429">
        <v>0.96777619999999998</v>
      </c>
      <c r="Y7429">
        <v>0.4344867</v>
      </c>
      <c r="Z7429">
        <v>-4.4640909999999999E-2</v>
      </c>
      <c r="AA7429">
        <v>0.89957129999999996</v>
      </c>
      <c r="AB7429">
        <v>25</v>
      </c>
      <c r="AC7429">
        <v>13.927899999999999</v>
      </c>
      <c r="AD7429">
        <v>-1.098395054869</v>
      </c>
      <c r="AE7429">
        <v>-1.18369999999998</v>
      </c>
      <c r="AF7429">
        <v>6.1616732370761298</v>
      </c>
      <c r="AG7429">
        <v>-1.098395054869</v>
      </c>
      <c r="AH7429">
        <v>12.451126457677001</v>
      </c>
      <c r="AI7429">
        <v>94.520678943156</v>
      </c>
      <c r="AJ7429">
        <v>63.670630958967699</v>
      </c>
      <c r="AK7429">
        <v>13.9356822166023</v>
      </c>
      <c r="AL7429">
        <v>93.192388181860593</v>
      </c>
      <c r="AM7429">
        <v>75.761515602295802</v>
      </c>
      <c r="AN7429">
        <v>0.99999999355638902</v>
      </c>
    </row>
    <row r="7430" spans="1:40" x14ac:dyDescent="0.25">
      <c r="A7430" t="str">
        <f>"20190312161206604"</f>
        <v>20190312161206604</v>
      </c>
      <c r="B7430" t="str">
        <f>"1552378326594315"</f>
        <v>1552378326594315</v>
      </c>
      <c r="C7430" t="s">
        <v>40</v>
      </c>
      <c r="D7430">
        <v>6.0531620000000004</v>
      </c>
      <c r="E7430">
        <v>0.58377480000000004</v>
      </c>
      <c r="F7430" t="s">
        <v>41</v>
      </c>
      <c r="G7430">
        <v>-156.35169999999999</v>
      </c>
      <c r="H7430" s="1">
        <v>-1.886919E-6</v>
      </c>
      <c r="I7430">
        <v>137.7021</v>
      </c>
      <c r="J7430">
        <v>-171.8503</v>
      </c>
      <c r="K7430">
        <v>1.098465</v>
      </c>
      <c r="L7430">
        <v>139.26759999999999</v>
      </c>
      <c r="M7430">
        <v>0.9360134</v>
      </c>
      <c r="N7430">
        <v>0</v>
      </c>
      <c r="O7430">
        <v>0.35180460000000002</v>
      </c>
      <c r="P7430">
        <v>0.99192659999999999</v>
      </c>
      <c r="Q7430">
        <v>-5.9521230000000001E-2</v>
      </c>
      <c r="R7430">
        <v>0.1119777</v>
      </c>
      <c r="S7430">
        <v>3.0522459999999998</v>
      </c>
      <c r="T7430">
        <v>-0.21296989999999999</v>
      </c>
      <c r="U7430">
        <v>-0.28831479999999998</v>
      </c>
      <c r="V7430">
        <v>0.24281469999999999</v>
      </c>
      <c r="W7430">
        <v>-5.5526480000000003E-2</v>
      </c>
      <c r="X7430">
        <v>0.96848230000000002</v>
      </c>
      <c r="Y7430">
        <v>0.43640649999999997</v>
      </c>
      <c r="Z7430">
        <v>-3.9335000000000002E-2</v>
      </c>
      <c r="AA7430">
        <v>0.89888939999999995</v>
      </c>
      <c r="AB7430">
        <v>25</v>
      </c>
      <c r="AC7430">
        <v>15.4986</v>
      </c>
      <c r="AD7430">
        <v>-1.098466886919</v>
      </c>
      <c r="AE7430">
        <v>-1.5654999999999799</v>
      </c>
      <c r="AF7430">
        <v>6.88396573510175</v>
      </c>
      <c r="AG7430">
        <v>-1.098466886919</v>
      </c>
      <c r="AH7430">
        <v>13.8878735049041</v>
      </c>
      <c r="AI7430">
        <v>94.053606549344295</v>
      </c>
      <c r="AJ7430">
        <v>63.633223545878103</v>
      </c>
      <c r="AK7430">
        <v>15.5392613798703</v>
      </c>
      <c r="AL7430">
        <v>93.183069841266899</v>
      </c>
      <c r="AM7430">
        <v>75.925113927247494</v>
      </c>
      <c r="AN7430">
        <v>1.00000006696528</v>
      </c>
    </row>
    <row r="7431" spans="1:40" x14ac:dyDescent="0.25">
      <c r="A7431" t="str">
        <f>"20190312161206626"</f>
        <v>20190312161206626</v>
      </c>
      <c r="B7431" t="str">
        <f>"1552378326614811"</f>
        <v>1552378326614811</v>
      </c>
      <c r="C7431" t="s">
        <v>40</v>
      </c>
      <c r="D7431">
        <v>5.936153</v>
      </c>
      <c r="E7431">
        <v>0.584032199999999</v>
      </c>
      <c r="F7431" t="s">
        <v>41</v>
      </c>
      <c r="G7431">
        <v>-154.65700000000001</v>
      </c>
      <c r="H7431" s="1">
        <v>-2.664236E-6</v>
      </c>
      <c r="I7431">
        <v>137.4187</v>
      </c>
      <c r="J7431">
        <v>-171.60120000000001</v>
      </c>
      <c r="K7431">
        <v>1.098549</v>
      </c>
      <c r="L7431">
        <v>139.34350000000001</v>
      </c>
      <c r="M7431">
        <v>0.94130000000000003</v>
      </c>
      <c r="N7431">
        <v>0</v>
      </c>
      <c r="O7431">
        <v>0.3374028</v>
      </c>
      <c r="P7431">
        <v>0.99324520000000005</v>
      </c>
      <c r="Q7431">
        <v>-5.8541099999999902E-2</v>
      </c>
      <c r="R7431">
        <v>0.10018589999999999</v>
      </c>
      <c r="S7431">
        <v>3.0497589999999999</v>
      </c>
      <c r="T7431">
        <v>-0.1948462</v>
      </c>
      <c r="U7431">
        <v>-0.32794190000000001</v>
      </c>
      <c r="V7431">
        <v>0.2395187</v>
      </c>
      <c r="W7431">
        <v>-5.4355859999999999E-2</v>
      </c>
      <c r="X7431">
        <v>0.96936900000000004</v>
      </c>
      <c r="Y7431">
        <v>0.43458210000000003</v>
      </c>
      <c r="Z7431">
        <v>-3.5075699999999897E-2</v>
      </c>
      <c r="AA7431">
        <v>0.89994889999999905</v>
      </c>
      <c r="AB7431">
        <v>25</v>
      </c>
      <c r="AC7431">
        <v>16.944199999999899</v>
      </c>
      <c r="AD7431">
        <v>-1.098551664236</v>
      </c>
      <c r="AE7431">
        <v>-1.9248000000000001</v>
      </c>
      <c r="AF7431">
        <v>7.49814661914347</v>
      </c>
      <c r="AG7431">
        <v>-1.098551664236</v>
      </c>
      <c r="AH7431">
        <v>15.2377779215067</v>
      </c>
      <c r="AI7431">
        <v>93.701107895358106</v>
      </c>
      <c r="AJ7431">
        <v>63.799302724755599</v>
      </c>
      <c r="AK7431">
        <v>17.018193043514501</v>
      </c>
      <c r="AL7431">
        <v>93.1158969672301</v>
      </c>
      <c r="AM7431">
        <v>76.120936323840695</v>
      </c>
      <c r="AN7431">
        <v>1.00000001266351</v>
      </c>
    </row>
    <row r="7432" spans="1:40" x14ac:dyDescent="0.25">
      <c r="A7432" t="str">
        <f>"20190312161206648"</f>
        <v>20190312161206648</v>
      </c>
      <c r="B7432" t="str">
        <f>"1552378326645067"</f>
        <v>1552378326645067</v>
      </c>
      <c r="C7432" t="s">
        <v>40</v>
      </c>
      <c r="D7432">
        <v>5.9864839999999999</v>
      </c>
      <c r="E7432">
        <v>0.58366609999999997</v>
      </c>
      <c r="F7432" t="s">
        <v>41</v>
      </c>
      <c r="G7432">
        <v>-152.8023</v>
      </c>
      <c r="H7432" s="1">
        <v>-3.5196729999999998E-6</v>
      </c>
      <c r="I7432">
        <v>137.08179999999999</v>
      </c>
      <c r="J7432">
        <v>-171.3503</v>
      </c>
      <c r="K7432">
        <v>1.0986370000000001</v>
      </c>
      <c r="L7432">
        <v>139.416</v>
      </c>
      <c r="M7432">
        <v>0.9463279</v>
      </c>
      <c r="N7432">
        <v>0</v>
      </c>
      <c r="O7432">
        <v>0.32303029999999999</v>
      </c>
      <c r="P7432">
        <v>0.99437940000000002</v>
      </c>
      <c r="Q7432">
        <v>-5.819705E-2</v>
      </c>
      <c r="R7432">
        <v>8.8446860000000002E-2</v>
      </c>
      <c r="S7432">
        <v>3.0468899999999999</v>
      </c>
      <c r="T7432">
        <v>-0.1780505</v>
      </c>
      <c r="U7432">
        <v>-0.36657709999999999</v>
      </c>
      <c r="V7432">
        <v>0.23623630000000001</v>
      </c>
      <c r="W7432">
        <v>-5.3821819999999999E-2</v>
      </c>
      <c r="X7432">
        <v>0.97020390000000001</v>
      </c>
      <c r="Y7432">
        <v>0.4325135</v>
      </c>
      <c r="Z7432">
        <v>-3.120825E-2</v>
      </c>
      <c r="AA7432">
        <v>0.90108719999999998</v>
      </c>
      <c r="AB7432">
        <v>25</v>
      </c>
      <c r="AC7432">
        <v>18.547999999999998</v>
      </c>
      <c r="AD7432">
        <v>-1.098640519673</v>
      </c>
      <c r="AE7432">
        <v>-2.3342000000000098</v>
      </c>
      <c r="AF7432">
        <v>8.1727291816090499</v>
      </c>
      <c r="AG7432">
        <v>-1.098640519673</v>
      </c>
      <c r="AH7432">
        <v>16.7416163567684</v>
      </c>
      <c r="AI7432">
        <v>93.374922111734705</v>
      </c>
      <c r="AJ7432">
        <v>63.979828733172901</v>
      </c>
      <c r="AK7432">
        <v>18.662321171403299</v>
      </c>
      <c r="AL7432">
        <v>93.085253933340496</v>
      </c>
      <c r="AM7432">
        <v>76.315269892558902</v>
      </c>
      <c r="AN7432">
        <v>0.99999999266050599</v>
      </c>
    </row>
    <row r="7433" spans="1:40" x14ac:dyDescent="0.25">
      <c r="A7433" t="str">
        <f>"20190312161206672"</f>
        <v>20190312161206672</v>
      </c>
      <c r="B7433" t="str">
        <f>"1552378326664588"</f>
        <v>1552378326664588</v>
      </c>
      <c r="C7433" t="s">
        <v>40</v>
      </c>
      <c r="D7433">
        <v>6.1113970000000002</v>
      </c>
      <c r="E7433">
        <v>0.58323599999999998</v>
      </c>
      <c r="F7433" t="s">
        <v>41</v>
      </c>
      <c r="G7433">
        <v>-150.5829</v>
      </c>
      <c r="H7433" s="1">
        <v>-4.5421010000000003E-6</v>
      </c>
      <c r="I7433">
        <v>136.68530000000001</v>
      </c>
      <c r="J7433">
        <v>-171.0898</v>
      </c>
      <c r="K7433">
        <v>1.098716</v>
      </c>
      <c r="L7433">
        <v>139.4872</v>
      </c>
      <c r="M7433">
        <v>0.95124830000000005</v>
      </c>
      <c r="N7433">
        <v>0</v>
      </c>
      <c r="O7433">
        <v>0.30823800000000001</v>
      </c>
      <c r="P7433">
        <v>0.99539319999999998</v>
      </c>
      <c r="Q7433">
        <v>-5.7854179999999998E-2</v>
      </c>
      <c r="R7433">
        <v>7.6457689999999995E-2</v>
      </c>
      <c r="S7433">
        <v>3.043091</v>
      </c>
      <c r="T7433">
        <v>-0.160986299999999</v>
      </c>
      <c r="U7433">
        <v>-0.40013120000000002</v>
      </c>
      <c r="V7433">
        <v>0.23282929999999999</v>
      </c>
      <c r="W7433">
        <v>-5.3289259999999998E-2</v>
      </c>
      <c r="X7433">
        <v>0.97105649999999999</v>
      </c>
      <c r="Y7433">
        <v>0.42863030000000002</v>
      </c>
      <c r="Z7433">
        <v>-2.7387709999999999E-2</v>
      </c>
      <c r="AA7433">
        <v>0.9030648</v>
      </c>
      <c r="AB7433">
        <v>26</v>
      </c>
      <c r="AC7433">
        <v>20.506900000000002</v>
      </c>
      <c r="AD7433">
        <v>-1.098720542101</v>
      </c>
      <c r="AE7433">
        <v>-2.8018999999999799</v>
      </c>
      <c r="AF7433">
        <v>8.9615759769169401</v>
      </c>
      <c r="AG7433">
        <v>-1.098720542101</v>
      </c>
      <c r="AH7433">
        <v>18.592190321012598</v>
      </c>
      <c r="AI7433">
        <v>93.047234230530407</v>
      </c>
      <c r="AJ7433">
        <v>64.265582577977895</v>
      </c>
      <c r="AK7433">
        <v>20.6684922467132</v>
      </c>
      <c r="AL7433">
        <v>93.054696686122796</v>
      </c>
      <c r="AM7433">
        <v>76.516778849624203</v>
      </c>
      <c r="AN7433">
        <v>0.99999997718104305</v>
      </c>
    </row>
    <row r="7434" spans="1:40" x14ac:dyDescent="0.25">
      <c r="A7434" t="str">
        <f>"20190312161206694"</f>
        <v>20190312161206694</v>
      </c>
      <c r="B7434" t="str">
        <f>"1552378326685085"</f>
        <v>1552378326685085</v>
      </c>
      <c r="C7434" t="s">
        <v>40</v>
      </c>
      <c r="D7434">
        <v>6.1361540000000003</v>
      </c>
      <c r="E7434">
        <v>0.58268640000000005</v>
      </c>
      <c r="F7434" t="s">
        <v>41</v>
      </c>
      <c r="G7434">
        <v>-148.6688</v>
      </c>
      <c r="H7434" s="1">
        <v>-1.3249490000000001E-6</v>
      </c>
      <c r="I7434">
        <v>136.2868</v>
      </c>
      <c r="J7434">
        <v>-170.82390000000001</v>
      </c>
      <c r="K7434">
        <v>1.098792</v>
      </c>
      <c r="L7434">
        <v>139.5556</v>
      </c>
      <c r="M7434">
        <v>0.95596460000000005</v>
      </c>
      <c r="N7434">
        <v>0</v>
      </c>
      <c r="O7434">
        <v>0.2932823</v>
      </c>
      <c r="P7434">
        <v>0.99622599999999994</v>
      </c>
      <c r="Q7434">
        <v>-5.8348129999999998E-2</v>
      </c>
      <c r="R7434">
        <v>6.4262009999999994E-2</v>
      </c>
      <c r="S7434">
        <v>3.0385279999999999</v>
      </c>
      <c r="T7434">
        <v>-0.148899799999999</v>
      </c>
      <c r="U7434">
        <v>-0.43371579999999899</v>
      </c>
      <c r="V7434">
        <v>0.22948379999999999</v>
      </c>
      <c r="W7434">
        <v>-5.359995E-2</v>
      </c>
      <c r="X7434">
        <v>0.97183549999999996</v>
      </c>
      <c r="Y7434">
        <v>0.42460290000000001</v>
      </c>
      <c r="Z7434">
        <v>-2.4551300000000002E-2</v>
      </c>
      <c r="AA7434">
        <v>0.90504680000000004</v>
      </c>
      <c r="AB7434">
        <v>26</v>
      </c>
      <c r="AC7434">
        <v>22.155100000000001</v>
      </c>
      <c r="AD7434">
        <v>-1.0987933249490001</v>
      </c>
      <c r="AE7434">
        <v>-3.2687999999999899</v>
      </c>
      <c r="AF7434">
        <v>9.6000093840768592</v>
      </c>
      <c r="AG7434">
        <v>-1.0987933249490001</v>
      </c>
      <c r="AH7434">
        <v>20.173431220434001</v>
      </c>
      <c r="AI7434">
        <v>92.815678633121394</v>
      </c>
      <c r="AJ7434">
        <v>64.551442482316304</v>
      </c>
      <c r="AK7434">
        <v>22.3681660882357</v>
      </c>
      <c r="AL7434">
        <v>93.0725233072516</v>
      </c>
      <c r="AM7434">
        <v>76.713869218683897</v>
      </c>
      <c r="AN7434">
        <v>1.0000000040813399</v>
      </c>
    </row>
    <row r="7435" spans="1:40" x14ac:dyDescent="0.25">
      <c r="A7435" t="str">
        <f>"20190312161206717"</f>
        <v>20190312161206717</v>
      </c>
      <c r="B7435" t="str">
        <f>"1552378326704603"</f>
        <v>1552378326704603</v>
      </c>
      <c r="C7435" t="s">
        <v>40</v>
      </c>
      <c r="D7435">
        <v>6.1555660000000003</v>
      </c>
      <c r="E7435">
        <v>0.58180080000000001</v>
      </c>
      <c r="F7435" t="s">
        <v>41</v>
      </c>
      <c r="G7435">
        <v>-147.4649</v>
      </c>
      <c r="H7435" s="1">
        <v>-1.8211889999999999E-6</v>
      </c>
      <c r="I7435">
        <v>135.9615</v>
      </c>
      <c r="J7435">
        <v>-170.57130000000001</v>
      </c>
      <c r="K7435">
        <v>1.098875</v>
      </c>
      <c r="L7435">
        <v>139.61660000000001</v>
      </c>
      <c r="M7435">
        <v>0.96016630000000003</v>
      </c>
      <c r="N7435">
        <v>0</v>
      </c>
      <c r="O7435">
        <v>0.2792173</v>
      </c>
      <c r="P7435">
        <v>0.99691779999999997</v>
      </c>
      <c r="Q7435">
        <v>-5.7609870000000001E-2</v>
      </c>
      <c r="R7435">
        <v>5.3253729999999999E-2</v>
      </c>
      <c r="S7435">
        <v>3.033112</v>
      </c>
      <c r="T7435">
        <v>-0.14267539999999901</v>
      </c>
      <c r="U7435">
        <v>-0.4666748</v>
      </c>
      <c r="V7435">
        <v>0.2259948</v>
      </c>
      <c r="W7435">
        <v>-5.267877E-2</v>
      </c>
      <c r="X7435">
        <v>0.97270310000000004</v>
      </c>
      <c r="Y7435">
        <v>0.42124909999999999</v>
      </c>
      <c r="Z7435">
        <v>-2.2833260000000001E-2</v>
      </c>
      <c r="AA7435">
        <v>0.90665750000000001</v>
      </c>
      <c r="AB7435">
        <v>26</v>
      </c>
      <c r="AC7435">
        <v>23.106400000000001</v>
      </c>
      <c r="AD7435">
        <v>-1.0988768211890001</v>
      </c>
      <c r="AE7435">
        <v>-3.6551</v>
      </c>
      <c r="AF7435">
        <v>9.9398679801704795</v>
      </c>
      <c r="AG7435">
        <v>-1.0988768211890001</v>
      </c>
      <c r="AH7435">
        <v>21.120071275760999</v>
      </c>
      <c r="AI7435">
        <v>92.695313591245807</v>
      </c>
      <c r="AJ7435">
        <v>64.796631157072895</v>
      </c>
      <c r="AK7435">
        <v>23.3680533298045</v>
      </c>
      <c r="AL7435">
        <v>93.019668879037198</v>
      </c>
      <c r="AM7435">
        <v>76.920134502969105</v>
      </c>
      <c r="AN7435">
        <v>1.0000000115926799</v>
      </c>
    </row>
    <row r="7436" spans="1:40" x14ac:dyDescent="0.25">
      <c r="A7436" t="str">
        <f>"20190312161206737"</f>
        <v>20190312161206737</v>
      </c>
      <c r="B7436" t="str">
        <f>"1552378326734860"</f>
        <v>1552378326734860</v>
      </c>
      <c r="C7436" t="s">
        <v>40</v>
      </c>
      <c r="D7436">
        <v>6.1388540000000003</v>
      </c>
      <c r="E7436">
        <v>0.58019569999999998</v>
      </c>
      <c r="F7436" t="s">
        <v>41</v>
      </c>
      <c r="G7436">
        <v>-146.1902</v>
      </c>
      <c r="H7436" s="1">
        <v>-2.339163E-6</v>
      </c>
      <c r="I7436">
        <v>135.64510000000001</v>
      </c>
      <c r="J7436">
        <v>-170.3305</v>
      </c>
      <c r="K7436">
        <v>1.0989610000000001</v>
      </c>
      <c r="L7436">
        <v>139.67140000000001</v>
      </c>
      <c r="M7436">
        <v>0.96392370000000005</v>
      </c>
      <c r="N7436">
        <v>0</v>
      </c>
      <c r="O7436">
        <v>0.26595489999999999</v>
      </c>
      <c r="P7436">
        <v>0.99745729999999999</v>
      </c>
      <c r="Q7436">
        <v>-5.639723E-2</v>
      </c>
      <c r="R7436">
        <v>4.3572590000000001E-2</v>
      </c>
      <c r="S7436">
        <v>3.0277400000000001</v>
      </c>
      <c r="T7436">
        <v>-0.13646259999999999</v>
      </c>
      <c r="U7436">
        <v>-0.49319459999999998</v>
      </c>
      <c r="V7436">
        <v>0.2220907</v>
      </c>
      <c r="W7436">
        <v>-5.1277070000000001E-2</v>
      </c>
      <c r="X7436">
        <v>0.97367669999999995</v>
      </c>
      <c r="Y7436">
        <v>0.41681499999999999</v>
      </c>
      <c r="Z7436">
        <v>-2.1185530000000001E-2</v>
      </c>
      <c r="AA7436">
        <v>0.90874449999999996</v>
      </c>
      <c r="AB7436">
        <v>26</v>
      </c>
      <c r="AC7436">
        <v>24.1403</v>
      </c>
      <c r="AD7436">
        <v>-1.098963339163</v>
      </c>
      <c r="AE7436">
        <v>-4.0262999999999902</v>
      </c>
      <c r="AF7436">
        <v>10.2811601535146</v>
      </c>
      <c r="AG7436">
        <v>-1.098963339163</v>
      </c>
      <c r="AH7436">
        <v>22.155242422231598</v>
      </c>
      <c r="AI7436">
        <v>92.576244272338599</v>
      </c>
      <c r="AJ7436">
        <v>65.106300282665998</v>
      </c>
      <c r="AK7436">
        <v>24.449227826475301</v>
      </c>
      <c r="AL7436">
        <v>92.939248802470303</v>
      </c>
      <c r="AM7436">
        <v>77.150947992404298</v>
      </c>
      <c r="AN7436">
        <v>0.99999996652858103</v>
      </c>
    </row>
    <row r="7437" spans="1:40" x14ac:dyDescent="0.25">
      <c r="A7437" t="str">
        <f>"20190312161206761"</f>
        <v>20190312161206761</v>
      </c>
      <c r="B7437" t="str">
        <f>"1552378326754379"</f>
        <v>1552378326754379</v>
      </c>
      <c r="C7437" t="s">
        <v>40</v>
      </c>
      <c r="D7437">
        <v>6.0786749999999996</v>
      </c>
      <c r="E7437">
        <v>0.57919989999999999</v>
      </c>
      <c r="F7437" t="s">
        <v>41</v>
      </c>
      <c r="G7437">
        <v>-144.60319999999999</v>
      </c>
      <c r="H7437" s="1">
        <v>-3.0575240000000002E-6</v>
      </c>
      <c r="I7437">
        <v>135.33160000000001</v>
      </c>
      <c r="J7437">
        <v>-170.06360000000001</v>
      </c>
      <c r="K7437">
        <v>1.0990679999999999</v>
      </c>
      <c r="L7437">
        <v>139.72829999999999</v>
      </c>
      <c r="M7437">
        <v>0.96781289999999998</v>
      </c>
      <c r="N7437">
        <v>0</v>
      </c>
      <c r="O7437">
        <v>0.2514324</v>
      </c>
      <c r="P7437">
        <v>0.9979365</v>
      </c>
      <c r="Q7437">
        <v>-5.6328639999999999E-2</v>
      </c>
      <c r="R7437">
        <v>3.0822519999999999E-2</v>
      </c>
      <c r="S7437">
        <v>3.0226440000000001</v>
      </c>
      <c r="T7437">
        <v>-0.12911489999999901</v>
      </c>
      <c r="U7437">
        <v>-0.5098724</v>
      </c>
      <c r="V7437">
        <v>0.219912</v>
      </c>
      <c r="W7437">
        <v>-5.1061040000000002E-2</v>
      </c>
      <c r="X7437">
        <v>0.97418249999999995</v>
      </c>
      <c r="Y7437">
        <v>0.40834720000000002</v>
      </c>
      <c r="Z7437">
        <v>-1.928674E-2</v>
      </c>
      <c r="AA7437">
        <v>0.91262290000000001</v>
      </c>
      <c r="AB7437">
        <v>26</v>
      </c>
      <c r="AC7437">
        <v>25.4604</v>
      </c>
      <c r="AD7437">
        <v>-1.0990710575239999</v>
      </c>
      <c r="AE7437">
        <v>-4.3966999999999796</v>
      </c>
      <c r="AF7437">
        <v>10.638141840711601</v>
      </c>
      <c r="AG7437">
        <v>-1.0990710575239999</v>
      </c>
      <c r="AH7437">
        <v>23.494329198117299</v>
      </c>
      <c r="AI7437">
        <v>92.440196204732601</v>
      </c>
      <c r="AJ7437">
        <v>65.639165348086493</v>
      </c>
      <c r="AK7437">
        <v>25.813979226033599</v>
      </c>
      <c r="AL7437">
        <v>92.926854771732593</v>
      </c>
      <c r="AM7437">
        <v>77.279264672352397</v>
      </c>
      <c r="AN7437">
        <v>1.0000000304280601</v>
      </c>
    </row>
    <row r="7438" spans="1:40" x14ac:dyDescent="0.25">
      <c r="A7438" t="str">
        <f>"20190312161206782"</f>
        <v>20190312161206782</v>
      </c>
      <c r="B7438" t="str">
        <f>"1552378326774876"</f>
        <v>1552378326774876</v>
      </c>
      <c r="C7438" t="s">
        <v>40</v>
      </c>
      <c r="D7438">
        <v>6.2824939999999998</v>
      </c>
      <c r="E7438">
        <v>0.57821040000000001</v>
      </c>
      <c r="F7438" t="s">
        <v>41</v>
      </c>
      <c r="G7438">
        <v>-144.53399999999999</v>
      </c>
      <c r="H7438" s="1">
        <v>-3.1189919999999999E-6</v>
      </c>
      <c r="I7438">
        <v>135.1525</v>
      </c>
      <c r="J7438">
        <v>-169.81030000000001</v>
      </c>
      <c r="K7438">
        <v>1.099194</v>
      </c>
      <c r="L7438">
        <v>139.77869999999999</v>
      </c>
      <c r="M7438">
        <v>0.97124180000000004</v>
      </c>
      <c r="N7438">
        <v>0</v>
      </c>
      <c r="O7438">
        <v>0.23784279999999999</v>
      </c>
      <c r="P7438">
        <v>0.99822200000000005</v>
      </c>
      <c r="Q7438">
        <v>-5.5806599999999998E-2</v>
      </c>
      <c r="R7438">
        <v>2.0949349999999999E-2</v>
      </c>
      <c r="S7438">
        <v>3.015549</v>
      </c>
      <c r="T7438">
        <v>-0.12982179999999999</v>
      </c>
      <c r="U7438">
        <v>-0.5404968</v>
      </c>
      <c r="V7438">
        <v>0.21593090000000001</v>
      </c>
      <c r="W7438">
        <v>-5.034893E-2</v>
      </c>
      <c r="X7438">
        <v>0.97510960000000002</v>
      </c>
      <c r="Y7438">
        <v>0.40490779999999998</v>
      </c>
      <c r="Z7438">
        <v>-1.877767E-2</v>
      </c>
      <c r="AA7438">
        <v>0.91416470000000005</v>
      </c>
      <c r="AB7438">
        <v>26</v>
      </c>
      <c r="AC7438">
        <v>25.276299999999999</v>
      </c>
      <c r="AD7438">
        <v>-1.099197118992</v>
      </c>
      <c r="AE7438">
        <v>-4.6261999999999803</v>
      </c>
      <c r="AF7438">
        <v>10.4863875498243</v>
      </c>
      <c r="AG7438">
        <v>-1.099197118992</v>
      </c>
      <c r="AH7438">
        <v>23.4076673800081</v>
      </c>
      <c r="AI7438">
        <v>92.453907309146004</v>
      </c>
      <c r="AJ7438">
        <v>65.868124827248195</v>
      </c>
      <c r="AK7438">
        <v>25.672776443629999</v>
      </c>
      <c r="AL7438">
        <v>92.886001555565301</v>
      </c>
      <c r="AM7438">
        <v>77.513760986225705</v>
      </c>
      <c r="AN7438">
        <v>0.99999995016955601</v>
      </c>
    </row>
    <row r="7439" spans="1:40" x14ac:dyDescent="0.25">
      <c r="A7439" t="str">
        <f>"20190312161206806"</f>
        <v>20190312161206806</v>
      </c>
      <c r="B7439" t="str">
        <f>"1552378326794395"</f>
        <v>1552378326794395</v>
      </c>
      <c r="C7439" t="s">
        <v>40</v>
      </c>
      <c r="D7439">
        <v>6.0248970000000002</v>
      </c>
      <c r="E7439">
        <v>0.53762980000000005</v>
      </c>
      <c r="F7439" t="s">
        <v>41</v>
      </c>
      <c r="G7439">
        <v>-144.0402</v>
      </c>
      <c r="H7439" s="1">
        <v>-3.3643440000000001E-6</v>
      </c>
      <c r="I7439">
        <v>134.96360000000001</v>
      </c>
      <c r="J7439">
        <v>-169.5479</v>
      </c>
      <c r="K7439">
        <v>1.099343</v>
      </c>
      <c r="L7439">
        <v>139.8272</v>
      </c>
      <c r="M7439">
        <v>0.97452930000000004</v>
      </c>
      <c r="N7439">
        <v>0</v>
      </c>
      <c r="O7439">
        <v>0.2239913</v>
      </c>
      <c r="P7439">
        <v>0.99838939999999998</v>
      </c>
      <c r="Q7439">
        <v>-5.5628740000000003E-2</v>
      </c>
      <c r="R7439">
        <v>1.116576E-2</v>
      </c>
      <c r="S7439">
        <v>3.0099640000000001</v>
      </c>
      <c r="T7439">
        <v>-0.12838649999999999</v>
      </c>
      <c r="U7439">
        <v>-0.56240840000000003</v>
      </c>
      <c r="V7439">
        <v>0.21163009999999999</v>
      </c>
      <c r="W7439">
        <v>-4.9971559999999998E-2</v>
      </c>
      <c r="X7439">
        <v>0.97607149999999998</v>
      </c>
      <c r="Y7439">
        <v>0.39864640000000001</v>
      </c>
      <c r="Z7439">
        <v>-1.7882370000000002E-2</v>
      </c>
      <c r="AA7439">
        <v>0.91693040000000003</v>
      </c>
      <c r="AB7439">
        <v>26</v>
      </c>
      <c r="AC7439">
        <v>25.5077</v>
      </c>
      <c r="AD7439">
        <v>-1.099346364344</v>
      </c>
      <c r="AE7439">
        <v>-4.8635999999999902</v>
      </c>
      <c r="AF7439">
        <v>10.4351504460382</v>
      </c>
      <c r="AG7439">
        <v>-1.099346364344</v>
      </c>
      <c r="AH7439">
        <v>23.727502133364698</v>
      </c>
      <c r="AI7439">
        <v>92.428560646381101</v>
      </c>
      <c r="AJ7439">
        <v>66.2605214910743</v>
      </c>
      <c r="AK7439">
        <v>25.9440799557254</v>
      </c>
      <c r="AL7439">
        <v>92.864352409321498</v>
      </c>
      <c r="AM7439">
        <v>77.766582747225698</v>
      </c>
      <c r="AN7439">
        <v>1.0000000145735399</v>
      </c>
    </row>
    <row r="7440" spans="1:40" x14ac:dyDescent="0.25">
      <c r="A7440" t="str">
        <f>"20190312161206839"</f>
        <v>20190312161206839</v>
      </c>
      <c r="B7440" t="str">
        <f>"1552378326834412"</f>
        <v>1552378326834412</v>
      </c>
      <c r="C7440" t="s">
        <v>40</v>
      </c>
      <c r="D7440">
        <v>6.0067719999999998</v>
      </c>
      <c r="E7440">
        <v>0.52626099999999998</v>
      </c>
      <c r="F7440" t="s">
        <v>41</v>
      </c>
      <c r="G7440">
        <v>-145.43520000000001</v>
      </c>
      <c r="H7440" s="1">
        <v>-2.2847840000000001E-6</v>
      </c>
      <c r="I7440">
        <v>137.67590000000001</v>
      </c>
      <c r="J7440">
        <v>-169.16030000000001</v>
      </c>
      <c r="K7440">
        <v>1.099567</v>
      </c>
      <c r="L7440">
        <v>139.8922</v>
      </c>
      <c r="M7440">
        <v>0.97891410000000001</v>
      </c>
      <c r="N7440">
        <v>0</v>
      </c>
      <c r="O7440">
        <v>0.20397680000000001</v>
      </c>
      <c r="P7440">
        <v>0.99849639999999995</v>
      </c>
      <c r="Q7440">
        <v>-5.475824E-2</v>
      </c>
      <c r="R7440">
        <v>-2.629391E-3</v>
      </c>
      <c r="S7440">
        <v>3.0002140000000002</v>
      </c>
      <c r="T7440">
        <v>-0.1367854</v>
      </c>
      <c r="U7440">
        <v>-0.26766970000000001</v>
      </c>
      <c r="V7440">
        <v>0.20517460000000001</v>
      </c>
      <c r="W7440">
        <v>-4.8816379999999999E-2</v>
      </c>
      <c r="X7440">
        <v>0.97750720000000002</v>
      </c>
      <c r="Y7440">
        <v>0.289668599999999</v>
      </c>
      <c r="Z7440">
        <v>-1.5835640000000002E-2</v>
      </c>
      <c r="AA7440">
        <v>0.95699599999999996</v>
      </c>
      <c r="AB7440">
        <v>26</v>
      </c>
      <c r="AC7440">
        <v>23.725100000000001</v>
      </c>
      <c r="AD7440">
        <v>-1.099569284784</v>
      </c>
      <c r="AE7440">
        <v>-2.21629999999998</v>
      </c>
      <c r="AF7440">
        <v>6.9944661877793397</v>
      </c>
      <c r="AG7440">
        <v>-1.099569284784</v>
      </c>
      <c r="AH7440">
        <v>22.725743002042002</v>
      </c>
      <c r="AI7440">
        <v>92.647676817524101</v>
      </c>
      <c r="AJ7440">
        <v>72.8928263628694</v>
      </c>
      <c r="AK7440">
        <v>23.803172159586001</v>
      </c>
      <c r="AL7440">
        <v>92.798084646408299</v>
      </c>
      <c r="AM7440">
        <v>78.145942182752506</v>
      </c>
      <c r="AN7440">
        <v>0.99999999074665202</v>
      </c>
    </row>
    <row r="7441" spans="1:40" x14ac:dyDescent="0.25">
      <c r="A7441" t="str">
        <f>"20190312161206861"</f>
        <v>20190312161206861</v>
      </c>
      <c r="B7441" t="str">
        <f>"1552378326854908"</f>
        <v>1552378326854908</v>
      </c>
      <c r="C7441" t="s">
        <v>40</v>
      </c>
      <c r="D7441">
        <v>6.123456</v>
      </c>
      <c r="E7441">
        <v>0.52366970000000002</v>
      </c>
      <c r="F7441" t="s">
        <v>41</v>
      </c>
      <c r="G7441">
        <v>-126.38039999999999</v>
      </c>
      <c r="H7441" s="1">
        <v>-2.0436819999999999E-6</v>
      </c>
      <c r="I7441">
        <v>136.7492</v>
      </c>
      <c r="J7441">
        <v>-168.8878</v>
      </c>
      <c r="K7441">
        <v>1.099723</v>
      </c>
      <c r="L7441">
        <v>139.93360000000001</v>
      </c>
      <c r="M7441">
        <v>0.98169010000000001</v>
      </c>
      <c r="N7441">
        <v>0</v>
      </c>
      <c r="O7441">
        <v>0.19016810000000001</v>
      </c>
      <c r="P7441">
        <v>0.99846880000000005</v>
      </c>
      <c r="Q7441">
        <v>-5.3841899999999998E-2</v>
      </c>
      <c r="R7441">
        <v>-1.2702919999999999E-2</v>
      </c>
      <c r="S7441">
        <v>2.9997250000000002</v>
      </c>
      <c r="T7441">
        <v>-7.7101589999999998E-2</v>
      </c>
      <c r="U7441">
        <v>-0.22038269999999999</v>
      </c>
      <c r="V7441">
        <v>0.2013172</v>
      </c>
      <c r="W7441">
        <v>-4.773115E-2</v>
      </c>
      <c r="X7441">
        <v>0.97836239999999997</v>
      </c>
      <c r="Y7441">
        <v>0.26145309999999999</v>
      </c>
      <c r="Z7441">
        <v>-8.2218229999999996E-3</v>
      </c>
      <c r="AA7441">
        <v>0.96518119999999996</v>
      </c>
      <c r="AB7441">
        <v>26</v>
      </c>
      <c r="AC7441">
        <v>42.507399999999997</v>
      </c>
      <c r="AD7441">
        <v>-1.0997250436820001</v>
      </c>
      <c r="AE7441">
        <v>-3.1844000000000099</v>
      </c>
      <c r="AF7441">
        <v>11.202865135683</v>
      </c>
      <c r="AG7441">
        <v>-1.0997250436820001</v>
      </c>
      <c r="AH7441">
        <v>41.098648314528802</v>
      </c>
      <c r="AI7441">
        <v>91.478834149515805</v>
      </c>
      <c r="AJ7441">
        <v>74.752481721039103</v>
      </c>
      <c r="AK7441">
        <v>42.612351210668002</v>
      </c>
      <c r="AL7441">
        <v>92.735833128968594</v>
      </c>
      <c r="AM7441">
        <v>78.3725659377113</v>
      </c>
      <c r="AN7441">
        <v>0.99999993171495805</v>
      </c>
    </row>
    <row r="7442" spans="1:40" x14ac:dyDescent="0.25">
      <c r="A7442" t="str">
        <f>"20190312161206888"</f>
        <v>20190312161206888</v>
      </c>
      <c r="B7442" t="str">
        <f>"1552378326874427"</f>
        <v>1552378326874427</v>
      </c>
      <c r="C7442" t="s">
        <v>40</v>
      </c>
      <c r="D7442">
        <v>5.758057</v>
      </c>
      <c r="E7442">
        <v>0.5213738</v>
      </c>
      <c r="F7442" t="s">
        <v>41</v>
      </c>
      <c r="G7442">
        <v>-120.07340000000001</v>
      </c>
      <c r="H7442" s="1">
        <v>-4.8489159999999999E-6</v>
      </c>
      <c r="I7442">
        <v>136.18799999999999</v>
      </c>
      <c r="J7442">
        <v>-168.58449999999999</v>
      </c>
      <c r="K7442">
        <v>1.0999030000000001</v>
      </c>
      <c r="L7442">
        <v>139.9753</v>
      </c>
      <c r="M7442">
        <v>0.98447910000000005</v>
      </c>
      <c r="N7442">
        <v>0</v>
      </c>
      <c r="O7442">
        <v>0.17515849999999999</v>
      </c>
      <c r="P7442">
        <v>0.99825129999999995</v>
      </c>
      <c r="Q7442">
        <v>-5.3622209999999997E-2</v>
      </c>
      <c r="R7442">
        <v>-2.4883969999999998E-2</v>
      </c>
      <c r="S7442">
        <v>2.9980159999999998</v>
      </c>
      <c r="T7442">
        <v>-6.7541480000000001E-2</v>
      </c>
      <c r="U7442">
        <v>-0.23004150000000001</v>
      </c>
      <c r="V7442">
        <v>0.19834570000000001</v>
      </c>
      <c r="W7442">
        <v>-4.7362059999999997E-2</v>
      </c>
      <c r="X7442">
        <v>0.97898719999999995</v>
      </c>
      <c r="Y7442">
        <v>0.24987190000000001</v>
      </c>
      <c r="Z7442">
        <v>-6.7414880000000003E-3</v>
      </c>
      <c r="AA7442">
        <v>0.96825550000000005</v>
      </c>
      <c r="AB7442">
        <v>26</v>
      </c>
      <c r="AC7442">
        <v>48.5110999999999</v>
      </c>
      <c r="AD7442">
        <v>-1.0999078489159999</v>
      </c>
      <c r="AE7442">
        <v>-3.7873000000000099</v>
      </c>
      <c r="AF7442">
        <v>12.2201411975296</v>
      </c>
      <c r="AG7442">
        <v>-1.0999078489159999</v>
      </c>
      <c r="AH7442">
        <v>47.073568722698298</v>
      </c>
      <c r="AI7442">
        <v>91.295585649736793</v>
      </c>
      <c r="AJ7442">
        <v>75.447432331137094</v>
      </c>
      <c r="AK7442">
        <v>48.646300172307797</v>
      </c>
      <c r="AL7442">
        <v>92.714661536473699</v>
      </c>
      <c r="AM7442">
        <v>78.546737304778603</v>
      </c>
      <c r="AN7442">
        <v>1.0000000595998799</v>
      </c>
    </row>
    <row r="7443" spans="1:40" x14ac:dyDescent="0.25">
      <c r="A7443" t="str">
        <f>"20190312161206913"</f>
        <v>20190312161206913</v>
      </c>
      <c r="B7443" t="str">
        <f>"1552378326904683"</f>
        <v>1552378326904683</v>
      </c>
      <c r="C7443" t="s">
        <v>40</v>
      </c>
      <c r="D7443">
        <v>5.9715429999999996</v>
      </c>
      <c r="E7443">
        <v>0.51894379999999996</v>
      </c>
      <c r="F7443" t="s">
        <v>41</v>
      </c>
      <c r="G7443">
        <v>-119.9494</v>
      </c>
      <c r="H7443" s="1">
        <v>-9.8006670000000006E-7</v>
      </c>
      <c r="I7443">
        <v>135.9451</v>
      </c>
      <c r="J7443">
        <v>-168.28270000000001</v>
      </c>
      <c r="K7443">
        <v>1.1001050000000001</v>
      </c>
      <c r="L7443">
        <v>140.01240000000001</v>
      </c>
      <c r="M7443">
        <v>0.98695650000000001</v>
      </c>
      <c r="N7443">
        <v>0</v>
      </c>
      <c r="O7443">
        <v>0.1606147</v>
      </c>
      <c r="P7443">
        <v>0.99795750000000005</v>
      </c>
      <c r="Q7443">
        <v>-5.3310900000000001E-2</v>
      </c>
      <c r="R7443">
        <v>-3.5197909999999999E-2</v>
      </c>
      <c r="S7443">
        <v>2.995422</v>
      </c>
      <c r="T7443">
        <v>-6.7742819999999995E-2</v>
      </c>
      <c r="U7443">
        <v>-0.24821470000000001</v>
      </c>
      <c r="V7443">
        <v>0.19405140000000001</v>
      </c>
      <c r="W7443">
        <v>-4.6874329999999999E-2</v>
      </c>
      <c r="X7443">
        <v>0.97987089999999999</v>
      </c>
      <c r="Y7443">
        <v>0.2414829</v>
      </c>
      <c r="Z7443">
        <v>-6.3457130000000002E-3</v>
      </c>
      <c r="AA7443">
        <v>0.97038440000000004</v>
      </c>
      <c r="AB7443">
        <v>26</v>
      </c>
      <c r="AC7443">
        <v>48.333300000000001</v>
      </c>
      <c r="AD7443">
        <v>-1.1001059800666999</v>
      </c>
      <c r="AE7443">
        <v>-4.0673000000000101</v>
      </c>
      <c r="AF7443">
        <v>11.771936455804401</v>
      </c>
      <c r="AG7443">
        <v>-1.1001059800666999</v>
      </c>
      <c r="AH7443">
        <v>47.028222700023797</v>
      </c>
      <c r="AI7443">
        <v>91.299951774741402</v>
      </c>
      <c r="AJ7443">
        <v>75.946694588510994</v>
      </c>
      <c r="AK7443">
        <v>48.4916740421478</v>
      </c>
      <c r="AL7443">
        <v>92.686685581424896</v>
      </c>
      <c r="AM7443">
        <v>78.798214265375194</v>
      </c>
      <c r="AN7443">
        <v>1.00000006466085</v>
      </c>
    </row>
    <row r="7444" spans="1:40" x14ac:dyDescent="0.25">
      <c r="A7444" t="str">
        <f>"20190312161206935"</f>
        <v>20190312161206935</v>
      </c>
      <c r="B7444" t="str">
        <f>"1552378326925180"</f>
        <v>1552378326925180</v>
      </c>
      <c r="C7444" t="s">
        <v>40</v>
      </c>
      <c r="D7444">
        <v>6.0625669999999996</v>
      </c>
      <c r="E7444">
        <v>0.51773059999999904</v>
      </c>
      <c r="F7444" t="s">
        <v>41</v>
      </c>
      <c r="G7444">
        <v>-119.8877</v>
      </c>
      <c r="H7444" s="1">
        <v>-1.036118E-6</v>
      </c>
      <c r="I7444">
        <v>135.8134</v>
      </c>
      <c r="J7444">
        <v>-168.01820000000001</v>
      </c>
      <c r="K7444">
        <v>1.1002780000000001</v>
      </c>
      <c r="L7444">
        <v>140.04169999999999</v>
      </c>
      <c r="M7444">
        <v>0.98890579999999995</v>
      </c>
      <c r="N7444">
        <v>0</v>
      </c>
      <c r="O7444">
        <v>0.1481421</v>
      </c>
      <c r="P7444">
        <v>0.99761909999999998</v>
      </c>
      <c r="Q7444">
        <v>-5.3524700000000001E-2</v>
      </c>
      <c r="R7444">
        <v>-4.3492320000000001E-2</v>
      </c>
      <c r="S7444">
        <v>2.9933619999999999</v>
      </c>
      <c r="T7444">
        <v>-6.8044540000000001E-2</v>
      </c>
      <c r="U7444">
        <v>-0.2597198</v>
      </c>
      <c r="V7444">
        <v>0.1898406</v>
      </c>
      <c r="W7444">
        <v>-4.6931220000000003E-2</v>
      </c>
      <c r="X7444">
        <v>0.98069260000000003</v>
      </c>
      <c r="Y7444">
        <v>0.2329852</v>
      </c>
      <c r="Z7444">
        <v>-5.9998580000000003E-3</v>
      </c>
      <c r="AA7444">
        <v>0.97246180000000004</v>
      </c>
      <c r="AB7444">
        <v>26</v>
      </c>
      <c r="AC7444">
        <v>48.130499999999998</v>
      </c>
      <c r="AD7444">
        <v>-1.1002790361179999</v>
      </c>
      <c r="AE7444">
        <v>-4.2282999999999902</v>
      </c>
      <c r="AF7444">
        <v>11.306354787454101</v>
      </c>
      <c r="AG7444">
        <v>-1.1002790361179999</v>
      </c>
      <c r="AH7444">
        <v>46.948594726457301</v>
      </c>
      <c r="AI7444">
        <v>91.305225864401393</v>
      </c>
      <c r="AJ7444">
        <v>76.459627245484896</v>
      </c>
      <c r="AK7444">
        <v>48.303362401868497</v>
      </c>
      <c r="AL7444">
        <v>92.689948945779406</v>
      </c>
      <c r="AM7444">
        <v>79.044296987375006</v>
      </c>
      <c r="AN7444">
        <v>0.99999998425690395</v>
      </c>
    </row>
    <row r="7445" spans="1:40" x14ac:dyDescent="0.25">
      <c r="A7445" t="str">
        <f>"20190312161206955"</f>
        <v>20190312161206955</v>
      </c>
      <c r="B7445" t="str">
        <f>"1552378326944699"</f>
        <v>1552378326944699</v>
      </c>
      <c r="C7445" t="s">
        <v>40</v>
      </c>
      <c r="D7445">
        <v>5.9545209999999997</v>
      </c>
      <c r="E7445">
        <v>0.51629170000000002</v>
      </c>
      <c r="F7445" t="s">
        <v>41</v>
      </c>
      <c r="G7445">
        <v>-122.7611</v>
      </c>
      <c r="H7445" s="1">
        <v>-3.7496570000000002E-6</v>
      </c>
      <c r="I7445">
        <v>135.88489999999999</v>
      </c>
      <c r="J7445">
        <v>-167.78469999999999</v>
      </c>
      <c r="K7445">
        <v>1.100449</v>
      </c>
      <c r="L7445">
        <v>140.065</v>
      </c>
      <c r="M7445">
        <v>0.99045850000000002</v>
      </c>
      <c r="N7445">
        <v>0</v>
      </c>
      <c r="O7445">
        <v>0.1373799</v>
      </c>
      <c r="P7445">
        <v>0.99732529999999997</v>
      </c>
      <c r="Q7445">
        <v>-5.2970389999999999E-2</v>
      </c>
      <c r="R7445">
        <v>-5.036264E-2</v>
      </c>
      <c r="S7445">
        <v>2.9913020000000001</v>
      </c>
      <c r="T7445">
        <v>-7.2723979999999994E-2</v>
      </c>
      <c r="U7445">
        <v>-0.27474979999999999</v>
      </c>
      <c r="V7445">
        <v>0.18596650000000001</v>
      </c>
      <c r="W7445">
        <v>-4.6235320000000003E-2</v>
      </c>
      <c r="X7445">
        <v>0.98146770000000005</v>
      </c>
      <c r="Y7445">
        <v>0.22730239999999999</v>
      </c>
      <c r="Z7445">
        <v>-6.0868290000000002E-3</v>
      </c>
      <c r="AA7445">
        <v>0.97380520000000004</v>
      </c>
      <c r="AB7445">
        <v>26</v>
      </c>
      <c r="AC7445">
        <v>45.023599999999902</v>
      </c>
      <c r="AD7445">
        <v>-1.100452749657</v>
      </c>
      <c r="AE7445">
        <v>-4.1801000000000004</v>
      </c>
      <c r="AF7445">
        <v>10.3200537637978</v>
      </c>
      <c r="AG7445">
        <v>-1.100452749657</v>
      </c>
      <c r="AH7445">
        <v>43.996300308790303</v>
      </c>
      <c r="AI7445">
        <v>91.394958920662305</v>
      </c>
      <c r="AJ7445">
        <v>76.7989943688453</v>
      </c>
      <c r="AK7445">
        <v>45.203859866201299</v>
      </c>
      <c r="AL7445">
        <v>92.650033318360101</v>
      </c>
      <c r="AM7445">
        <v>79.270904072557101</v>
      </c>
      <c r="AN7445">
        <v>1.00000004504052</v>
      </c>
    </row>
    <row r="7446" spans="1:40" x14ac:dyDescent="0.25">
      <c r="A7446" t="str">
        <f>"20190312161206980"</f>
        <v>20190312161206980</v>
      </c>
      <c r="B7446" t="str">
        <f>"1552378326974956"</f>
        <v>1552378326974956</v>
      </c>
      <c r="C7446" t="s">
        <v>40</v>
      </c>
      <c r="D7446">
        <v>6.1481659999999998</v>
      </c>
      <c r="E7446">
        <v>0.5154647</v>
      </c>
      <c r="F7446" t="s">
        <v>41</v>
      </c>
      <c r="G7446">
        <v>-126.17319999999999</v>
      </c>
      <c r="H7446" s="1">
        <v>-2.2446239999999999E-6</v>
      </c>
      <c r="I7446">
        <v>136.1173</v>
      </c>
      <c r="J7446">
        <v>-167.48480000000001</v>
      </c>
      <c r="K7446">
        <v>1.1006929999999999</v>
      </c>
      <c r="L7446">
        <v>140.09180000000001</v>
      </c>
      <c r="M7446">
        <v>0.99223289999999997</v>
      </c>
      <c r="N7446">
        <v>0</v>
      </c>
      <c r="O7446">
        <v>0.1239204</v>
      </c>
      <c r="P7446">
        <v>0.99688080000000001</v>
      </c>
      <c r="Q7446">
        <v>-5.1945369999999998E-2</v>
      </c>
      <c r="R7446">
        <v>-5.9419430000000002E-2</v>
      </c>
      <c r="S7446">
        <v>2.9895170000000002</v>
      </c>
      <c r="T7446">
        <v>-7.9060320000000003E-2</v>
      </c>
      <c r="U7446">
        <v>-0.28361510000000001</v>
      </c>
      <c r="V7446">
        <v>0.1816111</v>
      </c>
      <c r="W7446">
        <v>-4.5041989999999997E-2</v>
      </c>
      <c r="X7446">
        <v>0.98233839999999994</v>
      </c>
      <c r="Y7446">
        <v>0.2169732</v>
      </c>
      <c r="Z7446">
        <v>-6.130043E-3</v>
      </c>
      <c r="AA7446">
        <v>0.97615830000000003</v>
      </c>
      <c r="AB7446">
        <v>26</v>
      </c>
      <c r="AC7446">
        <v>41.311599999999999</v>
      </c>
      <c r="AD7446">
        <v>-1.1006952446239999</v>
      </c>
      <c r="AE7446">
        <v>-3.9744999999999999</v>
      </c>
      <c r="AF7446">
        <v>9.0571420427128704</v>
      </c>
      <c r="AG7446">
        <v>-1.1006952446239999</v>
      </c>
      <c r="AH7446">
        <v>40.4721214773894</v>
      </c>
      <c r="AI7446">
        <v>91.520269130788407</v>
      </c>
      <c r="AJ7446">
        <v>77.385774591281702</v>
      </c>
      <c r="AK7446">
        <v>41.487780958783297</v>
      </c>
      <c r="AL7446">
        <v>92.581589208203795</v>
      </c>
      <c r="AM7446">
        <v>79.525634318281206</v>
      </c>
      <c r="AN7446">
        <v>1.00000005231046</v>
      </c>
    </row>
    <row r="7447" spans="1:40" x14ac:dyDescent="0.25">
      <c r="A7447" t="str">
        <f>"20190312161207006"</f>
        <v>20190312161207006</v>
      </c>
      <c r="B7447" t="str">
        <f>"1552378326994475"</f>
        <v>1552378326994475</v>
      </c>
      <c r="C7447" t="s">
        <v>40</v>
      </c>
      <c r="D7447">
        <v>6.0949879999999999</v>
      </c>
      <c r="E7447">
        <v>0.51426709999999998</v>
      </c>
      <c r="F7447" t="s">
        <v>41</v>
      </c>
      <c r="G7447">
        <v>-130.05850000000001</v>
      </c>
      <c r="H7447" s="1">
        <v>-4.8380339999999998E-6</v>
      </c>
      <c r="I7447">
        <v>136.28540000000001</v>
      </c>
      <c r="J7447">
        <v>-167.19309999999999</v>
      </c>
      <c r="K7447">
        <v>1.1009549999999999</v>
      </c>
      <c r="L7447">
        <v>140.11429999999999</v>
      </c>
      <c r="M7447">
        <v>0.99373100000000003</v>
      </c>
      <c r="N7447">
        <v>0</v>
      </c>
      <c r="O7447">
        <v>0.111274</v>
      </c>
      <c r="P7447">
        <v>0.99641349999999995</v>
      </c>
      <c r="Q7447">
        <v>-5.0834440000000002E-2</v>
      </c>
      <c r="R7447">
        <v>-6.7648219999999995E-2</v>
      </c>
      <c r="S7447">
        <v>2.9867249999999999</v>
      </c>
      <c r="T7447">
        <v>-8.7838650000000004E-2</v>
      </c>
      <c r="U7447">
        <v>-0.30375669999999999</v>
      </c>
      <c r="V7447">
        <v>0.17726839999999999</v>
      </c>
      <c r="W7447">
        <v>-4.3765819999999997E-2</v>
      </c>
      <c r="X7447">
        <v>0.98318890000000003</v>
      </c>
      <c r="Y7447">
        <v>0.21112320000000001</v>
      </c>
      <c r="Z7447">
        <v>-6.3590230000000001E-3</v>
      </c>
      <c r="AA7447">
        <v>0.97743869999999999</v>
      </c>
      <c r="AB7447">
        <v>26</v>
      </c>
      <c r="AC7447">
        <v>37.134599999999899</v>
      </c>
      <c r="AD7447">
        <v>-1.100959838034</v>
      </c>
      <c r="AE7447">
        <v>-3.8288999999999702</v>
      </c>
      <c r="AF7447">
        <v>7.9305780626638303</v>
      </c>
      <c r="AG7447">
        <v>-1.100959838034</v>
      </c>
      <c r="AH7447">
        <v>36.446177547997998</v>
      </c>
      <c r="AI7447">
        <v>91.690715157877094</v>
      </c>
      <c r="AJ7447">
        <v>77.723974347029099</v>
      </c>
      <c r="AK7447">
        <v>37.315278892608603</v>
      </c>
      <c r="AL7447">
        <v>92.508398059971398</v>
      </c>
      <c r="AM7447">
        <v>79.779409384610403</v>
      </c>
      <c r="AN7447">
        <v>0.99999997286102005</v>
      </c>
    </row>
    <row r="7448" spans="1:40" x14ac:dyDescent="0.25">
      <c r="A7448" t="str">
        <f>"20190312161207026"</f>
        <v>20190312161207026</v>
      </c>
      <c r="B7448" t="str">
        <f>"1552378327014971"</f>
        <v>1552378327014971</v>
      </c>
      <c r="C7448" t="s">
        <v>40</v>
      </c>
      <c r="D7448">
        <v>5.7157679999999997</v>
      </c>
      <c r="E7448">
        <v>0.51331159999999998</v>
      </c>
      <c r="F7448" t="s">
        <v>41</v>
      </c>
      <c r="G7448">
        <v>-131.0016</v>
      </c>
      <c r="H7448" s="1">
        <v>-4.4397269999999997E-6</v>
      </c>
      <c r="I7448">
        <v>136.24979999999999</v>
      </c>
      <c r="J7448">
        <v>-166.94049999999999</v>
      </c>
      <c r="K7448">
        <v>1.1011979999999999</v>
      </c>
      <c r="L7448">
        <v>140.131</v>
      </c>
      <c r="M7448">
        <v>0.99485699999999999</v>
      </c>
      <c r="N7448">
        <v>0</v>
      </c>
      <c r="O7448">
        <v>0.1007171</v>
      </c>
      <c r="P7448">
        <v>0.99601099999999998</v>
      </c>
      <c r="Q7448">
        <v>-4.9403080000000002E-2</v>
      </c>
      <c r="R7448">
        <v>-7.4310589999999996E-2</v>
      </c>
      <c r="S7448">
        <v>2.9845280000000001</v>
      </c>
      <c r="T7448">
        <v>-9.0790510000000005E-2</v>
      </c>
      <c r="U7448">
        <v>-0.31867980000000001</v>
      </c>
      <c r="V7448">
        <v>0.17346610000000001</v>
      </c>
      <c r="W7448">
        <v>-4.2190770000000002E-2</v>
      </c>
      <c r="X7448">
        <v>0.98393569999999997</v>
      </c>
      <c r="Y7448">
        <v>0.2056471</v>
      </c>
      <c r="Z7448">
        <v>-6.1732109999999996E-3</v>
      </c>
      <c r="AA7448">
        <v>0.9786068</v>
      </c>
      <c r="AB7448">
        <v>26</v>
      </c>
      <c r="AC7448">
        <v>35.938899999999897</v>
      </c>
      <c r="AD7448">
        <v>-1.1012024397269999</v>
      </c>
      <c r="AE7448">
        <v>-3.8812000000000002</v>
      </c>
      <c r="AF7448">
        <v>7.4743966886652098</v>
      </c>
      <c r="AG7448">
        <v>-1.1012024397269999</v>
      </c>
      <c r="AH7448">
        <v>35.332417397670902</v>
      </c>
      <c r="AI7448">
        <v>91.746527559155098</v>
      </c>
      <c r="AJ7448">
        <v>78.055463532817697</v>
      </c>
      <c r="AK7448">
        <v>36.131135767313303</v>
      </c>
      <c r="AL7448">
        <v>92.418070790278406</v>
      </c>
      <c r="AM7448">
        <v>80.001598891994703</v>
      </c>
      <c r="AN7448">
        <v>1.0000000053284399</v>
      </c>
    </row>
    <row r="7449" spans="1:40" x14ac:dyDescent="0.25">
      <c r="A7449" t="str">
        <f>"20190312161207069"</f>
        <v>20190312161207069</v>
      </c>
      <c r="B7449" t="str">
        <f>"1552378327064748"</f>
        <v>1552378327064748</v>
      </c>
      <c r="C7449" t="s">
        <v>40</v>
      </c>
      <c r="D7449">
        <v>5.7595929999999997</v>
      </c>
      <c r="E7449">
        <v>0.51147089999999995</v>
      </c>
      <c r="F7449" t="s">
        <v>41</v>
      </c>
      <c r="G7449">
        <v>-130.04470000000001</v>
      </c>
      <c r="H7449" s="1">
        <v>-4.8878479999999997E-6</v>
      </c>
      <c r="I7449">
        <v>136.0378</v>
      </c>
      <c r="J7449">
        <v>-166.42140000000001</v>
      </c>
      <c r="K7449">
        <v>1.101674</v>
      </c>
      <c r="L7449">
        <v>140.15819999999999</v>
      </c>
      <c r="M7449">
        <v>0.99673970000000001</v>
      </c>
      <c r="N7449">
        <v>0</v>
      </c>
      <c r="O7449">
        <v>7.9973440000000007E-2</v>
      </c>
      <c r="P7449">
        <v>0.99502000000000002</v>
      </c>
      <c r="Q7449">
        <v>-4.8226999999999999E-2</v>
      </c>
      <c r="R7449">
        <v>-8.7232630000000005E-2</v>
      </c>
      <c r="S7449">
        <v>2.9828950000000001</v>
      </c>
      <c r="T7449">
        <v>-8.9028239999999995E-2</v>
      </c>
      <c r="U7449">
        <v>-0.33091739999999997</v>
      </c>
      <c r="V7449">
        <v>0.165813299999999</v>
      </c>
      <c r="W7449">
        <v>-4.0752049999999998E-2</v>
      </c>
      <c r="X7449">
        <v>0.98531480000000005</v>
      </c>
      <c r="Y7449">
        <v>0.18928039999999999</v>
      </c>
      <c r="Z7449">
        <v>-5.1953429999999998E-3</v>
      </c>
      <c r="AA7449">
        <v>0.98190929999999998</v>
      </c>
      <c r="AB7449">
        <v>26</v>
      </c>
      <c r="AC7449">
        <v>36.3767</v>
      </c>
      <c r="AD7449">
        <v>-1.1016788878479999</v>
      </c>
      <c r="AE7449">
        <v>-4.1203999999999796</v>
      </c>
      <c r="AF7449">
        <v>7.0101885316200097</v>
      </c>
      <c r="AG7449">
        <v>-1.1016788878479999</v>
      </c>
      <c r="AH7449">
        <v>35.898121906</v>
      </c>
      <c r="AI7449">
        <v>91.725233474005705</v>
      </c>
      <c r="AJ7449">
        <v>78.950331621593193</v>
      </c>
      <c r="AK7449">
        <v>36.592780654096501</v>
      </c>
      <c r="AL7449">
        <v>92.335567192495404</v>
      </c>
      <c r="AM7449">
        <v>80.447506594115495</v>
      </c>
      <c r="AN7449">
        <v>1.0000000175675601</v>
      </c>
    </row>
    <row r="7450" spans="1:40" x14ac:dyDescent="0.25">
      <c r="A7450" t="str">
        <f>"20190312161207098"</f>
        <v>20190312161207098</v>
      </c>
      <c r="B7450" t="str">
        <f>"1552378327095004"</f>
        <v>1552378327095004</v>
      </c>
      <c r="C7450" t="s">
        <v>40</v>
      </c>
      <c r="D7450">
        <v>5.8096680000000003</v>
      </c>
      <c r="E7450">
        <v>0.49829370000000001</v>
      </c>
      <c r="F7450" t="s">
        <v>41</v>
      </c>
      <c r="G7450">
        <v>-129.17269999999999</v>
      </c>
      <c r="H7450" s="1">
        <v>-1.3036549999999999E-6</v>
      </c>
      <c r="I7450">
        <v>135.72239999999999</v>
      </c>
      <c r="J7450">
        <v>-166.07140000000001</v>
      </c>
      <c r="K7450">
        <v>1.1019840000000001</v>
      </c>
      <c r="L7450">
        <v>140.17140000000001</v>
      </c>
      <c r="M7450">
        <v>0.9977123</v>
      </c>
      <c r="N7450">
        <v>0</v>
      </c>
      <c r="O7450">
        <v>6.6764470000000006E-2</v>
      </c>
      <c r="P7450">
        <v>0.99441619999999997</v>
      </c>
      <c r="Q7450">
        <v>-4.7509389999999999E-2</v>
      </c>
      <c r="R7450">
        <v>-9.4231460000000003E-2</v>
      </c>
      <c r="S7450">
        <v>2.9796299999999998</v>
      </c>
      <c r="T7450">
        <v>-8.812594E-2</v>
      </c>
      <c r="U7450">
        <v>-0.35482789999999997</v>
      </c>
      <c r="V7450">
        <v>0.15973960000000001</v>
      </c>
      <c r="W7450">
        <v>-3.9852480000000003E-2</v>
      </c>
      <c r="X7450">
        <v>0.98635439999999996</v>
      </c>
      <c r="Y7450">
        <v>0.1841766</v>
      </c>
      <c r="Z7450">
        <v>-4.6816640000000003E-3</v>
      </c>
      <c r="AA7450">
        <v>0.98288200000000003</v>
      </c>
      <c r="AB7450">
        <v>26</v>
      </c>
      <c r="AC7450">
        <v>36.898699999999998</v>
      </c>
      <c r="AD7450">
        <v>-1.101985303655</v>
      </c>
      <c r="AE7450">
        <v>-4.4490000000000096</v>
      </c>
      <c r="AF7450">
        <v>6.8966698728804596</v>
      </c>
      <c r="AG7450">
        <v>-1.101985303655</v>
      </c>
      <c r="AH7450">
        <v>36.487231509344397</v>
      </c>
      <c r="AI7450">
        <v>91.699837557155007</v>
      </c>
      <c r="AJ7450">
        <v>79.296458421185207</v>
      </c>
      <c r="AK7450">
        <v>37.149649933229</v>
      </c>
      <c r="AL7450">
        <v>92.283983800581296</v>
      </c>
      <c r="AM7450">
        <v>80.800846405615403</v>
      </c>
      <c r="AN7450">
        <v>0.99999998118483502</v>
      </c>
    </row>
    <row r="7451" spans="1:40" x14ac:dyDescent="0.25">
      <c r="A7451" t="str">
        <f>"20190312161207132"</f>
        <v>20190312161207132</v>
      </c>
      <c r="B7451" t="str">
        <f>"1552378327124284"</f>
        <v>1552378327124284</v>
      </c>
      <c r="C7451" t="s">
        <v>40</v>
      </c>
      <c r="D7451">
        <v>6.065766</v>
      </c>
      <c r="E7451">
        <v>0.49747239999999998</v>
      </c>
      <c r="F7451" t="s">
        <v>41</v>
      </c>
      <c r="G7451">
        <v>-149.59630000000001</v>
      </c>
      <c r="H7451" s="1">
        <v>-3.6851179999999997E-7</v>
      </c>
      <c r="I7451">
        <v>138.6951</v>
      </c>
      <c r="J7451">
        <v>-165.68119999999999</v>
      </c>
      <c r="K7451">
        <v>1.1023639999999999</v>
      </c>
      <c r="L7451">
        <v>140.18129999999999</v>
      </c>
      <c r="M7451">
        <v>0.99854580000000004</v>
      </c>
      <c r="N7451">
        <v>0</v>
      </c>
      <c r="O7451">
        <v>5.2869329999999999E-2</v>
      </c>
      <c r="P7451">
        <v>0.99347850000000004</v>
      </c>
      <c r="Q7451">
        <v>-4.7307780000000001E-2</v>
      </c>
      <c r="R7451">
        <v>-0.1037439</v>
      </c>
      <c r="S7451">
        <v>2.9819789999999999</v>
      </c>
      <c r="T7451">
        <v>-0.19945850000000001</v>
      </c>
      <c r="U7451">
        <v>-0.26719670000000001</v>
      </c>
      <c r="V7451">
        <v>0.155488299999999</v>
      </c>
      <c r="W7451">
        <v>-3.9498730000000003E-2</v>
      </c>
      <c r="X7451">
        <v>0.98704769999999997</v>
      </c>
      <c r="Y7451">
        <v>0.1413517</v>
      </c>
      <c r="Z7451">
        <v>-8.2390599999999994E-3</v>
      </c>
      <c r="AA7451">
        <v>0.9899251</v>
      </c>
      <c r="AB7451">
        <v>26</v>
      </c>
      <c r="AC7451">
        <v>16.084899999999902</v>
      </c>
      <c r="AD7451">
        <v>-1.1023643685118001</v>
      </c>
      <c r="AE7451">
        <v>-1.48619999999999</v>
      </c>
      <c r="AF7451">
        <v>2.3237443037370999</v>
      </c>
      <c r="AG7451">
        <v>-1.1023643685118001</v>
      </c>
      <c r="AH7451">
        <v>15.909728781616799</v>
      </c>
      <c r="AI7451">
        <v>93.922132342462007</v>
      </c>
      <c r="AJ7451">
        <v>81.690247034635803</v>
      </c>
      <c r="AK7451">
        <v>16.116279492945001</v>
      </c>
      <c r="AL7451">
        <v>92.263699490833105</v>
      </c>
      <c r="AM7451">
        <v>81.047839089113495</v>
      </c>
      <c r="AN7451">
        <v>0.99999996159189497</v>
      </c>
    </row>
    <row r="7452" spans="1:40" x14ac:dyDescent="0.25">
      <c r="A7452" t="str">
        <f>"20190312161207153"</f>
        <v>20190312161207153</v>
      </c>
      <c r="B7452" t="str">
        <f>"1552378327144779"</f>
        <v>1552378327144779</v>
      </c>
      <c r="C7452" t="s">
        <v>40</v>
      </c>
      <c r="D7452">
        <v>5.9518180000000003</v>
      </c>
      <c r="E7452">
        <v>0.49673319999999999</v>
      </c>
      <c r="F7452" t="s">
        <v>41</v>
      </c>
      <c r="G7452">
        <v>-148.23580000000001</v>
      </c>
      <c r="H7452" s="1">
        <v>-9.3952360000000002E-7</v>
      </c>
      <c r="I7452">
        <v>138.48650000000001</v>
      </c>
      <c r="J7452">
        <v>-165.4171</v>
      </c>
      <c r="K7452">
        <v>1.102649</v>
      </c>
      <c r="L7452">
        <v>140.18559999999999</v>
      </c>
      <c r="M7452">
        <v>0.99897789999999997</v>
      </c>
      <c r="N7452">
        <v>0</v>
      </c>
      <c r="O7452">
        <v>4.3965549999999999E-2</v>
      </c>
      <c r="P7452">
        <v>0.99300829999999995</v>
      </c>
      <c r="Q7452">
        <v>-4.7286059999999998E-2</v>
      </c>
      <c r="R7452">
        <v>-0.1081608</v>
      </c>
      <c r="S7452">
        <v>2.980515</v>
      </c>
      <c r="T7452">
        <v>-0.1883367</v>
      </c>
      <c r="U7452">
        <v>-0.2895508</v>
      </c>
      <c r="V7452">
        <v>0.15110580000000001</v>
      </c>
      <c r="W7452">
        <v>-3.9344619999999997E-2</v>
      </c>
      <c r="X7452">
        <v>0.98773429999999995</v>
      </c>
      <c r="Y7452">
        <v>0.13999729999999999</v>
      </c>
      <c r="Z7452">
        <v>-7.178261E-3</v>
      </c>
      <c r="AA7452">
        <v>0.99012579999999994</v>
      </c>
      <c r="AB7452">
        <v>26</v>
      </c>
      <c r="AC7452">
        <v>17.181299999999901</v>
      </c>
      <c r="AD7452">
        <v>-1.1026499395236</v>
      </c>
      <c r="AE7452">
        <v>-1.6990999999999801</v>
      </c>
      <c r="AF7452">
        <v>2.44291951716253</v>
      </c>
      <c r="AG7452">
        <v>-1.1026499395236</v>
      </c>
      <c r="AH7452">
        <v>17.020554575717199</v>
      </c>
      <c r="AI7452">
        <v>93.6691420325796</v>
      </c>
      <c r="AJ7452">
        <v>81.832254552289399</v>
      </c>
      <c r="AK7452">
        <v>17.230292241324001</v>
      </c>
      <c r="AL7452">
        <v>92.254862671643593</v>
      </c>
      <c r="AM7452">
        <v>81.302198470750298</v>
      </c>
      <c r="AN7452">
        <v>1.0000000046565301</v>
      </c>
    </row>
    <row r="7453" spans="1:40" x14ac:dyDescent="0.25">
      <c r="A7453" t="str">
        <f>"20190312161207173"</f>
        <v>20190312161207173</v>
      </c>
      <c r="B7453" t="str">
        <f>"1552378327165275"</f>
        <v>1552378327165275</v>
      </c>
      <c r="C7453" t="s">
        <v>40</v>
      </c>
      <c r="D7453">
        <v>6.0195819999999998</v>
      </c>
      <c r="E7453">
        <v>0.49592229999999998</v>
      </c>
      <c r="F7453" t="s">
        <v>41</v>
      </c>
      <c r="G7453">
        <v>-147.05420000000001</v>
      </c>
      <c r="H7453" s="1">
        <v>-1.4699690000000001E-6</v>
      </c>
      <c r="I7453">
        <v>138.35380000000001</v>
      </c>
      <c r="J7453">
        <v>-165.1703</v>
      </c>
      <c r="K7453">
        <v>1.102919</v>
      </c>
      <c r="L7453">
        <v>140.18780000000001</v>
      </c>
      <c r="M7453">
        <v>0.99929760000000001</v>
      </c>
      <c r="N7453">
        <v>0</v>
      </c>
      <c r="O7453">
        <v>3.5987180000000001E-2</v>
      </c>
      <c r="P7453">
        <v>0.99295279999999997</v>
      </c>
      <c r="Q7453">
        <v>-4.7204620000000003E-2</v>
      </c>
      <c r="R7453">
        <v>-0.10870390000000001</v>
      </c>
      <c r="S7453">
        <v>2.9802249999999999</v>
      </c>
      <c r="T7453">
        <v>-0.17895559999999999</v>
      </c>
      <c r="U7453">
        <v>-0.29728700000000002</v>
      </c>
      <c r="V7453">
        <v>0.14378469999999999</v>
      </c>
      <c r="W7453">
        <v>-3.90888E-2</v>
      </c>
      <c r="X7453">
        <v>0.98883670000000001</v>
      </c>
      <c r="Y7453">
        <v>0.13470299999999999</v>
      </c>
      <c r="Z7453">
        <v>-6.1850910000000002E-3</v>
      </c>
      <c r="AA7453">
        <v>0.99086669999999999</v>
      </c>
      <c r="AB7453">
        <v>27</v>
      </c>
      <c r="AC7453">
        <v>18.1160999999999</v>
      </c>
      <c r="AD7453">
        <v>-1.1029204699690001</v>
      </c>
      <c r="AE7453">
        <v>-1.8340000000000001</v>
      </c>
      <c r="AF7453">
        <v>2.4757118298706402</v>
      </c>
      <c r="AG7453">
        <v>-1.1029204699690001</v>
      </c>
      <c r="AH7453">
        <v>17.972421722794099</v>
      </c>
      <c r="AI7453">
        <v>93.478918423938694</v>
      </c>
      <c r="AJ7453">
        <v>82.156832212954399</v>
      </c>
      <c r="AK7453">
        <v>18.175629981092801</v>
      </c>
      <c r="AL7453">
        <v>92.240193998871604</v>
      </c>
      <c r="AM7453">
        <v>81.726722589161398</v>
      </c>
      <c r="AN7453">
        <v>0.99999999675321005</v>
      </c>
    </row>
    <row r="7454" spans="1:40" x14ac:dyDescent="0.25">
      <c r="A7454" t="str">
        <f>"20190312161207203"</f>
        <v>20190312161207203</v>
      </c>
      <c r="B7454" t="str">
        <f>"1552378327195146"</f>
        <v>1552378327195146</v>
      </c>
      <c r="C7454" t="s">
        <v>40</v>
      </c>
      <c r="D7454">
        <v>5.9780150000000001</v>
      </c>
      <c r="E7454">
        <v>0.49445329999999899</v>
      </c>
      <c r="F7454" t="s">
        <v>41</v>
      </c>
      <c r="G7454">
        <v>-146.8613</v>
      </c>
      <c r="H7454" s="1">
        <v>-1.5460659999999901E-6</v>
      </c>
      <c r="I7454">
        <v>138.3914</v>
      </c>
      <c r="J7454">
        <v>-164.81020000000001</v>
      </c>
      <c r="K7454">
        <v>1.1033230000000001</v>
      </c>
      <c r="L7454">
        <v>140.1884</v>
      </c>
      <c r="M7454">
        <v>0.99963400000000002</v>
      </c>
      <c r="N7454">
        <v>0</v>
      </c>
      <c r="O7454">
        <v>2.49786E-2</v>
      </c>
      <c r="P7454">
        <v>0.99225030000000003</v>
      </c>
      <c r="Q7454">
        <v>-4.6832430000000001E-2</v>
      </c>
      <c r="R7454">
        <v>-0.1150928</v>
      </c>
      <c r="S7454">
        <v>2.9807429999999999</v>
      </c>
      <c r="T7454">
        <v>-0.179557299999999</v>
      </c>
      <c r="U7454">
        <v>-0.29244999999999999</v>
      </c>
      <c r="V7454">
        <v>0.13930190000000001</v>
      </c>
      <c r="W7454">
        <v>-3.8570090000000001E-2</v>
      </c>
      <c r="X7454">
        <v>0.98949849999999995</v>
      </c>
      <c r="Y7454">
        <v>0.1222099</v>
      </c>
      <c r="Z7454">
        <v>-5.1689479999999996E-3</v>
      </c>
      <c r="AA7454">
        <v>0.99249080000000001</v>
      </c>
      <c r="AB7454">
        <v>27</v>
      </c>
      <c r="AC7454">
        <v>17.948899999999998</v>
      </c>
      <c r="AD7454">
        <v>-1.1033245460659999</v>
      </c>
      <c r="AE7454">
        <v>-1.7969999999999899</v>
      </c>
      <c r="AF7454">
        <v>2.2364351129047901</v>
      </c>
      <c r="AG7454">
        <v>-1.1033245460659999</v>
      </c>
      <c r="AH7454">
        <v>17.831699937525499</v>
      </c>
      <c r="AI7454">
        <v>93.513170985415101</v>
      </c>
      <c r="AJ7454">
        <v>82.8513436758208</v>
      </c>
      <c r="AK7454">
        <v>18.005235064562001</v>
      </c>
      <c r="AL7454">
        <v>92.210451719691306</v>
      </c>
      <c r="AM7454">
        <v>81.986545599632507</v>
      </c>
      <c r="AN7454">
        <v>0.99999997634423299</v>
      </c>
    </row>
    <row r="7455" spans="1:40" x14ac:dyDescent="0.25">
      <c r="A7455" t="str">
        <f>"20190312161207227"</f>
        <v>20190312161207227</v>
      </c>
      <c r="B7455" t="str">
        <f>"1552378327214666"</f>
        <v>1552378327214666</v>
      </c>
      <c r="C7455" t="s">
        <v>40</v>
      </c>
      <c r="D7455">
        <v>5.9566049999999997</v>
      </c>
      <c r="E7455">
        <v>0.49391269999999998</v>
      </c>
      <c r="F7455" t="s">
        <v>41</v>
      </c>
      <c r="G7455">
        <v>-146.8964</v>
      </c>
      <c r="H7455" s="1">
        <v>-1.531942E-6</v>
      </c>
      <c r="I7455">
        <v>138.3861</v>
      </c>
      <c r="J7455">
        <v>-164.52950000000001</v>
      </c>
      <c r="K7455">
        <v>1.1036589999999999</v>
      </c>
      <c r="L7455">
        <v>140.1866</v>
      </c>
      <c r="M7455">
        <v>0.99980159999999996</v>
      </c>
      <c r="N7455">
        <v>0</v>
      </c>
      <c r="O7455">
        <v>1.7030400000000001E-2</v>
      </c>
      <c r="P7455">
        <v>0.99191010000000002</v>
      </c>
      <c r="Q7455">
        <v>-4.6250859999999998E-2</v>
      </c>
      <c r="R7455">
        <v>-0.11821660000000001</v>
      </c>
      <c r="S7455">
        <v>2.9799959999999999</v>
      </c>
      <c r="T7455">
        <v>-0.18354000000000001</v>
      </c>
      <c r="U7455">
        <v>-0.29980469999999998</v>
      </c>
      <c r="V7455">
        <v>0.13459019999999999</v>
      </c>
      <c r="W7455">
        <v>-3.78591E-2</v>
      </c>
      <c r="X7455">
        <v>0.99017790000000006</v>
      </c>
      <c r="Y7455">
        <v>0.1167805</v>
      </c>
      <c r="Z7455">
        <v>-4.6294040000000002E-3</v>
      </c>
      <c r="AA7455">
        <v>0.993147</v>
      </c>
      <c r="AB7455">
        <v>27</v>
      </c>
      <c r="AC7455">
        <v>17.633099999999999</v>
      </c>
      <c r="AD7455">
        <v>-1.1036605319420001</v>
      </c>
      <c r="AE7455">
        <v>-1.80049999999999</v>
      </c>
      <c r="AF7455">
        <v>2.0924409807334698</v>
      </c>
      <c r="AG7455">
        <v>-1.1036605319420001</v>
      </c>
      <c r="AH7455">
        <v>17.531904298747001</v>
      </c>
      <c r="AI7455">
        <v>93.576786679707993</v>
      </c>
      <c r="AJ7455">
        <v>83.1939165561122</v>
      </c>
      <c r="AK7455">
        <v>17.690789811877899</v>
      </c>
      <c r="AL7455">
        <v>92.169685046396694</v>
      </c>
      <c r="AM7455">
        <v>82.259493362141697</v>
      </c>
      <c r="AN7455">
        <v>1.00000005351862</v>
      </c>
    </row>
    <row r="7456" spans="1:40" x14ac:dyDescent="0.25">
      <c r="A7456" t="str">
        <f>"20190312161207247"</f>
        <v>20190312161207247</v>
      </c>
      <c r="B7456" t="str">
        <f>"1552378327235163"</f>
        <v>1552378327235163</v>
      </c>
      <c r="C7456" t="s">
        <v>40</v>
      </c>
      <c r="D7456">
        <v>5.3983720000000002</v>
      </c>
      <c r="E7456">
        <v>0.49334230000000001</v>
      </c>
      <c r="F7456" t="s">
        <v>42</v>
      </c>
      <c r="G7456">
        <v>-163.5865</v>
      </c>
      <c r="H7456">
        <v>1.0434139999999901</v>
      </c>
      <c r="I7456">
        <v>140.09</v>
      </c>
      <c r="J7456">
        <v>-164.2809</v>
      </c>
      <c r="K7456">
        <v>1.103969</v>
      </c>
      <c r="L7456">
        <v>140.18350000000001</v>
      </c>
      <c r="M7456">
        <v>0.99989300000000003</v>
      </c>
      <c r="N7456">
        <v>0</v>
      </c>
      <c r="O7456">
        <v>1.04151E-2</v>
      </c>
      <c r="P7456">
        <v>0.99166920000000003</v>
      </c>
      <c r="Q7456">
        <v>-4.5507699999999998E-2</v>
      </c>
      <c r="R7456">
        <v>-0.1205058</v>
      </c>
      <c r="S7456">
        <v>2.9792939999999999</v>
      </c>
      <c r="T7456">
        <v>-0.19023499999999999</v>
      </c>
      <c r="U7456">
        <v>-0.30458069999999998</v>
      </c>
      <c r="V7456">
        <v>0.13036220000000001</v>
      </c>
      <c r="W7456">
        <v>-3.7003349999999997E-2</v>
      </c>
      <c r="X7456">
        <v>0.99077570000000004</v>
      </c>
      <c r="Y7456">
        <v>0.1118122</v>
      </c>
      <c r="Z7456">
        <v>-4.219609E-3</v>
      </c>
      <c r="AA7456">
        <v>0.99372039999999995</v>
      </c>
      <c r="AB7456">
        <v>27</v>
      </c>
      <c r="AC7456">
        <v>0.69440000000000102</v>
      </c>
      <c r="AD7456">
        <v>-6.0555000000000102E-2</v>
      </c>
      <c r="AE7456">
        <v>-9.3500000000005898E-2</v>
      </c>
      <c r="AF7456">
        <v>9.9980773345160007E-2</v>
      </c>
      <c r="AG7456">
        <v>-6.0555000000000102E-2</v>
      </c>
      <c r="AH7456">
        <v>0.68824777179918195</v>
      </c>
      <c r="AI7456">
        <v>94.976215158985696</v>
      </c>
      <c r="AJ7456">
        <v>81.734541983625206</v>
      </c>
      <c r="AK7456">
        <v>0.69810318610520194</v>
      </c>
      <c r="AL7456">
        <v>92.120619871952499</v>
      </c>
      <c r="AM7456">
        <v>82.504314241830201</v>
      </c>
      <c r="AN7456">
        <v>1.0000000194052701</v>
      </c>
    </row>
    <row r="7457" spans="1:40" x14ac:dyDescent="0.25">
      <c r="A7457" t="str">
        <f>"20190312161207272"</f>
        <v>20190312161207272</v>
      </c>
      <c r="B7457" t="str">
        <f>"1552378327264442"</f>
        <v>1552378327264442</v>
      </c>
      <c r="C7457" t="s">
        <v>40</v>
      </c>
      <c r="D7457">
        <v>5.9332900000000004</v>
      </c>
      <c r="E7457">
        <v>0.49261959999999999</v>
      </c>
      <c r="F7457" t="s">
        <v>42</v>
      </c>
      <c r="G7457">
        <v>-163.3451</v>
      </c>
      <c r="H7457">
        <v>1.0439700000000001</v>
      </c>
      <c r="I7457">
        <v>140.08709999999999</v>
      </c>
      <c r="J7457">
        <v>-163.97579999999999</v>
      </c>
      <c r="K7457">
        <v>1.1043019999999999</v>
      </c>
      <c r="L7457">
        <v>140.1781</v>
      </c>
      <c r="M7457">
        <v>0.99994400000000006</v>
      </c>
      <c r="N7457">
        <v>0</v>
      </c>
      <c r="O7457">
        <v>2.7750259999999999E-3</v>
      </c>
      <c r="P7457">
        <v>0.99116380000000004</v>
      </c>
      <c r="Q7457">
        <v>-4.5452840000000001E-2</v>
      </c>
      <c r="R7457">
        <v>-0.12461369999999999</v>
      </c>
      <c r="S7457">
        <v>2.9791409999999998</v>
      </c>
      <c r="T7457">
        <v>-0.1909796</v>
      </c>
      <c r="U7457">
        <v>-0.30685420000000002</v>
      </c>
      <c r="V7457">
        <v>0.1269284</v>
      </c>
      <c r="W7457">
        <v>-3.6849930000000003E-2</v>
      </c>
      <c r="X7457">
        <v>0.99122710000000003</v>
      </c>
      <c r="Y7457">
        <v>0.1050001</v>
      </c>
      <c r="Z7457">
        <v>-3.5305129999999999E-3</v>
      </c>
      <c r="AA7457">
        <v>0.99446590000000001</v>
      </c>
      <c r="AB7457">
        <v>27</v>
      </c>
      <c r="AC7457">
        <v>0.63069999999999005</v>
      </c>
      <c r="AD7457">
        <v>-6.0331999999999997E-2</v>
      </c>
      <c r="AE7457">
        <v>-9.1000000000008199E-2</v>
      </c>
      <c r="AF7457">
        <v>9.1925926405393696E-2</v>
      </c>
      <c r="AG7457">
        <v>-6.0331999999999997E-2</v>
      </c>
      <c r="AH7457">
        <v>0.62484393420538198</v>
      </c>
      <c r="AI7457">
        <v>95.456739307310897</v>
      </c>
      <c r="AJ7457">
        <v>81.630782864618794</v>
      </c>
      <c r="AK7457">
        <v>0.63444485046594101</v>
      </c>
      <c r="AL7457">
        <v>92.111823701153995</v>
      </c>
      <c r="AM7457">
        <v>82.702884448576498</v>
      </c>
      <c r="AN7457">
        <v>0.99999994992098595</v>
      </c>
    </row>
    <row r="7458" spans="1:40" x14ac:dyDescent="0.25">
      <c r="A7458" t="str">
        <f>"20190312161207298"</f>
        <v>20190312161207298</v>
      </c>
      <c r="B7458" t="str">
        <f>"1552378327284609"</f>
        <v>1552378327284609</v>
      </c>
      <c r="C7458" t="s">
        <v>40</v>
      </c>
      <c r="D7458">
        <v>6.0198429999999998</v>
      </c>
      <c r="E7458">
        <v>0.49200149999999998</v>
      </c>
      <c r="F7458" t="s">
        <v>42</v>
      </c>
      <c r="G7458">
        <v>-163.10299999999901</v>
      </c>
      <c r="H7458">
        <v>1.04515</v>
      </c>
      <c r="I7458">
        <v>140.08619999999999</v>
      </c>
      <c r="J7458">
        <v>-163.66980000000001</v>
      </c>
      <c r="K7458">
        <v>1.104609</v>
      </c>
      <c r="L7458">
        <v>140.17089999999999</v>
      </c>
      <c r="M7458">
        <v>0.99993849999999995</v>
      </c>
      <c r="N7458">
        <v>0</v>
      </c>
      <c r="O7458">
        <v>-4.4059440000000002E-3</v>
      </c>
      <c r="P7458">
        <v>0.99069419999999997</v>
      </c>
      <c r="Q7458">
        <v>-4.5447410000000001E-2</v>
      </c>
      <c r="R7458">
        <v>-0.12829679999999999</v>
      </c>
      <c r="S7458">
        <v>2.978119</v>
      </c>
      <c r="T7458">
        <v>-0.20179569999999999</v>
      </c>
      <c r="U7458">
        <v>-0.3131409</v>
      </c>
      <c r="V7458">
        <v>0.1235216</v>
      </c>
      <c r="W7458">
        <v>-3.6756110000000002E-2</v>
      </c>
      <c r="X7458">
        <v>0.99166100000000001</v>
      </c>
      <c r="Y7458">
        <v>9.9970989999999996E-2</v>
      </c>
      <c r="Z7458">
        <v>-3.0764590000000001E-3</v>
      </c>
      <c r="AA7458">
        <v>0.99498560000000003</v>
      </c>
      <c r="AB7458">
        <v>27</v>
      </c>
      <c r="AC7458">
        <v>0.56680000000002895</v>
      </c>
      <c r="AD7458">
        <v>-5.9458999999999901E-2</v>
      </c>
      <c r="AE7458">
        <v>-8.4699999999997999E-2</v>
      </c>
      <c r="AF7458">
        <v>8.1326341839912594E-2</v>
      </c>
      <c r="AG7458">
        <v>-5.9458999999999901E-2</v>
      </c>
      <c r="AH7458">
        <v>0.56112757990661</v>
      </c>
      <c r="AI7458">
        <v>95.986597162049904</v>
      </c>
      <c r="AJ7458">
        <v>81.753328741519596</v>
      </c>
      <c r="AK7458">
        <v>0.57009955927882605</v>
      </c>
      <c r="AL7458">
        <v>92.106444317636601</v>
      </c>
      <c r="AM7458">
        <v>82.899789887751695</v>
      </c>
      <c r="AN7458">
        <v>1.0000000681049399</v>
      </c>
    </row>
    <row r="7459" spans="1:40" x14ac:dyDescent="0.25">
      <c r="A7459" t="str">
        <f>"20190312161207319"</f>
        <v>20190312161207319</v>
      </c>
      <c r="B7459" t="str">
        <f>"1552378327314865"</f>
        <v>1552378327314865</v>
      </c>
      <c r="C7459" t="s">
        <v>40</v>
      </c>
      <c r="D7459">
        <v>5.9350820000000004</v>
      </c>
      <c r="E7459">
        <v>0.49119220000000002</v>
      </c>
      <c r="F7459" t="s">
        <v>42</v>
      </c>
      <c r="G7459">
        <v>-162.85820000000001</v>
      </c>
      <c r="H7459">
        <v>1.048718</v>
      </c>
      <c r="I7459">
        <v>140.0839</v>
      </c>
      <c r="J7459">
        <v>-163.40549999999999</v>
      </c>
      <c r="K7459">
        <v>1.1048720000000001</v>
      </c>
      <c r="L7459">
        <v>140.1634</v>
      </c>
      <c r="M7459">
        <v>0.99989680000000003</v>
      </c>
      <c r="N7459">
        <v>0</v>
      </c>
      <c r="O7459">
        <v>-1.017791E-2</v>
      </c>
      <c r="P7459">
        <v>0.99053659999999999</v>
      </c>
      <c r="Q7459">
        <v>-4.5587460000000003E-2</v>
      </c>
      <c r="R7459">
        <v>-0.12945760000000001</v>
      </c>
      <c r="S7459">
        <v>2.9774479999999999</v>
      </c>
      <c r="T7459">
        <v>-0.2050573</v>
      </c>
      <c r="U7459">
        <v>-0.31922909999999999</v>
      </c>
      <c r="V7459">
        <v>0.1189815</v>
      </c>
      <c r="W7459">
        <v>-3.6804440000000001E-2</v>
      </c>
      <c r="X7459">
        <v>0.99221409999999999</v>
      </c>
      <c r="Y7459">
        <v>9.6277219999999997E-2</v>
      </c>
      <c r="Z7459">
        <v>-2.6038989999999998E-3</v>
      </c>
      <c r="AA7459">
        <v>0.99535110000000004</v>
      </c>
      <c r="AB7459">
        <v>27</v>
      </c>
      <c r="AC7459">
        <v>0.54729999999997803</v>
      </c>
      <c r="AD7459">
        <v>-5.6153999999999801E-2</v>
      </c>
      <c r="AE7459">
        <v>-7.9499999999995893E-2</v>
      </c>
      <c r="AF7459">
        <v>7.3170862295726502E-2</v>
      </c>
      <c r="AG7459">
        <v>-5.6153999999999801E-2</v>
      </c>
      <c r="AH7459">
        <v>0.54248799518650703</v>
      </c>
      <c r="AI7459">
        <v>95.857087600485102</v>
      </c>
      <c r="AJ7459">
        <v>82.318296313519795</v>
      </c>
      <c r="AK7459">
        <v>0.55027308831758803</v>
      </c>
      <c r="AL7459">
        <v>92.109215457569405</v>
      </c>
      <c r="AM7459">
        <v>83.1620193197828</v>
      </c>
      <c r="AN7459">
        <v>0.999999992192386</v>
      </c>
    </row>
    <row r="7460" spans="1:40" x14ac:dyDescent="0.25">
      <c r="A7460" t="str">
        <f>"20190312161207352"</f>
        <v>20190312161207352</v>
      </c>
      <c r="B7460" t="str">
        <f>"1552378327345122"</f>
        <v>1552378327345122</v>
      </c>
      <c r="C7460" t="s">
        <v>40</v>
      </c>
      <c r="D7460">
        <v>5.9501609999999996</v>
      </c>
      <c r="E7460">
        <v>0.4905138</v>
      </c>
      <c r="F7460" t="s">
        <v>42</v>
      </c>
      <c r="G7460">
        <v>-162.6147</v>
      </c>
      <c r="H7460">
        <v>1.050343</v>
      </c>
      <c r="I7460">
        <v>140.07929999999999</v>
      </c>
      <c r="J7460">
        <v>-163.0078</v>
      </c>
      <c r="K7460">
        <v>1.1053170000000001</v>
      </c>
      <c r="L7460">
        <v>140.1499</v>
      </c>
      <c r="M7460">
        <v>0.99978690000000003</v>
      </c>
      <c r="N7460">
        <v>0</v>
      </c>
      <c r="O7460">
        <v>-1.8021539999999999E-2</v>
      </c>
      <c r="P7460">
        <v>0.98984530000000004</v>
      </c>
      <c r="Q7460">
        <v>-4.5617739999999997E-2</v>
      </c>
      <c r="R7460">
        <v>-0.1346309</v>
      </c>
      <c r="S7460">
        <v>2.977859</v>
      </c>
      <c r="T7460">
        <v>-0.2053498</v>
      </c>
      <c r="U7460">
        <v>-0.31637569999999998</v>
      </c>
      <c r="V7460">
        <v>0.116421</v>
      </c>
      <c r="W7460">
        <v>-3.6740439999999999E-2</v>
      </c>
      <c r="X7460">
        <v>0.99252019999999996</v>
      </c>
      <c r="Y7460">
        <v>8.7546150000000003E-2</v>
      </c>
      <c r="Z7460">
        <v>-1.7690129999999901E-3</v>
      </c>
      <c r="AA7460">
        <v>0.99615889999999996</v>
      </c>
      <c r="AB7460">
        <v>27</v>
      </c>
      <c r="AC7460">
        <v>0.393100000000003</v>
      </c>
      <c r="AD7460">
        <v>-5.4974000000000002E-2</v>
      </c>
      <c r="AE7460">
        <v>-7.0600000000013097E-2</v>
      </c>
      <c r="AF7460">
        <v>6.2323122434073702E-2</v>
      </c>
      <c r="AG7460">
        <v>-5.4974000000000002E-2</v>
      </c>
      <c r="AH7460">
        <v>0.38697681095957798</v>
      </c>
      <c r="AI7460">
        <v>97.983823080746504</v>
      </c>
      <c r="AJ7460">
        <v>80.851000633364507</v>
      </c>
      <c r="AK7460">
        <v>0.39579965195333</v>
      </c>
      <c r="AL7460">
        <v>92.105545969860302</v>
      </c>
      <c r="AM7460">
        <v>83.309869738225402</v>
      </c>
      <c r="AN7460">
        <v>1.00000002829021</v>
      </c>
    </row>
    <row r="7461" spans="1:40" x14ac:dyDescent="0.25">
      <c r="A7461" t="str">
        <f>"20190312161207396"</f>
        <v>20190312161207396</v>
      </c>
      <c r="B7461" t="str">
        <f>"1552378327385137"</f>
        <v>1552378327385137</v>
      </c>
      <c r="C7461" t="s">
        <v>40</v>
      </c>
      <c r="D7461">
        <v>5.9450399999999997</v>
      </c>
      <c r="E7461">
        <v>0.47952260000000002</v>
      </c>
      <c r="F7461" t="s">
        <v>42</v>
      </c>
      <c r="G7461">
        <v>-162.13509999999999</v>
      </c>
      <c r="H7461">
        <v>1.0445799999999901</v>
      </c>
      <c r="I7461">
        <v>140.05410000000001</v>
      </c>
      <c r="J7461">
        <v>-162.4735</v>
      </c>
      <c r="K7461">
        <v>1.105955</v>
      </c>
      <c r="L7461">
        <v>140.12870000000001</v>
      </c>
      <c r="M7461">
        <v>0.99958150000000001</v>
      </c>
      <c r="N7461">
        <v>0</v>
      </c>
      <c r="O7461">
        <v>-2.714155E-2</v>
      </c>
      <c r="P7461">
        <v>0.98929549999999999</v>
      </c>
      <c r="Q7461">
        <v>-4.6331629999999999E-2</v>
      </c>
      <c r="R7461">
        <v>-0.138374</v>
      </c>
      <c r="S7461">
        <v>2.9768370000000002</v>
      </c>
      <c r="T7461">
        <v>-0.20715430000000001</v>
      </c>
      <c r="U7461">
        <v>-0.32643129999999998</v>
      </c>
      <c r="V7461">
        <v>0.11117200000000001</v>
      </c>
      <c r="W7461">
        <v>-3.7302340000000003E-2</v>
      </c>
      <c r="X7461">
        <v>0.99310089999999995</v>
      </c>
      <c r="Y7461">
        <v>8.1851679999999996E-2</v>
      </c>
      <c r="Z7461">
        <v>-9.5599629999999997E-4</v>
      </c>
      <c r="AA7461">
        <v>0.99664410000000003</v>
      </c>
      <c r="AB7461">
        <v>27</v>
      </c>
      <c r="AC7461">
        <v>0.33840000000000697</v>
      </c>
      <c r="AD7461">
        <v>-6.1375000000000103E-2</v>
      </c>
      <c r="AE7461">
        <v>-7.4600000000003705E-2</v>
      </c>
      <c r="AF7461">
        <v>6.3398547056941701E-2</v>
      </c>
      <c r="AG7461">
        <v>-6.1375000000000103E-2</v>
      </c>
      <c r="AH7461">
        <v>0.32994968836030197</v>
      </c>
      <c r="AI7461">
        <v>100.352174184915</v>
      </c>
      <c r="AJ7461">
        <v>79.123401370967301</v>
      </c>
      <c r="AK7461">
        <v>0.34154511157823902</v>
      </c>
      <c r="AL7461">
        <v>92.137762532725702</v>
      </c>
      <c r="AM7461">
        <v>83.612655692882896</v>
      </c>
      <c r="AN7461">
        <v>1.0000000378671401</v>
      </c>
    </row>
    <row r="7462" spans="1:40" x14ac:dyDescent="0.25">
      <c r="A7462" t="str">
        <f>"20190312161207419"</f>
        <v>20190312161207419</v>
      </c>
      <c r="B7462" t="str">
        <f>"1552378327414417"</f>
        <v>1552378327414417</v>
      </c>
      <c r="C7462" t="s">
        <v>40</v>
      </c>
      <c r="D7462">
        <v>5.8912779999999998</v>
      </c>
      <c r="E7462">
        <v>0.44585550000000002</v>
      </c>
      <c r="F7462" t="s">
        <v>42</v>
      </c>
      <c r="G7462">
        <v>-161.65280000000001</v>
      </c>
      <c r="H7462">
        <v>1.036033</v>
      </c>
      <c r="I7462">
        <v>140.06020000000001</v>
      </c>
      <c r="J7462">
        <v>-162.19649999999999</v>
      </c>
      <c r="K7462">
        <v>1.106284</v>
      </c>
      <c r="L7462">
        <v>140.1165</v>
      </c>
      <c r="M7462">
        <v>0.99946330000000005</v>
      </c>
      <c r="N7462">
        <v>0</v>
      </c>
      <c r="O7462">
        <v>-3.1208900000000001E-2</v>
      </c>
      <c r="P7462">
        <v>0.98889910000000003</v>
      </c>
      <c r="Q7462">
        <v>-4.5961799999999997E-2</v>
      </c>
      <c r="R7462">
        <v>-0.14130190000000001</v>
      </c>
      <c r="S7462">
        <v>2.985703</v>
      </c>
      <c r="T7462">
        <v>-0.25440990000000002</v>
      </c>
      <c r="U7462">
        <v>-0.2489777</v>
      </c>
      <c r="V7462">
        <v>0.1101023</v>
      </c>
      <c r="W7462">
        <v>-3.6872380000000003E-2</v>
      </c>
      <c r="X7462">
        <v>0.99323609999999896</v>
      </c>
      <c r="Y7462">
        <v>5.1884189999999997E-2</v>
      </c>
      <c r="Z7462">
        <v>4.4614680000000002E-4</v>
      </c>
      <c r="AA7462">
        <v>0.99865300000000001</v>
      </c>
      <c r="AB7462">
        <v>27</v>
      </c>
      <c r="AC7462">
        <v>0.54369999999997198</v>
      </c>
      <c r="AD7462">
        <v>-7.0250999999999994E-2</v>
      </c>
      <c r="AE7462">
        <v>-5.6299999999993099E-2</v>
      </c>
      <c r="AF7462">
        <v>3.8664792184722602E-2</v>
      </c>
      <c r="AG7462">
        <v>-7.0250999999999994E-2</v>
      </c>
      <c r="AH7462">
        <v>0.536333187600598</v>
      </c>
      <c r="AI7462">
        <v>97.443241074833693</v>
      </c>
      <c r="AJ7462">
        <v>85.876623690565793</v>
      </c>
      <c r="AK7462">
        <v>0.54229462220964897</v>
      </c>
      <c r="AL7462">
        <v>92.113110718907706</v>
      </c>
      <c r="AM7462">
        <v>83.674468361749803</v>
      </c>
      <c r="AN7462">
        <v>1.0000000196076799</v>
      </c>
    </row>
    <row r="7463" spans="1:40" x14ac:dyDescent="0.25">
      <c r="A7463" t="str">
        <f>"20190312161207454"</f>
        <v>20190312161207454</v>
      </c>
      <c r="B7463" t="str">
        <f>"1552378327444676"</f>
        <v>1552378327444676</v>
      </c>
      <c r="C7463" t="s">
        <v>40</v>
      </c>
      <c r="D7463">
        <v>5.864878</v>
      </c>
      <c r="E7463">
        <v>0.44582549999999999</v>
      </c>
      <c r="F7463" t="s">
        <v>41</v>
      </c>
      <c r="G7463">
        <v>-147.37629999999999</v>
      </c>
      <c r="H7463" s="1">
        <v>-1.2504079999999999E-6</v>
      </c>
      <c r="I7463">
        <v>140.15190000000001</v>
      </c>
      <c r="J7463">
        <v>-161.77549999999999</v>
      </c>
      <c r="K7463">
        <v>1.106811</v>
      </c>
      <c r="L7463">
        <v>140.09690000000001</v>
      </c>
      <c r="M7463">
        <v>0.99928919999999999</v>
      </c>
      <c r="N7463">
        <v>0</v>
      </c>
      <c r="O7463">
        <v>-3.6377840000000002E-2</v>
      </c>
      <c r="P7463">
        <v>0.98848340000000001</v>
      </c>
      <c r="Q7463">
        <v>-4.4377769999999997E-2</v>
      </c>
      <c r="R7463">
        <v>-0.14467659999999999</v>
      </c>
      <c r="S7463">
        <v>3.024216</v>
      </c>
      <c r="T7463">
        <v>-0.2257487</v>
      </c>
      <c r="U7463">
        <v>7.2326659999999996E-3</v>
      </c>
      <c r="V7463">
        <v>0.1084094</v>
      </c>
      <c r="W7463">
        <v>-3.5197300000000001E-2</v>
      </c>
      <c r="X7463">
        <v>0.99348309999999995</v>
      </c>
      <c r="Y7463">
        <v>-3.8561049999999999E-2</v>
      </c>
      <c r="Z7463">
        <v>4.148667E-3</v>
      </c>
      <c r="AA7463">
        <v>0.99924760000000001</v>
      </c>
      <c r="AB7463">
        <v>27</v>
      </c>
      <c r="AC7463">
        <v>14.3992</v>
      </c>
      <c r="AD7463">
        <v>-1.106812250408</v>
      </c>
      <c r="AE7463">
        <v>5.50000000000068E-2</v>
      </c>
      <c r="AF7463">
        <v>-0.57540132684519496</v>
      </c>
      <c r="AG7463">
        <v>-1.106812250408</v>
      </c>
      <c r="AH7463">
        <v>14.3031596560268</v>
      </c>
      <c r="AI7463">
        <v>94.421302617443004</v>
      </c>
      <c r="AJ7463">
        <v>92.303707764969502</v>
      </c>
      <c r="AK7463">
        <v>14.3574543770956</v>
      </c>
      <c r="AL7463">
        <v>92.0170732427557</v>
      </c>
      <c r="AM7463">
        <v>83.772493885649695</v>
      </c>
      <c r="AN7463">
        <v>1.0000000589606199</v>
      </c>
    </row>
    <row r="7464" spans="1:40" x14ac:dyDescent="0.25">
      <c r="A7464" t="str">
        <f>"20190312161207481"</f>
        <v>20190312161207481</v>
      </c>
      <c r="B7464" t="str">
        <f>"1552378327474929"</f>
        <v>1552378327474929</v>
      </c>
      <c r="C7464" t="s">
        <v>40</v>
      </c>
      <c r="D7464">
        <v>5.8501409999999998</v>
      </c>
      <c r="E7464">
        <v>0.4452564</v>
      </c>
      <c r="F7464" t="s">
        <v>41</v>
      </c>
      <c r="G7464">
        <v>-147.87200000000001</v>
      </c>
      <c r="H7464" s="1">
        <v>-1.021036E-6</v>
      </c>
      <c r="I7464">
        <v>140.0891</v>
      </c>
      <c r="J7464">
        <v>-161.42679999999999</v>
      </c>
      <c r="K7464">
        <v>1.107248</v>
      </c>
      <c r="L7464">
        <v>140.08009999999999</v>
      </c>
      <c r="M7464">
        <v>0.99915659999999895</v>
      </c>
      <c r="N7464">
        <v>0</v>
      </c>
      <c r="O7464">
        <v>-3.9863929999999999E-2</v>
      </c>
      <c r="P7464">
        <v>0.98810319999999996</v>
      </c>
      <c r="Q7464">
        <v>-4.3908559999999999E-2</v>
      </c>
      <c r="R7464">
        <v>-0.14739340000000001</v>
      </c>
      <c r="S7464">
        <v>3.023895</v>
      </c>
      <c r="T7464">
        <v>-0.2407231</v>
      </c>
      <c r="U7464">
        <v>-1.693726E-3</v>
      </c>
      <c r="V7464">
        <v>0.1077124</v>
      </c>
      <c r="W7464">
        <v>-3.4658250000000002E-2</v>
      </c>
      <c r="X7464">
        <v>0.99357779999999996</v>
      </c>
      <c r="Y7464">
        <v>-3.9056569999999999E-2</v>
      </c>
      <c r="Z7464">
        <v>4.7200819999999996E-3</v>
      </c>
      <c r="AA7464">
        <v>0.9992259</v>
      </c>
      <c r="AB7464">
        <v>27</v>
      </c>
      <c r="AC7464">
        <v>13.554799999999901</v>
      </c>
      <c r="AD7464">
        <v>-1.107249021036</v>
      </c>
      <c r="AE7464">
        <v>9.0000000000145502E-3</v>
      </c>
      <c r="AF7464">
        <v>-0.54572515855105797</v>
      </c>
      <c r="AG7464">
        <v>-1.107249021036</v>
      </c>
      <c r="AH7464">
        <v>13.4538913739091</v>
      </c>
      <c r="AI7464">
        <v>94.700964592457495</v>
      </c>
      <c r="AJ7464">
        <v>92.322793892639297</v>
      </c>
      <c r="AK7464">
        <v>13.5104037483787</v>
      </c>
      <c r="AL7464">
        <v>91.986169214849696</v>
      </c>
      <c r="AM7464">
        <v>83.812806193076597</v>
      </c>
      <c r="AN7464">
        <v>1.0000000000298299</v>
      </c>
    </row>
    <row r="7465" spans="1:40" x14ac:dyDescent="0.25">
      <c r="A7465" t="str">
        <f>"20190312161207509"</f>
        <v>20190312161207509</v>
      </c>
      <c r="B7465" t="str">
        <f>"1552378327505184"</f>
        <v>1552378327505184</v>
      </c>
      <c r="C7465" t="s">
        <v>40</v>
      </c>
      <c r="D7465">
        <v>5.8239239999999999</v>
      </c>
      <c r="E7465">
        <v>0.44464330000000002</v>
      </c>
      <c r="F7465" t="s">
        <v>41</v>
      </c>
      <c r="G7465">
        <v>-148.07929999999999</v>
      </c>
      <c r="H7465" s="1">
        <v>-9.2368870000000003E-7</v>
      </c>
      <c r="I7465">
        <v>140.0574</v>
      </c>
      <c r="J7465">
        <v>-161.10159999999999</v>
      </c>
      <c r="K7465">
        <v>1.107639</v>
      </c>
      <c r="L7465">
        <v>140.06389999999999</v>
      </c>
      <c r="M7465">
        <v>0.99905189999999999</v>
      </c>
      <c r="N7465">
        <v>0</v>
      </c>
      <c r="O7465">
        <v>-4.2416580000000002E-2</v>
      </c>
      <c r="P7465">
        <v>0.98777040000000005</v>
      </c>
      <c r="Q7465">
        <v>-4.3296359999999999E-2</v>
      </c>
      <c r="R7465">
        <v>-0.14978350000000001</v>
      </c>
      <c r="S7465">
        <v>3.024216</v>
      </c>
      <c r="T7465">
        <v>-0.25087589999999999</v>
      </c>
      <c r="U7465">
        <v>-5.111694E-3</v>
      </c>
      <c r="V7465">
        <v>0.1076116</v>
      </c>
      <c r="W7465">
        <v>-3.3983010000000001E-2</v>
      </c>
      <c r="X7465">
        <v>0.9936121</v>
      </c>
      <c r="Y7465">
        <v>-4.044528E-2</v>
      </c>
      <c r="Z7465">
        <v>5.1867129999999999E-3</v>
      </c>
      <c r="AA7465">
        <v>0.99916830000000001</v>
      </c>
      <c r="AB7465">
        <v>27</v>
      </c>
      <c r="AC7465">
        <v>13.0223</v>
      </c>
      <c r="AD7465">
        <v>-1.10763992368869</v>
      </c>
      <c r="AE7465">
        <v>-6.4999999999883996E-3</v>
      </c>
      <c r="AF7465">
        <v>-0.54197281142160103</v>
      </c>
      <c r="AG7465">
        <v>-1.10763992368869</v>
      </c>
      <c r="AH7465">
        <v>12.9174009053592</v>
      </c>
      <c r="AI7465">
        <v>94.896716863111905</v>
      </c>
      <c r="AJ7465">
        <v>92.402538457732504</v>
      </c>
      <c r="AK7465">
        <v>12.976126035094</v>
      </c>
      <c r="AL7465">
        <v>91.947457902292001</v>
      </c>
      <c r="AM7465">
        <v>83.818763215248595</v>
      </c>
      <c r="AN7465">
        <v>1.0000000533448099</v>
      </c>
    </row>
    <row r="7466" spans="1:40" x14ac:dyDescent="0.25">
      <c r="A7466" t="str">
        <f>"20190312161207534"</f>
        <v>20190312161207534</v>
      </c>
      <c r="B7466" t="str">
        <f>"1552378327524704"</f>
        <v>1552378327524704</v>
      </c>
      <c r="C7466" t="s">
        <v>40</v>
      </c>
      <c r="D7466">
        <v>5.8018039999999997</v>
      </c>
      <c r="E7466">
        <v>0.4439823</v>
      </c>
      <c r="F7466" t="s">
        <v>41</v>
      </c>
      <c r="G7466">
        <v>-148.04650000000001</v>
      </c>
      <c r="H7466" s="1">
        <v>-9.3136479999999999E-7</v>
      </c>
      <c r="I7466">
        <v>140.0334</v>
      </c>
      <c r="J7466">
        <v>-160.79769999999999</v>
      </c>
      <c r="K7466">
        <v>1.108007</v>
      </c>
      <c r="L7466">
        <v>140.0487</v>
      </c>
      <c r="M7466">
        <v>0.99897550000000002</v>
      </c>
      <c r="N7466">
        <v>0</v>
      </c>
      <c r="O7466">
        <v>-4.4189029999999997E-2</v>
      </c>
      <c r="P7466">
        <v>0.98741889999999999</v>
      </c>
      <c r="Q7466">
        <v>-4.4862300000000001E-2</v>
      </c>
      <c r="R7466">
        <v>-0.15163009999999999</v>
      </c>
      <c r="S7466">
        <v>3.024826</v>
      </c>
      <c r="T7466">
        <v>-0.25663639999999999</v>
      </c>
      <c r="U7466">
        <v>-7.064819E-3</v>
      </c>
      <c r="V7466">
        <v>0.10773439999999999</v>
      </c>
      <c r="W7466">
        <v>-3.5486330000000003E-2</v>
      </c>
      <c r="X7466">
        <v>0.99354620000000005</v>
      </c>
      <c r="Y7466">
        <v>-4.154973E-2</v>
      </c>
      <c r="Z7466">
        <v>5.5010780000000004E-3</v>
      </c>
      <c r="AA7466">
        <v>0.99912129999999999</v>
      </c>
      <c r="AB7466">
        <v>27</v>
      </c>
      <c r="AC7466">
        <v>12.7511999999999</v>
      </c>
      <c r="AD7466">
        <v>-1.1080079313647999</v>
      </c>
      <c r="AE7466">
        <v>-1.5299999999996299E-2</v>
      </c>
      <c r="AF7466">
        <v>-0.54409668039231895</v>
      </c>
      <c r="AG7466">
        <v>-1.1080079313647999</v>
      </c>
      <c r="AH7466">
        <v>12.6439496647513</v>
      </c>
      <c r="AI7466">
        <v>95.003513122603806</v>
      </c>
      <c r="AJ7466">
        <v>92.464041932793407</v>
      </c>
      <c r="AK7466">
        <v>12.7040617874106</v>
      </c>
      <c r="AL7466">
        <v>92.033643880201396</v>
      </c>
      <c r="AM7466">
        <v>83.811356979980303</v>
      </c>
      <c r="AN7466">
        <v>1.0000000160473299</v>
      </c>
    </row>
    <row r="7467" spans="1:40" x14ac:dyDescent="0.25">
      <c r="A7467" t="str">
        <f>"20190312161207557"</f>
        <v>20190312161207557</v>
      </c>
      <c r="B7467" t="str">
        <f>"1552378327545201"</f>
        <v>1552378327545201</v>
      </c>
      <c r="C7467" t="s">
        <v>40</v>
      </c>
      <c r="D7467">
        <v>5.8872210000000003</v>
      </c>
      <c r="E7467">
        <v>0.44409989999999999</v>
      </c>
      <c r="F7467" t="s">
        <v>41</v>
      </c>
      <c r="G7467">
        <v>-147.56899999999999</v>
      </c>
      <c r="H7467" s="1">
        <v>-1.1316699999999999E-6</v>
      </c>
      <c r="I7467">
        <v>140.0163</v>
      </c>
      <c r="J7467">
        <v>-160.5093</v>
      </c>
      <c r="K7467">
        <v>1.1083369999999999</v>
      </c>
      <c r="L7467">
        <v>140.0343</v>
      </c>
      <c r="M7467">
        <v>0.99892029999999998</v>
      </c>
      <c r="N7467">
        <v>0</v>
      </c>
      <c r="O7467">
        <v>-4.5422169999999998E-2</v>
      </c>
      <c r="P7467">
        <v>0.98725799999999997</v>
      </c>
      <c r="Q7467">
        <v>-4.5337200000000001E-2</v>
      </c>
      <c r="R7467">
        <v>-0.15253249999999999</v>
      </c>
      <c r="S7467">
        <v>3.0255890000000001</v>
      </c>
      <c r="T7467">
        <v>-0.25341570000000002</v>
      </c>
      <c r="U7467">
        <v>-7.4005130000000001E-3</v>
      </c>
      <c r="V7467">
        <v>0.107443899999999</v>
      </c>
      <c r="W7467">
        <v>-3.5902120000000003E-2</v>
      </c>
      <c r="X7467">
        <v>0.99356270000000002</v>
      </c>
      <c r="Y7467">
        <v>-4.2672380000000003E-2</v>
      </c>
      <c r="Z7467">
        <v>5.5808780000000001E-3</v>
      </c>
      <c r="AA7467">
        <v>0.99907349999999995</v>
      </c>
      <c r="AB7467">
        <v>27</v>
      </c>
      <c r="AC7467">
        <v>12.940300000000001</v>
      </c>
      <c r="AD7467">
        <v>-1.1083381316700001</v>
      </c>
      <c r="AE7467">
        <v>-1.8000000000000599E-2</v>
      </c>
      <c r="AF7467">
        <v>-0.565673287462373</v>
      </c>
      <c r="AG7467">
        <v>-1.1083381316700001</v>
      </c>
      <c r="AH7467">
        <v>12.8336139734496</v>
      </c>
      <c r="AI7467">
        <v>94.931173734194601</v>
      </c>
      <c r="AJ7467">
        <v>92.523819637620207</v>
      </c>
      <c r="AK7467">
        <v>12.8937987925119</v>
      </c>
      <c r="AL7467">
        <v>92.057482123401499</v>
      </c>
      <c r="AM7467">
        <v>83.828017061119297</v>
      </c>
      <c r="AN7467">
        <v>0.99999999634949699</v>
      </c>
    </row>
    <row r="7468" spans="1:40" x14ac:dyDescent="0.25">
      <c r="A7468" t="str">
        <f>"20190312161207588"</f>
        <v>20190312161207588</v>
      </c>
      <c r="B7468" t="str">
        <f>"1552378327574482"</f>
        <v>1552378327574482</v>
      </c>
      <c r="C7468" t="s">
        <v>40</v>
      </c>
      <c r="D7468">
        <v>5.8517929999999998</v>
      </c>
      <c r="E7468">
        <v>0.44385000000000002</v>
      </c>
      <c r="F7468" t="s">
        <v>41</v>
      </c>
      <c r="G7468">
        <v>-147.36349999999999</v>
      </c>
      <c r="H7468" s="1">
        <v>-1.2121640000000001E-6</v>
      </c>
      <c r="I7468">
        <v>139.98750000000001</v>
      </c>
      <c r="J7468">
        <v>-160.14009999999999</v>
      </c>
      <c r="K7468">
        <v>1.1087309999999999</v>
      </c>
      <c r="L7468">
        <v>140.01609999999999</v>
      </c>
      <c r="M7468">
        <v>0.99887809999999999</v>
      </c>
      <c r="N7468">
        <v>0</v>
      </c>
      <c r="O7468">
        <v>-4.6347880000000001E-2</v>
      </c>
      <c r="P7468">
        <v>0.98751809999999995</v>
      </c>
      <c r="Q7468">
        <v>-4.5333369999999998E-2</v>
      </c>
      <c r="R7468">
        <v>-0.15084210000000001</v>
      </c>
      <c r="S7468">
        <v>3.0253299999999999</v>
      </c>
      <c r="T7468">
        <v>-0.25506879999999998</v>
      </c>
      <c r="U7468">
        <v>-1.077271E-2</v>
      </c>
      <c r="V7468">
        <v>0.1048578</v>
      </c>
      <c r="W7468">
        <v>-3.5816069999999998E-2</v>
      </c>
      <c r="X7468">
        <v>0.99384209999999995</v>
      </c>
      <c r="Y7468">
        <v>-4.2477729999999998E-2</v>
      </c>
      <c r="Z7468">
        <v>5.6872549999999996E-3</v>
      </c>
      <c r="AA7468">
        <v>0.99908129999999995</v>
      </c>
      <c r="AB7468">
        <v>27</v>
      </c>
      <c r="AC7468">
        <v>12.7766</v>
      </c>
      <c r="AD7468">
        <v>-1.108732212164</v>
      </c>
      <c r="AE7468">
        <v>-2.8599999999983E-2</v>
      </c>
      <c r="AF7468">
        <v>-0.559414379689262</v>
      </c>
      <c r="AG7468">
        <v>-1.108732212164</v>
      </c>
      <c r="AH7468">
        <v>12.668792437664299</v>
      </c>
      <c r="AI7468">
        <v>94.9967556685245</v>
      </c>
      <c r="AJ7468">
        <v>92.5283605686664</v>
      </c>
      <c r="AK7468">
        <v>12.729514263911</v>
      </c>
      <c r="AL7468">
        <v>92.052548570461198</v>
      </c>
      <c r="AM7468">
        <v>83.977147781530803</v>
      </c>
      <c r="AN7468">
        <v>1.0000000344117399</v>
      </c>
    </row>
    <row r="7469" spans="1:40" x14ac:dyDescent="0.25">
      <c r="A7469" t="str">
        <f>"20190312161207620"</f>
        <v>20190312161207620</v>
      </c>
      <c r="B7469" t="str">
        <f>"1552378327614497"</f>
        <v>1552378327614497</v>
      </c>
      <c r="C7469" t="s">
        <v>40</v>
      </c>
      <c r="D7469">
        <v>5.8838419999999996</v>
      </c>
      <c r="E7469">
        <v>0.44365700000000002</v>
      </c>
      <c r="F7469" t="s">
        <v>41</v>
      </c>
      <c r="G7469">
        <v>-147.2028</v>
      </c>
      <c r="H7469" s="1">
        <v>-1.2847749999999999E-6</v>
      </c>
      <c r="I7469">
        <v>140.00129999999999</v>
      </c>
      <c r="J7469">
        <v>-159.7415</v>
      </c>
      <c r="K7469">
        <v>1.1091200000000001</v>
      </c>
      <c r="L7469">
        <v>139.99700000000001</v>
      </c>
      <c r="M7469">
        <v>0.99886759999999997</v>
      </c>
      <c r="N7469">
        <v>0</v>
      </c>
      <c r="O7469">
        <v>-4.6581539999999998E-2</v>
      </c>
      <c r="P7469">
        <v>0.98767470000000002</v>
      </c>
      <c r="Q7469">
        <v>-4.6076489999999998E-2</v>
      </c>
      <c r="R7469">
        <v>-0.14958659999999999</v>
      </c>
      <c r="S7469">
        <v>3.0254970000000001</v>
      </c>
      <c r="T7469">
        <v>-0.25928689999999999</v>
      </c>
      <c r="U7469">
        <v>-3.4484860000000002E-3</v>
      </c>
      <c r="V7469">
        <v>0.1033979</v>
      </c>
      <c r="W7469">
        <v>-3.6481859999999998E-2</v>
      </c>
      <c r="X7469">
        <v>0.99397080000000004</v>
      </c>
      <c r="Y7469">
        <v>-4.5109120000000003E-2</v>
      </c>
      <c r="Z7469">
        <v>5.9132389999999998E-3</v>
      </c>
      <c r="AA7469">
        <v>0.99896450000000003</v>
      </c>
      <c r="AB7469">
        <v>27</v>
      </c>
      <c r="AC7469">
        <v>12.5387</v>
      </c>
      <c r="AD7469">
        <v>-1.109121284775</v>
      </c>
      <c r="AE7469">
        <v>4.2999999999722097E-3</v>
      </c>
      <c r="AF7469">
        <v>-0.58382653372631199</v>
      </c>
      <c r="AG7469">
        <v>-1.109121284775</v>
      </c>
      <c r="AH7469">
        <v>12.4276482114991</v>
      </c>
      <c r="AI7469">
        <v>95.094334571896695</v>
      </c>
      <c r="AJ7469">
        <v>92.689665847619807</v>
      </c>
      <c r="AK7469">
        <v>12.4906942767246</v>
      </c>
      <c r="AL7469">
        <v>92.090720544324</v>
      </c>
      <c r="AM7469">
        <v>84.061161845171895</v>
      </c>
      <c r="AN7469">
        <v>1.0000000015430499</v>
      </c>
    </row>
    <row r="7470" spans="1:40" x14ac:dyDescent="0.25">
      <c r="A7470" t="str">
        <f>"20190312161207645"</f>
        <v>20190312161207645</v>
      </c>
      <c r="B7470" t="str">
        <f>"1552378327634992"</f>
        <v>1552378327634992</v>
      </c>
      <c r="C7470" t="s">
        <v>40</v>
      </c>
      <c r="D7470">
        <v>5.8716989999999996</v>
      </c>
      <c r="E7470">
        <v>0.4435076</v>
      </c>
      <c r="F7470" t="s">
        <v>41</v>
      </c>
      <c r="G7470">
        <v>-146.9598</v>
      </c>
      <c r="H7470" s="1">
        <v>-1.3902719999999999E-6</v>
      </c>
      <c r="I7470">
        <v>140.006</v>
      </c>
      <c r="J7470">
        <v>-159.4331</v>
      </c>
      <c r="K7470">
        <v>1.1093740000000001</v>
      </c>
      <c r="L7470">
        <v>139.98259999999999</v>
      </c>
      <c r="M7470">
        <v>0.99887840000000006</v>
      </c>
      <c r="N7470">
        <v>0</v>
      </c>
      <c r="O7470">
        <v>-4.635222E-2</v>
      </c>
      <c r="P7470">
        <v>0.98804179999999997</v>
      </c>
      <c r="Q7470">
        <v>-4.6720230000000001E-2</v>
      </c>
      <c r="R7470">
        <v>-0.146940299999999</v>
      </c>
      <c r="S7470">
        <v>3.0255130000000001</v>
      </c>
      <c r="T7470">
        <v>-0.26253649999999901</v>
      </c>
      <c r="U7470">
        <v>2.1514889999999999E-3</v>
      </c>
      <c r="V7470">
        <v>0.10098849999999999</v>
      </c>
      <c r="W7470">
        <v>-3.7074040000000003E-2</v>
      </c>
      <c r="X7470">
        <v>0.99419659999999999</v>
      </c>
      <c r="Y7470">
        <v>-4.6715079999999999E-2</v>
      </c>
      <c r="Z7470">
        <v>6.0367880000000004E-3</v>
      </c>
      <c r="AA7470">
        <v>0.99888999999999994</v>
      </c>
      <c r="AB7470">
        <v>27</v>
      </c>
      <c r="AC7470">
        <v>12.473299999999901</v>
      </c>
      <c r="AD7470">
        <v>-1.1093753902720001</v>
      </c>
      <c r="AE7470">
        <v>2.3400000000009399E-2</v>
      </c>
      <c r="AF7470">
        <v>-0.59684577092339997</v>
      </c>
      <c r="AG7470">
        <v>-1.1093753902720001</v>
      </c>
      <c r="AH7470">
        <v>12.3610278285056</v>
      </c>
      <c r="AI7470">
        <v>95.122495905372304</v>
      </c>
      <c r="AJ7470">
        <v>92.764349854773101</v>
      </c>
      <c r="AK7470">
        <v>12.425053223543999</v>
      </c>
      <c r="AL7470">
        <v>92.124672889226005</v>
      </c>
      <c r="AM7470">
        <v>84.199903482180204</v>
      </c>
      <c r="AN7470">
        <v>1.0000000205128601</v>
      </c>
    </row>
    <row r="7471" spans="1:40" x14ac:dyDescent="0.25">
      <c r="A7471" t="str">
        <f>"20190312161207677"</f>
        <v>20190312161207677</v>
      </c>
      <c r="B7471" t="str">
        <f>"1552378327665250"</f>
        <v>1552378327665250</v>
      </c>
      <c r="C7471" t="s">
        <v>40</v>
      </c>
      <c r="D7471">
        <v>5.8773689999999998</v>
      </c>
      <c r="E7471">
        <v>0.44319979999999998</v>
      </c>
      <c r="F7471" t="s">
        <v>41</v>
      </c>
      <c r="G7471">
        <v>-146.75120000000001</v>
      </c>
      <c r="H7471" s="1">
        <v>-1.4865160000000001E-6</v>
      </c>
      <c r="I7471">
        <v>140.03149999999999</v>
      </c>
      <c r="J7471">
        <v>-159.02860000000001</v>
      </c>
      <c r="K7471">
        <v>1.109704</v>
      </c>
      <c r="L7471">
        <v>139.96449999999999</v>
      </c>
      <c r="M7471">
        <v>0.99892069999999999</v>
      </c>
      <c r="N7471">
        <v>0</v>
      </c>
      <c r="O7471">
        <v>-4.542769E-2</v>
      </c>
      <c r="P7471">
        <v>0.98913510000000004</v>
      </c>
      <c r="Q7471">
        <v>-4.586763E-2</v>
      </c>
      <c r="R7471">
        <v>-0.13967170000000001</v>
      </c>
      <c r="S7471">
        <v>3.025528</v>
      </c>
      <c r="T7471">
        <v>-0.26466440000000002</v>
      </c>
      <c r="U7471">
        <v>1.167297E-2</v>
      </c>
      <c r="V7471">
        <v>9.4625760000000003E-2</v>
      </c>
      <c r="W7471">
        <v>-3.6137210000000003E-2</v>
      </c>
      <c r="X7471">
        <v>0.99485679999999999</v>
      </c>
      <c r="Y7471">
        <v>-4.8923399999999999E-2</v>
      </c>
      <c r="Z7471">
        <v>6.1012949999999996E-3</v>
      </c>
      <c r="AA7471">
        <v>0.99878389999999995</v>
      </c>
      <c r="AB7471">
        <v>28</v>
      </c>
      <c r="AC7471">
        <v>12.2774</v>
      </c>
      <c r="AD7471">
        <v>-1.1097054865160001</v>
      </c>
      <c r="AE7471">
        <v>6.7000000000007207E-2</v>
      </c>
      <c r="AF7471">
        <v>-0.61962890308583596</v>
      </c>
      <c r="AG7471">
        <v>-1.1097054865160001</v>
      </c>
      <c r="AH7471">
        <v>12.162321420370001</v>
      </c>
      <c r="AI7471">
        <v>95.206588589920102</v>
      </c>
      <c r="AJ7471">
        <v>92.916503487998099</v>
      </c>
      <c r="AK7471">
        <v>12.2285505509334</v>
      </c>
      <c r="AL7471">
        <v>92.070960542750996</v>
      </c>
      <c r="AM7471">
        <v>84.566660033183695</v>
      </c>
      <c r="AN7471">
        <v>0.99999999245420002</v>
      </c>
    </row>
    <row r="7472" spans="1:40" x14ac:dyDescent="0.25">
      <c r="A7472" t="str">
        <f>"20190312161207722"</f>
        <v>20190312161207722</v>
      </c>
      <c r="B7472" t="str">
        <f>"1552378327715025"</f>
        <v>1552378327715025</v>
      </c>
      <c r="C7472" t="s">
        <v>40</v>
      </c>
      <c r="D7472">
        <v>5.8701109999999996</v>
      </c>
      <c r="E7472">
        <v>0.44282949999999999</v>
      </c>
      <c r="F7472" t="s">
        <v>41</v>
      </c>
      <c r="G7472">
        <v>-146.42679999999999</v>
      </c>
      <c r="H7472" s="1">
        <v>-1.6477919999999999E-6</v>
      </c>
      <c r="I7472">
        <v>140.1146</v>
      </c>
      <c r="J7472">
        <v>-158.47989999999999</v>
      </c>
      <c r="K7472">
        <v>1.1100859999999999</v>
      </c>
      <c r="L7472">
        <v>139.94159999999999</v>
      </c>
      <c r="M7472">
        <v>0.99900840000000002</v>
      </c>
      <c r="N7472">
        <v>0</v>
      </c>
      <c r="O7472">
        <v>-4.3435269999999998E-2</v>
      </c>
      <c r="P7472">
        <v>0.99012800000000001</v>
      </c>
      <c r="Q7472">
        <v>-4.7248610000000003E-2</v>
      </c>
      <c r="R7472">
        <v>-0.13196289999999999</v>
      </c>
      <c r="S7472">
        <v>3.0257109999999998</v>
      </c>
      <c r="T7472">
        <v>-0.26644309999999899</v>
      </c>
      <c r="U7472">
        <v>3.6041259999999999E-2</v>
      </c>
      <c r="V7472">
        <v>8.8898920000000006E-2</v>
      </c>
      <c r="W7472">
        <v>-3.7353829999999998E-2</v>
      </c>
      <c r="X7472">
        <v>0.99534</v>
      </c>
      <c r="Y7472">
        <v>-5.4953189999999999E-2</v>
      </c>
      <c r="Z7472">
        <v>6.2317240000000001E-3</v>
      </c>
      <c r="AA7472">
        <v>0.99846950000000001</v>
      </c>
      <c r="AB7472">
        <v>28</v>
      </c>
      <c r="AC7472">
        <v>12.053100000000001</v>
      </c>
      <c r="AD7472">
        <v>-1.1100876477920001</v>
      </c>
      <c r="AE7472">
        <v>0.17300000000000099</v>
      </c>
      <c r="AF7472">
        <v>-0.69053522601406003</v>
      </c>
      <c r="AG7472">
        <v>-1.1100876477920001</v>
      </c>
      <c r="AH7472">
        <v>11.933009746602</v>
      </c>
      <c r="AI7472">
        <v>95.305911525613197</v>
      </c>
      <c r="AJ7472">
        <v>93.311878594056097</v>
      </c>
      <c r="AK7472">
        <v>12.004409818756001</v>
      </c>
      <c r="AL7472">
        <v>92.140714785725194</v>
      </c>
      <c r="AM7472">
        <v>84.896162770663693</v>
      </c>
      <c r="AN7472">
        <v>1.00000002109641</v>
      </c>
    </row>
    <row r="7473" spans="1:40" x14ac:dyDescent="0.25">
      <c r="A7473" t="str">
        <f>"20190312161207768"</f>
        <v>20190312161207768</v>
      </c>
      <c r="B7473" t="str">
        <f>"1552378327764801"</f>
        <v>1552378327764801</v>
      </c>
      <c r="C7473" t="s">
        <v>40</v>
      </c>
      <c r="D7473">
        <v>5.9034879999999896</v>
      </c>
      <c r="E7473">
        <v>0.44265369999999998</v>
      </c>
      <c r="F7473" t="s">
        <v>41</v>
      </c>
      <c r="G7473">
        <v>-146.22120000000001</v>
      </c>
      <c r="H7473" s="1">
        <v>-1.7574709999999999E-6</v>
      </c>
      <c r="I7473">
        <v>140.1952</v>
      </c>
      <c r="J7473">
        <v>-157.91249999999999</v>
      </c>
      <c r="K7473">
        <v>1.110441</v>
      </c>
      <c r="L7473">
        <v>139.92009999999999</v>
      </c>
      <c r="M7473">
        <v>0.99912089999999998</v>
      </c>
      <c r="N7473">
        <v>0</v>
      </c>
      <c r="O7473">
        <v>-4.068211E-2</v>
      </c>
      <c r="P7473">
        <v>0.99068179999999995</v>
      </c>
      <c r="Q7473">
        <v>-4.7599500000000003E-2</v>
      </c>
      <c r="R7473">
        <v>-0.1276098</v>
      </c>
      <c r="S7473">
        <v>3.0251769999999998</v>
      </c>
      <c r="T7473">
        <v>-0.27394380000000002</v>
      </c>
      <c r="U7473">
        <v>6.2591549999999996E-2</v>
      </c>
      <c r="V7473">
        <v>8.7291779999999999E-2</v>
      </c>
      <c r="W7473">
        <v>-3.7309130000000003E-2</v>
      </c>
      <c r="X7473">
        <v>0.99548389999999998</v>
      </c>
      <c r="Y7473">
        <v>-6.0928540000000003E-2</v>
      </c>
      <c r="Z7473">
        <v>6.4286090000000001E-3</v>
      </c>
      <c r="AA7473">
        <v>0.99812140000000005</v>
      </c>
      <c r="AB7473">
        <v>28</v>
      </c>
      <c r="AC7473">
        <v>11.691299999999901</v>
      </c>
      <c r="AD7473">
        <v>-1.1104427574709901</v>
      </c>
      <c r="AE7473">
        <v>0.275100000000009</v>
      </c>
      <c r="AF7473">
        <v>-0.74381689211232105</v>
      </c>
      <c r="AG7473">
        <v>-1.1104427574709901</v>
      </c>
      <c r="AH7473">
        <v>11.566144681387801</v>
      </c>
      <c r="AI7473">
        <v>95.472809715815899</v>
      </c>
      <c r="AJ7473">
        <v>93.679615225038901</v>
      </c>
      <c r="AK7473">
        <v>11.643111675038</v>
      </c>
      <c r="AL7473">
        <v>92.138151900385097</v>
      </c>
      <c r="AM7473">
        <v>84.988677935475494</v>
      </c>
      <c r="AN7473">
        <v>1.00000001059806</v>
      </c>
    </row>
    <row r="7474" spans="1:40" x14ac:dyDescent="0.25">
      <c r="A7474" t="str">
        <f>"20190312161207801"</f>
        <v>20190312161207801</v>
      </c>
      <c r="B7474" t="str">
        <f>"1552378327795057"</f>
        <v>1552378327795057</v>
      </c>
      <c r="C7474" t="s">
        <v>40</v>
      </c>
      <c r="D7474">
        <v>5.8905430000000001</v>
      </c>
      <c r="E7474">
        <v>0.4425654</v>
      </c>
      <c r="F7474" t="s">
        <v>41</v>
      </c>
      <c r="G7474">
        <v>-145.77969999999999</v>
      </c>
      <c r="H7474" s="1">
        <v>-1.9562399999999998E-6</v>
      </c>
      <c r="I7474">
        <v>140.2304</v>
      </c>
      <c r="J7474">
        <v>-157.49340000000001</v>
      </c>
      <c r="K7474">
        <v>1.110622</v>
      </c>
      <c r="L7474">
        <v>139.90559999999999</v>
      </c>
      <c r="M7474">
        <v>0.99920730000000002</v>
      </c>
      <c r="N7474">
        <v>0</v>
      </c>
      <c r="O7474">
        <v>-3.8393940000000001E-2</v>
      </c>
      <c r="P7474">
        <v>0.9910679</v>
      </c>
      <c r="Q7474">
        <v>-4.690134E-2</v>
      </c>
      <c r="R7474">
        <v>-0.1248393</v>
      </c>
      <c r="S7474">
        <v>3.0248870000000001</v>
      </c>
      <c r="T7474">
        <v>-0.27684829999999999</v>
      </c>
      <c r="U7474">
        <v>7.7377319999999999E-2</v>
      </c>
      <c r="V7474">
        <v>8.6792859999999999E-2</v>
      </c>
      <c r="W7474">
        <v>-3.6183079999999999E-2</v>
      </c>
      <c r="X7474">
        <v>0.99556909999999998</v>
      </c>
      <c r="Y7474">
        <v>-6.3510839999999999E-2</v>
      </c>
      <c r="Z7474">
        <v>6.4058619999999896E-3</v>
      </c>
      <c r="AA7474">
        <v>0.99796059999999998</v>
      </c>
      <c r="AB7474">
        <v>28</v>
      </c>
      <c r="AC7474">
        <v>11.713699999999999</v>
      </c>
      <c r="AD7474">
        <v>-1.11062395624</v>
      </c>
      <c r="AE7474">
        <v>0.32480000000001003</v>
      </c>
      <c r="AF7474">
        <v>-0.76742682936061701</v>
      </c>
      <c r="AG7474">
        <v>-1.11062395624</v>
      </c>
      <c r="AH7474">
        <v>11.588494053878801</v>
      </c>
      <c r="AI7474">
        <v>95.462529598954802</v>
      </c>
      <c r="AJ7474">
        <v>93.788776126376803</v>
      </c>
      <c r="AK7474">
        <v>11.6668600723322</v>
      </c>
      <c r="AL7474">
        <v>92.073590353927997</v>
      </c>
      <c r="AM7474">
        <v>85.017600034330002</v>
      </c>
      <c r="AN7474">
        <v>1.00000002435003</v>
      </c>
    </row>
    <row r="7475" spans="1:40" x14ac:dyDescent="0.25">
      <c r="A7475" t="str">
        <f>"20190312161207824"</f>
        <v>20190312161207824</v>
      </c>
      <c r="B7475" t="str">
        <f>"1552378327814577"</f>
        <v>1552378327814577</v>
      </c>
      <c r="C7475" t="s">
        <v>40</v>
      </c>
      <c r="D7475">
        <v>5.8648480000000003</v>
      </c>
      <c r="E7475">
        <v>0.44250630000000002</v>
      </c>
      <c r="F7475" t="s">
        <v>41</v>
      </c>
      <c r="G7475">
        <v>-145.30520000000001</v>
      </c>
      <c r="H7475" s="1">
        <v>-2.166067E-6</v>
      </c>
      <c r="I7475">
        <v>140.25409999999999</v>
      </c>
      <c r="J7475">
        <v>-157.2227</v>
      </c>
      <c r="K7475">
        <v>1.110703</v>
      </c>
      <c r="L7475">
        <v>139.89680000000001</v>
      </c>
      <c r="M7475">
        <v>0.99926139999999997</v>
      </c>
      <c r="N7475">
        <v>0</v>
      </c>
      <c r="O7475">
        <v>-3.6869699999999901E-2</v>
      </c>
      <c r="P7475">
        <v>0.99135459999999997</v>
      </c>
      <c r="Q7475">
        <v>-4.6596690000000003E-2</v>
      </c>
      <c r="R7475">
        <v>-0.1226575</v>
      </c>
      <c r="S7475">
        <v>3.0248870000000001</v>
      </c>
      <c r="T7475">
        <v>-0.27563599999999999</v>
      </c>
      <c r="U7475">
        <v>8.6486820000000006E-2</v>
      </c>
      <c r="V7475">
        <v>8.6120329999999995E-2</v>
      </c>
      <c r="W7475">
        <v>-3.5575059999999999E-2</v>
      </c>
      <c r="X7475">
        <v>0.99564940000000002</v>
      </c>
      <c r="Y7475">
        <v>-6.4995689999999995E-2</v>
      </c>
      <c r="Z7475">
        <v>6.3066789999999999E-3</v>
      </c>
      <c r="AA7475">
        <v>0.99786560000000002</v>
      </c>
      <c r="AB7475">
        <v>28</v>
      </c>
      <c r="AC7475">
        <v>11.917499999999899</v>
      </c>
      <c r="AD7475">
        <v>-1.110705166067</v>
      </c>
      <c r="AE7475">
        <v>0.35729999999998002</v>
      </c>
      <c r="AF7475">
        <v>-0.78962481566217402</v>
      </c>
      <c r="AG7475">
        <v>-1.110705166067</v>
      </c>
      <c r="AH7475">
        <v>11.793870490586</v>
      </c>
      <c r="AI7475">
        <v>95.368098892023795</v>
      </c>
      <c r="AJ7475">
        <v>93.830358314726297</v>
      </c>
      <c r="AK7475">
        <v>11.872344101488601</v>
      </c>
      <c r="AL7475">
        <v>92.038730955089207</v>
      </c>
      <c r="AM7475">
        <v>85.056411717232095</v>
      </c>
      <c r="AN7475">
        <v>1.00000001192683</v>
      </c>
    </row>
    <row r="7476" spans="1:40" x14ac:dyDescent="0.25">
      <c r="A7476" t="str">
        <f>"20190312161207845"</f>
        <v>20190312161207845</v>
      </c>
      <c r="B7476" t="str">
        <f>"1552378327835073"</f>
        <v>1552378327835073</v>
      </c>
      <c r="C7476" t="s">
        <v>40</v>
      </c>
      <c r="D7476">
        <v>5.8679420000000002</v>
      </c>
      <c r="E7476">
        <v>0.44249840000000001</v>
      </c>
      <c r="F7476" t="s">
        <v>41</v>
      </c>
      <c r="G7476">
        <v>-145.02359999999999</v>
      </c>
      <c r="H7476" s="1">
        <v>-2.292075E-6</v>
      </c>
      <c r="I7476">
        <v>140.27350000000001</v>
      </c>
      <c r="J7476">
        <v>-156.95750000000001</v>
      </c>
      <c r="K7476">
        <v>1.1107659999999999</v>
      </c>
      <c r="L7476">
        <v>139.8886</v>
      </c>
      <c r="M7476">
        <v>0.99931199999999998</v>
      </c>
      <c r="N7476">
        <v>0</v>
      </c>
      <c r="O7476">
        <v>-3.5372149999999998E-2</v>
      </c>
      <c r="P7476">
        <v>0.99143369999999997</v>
      </c>
      <c r="Q7476">
        <v>-4.753719E-2</v>
      </c>
      <c r="R7476">
        <v>-0.121655</v>
      </c>
      <c r="S7476">
        <v>3.0247799999999998</v>
      </c>
      <c r="T7476">
        <v>-0.27539960000000002</v>
      </c>
      <c r="U7476">
        <v>9.341431E-2</v>
      </c>
      <c r="V7476">
        <v>8.6608790000000005E-2</v>
      </c>
      <c r="W7476">
        <v>-3.6190550000000002E-2</v>
      </c>
      <c r="X7476">
        <v>0.99558480000000005</v>
      </c>
      <c r="Y7476">
        <v>-6.5788360000000004E-2</v>
      </c>
      <c r="Z7476">
        <v>6.2013349999999997E-3</v>
      </c>
      <c r="AA7476">
        <v>0.99781439999999999</v>
      </c>
      <c r="AB7476">
        <v>28</v>
      </c>
      <c r="AC7476">
        <v>11.9339</v>
      </c>
      <c r="AD7476">
        <v>-1.1107682920749999</v>
      </c>
      <c r="AE7476">
        <v>0.38490000000001601</v>
      </c>
      <c r="AF7476">
        <v>-0.79989057787725404</v>
      </c>
      <c r="AG7476">
        <v>-1.1107682920749999</v>
      </c>
      <c r="AH7476">
        <v>11.810603172672201</v>
      </c>
      <c r="AI7476">
        <v>95.360564209888906</v>
      </c>
      <c r="AJ7476">
        <v>93.874524697562094</v>
      </c>
      <c r="AK7476">
        <v>11.889658465977501</v>
      </c>
      <c r="AL7476">
        <v>92.074018754546799</v>
      </c>
      <c r="AM7476">
        <v>85.028191682014096</v>
      </c>
      <c r="AN7476">
        <v>0.99999996620280196</v>
      </c>
    </row>
    <row r="7477" spans="1:40" x14ac:dyDescent="0.25">
      <c r="A7477" t="str">
        <f>"20190312161207878"</f>
        <v>20190312161207878</v>
      </c>
      <c r="B7477" t="str">
        <f>"1552378327865329"</f>
        <v>1552378327865329</v>
      </c>
      <c r="C7477" t="s">
        <v>40</v>
      </c>
      <c r="D7477">
        <v>5.8742080000000003</v>
      </c>
      <c r="E7477">
        <v>0.44253150000000002</v>
      </c>
      <c r="F7477" t="s">
        <v>41</v>
      </c>
      <c r="G7477">
        <v>-144.8783</v>
      </c>
      <c r="H7477" s="1">
        <v>-2.3547460000000001E-6</v>
      </c>
      <c r="I7477">
        <v>140.2748</v>
      </c>
      <c r="J7477">
        <v>-156.55789999999999</v>
      </c>
      <c r="K7477">
        <v>1.1108290000000001</v>
      </c>
      <c r="L7477">
        <v>139.87710000000001</v>
      </c>
      <c r="M7477">
        <v>0.99938340000000003</v>
      </c>
      <c r="N7477">
        <v>0</v>
      </c>
      <c r="O7477">
        <v>-3.3131670000000002E-2</v>
      </c>
      <c r="P7477">
        <v>0.99135300000000004</v>
      </c>
      <c r="Q7477">
        <v>-4.7865959999999999E-2</v>
      </c>
      <c r="R7477">
        <v>-0.1221817</v>
      </c>
      <c r="S7477">
        <v>3.0244450000000001</v>
      </c>
      <c r="T7477">
        <v>-0.27811910000000001</v>
      </c>
      <c r="U7477">
        <v>9.6710210000000005E-2</v>
      </c>
      <c r="V7477">
        <v>8.9367379999999996E-2</v>
      </c>
      <c r="W7477">
        <v>-3.6051029999999998E-2</v>
      </c>
      <c r="X7477">
        <v>0.99534610000000001</v>
      </c>
      <c r="Y7477">
        <v>-6.4647079999999996E-2</v>
      </c>
      <c r="Z7477">
        <v>6.0050619999999898E-3</v>
      </c>
      <c r="AA7477">
        <v>0.9978901</v>
      </c>
      <c r="AB7477">
        <v>28</v>
      </c>
      <c r="AC7477">
        <v>11.679599999999899</v>
      </c>
      <c r="AD7477">
        <v>-1.110831354746</v>
      </c>
      <c r="AE7477">
        <v>0.39769999999998601</v>
      </c>
      <c r="AF7477">
        <v>-0.77744804166558101</v>
      </c>
      <c r="AG7477">
        <v>-1.110831354746</v>
      </c>
      <c r="AH7477">
        <v>11.555602613746499</v>
      </c>
      <c r="AI7477">
        <v>95.478618193093993</v>
      </c>
      <c r="AJ7477">
        <v>93.848995640019197</v>
      </c>
      <c r="AK7477">
        <v>11.6348753118803</v>
      </c>
      <c r="AL7477">
        <v>92.066019490972394</v>
      </c>
      <c r="AM7477">
        <v>84.8694421329416</v>
      </c>
      <c r="AN7477">
        <v>1.00000003207866</v>
      </c>
    </row>
    <row r="7478" spans="1:40" x14ac:dyDescent="0.25">
      <c r="A7478" t="str">
        <f>"20190312161207915"</f>
        <v>20190312161207915</v>
      </c>
      <c r="B7478" t="str">
        <f>"1552378327905345"</f>
        <v>1552378327905345</v>
      </c>
      <c r="C7478" t="s">
        <v>40</v>
      </c>
      <c r="D7478">
        <v>5.8845269999999896</v>
      </c>
      <c r="E7478">
        <v>0.44257340000000001</v>
      </c>
      <c r="F7478" t="s">
        <v>41</v>
      </c>
      <c r="G7478">
        <v>-144.55090000000001</v>
      </c>
      <c r="H7478" s="1">
        <v>-2.4896330000000001E-6</v>
      </c>
      <c r="I7478">
        <v>140.25399999999999</v>
      </c>
      <c r="J7478">
        <v>-156.1121</v>
      </c>
      <c r="K7478">
        <v>1.110868</v>
      </c>
      <c r="L7478">
        <v>139.86529999999999</v>
      </c>
      <c r="M7478">
        <v>0.99945629999999996</v>
      </c>
      <c r="N7478">
        <v>0</v>
      </c>
      <c r="O7478">
        <v>-3.067982E-2</v>
      </c>
      <c r="P7478">
        <v>0.99161189999999999</v>
      </c>
      <c r="Q7478">
        <v>-4.7242970000000002E-2</v>
      </c>
      <c r="R7478">
        <v>-0.12030780000000001</v>
      </c>
      <c r="S7478">
        <v>3.0243530000000001</v>
      </c>
      <c r="T7478">
        <v>-0.27979900000000002</v>
      </c>
      <c r="U7478">
        <v>9.4940189999999994E-2</v>
      </c>
      <c r="V7478">
        <v>8.9922730000000006E-2</v>
      </c>
      <c r="W7478">
        <v>-3.497625E-2</v>
      </c>
      <c r="X7478">
        <v>0.99533439999999995</v>
      </c>
      <c r="Y7478">
        <v>-6.1634719999999997E-2</v>
      </c>
      <c r="Z7478">
        <v>5.6761329999999999E-3</v>
      </c>
      <c r="AA7478">
        <v>0.99808260000000004</v>
      </c>
      <c r="AB7478">
        <v>28</v>
      </c>
      <c r="AC7478">
        <v>11.5611999999999</v>
      </c>
      <c r="AD7478">
        <v>-1.1108704896329999</v>
      </c>
      <c r="AE7478">
        <v>0.38869999999999999</v>
      </c>
      <c r="AF7478">
        <v>-0.73644680762019299</v>
      </c>
      <c r="AG7478">
        <v>-1.1108704896329999</v>
      </c>
      <c r="AH7478">
        <v>11.438345111937601</v>
      </c>
      <c r="AI7478">
        <v>95.535671550270195</v>
      </c>
      <c r="AJ7478">
        <v>93.683848841720405</v>
      </c>
      <c r="AK7478">
        <v>11.515733847435801</v>
      </c>
      <c r="AL7478">
        <v>92.004400323205203</v>
      </c>
      <c r="AM7478">
        <v>84.837671016766606</v>
      </c>
      <c r="AN7478">
        <v>1.00000000162903</v>
      </c>
    </row>
    <row r="7479" spans="1:40" x14ac:dyDescent="0.25">
      <c r="A7479" t="str">
        <f>"20190312161207947"</f>
        <v>20190312161207947</v>
      </c>
      <c r="B7479" t="str">
        <f>"1552378327934625"</f>
        <v>1552378327934625</v>
      </c>
      <c r="C7479" t="s">
        <v>40</v>
      </c>
      <c r="D7479">
        <v>5.8411720000000003</v>
      </c>
      <c r="E7479">
        <v>0.44252819999999998</v>
      </c>
      <c r="F7479" t="s">
        <v>41</v>
      </c>
      <c r="G7479">
        <v>-144.08510000000001</v>
      </c>
      <c r="H7479" s="1">
        <v>-2.6921430000000002E-6</v>
      </c>
      <c r="I7479">
        <v>140.26400000000001</v>
      </c>
      <c r="J7479">
        <v>-155.72810000000001</v>
      </c>
      <c r="K7479">
        <v>1.1108929999999999</v>
      </c>
      <c r="L7479">
        <v>139.85599999999999</v>
      </c>
      <c r="M7479">
        <v>0.99951380000000001</v>
      </c>
      <c r="N7479">
        <v>0</v>
      </c>
      <c r="O7479">
        <v>-2.8600549999999999E-2</v>
      </c>
      <c r="P7479">
        <v>0.99171609999999999</v>
      </c>
      <c r="Q7479">
        <v>-4.8501790000000003E-2</v>
      </c>
      <c r="R7479">
        <v>-0.1189412</v>
      </c>
      <c r="S7479">
        <v>3.0242</v>
      </c>
      <c r="T7479">
        <v>-0.27932820000000003</v>
      </c>
      <c r="U7479">
        <v>0.1002502</v>
      </c>
      <c r="V7479">
        <v>9.0624369999999996E-2</v>
      </c>
      <c r="W7479">
        <v>-3.589738E-2</v>
      </c>
      <c r="X7479">
        <v>0.99523790000000001</v>
      </c>
      <c r="Y7479">
        <v>-6.1322219999999997E-2</v>
      </c>
      <c r="Z7479">
        <v>5.4607930000000002E-3</v>
      </c>
      <c r="AA7479">
        <v>0.99810310000000002</v>
      </c>
      <c r="AB7479">
        <v>27</v>
      </c>
      <c r="AC7479">
        <v>11.642999999999899</v>
      </c>
      <c r="AD7479">
        <v>-1.110895692143</v>
      </c>
      <c r="AE7479">
        <v>0.40800000000001502</v>
      </c>
      <c r="AF7479">
        <v>-0.73417941210935</v>
      </c>
      <c r="AG7479">
        <v>-1.110895692143</v>
      </c>
      <c r="AH7479">
        <v>11.5218043075349</v>
      </c>
      <c r="AI7479">
        <v>95.496174818818503</v>
      </c>
      <c r="AJ7479">
        <v>93.646007649080104</v>
      </c>
      <c r="AK7479">
        <v>11.5984948656762</v>
      </c>
      <c r="AL7479">
        <v>92.057210486395704</v>
      </c>
      <c r="AM7479">
        <v>84.797109430853197</v>
      </c>
      <c r="AN7479">
        <v>0.99999993796258302</v>
      </c>
    </row>
    <row r="7480" spans="1:40" x14ac:dyDescent="0.25">
      <c r="A7480" t="str">
        <f>"20190312161207991"</f>
        <v>20190312161207991</v>
      </c>
      <c r="B7480" t="str">
        <f>"1552378327985378"</f>
        <v>1552378327985378</v>
      </c>
      <c r="C7480" t="s">
        <v>40</v>
      </c>
      <c r="D7480">
        <v>5.8833419999999998</v>
      </c>
      <c r="E7480">
        <v>0.44261869999999998</v>
      </c>
      <c r="F7480" t="s">
        <v>41</v>
      </c>
      <c r="G7480">
        <v>-143.80930000000001</v>
      </c>
      <c r="H7480" s="1">
        <v>-2.8122360000000001E-6</v>
      </c>
      <c r="I7480">
        <v>140.27070000000001</v>
      </c>
      <c r="J7480">
        <v>-155.19229999999999</v>
      </c>
      <c r="K7480">
        <v>1.110881</v>
      </c>
      <c r="L7480">
        <v>139.8443</v>
      </c>
      <c r="M7480">
        <v>0.99958720000000001</v>
      </c>
      <c r="N7480">
        <v>0</v>
      </c>
      <c r="O7480">
        <v>-2.572296E-2</v>
      </c>
      <c r="P7480">
        <v>0.99203799999999998</v>
      </c>
      <c r="Q7480">
        <v>-4.8235930000000003E-2</v>
      </c>
      <c r="R7480">
        <v>-0.1163366</v>
      </c>
      <c r="S7480">
        <v>3.023895</v>
      </c>
      <c r="T7480">
        <v>-0.28184219999999999</v>
      </c>
      <c r="U7480">
        <v>0.1052246</v>
      </c>
      <c r="V7480">
        <v>9.0871800000000003E-2</v>
      </c>
      <c r="W7480">
        <v>-3.5248599999999998E-2</v>
      </c>
      <c r="X7480">
        <v>0.99523859999999997</v>
      </c>
      <c r="Y7480">
        <v>-6.0103040000000003E-2</v>
      </c>
      <c r="Z7480">
        <v>5.1859260000000004E-3</v>
      </c>
      <c r="AA7480">
        <v>0.99817869999999997</v>
      </c>
      <c r="AB7480">
        <v>27</v>
      </c>
      <c r="AC7480">
        <v>11.3829999999999</v>
      </c>
      <c r="AD7480">
        <v>-1.1108838122360001</v>
      </c>
      <c r="AE7480">
        <v>0.426400000000001</v>
      </c>
      <c r="AF7480">
        <v>-0.71231268778807599</v>
      </c>
      <c r="AG7480">
        <v>-1.1108838122360001</v>
      </c>
      <c r="AH7480">
        <v>11.261161585005</v>
      </c>
      <c r="AI7480">
        <v>95.622684531877496</v>
      </c>
      <c r="AJ7480">
        <v>93.619361075883404</v>
      </c>
      <c r="AK7480">
        <v>11.338219104121499</v>
      </c>
      <c r="AL7480">
        <v>92.020014441271599</v>
      </c>
      <c r="AM7480">
        <v>84.782986006953607</v>
      </c>
      <c r="AN7480">
        <v>1.0000000093835799</v>
      </c>
    </row>
    <row r="7481" spans="1:40" x14ac:dyDescent="0.25">
      <c r="A7481" t="str">
        <f>"20190312161208035"</f>
        <v>20190312161208035</v>
      </c>
      <c r="B7481" t="str">
        <f>"1552378328024418"</f>
        <v>1552378328024418</v>
      </c>
      <c r="C7481" t="s">
        <v>40</v>
      </c>
      <c r="D7481">
        <v>5.9200710000000001</v>
      </c>
      <c r="E7481">
        <v>0.44289309999999998</v>
      </c>
      <c r="F7481" t="s">
        <v>41</v>
      </c>
      <c r="G7481">
        <v>-143.3058</v>
      </c>
      <c r="H7481" s="1">
        <v>-3.0323639999999998E-6</v>
      </c>
      <c r="I7481">
        <v>140.28620000000001</v>
      </c>
      <c r="J7481">
        <v>-154.64570000000001</v>
      </c>
      <c r="K7481">
        <v>1.110857</v>
      </c>
      <c r="L7481">
        <v>139.834</v>
      </c>
      <c r="M7481">
        <v>0.99965360000000003</v>
      </c>
      <c r="N7481">
        <v>0</v>
      </c>
      <c r="O7481">
        <v>-2.2816650000000001E-2</v>
      </c>
      <c r="P7481">
        <v>0.99209700000000001</v>
      </c>
      <c r="Q7481">
        <v>-4.9143920000000001E-2</v>
      </c>
      <c r="R7481">
        <v>-0.115448</v>
      </c>
      <c r="S7481">
        <v>3.0235289999999999</v>
      </c>
      <c r="T7481">
        <v>-0.28257179999999998</v>
      </c>
      <c r="U7481">
        <v>0.11242679999999999</v>
      </c>
      <c r="V7481">
        <v>9.2872769999999993E-2</v>
      </c>
      <c r="W7481">
        <v>-3.5854749999999998E-2</v>
      </c>
      <c r="X7481">
        <v>0.99503220000000003</v>
      </c>
      <c r="Y7481">
        <v>-5.9592760000000002E-2</v>
      </c>
      <c r="Z7481">
        <v>4.9049840000000003E-3</v>
      </c>
      <c r="AA7481">
        <v>0.99821070000000001</v>
      </c>
      <c r="AB7481">
        <v>27</v>
      </c>
      <c r="AC7481">
        <v>11.3399</v>
      </c>
      <c r="AD7481">
        <v>-1.1108600323640001</v>
      </c>
      <c r="AE7481">
        <v>0.45220000000000399</v>
      </c>
      <c r="AF7481">
        <v>-0.70409710684806903</v>
      </c>
      <c r="AG7481">
        <v>-1.1108600323640001</v>
      </c>
      <c r="AH7481">
        <v>11.2191383558045</v>
      </c>
      <c r="AI7481">
        <v>95.643663844837207</v>
      </c>
      <c r="AJ7481">
        <v>93.591091598403196</v>
      </c>
      <c r="AK7481">
        <v>11.295965128932499</v>
      </c>
      <c r="AL7481">
        <v>92.054766272881395</v>
      </c>
      <c r="AM7481">
        <v>84.667664270410299</v>
      </c>
      <c r="AN7481">
        <v>0.99999999677093698</v>
      </c>
    </row>
    <row r="7482" spans="1:40" x14ac:dyDescent="0.25">
      <c r="A7482" t="str">
        <f>"20190312161208080"</f>
        <v>20190312161208080</v>
      </c>
      <c r="B7482" t="str">
        <f>"1552378328075170"</f>
        <v>1552378328075170</v>
      </c>
      <c r="C7482" t="s">
        <v>40</v>
      </c>
      <c r="D7482">
        <v>5.837262</v>
      </c>
      <c r="E7482">
        <v>0.44336140000000002</v>
      </c>
      <c r="F7482" t="s">
        <v>41</v>
      </c>
      <c r="G7482">
        <v>-142.8733</v>
      </c>
      <c r="H7482" s="1">
        <v>-3.2145650000000002E-6</v>
      </c>
      <c r="I7482">
        <v>140.27359999999999</v>
      </c>
      <c r="J7482">
        <v>-154.10550000000001</v>
      </c>
      <c r="K7482">
        <v>1.110824</v>
      </c>
      <c r="L7482">
        <v>139.8252</v>
      </c>
      <c r="M7482">
        <v>0.9997104</v>
      </c>
      <c r="N7482">
        <v>0</v>
      </c>
      <c r="O7482">
        <v>-2.0030619999999999E-2</v>
      </c>
      <c r="P7482">
        <v>0.99211110000000002</v>
      </c>
      <c r="Q7482">
        <v>-4.912569E-2</v>
      </c>
      <c r="R7482">
        <v>-0.1153381</v>
      </c>
      <c r="S7482">
        <v>3.022888</v>
      </c>
      <c r="T7482">
        <v>-0.285242</v>
      </c>
      <c r="U7482">
        <v>0.11289979999999999</v>
      </c>
      <c r="V7482">
        <v>9.5528680000000005E-2</v>
      </c>
      <c r="W7482">
        <v>-3.5613209999999999E-2</v>
      </c>
      <c r="X7482">
        <v>0.99478940000000005</v>
      </c>
      <c r="Y7482">
        <v>-5.6991519999999997E-2</v>
      </c>
      <c r="Z7482">
        <v>4.567504E-3</v>
      </c>
      <c r="AA7482">
        <v>0.99836420000000003</v>
      </c>
      <c r="AB7482">
        <v>27</v>
      </c>
      <c r="AC7482">
        <v>11.232200000000001</v>
      </c>
      <c r="AD7482">
        <v>-1.110827214565</v>
      </c>
      <c r="AE7482">
        <v>0.44839999999999203</v>
      </c>
      <c r="AF7482">
        <v>-0.66680660474720299</v>
      </c>
      <c r="AG7482">
        <v>-1.110827214565</v>
      </c>
      <c r="AH7482">
        <v>11.112450554662001</v>
      </c>
      <c r="AI7482">
        <v>95.698278189962494</v>
      </c>
      <c r="AJ7482">
        <v>93.433936410980294</v>
      </c>
      <c r="AK7482">
        <v>11.187722086222999</v>
      </c>
      <c r="AL7482">
        <v>92.040918220024594</v>
      </c>
      <c r="AM7482">
        <v>84.514760376021599</v>
      </c>
      <c r="AN7482">
        <v>0.99999998989070304</v>
      </c>
    </row>
    <row r="7483" spans="1:40" x14ac:dyDescent="0.25">
      <c r="A7483" t="str">
        <f>"20190312161208125"</f>
        <v>20190312161208125</v>
      </c>
      <c r="B7483" t="str">
        <f>"1552378328115185"</f>
        <v>1552378328115185</v>
      </c>
      <c r="C7483" t="s">
        <v>40</v>
      </c>
      <c r="D7483">
        <v>5.9493669999999996</v>
      </c>
      <c r="E7483">
        <v>0.44917600000000002</v>
      </c>
      <c r="F7483" t="s">
        <v>41</v>
      </c>
      <c r="G7483">
        <v>-142.32329999999999</v>
      </c>
      <c r="H7483" s="1">
        <v>-3.444943E-6</v>
      </c>
      <c r="I7483">
        <v>140.2527</v>
      </c>
      <c r="J7483">
        <v>-153.5487</v>
      </c>
      <c r="K7483">
        <v>1.1107860000000001</v>
      </c>
      <c r="L7483">
        <v>139.8175</v>
      </c>
      <c r="M7483">
        <v>0.99975849999999999</v>
      </c>
      <c r="N7483">
        <v>0</v>
      </c>
      <c r="O7483">
        <v>-1.7319089999999999E-2</v>
      </c>
      <c r="P7483">
        <v>0.99255409999999999</v>
      </c>
      <c r="Q7483">
        <v>-4.6480779999999999E-2</v>
      </c>
      <c r="R7483">
        <v>-0.1125869</v>
      </c>
      <c r="S7483">
        <v>3.022491</v>
      </c>
      <c r="T7483">
        <v>-0.28496050000000001</v>
      </c>
      <c r="U7483">
        <v>0.109664899999999</v>
      </c>
      <c r="V7483">
        <v>9.5453990000000002E-2</v>
      </c>
      <c r="W7483">
        <v>-3.280661E-2</v>
      </c>
      <c r="X7483">
        <v>0.99489309999999997</v>
      </c>
      <c r="Y7483">
        <v>-5.3250359999999997E-2</v>
      </c>
      <c r="Z7483">
        <v>4.1327639999999997E-3</v>
      </c>
      <c r="AA7483">
        <v>0.99857260000000003</v>
      </c>
      <c r="AB7483">
        <v>27</v>
      </c>
      <c r="AC7483">
        <v>11.2254</v>
      </c>
      <c r="AD7483">
        <v>-1.110789444943</v>
      </c>
      <c r="AE7483">
        <v>0.43520000000000802</v>
      </c>
      <c r="AF7483">
        <v>-0.62347051856890101</v>
      </c>
      <c r="AG7483">
        <v>-1.110789444943</v>
      </c>
      <c r="AH7483">
        <v>11.1075787892958</v>
      </c>
      <c r="AI7483">
        <v>95.701838590028103</v>
      </c>
      <c r="AJ7483">
        <v>93.212651950056795</v>
      </c>
      <c r="AK7483">
        <v>11.180379029305501</v>
      </c>
      <c r="AL7483">
        <v>91.880017614399804</v>
      </c>
      <c r="AM7483">
        <v>84.519590752621994</v>
      </c>
      <c r="AN7483">
        <v>1.00000000914711</v>
      </c>
    </row>
    <row r="7484" spans="1:40" x14ac:dyDescent="0.25">
      <c r="A7484" t="str">
        <f>"20190312161208168"</f>
        <v>20190312161208168</v>
      </c>
      <c r="B7484" t="str">
        <f>"1552378328164962"</f>
        <v>1552378328164962</v>
      </c>
      <c r="C7484" t="s">
        <v>40</v>
      </c>
      <c r="D7484">
        <v>5.9881710000000004</v>
      </c>
      <c r="E7484">
        <v>0.45016289999999998</v>
      </c>
      <c r="F7484" t="s">
        <v>42</v>
      </c>
      <c r="G7484">
        <v>-152.60759999999999</v>
      </c>
      <c r="H7484">
        <v>1.008648</v>
      </c>
      <c r="I7484">
        <v>139.84049999999999</v>
      </c>
      <c r="J7484">
        <v>-153.02879999999999</v>
      </c>
      <c r="K7484">
        <v>1.1107450000000001</v>
      </c>
      <c r="L7484">
        <v>139.8115</v>
      </c>
      <c r="M7484">
        <v>0.99979530000000005</v>
      </c>
      <c r="N7484">
        <v>0</v>
      </c>
      <c r="O7484">
        <v>-1.493855E-2</v>
      </c>
      <c r="P7484">
        <v>0.99223729999999999</v>
      </c>
      <c r="Q7484">
        <v>-4.8521069999999999E-2</v>
      </c>
      <c r="R7484">
        <v>-0.11450200000000001</v>
      </c>
      <c r="S7484">
        <v>3.0155789999999998</v>
      </c>
      <c r="T7484">
        <v>-0.32729340000000001</v>
      </c>
      <c r="U7484">
        <v>7.3822020000000002E-2</v>
      </c>
      <c r="V7484">
        <v>9.9740330000000002E-2</v>
      </c>
      <c r="W7484">
        <v>-3.4736929999999999E-2</v>
      </c>
      <c r="X7484">
        <v>0.99440689999999998</v>
      </c>
      <c r="Y7484">
        <v>-3.9088489999999997E-2</v>
      </c>
      <c r="Z7484">
        <v>3.731229E-3</v>
      </c>
      <c r="AA7484">
        <v>0.99922880000000003</v>
      </c>
      <c r="AB7484">
        <v>27</v>
      </c>
      <c r="AC7484">
        <v>0.42119999999999802</v>
      </c>
      <c r="AD7484">
        <v>-0.10209699999999999</v>
      </c>
      <c r="AE7484">
        <v>2.89999999999963E-2</v>
      </c>
      <c r="AF7484">
        <v>-3.3339808453045697E-2</v>
      </c>
      <c r="AG7484">
        <v>-0.10209699999999999</v>
      </c>
      <c r="AH7484">
        <v>0.39747598037229898</v>
      </c>
      <c r="AI7484">
        <v>104.357425468727</v>
      </c>
      <c r="AJ7484">
        <v>94.794677714305905</v>
      </c>
      <c r="AK7484">
        <v>0.411731095752563</v>
      </c>
      <c r="AL7484">
        <v>91.990680091902604</v>
      </c>
      <c r="AM7484">
        <v>84.272313639899295</v>
      </c>
      <c r="AN7484">
        <v>0.99999993525096897</v>
      </c>
    </row>
    <row r="7485" spans="1:40" x14ac:dyDescent="0.25">
      <c r="A7485" t="str">
        <f>"20190312161208214"</f>
        <v>20190312161208214</v>
      </c>
      <c r="B7485" t="str">
        <f>"1552378328204977"</f>
        <v>1552378328204977</v>
      </c>
      <c r="C7485" t="s">
        <v>40</v>
      </c>
      <c r="D7485">
        <v>6.0229720000000002</v>
      </c>
      <c r="E7485">
        <v>0.450382</v>
      </c>
      <c r="F7485" t="s">
        <v>42</v>
      </c>
      <c r="G7485">
        <v>-152.12479999999999</v>
      </c>
      <c r="H7485">
        <v>1.0107469999999901</v>
      </c>
      <c r="I7485">
        <v>139.82980000000001</v>
      </c>
      <c r="J7485">
        <v>-152.477</v>
      </c>
      <c r="K7485">
        <v>1.1107320000000001</v>
      </c>
      <c r="L7485">
        <v>139.8064</v>
      </c>
      <c r="M7485">
        <v>0.99982729999999997</v>
      </c>
      <c r="N7485">
        <v>0</v>
      </c>
      <c r="O7485">
        <v>-1.250705E-2</v>
      </c>
      <c r="P7485">
        <v>0.99228879999999997</v>
      </c>
      <c r="Q7485">
        <v>-4.5088379999999997E-2</v>
      </c>
      <c r="R7485">
        <v>-0.115455</v>
      </c>
      <c r="S7485">
        <v>3.0142060000000002</v>
      </c>
      <c r="T7485">
        <v>-0.3334222</v>
      </c>
      <c r="U7485">
        <v>6.0928339999999998E-2</v>
      </c>
      <c r="V7485">
        <v>0.1030991</v>
      </c>
      <c r="W7485">
        <v>-3.1212119999999999E-2</v>
      </c>
      <c r="X7485">
        <v>0.99418130000000005</v>
      </c>
      <c r="Y7485">
        <v>-3.2439639999999999E-2</v>
      </c>
      <c r="Z7485">
        <v>3.167843E-3</v>
      </c>
      <c r="AA7485">
        <v>0.99946869999999999</v>
      </c>
      <c r="AB7485">
        <v>27</v>
      </c>
      <c r="AC7485">
        <v>0.35220000000001001</v>
      </c>
      <c r="AD7485">
        <v>-9.9985000000000199E-2</v>
      </c>
      <c r="AE7485">
        <v>2.3400000000009399E-2</v>
      </c>
      <c r="AF7485">
        <v>-2.5738381596390698E-2</v>
      </c>
      <c r="AG7485">
        <v>-9.9985000000000199E-2</v>
      </c>
      <c r="AH7485">
        <v>0.32574291171242298</v>
      </c>
      <c r="AI7485">
        <v>107.013629166881</v>
      </c>
      <c r="AJ7485">
        <v>94.517805427970202</v>
      </c>
      <c r="AK7485">
        <v>0.341713197057253</v>
      </c>
      <c r="AL7485">
        <v>91.788613166071201</v>
      </c>
      <c r="AM7485">
        <v>84.079446736050002</v>
      </c>
      <c r="AN7485">
        <v>1.00000003906269</v>
      </c>
    </row>
    <row r="7486" spans="1:40" x14ac:dyDescent="0.25">
      <c r="A7486" t="str">
        <f>"20190312161208252"</f>
        <v>20190312161208252</v>
      </c>
      <c r="B7486" t="str">
        <f>"1552378328244993"</f>
        <v>1552378328244993</v>
      </c>
      <c r="C7486" t="s">
        <v>40</v>
      </c>
      <c r="D7486">
        <v>6.0642839999999998</v>
      </c>
      <c r="E7486">
        <v>0.45082280000000002</v>
      </c>
      <c r="F7486" t="s">
        <v>42</v>
      </c>
      <c r="G7486">
        <v>-151.6414</v>
      </c>
      <c r="H7486">
        <v>1.016038</v>
      </c>
      <c r="I7486">
        <v>139.82220000000001</v>
      </c>
      <c r="J7486">
        <v>-152.0625</v>
      </c>
      <c r="K7486">
        <v>1.1107419999999999</v>
      </c>
      <c r="L7486">
        <v>139.80340000000001</v>
      </c>
      <c r="M7486">
        <v>0.99984759999999995</v>
      </c>
      <c r="N7486">
        <v>0</v>
      </c>
      <c r="O7486">
        <v>-1.070143E-2</v>
      </c>
      <c r="P7486">
        <v>0.99250289999999997</v>
      </c>
      <c r="Q7486">
        <v>-4.4362409999999998E-2</v>
      </c>
      <c r="R7486">
        <v>-0.1138874</v>
      </c>
      <c r="S7486">
        <v>3.0144039999999999</v>
      </c>
      <c r="T7486">
        <v>-0.34158749999999999</v>
      </c>
      <c r="U7486">
        <v>5.6915279999999999E-2</v>
      </c>
      <c r="V7486">
        <v>0.1033212</v>
      </c>
      <c r="W7486">
        <v>-3.0433430000000001E-2</v>
      </c>
      <c r="X7486">
        <v>0.99418229999999996</v>
      </c>
      <c r="Y7486">
        <v>-2.9321130000000001E-2</v>
      </c>
      <c r="Z7486">
        <v>2.86469E-3</v>
      </c>
      <c r="AA7486">
        <v>0.99956599999999995</v>
      </c>
      <c r="AB7486">
        <v>27</v>
      </c>
      <c r="AC7486">
        <v>0.42109999999999498</v>
      </c>
      <c r="AD7486">
        <v>-9.4704000000000094E-2</v>
      </c>
      <c r="AE7486">
        <v>1.87999999999988E-2</v>
      </c>
      <c r="AF7486">
        <v>-2.2185829779535499E-2</v>
      </c>
      <c r="AG7486">
        <v>-9.4704000000000094E-2</v>
      </c>
      <c r="AH7486">
        <v>0.40065066649157199</v>
      </c>
      <c r="AI7486">
        <v>103.27959199915399</v>
      </c>
      <c r="AJ7486">
        <v>93.169488137503294</v>
      </c>
      <c r="AK7486">
        <v>0.41228875223458</v>
      </c>
      <c r="AL7486">
        <v>91.743976454560496</v>
      </c>
      <c r="AM7486">
        <v>84.066789268558793</v>
      </c>
      <c r="AN7486">
        <v>0.99999995483214599</v>
      </c>
    </row>
    <row r="7487" spans="1:40" x14ac:dyDescent="0.25">
      <c r="A7487" t="str">
        <f>"20190312161208284"</f>
        <v>20190312161208284</v>
      </c>
      <c r="B7487" t="str">
        <f>"1552378328275249"</f>
        <v>1552378328275249</v>
      </c>
      <c r="C7487" t="s">
        <v>40</v>
      </c>
      <c r="D7487">
        <v>5.9211589999999896</v>
      </c>
      <c r="E7487">
        <v>0.45088119999999998</v>
      </c>
      <c r="F7487" t="s">
        <v>42</v>
      </c>
      <c r="G7487">
        <v>-151.16569999999999</v>
      </c>
      <c r="H7487">
        <v>1.0076969999999901</v>
      </c>
      <c r="I7487">
        <v>139.82089999999999</v>
      </c>
      <c r="J7487">
        <v>-151.64830000000001</v>
      </c>
      <c r="K7487">
        <v>1.110754</v>
      </c>
      <c r="L7487">
        <v>139.80119999999999</v>
      </c>
      <c r="M7487">
        <v>0.9998648</v>
      </c>
      <c r="N7487">
        <v>0</v>
      </c>
      <c r="O7487">
        <v>-8.8897239999999999E-3</v>
      </c>
      <c r="P7487">
        <v>0.99277369999999998</v>
      </c>
      <c r="Q7487">
        <v>-4.4590530000000003E-2</v>
      </c>
      <c r="R7487">
        <v>-0.1114108</v>
      </c>
      <c r="S7487">
        <v>3.013916</v>
      </c>
      <c r="T7487">
        <v>-0.34629569999999998</v>
      </c>
      <c r="U7487">
        <v>5.877686E-2</v>
      </c>
      <c r="V7487">
        <v>0.102642899999999</v>
      </c>
      <c r="W7487">
        <v>-3.0620709999999999E-2</v>
      </c>
      <c r="X7487">
        <v>0.99424679999999999</v>
      </c>
      <c r="Y7487">
        <v>-2.814266E-2</v>
      </c>
      <c r="Z7487">
        <v>2.6294119999999998E-3</v>
      </c>
      <c r="AA7487">
        <v>0.9996005</v>
      </c>
      <c r="AB7487">
        <v>27</v>
      </c>
      <c r="AC7487">
        <v>0.48260000000001901</v>
      </c>
      <c r="AD7487">
        <v>-0.103057</v>
      </c>
      <c r="AE7487">
        <v>1.97000000000002E-2</v>
      </c>
      <c r="AF7487">
        <v>-2.29452142384204E-2</v>
      </c>
      <c r="AG7487">
        <v>-0.103057</v>
      </c>
      <c r="AH7487">
        <v>0.46140018437414998</v>
      </c>
      <c r="AI7487">
        <v>102.57571049359601</v>
      </c>
      <c r="AJ7487">
        <v>92.846946864861707</v>
      </c>
      <c r="AK7487">
        <v>0.47332584785319598</v>
      </c>
      <c r="AL7487">
        <v>91.754711827369803</v>
      </c>
      <c r="AM7487">
        <v>84.105845133301699</v>
      </c>
      <c r="AN7487">
        <v>0.99999994605577502</v>
      </c>
    </row>
    <row r="7488" spans="1:40" x14ac:dyDescent="0.25">
      <c r="A7488" t="str">
        <f>"20190312161208382"</f>
        <v>20190312161208382</v>
      </c>
      <c r="B7488" t="str">
        <f>"1552378328374802"</f>
        <v>1552378328374802</v>
      </c>
      <c r="C7488" t="s">
        <v>40</v>
      </c>
      <c r="D7488">
        <v>6.1144210000000001</v>
      </c>
      <c r="E7488">
        <v>0.45123429999999998</v>
      </c>
      <c r="F7488" t="s">
        <v>42</v>
      </c>
      <c r="G7488">
        <v>-149.9727</v>
      </c>
      <c r="H7488">
        <v>1.0048820000000001</v>
      </c>
      <c r="I7488">
        <v>139.82299999999901</v>
      </c>
      <c r="J7488">
        <v>-150.46680000000001</v>
      </c>
      <c r="K7488">
        <v>1.110768</v>
      </c>
      <c r="L7488">
        <v>139.79900000000001</v>
      </c>
      <c r="M7488">
        <v>0.99989660000000002</v>
      </c>
      <c r="N7488">
        <v>0</v>
      </c>
      <c r="O7488">
        <v>-3.667203E-3</v>
      </c>
      <c r="P7488">
        <v>0.99333700000000003</v>
      </c>
      <c r="Q7488">
        <v>-4.5242930000000001E-2</v>
      </c>
      <c r="R7488">
        <v>-0.1059956</v>
      </c>
      <c r="S7488">
        <v>3.0129549999999998</v>
      </c>
      <c r="T7488">
        <v>-0.35014869999999998</v>
      </c>
      <c r="U7488">
        <v>7.9620360000000001E-2</v>
      </c>
      <c r="V7488">
        <v>0.1024153</v>
      </c>
      <c r="W7488">
        <v>-3.1200350000000002E-2</v>
      </c>
      <c r="X7488">
        <v>0.99425229999999998</v>
      </c>
      <c r="Y7488">
        <v>-2.9857410000000001E-2</v>
      </c>
      <c r="Z7488">
        <v>2.1535370000000001E-3</v>
      </c>
      <c r="AA7488">
        <v>0.99955179999999999</v>
      </c>
      <c r="AB7488">
        <v>27</v>
      </c>
      <c r="AC7488">
        <v>0.49410000000000298</v>
      </c>
      <c r="AD7488">
        <v>-0.10588599999999899</v>
      </c>
      <c r="AE7488">
        <v>2.3999999999972401E-2</v>
      </c>
      <c r="AF7488">
        <v>-2.4681168749144701E-2</v>
      </c>
      <c r="AG7488">
        <v>-0.10588599999999899</v>
      </c>
      <c r="AH7488">
        <v>0.47236638056469399</v>
      </c>
      <c r="AI7488">
        <v>102.617946611232</v>
      </c>
      <c r="AJ7488">
        <v>92.990987668222701</v>
      </c>
      <c r="AK7488">
        <v>0.48471744612156598</v>
      </c>
      <c r="AL7488">
        <v>91.787938543574896</v>
      </c>
      <c r="AM7488">
        <v>84.118855406299801</v>
      </c>
      <c r="AN7488">
        <v>0.99999999578475096</v>
      </c>
    </row>
    <row r="7489" spans="1:40" x14ac:dyDescent="0.25">
      <c r="A7489" t="str">
        <f>"20190312161208426"</f>
        <v>20190312161208426</v>
      </c>
      <c r="B7489" t="str">
        <f>"1552378328414818"</f>
        <v>1552378328414818</v>
      </c>
      <c r="C7489" t="s">
        <v>40</v>
      </c>
      <c r="D7489">
        <v>6.2297370000000001</v>
      </c>
      <c r="E7489">
        <v>0.45594319999999999</v>
      </c>
      <c r="F7489" t="s">
        <v>42</v>
      </c>
      <c r="G7489">
        <v>-149.7242</v>
      </c>
      <c r="H7489">
        <v>1.0239210000000001</v>
      </c>
      <c r="I7489">
        <v>139.81870000000001</v>
      </c>
      <c r="J7489">
        <v>-149.9547</v>
      </c>
      <c r="K7489">
        <v>1.1107849999999999</v>
      </c>
      <c r="L7489">
        <v>139.80000000000001</v>
      </c>
      <c r="M7489">
        <v>0.99990210000000002</v>
      </c>
      <c r="N7489">
        <v>0</v>
      </c>
      <c r="O7489">
        <v>-1.3966479999999999E-3</v>
      </c>
      <c r="P7489">
        <v>0.99343049999999999</v>
      </c>
      <c r="Q7489">
        <v>-4.4123860000000001E-2</v>
      </c>
      <c r="R7489">
        <v>-0.1055899</v>
      </c>
      <c r="S7489">
        <v>3.0126339999999998</v>
      </c>
      <c r="T7489">
        <v>-0.35247679999999998</v>
      </c>
      <c r="U7489">
        <v>8.0459589999999998E-2</v>
      </c>
      <c r="V7489">
        <v>0.10426340000000001</v>
      </c>
      <c r="W7489">
        <v>-3.0059820000000001E-2</v>
      </c>
      <c r="X7489">
        <v>0.99409530000000002</v>
      </c>
      <c r="Y7489">
        <v>-2.7894470000000001E-2</v>
      </c>
      <c r="Z7489">
        <v>1.7888260000000001E-3</v>
      </c>
      <c r="AA7489">
        <v>0.99960930000000003</v>
      </c>
      <c r="AB7489">
        <v>27</v>
      </c>
      <c r="AC7489">
        <v>0.23050000000000601</v>
      </c>
      <c r="AD7489">
        <v>-8.6864000000000205E-2</v>
      </c>
      <c r="AE7489">
        <v>1.8699999999995401E-2</v>
      </c>
      <c r="AF7489">
        <v>-1.6670009310339701E-2</v>
      </c>
      <c r="AG7489">
        <v>-8.6864000000000205E-2</v>
      </c>
      <c r="AH7489">
        <v>0.20197718599615</v>
      </c>
      <c r="AI7489">
        <v>113.20050730441901</v>
      </c>
      <c r="AJ7489">
        <v>94.718162946247006</v>
      </c>
      <c r="AK7489">
        <v>0.220494959963556</v>
      </c>
      <c r="AL7489">
        <v>91.722560374245504</v>
      </c>
      <c r="AM7489">
        <v>84.012554587931902</v>
      </c>
      <c r="AN7489">
        <v>0.99999995742004</v>
      </c>
    </row>
    <row r="7490" spans="1:40" x14ac:dyDescent="0.25">
      <c r="A7490" t="str">
        <f>"20190312161208471"</f>
        <v>20190312161208471</v>
      </c>
      <c r="B7490" t="str">
        <f>"1552378328464593"</f>
        <v>1552378328464593</v>
      </c>
      <c r="C7490" t="s">
        <v>40</v>
      </c>
      <c r="D7490">
        <v>6.1783010000000003</v>
      </c>
      <c r="E7490">
        <v>0.45540649999999999</v>
      </c>
      <c r="F7490" t="s">
        <v>42</v>
      </c>
      <c r="G7490">
        <v>-149.0411</v>
      </c>
      <c r="H7490">
        <v>0.96720790000000001</v>
      </c>
      <c r="I7490">
        <v>139.8151</v>
      </c>
      <c r="J7490">
        <v>-149.4229</v>
      </c>
      <c r="K7490">
        <v>1.1108340000000001</v>
      </c>
      <c r="L7490">
        <v>139.8022</v>
      </c>
      <c r="M7490">
        <v>0.99990029999999996</v>
      </c>
      <c r="N7490">
        <v>0</v>
      </c>
      <c r="O7490">
        <v>9.3856259999999998E-4</v>
      </c>
      <c r="P7490">
        <v>0.99352700000000005</v>
      </c>
      <c r="Q7490">
        <v>-4.3767889999999997E-2</v>
      </c>
      <c r="R7490">
        <v>-0.1048275</v>
      </c>
      <c r="S7490">
        <v>3.0041660000000001</v>
      </c>
      <c r="T7490">
        <v>-0.47217320000000002</v>
      </c>
      <c r="U7490">
        <v>4.9880979999999998E-2</v>
      </c>
      <c r="V7490">
        <v>0.10582</v>
      </c>
      <c r="W7490">
        <v>-2.954273E-2</v>
      </c>
      <c r="X7490">
        <v>0.99394640000000001</v>
      </c>
      <c r="Y7490">
        <v>-1.5484599999999999E-2</v>
      </c>
      <c r="Z7490">
        <v>1.062753E-3</v>
      </c>
      <c r="AA7490">
        <v>0.99987950000000003</v>
      </c>
      <c r="AB7490">
        <v>27</v>
      </c>
      <c r="AC7490">
        <v>0.38179999999999797</v>
      </c>
      <c r="AD7490">
        <v>-0.14362610000000001</v>
      </c>
      <c r="AE7490">
        <v>1.29000000000019E-2</v>
      </c>
      <c r="AF7490">
        <v>-1.09883933594047E-2</v>
      </c>
      <c r="AG7490">
        <v>-0.14362610000000001</v>
      </c>
      <c r="AH7490">
        <v>0.33452626389596801</v>
      </c>
      <c r="AI7490">
        <v>113.224671450416</v>
      </c>
      <c r="AJ7490">
        <v>91.881353850319101</v>
      </c>
      <c r="AK7490">
        <v>0.364221117765055</v>
      </c>
      <c r="AL7490">
        <v>91.692919983645496</v>
      </c>
      <c r="AM7490">
        <v>83.922925447722093</v>
      </c>
      <c r="AN7490">
        <v>1.0000000456844</v>
      </c>
    </row>
    <row r="7491" spans="1:40" x14ac:dyDescent="0.25">
      <c r="A7491" t="str">
        <f>"20190312161208516"</f>
        <v>20190312161208516</v>
      </c>
      <c r="B7491" t="str">
        <f>"1552378328504610"</f>
        <v>1552378328504610</v>
      </c>
      <c r="C7491" t="s">
        <v>40</v>
      </c>
      <c r="D7491">
        <v>6.1449819999999997</v>
      </c>
      <c r="E7491">
        <v>0.45530379999999998</v>
      </c>
      <c r="F7491" t="s">
        <v>42</v>
      </c>
      <c r="G7491">
        <v>-148.5574</v>
      </c>
      <c r="H7491">
        <v>0.99085970000000001</v>
      </c>
      <c r="I7491">
        <v>139.8175</v>
      </c>
      <c r="J7491">
        <v>-148.8982</v>
      </c>
      <c r="K7491">
        <v>1.1109150000000001</v>
      </c>
      <c r="L7491">
        <v>139.8057</v>
      </c>
      <c r="M7491">
        <v>0.99989059999999996</v>
      </c>
      <c r="N7491">
        <v>0</v>
      </c>
      <c r="O7491">
        <v>3.244795E-3</v>
      </c>
      <c r="P7491">
        <v>0.99386779999999997</v>
      </c>
      <c r="Q7491">
        <v>-4.2686290000000002E-2</v>
      </c>
      <c r="R7491">
        <v>-0.1020049</v>
      </c>
      <c r="S7491">
        <v>3.006821</v>
      </c>
      <c r="T7491">
        <v>-0.4169079</v>
      </c>
      <c r="U7491">
        <v>5.3497309999999999E-2</v>
      </c>
      <c r="V7491">
        <v>0.1052858</v>
      </c>
      <c r="W7491">
        <v>-2.8135569999999999E-2</v>
      </c>
      <c r="X7491">
        <v>0.99404389999999998</v>
      </c>
      <c r="Y7491">
        <v>-1.4437419999999999E-2</v>
      </c>
      <c r="Z7491">
        <v>5.4829110000000005E-4</v>
      </c>
      <c r="AA7491">
        <v>0.9998956</v>
      </c>
      <c r="AB7491">
        <v>26</v>
      </c>
      <c r="AC7491">
        <v>0.34080000000000099</v>
      </c>
      <c r="AD7491">
        <v>-0.120055299999999</v>
      </c>
      <c r="AE7491">
        <v>1.17999999999938E-2</v>
      </c>
      <c r="AF7491">
        <v>-9.5146632124482999E-3</v>
      </c>
      <c r="AG7491">
        <v>-0.120055299999999</v>
      </c>
      <c r="AH7491">
        <v>0.30324906787095102</v>
      </c>
      <c r="AI7491">
        <v>111.58880258279</v>
      </c>
      <c r="AJ7491">
        <v>91.797107791184104</v>
      </c>
      <c r="AK7491">
        <v>0.32628791126662499</v>
      </c>
      <c r="AL7491">
        <v>91.612262188822498</v>
      </c>
      <c r="AM7491">
        <v>83.953964545320702</v>
      </c>
      <c r="AN7491">
        <v>0.99999999255403704</v>
      </c>
    </row>
    <row r="7492" spans="1:40" x14ac:dyDescent="0.25">
      <c r="A7492" t="str">
        <f>"20190312161208560"</f>
        <v>20190312161208560</v>
      </c>
      <c r="B7492" t="str">
        <f>"1552378328554386"</f>
        <v>1552378328554386</v>
      </c>
      <c r="C7492" t="s">
        <v>40</v>
      </c>
      <c r="D7492">
        <v>6.3375250000000003</v>
      </c>
      <c r="E7492">
        <v>0.45550350000000001</v>
      </c>
      <c r="F7492" t="s">
        <v>42</v>
      </c>
      <c r="G7492">
        <v>-148.083</v>
      </c>
      <c r="H7492">
        <v>1.0002009999999999</v>
      </c>
      <c r="I7492">
        <v>139.8227</v>
      </c>
      <c r="J7492">
        <v>-148.376</v>
      </c>
      <c r="K7492">
        <v>1.11103</v>
      </c>
      <c r="L7492">
        <v>139.81030000000001</v>
      </c>
      <c r="M7492">
        <v>0.99987190000000004</v>
      </c>
      <c r="N7492">
        <v>0</v>
      </c>
      <c r="O7492">
        <v>5.5493729999999998E-3</v>
      </c>
      <c r="P7492">
        <v>0.99413059999999998</v>
      </c>
      <c r="Q7492">
        <v>-4.2964849999999999E-2</v>
      </c>
      <c r="R7492">
        <v>-9.929048E-2</v>
      </c>
      <c r="S7492">
        <v>3.007431</v>
      </c>
      <c r="T7492">
        <v>-0.40849279999999999</v>
      </c>
      <c r="U7492">
        <v>6.2805180000000002E-2</v>
      </c>
      <c r="V7492">
        <v>0.104861</v>
      </c>
      <c r="W7492">
        <v>-2.7832949999999999E-2</v>
      </c>
      <c r="X7492">
        <v>0.99409740000000002</v>
      </c>
      <c r="Y7492">
        <v>-1.5240729999999999E-2</v>
      </c>
      <c r="Z7492">
        <v>2.7991160000000003E-4</v>
      </c>
      <c r="AA7492">
        <v>0.99988379999999999</v>
      </c>
      <c r="AB7492">
        <v>26</v>
      </c>
      <c r="AC7492">
        <v>0.29300000000000598</v>
      </c>
      <c r="AD7492">
        <v>-0.110828999999999</v>
      </c>
      <c r="AE7492">
        <v>1.23999999999853E-2</v>
      </c>
      <c r="AF7492">
        <v>-9.4272437382363194E-3</v>
      </c>
      <c r="AG7492">
        <v>-0.110828999999999</v>
      </c>
      <c r="AH7492">
        <v>0.25643920390067199</v>
      </c>
      <c r="AI7492">
        <v>113.359156852987</v>
      </c>
      <c r="AJ7492">
        <v>92.105365102283201</v>
      </c>
      <c r="AK7492">
        <v>0.27952281742768498</v>
      </c>
      <c r="AL7492">
        <v>91.594916420615903</v>
      </c>
      <c r="AM7492">
        <v>83.978500775100997</v>
      </c>
      <c r="AN7492">
        <v>1.0000000715567201</v>
      </c>
    </row>
    <row r="7493" spans="1:40" x14ac:dyDescent="0.25">
      <c r="A7493" t="str">
        <f>"20190312161208604"</f>
        <v>20190312161208604</v>
      </c>
      <c r="B7493" t="str">
        <f>"1552378328594402"</f>
        <v>1552378328594402</v>
      </c>
      <c r="C7493" t="s">
        <v>40</v>
      </c>
      <c r="D7493">
        <v>6.1463150000000004</v>
      </c>
      <c r="E7493">
        <v>0.48732409999999998</v>
      </c>
      <c r="F7493" t="s">
        <v>42</v>
      </c>
      <c r="G7493">
        <v>-147.61279999999999</v>
      </c>
      <c r="H7493">
        <v>1.0079290000000001</v>
      </c>
      <c r="I7493">
        <v>139.8279</v>
      </c>
      <c r="J7493">
        <v>-147.8683</v>
      </c>
      <c r="K7493">
        <v>1.111154</v>
      </c>
      <c r="L7493">
        <v>139.816</v>
      </c>
      <c r="M7493">
        <v>0.99984519999999999</v>
      </c>
      <c r="N7493">
        <v>0</v>
      </c>
      <c r="O7493">
        <v>7.7827749999999996E-3</v>
      </c>
      <c r="P7493">
        <v>0.99421170000000003</v>
      </c>
      <c r="Q7493">
        <v>-4.2776309999999998E-2</v>
      </c>
      <c r="R7493">
        <v>-9.8557069999999997E-2</v>
      </c>
      <c r="S7493">
        <v>3.0070800000000002</v>
      </c>
      <c r="T7493">
        <v>-0.40631119999999998</v>
      </c>
      <c r="U7493">
        <v>6.9290160000000003E-2</v>
      </c>
      <c r="V7493">
        <v>0.10634489999999901</v>
      </c>
      <c r="W7493">
        <v>-2.688517E-2</v>
      </c>
      <c r="X7493">
        <v>0.99396569999999995</v>
      </c>
      <c r="Y7493">
        <v>-1.518662E-2</v>
      </c>
      <c r="Z7493" s="1">
        <v>-2.5580170000000001E-5</v>
      </c>
      <c r="AA7493">
        <v>0.99988469999999996</v>
      </c>
      <c r="AB7493">
        <v>26</v>
      </c>
      <c r="AC7493">
        <v>0.255500000000012</v>
      </c>
      <c r="AD7493">
        <v>-0.103225</v>
      </c>
      <c r="AE7493">
        <v>1.18999999999971E-2</v>
      </c>
      <c r="AF7493">
        <v>-8.5227706762218101E-3</v>
      </c>
      <c r="AG7493">
        <v>-0.103225</v>
      </c>
      <c r="AH7493">
        <v>0.219787601771473</v>
      </c>
      <c r="AI7493">
        <v>115.140912509792</v>
      </c>
      <c r="AJ7493">
        <v>92.2206632579352</v>
      </c>
      <c r="AK7493">
        <v>0.24297042646679301</v>
      </c>
      <c r="AL7493">
        <v>91.540592509355704</v>
      </c>
      <c r="AM7493">
        <v>83.893126193307097</v>
      </c>
      <c r="AN7493">
        <v>0.99999993144921195</v>
      </c>
    </row>
    <row r="7494" spans="1:40" x14ac:dyDescent="0.25">
      <c r="A7494" t="str">
        <f>"20190312161208650"</f>
        <v>20190312161208650</v>
      </c>
      <c r="B7494" t="str">
        <f>"1552378328645154"</f>
        <v>1552378328645154</v>
      </c>
      <c r="C7494" t="s">
        <v>40</v>
      </c>
      <c r="D7494">
        <v>6.1324009999999998</v>
      </c>
      <c r="E7494">
        <v>0.48940810000000001</v>
      </c>
      <c r="F7494" t="s">
        <v>42</v>
      </c>
      <c r="G7494">
        <v>-147.1575</v>
      </c>
      <c r="H7494">
        <v>0.99537960000000003</v>
      </c>
      <c r="I7494">
        <v>139.77359999999999</v>
      </c>
      <c r="J7494">
        <v>-147.35429999999999</v>
      </c>
      <c r="K7494">
        <v>1.1112820000000001</v>
      </c>
      <c r="L7494">
        <v>139.82299999999901</v>
      </c>
      <c r="M7494">
        <v>0.99981109999999895</v>
      </c>
      <c r="N7494">
        <v>0</v>
      </c>
      <c r="O7494">
        <v>1.003536E-2</v>
      </c>
      <c r="P7494">
        <v>0.99423709999999998</v>
      </c>
      <c r="Q7494">
        <v>-4.386019E-2</v>
      </c>
      <c r="R7494">
        <v>-9.7821089999999999E-2</v>
      </c>
      <c r="S7494">
        <v>2.9790190000000001</v>
      </c>
      <c r="T7494">
        <v>-0.4853306</v>
      </c>
      <c r="U7494">
        <v>-0.1772156</v>
      </c>
      <c r="V7494">
        <v>0.107847</v>
      </c>
      <c r="W7494">
        <v>-2.711419E-2</v>
      </c>
      <c r="X7494">
        <v>0.99379770000000001</v>
      </c>
      <c r="Y7494">
        <v>6.8368739999999997E-2</v>
      </c>
      <c r="Z7494">
        <v>-7.1510619999999997E-3</v>
      </c>
      <c r="AA7494">
        <v>0.99763449999999998</v>
      </c>
      <c r="AB7494">
        <v>26</v>
      </c>
      <c r="AC7494">
        <v>0.19679999999999601</v>
      </c>
      <c r="AD7494">
        <v>-0.115902399999999</v>
      </c>
      <c r="AE7494">
        <v>-4.9399999999991402E-2</v>
      </c>
      <c r="AF7494">
        <v>3.8734305332932602E-2</v>
      </c>
      <c r="AG7494">
        <v>-0.115902399999999</v>
      </c>
      <c r="AH7494">
        <v>0.14800303881145699</v>
      </c>
      <c r="AI7494">
        <v>127.14730621898801</v>
      </c>
      <c r="AJ7494">
        <v>75.333894276841093</v>
      </c>
      <c r="AK7494">
        <v>0.19193387463605899</v>
      </c>
      <c r="AL7494">
        <v>91.553719050548807</v>
      </c>
      <c r="AM7494">
        <v>83.806494703781894</v>
      </c>
      <c r="AN7494">
        <v>1.00000001161682</v>
      </c>
    </row>
    <row r="7495" spans="1:40" x14ac:dyDescent="0.25">
      <c r="A7495" t="str">
        <f>"20190312161208683"</f>
        <v>20190312161208683</v>
      </c>
      <c r="B7495" t="str">
        <f>"1552378328674434"</f>
        <v>1552378328674434</v>
      </c>
      <c r="C7495" t="s">
        <v>40</v>
      </c>
      <c r="D7495">
        <v>6.1090010000000001</v>
      </c>
      <c r="E7495">
        <v>0.4887669</v>
      </c>
      <c r="F7495" t="s">
        <v>42</v>
      </c>
      <c r="G7495">
        <v>-146.48230000000001</v>
      </c>
      <c r="H7495">
        <v>0.97677480000000005</v>
      </c>
      <c r="I7495">
        <v>139.7664</v>
      </c>
      <c r="J7495">
        <v>-146.9615</v>
      </c>
      <c r="K7495">
        <v>1.111353</v>
      </c>
      <c r="L7495">
        <v>139.82910000000001</v>
      </c>
      <c r="M7495">
        <v>0.99978140000000004</v>
      </c>
      <c r="N7495">
        <v>0</v>
      </c>
      <c r="O7495">
        <v>1.175465E-2</v>
      </c>
      <c r="P7495">
        <v>0.99436720000000001</v>
      </c>
      <c r="Q7495">
        <v>-4.3949849999999999E-2</v>
      </c>
      <c r="R7495">
        <v>-9.6448699999999998E-2</v>
      </c>
      <c r="S7495">
        <v>2.9781650000000002</v>
      </c>
      <c r="T7495">
        <v>-0.45944609999999902</v>
      </c>
      <c r="U7495">
        <v>-0.19281010000000001</v>
      </c>
      <c r="V7495">
        <v>0.1081821</v>
      </c>
      <c r="W7495">
        <v>-2.6565120000000001E-2</v>
      </c>
      <c r="X7495">
        <v>0.99377610000000005</v>
      </c>
      <c r="Y7495">
        <v>7.5307490000000005E-2</v>
      </c>
      <c r="Z7495">
        <v>-7.57011199999999E-3</v>
      </c>
      <c r="AA7495">
        <v>0.99713160000000001</v>
      </c>
      <c r="AB7495">
        <v>26</v>
      </c>
      <c r="AC7495">
        <v>0.47919999999999102</v>
      </c>
      <c r="AD7495">
        <v>-0.13457820000000001</v>
      </c>
      <c r="AE7495">
        <v>-6.2700000000006598E-2</v>
      </c>
      <c r="AF7495">
        <v>6.3412156563429495E-2</v>
      </c>
      <c r="AG7495">
        <v>-0.13457820000000001</v>
      </c>
      <c r="AH7495">
        <v>0.44400053865051797</v>
      </c>
      <c r="AI7495">
        <v>106.702340308796</v>
      </c>
      <c r="AJ7495">
        <v>81.871983269429094</v>
      </c>
      <c r="AK7495">
        <v>0.46826154212919802</v>
      </c>
      <c r="AL7495">
        <v>91.522248330193193</v>
      </c>
      <c r="AM7495">
        <v>83.787266648083104</v>
      </c>
      <c r="AN7495">
        <v>1.0000000046461099</v>
      </c>
    </row>
    <row r="7496" spans="1:40" x14ac:dyDescent="0.25">
      <c r="A7496" t="str">
        <f>"20190312161208705"</f>
        <v>20190312161208705</v>
      </c>
      <c r="B7496" t="str">
        <f>"1552378328694931"</f>
        <v>1552378328694931</v>
      </c>
      <c r="C7496" t="s">
        <v>40</v>
      </c>
      <c r="D7496">
        <v>6.0598450000000001</v>
      </c>
      <c r="E7496">
        <v>0.48894890000000002</v>
      </c>
      <c r="F7496" t="s">
        <v>42</v>
      </c>
      <c r="G7496">
        <v>-146.24420000000001</v>
      </c>
      <c r="H7496">
        <v>1.0019499999999999</v>
      </c>
      <c r="I7496">
        <v>139.78469999999999</v>
      </c>
      <c r="J7496">
        <v>-146.72139999999999</v>
      </c>
      <c r="K7496">
        <v>1.1113770000000001</v>
      </c>
      <c r="L7496">
        <v>139.8331</v>
      </c>
      <c r="M7496">
        <v>0.99976229999999999</v>
      </c>
      <c r="N7496">
        <v>0</v>
      </c>
      <c r="O7496">
        <v>1.279481E-2</v>
      </c>
      <c r="P7496">
        <v>0.99453930000000001</v>
      </c>
      <c r="Q7496">
        <v>-4.2441199999999998E-2</v>
      </c>
      <c r="R7496">
        <v>-9.5344990000000004E-2</v>
      </c>
      <c r="S7496">
        <v>2.9790800000000002</v>
      </c>
      <c r="T7496">
        <v>-0.45443939999999999</v>
      </c>
      <c r="U7496">
        <v>-0.18373110000000001</v>
      </c>
      <c r="V7496">
        <v>0.1081096</v>
      </c>
      <c r="W7496">
        <v>-2.4695559999999998E-2</v>
      </c>
      <c r="X7496">
        <v>0.99383220000000005</v>
      </c>
      <c r="Y7496">
        <v>7.3331549999999995E-2</v>
      </c>
      <c r="Z7496">
        <v>-7.4949580000000003E-3</v>
      </c>
      <c r="AA7496">
        <v>0.99727949999999999</v>
      </c>
      <c r="AB7496">
        <v>25</v>
      </c>
      <c r="AC7496">
        <v>0.47719999999998203</v>
      </c>
      <c r="AD7496">
        <v>-0.109427</v>
      </c>
      <c r="AE7496">
        <v>-4.8400000000015098E-2</v>
      </c>
      <c r="AF7496">
        <v>5.1806263786155E-2</v>
      </c>
      <c r="AG7496">
        <v>-0.109427</v>
      </c>
      <c r="AH7496">
        <v>0.45296564291879599</v>
      </c>
      <c r="AI7496">
        <v>103.496510154299</v>
      </c>
      <c r="AJ7496">
        <v>83.475358522857604</v>
      </c>
      <c r="AK7496">
        <v>0.46886675181901999</v>
      </c>
      <c r="AL7496">
        <v>91.415095224467805</v>
      </c>
      <c r="AM7496">
        <v>83.791745413429297</v>
      </c>
      <c r="AN7496">
        <v>0.99999999902635595</v>
      </c>
    </row>
    <row r="7497" spans="1:40" x14ac:dyDescent="0.25">
      <c r="A7497" t="str">
        <f>"20190312161208738"</f>
        <v>20190312161208738</v>
      </c>
      <c r="B7497" t="str">
        <f>"1552378328734946"</f>
        <v>1552378328734946</v>
      </c>
      <c r="C7497" t="s">
        <v>40</v>
      </c>
      <c r="D7497">
        <v>6.0198260000000001</v>
      </c>
      <c r="E7497">
        <v>0.50035299999999905</v>
      </c>
      <c r="F7497" t="s">
        <v>42</v>
      </c>
      <c r="G7497">
        <v>-145.81049999999999</v>
      </c>
      <c r="H7497">
        <v>0.97421650000000004</v>
      </c>
      <c r="I7497">
        <v>139.7773</v>
      </c>
      <c r="J7497">
        <v>-146.3468</v>
      </c>
      <c r="K7497">
        <v>1.1113850000000001</v>
      </c>
      <c r="L7497">
        <v>139.8399</v>
      </c>
      <c r="M7497">
        <v>0.99973140000000005</v>
      </c>
      <c r="N7497">
        <v>0</v>
      </c>
      <c r="O7497">
        <v>1.4349570000000001E-2</v>
      </c>
      <c r="P7497">
        <v>0.99474980000000002</v>
      </c>
      <c r="Q7497">
        <v>-4.1220519999999997E-2</v>
      </c>
      <c r="R7497">
        <v>-9.3669589999999997E-2</v>
      </c>
      <c r="S7497">
        <v>2.9798580000000001</v>
      </c>
      <c r="T7497">
        <v>-0.44879659999999899</v>
      </c>
      <c r="U7497">
        <v>-0.18209839999999999</v>
      </c>
      <c r="V7497">
        <v>0.107976</v>
      </c>
      <c r="W7497">
        <v>-2.2944010000000001E-2</v>
      </c>
      <c r="X7497">
        <v>0.99388869999999896</v>
      </c>
      <c r="Y7497">
        <v>7.431836E-2</v>
      </c>
      <c r="Z7497">
        <v>-7.7076990000000001E-3</v>
      </c>
      <c r="AA7497">
        <v>0.9972048</v>
      </c>
      <c r="AB7497">
        <v>25</v>
      </c>
      <c r="AC7497">
        <v>0.53630000000001099</v>
      </c>
      <c r="AD7497">
        <v>-0.1371685</v>
      </c>
      <c r="AE7497">
        <v>-6.2600000000003306E-2</v>
      </c>
      <c r="AF7497">
        <v>6.6029110892543097E-2</v>
      </c>
      <c r="AG7497">
        <v>-0.1371685</v>
      </c>
      <c r="AH7497">
        <v>0.50289073865934397</v>
      </c>
      <c r="AI7497">
        <v>105.13301072051</v>
      </c>
      <c r="AJ7497">
        <v>82.5199030646056</v>
      </c>
      <c r="AK7497">
        <v>0.52542757436858101</v>
      </c>
      <c r="AL7497">
        <v>91.314710310435004</v>
      </c>
      <c r="AM7497">
        <v>83.799707414134403</v>
      </c>
      <c r="AN7497">
        <v>0.99999999607928403</v>
      </c>
    </row>
    <row r="7498" spans="1:40" x14ac:dyDescent="0.25">
      <c r="A7498" t="str">
        <f>"20190312161208782"</f>
        <v>20190312161208782</v>
      </c>
      <c r="B7498" t="str">
        <f>"1552378328774962"</f>
        <v>1552378328774962</v>
      </c>
      <c r="C7498" t="s">
        <v>40</v>
      </c>
      <c r="D7498">
        <v>5.9522300000000001</v>
      </c>
      <c r="E7498">
        <v>0.50005049999999995</v>
      </c>
      <c r="F7498" t="s">
        <v>42</v>
      </c>
      <c r="G7498">
        <v>-145.60050000000001</v>
      </c>
      <c r="H7498">
        <v>0.95072939999999995</v>
      </c>
      <c r="I7498">
        <v>139.7749</v>
      </c>
      <c r="J7498">
        <v>-145.86340000000001</v>
      </c>
      <c r="K7498">
        <v>1.111359</v>
      </c>
      <c r="L7498">
        <v>139.8494</v>
      </c>
      <c r="M7498">
        <v>0.999691</v>
      </c>
      <c r="N7498">
        <v>0</v>
      </c>
      <c r="O7498">
        <v>1.620839E-2</v>
      </c>
      <c r="P7498">
        <v>0.99486059999999998</v>
      </c>
      <c r="Q7498">
        <v>-4.0674759999999997E-2</v>
      </c>
      <c r="R7498">
        <v>-9.2725500000000002E-2</v>
      </c>
      <c r="S7498">
        <v>2.9650729999999998</v>
      </c>
      <c r="T7498">
        <v>-0.63833700000000004</v>
      </c>
      <c r="U7498">
        <v>-0.25811770000000001</v>
      </c>
      <c r="V7498">
        <v>0.10887380000000001</v>
      </c>
      <c r="W7498">
        <v>-2.1778970000000002E-2</v>
      </c>
      <c r="X7498">
        <v>0.99381699999999995</v>
      </c>
      <c r="Y7498">
        <v>0.100215</v>
      </c>
      <c r="Z7498">
        <v>-1.4090480000000001E-2</v>
      </c>
      <c r="AA7498">
        <v>0.99486600000000003</v>
      </c>
      <c r="AB7498">
        <v>25</v>
      </c>
      <c r="AC7498">
        <v>0.26290000000000102</v>
      </c>
      <c r="AD7498">
        <v>-0.16062960000000001</v>
      </c>
      <c r="AE7498">
        <v>-7.4500000000000399E-2</v>
      </c>
      <c r="AF7498">
        <v>5.8527384581772902E-2</v>
      </c>
      <c r="AG7498">
        <v>-0.16062960000000001</v>
      </c>
      <c r="AH7498">
        <v>0.19445997429423301</v>
      </c>
      <c r="AI7498">
        <v>128.34329387380799</v>
      </c>
      <c r="AJ7498">
        <v>73.249574420572401</v>
      </c>
      <c r="AK7498">
        <v>0.25892470864067102</v>
      </c>
      <c r="AL7498">
        <v>91.247941695302103</v>
      </c>
      <c r="AM7498">
        <v>83.748112229798195</v>
      </c>
      <c r="AN7498">
        <v>1.00000002867485</v>
      </c>
    </row>
    <row r="7499" spans="1:40" x14ac:dyDescent="0.25">
      <c r="A7499" t="str">
        <f>"20190312161208828"</f>
        <v>20190312161208828</v>
      </c>
      <c r="B7499" t="str">
        <f>"1552378328824738"</f>
        <v>1552378328824738</v>
      </c>
      <c r="C7499" t="s">
        <v>40</v>
      </c>
      <c r="D7499">
        <v>6.0215489999999896</v>
      </c>
      <c r="E7499">
        <v>0.49906050000000002</v>
      </c>
      <c r="F7499" t="s">
        <v>42</v>
      </c>
      <c r="G7499">
        <v>-145.15190000000001</v>
      </c>
      <c r="H7499">
        <v>0.96964980000000001</v>
      </c>
      <c r="I7499">
        <v>139.78809999999999</v>
      </c>
      <c r="J7499">
        <v>-145.3758</v>
      </c>
      <c r="K7499">
        <v>1.1113170000000001</v>
      </c>
      <c r="L7499">
        <v>139.8595</v>
      </c>
      <c r="M7499">
        <v>0.9996524</v>
      </c>
      <c r="N7499">
        <v>0</v>
      </c>
      <c r="O7499">
        <v>1.7811850000000001E-2</v>
      </c>
      <c r="P7499">
        <v>0.99462090000000003</v>
      </c>
      <c r="Q7499">
        <v>-4.0472059999999997E-2</v>
      </c>
      <c r="R7499">
        <v>-9.5349509999999998E-2</v>
      </c>
      <c r="S7499">
        <v>2.967514</v>
      </c>
      <c r="T7499">
        <v>-0.59098479999999998</v>
      </c>
      <c r="U7499">
        <v>-0.25552370000000002</v>
      </c>
      <c r="V7499">
        <v>0.11307929999999999</v>
      </c>
      <c r="W7499">
        <v>-2.1032149999999999E-2</v>
      </c>
      <c r="X7499">
        <v>0.99336329999999995</v>
      </c>
      <c r="Y7499">
        <v>0.1012043</v>
      </c>
      <c r="Z7499">
        <v>-1.346926E-2</v>
      </c>
      <c r="AA7499">
        <v>0.99477450000000001</v>
      </c>
      <c r="AB7499">
        <v>25</v>
      </c>
      <c r="AC7499">
        <v>0.223899999999986</v>
      </c>
      <c r="AD7499">
        <v>-0.14166719999999999</v>
      </c>
      <c r="AE7499">
        <v>-7.1400000000011205E-2</v>
      </c>
      <c r="AF7499">
        <v>5.5286915736074603E-2</v>
      </c>
      <c r="AG7499">
        <v>-0.14166719999999999</v>
      </c>
      <c r="AH7499">
        <v>0.163264254282321</v>
      </c>
      <c r="AI7499">
        <v>129.41584118249401</v>
      </c>
      <c r="AJ7499">
        <v>71.292124177931896</v>
      </c>
      <c r="AK7499">
        <v>0.223117581857213</v>
      </c>
      <c r="AL7499">
        <v>91.205142334681</v>
      </c>
      <c r="AM7499">
        <v>83.505702653486296</v>
      </c>
      <c r="AN7499">
        <v>0.99999996260449997</v>
      </c>
    </row>
    <row r="7500" spans="1:40" x14ac:dyDescent="0.25">
      <c r="A7500" t="str">
        <f>"20190312161208863"</f>
        <v>20190312161208863</v>
      </c>
      <c r="B7500" t="str">
        <f>"1552378328854994"</f>
        <v>1552378328854994</v>
      </c>
      <c r="C7500" t="s">
        <v>40</v>
      </c>
      <c r="D7500">
        <v>6.0248049999999997</v>
      </c>
      <c r="E7500">
        <v>0.49863839999999998</v>
      </c>
      <c r="F7500" t="s">
        <v>42</v>
      </c>
      <c r="G7500">
        <v>-144.512</v>
      </c>
      <c r="H7500">
        <v>0.95171539999999999</v>
      </c>
      <c r="I7500">
        <v>139.78460000000001</v>
      </c>
      <c r="J7500">
        <v>-144.9975</v>
      </c>
      <c r="K7500">
        <v>1.1112839999999999</v>
      </c>
      <c r="L7500">
        <v>139.86760000000001</v>
      </c>
      <c r="M7500">
        <v>0.99962430000000002</v>
      </c>
      <c r="N7500">
        <v>0</v>
      </c>
      <c r="O7500">
        <v>1.8868099999999999E-2</v>
      </c>
      <c r="P7500">
        <v>0.99462459999999997</v>
      </c>
      <c r="Q7500">
        <v>-4.0016889999999999E-2</v>
      </c>
      <c r="R7500">
        <v>-9.5503539999999998E-2</v>
      </c>
      <c r="S7500">
        <v>2.9692690000000002</v>
      </c>
      <c r="T7500">
        <v>-0.54875399999999996</v>
      </c>
      <c r="U7500">
        <v>-0.25688169999999999</v>
      </c>
      <c r="V7500">
        <v>0.1142772</v>
      </c>
      <c r="W7500">
        <v>-2.015188E-2</v>
      </c>
      <c r="X7500">
        <v>0.99324449999999997</v>
      </c>
      <c r="Y7500">
        <v>0.10292949999999999</v>
      </c>
      <c r="Z7500">
        <v>-1.286696E-2</v>
      </c>
      <c r="AA7500">
        <v>0.99460539999999997</v>
      </c>
      <c r="AB7500">
        <v>24</v>
      </c>
      <c r="AC7500">
        <v>0.48550000000000099</v>
      </c>
      <c r="AD7500">
        <v>-0.15956859999999901</v>
      </c>
      <c r="AE7500">
        <v>-8.2999999999998395E-2</v>
      </c>
      <c r="AF7500">
        <v>8.3394750070477794E-2</v>
      </c>
      <c r="AG7500">
        <v>-0.15956859999999901</v>
      </c>
      <c r="AH7500">
        <v>0.43788836145805199</v>
      </c>
      <c r="AI7500">
        <v>109.695880792352</v>
      </c>
      <c r="AJ7500">
        <v>79.217287629500404</v>
      </c>
      <c r="AK7500">
        <v>0.47345859327473899</v>
      </c>
      <c r="AL7500">
        <v>91.154695827789993</v>
      </c>
      <c r="AM7500">
        <v>83.436724564318197</v>
      </c>
      <c r="AN7500">
        <v>1.00000000674381</v>
      </c>
    </row>
    <row r="7501" spans="1:40" x14ac:dyDescent="0.25">
      <c r="A7501" t="str">
        <f>"20190312161208895"</f>
        <v>20190312161208895</v>
      </c>
      <c r="B7501" t="str">
        <f>"1552378328884436"</f>
        <v>1552378328884436</v>
      </c>
      <c r="C7501" t="s">
        <v>40</v>
      </c>
      <c r="D7501">
        <v>5.974094</v>
      </c>
      <c r="E7501">
        <v>0.49811430000000001</v>
      </c>
      <c r="F7501" t="s">
        <v>42</v>
      </c>
      <c r="G7501">
        <v>-144.28290000000001</v>
      </c>
      <c r="H7501">
        <v>0.98473929999999998</v>
      </c>
      <c r="I7501">
        <v>139.80629999999999</v>
      </c>
      <c r="J7501">
        <v>-144.66370000000001</v>
      </c>
      <c r="K7501">
        <v>1.1112709999999999</v>
      </c>
      <c r="L7501">
        <v>139.875</v>
      </c>
      <c r="M7501">
        <v>0.99960099999999996</v>
      </c>
      <c r="N7501">
        <v>0</v>
      </c>
      <c r="O7501">
        <v>1.9681540000000001E-2</v>
      </c>
      <c r="P7501">
        <v>0.99451279999999997</v>
      </c>
      <c r="Q7501">
        <v>-3.7977249999999997E-2</v>
      </c>
      <c r="R7501">
        <v>-9.7476800000000002E-2</v>
      </c>
      <c r="S7501">
        <v>2.9705810000000001</v>
      </c>
      <c r="T7501">
        <v>-0.52609519999999999</v>
      </c>
      <c r="U7501">
        <v>-0.25476070000000001</v>
      </c>
      <c r="V7501">
        <v>0.1170508</v>
      </c>
      <c r="W7501">
        <v>-1.7764869999999999E-2</v>
      </c>
      <c r="X7501">
        <v>0.99296700000000004</v>
      </c>
      <c r="Y7501">
        <v>0.10314619999999999</v>
      </c>
      <c r="Z7501">
        <v>-1.250074E-2</v>
      </c>
      <c r="AA7501">
        <v>0.99458769999999996</v>
      </c>
      <c r="AB7501">
        <v>24</v>
      </c>
      <c r="AC7501">
        <v>0.38079999999999298</v>
      </c>
      <c r="AD7501">
        <v>-0.126531699999999</v>
      </c>
      <c r="AE7501">
        <v>-6.8700000000006797E-2</v>
      </c>
      <c r="AF7501">
        <v>6.8823718593830699E-2</v>
      </c>
      <c r="AG7501">
        <v>-0.126531699999999</v>
      </c>
      <c r="AH7501">
        <v>0.34272647727582201</v>
      </c>
      <c r="AI7501">
        <v>109.89850248186799</v>
      </c>
      <c r="AJ7501">
        <v>78.645318969545997</v>
      </c>
      <c r="AK7501">
        <v>0.37176392182656298</v>
      </c>
      <c r="AL7501">
        <v>91.017905648399804</v>
      </c>
      <c r="AM7501">
        <v>83.277007741770802</v>
      </c>
      <c r="AN7501">
        <v>0.99999997173787802</v>
      </c>
    </row>
    <row r="7502" spans="1:40" x14ac:dyDescent="0.25">
      <c r="A7502" t="str">
        <f>"20190312161208951"</f>
        <v>20190312161208951</v>
      </c>
      <c r="B7502" t="str">
        <f>"1552378328944947"</f>
        <v>1552378328944947</v>
      </c>
      <c r="C7502" t="s">
        <v>40</v>
      </c>
      <c r="D7502">
        <v>5.9303900000000001</v>
      </c>
      <c r="E7502">
        <v>0.49812220000000001</v>
      </c>
      <c r="F7502" t="s">
        <v>42</v>
      </c>
      <c r="G7502">
        <v>-143.8657</v>
      </c>
      <c r="H7502">
        <v>0.97533729999999996</v>
      </c>
      <c r="I7502">
        <v>139.80619999999999</v>
      </c>
      <c r="J7502">
        <v>-144.08019999999999</v>
      </c>
      <c r="K7502">
        <v>1.111273</v>
      </c>
      <c r="L7502">
        <v>139.88839999999999</v>
      </c>
      <c r="M7502">
        <v>0.9995638</v>
      </c>
      <c r="N7502">
        <v>0</v>
      </c>
      <c r="O7502">
        <v>2.094422E-2</v>
      </c>
      <c r="P7502">
        <v>0.99459609999999998</v>
      </c>
      <c r="Q7502">
        <v>-3.7185370000000002E-2</v>
      </c>
      <c r="R7502">
        <v>-9.6932050000000006E-2</v>
      </c>
      <c r="S7502">
        <v>2.9720759999999999</v>
      </c>
      <c r="T7502">
        <v>-0.5062873</v>
      </c>
      <c r="U7502">
        <v>-0.25650020000000001</v>
      </c>
      <c r="V7502">
        <v>0.11775770000000001</v>
      </c>
      <c r="W7502">
        <v>-1.6434069999999999E-2</v>
      </c>
      <c r="X7502">
        <v>0.99290639999999997</v>
      </c>
      <c r="Y7502">
        <v>0.1050338</v>
      </c>
      <c r="Z7502">
        <v>-1.2403269999999999E-2</v>
      </c>
      <c r="AA7502">
        <v>0.99439129999999998</v>
      </c>
      <c r="AB7502">
        <v>24</v>
      </c>
      <c r="AC7502">
        <v>0.21449999999998601</v>
      </c>
      <c r="AD7502">
        <v>-0.13593569999999999</v>
      </c>
      <c r="AE7502">
        <v>-8.2200000000000203E-2</v>
      </c>
      <c r="AF7502">
        <v>6.4195010901791999E-2</v>
      </c>
      <c r="AG7502">
        <v>-0.13593569999999999</v>
      </c>
      <c r="AH7502">
        <v>0.157556283293004</v>
      </c>
      <c r="AI7502">
        <v>128.62486170466801</v>
      </c>
      <c r="AJ7502">
        <v>67.831965647389495</v>
      </c>
      <c r="AK7502">
        <v>0.217769365072952</v>
      </c>
      <c r="AL7502">
        <v>90.941645206131298</v>
      </c>
      <c r="AM7502">
        <v>83.2363718909466</v>
      </c>
      <c r="AN7502">
        <v>1.0000000368635</v>
      </c>
    </row>
    <row r="7503" spans="1:40" x14ac:dyDescent="0.25">
      <c r="A7503" t="str">
        <f>"20190312161208987"</f>
        <v>20190312161208987</v>
      </c>
      <c r="B7503" t="str">
        <f>"1552378328975204"</f>
        <v>1552378328975204</v>
      </c>
      <c r="C7503" t="s">
        <v>40</v>
      </c>
      <c r="D7503">
        <v>6.0170570000000003</v>
      </c>
      <c r="E7503">
        <v>0.51441130000000002</v>
      </c>
      <c r="F7503" t="s">
        <v>42</v>
      </c>
      <c r="G7503">
        <v>-143.24510000000001</v>
      </c>
      <c r="H7503">
        <v>0.97450479999999995</v>
      </c>
      <c r="I7503">
        <v>139.81659999999999</v>
      </c>
      <c r="J7503">
        <v>-143.71270000000001</v>
      </c>
      <c r="K7503">
        <v>1.1112979999999999</v>
      </c>
      <c r="L7503">
        <v>139.89709999999999</v>
      </c>
      <c r="M7503">
        <v>0.99954100000000001</v>
      </c>
      <c r="N7503">
        <v>0</v>
      </c>
      <c r="O7503">
        <v>2.1711379999999999E-2</v>
      </c>
      <c r="P7503">
        <v>0.99473529999999999</v>
      </c>
      <c r="Q7503">
        <v>-3.668246E-2</v>
      </c>
      <c r="R7503">
        <v>-9.5688369999999995E-2</v>
      </c>
      <c r="S7503">
        <v>2.9731749999999999</v>
      </c>
      <c r="T7503">
        <v>-0.48700789999999999</v>
      </c>
      <c r="U7503">
        <v>-0.25531009999999998</v>
      </c>
      <c r="V7503">
        <v>0.1172778</v>
      </c>
      <c r="W7503">
        <v>-1.562858E-2</v>
      </c>
      <c r="X7503">
        <v>0.99297619999999998</v>
      </c>
      <c r="Y7503">
        <v>0.1054891</v>
      </c>
      <c r="Z7503">
        <v>-1.2094779999999999E-2</v>
      </c>
      <c r="AA7503">
        <v>0.99434690000000003</v>
      </c>
      <c r="AB7503">
        <v>23</v>
      </c>
      <c r="AC7503">
        <v>0.46760000000000401</v>
      </c>
      <c r="AD7503">
        <v>-0.136793199999999</v>
      </c>
      <c r="AE7503">
        <v>-8.0500000000000599E-2</v>
      </c>
      <c r="AF7503">
        <v>8.3680185759437004E-2</v>
      </c>
      <c r="AG7503">
        <v>-0.136793199999999</v>
      </c>
      <c r="AH7503">
        <v>0.43000072677376</v>
      </c>
      <c r="AI7503">
        <v>107.34176920611</v>
      </c>
      <c r="AJ7503">
        <v>78.987608962647201</v>
      </c>
      <c r="AK7503">
        <v>0.45892851086082598</v>
      </c>
      <c r="AL7503">
        <v>90.895488099768897</v>
      </c>
      <c r="AM7503">
        <v>83.264151173103599</v>
      </c>
      <c r="AN7503">
        <v>1.00000003432604</v>
      </c>
    </row>
    <row r="7504" spans="1:40" x14ac:dyDescent="0.25">
      <c r="A7504" t="str">
        <f>"20190312161209022"</f>
        <v>20190312161209022</v>
      </c>
      <c r="B7504" t="str">
        <f>"1552378329014751"</f>
        <v>1552378329014751</v>
      </c>
      <c r="C7504" t="s">
        <v>40</v>
      </c>
      <c r="D7504">
        <v>5.9366050000000001</v>
      </c>
      <c r="E7504">
        <v>0.51299839999999997</v>
      </c>
      <c r="F7504" t="s">
        <v>42</v>
      </c>
      <c r="G7504">
        <v>-142.8768</v>
      </c>
      <c r="H7504">
        <v>0.89216430000000002</v>
      </c>
      <c r="I7504">
        <v>139.79429999999999</v>
      </c>
      <c r="J7504">
        <v>-143.35769999999999</v>
      </c>
      <c r="K7504">
        <v>1.111343</v>
      </c>
      <c r="L7504">
        <v>139.9058</v>
      </c>
      <c r="M7504">
        <v>0.99951909999999999</v>
      </c>
      <c r="N7504">
        <v>0</v>
      </c>
      <c r="O7504">
        <v>2.2463E-2</v>
      </c>
      <c r="P7504">
        <v>0.99477519999999997</v>
      </c>
      <c r="Q7504">
        <v>-3.5376770000000002E-2</v>
      </c>
      <c r="R7504">
        <v>-9.5765169999999997E-2</v>
      </c>
      <c r="S7504">
        <v>2.952423</v>
      </c>
      <c r="T7504">
        <v>-0.77402399999999905</v>
      </c>
      <c r="U7504">
        <v>-0.36299130000000002</v>
      </c>
      <c r="V7504">
        <v>0.11810089999999999</v>
      </c>
      <c r="W7504">
        <v>-1.407162E-2</v>
      </c>
      <c r="X7504">
        <v>0.9929019</v>
      </c>
      <c r="Y7504">
        <v>0.13891979999999901</v>
      </c>
      <c r="Z7504">
        <v>-2.36169E-2</v>
      </c>
      <c r="AA7504">
        <v>0.99002199999999996</v>
      </c>
      <c r="AB7504">
        <v>23</v>
      </c>
      <c r="AC7504">
        <v>0.480899999999991</v>
      </c>
      <c r="AD7504">
        <v>-0.219178699999999</v>
      </c>
      <c r="AE7504">
        <v>-0.111500000000006</v>
      </c>
      <c r="AF7504">
        <v>0.102141848958199</v>
      </c>
      <c r="AG7504">
        <v>-0.219178699999999</v>
      </c>
      <c r="AH7504">
        <v>0.39951763820061997</v>
      </c>
      <c r="AI7504">
        <v>117.99120244108001</v>
      </c>
      <c r="AJ7504">
        <v>75.658789916867207</v>
      </c>
      <c r="AK7504">
        <v>0.46699743369283198</v>
      </c>
      <c r="AL7504">
        <v>90.806271040270502</v>
      </c>
      <c r="AM7504">
        <v>83.216812528477305</v>
      </c>
      <c r="AN7504">
        <v>1.00000000804692</v>
      </c>
    </row>
    <row r="7505" spans="1:40" x14ac:dyDescent="0.25">
      <c r="A7505" t="str">
        <f>"20190312161209053"</f>
        <v>20190312161209053</v>
      </c>
      <c r="B7505" t="str">
        <f>"1552378329045007"</f>
        <v>1552378329045007</v>
      </c>
      <c r="C7505" t="s">
        <v>40</v>
      </c>
      <c r="D7505">
        <v>6.1029929999999997</v>
      </c>
      <c r="E7505">
        <v>0.5118781</v>
      </c>
      <c r="F7505" t="s">
        <v>42</v>
      </c>
      <c r="G7505">
        <v>-142.66050000000001</v>
      </c>
      <c r="H7505">
        <v>0.92952749999999995</v>
      </c>
      <c r="I7505">
        <v>139.8228</v>
      </c>
      <c r="J7505">
        <v>-143.0455</v>
      </c>
      <c r="K7505">
        <v>1.1113710000000001</v>
      </c>
      <c r="L7505">
        <v>139.91370000000001</v>
      </c>
      <c r="M7505">
        <v>0.99949949999999999</v>
      </c>
      <c r="N7505">
        <v>0</v>
      </c>
      <c r="O7505">
        <v>2.3142969999999999E-2</v>
      </c>
      <c r="P7505">
        <v>0.99465610000000004</v>
      </c>
      <c r="Q7505">
        <v>-3.6113560000000003E-2</v>
      </c>
      <c r="R7505">
        <v>-9.6720719999999996E-2</v>
      </c>
      <c r="S7505">
        <v>2.9545140000000001</v>
      </c>
      <c r="T7505">
        <v>-0.77043119999999998</v>
      </c>
      <c r="U7505">
        <v>-0.35168460000000001</v>
      </c>
      <c r="V7505">
        <v>0.11972919999999999</v>
      </c>
      <c r="W7505">
        <v>-1.4626419999999999E-2</v>
      </c>
      <c r="X7505">
        <v>0.99269879999999999</v>
      </c>
      <c r="Y7505">
        <v>0.13590379999999999</v>
      </c>
      <c r="Z7505">
        <v>-2.3288369999999999E-2</v>
      </c>
      <c r="AA7505">
        <v>0.99044829999999995</v>
      </c>
      <c r="AB7505">
        <v>23</v>
      </c>
      <c r="AC7505">
        <v>0.38499999999999002</v>
      </c>
      <c r="AD7505">
        <v>-0.18184349999999999</v>
      </c>
      <c r="AE7505">
        <v>-9.0900000000004796E-2</v>
      </c>
      <c r="AF7505">
        <v>8.23801994037167E-2</v>
      </c>
      <c r="AG7505">
        <v>-0.18184349999999999</v>
      </c>
      <c r="AH7505">
        <v>0.31601606444520303</v>
      </c>
      <c r="AI7505">
        <v>119.109774137541</v>
      </c>
      <c r="AJ7505">
        <v>75.389103589810205</v>
      </c>
      <c r="AK7505">
        <v>0.37379099605726301</v>
      </c>
      <c r="AL7505">
        <v>90.838062051699495</v>
      </c>
      <c r="AM7505">
        <v>83.122786300727995</v>
      </c>
      <c r="AN7505">
        <v>0.99999996050804696</v>
      </c>
    </row>
    <row r="7506" spans="1:40" x14ac:dyDescent="0.25">
      <c r="A7506" t="str">
        <f>"20190312161209117"</f>
        <v>20190312161209117</v>
      </c>
      <c r="B7506" t="str">
        <f>"1552378329114810"</f>
        <v>1552378329114810</v>
      </c>
      <c r="C7506" t="s">
        <v>40</v>
      </c>
      <c r="D7506">
        <v>6.2403130000000004</v>
      </c>
      <c r="E7506">
        <v>0.48588140000000002</v>
      </c>
      <c r="F7506" t="s">
        <v>42</v>
      </c>
      <c r="G7506">
        <v>-142.2741</v>
      </c>
      <c r="H7506">
        <v>0.90702700000000003</v>
      </c>
      <c r="I7506">
        <v>139.8235</v>
      </c>
      <c r="J7506">
        <v>-142.42240000000001</v>
      </c>
      <c r="K7506">
        <v>1.111435</v>
      </c>
      <c r="L7506">
        <v>139.93010000000001</v>
      </c>
      <c r="M7506">
        <v>0.99945830000000002</v>
      </c>
      <c r="N7506">
        <v>0</v>
      </c>
      <c r="O7506">
        <v>2.4545979999999998E-2</v>
      </c>
      <c r="P7506">
        <v>0.99444189999999999</v>
      </c>
      <c r="Q7506">
        <v>-3.3213399999999997E-2</v>
      </c>
      <c r="R7506">
        <v>-9.9913059999999998E-2</v>
      </c>
      <c r="S7506">
        <v>2.9541930000000001</v>
      </c>
      <c r="T7506">
        <v>-0.7825896</v>
      </c>
      <c r="U7506">
        <v>-0.34475709999999998</v>
      </c>
      <c r="V7506">
        <v>0.1243059</v>
      </c>
      <c r="W7506">
        <v>-1.137639E-2</v>
      </c>
      <c r="X7506">
        <v>0.99217869999999997</v>
      </c>
      <c r="Y7506">
        <v>0.1348367</v>
      </c>
      <c r="Z7506">
        <v>-2.387535E-2</v>
      </c>
      <c r="AA7506">
        <v>0.99058009999999996</v>
      </c>
      <c r="AB7506">
        <v>22</v>
      </c>
      <c r="AC7506">
        <v>0.14830000000000601</v>
      </c>
      <c r="AD7506">
        <v>-0.20440799999999901</v>
      </c>
      <c r="AE7506">
        <v>-0.106600000000014</v>
      </c>
      <c r="AF7506">
        <v>4.8924979861606398E-2</v>
      </c>
      <c r="AG7506">
        <v>-0.20440799999999901</v>
      </c>
      <c r="AH7506">
        <v>6.4653025055882996E-2</v>
      </c>
      <c r="AI7506">
        <v>158.36431492678801</v>
      </c>
      <c r="AJ7506">
        <v>52.884059913077799</v>
      </c>
      <c r="AK7506">
        <v>0.21990065431311201</v>
      </c>
      <c r="AL7506">
        <v>90.651833209620307</v>
      </c>
      <c r="AM7506">
        <v>82.858861133509393</v>
      </c>
      <c r="AN7506">
        <v>0.99999997587896505</v>
      </c>
    </row>
    <row r="7507" spans="1:40" x14ac:dyDescent="0.25">
      <c r="A7507" t="str">
        <f>"20190312161209151"</f>
        <v>20190312161209151</v>
      </c>
      <c r="B7507" t="str">
        <f>"1552378329145067"</f>
        <v>1552378329145067</v>
      </c>
      <c r="C7507" t="s">
        <v>40</v>
      </c>
      <c r="D7507">
        <v>6.3615339999999998</v>
      </c>
      <c r="E7507">
        <v>0.4596729</v>
      </c>
      <c r="F7507" t="s">
        <v>42</v>
      </c>
      <c r="G7507">
        <v>-141.7362</v>
      </c>
      <c r="H7507">
        <v>0.80654740000000003</v>
      </c>
      <c r="I7507">
        <v>139.90299999999999</v>
      </c>
      <c r="J7507">
        <v>-142.09790000000001</v>
      </c>
      <c r="K7507">
        <v>1.111462</v>
      </c>
      <c r="L7507">
        <v>139.93899999999999</v>
      </c>
      <c r="M7507">
        <v>0.99943630000000006</v>
      </c>
      <c r="N7507">
        <v>0</v>
      </c>
      <c r="O7507">
        <v>2.5285209999999999E-2</v>
      </c>
      <c r="P7507">
        <v>0.99457930000000005</v>
      </c>
      <c r="Q7507">
        <v>-3.1906820000000002E-2</v>
      </c>
      <c r="R7507">
        <v>-9.8963620000000002E-2</v>
      </c>
      <c r="S7507">
        <v>2.9611510000000001</v>
      </c>
      <c r="T7507">
        <v>-1.3155619999999999</v>
      </c>
      <c r="U7507">
        <v>-0.11621090000000001</v>
      </c>
      <c r="V7507">
        <v>0.12409290000000001</v>
      </c>
      <c r="W7507">
        <v>-9.9124139999999996E-3</v>
      </c>
      <c r="X7507">
        <v>0.99222109999999997</v>
      </c>
      <c r="Y7507">
        <v>5.6751740000000002E-2</v>
      </c>
      <c r="Z7507">
        <v>-2.2762669999999999E-2</v>
      </c>
      <c r="AA7507">
        <v>0.99812880000000004</v>
      </c>
      <c r="AB7507">
        <v>22</v>
      </c>
      <c r="AC7507">
        <v>0.36170000000001301</v>
      </c>
      <c r="AD7507">
        <v>-0.30491459999999998</v>
      </c>
      <c r="AE7507">
        <v>-3.6000000000001302E-2</v>
      </c>
      <c r="AF7507">
        <v>2.64933790687404E-2</v>
      </c>
      <c r="AG7507">
        <v>-0.30491459999999998</v>
      </c>
      <c r="AH7507">
        <v>0.21170215299287101</v>
      </c>
      <c r="AI7507">
        <v>145.01892224612101</v>
      </c>
      <c r="AJ7507">
        <v>82.866826870372094</v>
      </c>
      <c r="AK7507">
        <v>0.37214595793781902</v>
      </c>
      <c r="AL7507">
        <v>90.567948783691307</v>
      </c>
      <c r="AM7507">
        <v>82.871273078087199</v>
      </c>
      <c r="AN7507">
        <v>1.0000000075334601</v>
      </c>
    </row>
    <row r="7508" spans="1:40" x14ac:dyDescent="0.25">
      <c r="A7508" t="str">
        <f>"20190312161209191"</f>
        <v>20190312161209191</v>
      </c>
      <c r="B7508" t="str">
        <f>"1552378329184613"</f>
        <v>1552378329184613</v>
      </c>
      <c r="C7508" t="s">
        <v>40</v>
      </c>
      <c r="D7508">
        <v>5.8785980000000002</v>
      </c>
      <c r="E7508">
        <v>0.46163199999999999</v>
      </c>
      <c r="F7508" t="s">
        <v>42</v>
      </c>
      <c r="G7508">
        <v>-141.26169999999999</v>
      </c>
      <c r="H7508">
        <v>1.0122610000000001</v>
      </c>
      <c r="I7508">
        <v>139.9496</v>
      </c>
      <c r="J7508">
        <v>-141.72909999999999</v>
      </c>
      <c r="K7508">
        <v>1.111502</v>
      </c>
      <c r="L7508">
        <v>139.9494</v>
      </c>
      <c r="M7508">
        <v>0.99941100000000005</v>
      </c>
      <c r="N7508">
        <v>0</v>
      </c>
      <c r="O7508">
        <v>2.6125659999999998E-2</v>
      </c>
      <c r="P7508">
        <v>0.99480060000000003</v>
      </c>
      <c r="Q7508">
        <v>-3.011109E-2</v>
      </c>
      <c r="R7508">
        <v>-9.7290310000000005E-2</v>
      </c>
      <c r="S7508">
        <v>3.008759</v>
      </c>
      <c r="T7508">
        <v>-0.35703380000000001</v>
      </c>
      <c r="U7508">
        <v>3.8864139999999998E-2</v>
      </c>
      <c r="V7508">
        <v>0.1232584</v>
      </c>
      <c r="W7508">
        <v>-7.9477079999999995E-3</v>
      </c>
      <c r="X7508">
        <v>0.99234279999999997</v>
      </c>
      <c r="Y7508">
        <v>1.294438E-2</v>
      </c>
      <c r="Z7508">
        <v>-3.8549080000000002E-3</v>
      </c>
      <c r="AA7508">
        <v>0.99990880000000004</v>
      </c>
      <c r="AB7508">
        <v>21</v>
      </c>
      <c r="AC7508">
        <v>0.46739999999999698</v>
      </c>
      <c r="AD7508">
        <v>-9.9240999999999899E-2</v>
      </c>
      <c r="AE7508">
        <v>2.0000000000663901E-4</v>
      </c>
      <c r="AF7508">
        <v>1.1495962891265201E-2</v>
      </c>
      <c r="AG7508">
        <v>-9.9240999999999899E-2</v>
      </c>
      <c r="AH7508">
        <v>0.447089830513139</v>
      </c>
      <c r="AI7508">
        <v>102.511088287596</v>
      </c>
      <c r="AJ7508">
        <v>88.527085593491904</v>
      </c>
      <c r="AK7508">
        <v>0.45811597853825697</v>
      </c>
      <c r="AL7508">
        <v>90.455374912054594</v>
      </c>
      <c r="AM7508">
        <v>82.919583661716899</v>
      </c>
      <c r="AN7508">
        <v>1.0000000159724201</v>
      </c>
    </row>
    <row r="7509" spans="1:40" x14ac:dyDescent="0.25">
      <c r="A7509" t="str">
        <f>"20190312161209218"</f>
        <v>20190312161209218</v>
      </c>
      <c r="B7509" t="str">
        <f>"1552378329205108"</f>
        <v>1552378329205108</v>
      </c>
      <c r="C7509" t="s">
        <v>40</v>
      </c>
      <c r="D7509">
        <v>5.8997699999999904</v>
      </c>
      <c r="E7509">
        <v>0.4631152</v>
      </c>
      <c r="F7509" t="s">
        <v>42</v>
      </c>
      <c r="G7509">
        <v>-140.87209999999999</v>
      </c>
      <c r="H7509">
        <v>1.038713</v>
      </c>
      <c r="I7509">
        <v>139.95570000000001</v>
      </c>
      <c r="J7509">
        <v>-141.47309999999999</v>
      </c>
      <c r="K7509">
        <v>1.1115330000000001</v>
      </c>
      <c r="L7509">
        <v>139.95679999999999</v>
      </c>
      <c r="M7509">
        <v>0.99939299999999998</v>
      </c>
      <c r="N7509">
        <v>0</v>
      </c>
      <c r="O7509">
        <v>2.6709170000000001E-2</v>
      </c>
      <c r="P7509">
        <v>0.99504049999999999</v>
      </c>
      <c r="Q7509">
        <v>-2.8984019999999999E-2</v>
      </c>
      <c r="R7509">
        <v>-9.5154290000000002E-2</v>
      </c>
      <c r="S7509">
        <v>3.010132</v>
      </c>
      <c r="T7509">
        <v>-0.2557683</v>
      </c>
      <c r="U7509">
        <v>2.2445679999999999E-2</v>
      </c>
      <c r="V7509">
        <v>0.121708</v>
      </c>
      <c r="W7509">
        <v>-6.7132379999999998E-3</v>
      </c>
      <c r="X7509">
        <v>0.99254319999999896</v>
      </c>
      <c r="Y7509">
        <v>1.9096229999999999E-2</v>
      </c>
      <c r="Z7509">
        <v>-3.0754749999999998E-3</v>
      </c>
      <c r="AA7509">
        <v>0.9998129</v>
      </c>
      <c r="AB7509">
        <v>21</v>
      </c>
      <c r="AC7509">
        <v>0.60099999999999898</v>
      </c>
      <c r="AD7509">
        <v>-7.2819999999999802E-2</v>
      </c>
      <c r="AE7509">
        <v>-1.09999999997967E-3</v>
      </c>
      <c r="AF7509">
        <v>1.69076170786461E-2</v>
      </c>
      <c r="AG7509">
        <v>-7.2819999999999802E-2</v>
      </c>
      <c r="AH7509">
        <v>0.59206409718844999</v>
      </c>
      <c r="AI7509">
        <v>97.008960936668402</v>
      </c>
      <c r="AJ7509">
        <v>88.364244856158393</v>
      </c>
      <c r="AK7509">
        <v>0.59676504178349099</v>
      </c>
      <c r="AL7509">
        <v>90.384643111018505</v>
      </c>
      <c r="AM7509">
        <v>83.009154987213293</v>
      </c>
      <c r="AN7509">
        <v>0.99999995434734101</v>
      </c>
    </row>
    <row r="7510" spans="1:40" x14ac:dyDescent="0.25">
      <c r="A7510" t="str">
        <f>"20190312161209253"</f>
        <v>20190312161209253</v>
      </c>
      <c r="B7510" t="str">
        <f>"1552378329245124"</f>
        <v>1552378329245124</v>
      </c>
      <c r="C7510" t="s">
        <v>40</v>
      </c>
      <c r="D7510">
        <v>6.0063149999999998</v>
      </c>
      <c r="E7510">
        <v>0.46386719999999998</v>
      </c>
      <c r="F7510" t="s">
        <v>41</v>
      </c>
      <c r="G7510">
        <v>-127.9239</v>
      </c>
      <c r="H7510" s="1">
        <v>-9.838441000000001E-7</v>
      </c>
      <c r="I7510">
        <v>140.03309999999999</v>
      </c>
      <c r="J7510">
        <v>-141.15870000000001</v>
      </c>
      <c r="K7510">
        <v>1.111559</v>
      </c>
      <c r="L7510">
        <v>139.96619999999999</v>
      </c>
      <c r="M7510">
        <v>0.99937140000000002</v>
      </c>
      <c r="N7510">
        <v>0</v>
      </c>
      <c r="O7510">
        <v>2.7423280000000001E-2</v>
      </c>
      <c r="P7510">
        <v>0.9951141</v>
      </c>
      <c r="Q7510">
        <v>-2.754643E-2</v>
      </c>
      <c r="R7510">
        <v>-9.4811060000000003E-2</v>
      </c>
      <c r="S7510">
        <v>3.009369</v>
      </c>
      <c r="T7510">
        <v>-0.24688019999999999</v>
      </c>
      <c r="U7510">
        <v>1.6937259999999999E-2</v>
      </c>
      <c r="V7510">
        <v>0.1220748</v>
      </c>
      <c r="W7510">
        <v>-5.1696509999999999E-3</v>
      </c>
      <c r="X7510">
        <v>0.99250749999999999</v>
      </c>
      <c r="Y7510">
        <v>2.163899E-2</v>
      </c>
      <c r="Z7510">
        <v>-3.1323570000000001E-3</v>
      </c>
      <c r="AA7510">
        <v>0.99976089999999995</v>
      </c>
      <c r="AB7510">
        <v>21</v>
      </c>
      <c r="AC7510">
        <v>13.2348</v>
      </c>
      <c r="AD7510">
        <v>-1.1115599838440999</v>
      </c>
      <c r="AE7510">
        <v>6.6900000000003901E-2</v>
      </c>
      <c r="AF7510">
        <v>0.29408403992143101</v>
      </c>
      <c r="AG7510">
        <v>-1.1115599838440999</v>
      </c>
      <c r="AH7510">
        <v>13.138976078196499</v>
      </c>
      <c r="AI7510">
        <v>94.834514424506196</v>
      </c>
      <c r="AJ7510">
        <v>88.717787348247199</v>
      </c>
      <c r="AK7510">
        <v>13.1891903998555</v>
      </c>
      <c r="AL7510">
        <v>90.296200485487105</v>
      </c>
      <c r="AM7510">
        <v>82.988045901397996</v>
      </c>
      <c r="AN7510">
        <v>1.0000000598213701</v>
      </c>
    </row>
    <row r="7511" spans="1:40" x14ac:dyDescent="0.25">
      <c r="A7511" t="str">
        <f>"20190312161209288"</f>
        <v>20190312161209288</v>
      </c>
      <c r="B7511" t="str">
        <f>"1552378329285140"</f>
        <v>1552378329285140</v>
      </c>
      <c r="C7511" t="s">
        <v>40</v>
      </c>
      <c r="D7511">
        <v>6.0560929999999997</v>
      </c>
      <c r="E7511">
        <v>0.46451799999999999</v>
      </c>
      <c r="F7511" t="s">
        <v>41</v>
      </c>
      <c r="G7511">
        <v>-126.401</v>
      </c>
      <c r="H7511" s="1">
        <v>-1.6343040000000001E-6</v>
      </c>
      <c r="I7511">
        <v>140.0223</v>
      </c>
      <c r="J7511">
        <v>-140.84530000000001</v>
      </c>
      <c r="K7511">
        <v>1.1115729999999999</v>
      </c>
      <c r="L7511">
        <v>139.97569999999999</v>
      </c>
      <c r="M7511">
        <v>0.99934909999999999</v>
      </c>
      <c r="N7511">
        <v>0</v>
      </c>
      <c r="O7511">
        <v>2.8132109999999998E-2</v>
      </c>
      <c r="P7511">
        <v>0.99512210000000001</v>
      </c>
      <c r="Q7511">
        <v>-2.6010109999999999E-2</v>
      </c>
      <c r="R7511">
        <v>-9.5161689999999993E-2</v>
      </c>
      <c r="S7511">
        <v>3.0095519999999998</v>
      </c>
      <c r="T7511">
        <v>-0.2266811</v>
      </c>
      <c r="U7511">
        <v>1.145935E-2</v>
      </c>
      <c r="V7511">
        <v>0.123128</v>
      </c>
      <c r="W7511">
        <v>-3.5293740000000001E-3</v>
      </c>
      <c r="X7511">
        <v>0.9923845</v>
      </c>
      <c r="Y7511">
        <v>2.4184770000000001E-2</v>
      </c>
      <c r="Z7511">
        <v>-3.0257370000000001E-3</v>
      </c>
      <c r="AA7511">
        <v>0.99970289999999995</v>
      </c>
      <c r="AB7511">
        <v>20</v>
      </c>
      <c r="AC7511">
        <v>14.444299999999901</v>
      </c>
      <c r="AD7511">
        <v>-1.1115746343039901</v>
      </c>
      <c r="AE7511">
        <v>4.6600000000012097E-2</v>
      </c>
      <c r="AF7511">
        <v>0.35775207700091399</v>
      </c>
      <c r="AG7511">
        <v>-1.1115746343039901</v>
      </c>
      <c r="AH7511">
        <v>14.3548797038133</v>
      </c>
      <c r="AI7511">
        <v>94.426511672071399</v>
      </c>
      <c r="AJ7511">
        <v>88.572371041209905</v>
      </c>
      <c r="AK7511">
        <v>14.4022969010911</v>
      </c>
      <c r="AL7511">
        <v>90.202218658724306</v>
      </c>
      <c r="AM7511">
        <v>82.927292606308995</v>
      </c>
      <c r="AN7511">
        <v>0.99999997835253995</v>
      </c>
    </row>
    <row r="7512" spans="1:40" x14ac:dyDescent="0.25">
      <c r="A7512" t="str">
        <f>"20190312161209318"</f>
        <v>20190312161209318</v>
      </c>
      <c r="B7512" t="str">
        <f>"1552378329304659"</f>
        <v>1552378329304659</v>
      </c>
      <c r="C7512" t="s">
        <v>40</v>
      </c>
      <c r="D7512">
        <v>5.9219119999999998</v>
      </c>
      <c r="E7512">
        <v>0.46466780000000002</v>
      </c>
      <c r="F7512" t="s">
        <v>41</v>
      </c>
      <c r="G7512">
        <v>-124.5236</v>
      </c>
      <c r="H7512" s="1">
        <v>-2.4331780000000001E-6</v>
      </c>
      <c r="I7512">
        <v>139.99770000000001</v>
      </c>
      <c r="J7512">
        <v>-140.57480000000001</v>
      </c>
      <c r="K7512">
        <v>1.1115900000000001</v>
      </c>
      <c r="L7512">
        <v>139.98410000000001</v>
      </c>
      <c r="M7512">
        <v>0.99932940000000003</v>
      </c>
      <c r="N7512">
        <v>0</v>
      </c>
      <c r="O7512">
        <v>2.8742360000000002E-2</v>
      </c>
      <c r="P7512">
        <v>0.99503459999999999</v>
      </c>
      <c r="Q7512">
        <v>-2.6233949999999999E-2</v>
      </c>
      <c r="R7512">
        <v>-9.6010189999999995E-2</v>
      </c>
      <c r="S7512">
        <v>3.009735</v>
      </c>
      <c r="T7512">
        <v>-0.2049744</v>
      </c>
      <c r="U7512">
        <v>4.0740969999999996E-3</v>
      </c>
      <c r="V7512">
        <v>0.12457940000000001</v>
      </c>
      <c r="W7512">
        <v>-3.662645E-3</v>
      </c>
      <c r="X7512">
        <v>0.9922029</v>
      </c>
      <c r="Y7512">
        <v>2.7266909999999998E-2</v>
      </c>
      <c r="Z7512">
        <v>-2.8829060000000002E-3</v>
      </c>
      <c r="AA7512">
        <v>0.99962399999999996</v>
      </c>
      <c r="AB7512">
        <v>20</v>
      </c>
      <c r="AC7512">
        <v>16.051200000000001</v>
      </c>
      <c r="AD7512">
        <v>-1.1115924331779901</v>
      </c>
      <c r="AE7512">
        <v>1.35999999999967E-2</v>
      </c>
      <c r="AF7512">
        <v>0.44573601428372001</v>
      </c>
      <c r="AG7512">
        <v>-1.1115924331779901</v>
      </c>
      <c r="AH7512">
        <v>15.968372351074001</v>
      </c>
      <c r="AI7512">
        <v>93.9805120034341</v>
      </c>
      <c r="AJ7512">
        <v>88.401079215611503</v>
      </c>
      <c r="AK7512">
        <v>16.013220596571799</v>
      </c>
      <c r="AL7512">
        <v>90.209854565710501</v>
      </c>
      <c r="AM7512">
        <v>82.843484559528406</v>
      </c>
      <c r="AN7512">
        <v>1.0000000183205799</v>
      </c>
    </row>
    <row r="7513" spans="1:40" x14ac:dyDescent="0.25">
      <c r="A7513" t="str">
        <f>"20190312161209354"</f>
        <v>20190312161209354</v>
      </c>
      <c r="B7513" t="str">
        <f>"1552378329344675"</f>
        <v>1552378329344675</v>
      </c>
      <c r="C7513" t="s">
        <v>40</v>
      </c>
      <c r="D7513">
        <v>5.9539249999999999</v>
      </c>
      <c r="E7513">
        <v>0.46545760000000003</v>
      </c>
      <c r="F7513" t="s">
        <v>41</v>
      </c>
      <c r="G7513">
        <v>-123.90049999999999</v>
      </c>
      <c r="H7513" s="1">
        <v>-2.6968650000000001E-6</v>
      </c>
      <c r="I7513">
        <v>139.98419999999999</v>
      </c>
      <c r="J7513">
        <v>-140.26740000000001</v>
      </c>
      <c r="K7513">
        <v>1.11161</v>
      </c>
      <c r="L7513">
        <v>139.99379999999999</v>
      </c>
      <c r="M7513">
        <v>0.99930649999999999</v>
      </c>
      <c r="N7513">
        <v>0</v>
      </c>
      <c r="O7513">
        <v>2.943463E-2</v>
      </c>
      <c r="P7513">
        <v>0.99499539999999997</v>
      </c>
      <c r="Q7513">
        <v>-2.6370640000000001E-2</v>
      </c>
      <c r="R7513">
        <v>-9.6381330000000001E-2</v>
      </c>
      <c r="S7513">
        <v>3.009674</v>
      </c>
      <c r="T7513">
        <v>-0.20064000000000001</v>
      </c>
      <c r="U7513" s="1">
        <v>3.0517579999999999E-5</v>
      </c>
      <c r="V7513">
        <v>0.12563640000000001</v>
      </c>
      <c r="W7513">
        <v>-3.6703059999999999E-3</v>
      </c>
      <c r="X7513">
        <v>0.9920696</v>
      </c>
      <c r="Y7513">
        <v>2.9301779999999999E-2</v>
      </c>
      <c r="Z7513">
        <v>-2.9360010000000001E-3</v>
      </c>
      <c r="AA7513">
        <v>0.99956630000000002</v>
      </c>
      <c r="AB7513">
        <v>20</v>
      </c>
      <c r="AC7513">
        <v>16.366900000000001</v>
      </c>
      <c r="AD7513">
        <v>-1.111612696865</v>
      </c>
      <c r="AE7513">
        <v>-9.6000000000060395E-3</v>
      </c>
      <c r="AF7513">
        <v>0.48921810417540401</v>
      </c>
      <c r="AG7513">
        <v>-1.111612696865</v>
      </c>
      <c r="AH7513">
        <v>16.2844036891081</v>
      </c>
      <c r="AI7513">
        <v>93.9033345242444</v>
      </c>
      <c r="AJ7513">
        <v>88.279230541264496</v>
      </c>
      <c r="AK7513">
        <v>16.3296301443457</v>
      </c>
      <c r="AL7513">
        <v>90.210293508386002</v>
      </c>
      <c r="AM7513">
        <v>82.782442818196401</v>
      </c>
      <c r="AN7513">
        <v>1.00000003369762</v>
      </c>
    </row>
    <row r="7514" spans="1:40" x14ac:dyDescent="0.25">
      <c r="A7514" t="str">
        <f>"20190312161209394"</f>
        <v>20190312161209394</v>
      </c>
      <c r="B7514" t="str">
        <f>"1552378329385199"</f>
        <v>1552378329385199</v>
      </c>
      <c r="C7514" t="s">
        <v>40</v>
      </c>
      <c r="D7514">
        <v>5.976756</v>
      </c>
      <c r="E7514">
        <v>0.46581070000000002</v>
      </c>
      <c r="F7514" t="s">
        <v>41</v>
      </c>
      <c r="G7514">
        <v>-124.4144</v>
      </c>
      <c r="H7514" s="1">
        <v>-2.469968E-6</v>
      </c>
      <c r="I7514">
        <v>139.96</v>
      </c>
      <c r="J7514">
        <v>-139.9254</v>
      </c>
      <c r="K7514">
        <v>1.1116349999999999</v>
      </c>
      <c r="L7514">
        <v>140.00489999999999</v>
      </c>
      <c r="M7514">
        <v>0.99927920000000003</v>
      </c>
      <c r="N7514">
        <v>0</v>
      </c>
      <c r="O7514">
        <v>3.0202929999999999E-2</v>
      </c>
      <c r="P7514">
        <v>0.99503430000000004</v>
      </c>
      <c r="Q7514">
        <v>-2.5746439999999999E-2</v>
      </c>
      <c r="R7514">
        <v>-9.6143480000000003E-2</v>
      </c>
      <c r="S7514">
        <v>3.0088810000000001</v>
      </c>
      <c r="T7514">
        <v>-0.21098159999999999</v>
      </c>
      <c r="U7514">
        <v>-6.4239500000000003E-3</v>
      </c>
      <c r="V7514">
        <v>0.1261621</v>
      </c>
      <c r="W7514">
        <v>-2.8711489999999999E-3</v>
      </c>
      <c r="X7514">
        <v>0.99200549999999998</v>
      </c>
      <c r="Y7514">
        <v>3.2191659999999997E-2</v>
      </c>
      <c r="Z7514">
        <v>-3.2428019999999999E-3</v>
      </c>
      <c r="AA7514">
        <v>0.99947640000000004</v>
      </c>
      <c r="AB7514">
        <v>19</v>
      </c>
      <c r="AC7514">
        <v>15.5109999999999</v>
      </c>
      <c r="AD7514">
        <v>-1.1116374699679901</v>
      </c>
      <c r="AE7514">
        <v>-4.4899999999984098E-2</v>
      </c>
      <c r="AF7514">
        <v>0.51085720995065598</v>
      </c>
      <c r="AG7514">
        <v>-1.1116374699679901</v>
      </c>
      <c r="AH7514">
        <v>15.4233458648925</v>
      </c>
      <c r="AI7514">
        <v>94.120212313229899</v>
      </c>
      <c r="AJ7514">
        <v>88.102923617033497</v>
      </c>
      <c r="AK7514">
        <v>15.471790802027099</v>
      </c>
      <c r="AL7514">
        <v>90.164504943519603</v>
      </c>
      <c r="AM7514">
        <v>82.752099544571394</v>
      </c>
      <c r="AN7514">
        <v>1.00000001550161</v>
      </c>
    </row>
    <row r="7515" spans="1:40" x14ac:dyDescent="0.25">
      <c r="A7515" t="str">
        <f>"20190312161209423"</f>
        <v>20190312161209423</v>
      </c>
      <c r="B7515" t="str">
        <f>"1552378329414478"</f>
        <v>1552378329414478</v>
      </c>
      <c r="C7515" t="s">
        <v>40</v>
      </c>
      <c r="D7515">
        <v>6.0168569999999999</v>
      </c>
      <c r="E7515">
        <v>0.46594999999999998</v>
      </c>
      <c r="F7515" t="s">
        <v>41</v>
      </c>
      <c r="G7515">
        <v>-123.4573</v>
      </c>
      <c r="H7515" s="1">
        <v>-2.8795199999999998E-6</v>
      </c>
      <c r="I7515">
        <v>139.95609999999999</v>
      </c>
      <c r="J7515">
        <v>-139.68260000000001</v>
      </c>
      <c r="K7515">
        <v>1.1116509999999999</v>
      </c>
      <c r="L7515">
        <v>140.01300000000001</v>
      </c>
      <c r="M7515">
        <v>0.99925980000000003</v>
      </c>
      <c r="N7515">
        <v>0</v>
      </c>
      <c r="O7515">
        <v>3.0744580000000001E-2</v>
      </c>
      <c r="P7515">
        <v>0.99510480000000001</v>
      </c>
      <c r="Q7515">
        <v>-2.4831590000000001E-2</v>
      </c>
      <c r="R7515">
        <v>-9.5654500000000003E-2</v>
      </c>
      <c r="S7515">
        <v>3.0088499999999998</v>
      </c>
      <c r="T7515">
        <v>-0.20310510000000001</v>
      </c>
      <c r="U7515">
        <v>-8.9111329999999999E-3</v>
      </c>
      <c r="V7515">
        <v>0.12621260000000001</v>
      </c>
      <c r="W7515">
        <v>-1.8291399999999999E-3</v>
      </c>
      <c r="X7515">
        <v>0.99200149999999998</v>
      </c>
      <c r="Y7515">
        <v>3.3566529999999997E-2</v>
      </c>
      <c r="Z7515">
        <v>-3.2049299999999999E-3</v>
      </c>
      <c r="AA7515">
        <v>0.99943139999999997</v>
      </c>
      <c r="AB7515">
        <v>19</v>
      </c>
      <c r="AC7515">
        <v>16.225300000000001</v>
      </c>
      <c r="AD7515">
        <v>-1.1116538795199999</v>
      </c>
      <c r="AE7515">
        <v>-5.6900000000013003E-2</v>
      </c>
      <c r="AF7515">
        <v>0.55324953561380597</v>
      </c>
      <c r="AG7515">
        <v>-1.1116538795199999</v>
      </c>
      <c r="AH7515">
        <v>16.1401133224016</v>
      </c>
      <c r="AI7515">
        <v>93.937731711502195</v>
      </c>
      <c r="AJ7515">
        <v>88.036788442126195</v>
      </c>
      <c r="AK7515">
        <v>16.1878076791292</v>
      </c>
      <c r="AL7515">
        <v>90.104802063610094</v>
      </c>
      <c r="AM7515">
        <v>82.749200308223394</v>
      </c>
      <c r="AN7515">
        <v>0.99999997107707395</v>
      </c>
    </row>
    <row r="7516" spans="1:40" x14ac:dyDescent="0.25">
      <c r="A7516" t="str">
        <f>"20190312161209453"</f>
        <v>20190312161209453</v>
      </c>
      <c r="B7516" t="str">
        <f>"1552378329444734"</f>
        <v>1552378329444734</v>
      </c>
      <c r="C7516" t="s">
        <v>40</v>
      </c>
      <c r="D7516">
        <v>6.025404</v>
      </c>
      <c r="E7516">
        <v>0.46649160000000001</v>
      </c>
      <c r="F7516" t="s">
        <v>41</v>
      </c>
      <c r="G7516">
        <v>-122.5889</v>
      </c>
      <c r="H7516" s="1">
        <v>-3.253851E-6</v>
      </c>
      <c r="I7516">
        <v>139.96279999999999</v>
      </c>
      <c r="J7516">
        <v>-139.4375</v>
      </c>
      <c r="K7516">
        <v>1.111661</v>
      </c>
      <c r="L7516">
        <v>140.02119999999999</v>
      </c>
      <c r="M7516">
        <v>0.99924029999999997</v>
      </c>
      <c r="N7516">
        <v>0</v>
      </c>
      <c r="O7516">
        <v>3.1277989999999999E-2</v>
      </c>
      <c r="P7516">
        <v>0.99507480000000004</v>
      </c>
      <c r="Q7516">
        <v>-2.5590990000000001E-2</v>
      </c>
      <c r="R7516">
        <v>-9.5766199999999996E-2</v>
      </c>
      <c r="S7516">
        <v>3.0090180000000002</v>
      </c>
      <c r="T7516">
        <v>-0.1956851</v>
      </c>
      <c r="U7516">
        <v>-8.8195800000000005E-3</v>
      </c>
      <c r="V7516">
        <v>0.12685289999999999</v>
      </c>
      <c r="W7516">
        <v>-2.4713600000000001E-3</v>
      </c>
      <c r="X7516">
        <v>0.99191839999999998</v>
      </c>
      <c r="Y7516">
        <v>3.407785E-2</v>
      </c>
      <c r="Z7516">
        <v>-3.13919E-3</v>
      </c>
      <c r="AA7516">
        <v>0.99941429999999998</v>
      </c>
      <c r="AB7516">
        <v>19</v>
      </c>
      <c r="AC7516">
        <v>16.848600000000001</v>
      </c>
      <c r="AD7516">
        <v>-1.111664253851</v>
      </c>
      <c r="AE7516">
        <v>-5.8400000000005899E-2</v>
      </c>
      <c r="AF7516">
        <v>0.58296642935117304</v>
      </c>
      <c r="AG7516">
        <v>-1.111664253851</v>
      </c>
      <c r="AH7516">
        <v>16.765540071846001</v>
      </c>
      <c r="AI7516">
        <v>93.791244962993801</v>
      </c>
      <c r="AJ7516">
        <v>88.008530354145506</v>
      </c>
      <c r="AK7516">
        <v>16.812465053397499</v>
      </c>
      <c r="AL7516">
        <v>90.141598650425294</v>
      </c>
      <c r="AM7516">
        <v>82.712206143280795</v>
      </c>
      <c r="AN7516">
        <v>0.99999993905860696</v>
      </c>
    </row>
    <row r="7517" spans="1:40" x14ac:dyDescent="0.25">
      <c r="A7517" t="str">
        <f>"20190312161209487"</f>
        <v>20190312161209487</v>
      </c>
      <c r="B7517" t="str">
        <f>"1552378329474991"</f>
        <v>1552378329474991</v>
      </c>
      <c r="C7517" t="s">
        <v>40</v>
      </c>
      <c r="D7517">
        <v>5.943905</v>
      </c>
      <c r="E7517">
        <v>0.46697159999999899</v>
      </c>
      <c r="F7517" t="s">
        <v>41</v>
      </c>
      <c r="G7517">
        <v>-123.0625</v>
      </c>
      <c r="H7517" s="1">
        <v>-3.0472569999999999E-6</v>
      </c>
      <c r="I7517">
        <v>139.94999999999999</v>
      </c>
      <c r="J7517">
        <v>-139.15719999999999</v>
      </c>
      <c r="K7517">
        <v>1.1116779999999999</v>
      </c>
      <c r="L7517">
        <v>140.0307</v>
      </c>
      <c r="M7517">
        <v>0.99921720000000003</v>
      </c>
      <c r="N7517">
        <v>0</v>
      </c>
      <c r="O7517">
        <v>3.185814E-2</v>
      </c>
      <c r="P7517">
        <v>0.99507760000000001</v>
      </c>
      <c r="Q7517">
        <v>-2.5567980000000001E-2</v>
      </c>
      <c r="R7517">
        <v>-9.5744319999999994E-2</v>
      </c>
      <c r="S7517">
        <v>3.0083310000000001</v>
      </c>
      <c r="T7517">
        <v>-0.20422969999999999</v>
      </c>
      <c r="U7517">
        <v>-1.307678E-2</v>
      </c>
      <c r="V7517">
        <v>0.12740660000000001</v>
      </c>
      <c r="W7517">
        <v>-2.2550030000000002E-3</v>
      </c>
      <c r="X7517">
        <v>0.99184799999999995</v>
      </c>
      <c r="Y7517">
        <v>3.6054889999999999E-2</v>
      </c>
      <c r="Z7517">
        <v>-3.3830829999999998E-3</v>
      </c>
      <c r="AA7517">
        <v>0.99934409999999896</v>
      </c>
      <c r="AB7517">
        <v>18</v>
      </c>
      <c r="AC7517">
        <v>16.0946999999999</v>
      </c>
      <c r="AD7517">
        <v>-1.111681047257</v>
      </c>
      <c r="AE7517">
        <v>-8.0700000000007294E-2</v>
      </c>
      <c r="AF7517">
        <v>0.59072909384515604</v>
      </c>
      <c r="AG7517">
        <v>-1.111681047257</v>
      </c>
      <c r="AH7517">
        <v>16.0075865085876</v>
      </c>
      <c r="AI7517">
        <v>93.969955804498895</v>
      </c>
      <c r="AJ7517">
        <v>87.8865688423884</v>
      </c>
      <c r="AK7517">
        <v>16.0570115975253</v>
      </c>
      <c r="AL7517">
        <v>90.129202265360703</v>
      </c>
      <c r="AM7517">
        <v>82.680225996652297</v>
      </c>
      <c r="AN7517">
        <v>0.99999999093304404</v>
      </c>
    </row>
    <row r="7518" spans="1:40" x14ac:dyDescent="0.25">
      <c r="A7518" t="str">
        <f>"20190312161209519"</f>
        <v>20190312161209519</v>
      </c>
      <c r="B7518" t="str">
        <f>"1552378329515006"</f>
        <v>1552378329515006</v>
      </c>
      <c r="C7518" t="s">
        <v>40</v>
      </c>
      <c r="D7518">
        <v>6.0983460000000003</v>
      </c>
      <c r="E7518">
        <v>0.46757870000000001</v>
      </c>
      <c r="F7518" t="s">
        <v>41</v>
      </c>
      <c r="G7518">
        <v>-123.4644</v>
      </c>
      <c r="H7518" s="1">
        <v>-2.8737149999999999E-6</v>
      </c>
      <c r="I7518">
        <v>139.94569999999999</v>
      </c>
      <c r="J7518">
        <v>-138.90020000000001</v>
      </c>
      <c r="K7518">
        <v>1.1116999999999999</v>
      </c>
      <c r="L7518">
        <v>140.03960000000001</v>
      </c>
      <c r="M7518">
        <v>0.99919550000000001</v>
      </c>
      <c r="N7518">
        <v>0</v>
      </c>
      <c r="O7518">
        <v>3.2345869999999999E-2</v>
      </c>
      <c r="P7518">
        <v>0.99499959999999998</v>
      </c>
      <c r="Q7518">
        <v>-2.5984139999999999E-2</v>
      </c>
      <c r="R7518">
        <v>-9.6438739999999995E-2</v>
      </c>
      <c r="S7518">
        <v>3.0077970000000001</v>
      </c>
      <c r="T7518">
        <v>-0.21307229999999999</v>
      </c>
      <c r="U7518">
        <v>-1.6281130000000001E-2</v>
      </c>
      <c r="V7518">
        <v>0.12858230000000001</v>
      </c>
      <c r="W7518">
        <v>-2.4335020000000001E-3</v>
      </c>
      <c r="X7518">
        <v>0.99169589999999996</v>
      </c>
      <c r="Y7518">
        <v>3.7589280000000003E-2</v>
      </c>
      <c r="Z7518">
        <v>-3.6186259999999998E-3</v>
      </c>
      <c r="AA7518">
        <v>0.99928669999999997</v>
      </c>
      <c r="AB7518">
        <v>18</v>
      </c>
      <c r="AC7518">
        <v>15.4358</v>
      </c>
      <c r="AD7518">
        <v>-1.1117028737150001</v>
      </c>
      <c r="AE7518">
        <v>-9.3900000000019204E-2</v>
      </c>
      <c r="AF7518">
        <v>0.59021425175167797</v>
      </c>
      <c r="AG7518">
        <v>-1.1117028737150001</v>
      </c>
      <c r="AH7518">
        <v>15.345087757490001</v>
      </c>
      <c r="AI7518">
        <v>94.140607011428699</v>
      </c>
      <c r="AJ7518">
        <v>87.797332608218497</v>
      </c>
      <c r="AK7518">
        <v>15.3966215264085</v>
      </c>
      <c r="AL7518">
        <v>90.1394295255255</v>
      </c>
      <c r="AM7518">
        <v>82.612301792847504</v>
      </c>
      <c r="AN7518">
        <v>1.0000000439410399</v>
      </c>
    </row>
    <row r="7519" spans="1:40" x14ac:dyDescent="0.25">
      <c r="A7519" t="str">
        <f>"20190312161209562"</f>
        <v>20190312161209562</v>
      </c>
      <c r="B7519" t="str">
        <f>"1552378329555022"</f>
        <v>1552378329555022</v>
      </c>
      <c r="C7519" t="s">
        <v>40</v>
      </c>
      <c r="D7519">
        <v>5.9366459999999996</v>
      </c>
      <c r="E7519">
        <v>0.46783039999999998</v>
      </c>
      <c r="F7519" t="s">
        <v>41</v>
      </c>
      <c r="G7519">
        <v>-124.1246</v>
      </c>
      <c r="H7519" s="1">
        <v>-2.5857340000000002E-6</v>
      </c>
      <c r="I7519">
        <v>139.92789999999999</v>
      </c>
      <c r="J7519">
        <v>-138.5702</v>
      </c>
      <c r="K7519">
        <v>1.1117269999999999</v>
      </c>
      <c r="L7519">
        <v>140.05099999999999</v>
      </c>
      <c r="M7519">
        <v>0.99916930000000004</v>
      </c>
      <c r="N7519">
        <v>0</v>
      </c>
      <c r="O7519">
        <v>3.2884539999999997E-2</v>
      </c>
      <c r="P7519">
        <v>0.99494199999999999</v>
      </c>
      <c r="Q7519">
        <v>-2.74147E-2</v>
      </c>
      <c r="R7519">
        <v>-9.6639030000000001E-2</v>
      </c>
      <c r="S7519">
        <v>3.006958</v>
      </c>
      <c r="T7519">
        <v>-0.22624140000000001</v>
      </c>
      <c r="U7519">
        <v>-2.2720339999999999E-2</v>
      </c>
      <c r="V7519">
        <v>0.12931529999999999</v>
      </c>
      <c r="W7519">
        <v>-3.515429E-3</v>
      </c>
      <c r="X7519">
        <v>0.99159730000000001</v>
      </c>
      <c r="Y7519">
        <v>4.0238059999999999E-2</v>
      </c>
      <c r="Z7519">
        <v>-3.9827229999999996E-3</v>
      </c>
      <c r="AA7519">
        <v>0.99918220000000002</v>
      </c>
      <c r="AB7519">
        <v>18</v>
      </c>
      <c r="AC7519">
        <v>14.445600000000001</v>
      </c>
      <c r="AD7519">
        <v>-1.1117295857339999</v>
      </c>
      <c r="AE7519">
        <v>-0.123100000000022</v>
      </c>
      <c r="AF7519">
        <v>0.59468600174924402</v>
      </c>
      <c r="AG7519">
        <v>-1.1117295857339999</v>
      </c>
      <c r="AH7519">
        <v>14.348754761086401</v>
      </c>
      <c r="AI7519">
        <v>94.426593252284803</v>
      </c>
      <c r="AJ7519">
        <v>87.626727222289801</v>
      </c>
      <c r="AK7519">
        <v>14.4040396176306</v>
      </c>
      <c r="AL7519">
        <v>90.201419658695102</v>
      </c>
      <c r="AM7519">
        <v>82.569925943150196</v>
      </c>
      <c r="AN7519">
        <v>1.0000000052112099</v>
      </c>
    </row>
    <row r="7520" spans="1:40" x14ac:dyDescent="0.25">
      <c r="A7520" t="str">
        <f>"20190312161209592"</f>
        <v>20190312161209592</v>
      </c>
      <c r="B7520" t="str">
        <f>"1552378329585278"</f>
        <v>1552378329585278</v>
      </c>
      <c r="C7520" t="s">
        <v>40</v>
      </c>
      <c r="D7520">
        <v>5.9256919999999997</v>
      </c>
      <c r="E7520">
        <v>0.46814450000000002</v>
      </c>
      <c r="F7520" t="s">
        <v>41</v>
      </c>
      <c r="G7520">
        <v>-124.0035</v>
      </c>
      <c r="H7520" s="1">
        <v>-2.6379779999999998E-6</v>
      </c>
      <c r="I7520">
        <v>139.9288</v>
      </c>
      <c r="J7520">
        <v>-138.3485</v>
      </c>
      <c r="K7520">
        <v>1.1117349999999999</v>
      </c>
      <c r="L7520">
        <v>140.05869999999999</v>
      </c>
      <c r="M7520">
        <v>0.9991527</v>
      </c>
      <c r="N7520">
        <v>0</v>
      </c>
      <c r="O7520">
        <v>3.3181479999999999E-2</v>
      </c>
      <c r="P7520">
        <v>0.99485579999999996</v>
      </c>
      <c r="Q7520">
        <v>-2.8480809999999999E-2</v>
      </c>
      <c r="R7520">
        <v>-9.721602E-2</v>
      </c>
      <c r="S7520">
        <v>3.0064700000000002</v>
      </c>
      <c r="T7520">
        <v>-0.22945189999999999</v>
      </c>
      <c r="U7520">
        <v>-2.5207520000000001E-2</v>
      </c>
      <c r="V7520">
        <v>0.13018370000000001</v>
      </c>
      <c r="W7520">
        <v>-4.3157100000000004E-3</v>
      </c>
      <c r="X7520">
        <v>0.99148049999999999</v>
      </c>
      <c r="Y7520">
        <v>4.135291E-2</v>
      </c>
      <c r="Z7520">
        <v>-4.1048530000000003E-3</v>
      </c>
      <c r="AA7520">
        <v>0.99913609999999997</v>
      </c>
      <c r="AB7520">
        <v>17</v>
      </c>
      <c r="AC7520">
        <v>14.345000000000001</v>
      </c>
      <c r="AD7520">
        <v>-1.111737637978</v>
      </c>
      <c r="AE7520">
        <v>-0.12989999999999199</v>
      </c>
      <c r="AF7520">
        <v>0.60234040920021004</v>
      </c>
      <c r="AG7520">
        <v>-1.111737637978</v>
      </c>
      <c r="AH7520">
        <v>14.247219221417</v>
      </c>
      <c r="AI7520">
        <v>94.457891171596998</v>
      </c>
      <c r="AJ7520">
        <v>87.579104899046598</v>
      </c>
      <c r="AK7520">
        <v>14.303217473259901</v>
      </c>
      <c r="AL7520">
        <v>90.247272735828503</v>
      </c>
      <c r="AM7520">
        <v>82.519722189225405</v>
      </c>
      <c r="AN7520">
        <v>1.00000000148937</v>
      </c>
    </row>
    <row r="7521" spans="1:40" x14ac:dyDescent="0.25">
      <c r="A7521" t="str">
        <f>"20190312161209625"</f>
        <v>20190312161209625</v>
      </c>
      <c r="B7521" t="str">
        <f>"1552378329614558"</f>
        <v>1552378329614558</v>
      </c>
      <c r="C7521" t="s">
        <v>40</v>
      </c>
      <c r="D7521">
        <v>5.9728159999999999</v>
      </c>
      <c r="E7521">
        <v>0.46831820000000002</v>
      </c>
      <c r="F7521" t="s">
        <v>41</v>
      </c>
      <c r="G7521">
        <v>-124.19759999999999</v>
      </c>
      <c r="H7521" s="1">
        <v>-2.5528419999999998E-6</v>
      </c>
      <c r="I7521">
        <v>139.92189999999999</v>
      </c>
      <c r="J7521">
        <v>-138.11080000000001</v>
      </c>
      <c r="K7521">
        <v>1.1117539999999999</v>
      </c>
      <c r="L7521">
        <v>140.06700000000001</v>
      </c>
      <c r="M7521">
        <v>0.99913649999999998</v>
      </c>
      <c r="N7521">
        <v>0</v>
      </c>
      <c r="O7521">
        <v>3.3452849999999999E-2</v>
      </c>
      <c r="P7521">
        <v>0.9947433</v>
      </c>
      <c r="Q7521">
        <v>-2.8775129999999999E-2</v>
      </c>
      <c r="R7521">
        <v>-9.8276100000000005E-2</v>
      </c>
      <c r="S7521">
        <v>3.0059049999999998</v>
      </c>
      <c r="T7521">
        <v>-0.23615340000000001</v>
      </c>
      <c r="U7521">
        <v>-2.9052729999999999E-2</v>
      </c>
      <c r="V7521">
        <v>0.13150829999999999</v>
      </c>
      <c r="W7521">
        <v>-4.3320930000000004E-3</v>
      </c>
      <c r="X7521">
        <v>0.99130560000000001</v>
      </c>
      <c r="Y7521">
        <v>4.288558E-2</v>
      </c>
      <c r="Z7521">
        <v>-4.3065739999999996E-3</v>
      </c>
      <c r="AA7521">
        <v>0.99907069999999998</v>
      </c>
      <c r="AB7521">
        <v>17</v>
      </c>
      <c r="AC7521">
        <v>13.9132</v>
      </c>
      <c r="AD7521">
        <v>-1.1117565528419999</v>
      </c>
      <c r="AE7521">
        <v>-0.145100000000013</v>
      </c>
      <c r="AF7521">
        <v>0.60672274905939305</v>
      </c>
      <c r="AG7521">
        <v>-1.1117565528419999</v>
      </c>
      <c r="AH7521">
        <v>13.8123692343119</v>
      </c>
      <c r="AI7521">
        <v>94.597398086699002</v>
      </c>
      <c r="AJ7521">
        <v>87.484839858737899</v>
      </c>
      <c r="AK7521">
        <v>13.870315749541501</v>
      </c>
      <c r="AL7521">
        <v>90.248211422647103</v>
      </c>
      <c r="AM7521">
        <v>82.443168749319995</v>
      </c>
      <c r="AN7521">
        <v>0.99999999629500502</v>
      </c>
    </row>
    <row r="7522" spans="1:40" x14ac:dyDescent="0.25">
      <c r="A7522" t="str">
        <f>"20190312161209656"</f>
        <v>20190312161209656</v>
      </c>
      <c r="B7522" t="str">
        <f>"1552378329644814"</f>
        <v>1552378329644814</v>
      </c>
      <c r="C7522" t="s">
        <v>40</v>
      </c>
      <c r="D7522">
        <v>5.9055289999999996</v>
      </c>
      <c r="E7522">
        <v>0.4686073</v>
      </c>
      <c r="F7522" t="s">
        <v>42</v>
      </c>
      <c r="G7522">
        <v>-137.23050000000001</v>
      </c>
      <c r="H7522">
        <v>1.042497</v>
      </c>
      <c r="I7522">
        <v>140.05699999999999</v>
      </c>
      <c r="J7522">
        <v>-137.87870000000001</v>
      </c>
      <c r="K7522">
        <v>1.111774</v>
      </c>
      <c r="L7522">
        <v>140.07499999999999</v>
      </c>
      <c r="M7522">
        <v>0.99912259999999997</v>
      </c>
      <c r="N7522">
        <v>0</v>
      </c>
      <c r="O7522">
        <v>3.3670619999999998E-2</v>
      </c>
      <c r="P7522">
        <v>0.9947298</v>
      </c>
      <c r="Q7522">
        <v>-2.767462E-2</v>
      </c>
      <c r="R7522">
        <v>-9.8726610000000006E-2</v>
      </c>
      <c r="S7522">
        <v>3.005722</v>
      </c>
      <c r="T7522">
        <v>-0.23655770000000001</v>
      </c>
      <c r="U7522">
        <v>-3.3508299999999998E-2</v>
      </c>
      <c r="V7522">
        <v>0.1321744</v>
      </c>
      <c r="W7522">
        <v>-2.974137E-3</v>
      </c>
      <c r="X7522">
        <v>0.99122200000000005</v>
      </c>
      <c r="Y7522">
        <v>4.457817E-2</v>
      </c>
      <c r="Z7522">
        <v>-4.3978000000000003E-3</v>
      </c>
      <c r="AA7522">
        <v>0.9989962</v>
      </c>
      <c r="AB7522">
        <v>16</v>
      </c>
      <c r="AC7522">
        <v>0.648200000000002</v>
      </c>
      <c r="AD7522">
        <v>-6.9277000000000005E-2</v>
      </c>
      <c r="AE7522">
        <v>-1.7999999999972201E-2</v>
      </c>
      <c r="AF7522">
        <v>3.9372471329914803E-2</v>
      </c>
      <c r="AG7522">
        <v>-6.9277000000000005E-2</v>
      </c>
      <c r="AH7522">
        <v>0.63992211273072896</v>
      </c>
      <c r="AI7522">
        <v>96.167119640551306</v>
      </c>
      <c r="AJ7522">
        <v>86.479202315568699</v>
      </c>
      <c r="AK7522">
        <v>0.64486417530312901</v>
      </c>
      <c r="AL7522">
        <v>90.170405751503495</v>
      </c>
      <c r="AM7522">
        <v>82.404705400109293</v>
      </c>
      <c r="AN7522">
        <v>0.99999998539512702</v>
      </c>
    </row>
    <row r="7523" spans="1:40" x14ac:dyDescent="0.25">
      <c r="A7523" t="str">
        <f>"20190312161209689"</f>
        <v>20190312161209689</v>
      </c>
      <c r="B7523" t="str">
        <f>"1552378329684830"</f>
        <v>1552378329684830</v>
      </c>
      <c r="C7523" t="s">
        <v>40</v>
      </c>
      <c r="D7523">
        <v>5.9417200000000001</v>
      </c>
      <c r="E7523">
        <v>0.46909659999999898</v>
      </c>
      <c r="F7523" t="s">
        <v>41</v>
      </c>
      <c r="G7523">
        <v>-123.8245</v>
      </c>
      <c r="H7523" s="1">
        <v>-2.7080420000000001E-6</v>
      </c>
      <c r="I7523">
        <v>139.90360000000001</v>
      </c>
      <c r="J7523">
        <v>-137.65039999999999</v>
      </c>
      <c r="K7523">
        <v>1.1117950000000001</v>
      </c>
      <c r="L7523">
        <v>140.083</v>
      </c>
      <c r="M7523">
        <v>0.99910940000000004</v>
      </c>
      <c r="N7523">
        <v>0</v>
      </c>
      <c r="O7523">
        <v>3.3864390000000001E-2</v>
      </c>
      <c r="P7523">
        <v>0.99479859999999998</v>
      </c>
      <c r="Q7523">
        <v>-2.706981E-2</v>
      </c>
      <c r="R7523">
        <v>-9.8197880000000001E-2</v>
      </c>
      <c r="S7523">
        <v>3.00563</v>
      </c>
      <c r="T7523">
        <v>-0.23776439999999999</v>
      </c>
      <c r="U7523">
        <v>-3.6651610000000001E-2</v>
      </c>
      <c r="V7523">
        <v>0.1318406</v>
      </c>
      <c r="W7523">
        <v>-2.1146200000000002E-3</v>
      </c>
      <c r="X7523">
        <v>0.9912687</v>
      </c>
      <c r="Y7523">
        <v>4.5810120000000003E-2</v>
      </c>
      <c r="Z7523">
        <v>-4.484254E-3</v>
      </c>
      <c r="AA7523">
        <v>0.9989401</v>
      </c>
      <c r="AB7523">
        <v>16</v>
      </c>
      <c r="AC7523">
        <v>13.825899999999899</v>
      </c>
      <c r="AD7523">
        <v>-1.1117977080419901</v>
      </c>
      <c r="AE7523">
        <v>-0.17939999999998599</v>
      </c>
      <c r="AF7523">
        <v>0.64349071904633603</v>
      </c>
      <c r="AG7523">
        <v>-1.1117977080419901</v>
      </c>
      <c r="AH7523">
        <v>13.7231627869311</v>
      </c>
      <c r="AI7523">
        <v>94.626705398004006</v>
      </c>
      <c r="AJ7523">
        <v>87.315318897113798</v>
      </c>
      <c r="AK7523">
        <v>13.7831553472243</v>
      </c>
      <c r="AL7523">
        <v>90.121158888479002</v>
      </c>
      <c r="AM7523">
        <v>82.424016638641007</v>
      </c>
      <c r="AN7523">
        <v>1.00000002551289</v>
      </c>
    </row>
    <row r="7524" spans="1:40" x14ac:dyDescent="0.25">
      <c r="A7524" t="str">
        <f>"20190312161209720"</f>
        <v>20190312161209720</v>
      </c>
      <c r="B7524" t="str">
        <f>"1552378329715087"</f>
        <v>1552378329715087</v>
      </c>
      <c r="C7524" t="s">
        <v>40</v>
      </c>
      <c r="D7524">
        <v>5.8260040000000002</v>
      </c>
      <c r="E7524">
        <v>0.51063059999999905</v>
      </c>
      <c r="F7524" t="s">
        <v>42</v>
      </c>
      <c r="G7524">
        <v>-136.798</v>
      </c>
      <c r="H7524">
        <v>1.0444530000000001</v>
      </c>
      <c r="I7524">
        <v>140.0719</v>
      </c>
      <c r="J7524">
        <v>-137.43279999999999</v>
      </c>
      <c r="K7524">
        <v>1.111831</v>
      </c>
      <c r="L7524">
        <v>140.09059999999999</v>
      </c>
      <c r="M7524">
        <v>0.99909680000000001</v>
      </c>
      <c r="N7524">
        <v>0</v>
      </c>
      <c r="O7524">
        <v>3.4047630000000002E-2</v>
      </c>
      <c r="P7524">
        <v>0.99472969999999905</v>
      </c>
      <c r="Q7524">
        <v>-2.8842619999999999E-2</v>
      </c>
      <c r="R7524">
        <v>-9.8392010000000002E-2</v>
      </c>
      <c r="S7524">
        <v>3.005325</v>
      </c>
      <c r="T7524">
        <v>-0.23742460000000001</v>
      </c>
      <c r="U7524">
        <v>-3.9154050000000003E-2</v>
      </c>
      <c r="V7524">
        <v>0.13221429999999901</v>
      </c>
      <c r="W7524">
        <v>-3.6368289999999998E-3</v>
      </c>
      <c r="X7524">
        <v>0.9912145</v>
      </c>
      <c r="Y7524">
        <v>4.682335E-2</v>
      </c>
      <c r="Z7524">
        <v>-4.5327350000000004E-3</v>
      </c>
      <c r="AA7524">
        <v>0.99889289999999997</v>
      </c>
      <c r="AB7524">
        <v>16</v>
      </c>
      <c r="AC7524">
        <v>0.63479999999998404</v>
      </c>
      <c r="AD7524">
        <v>-6.7377999999999896E-2</v>
      </c>
      <c r="AE7524">
        <v>-1.8699999999995401E-2</v>
      </c>
      <c r="AF7524">
        <v>3.9860898766140497E-2</v>
      </c>
      <c r="AG7524">
        <v>-6.7377999999999896E-2</v>
      </c>
      <c r="AH7524">
        <v>0.62674020179048096</v>
      </c>
      <c r="AI7524">
        <v>96.123764634159798</v>
      </c>
      <c r="AJ7524">
        <v>86.360869619532394</v>
      </c>
      <c r="AK7524">
        <v>0.63161061317461797</v>
      </c>
      <c r="AL7524">
        <v>90.208375408456803</v>
      </c>
      <c r="AM7524">
        <v>82.402382542510296</v>
      </c>
      <c r="AN7524">
        <v>1.0000000163299501</v>
      </c>
    </row>
    <row r="7525" spans="1:40" x14ac:dyDescent="0.25">
      <c r="A7525" t="str">
        <f>"20190312161209755"</f>
        <v>20190312161209755</v>
      </c>
      <c r="B7525" t="str">
        <f>"1552378329745342"</f>
        <v>1552378329745342</v>
      </c>
      <c r="C7525" t="s">
        <v>40</v>
      </c>
      <c r="D7525">
        <v>5.9066109999999998</v>
      </c>
      <c r="E7525">
        <v>0.51097570000000003</v>
      </c>
      <c r="F7525" t="s">
        <v>42</v>
      </c>
      <c r="G7525">
        <v>-136.7407</v>
      </c>
      <c r="H7525">
        <v>0.91195910000000002</v>
      </c>
      <c r="I7525">
        <v>140.0136</v>
      </c>
      <c r="J7525">
        <v>-137.21109999999999</v>
      </c>
      <c r="K7525">
        <v>1.1120239999999999</v>
      </c>
      <c r="L7525">
        <v>140.0984</v>
      </c>
      <c r="M7525">
        <v>0.99906759999999994</v>
      </c>
      <c r="N7525">
        <v>0</v>
      </c>
      <c r="O7525">
        <v>3.4238530000000003E-2</v>
      </c>
      <c r="P7525">
        <v>0.99471659999999995</v>
      </c>
      <c r="Q7525">
        <v>-2.9719530000000001E-2</v>
      </c>
      <c r="R7525">
        <v>-9.8264279999999996E-2</v>
      </c>
      <c r="S7525">
        <v>2.958618</v>
      </c>
      <c r="T7525">
        <v>-0.85449909999999996</v>
      </c>
      <c r="U7525">
        <v>-0.3287506</v>
      </c>
      <c r="V7525">
        <v>0.13227610000000001</v>
      </c>
      <c r="W7525">
        <v>-3.6430659999999999E-3</v>
      </c>
      <c r="X7525">
        <v>0.99120620000000004</v>
      </c>
      <c r="Y7525">
        <v>0.1374716</v>
      </c>
      <c r="Z7525">
        <v>-2.9067300000000001E-2</v>
      </c>
      <c r="AA7525">
        <v>0.99007909999999999</v>
      </c>
      <c r="AB7525">
        <v>15</v>
      </c>
      <c r="AC7525">
        <v>0.470399999999983</v>
      </c>
      <c r="AD7525">
        <v>-0.20006489999999899</v>
      </c>
      <c r="AE7525">
        <v>-8.4800000000001305E-2</v>
      </c>
      <c r="AF7525">
        <v>8.5825547245759901E-2</v>
      </c>
      <c r="AG7525">
        <v>-0.20006489999999899</v>
      </c>
      <c r="AH7525">
        <v>0.39756821664756098</v>
      </c>
      <c r="AI7525">
        <v>116.19212999334501</v>
      </c>
      <c r="AJ7525">
        <v>77.818139676590505</v>
      </c>
      <c r="AK7525">
        <v>0.45326865726671001</v>
      </c>
      <c r="AL7525">
        <v>90.208732771189105</v>
      </c>
      <c r="AM7525">
        <v>82.398809849228996</v>
      </c>
      <c r="AN7525">
        <v>0.99999998473976504</v>
      </c>
    </row>
    <row r="7526" spans="1:40" x14ac:dyDescent="0.25">
      <c r="A7526" t="str">
        <f>"20190312161209789"</f>
        <v>20190312161209789</v>
      </c>
      <c r="B7526" t="str">
        <f>"1552378329785358"</f>
        <v>1552378329785358</v>
      </c>
      <c r="C7526" t="s">
        <v>40</v>
      </c>
      <c r="D7526">
        <v>5.9215169999999997</v>
      </c>
      <c r="E7526">
        <v>0.51134049999999998</v>
      </c>
      <c r="F7526" t="s">
        <v>42</v>
      </c>
      <c r="G7526">
        <v>-136.48500000000001</v>
      </c>
      <c r="H7526">
        <v>0.90027230000000003</v>
      </c>
      <c r="I7526">
        <v>140.0171</v>
      </c>
      <c r="J7526">
        <v>-136.99789999999999</v>
      </c>
      <c r="K7526">
        <v>1.112104</v>
      </c>
      <c r="L7526">
        <v>140.10589999999999</v>
      </c>
      <c r="M7526">
        <v>0.99904559999999998</v>
      </c>
      <c r="N7526">
        <v>0</v>
      </c>
      <c r="O7526">
        <v>3.4437170000000003E-2</v>
      </c>
      <c r="P7526">
        <v>0.99468100000000004</v>
      </c>
      <c r="Q7526">
        <v>-2.9856569999999999E-2</v>
      </c>
      <c r="R7526">
        <v>-9.8581539999999995E-2</v>
      </c>
      <c r="S7526">
        <v>2.9574889999999998</v>
      </c>
      <c r="T7526">
        <v>-0.86255479999999995</v>
      </c>
      <c r="U7526">
        <v>-0.3308258</v>
      </c>
      <c r="V7526">
        <v>0.13278960000000001</v>
      </c>
      <c r="W7526">
        <v>-3.2158180000000001E-3</v>
      </c>
      <c r="X7526">
        <v>0.99113910000000005</v>
      </c>
      <c r="Y7526">
        <v>0.13822379999999901</v>
      </c>
      <c r="Z7526">
        <v>-2.9504079999999999E-2</v>
      </c>
      <c r="AA7526">
        <v>0.98996139999999999</v>
      </c>
      <c r="AB7526">
        <v>15</v>
      </c>
      <c r="AC7526">
        <v>0.51289999999997304</v>
      </c>
      <c r="AD7526">
        <v>-0.21183170000000001</v>
      </c>
      <c r="AE7526">
        <v>-8.8799999999991996E-2</v>
      </c>
      <c r="AF7526">
        <v>9.1296731500684195E-2</v>
      </c>
      <c r="AG7526">
        <v>-0.21183170000000001</v>
      </c>
      <c r="AH7526">
        <v>0.43714098046001498</v>
      </c>
      <c r="AI7526">
        <v>115.377309262785</v>
      </c>
      <c r="AJ7526">
        <v>78.203362955387007</v>
      </c>
      <c r="AK7526">
        <v>0.49426713334505801</v>
      </c>
      <c r="AL7526">
        <v>90.184253104230095</v>
      </c>
      <c r="AM7526">
        <v>82.369138300446195</v>
      </c>
      <c r="AN7526">
        <v>1.00000006745118</v>
      </c>
    </row>
    <row r="7527" spans="1:40" x14ac:dyDescent="0.25">
      <c r="A7527" t="str">
        <f>"20190312161209833"</f>
        <v>20190312161209833</v>
      </c>
      <c r="B7527" t="str">
        <f>"1552378329825375"</f>
        <v>1552378329825375</v>
      </c>
      <c r="C7527" t="s">
        <v>40</v>
      </c>
      <c r="D7527">
        <v>6.0884109999999998</v>
      </c>
      <c r="E7527">
        <v>0.51085349999999996</v>
      </c>
      <c r="F7527" t="s">
        <v>42</v>
      </c>
      <c r="G7527">
        <v>-136.2389</v>
      </c>
      <c r="H7527">
        <v>0.88556250000000003</v>
      </c>
      <c r="I7527">
        <v>140.02019999999999</v>
      </c>
      <c r="J7527">
        <v>-136.72329999999999</v>
      </c>
      <c r="K7527">
        <v>1.111926</v>
      </c>
      <c r="L7527">
        <v>140.1157</v>
      </c>
      <c r="M7527">
        <v>0.99904579999999998</v>
      </c>
      <c r="N7527">
        <v>0</v>
      </c>
      <c r="O7527">
        <v>3.4723660000000003E-2</v>
      </c>
      <c r="P7527">
        <v>0.99453820000000004</v>
      </c>
      <c r="Q7527">
        <v>-3.019463E-2</v>
      </c>
      <c r="R7527">
        <v>-9.9911269999999996E-2</v>
      </c>
      <c r="S7527">
        <v>2.9564819999999998</v>
      </c>
      <c r="T7527">
        <v>-0.88247869999999995</v>
      </c>
      <c r="U7527">
        <v>-0.33374019999999999</v>
      </c>
      <c r="V7527">
        <v>0.1343973</v>
      </c>
      <c r="W7527">
        <v>-3.9335539999999997E-3</v>
      </c>
      <c r="X7527">
        <v>0.99091969999999996</v>
      </c>
      <c r="Y7527">
        <v>0.1391271</v>
      </c>
      <c r="Z7527">
        <v>-3.0380910000000001E-2</v>
      </c>
      <c r="AA7527">
        <v>0.98980840000000003</v>
      </c>
      <c r="AB7527">
        <v>14</v>
      </c>
      <c r="AC7527">
        <v>0.484399999999993</v>
      </c>
      <c r="AD7527">
        <v>-0.226363499999999</v>
      </c>
      <c r="AE7527">
        <v>-9.5500000000015406E-2</v>
      </c>
      <c r="AF7527">
        <v>9.2768063692227204E-2</v>
      </c>
      <c r="AG7527">
        <v>-0.226363499999999</v>
      </c>
      <c r="AH7527">
        <v>0.39727999330623598</v>
      </c>
      <c r="AI7527">
        <v>119.024009940483</v>
      </c>
      <c r="AJ7527">
        <v>76.856486166899501</v>
      </c>
      <c r="AK7527">
        <v>0.46655947193777803</v>
      </c>
      <c r="AL7527">
        <v>90.225376628519101</v>
      </c>
      <c r="AM7527">
        <v>82.276169598602095</v>
      </c>
      <c r="AN7527">
        <v>0.99999997947122499</v>
      </c>
    </row>
    <row r="7528" spans="1:40" x14ac:dyDescent="0.25">
      <c r="A7528" t="str">
        <f>"20190312161209868"</f>
        <v>20190312161209868</v>
      </c>
      <c r="B7528" t="str">
        <f>"1552378329854655"</f>
        <v>1552378329854655</v>
      </c>
      <c r="C7528" t="s">
        <v>40</v>
      </c>
      <c r="D7528">
        <v>5.9119659999999996</v>
      </c>
      <c r="E7528">
        <v>0.51072419999999996</v>
      </c>
      <c r="F7528" t="s">
        <v>42</v>
      </c>
      <c r="G7528">
        <v>-135.9898</v>
      </c>
      <c r="H7528">
        <v>0.89520750000000004</v>
      </c>
      <c r="I7528">
        <v>140.03299999999999</v>
      </c>
      <c r="J7528">
        <v>-136.51589999999999</v>
      </c>
      <c r="K7528">
        <v>1.1119209999999999</v>
      </c>
      <c r="L7528">
        <v>140.1232</v>
      </c>
      <c r="M7528">
        <v>0.99903629999999999</v>
      </c>
      <c r="N7528">
        <v>0</v>
      </c>
      <c r="O7528">
        <v>3.4951299999999998E-2</v>
      </c>
      <c r="P7528">
        <v>0.99449869999999996</v>
      </c>
      <c r="Q7528">
        <v>-3.061529E-2</v>
      </c>
      <c r="R7528">
        <v>-0.10017669999999999</v>
      </c>
      <c r="S7528">
        <v>2.9564360000000001</v>
      </c>
      <c r="T7528">
        <v>-0.87349219999999905</v>
      </c>
      <c r="U7528">
        <v>-0.33348080000000002</v>
      </c>
      <c r="V7528">
        <v>0.13488699999999901</v>
      </c>
      <c r="W7528">
        <v>-4.2985089999999998E-3</v>
      </c>
      <c r="X7528">
        <v>0.99085160000000005</v>
      </c>
      <c r="Y7528">
        <v>0.13939599999999999</v>
      </c>
      <c r="Z7528">
        <v>-3.0189230000000001E-2</v>
      </c>
      <c r="AA7528">
        <v>0.9897764</v>
      </c>
      <c r="AB7528">
        <v>14</v>
      </c>
      <c r="AC7528">
        <v>0.52609999999998502</v>
      </c>
      <c r="AD7528">
        <v>-0.216713499999999</v>
      </c>
      <c r="AE7528">
        <v>-9.0200000000009994E-2</v>
      </c>
      <c r="AF7528">
        <v>9.3179789878480995E-2</v>
      </c>
      <c r="AG7528">
        <v>-0.216713499999999</v>
      </c>
      <c r="AH7528">
        <v>0.44866781672249101</v>
      </c>
      <c r="AI7528">
        <v>115.31060009780801</v>
      </c>
      <c r="AJ7528">
        <v>78.2675358306399</v>
      </c>
      <c r="AK7528">
        <v>0.50690238122006703</v>
      </c>
      <c r="AL7528">
        <v>90.246287197969906</v>
      </c>
      <c r="AM7528">
        <v>82.247841746594304</v>
      </c>
      <c r="AN7528">
        <v>0.99999993658558906</v>
      </c>
    </row>
    <row r="7529" spans="1:40" x14ac:dyDescent="0.25">
      <c r="A7529" t="str">
        <f>"20190312161209899"</f>
        <v>20190312161209899</v>
      </c>
      <c r="B7529" t="str">
        <f>"1552378329894671"</f>
        <v>1552378329894671</v>
      </c>
      <c r="C7529" t="s">
        <v>40</v>
      </c>
      <c r="D7529">
        <v>5.9041079999999999</v>
      </c>
      <c r="E7529">
        <v>0.51062750000000001</v>
      </c>
      <c r="F7529" t="s">
        <v>42</v>
      </c>
      <c r="G7529">
        <v>-135.7568</v>
      </c>
      <c r="H7529">
        <v>0.89018489999999995</v>
      </c>
      <c r="I7529">
        <v>140.03729999999999</v>
      </c>
      <c r="J7529">
        <v>-136.32859999999999</v>
      </c>
      <c r="K7529">
        <v>1.1119139999999901</v>
      </c>
      <c r="L7529">
        <v>140.1301</v>
      </c>
      <c r="M7529">
        <v>0.99902800000000003</v>
      </c>
      <c r="N7529">
        <v>0</v>
      </c>
      <c r="O7529">
        <v>3.5157920000000002E-2</v>
      </c>
      <c r="P7529">
        <v>0.99444809999999995</v>
      </c>
      <c r="Q7529">
        <v>-3.1601650000000002E-2</v>
      </c>
      <c r="R7529">
        <v>-0.10037069999999999</v>
      </c>
      <c r="S7529">
        <v>2.9563449999999998</v>
      </c>
      <c r="T7529">
        <v>-0.86356520000000003</v>
      </c>
      <c r="U7529">
        <v>-0.334198</v>
      </c>
      <c r="V7529">
        <v>0.13528409999999999</v>
      </c>
      <c r="W7529">
        <v>-5.2484189999999998E-3</v>
      </c>
      <c r="X7529">
        <v>0.99079289999999998</v>
      </c>
      <c r="Y7529">
        <v>0.1399717</v>
      </c>
      <c r="Z7529">
        <v>-3.0001489999999999E-2</v>
      </c>
      <c r="AA7529">
        <v>0.98970089999999999</v>
      </c>
      <c r="AB7529">
        <v>13</v>
      </c>
      <c r="AC7529">
        <v>0.57179999999999598</v>
      </c>
      <c r="AD7529">
        <v>-0.22172909999999901</v>
      </c>
      <c r="AE7529">
        <v>-9.2800000000011096E-2</v>
      </c>
      <c r="AF7529">
        <v>9.8431794825656393E-2</v>
      </c>
      <c r="AG7529">
        <v>-0.22172909999999901</v>
      </c>
      <c r="AH7529">
        <v>0.495575827516678</v>
      </c>
      <c r="AI7529">
        <v>113.694006419446</v>
      </c>
      <c r="AJ7529">
        <v>78.766056476351693</v>
      </c>
      <c r="AK7529">
        <v>0.55176807885039003</v>
      </c>
      <c r="AL7529">
        <v>90.300713652786897</v>
      </c>
      <c r="AM7529">
        <v>82.224843545598901</v>
      </c>
      <c r="AN7529">
        <v>0.99999995215260795</v>
      </c>
    </row>
    <row r="7530" spans="1:40" x14ac:dyDescent="0.25">
      <c r="A7530" t="str">
        <f>"20190312161209933"</f>
        <v>20190312161209933</v>
      </c>
      <c r="B7530" t="str">
        <f>"1552378329924926"</f>
        <v>1552378329924926</v>
      </c>
      <c r="C7530" t="s">
        <v>40</v>
      </c>
      <c r="D7530">
        <v>5.8779529999999998</v>
      </c>
      <c r="E7530">
        <v>0.49976880000000001</v>
      </c>
      <c r="F7530" t="s">
        <v>42</v>
      </c>
      <c r="G7530">
        <v>-135.63480000000001</v>
      </c>
      <c r="H7530">
        <v>0.90887640000000003</v>
      </c>
      <c r="I7530">
        <v>140.05170000000001</v>
      </c>
      <c r="J7530">
        <v>-136.142</v>
      </c>
      <c r="K7530">
        <v>1.1118840000000001</v>
      </c>
      <c r="L7530">
        <v>140.1369</v>
      </c>
      <c r="M7530">
        <v>0.99902449999999998</v>
      </c>
      <c r="N7530">
        <v>0</v>
      </c>
      <c r="O7530">
        <v>3.5352990000000001E-2</v>
      </c>
      <c r="P7530">
        <v>0.99453190000000002</v>
      </c>
      <c r="Q7530">
        <v>-3.106244E-2</v>
      </c>
      <c r="R7530">
        <v>-9.9706859999999994E-2</v>
      </c>
      <c r="S7530">
        <v>2.9555660000000001</v>
      </c>
      <c r="T7530">
        <v>-0.86484660000000002</v>
      </c>
      <c r="U7530">
        <v>-0.33383180000000001</v>
      </c>
      <c r="V7530">
        <v>0.13481679999999999</v>
      </c>
      <c r="W7530">
        <v>-4.8374719999999998E-3</v>
      </c>
      <c r="X7530">
        <v>0.99085869999999998</v>
      </c>
      <c r="Y7530">
        <v>0.14003699999999999</v>
      </c>
      <c r="Z7530">
        <v>-3.0117049999999999E-2</v>
      </c>
      <c r="AA7530">
        <v>0.98968820000000002</v>
      </c>
      <c r="AB7530">
        <v>13</v>
      </c>
      <c r="AC7530">
        <v>0.507199999999983</v>
      </c>
      <c r="AD7530">
        <v>-0.20300759999999901</v>
      </c>
      <c r="AE7530">
        <v>-8.5199999999986106E-2</v>
      </c>
      <c r="AF7530">
        <v>8.9188082332983004E-2</v>
      </c>
      <c r="AG7530">
        <v>-0.20300759999999901</v>
      </c>
      <c r="AH7530">
        <v>0.43594693194878198</v>
      </c>
      <c r="AI7530">
        <v>114.52345652165999</v>
      </c>
      <c r="AJ7530">
        <v>78.4377096571273</v>
      </c>
      <c r="AK7530">
        <v>0.489097461824891</v>
      </c>
      <c r="AL7530">
        <v>90.277167819264605</v>
      </c>
      <c r="AM7530">
        <v>82.251882070983498</v>
      </c>
      <c r="AN7530">
        <v>0.99999996703163996</v>
      </c>
    </row>
    <row r="7531" spans="1:40" x14ac:dyDescent="0.25">
      <c r="A7531" t="str">
        <f>"20190312161209967"</f>
        <v>20190312161209967</v>
      </c>
      <c r="B7531" t="str">
        <f>"1552378329964943"</f>
        <v>1552378329964943</v>
      </c>
      <c r="C7531" t="s">
        <v>40</v>
      </c>
      <c r="D7531">
        <v>5.8419169999999996</v>
      </c>
      <c r="E7531">
        <v>0.4984923</v>
      </c>
      <c r="F7531" t="s">
        <v>42</v>
      </c>
      <c r="G7531">
        <v>-135.3742</v>
      </c>
      <c r="H7531">
        <v>0.98576070000000005</v>
      </c>
      <c r="I7531">
        <v>140.0669</v>
      </c>
      <c r="J7531">
        <v>-135.95660000000001</v>
      </c>
      <c r="K7531">
        <v>1.111885</v>
      </c>
      <c r="L7531">
        <v>140.1437</v>
      </c>
      <c r="M7531">
        <v>0.99902020000000002</v>
      </c>
      <c r="N7531">
        <v>0</v>
      </c>
      <c r="O7531">
        <v>3.5543150000000003E-2</v>
      </c>
      <c r="P7531">
        <v>0.99470029999999998</v>
      </c>
      <c r="Q7531">
        <v>-2.8266329999999999E-2</v>
      </c>
      <c r="R7531">
        <v>-9.8856920000000001E-2</v>
      </c>
      <c r="S7531">
        <v>2.97403</v>
      </c>
      <c r="T7531">
        <v>-0.48850539999999998</v>
      </c>
      <c r="U7531">
        <v>-0.27117920000000001</v>
      </c>
      <c r="V7531">
        <v>0.13416149999999999</v>
      </c>
      <c r="W7531">
        <v>-2.1244419999999998E-3</v>
      </c>
      <c r="X7531">
        <v>0.99095719999999998</v>
      </c>
      <c r="Y7531">
        <v>0.1240343</v>
      </c>
      <c r="Z7531">
        <v>-1.588943E-2</v>
      </c>
      <c r="AA7531">
        <v>0.99215070000000005</v>
      </c>
      <c r="AB7531">
        <v>13</v>
      </c>
      <c r="AC7531">
        <v>0.58240000000000602</v>
      </c>
      <c r="AD7531">
        <v>-0.126124299999999</v>
      </c>
      <c r="AE7531">
        <v>-7.67999999999915E-2</v>
      </c>
      <c r="AF7531">
        <v>9.3164419630406101E-2</v>
      </c>
      <c r="AG7531">
        <v>-0.126124299999999</v>
      </c>
      <c r="AH7531">
        <v>0.55377405683785297</v>
      </c>
      <c r="AI7531">
        <v>102.658449884563</v>
      </c>
      <c r="AJ7531">
        <v>80.450245560806707</v>
      </c>
      <c r="AK7531">
        <v>0.57554552744523502</v>
      </c>
      <c r="AL7531">
        <v>90.121721652372003</v>
      </c>
      <c r="AM7531">
        <v>82.289846167480405</v>
      </c>
      <c r="AN7531">
        <v>0.99999999678395002</v>
      </c>
    </row>
    <row r="7532" spans="1:40" x14ac:dyDescent="0.25">
      <c r="A7532" t="str">
        <f>"20190312161210017"</f>
        <v>20190312161210017</v>
      </c>
      <c r="B7532" t="str">
        <f>"1552378330004960"</f>
        <v>1552378330004960</v>
      </c>
      <c r="C7532" t="s">
        <v>40</v>
      </c>
      <c r="D7532">
        <v>5.8263850000000001</v>
      </c>
      <c r="E7532">
        <v>0.46146520000000002</v>
      </c>
      <c r="F7532" t="s">
        <v>42</v>
      </c>
      <c r="G7532">
        <v>-135.1696</v>
      </c>
      <c r="H7532">
        <v>0.96808340000000004</v>
      </c>
      <c r="I7532">
        <v>140.07650000000001</v>
      </c>
      <c r="J7532">
        <v>-135.70070000000001</v>
      </c>
      <c r="K7532">
        <v>1.1119000000000001</v>
      </c>
      <c r="L7532">
        <v>140.1532</v>
      </c>
      <c r="M7532">
        <v>0.99901280000000003</v>
      </c>
      <c r="N7532">
        <v>0</v>
      </c>
      <c r="O7532">
        <v>3.58032E-2</v>
      </c>
      <c r="P7532">
        <v>0.99473699999999998</v>
      </c>
      <c r="Q7532">
        <v>-2.6823099999999999E-2</v>
      </c>
      <c r="R7532">
        <v>-9.8891350000000003E-2</v>
      </c>
      <c r="S7532">
        <v>2.9752809999999998</v>
      </c>
      <c r="T7532">
        <v>-0.5436628</v>
      </c>
      <c r="U7532">
        <v>-0.25404359999999998</v>
      </c>
      <c r="V7532">
        <v>0.13445470000000001</v>
      </c>
      <c r="W7532">
        <v>-7.5302789999999995E-4</v>
      </c>
      <c r="X7532">
        <v>0.99091949999999995</v>
      </c>
      <c r="Y7532">
        <v>0.11817320000000001</v>
      </c>
      <c r="Z7532">
        <v>-1.71697E-2</v>
      </c>
      <c r="AA7532">
        <v>0.99284450000000002</v>
      </c>
      <c r="AB7532">
        <v>12</v>
      </c>
      <c r="AC7532">
        <v>0.53110000000000901</v>
      </c>
      <c r="AD7532">
        <v>-0.14381659999999999</v>
      </c>
      <c r="AE7532">
        <v>-7.6699999999988194E-2</v>
      </c>
      <c r="AF7532">
        <v>8.9260911924067904E-2</v>
      </c>
      <c r="AG7532">
        <v>-0.14381659999999999</v>
      </c>
      <c r="AH7532">
        <v>0.49262720023429002</v>
      </c>
      <c r="AI7532">
        <v>106.027269815916</v>
      </c>
      <c r="AJ7532">
        <v>79.729796280614096</v>
      </c>
      <c r="AK7532">
        <v>0.52089565485205502</v>
      </c>
      <c r="AL7532">
        <v>90.043145322685703</v>
      </c>
      <c r="AM7532">
        <v>82.2729091177942</v>
      </c>
      <c r="AN7532">
        <v>1.0000000444416699</v>
      </c>
    </row>
    <row r="7533" spans="1:40" x14ac:dyDescent="0.25">
      <c r="A7533" t="str">
        <f>"20190312161210056"</f>
        <v>20190312161210056</v>
      </c>
      <c r="B7533" t="str">
        <f>"1552378330044975"</f>
        <v>1552378330044975</v>
      </c>
      <c r="C7533" t="s">
        <v>40</v>
      </c>
      <c r="D7533">
        <v>5.6668219999999998</v>
      </c>
      <c r="E7533">
        <v>0.46348499999999998</v>
      </c>
      <c r="F7533" t="s">
        <v>41</v>
      </c>
      <c r="G7533">
        <v>-79.644919999999999</v>
      </c>
      <c r="H7533" s="1">
        <v>-3.1859069999999999E-7</v>
      </c>
      <c r="I7533">
        <v>140.30770000000001</v>
      </c>
      <c r="J7533">
        <v>-135.50540000000001</v>
      </c>
      <c r="K7533">
        <v>1.1119950000000001</v>
      </c>
      <c r="L7533">
        <v>140.16040000000001</v>
      </c>
      <c r="M7533">
        <v>0.99899850000000001</v>
      </c>
      <c r="N7533">
        <v>0</v>
      </c>
      <c r="O7533">
        <v>3.5993890000000001E-2</v>
      </c>
      <c r="P7533">
        <v>0.99480179999999996</v>
      </c>
      <c r="Q7533">
        <v>-2.5999810000000002E-2</v>
      </c>
      <c r="R7533">
        <v>-9.8457349999999999E-2</v>
      </c>
      <c r="S7533">
        <v>3.0150760000000001</v>
      </c>
      <c r="T7533">
        <v>-5.9805869999999997E-2</v>
      </c>
      <c r="U7533">
        <v>8.3160400000000002E-3</v>
      </c>
      <c r="V7533">
        <v>0.13421279999999999</v>
      </c>
      <c r="W7533">
        <v>3.4362359999999997E-4</v>
      </c>
      <c r="X7533">
        <v>0.99095250000000001</v>
      </c>
      <c r="Y7533">
        <v>3.3236500000000002E-2</v>
      </c>
      <c r="Z7533">
        <v>-1.0436169999999999E-3</v>
      </c>
      <c r="AA7533">
        <v>0.99944699999999997</v>
      </c>
      <c r="AB7533">
        <v>12</v>
      </c>
      <c r="AC7533">
        <v>55.860480000000003</v>
      </c>
      <c r="AD7533">
        <v>-1.1119953185906899</v>
      </c>
      <c r="AE7533">
        <v>0.14730000000000101</v>
      </c>
      <c r="AF7533">
        <v>1.8634036440938999</v>
      </c>
      <c r="AG7533">
        <v>-1.1119953185906899</v>
      </c>
      <c r="AH7533">
        <v>55.807446206018597</v>
      </c>
      <c r="AI7533">
        <v>91.140864538212099</v>
      </c>
      <c r="AJ7533">
        <v>88.087611578810595</v>
      </c>
      <c r="AK7533">
        <v>55.849618250862299</v>
      </c>
      <c r="AL7533">
        <v>89.980311818093597</v>
      </c>
      <c r="AM7533">
        <v>82.286897338117299</v>
      </c>
      <c r="AN7533">
        <v>1.0000000255086301</v>
      </c>
    </row>
    <row r="7534" spans="1:40" x14ac:dyDescent="0.25">
      <c r="A7534" t="str">
        <f>"20190312161210100"</f>
        <v>20190312161210100</v>
      </c>
      <c r="B7534" t="str">
        <f>"1552378330094750"</f>
        <v>1552378330094750</v>
      </c>
      <c r="C7534" t="s">
        <v>40</v>
      </c>
      <c r="D7534">
        <v>5.8072710000000001</v>
      </c>
      <c r="E7534">
        <v>0.46462769999999998</v>
      </c>
      <c r="F7534" t="s">
        <v>41</v>
      </c>
      <c r="G7534">
        <v>-113.24379999999999</v>
      </c>
      <c r="H7534" s="1">
        <v>-3.02476E-6</v>
      </c>
      <c r="I7534">
        <v>140.15780000000001</v>
      </c>
      <c r="J7534">
        <v>-135.30510000000001</v>
      </c>
      <c r="K7534">
        <v>1.112382</v>
      </c>
      <c r="L7534">
        <v>140.1678</v>
      </c>
      <c r="M7534">
        <v>0.99894620000000001</v>
      </c>
      <c r="N7534">
        <v>0</v>
      </c>
      <c r="O7534">
        <v>3.6179559999999999E-2</v>
      </c>
      <c r="P7534">
        <v>0.99477680000000002</v>
      </c>
      <c r="Q7534">
        <v>-2.7328069999999999E-2</v>
      </c>
      <c r="R7534">
        <v>-9.8350119999999999E-2</v>
      </c>
      <c r="S7534">
        <v>3.0117189999999998</v>
      </c>
      <c r="T7534">
        <v>-0.15043909999999999</v>
      </c>
      <c r="U7534">
        <v>-3.509521E-4</v>
      </c>
      <c r="V7534">
        <v>0.1342904</v>
      </c>
      <c r="W7534">
        <v>6.588125E-4</v>
      </c>
      <c r="X7534">
        <v>0.99094179999999998</v>
      </c>
      <c r="Y7534">
        <v>3.6220170000000003E-2</v>
      </c>
      <c r="Z7534">
        <v>-2.7105720000000001E-3</v>
      </c>
      <c r="AA7534">
        <v>0.99934020000000001</v>
      </c>
      <c r="AB7534">
        <v>11</v>
      </c>
      <c r="AC7534">
        <v>22.061299999999999</v>
      </c>
      <c r="AD7534">
        <v>-1.11238502476</v>
      </c>
      <c r="AE7534">
        <v>-9.9999999999908998E-3</v>
      </c>
      <c r="AF7534">
        <v>0.80642976008640299</v>
      </c>
      <c r="AG7534">
        <v>-1.11238502476</v>
      </c>
      <c r="AH7534">
        <v>21.990573752011699</v>
      </c>
      <c r="AI7534">
        <v>92.893875626699199</v>
      </c>
      <c r="AJ7534">
        <v>87.899812589498197</v>
      </c>
      <c r="AK7534">
        <v>22.033453277775799</v>
      </c>
      <c r="AL7534">
        <v>89.962252821463807</v>
      </c>
      <c r="AM7534">
        <v>82.282409129906</v>
      </c>
      <c r="AN7534">
        <v>0.99999999827665498</v>
      </c>
    </row>
    <row r="7535" spans="1:40" x14ac:dyDescent="0.25">
      <c r="A7535" t="str">
        <f>"20190312161210137"</f>
        <v>20190312161210137</v>
      </c>
      <c r="B7535" t="str">
        <f>"1552378330125007"</f>
        <v>1552378330125007</v>
      </c>
      <c r="C7535" t="s">
        <v>40</v>
      </c>
      <c r="D7535">
        <v>5.7225890000000001</v>
      </c>
      <c r="E7535">
        <v>0.46519739999999998</v>
      </c>
      <c r="F7535" t="s">
        <v>41</v>
      </c>
      <c r="G7535">
        <v>-118.33580000000001</v>
      </c>
      <c r="H7535" s="1">
        <v>-8.3365840000000003E-7</v>
      </c>
      <c r="I7535">
        <v>140.1326</v>
      </c>
      <c r="J7535">
        <v>-135.15</v>
      </c>
      <c r="K7535">
        <v>1.1123719999999999</v>
      </c>
      <c r="L7535">
        <v>140.1737</v>
      </c>
      <c r="M7535">
        <v>0.99892879999999995</v>
      </c>
      <c r="N7535">
        <v>0</v>
      </c>
      <c r="O7535">
        <v>3.6333339999999999E-2</v>
      </c>
      <c r="P7535">
        <v>0.99480979999999997</v>
      </c>
      <c r="Q7535">
        <v>-2.7910799999999999E-2</v>
      </c>
      <c r="R7535">
        <v>-9.7848420000000005E-2</v>
      </c>
      <c r="S7535">
        <v>3.0097049999999999</v>
      </c>
      <c r="T7535">
        <v>-0.19729350000000001</v>
      </c>
      <c r="U7535">
        <v>-6.2408450000000001E-3</v>
      </c>
      <c r="V7535">
        <v>0.13394339999999999</v>
      </c>
      <c r="W7535">
        <v>4.876298E-4</v>
      </c>
      <c r="X7535">
        <v>0.99098889999999995</v>
      </c>
      <c r="Y7535">
        <v>3.8260280000000001E-2</v>
      </c>
      <c r="Z7535">
        <v>-3.632471E-3</v>
      </c>
      <c r="AA7535">
        <v>0.99926119999999996</v>
      </c>
      <c r="AB7535">
        <v>10</v>
      </c>
      <c r="AC7535">
        <v>16.8142</v>
      </c>
      <c r="AD7535">
        <v>-1.11237283365839</v>
      </c>
      <c r="AE7535">
        <v>-4.1100000000000102E-2</v>
      </c>
      <c r="AF7535">
        <v>0.64939765265429905</v>
      </c>
      <c r="AG7535">
        <v>-1.11237283365839</v>
      </c>
      <c r="AH7535">
        <v>16.728380059031501</v>
      </c>
      <c r="AI7535">
        <v>93.801493001788302</v>
      </c>
      <c r="AJ7535">
        <v>87.776887495037201</v>
      </c>
      <c r="AK7535">
        <v>16.777895876174</v>
      </c>
      <c r="AL7535">
        <v>89.972060870395296</v>
      </c>
      <c r="AM7535">
        <v>82.3024730802927</v>
      </c>
      <c r="AN7535">
        <v>1.00000003605479</v>
      </c>
    </row>
    <row r="7536" spans="1:40" x14ac:dyDescent="0.25">
      <c r="A7536" t="str">
        <f>"20190312161210167"</f>
        <v>20190312161210167</v>
      </c>
      <c r="B7536" t="str">
        <f>"1552378330155263"</f>
        <v>1552378330155263</v>
      </c>
      <c r="C7536" t="s">
        <v>40</v>
      </c>
      <c r="D7536">
        <v>5.7528860000000002</v>
      </c>
      <c r="E7536">
        <v>0.46545560000000002</v>
      </c>
      <c r="F7536" t="s">
        <v>41</v>
      </c>
      <c r="G7536">
        <v>-119.4387</v>
      </c>
      <c r="H7536" s="1">
        <v>-3.5989529999999998E-7</v>
      </c>
      <c r="I7536">
        <v>140.13040000000001</v>
      </c>
      <c r="J7536">
        <v>-135.02209999999999</v>
      </c>
      <c r="K7536">
        <v>1.112161</v>
      </c>
      <c r="L7536">
        <v>140.17850000000001</v>
      </c>
      <c r="M7536">
        <v>0.99893980000000004</v>
      </c>
      <c r="N7536">
        <v>0</v>
      </c>
      <c r="O7536">
        <v>3.6469429999999997E-2</v>
      </c>
      <c r="P7536">
        <v>0.99479649999999997</v>
      </c>
      <c r="Q7536">
        <v>-2.7193289999999998E-2</v>
      </c>
      <c r="R7536">
        <v>-9.8186159999999995E-2</v>
      </c>
      <c r="S7536">
        <v>3.0088810000000001</v>
      </c>
      <c r="T7536">
        <v>-0.2130309</v>
      </c>
      <c r="U7536">
        <v>-8.285522E-3</v>
      </c>
      <c r="V7536">
        <v>0.1344147</v>
      </c>
      <c r="W7536">
        <v>6.5023030000000001E-4</v>
      </c>
      <c r="X7536">
        <v>0.99092499999999994</v>
      </c>
      <c r="Y7536">
        <v>3.9046499999999998E-2</v>
      </c>
      <c r="Z7536">
        <v>-3.9599809999999996E-3</v>
      </c>
      <c r="AA7536">
        <v>0.99922960000000005</v>
      </c>
      <c r="AB7536">
        <v>10</v>
      </c>
      <c r="AC7536">
        <v>15.5833999999999</v>
      </c>
      <c r="AD7536">
        <v>-1.1121613598953</v>
      </c>
      <c r="AE7536">
        <v>-4.8100000000005097E-2</v>
      </c>
      <c r="AF7536">
        <v>0.61348537868238096</v>
      </c>
      <c r="AG7536">
        <v>-1.1121613598953</v>
      </c>
      <c r="AH7536">
        <v>15.4923617188647</v>
      </c>
      <c r="AI7536">
        <v>94.102885017912598</v>
      </c>
      <c r="AJ7536">
        <v>87.732316870002904</v>
      </c>
      <c r="AK7536">
        <v>15.544341054816201</v>
      </c>
      <c r="AL7536">
        <v>89.962744547149697</v>
      </c>
      <c r="AM7536">
        <v>82.275222509218096</v>
      </c>
      <c r="AN7536">
        <v>1.00000004500026</v>
      </c>
    </row>
    <row r="7537" spans="1:40" x14ac:dyDescent="0.25">
      <c r="A7537" t="str">
        <f>"20190312161210213"</f>
        <v>20190312161210213</v>
      </c>
      <c r="B7537" t="str">
        <f>"1552378330205038"</f>
        <v>1552378330205038</v>
      </c>
      <c r="C7537" t="s">
        <v>40</v>
      </c>
      <c r="D7537">
        <v>5.8891819999999999</v>
      </c>
      <c r="E7537">
        <v>0.46558169999999999</v>
      </c>
      <c r="F7537" t="s">
        <v>41</v>
      </c>
      <c r="G7537">
        <v>-119.8935</v>
      </c>
      <c r="H7537" s="1">
        <v>-1.6329619999999999E-7</v>
      </c>
      <c r="I7537">
        <v>140.12479999999999</v>
      </c>
      <c r="J7537">
        <v>-134.84360000000001</v>
      </c>
      <c r="K7537">
        <v>1.111991</v>
      </c>
      <c r="L7537">
        <v>140.18520000000001</v>
      </c>
      <c r="M7537">
        <v>0.99895029999999996</v>
      </c>
      <c r="N7537">
        <v>0</v>
      </c>
      <c r="O7537">
        <v>3.666316E-2</v>
      </c>
      <c r="P7537">
        <v>0.99480380000000002</v>
      </c>
      <c r="Q7537">
        <v>-2.639147E-2</v>
      </c>
      <c r="R7537">
        <v>-9.8330490000000007E-2</v>
      </c>
      <c r="S7537">
        <v>3.008591</v>
      </c>
      <c r="T7537">
        <v>-0.2211726</v>
      </c>
      <c r="U7537">
        <v>-1.0665890000000001E-2</v>
      </c>
      <c r="V7537">
        <v>0.1347505</v>
      </c>
      <c r="W7537">
        <v>8.2141630000000005E-4</v>
      </c>
      <c r="X7537">
        <v>0.99087919999999996</v>
      </c>
      <c r="Y7537">
        <v>4.0012579999999999E-2</v>
      </c>
      <c r="Z7537">
        <v>-4.1609589999999997E-3</v>
      </c>
      <c r="AA7537">
        <v>0.99919049999999998</v>
      </c>
      <c r="AB7537">
        <v>9</v>
      </c>
      <c r="AC7537">
        <v>14.950100000000001</v>
      </c>
      <c r="AD7537">
        <v>-1.1119911632961901</v>
      </c>
      <c r="AE7537">
        <v>-6.0400000000015497E-2</v>
      </c>
      <c r="AF7537">
        <v>0.60533514885305795</v>
      </c>
      <c r="AG7537">
        <v>-1.1119911632961901</v>
      </c>
      <c r="AH7537">
        <v>14.8556397048246</v>
      </c>
      <c r="AI7537">
        <v>94.277249122720093</v>
      </c>
      <c r="AJ7537">
        <v>87.666611926217399</v>
      </c>
      <c r="AK7537">
        <v>14.909493151319699</v>
      </c>
      <c r="AL7537">
        <v>89.952936306575694</v>
      </c>
      <c r="AM7537">
        <v>82.255804454332207</v>
      </c>
      <c r="AN7537">
        <v>0.999999980483813</v>
      </c>
    </row>
    <row r="7538" spans="1:40" x14ac:dyDescent="0.25">
      <c r="A7538" t="str">
        <f>"20190312161210257"</f>
        <v>20190312161210257</v>
      </c>
      <c r="B7538" t="str">
        <f>"1552378330245056"</f>
        <v>1552378330245056</v>
      </c>
      <c r="C7538" t="s">
        <v>40</v>
      </c>
      <c r="D7538">
        <v>5.9442149999999998</v>
      </c>
      <c r="E7538">
        <v>0.43459100000000001</v>
      </c>
      <c r="F7538" t="s">
        <v>41</v>
      </c>
      <c r="G7538">
        <v>-119.3092</v>
      </c>
      <c r="H7538" s="1">
        <v>-4.1284949999999998E-7</v>
      </c>
      <c r="I7538">
        <v>140.1206</v>
      </c>
      <c r="J7538">
        <v>-134.68020000000001</v>
      </c>
      <c r="K7538">
        <v>1.1119410000000001</v>
      </c>
      <c r="L7538">
        <v>140.19149999999999</v>
      </c>
      <c r="M7538">
        <v>0.99895440000000002</v>
      </c>
      <c r="N7538">
        <v>0</v>
      </c>
      <c r="O7538">
        <v>3.6841400000000003E-2</v>
      </c>
      <c r="P7538">
        <v>0.99492190000000003</v>
      </c>
      <c r="Q7538">
        <v>-2.598833E-2</v>
      </c>
      <c r="R7538">
        <v>-9.7237589999999999E-2</v>
      </c>
      <c r="S7538">
        <v>3.0087130000000002</v>
      </c>
      <c r="T7538">
        <v>-0.21537039999999999</v>
      </c>
      <c r="U7538">
        <v>-1.2512209999999999E-2</v>
      </c>
      <c r="V7538">
        <v>0.13383919999999999</v>
      </c>
      <c r="W7538">
        <v>8.4191929999999902E-4</v>
      </c>
      <c r="X7538">
        <v>0.99100270000000001</v>
      </c>
      <c r="Y7538">
        <v>4.0811699999999999E-2</v>
      </c>
      <c r="Z7538">
        <v>-4.0932019999999998E-3</v>
      </c>
      <c r="AA7538">
        <v>0.9991584</v>
      </c>
      <c r="AB7538">
        <v>9</v>
      </c>
      <c r="AC7538">
        <v>15.371</v>
      </c>
      <c r="AD7538">
        <v>-1.1119414128495</v>
      </c>
      <c r="AE7538">
        <v>-7.0899999999994606E-2</v>
      </c>
      <c r="AF7538">
        <v>0.63403071978154601</v>
      </c>
      <c r="AG7538">
        <v>-1.1119414128495</v>
      </c>
      <c r="AH7538">
        <v>15.2779946764296</v>
      </c>
      <c r="AI7538">
        <v>94.159113534640994</v>
      </c>
      <c r="AJ7538">
        <v>87.623611466865697</v>
      </c>
      <c r="AK7538">
        <v>15.3315207984156</v>
      </c>
      <c r="AL7538">
        <v>89.951761571520194</v>
      </c>
      <c r="AM7538">
        <v>82.308495411538701</v>
      </c>
      <c r="AN7538">
        <v>0.99999999584601795</v>
      </c>
    </row>
    <row r="7539" spans="1:40" x14ac:dyDescent="0.25">
      <c r="A7539" t="str">
        <f>"20190312161210291"</f>
        <v>20190312161210291</v>
      </c>
      <c r="B7539" t="str">
        <f>"1552378330285071"</f>
        <v>1552378330285071</v>
      </c>
      <c r="C7539" t="s">
        <v>40</v>
      </c>
      <c r="D7539">
        <v>5.9717229999999999</v>
      </c>
      <c r="E7539">
        <v>0.41321469999999999</v>
      </c>
      <c r="F7539" t="s">
        <v>41</v>
      </c>
      <c r="G7539">
        <v>-104.9879</v>
      </c>
      <c r="H7539" s="1">
        <v>-3.103452E-6</v>
      </c>
      <c r="I7539">
        <v>142.44899999999899</v>
      </c>
      <c r="J7539">
        <v>-134.55869999999999</v>
      </c>
      <c r="K7539">
        <v>1.111893</v>
      </c>
      <c r="L7539">
        <v>140.1961</v>
      </c>
      <c r="M7539">
        <v>0.99896039999999997</v>
      </c>
      <c r="N7539">
        <v>0</v>
      </c>
      <c r="O7539">
        <v>3.6969080000000001E-2</v>
      </c>
      <c r="P7539">
        <v>0.99507250000000003</v>
      </c>
      <c r="Q7539">
        <v>-2.5057030000000001E-2</v>
      </c>
      <c r="R7539">
        <v>-9.5933180000000007E-2</v>
      </c>
      <c r="S7539">
        <v>3.034897</v>
      </c>
      <c r="T7539">
        <v>-0.1136535</v>
      </c>
      <c r="U7539">
        <v>0.23074339999999999</v>
      </c>
      <c r="V7539">
        <v>0.1326676</v>
      </c>
      <c r="W7539">
        <v>1.3816989999999999E-3</v>
      </c>
      <c r="X7539">
        <v>0.99115960000000003</v>
      </c>
      <c r="Y7539">
        <v>-3.8882269999999997E-2</v>
      </c>
      <c r="Z7539">
        <v>-6.5499809999999999E-4</v>
      </c>
      <c r="AA7539">
        <v>0.99924360000000001</v>
      </c>
      <c r="AB7539">
        <v>8</v>
      </c>
      <c r="AC7539">
        <v>29.570799999999899</v>
      </c>
      <c r="AD7539">
        <v>-1.1118961034520001</v>
      </c>
      <c r="AE7539">
        <v>2.2528999999999799</v>
      </c>
      <c r="AF7539">
        <v>-1.1561393376421001</v>
      </c>
      <c r="AG7539">
        <v>-1.1118961034520001</v>
      </c>
      <c r="AH7539">
        <v>29.5922910712593</v>
      </c>
      <c r="AI7539">
        <v>92.150171552459298</v>
      </c>
      <c r="AJ7539">
        <v>92.237347279754005</v>
      </c>
      <c r="AK7539">
        <v>29.635732856790501</v>
      </c>
      <c r="AL7539">
        <v>89.920834451726904</v>
      </c>
      <c r="AM7539">
        <v>82.376222460012698</v>
      </c>
      <c r="AN7539">
        <v>0.99999997692702303</v>
      </c>
    </row>
    <row r="7540" spans="1:40" x14ac:dyDescent="0.25">
      <c r="A7540" t="str">
        <f>"20190312161210315"</f>
        <v>20190312161210315</v>
      </c>
      <c r="B7540" t="str">
        <f>"1552378330304591"</f>
        <v>1552378330304591</v>
      </c>
      <c r="C7540" t="s">
        <v>40</v>
      </c>
      <c r="D7540">
        <v>5.9845410000000001</v>
      </c>
      <c r="E7540">
        <v>0.40987679999999999</v>
      </c>
      <c r="F7540" t="s">
        <v>41</v>
      </c>
      <c r="G7540">
        <v>-105.62090000000001</v>
      </c>
      <c r="H7540" s="1">
        <v>-3.2271820000000001E-6</v>
      </c>
      <c r="I7540">
        <v>144.03870000000001</v>
      </c>
      <c r="J7540">
        <v>-134.4794</v>
      </c>
      <c r="K7540">
        <v>1.1119680000000001</v>
      </c>
      <c r="L7540">
        <v>140.19909999999999</v>
      </c>
      <c r="M7540">
        <v>0.99895449999999997</v>
      </c>
      <c r="N7540">
        <v>0</v>
      </c>
      <c r="O7540">
        <v>3.7047009999999998E-2</v>
      </c>
      <c r="P7540">
        <v>0.9951255</v>
      </c>
      <c r="Q7540">
        <v>-2.4955390000000001E-2</v>
      </c>
      <c r="R7540">
        <v>-9.5406859999999996E-2</v>
      </c>
      <c r="S7540">
        <v>3.050964</v>
      </c>
      <c r="T7540">
        <v>-0.1172295</v>
      </c>
      <c r="U7540">
        <v>0.4051361</v>
      </c>
      <c r="V7540">
        <v>0.13222100000000001</v>
      </c>
      <c r="W7540">
        <v>1.5919839999999901E-3</v>
      </c>
      <c r="X7540">
        <v>0.99121899999999996</v>
      </c>
      <c r="Y7540">
        <v>-9.4763990000000006E-2</v>
      </c>
      <c r="Z7540">
        <v>3.9583069999999998E-4</v>
      </c>
      <c r="AA7540">
        <v>0.99549969999999999</v>
      </c>
      <c r="AB7540">
        <v>8</v>
      </c>
      <c r="AC7540">
        <v>28.8584999999999</v>
      </c>
      <c r="AD7540">
        <v>-1.1119712271819999</v>
      </c>
      <c r="AE7540">
        <v>3.8396000000000101</v>
      </c>
      <c r="AF7540">
        <v>-2.7634259602765199</v>
      </c>
      <c r="AG7540">
        <v>-1.1119712271819999</v>
      </c>
      <c r="AH7540">
        <v>28.938753747602899</v>
      </c>
      <c r="AI7540">
        <v>92.190551864852694</v>
      </c>
      <c r="AJ7540">
        <v>95.454761319237406</v>
      </c>
      <c r="AK7540">
        <v>29.0916563899757</v>
      </c>
      <c r="AL7540">
        <v>89.908785998733407</v>
      </c>
      <c r="AM7540">
        <v>82.402036119608098</v>
      </c>
      <c r="AN7540">
        <v>1.00000001660752</v>
      </c>
    </row>
    <row r="7541" spans="1:40" x14ac:dyDescent="0.25">
      <c r="A7541" t="str">
        <f>"20190312161210346"</f>
        <v>20190312161210346</v>
      </c>
      <c r="B7541" t="str">
        <f>"1552378330334846"</f>
        <v>1552378330334846</v>
      </c>
      <c r="C7541" t="s">
        <v>40</v>
      </c>
      <c r="D7541">
        <v>5.9682149999999998</v>
      </c>
      <c r="E7541">
        <v>0.40818310000000002</v>
      </c>
      <c r="F7541" t="s">
        <v>41</v>
      </c>
      <c r="G7541">
        <v>-105.81319999999999</v>
      </c>
      <c r="H7541" s="1">
        <v>-3.1974000000000001E-6</v>
      </c>
      <c r="I7541">
        <v>144.26840000000001</v>
      </c>
      <c r="J7541">
        <v>-134.38489999999999</v>
      </c>
      <c r="K7541">
        <v>1.1122829999999999</v>
      </c>
      <c r="L7541">
        <v>140.2028</v>
      </c>
      <c r="M7541">
        <v>0.99892069999999999</v>
      </c>
      <c r="N7541">
        <v>0</v>
      </c>
      <c r="O7541">
        <v>3.7130589999999998E-2</v>
      </c>
      <c r="P7541">
        <v>0.99506099999999997</v>
      </c>
      <c r="Q7541">
        <v>-2.6422580000000001E-2</v>
      </c>
      <c r="R7541">
        <v>-9.5684720000000001E-2</v>
      </c>
      <c r="S7541">
        <v>3.0532680000000001</v>
      </c>
      <c r="T7541">
        <v>-0.1184376</v>
      </c>
      <c r="U7541">
        <v>0.43342589999999998</v>
      </c>
      <c r="V7541">
        <v>0.13258029999999901</v>
      </c>
      <c r="W7541">
        <v>1.234356E-3</v>
      </c>
      <c r="X7541">
        <v>0.99117149999999998</v>
      </c>
      <c r="Y7541">
        <v>-0.1036234</v>
      </c>
      <c r="Z7541">
        <v>5.670642E-4</v>
      </c>
      <c r="AA7541">
        <v>0.99461639999999996</v>
      </c>
      <c r="AB7541">
        <v>8</v>
      </c>
      <c r="AC7541">
        <v>28.5717</v>
      </c>
      <c r="AD7541">
        <v>-1.1122861974</v>
      </c>
      <c r="AE7541">
        <v>4.0656000000000097</v>
      </c>
      <c r="AF7541">
        <v>-2.9970449295613699</v>
      </c>
      <c r="AG7541">
        <v>-1.1122861974</v>
      </c>
      <c r="AH7541">
        <v>28.660425801891702</v>
      </c>
      <c r="AI7541">
        <v>92.210443266628104</v>
      </c>
      <c r="AJ7541">
        <v>95.969771202423701</v>
      </c>
      <c r="AK7541">
        <v>28.838159893455</v>
      </c>
      <c r="AL7541">
        <v>89.929276592894396</v>
      </c>
      <c r="AM7541">
        <v>82.381270626752695</v>
      </c>
      <c r="AN7541">
        <v>1.0000000009975301</v>
      </c>
    </row>
    <row r="7542" spans="1:40" x14ac:dyDescent="0.25">
      <c r="A7542" t="str">
        <f>"20190312161210392"</f>
        <v>20190312161210392</v>
      </c>
      <c r="B7542" t="str">
        <f>"1552378330384623"</f>
        <v>1552378330384623</v>
      </c>
      <c r="C7542" t="s">
        <v>40</v>
      </c>
      <c r="D7542">
        <v>6.0493759999999996</v>
      </c>
      <c r="E7542">
        <v>0.40631529999999999</v>
      </c>
      <c r="F7542" t="s">
        <v>41</v>
      </c>
      <c r="G7542">
        <v>-106.9973</v>
      </c>
      <c r="H7542" s="1">
        <v>-2.620105E-6</v>
      </c>
      <c r="I7542">
        <v>144.20230000000001</v>
      </c>
      <c r="J7542">
        <v>-134.25839999999999</v>
      </c>
      <c r="K7542">
        <v>1.112323</v>
      </c>
      <c r="L7542">
        <v>140.20760000000001</v>
      </c>
      <c r="M7542">
        <v>0.99890020000000002</v>
      </c>
      <c r="N7542">
        <v>0</v>
      </c>
      <c r="O7542">
        <v>3.724007E-2</v>
      </c>
      <c r="P7542">
        <v>0.99497539999999995</v>
      </c>
      <c r="Q7542">
        <v>-2.7294510000000001E-2</v>
      </c>
      <c r="R7542">
        <v>-9.6327419999999997E-2</v>
      </c>
      <c r="S7542">
        <v>3.0544889999999998</v>
      </c>
      <c r="T7542">
        <v>-0.1240512</v>
      </c>
      <c r="U7542">
        <v>0.44606020000000002</v>
      </c>
      <c r="V7542">
        <v>0.13332859999999999</v>
      </c>
      <c r="W7542">
        <v>9.3204159999999998E-4</v>
      </c>
      <c r="X7542">
        <v>0.99107149999999999</v>
      </c>
      <c r="Y7542">
        <v>-0.10748050000000001</v>
      </c>
      <c r="Z7542">
        <v>6.6697899999999897E-4</v>
      </c>
      <c r="AA7542">
        <v>0.99420699999999995</v>
      </c>
      <c r="AB7542">
        <v>7</v>
      </c>
      <c r="AC7542">
        <v>27.261099999999999</v>
      </c>
      <c r="AD7542">
        <v>-1.112325620105</v>
      </c>
      <c r="AE7542">
        <v>3.9946999999999901</v>
      </c>
      <c r="AF7542">
        <v>-2.9714662640541101</v>
      </c>
      <c r="AG7542">
        <v>-1.112325620105</v>
      </c>
      <c r="AH7542">
        <v>27.3464273640218</v>
      </c>
      <c r="AI7542">
        <v>92.315626882702006</v>
      </c>
      <c r="AJ7542">
        <v>96.2014362058313</v>
      </c>
      <c r="AK7542">
        <v>27.5298741301023</v>
      </c>
      <c r="AL7542">
        <v>89.946597944991595</v>
      </c>
      <c r="AM7542">
        <v>82.338015029108405</v>
      </c>
      <c r="AN7542">
        <v>1.00000005119587</v>
      </c>
    </row>
    <row r="7543" spans="1:40" x14ac:dyDescent="0.25">
      <c r="A7543" t="str">
        <f>"20190312161210571"</f>
        <v>20190312161210571</v>
      </c>
      <c r="B7543" t="str">
        <f>"1552378330565183"</f>
        <v>1552378330565183</v>
      </c>
      <c r="C7543" t="s">
        <v>40</v>
      </c>
      <c r="D7543">
        <v>6.1037530000000002</v>
      </c>
      <c r="E7543">
        <v>0.3017088</v>
      </c>
      <c r="F7543" t="s">
        <v>41</v>
      </c>
      <c r="G7543">
        <v>-107.78449999999999</v>
      </c>
      <c r="H7543" s="1">
        <v>-2.2430220000000001E-6</v>
      </c>
      <c r="I7543">
        <v>144.18369999999999</v>
      </c>
      <c r="J7543">
        <v>-133.86019999999999</v>
      </c>
      <c r="K7543">
        <v>1.1119349999999999</v>
      </c>
      <c r="L7543">
        <v>140.22309999999999</v>
      </c>
      <c r="M7543">
        <v>0.99893180000000004</v>
      </c>
      <c r="N7543">
        <v>0</v>
      </c>
      <c r="O7543">
        <v>3.7663500000000003E-2</v>
      </c>
      <c r="P7543">
        <v>0.99510480000000001</v>
      </c>
      <c r="Q7543">
        <v>-2.767783E-2</v>
      </c>
      <c r="R7543">
        <v>-9.4870270000000007E-2</v>
      </c>
      <c r="S7543">
        <v>3.056076</v>
      </c>
      <c r="T7543">
        <v>-0.12840389999999999</v>
      </c>
      <c r="U7543">
        <v>0.45898440000000001</v>
      </c>
      <c r="V7543">
        <v>0.13229549999999901</v>
      </c>
      <c r="W7543">
        <v>-1.1477099999999999E-3</v>
      </c>
      <c r="X7543">
        <v>0.99120969999999997</v>
      </c>
      <c r="Y7543">
        <v>-0.111093899999999</v>
      </c>
      <c r="Z7543">
        <v>7.4769599999999995E-4</v>
      </c>
      <c r="AA7543">
        <v>0.99380959999999996</v>
      </c>
      <c r="AB7543">
        <v>5</v>
      </c>
      <c r="AC7543">
        <v>26.075700000000001</v>
      </c>
      <c r="AD7543">
        <v>-1.111937243022</v>
      </c>
      <c r="AE7543">
        <v>3.9605999999999999</v>
      </c>
      <c r="AF7543">
        <v>-2.9700546403043502</v>
      </c>
      <c r="AG7543">
        <v>-1.111937243022</v>
      </c>
      <c r="AH7543">
        <v>26.159912586919599</v>
      </c>
      <c r="AI7543">
        <v>92.418396119961002</v>
      </c>
      <c r="AJ7543">
        <v>96.477316097327105</v>
      </c>
      <c r="AK7543">
        <v>26.3514450373046</v>
      </c>
      <c r="AL7543">
        <v>90.065758950716202</v>
      </c>
      <c r="AM7543">
        <v>82.397734603954504</v>
      </c>
      <c r="AN7543">
        <v>1.0000000429662901</v>
      </c>
    </row>
    <row r="7544" spans="1:40" x14ac:dyDescent="0.25">
      <c r="A7544" t="str">
        <f>"20190312161210611"</f>
        <v>20190312161210611</v>
      </c>
      <c r="B7544" t="str">
        <f>"1552378330605199"</f>
        <v>1552378330605199</v>
      </c>
      <c r="C7544" t="s">
        <v>40</v>
      </c>
      <c r="D7544">
        <v>6.0126720000000002</v>
      </c>
      <c r="E7544">
        <v>0.35469289999999998</v>
      </c>
      <c r="F7544" t="s">
        <v>113</v>
      </c>
      <c r="G7544">
        <v>-89.008830000000003</v>
      </c>
      <c r="H7544">
        <v>7.5206299999999997</v>
      </c>
      <c r="I7544">
        <v>158.1575</v>
      </c>
      <c r="J7544">
        <v>-133.7944</v>
      </c>
      <c r="K7544">
        <v>1.111926</v>
      </c>
      <c r="L7544">
        <v>140.22559999999999</v>
      </c>
      <c r="M7544">
        <v>0.99893679999999996</v>
      </c>
      <c r="N7544">
        <v>0</v>
      </c>
      <c r="O7544">
        <v>3.7729640000000002E-2</v>
      </c>
      <c r="P7544">
        <v>0.99516680000000002</v>
      </c>
      <c r="Q7544">
        <v>-2.7134729999999999E-2</v>
      </c>
      <c r="R7544">
        <v>-9.4377009999999997E-2</v>
      </c>
      <c r="S7544">
        <v>3.1472470000000001</v>
      </c>
      <c r="T7544">
        <v>0.44970199999999999</v>
      </c>
      <c r="U7544">
        <v>1.2584690000000001</v>
      </c>
      <c r="V7544">
        <v>0.13187019999999999</v>
      </c>
      <c r="W7544">
        <v>-8.7880249999999999E-4</v>
      </c>
      <c r="X7544">
        <v>0.9912666</v>
      </c>
      <c r="Y7544">
        <v>-0.33339059999999998</v>
      </c>
      <c r="Z7544">
        <v>-1.7672730000000001E-2</v>
      </c>
      <c r="AA7544">
        <v>0.94262310000000005</v>
      </c>
      <c r="AB7544">
        <v>4</v>
      </c>
      <c r="AC7544">
        <v>44.7855699999999</v>
      </c>
      <c r="AD7544">
        <v>6.4087040000000002</v>
      </c>
      <c r="AE7544">
        <v>17.931899999999999</v>
      </c>
      <c r="AF7544">
        <v>-15.9473525760688</v>
      </c>
      <c r="AG7544">
        <v>6.4087040000000002</v>
      </c>
      <c r="AH7544">
        <v>44.6426217964529</v>
      </c>
      <c r="AI7544">
        <v>82.300915726226293</v>
      </c>
      <c r="AJ7544">
        <v>109.657875066936</v>
      </c>
      <c r="AK7544">
        <v>47.836735068419898</v>
      </c>
      <c r="AL7544">
        <v>90.050351680902097</v>
      </c>
      <c r="AM7544">
        <v>82.422319623837694</v>
      </c>
      <c r="AN7544">
        <v>0.99999999710871601</v>
      </c>
    </row>
    <row r="7545" spans="1:40" x14ac:dyDescent="0.25">
      <c r="A7545" t="str">
        <f>"20190312161210645"</f>
        <v>20190312161210645</v>
      </c>
      <c r="B7545" t="str">
        <f>"1552378330634478"</f>
        <v>1552378330634478</v>
      </c>
      <c r="C7545" t="s">
        <v>40</v>
      </c>
      <c r="D7545">
        <v>6.1279029999999999</v>
      </c>
      <c r="E7545">
        <v>0.3548984</v>
      </c>
      <c r="F7545" t="s">
        <v>114</v>
      </c>
      <c r="G7545">
        <v>-60.760689999999997</v>
      </c>
      <c r="H7545">
        <v>0.17206459999999901</v>
      </c>
      <c r="I7545">
        <v>160.75</v>
      </c>
      <c r="J7545">
        <v>-133.7433</v>
      </c>
      <c r="K7545">
        <v>1.1119190000000001</v>
      </c>
      <c r="L7545">
        <v>140.2276</v>
      </c>
      <c r="M7545">
        <v>0.99894059999999996</v>
      </c>
      <c r="N7545">
        <v>0</v>
      </c>
      <c r="O7545">
        <v>3.7780460000000002E-2</v>
      </c>
      <c r="P7545">
        <v>0.99518260000000003</v>
      </c>
      <c r="Q7545">
        <v>-2.6457390000000001E-2</v>
      </c>
      <c r="R7545">
        <v>-9.4402929999999996E-2</v>
      </c>
      <c r="S7545">
        <v>3.095993</v>
      </c>
      <c r="T7545">
        <v>-3.9840340000000002E-2</v>
      </c>
      <c r="U7545">
        <v>0.87005619999999995</v>
      </c>
      <c r="V7545">
        <v>0.1319467</v>
      </c>
      <c r="W7545">
        <v>-4.2187540000000002E-4</v>
      </c>
      <c r="X7545">
        <v>0.99125669999999999</v>
      </c>
      <c r="Y7545">
        <v>-0.23395379999999999</v>
      </c>
      <c r="Z7545">
        <v>1.000265E-3</v>
      </c>
      <c r="AA7545">
        <v>0.97224719999999998</v>
      </c>
      <c r="AB7545">
        <v>4</v>
      </c>
      <c r="AC7545">
        <v>72.982609999999994</v>
      </c>
      <c r="AD7545">
        <v>-0.93985439999999998</v>
      </c>
      <c r="AE7545">
        <v>20.522400000000001</v>
      </c>
      <c r="AF7545">
        <v>-17.7467419940516</v>
      </c>
      <c r="AG7545">
        <v>-0.93985439999999998</v>
      </c>
      <c r="AH7545">
        <v>73.694756715533202</v>
      </c>
      <c r="AI7545">
        <v>90.710367830478702</v>
      </c>
      <c r="AJ7545">
        <v>103.539833251407</v>
      </c>
      <c r="AK7545">
        <v>75.807304035022</v>
      </c>
      <c r="AL7545">
        <v>90.024171681162301</v>
      </c>
      <c r="AM7545">
        <v>82.417899973592299</v>
      </c>
      <c r="AN7545">
        <v>0.99999997745731595</v>
      </c>
    </row>
    <row r="7546" spans="1:40" x14ac:dyDescent="0.25">
      <c r="A7546" t="str">
        <f>"20190312161210674"</f>
        <v>20190312161210674</v>
      </c>
      <c r="B7546" t="str">
        <f>"1552378330664735"</f>
        <v>1552378330664735</v>
      </c>
      <c r="C7546" t="s">
        <v>40</v>
      </c>
      <c r="D7546">
        <v>6.109572</v>
      </c>
      <c r="E7546">
        <v>0.35504079999999999</v>
      </c>
      <c r="F7546" t="s">
        <v>52</v>
      </c>
      <c r="G7546">
        <v>-44.082520000000002</v>
      </c>
      <c r="H7546">
        <v>-0.1</v>
      </c>
      <c r="I7546">
        <v>165.38210000000001</v>
      </c>
      <c r="J7546">
        <v>-133.7055</v>
      </c>
      <c r="K7546">
        <v>1.111917</v>
      </c>
      <c r="L7546">
        <v>140.22909999999999</v>
      </c>
      <c r="M7546">
        <v>0.99894269999999996</v>
      </c>
      <c r="N7546">
        <v>0</v>
      </c>
      <c r="O7546">
        <v>3.7817980000000001E-2</v>
      </c>
      <c r="P7546">
        <v>0.99510580000000004</v>
      </c>
      <c r="Q7546">
        <v>-2.6441050000000001E-2</v>
      </c>
      <c r="R7546">
        <v>-9.5212309999999994E-2</v>
      </c>
      <c r="S7546">
        <v>3.0957949999999999</v>
      </c>
      <c r="T7546">
        <v>-4.184496E-2</v>
      </c>
      <c r="U7546">
        <v>0.86853029999999998</v>
      </c>
      <c r="V7546">
        <v>0.13278989999999999</v>
      </c>
      <c r="W7546">
        <v>-5.4203110000000004E-4</v>
      </c>
      <c r="X7546">
        <v>0.99114409999999997</v>
      </c>
      <c r="Y7546">
        <v>-0.233488</v>
      </c>
      <c r="Z7546">
        <v>1.04714E-3</v>
      </c>
      <c r="AA7546">
        <v>0.97235910000000003</v>
      </c>
      <c r="AB7546">
        <v>3</v>
      </c>
      <c r="AC7546">
        <v>89.622979999999998</v>
      </c>
      <c r="AD7546">
        <v>-1.2119169999999999</v>
      </c>
      <c r="AE7546">
        <v>25.152999999999999</v>
      </c>
      <c r="AF7546">
        <v>-21.740790599324701</v>
      </c>
      <c r="AG7546">
        <v>-1.2119169999999999</v>
      </c>
      <c r="AH7546">
        <v>90.495045379683106</v>
      </c>
      <c r="AI7546">
        <v>90.746038936161099</v>
      </c>
      <c r="AJ7546">
        <v>103.508890810724</v>
      </c>
      <c r="AK7546">
        <v>93.077838162311593</v>
      </c>
      <c r="AL7546">
        <v>90.031056094699593</v>
      </c>
      <c r="AM7546">
        <v>82.369159305547697</v>
      </c>
      <c r="AN7546">
        <v>1.0000000391522601</v>
      </c>
    </row>
    <row r="7547" spans="1:40" x14ac:dyDescent="0.25">
      <c r="A7547" t="str">
        <f>"20190312161210706"</f>
        <v>20190312161210706</v>
      </c>
      <c r="B7547" t="str">
        <f>"1552378330694993"</f>
        <v>1552378330694993</v>
      </c>
      <c r="C7547" t="s">
        <v>40</v>
      </c>
      <c r="D7547">
        <v>5.7955680000000003</v>
      </c>
      <c r="E7547">
        <v>0.35557100000000003</v>
      </c>
      <c r="F7547" t="s">
        <v>114</v>
      </c>
      <c r="G7547">
        <v>-60.185459999999999</v>
      </c>
      <c r="H7547">
        <v>0.31462089999999998</v>
      </c>
      <c r="I7547">
        <v>160.75</v>
      </c>
      <c r="J7547">
        <v>-133.66829999999999</v>
      </c>
      <c r="K7547">
        <v>1.1119110000000001</v>
      </c>
      <c r="L7547">
        <v>140.23050000000001</v>
      </c>
      <c r="M7547">
        <v>0.99894470000000002</v>
      </c>
      <c r="N7547">
        <v>0</v>
      </c>
      <c r="O7547">
        <v>3.7855420000000001E-2</v>
      </c>
      <c r="P7547">
        <v>0.99497329999999995</v>
      </c>
      <c r="Q7547">
        <v>-2.6322729999999999E-2</v>
      </c>
      <c r="R7547">
        <v>-9.6619170000000004E-2</v>
      </c>
      <c r="S7547">
        <v>3.0965729999999998</v>
      </c>
      <c r="T7547">
        <v>-3.3579589999999999E-2</v>
      </c>
      <c r="U7547">
        <v>0.86431880000000005</v>
      </c>
      <c r="V7547">
        <v>0.13422770000000001</v>
      </c>
      <c r="W7547">
        <v>-5.5749320000000001E-4</v>
      </c>
      <c r="X7547">
        <v>0.99095029999999995</v>
      </c>
      <c r="Y7547">
        <v>-0.2321674</v>
      </c>
      <c r="Z7547">
        <v>8.3284139999999999E-4</v>
      </c>
      <c r="AA7547">
        <v>0.97267550000000003</v>
      </c>
      <c r="AB7547">
        <v>3</v>
      </c>
      <c r="AC7547">
        <v>73.482839999999896</v>
      </c>
      <c r="AD7547">
        <v>-0.7972901</v>
      </c>
      <c r="AE7547">
        <v>20.519499999999901</v>
      </c>
      <c r="AF7547">
        <v>-17.7201819354141</v>
      </c>
      <c r="AG7547">
        <v>-0.7972901</v>
      </c>
      <c r="AH7547">
        <v>74.199067865532598</v>
      </c>
      <c r="AI7547">
        <v>90.598797684434103</v>
      </c>
      <c r="AJ7547">
        <v>103.431760529675</v>
      </c>
      <c r="AK7547">
        <v>76.289856412511696</v>
      </c>
      <c r="AL7547">
        <v>90.031942010985404</v>
      </c>
      <c r="AM7547">
        <v>82.286034437084894</v>
      </c>
      <c r="AN7547">
        <v>0.99999994165802197</v>
      </c>
    </row>
    <row r="7548" spans="1:40" x14ac:dyDescent="0.25">
      <c r="A7548" t="str">
        <f>"20190312161210740"</f>
        <v>20190312161210740</v>
      </c>
      <c r="B7548" t="str">
        <f>"1552378330735008"</f>
        <v>1552378330735008</v>
      </c>
      <c r="C7548" t="s">
        <v>40</v>
      </c>
      <c r="D7548">
        <v>6.1726660000000004</v>
      </c>
      <c r="E7548">
        <v>0.4857474</v>
      </c>
      <c r="F7548" t="s">
        <v>114</v>
      </c>
      <c r="G7548">
        <v>-59.37406</v>
      </c>
      <c r="H7548">
        <v>0.43050899999999998</v>
      </c>
      <c r="I7548">
        <v>160.75</v>
      </c>
      <c r="J7548">
        <v>-133.6353</v>
      </c>
      <c r="K7548">
        <v>1.1119019999999999</v>
      </c>
      <c r="L7548">
        <v>140.23179999999999</v>
      </c>
      <c r="M7548">
        <v>0.99894660000000002</v>
      </c>
      <c r="N7548">
        <v>0</v>
      </c>
      <c r="O7548">
        <v>3.7889119999999998E-2</v>
      </c>
      <c r="P7548">
        <v>0.99491479999999999</v>
      </c>
      <c r="Q7548">
        <v>-2.6032010000000001E-2</v>
      </c>
      <c r="R7548">
        <v>-9.7298889999999999E-2</v>
      </c>
      <c r="S7548">
        <v>3.0974729999999999</v>
      </c>
      <c r="T7548">
        <v>-2.8407450000000001E-2</v>
      </c>
      <c r="U7548">
        <v>0.85549929999999996</v>
      </c>
      <c r="V7548">
        <v>0.134938</v>
      </c>
      <c r="W7548">
        <v>-3.8643409999999999E-4</v>
      </c>
      <c r="X7548">
        <v>0.99085400000000001</v>
      </c>
      <c r="Y7548">
        <v>-0.22949240000000001</v>
      </c>
      <c r="Z7548">
        <v>6.9228689999999995E-4</v>
      </c>
      <c r="AA7548">
        <v>0.97331020000000001</v>
      </c>
      <c r="AB7548">
        <v>3</v>
      </c>
      <c r="AC7548">
        <v>74.261240000000001</v>
      </c>
      <c r="AD7548">
        <v>-0.68139299999999903</v>
      </c>
      <c r="AE7548">
        <v>20.5182</v>
      </c>
      <c r="AF7548">
        <v>-17.687437248132099</v>
      </c>
      <c r="AG7548">
        <v>-0.68139299999999903</v>
      </c>
      <c r="AH7548">
        <v>74.979693099341304</v>
      </c>
      <c r="AI7548">
        <v>90.506764212933007</v>
      </c>
      <c r="AJ7548">
        <v>103.27321173339099</v>
      </c>
      <c r="AK7548">
        <v>77.040665301504703</v>
      </c>
      <c r="AL7548">
        <v>90.0221410428491</v>
      </c>
      <c r="AM7548">
        <v>82.244964915646705</v>
      </c>
      <c r="AN7548">
        <v>1.0000000312456501</v>
      </c>
    </row>
    <row r="7549" spans="1:40" x14ac:dyDescent="0.25">
      <c r="A7549" t="str">
        <f>"20190312161210773"</f>
        <v>20190312161210773</v>
      </c>
      <c r="B7549" t="str">
        <f>"1552378330765265"</f>
        <v>1552378330765265</v>
      </c>
      <c r="C7549" t="s">
        <v>40</v>
      </c>
      <c r="D7549">
        <v>6.0329790000000001</v>
      </c>
      <c r="E7549">
        <v>0.49674609999999902</v>
      </c>
      <c r="F7549" t="s">
        <v>42</v>
      </c>
      <c r="G7549">
        <v>-132.91210000000001</v>
      </c>
      <c r="H7549">
        <v>1.0139940000000001</v>
      </c>
      <c r="I7549">
        <v>140.1936</v>
      </c>
      <c r="J7549">
        <v>-133.6095</v>
      </c>
      <c r="K7549">
        <v>1.1118980000000001</v>
      </c>
      <c r="L7549">
        <v>140.2328</v>
      </c>
      <c r="M7549">
        <v>0.99894769999999999</v>
      </c>
      <c r="N7549">
        <v>0</v>
      </c>
      <c r="O7549">
        <v>3.7915730000000002E-2</v>
      </c>
      <c r="P7549">
        <v>0.99484660000000003</v>
      </c>
      <c r="Q7549">
        <v>-2.644929E-2</v>
      </c>
      <c r="R7549">
        <v>-9.7880770000000006E-2</v>
      </c>
      <c r="S7549">
        <v>2.9893339999999999</v>
      </c>
      <c r="T7549">
        <v>-0.4047019</v>
      </c>
      <c r="U7549">
        <v>-0.157608</v>
      </c>
      <c r="V7549">
        <v>0.13554330000000001</v>
      </c>
      <c r="W7549">
        <v>-8.9201630000000003E-4</v>
      </c>
      <c r="X7549">
        <v>0.99077099999999996</v>
      </c>
      <c r="Y7549">
        <v>8.9330030000000005E-2</v>
      </c>
      <c r="Z7549">
        <v>-1.1123610000000001E-2</v>
      </c>
      <c r="AA7549">
        <v>0.99594000000000005</v>
      </c>
      <c r="AB7549">
        <v>2</v>
      </c>
      <c r="AC7549">
        <v>0.69739999999998703</v>
      </c>
      <c r="AD7549">
        <v>-9.7904000000000005E-2</v>
      </c>
      <c r="AE7549">
        <v>-3.9199999999993899E-2</v>
      </c>
      <c r="AF7549">
        <v>6.4358662860225194E-2</v>
      </c>
      <c r="AG7549">
        <v>-9.7904000000000005E-2</v>
      </c>
      <c r="AH7549">
        <v>0.68201279770923195</v>
      </c>
      <c r="AI7549">
        <v>98.133443066406002</v>
      </c>
      <c r="AJ7549">
        <v>84.609203321542694</v>
      </c>
      <c r="AK7549">
        <v>0.69200338650929305</v>
      </c>
      <c r="AL7549">
        <v>90.051108777141195</v>
      </c>
      <c r="AM7549">
        <v>82.209959251216503</v>
      </c>
      <c r="AN7549">
        <v>0.99999997815448405</v>
      </c>
    </row>
    <row r="7550" spans="1:40" x14ac:dyDescent="0.25">
      <c r="A7550" t="str">
        <f>"20190312161210810"</f>
        <v>20190312161210810</v>
      </c>
      <c r="B7550" t="str">
        <f>"1552378330805279"</f>
        <v>1552378330805279</v>
      </c>
      <c r="C7550" t="s">
        <v>40</v>
      </c>
      <c r="D7550">
        <v>6.0670060000000001</v>
      </c>
      <c r="E7550">
        <v>0.49970419999999999</v>
      </c>
      <c r="F7550" t="s">
        <v>42</v>
      </c>
      <c r="G7550">
        <v>-132.88239999999999</v>
      </c>
      <c r="H7550">
        <v>1.0106139999999999</v>
      </c>
      <c r="I7550">
        <v>140.1728</v>
      </c>
      <c r="J7550">
        <v>-133.5864</v>
      </c>
      <c r="K7550">
        <v>1.1118950000000001</v>
      </c>
      <c r="L7550">
        <v>140.2337</v>
      </c>
      <c r="M7550">
        <v>0.99894910000000003</v>
      </c>
      <c r="N7550">
        <v>0</v>
      </c>
      <c r="O7550">
        <v>3.7939500000000001E-2</v>
      </c>
      <c r="P7550">
        <v>0.99485979999999996</v>
      </c>
      <c r="Q7550">
        <v>-2.6610829999999999E-2</v>
      </c>
      <c r="R7550">
        <v>-9.7703899999999996E-2</v>
      </c>
      <c r="S7550">
        <v>2.9803160000000002</v>
      </c>
      <c r="T7550">
        <v>-0.41520180000000001</v>
      </c>
      <c r="U7550">
        <v>-0.2458496</v>
      </c>
      <c r="V7550">
        <v>0.13539029999999999</v>
      </c>
      <c r="W7550">
        <v>-1.1371230000000001E-3</v>
      </c>
      <c r="X7550">
        <v>0.99079170000000005</v>
      </c>
      <c r="Y7550">
        <v>0.1184746</v>
      </c>
      <c r="Z7550">
        <v>-1.3453410000000001E-2</v>
      </c>
      <c r="AA7550">
        <v>0.99286589999999997</v>
      </c>
      <c r="AB7550">
        <v>2</v>
      </c>
      <c r="AC7550">
        <v>0.70400000000000695</v>
      </c>
      <c r="AD7550">
        <v>-0.101281</v>
      </c>
      <c r="AE7550">
        <v>-6.0900000000003701E-2</v>
      </c>
      <c r="AF7550">
        <v>8.5811506889341804E-2</v>
      </c>
      <c r="AG7550">
        <v>-0.101281</v>
      </c>
      <c r="AH7550">
        <v>0.68706682665128105</v>
      </c>
      <c r="AI7550">
        <v>98.321880301928402</v>
      </c>
      <c r="AJ7550">
        <v>82.880882959812396</v>
      </c>
      <c r="AK7550">
        <v>0.69977302031464605</v>
      </c>
      <c r="AL7550">
        <v>90.065152362103504</v>
      </c>
      <c r="AM7550">
        <v>82.218805368525594</v>
      </c>
      <c r="AN7550">
        <v>1.0000000095858399</v>
      </c>
    </row>
    <row r="7551" spans="1:40" x14ac:dyDescent="0.25">
      <c r="A7551" t="str">
        <f>"20190312161210849"</f>
        <v>20190312161210849</v>
      </c>
      <c r="B7551" t="str">
        <f>"1552378330834559"</f>
        <v>1552378330834559</v>
      </c>
      <c r="C7551" t="s">
        <v>40</v>
      </c>
      <c r="D7551">
        <v>6.1479710000000001</v>
      </c>
      <c r="E7551">
        <v>0.50175740000000002</v>
      </c>
      <c r="F7551" t="s">
        <v>42</v>
      </c>
      <c r="G7551">
        <v>-132.8638</v>
      </c>
      <c r="H7551">
        <v>1.0031049999999999</v>
      </c>
      <c r="I7551">
        <v>140.16890000000001</v>
      </c>
      <c r="J7551">
        <v>-133.56909999999999</v>
      </c>
      <c r="K7551">
        <v>1.1118669999999999</v>
      </c>
      <c r="L7551">
        <v>140.23439999999999</v>
      </c>
      <c r="M7551">
        <v>0.99895420000000001</v>
      </c>
      <c r="N7551">
        <v>0</v>
      </c>
      <c r="O7551">
        <v>3.795718E-2</v>
      </c>
      <c r="P7551">
        <v>0.99487809999999999</v>
      </c>
      <c r="Q7551">
        <v>-2.590042E-2</v>
      </c>
      <c r="R7551">
        <v>-9.7709710000000005E-2</v>
      </c>
      <c r="S7551">
        <v>2.9773100000000001</v>
      </c>
      <c r="T7551">
        <v>-0.44826450000000001</v>
      </c>
      <c r="U7551">
        <v>-0.26686100000000001</v>
      </c>
      <c r="V7551">
        <v>0.13541410000000001</v>
      </c>
      <c r="W7551">
        <v>-6.4784360000000004E-4</v>
      </c>
      <c r="X7551">
        <v>0.99078889999999997</v>
      </c>
      <c r="Y7551">
        <v>0.12520139999999999</v>
      </c>
      <c r="Z7551">
        <v>-1.502877E-2</v>
      </c>
      <c r="AA7551">
        <v>0.9920175</v>
      </c>
      <c r="AB7551">
        <v>1</v>
      </c>
      <c r="AC7551">
        <v>0.70529999999999404</v>
      </c>
      <c r="AD7551">
        <v>-0.108762</v>
      </c>
      <c r="AE7551">
        <v>-6.5499999999985903E-2</v>
      </c>
      <c r="AF7551">
        <v>9.0108242550203596E-2</v>
      </c>
      <c r="AG7551">
        <v>-0.108762</v>
      </c>
      <c r="AH7551">
        <v>0.68612799057199003</v>
      </c>
      <c r="AI7551">
        <v>98.9318880806332</v>
      </c>
      <c r="AJ7551">
        <v>82.518241395388799</v>
      </c>
      <c r="AK7551">
        <v>0.70051430211370003</v>
      </c>
      <c r="AL7551">
        <v>90.037118705871407</v>
      </c>
      <c r="AM7551">
        <v>82.217432564222094</v>
      </c>
      <c r="AN7551">
        <v>1.00000002127167</v>
      </c>
    </row>
    <row r="7552" spans="1:40" x14ac:dyDescent="0.25">
      <c r="A7552" t="str">
        <f>"20190312161210874"</f>
        <v>20190312161210874</v>
      </c>
      <c r="B7552" t="str">
        <f>"1552378330864816"</f>
        <v>1552378330864816</v>
      </c>
      <c r="C7552" t="s">
        <v>40</v>
      </c>
      <c r="D7552">
        <v>6.030894</v>
      </c>
      <c r="E7552">
        <v>0.50299349999999998</v>
      </c>
      <c r="F7552" t="s">
        <v>42</v>
      </c>
      <c r="G7552">
        <v>-132.84889999999999</v>
      </c>
      <c r="H7552">
        <v>1.0019290000000001</v>
      </c>
      <c r="I7552">
        <v>140.166</v>
      </c>
      <c r="J7552">
        <v>-133.5608</v>
      </c>
      <c r="K7552">
        <v>1.1117889999999999</v>
      </c>
      <c r="L7552">
        <v>140.2347</v>
      </c>
      <c r="M7552">
        <v>0.99896309999999999</v>
      </c>
      <c r="N7552">
        <v>0</v>
      </c>
      <c r="O7552">
        <v>3.7966510000000002E-2</v>
      </c>
      <c r="P7552">
        <v>0.99483969999999999</v>
      </c>
      <c r="Q7552">
        <v>-2.5912310000000001E-2</v>
      </c>
      <c r="R7552">
        <v>-9.8093550000000002E-2</v>
      </c>
      <c r="S7552">
        <v>2.975876</v>
      </c>
      <c r="T7552">
        <v>-0.45428809999999897</v>
      </c>
      <c r="U7552">
        <v>-0.2825317</v>
      </c>
      <c r="V7552">
        <v>0.13580539999999999</v>
      </c>
      <c r="W7552">
        <v>-1.025967E-3</v>
      </c>
      <c r="X7552">
        <v>0.99073500000000003</v>
      </c>
      <c r="Y7552">
        <v>0.13032189999999999</v>
      </c>
      <c r="Z7552">
        <v>-1.5621289999999999E-2</v>
      </c>
      <c r="AA7552">
        <v>0.99134869999999997</v>
      </c>
      <c r="AB7552">
        <v>1</v>
      </c>
      <c r="AC7552">
        <v>0.71190000000001397</v>
      </c>
      <c r="AD7552">
        <v>-0.109859999999999</v>
      </c>
      <c r="AE7552">
        <v>-6.8700000000006797E-2</v>
      </c>
      <c r="AF7552">
        <v>9.34816537381815E-2</v>
      </c>
      <c r="AG7552">
        <v>-0.109859999999999</v>
      </c>
      <c r="AH7552">
        <v>0.69243934502364901</v>
      </c>
      <c r="AI7552">
        <v>98.935470133126699</v>
      </c>
      <c r="AJ7552">
        <v>82.311361897355894</v>
      </c>
      <c r="AK7552">
        <v>0.70730494535412802</v>
      </c>
      <c r="AL7552">
        <v>90.058783589347001</v>
      </c>
      <c r="AM7552">
        <v>82.194801028719297</v>
      </c>
      <c r="AN7552">
        <v>0.999999999751222</v>
      </c>
    </row>
    <row r="7553" spans="1:40" x14ac:dyDescent="0.25">
      <c r="A7553" t="str">
        <f>"20190312161210908"</f>
        <v>20190312161210908</v>
      </c>
      <c r="B7553" t="str">
        <f>"1552378330905337"</f>
        <v>1552378330905337</v>
      </c>
      <c r="C7553" t="s">
        <v>40</v>
      </c>
      <c r="D7553">
        <v>5.9713880000000001</v>
      </c>
      <c r="E7553">
        <v>0.50402690000000006</v>
      </c>
      <c r="F7553" t="s">
        <v>42</v>
      </c>
      <c r="G7553">
        <v>-132.84399999999999</v>
      </c>
      <c r="H7553">
        <v>1.000148</v>
      </c>
      <c r="I7553">
        <v>140.16409999999999</v>
      </c>
      <c r="J7553">
        <v>-133.55240000000001</v>
      </c>
      <c r="K7553">
        <v>1.1116299999999999</v>
      </c>
      <c r="L7553">
        <v>140.23500000000001</v>
      </c>
      <c r="M7553">
        <v>0.99898209999999998</v>
      </c>
      <c r="N7553">
        <v>0</v>
      </c>
      <c r="O7553">
        <v>3.7976599999999999E-2</v>
      </c>
      <c r="P7553">
        <v>0.99481739999999996</v>
      </c>
      <c r="Q7553">
        <v>-2.5389220000000001E-2</v>
      </c>
      <c r="R7553">
        <v>-9.8457959999999997E-2</v>
      </c>
      <c r="S7553">
        <v>2.9746090000000001</v>
      </c>
      <c r="T7553">
        <v>-0.46331070000000002</v>
      </c>
      <c r="U7553">
        <v>-0.2928772</v>
      </c>
      <c r="V7553">
        <v>0.13617779999999999</v>
      </c>
      <c r="W7553">
        <v>-1.279112E-3</v>
      </c>
      <c r="X7553">
        <v>0.9906836</v>
      </c>
      <c r="Y7553">
        <v>0.13366789999999901</v>
      </c>
      <c r="Z7553">
        <v>-1.619191E-2</v>
      </c>
      <c r="AA7553">
        <v>0.99089389999999999</v>
      </c>
      <c r="AB7553">
        <v>1</v>
      </c>
      <c r="AC7553">
        <v>0.70840000000001102</v>
      </c>
      <c r="AD7553">
        <v>-0.111481999999999</v>
      </c>
      <c r="AE7553">
        <v>-7.0900000000023E-2</v>
      </c>
      <c r="AF7553">
        <v>9.54197129068034E-2</v>
      </c>
      <c r="AG7553">
        <v>-0.111481999999999</v>
      </c>
      <c r="AH7553">
        <v>0.68831766228775504</v>
      </c>
      <c r="AI7553">
        <v>99.114231580686194</v>
      </c>
      <c r="AJ7553">
        <v>82.107534448444895</v>
      </c>
      <c r="AK7553">
        <v>0.70378573596833904</v>
      </c>
      <c r="AL7553">
        <v>90.073287738205906</v>
      </c>
      <c r="AM7553">
        <v>82.173261790731203</v>
      </c>
      <c r="AN7553">
        <v>1.00000001232465</v>
      </c>
    </row>
    <row r="7554" spans="1:40" x14ac:dyDescent="0.25">
      <c r="A7554" t="str">
        <f>"20190312161210939"</f>
        <v>20190312161210939</v>
      </c>
      <c r="B7554" t="str">
        <f>"1552378330934618"</f>
        <v>1552378330934618</v>
      </c>
      <c r="C7554" t="s">
        <v>40</v>
      </c>
      <c r="D7554">
        <v>6.0003380000000002</v>
      </c>
      <c r="E7554">
        <v>0.50464390000000003</v>
      </c>
      <c r="F7554" t="s">
        <v>42</v>
      </c>
      <c r="G7554">
        <v>-132.83619999999999</v>
      </c>
      <c r="H7554">
        <v>0.99844489999999997</v>
      </c>
      <c r="I7554">
        <v>140.16229999999999</v>
      </c>
      <c r="J7554">
        <v>-133.54660000000001</v>
      </c>
      <c r="K7554">
        <v>1.111445</v>
      </c>
      <c r="L7554">
        <v>140.23519999999999</v>
      </c>
      <c r="M7554">
        <v>0.99900540000000004</v>
      </c>
      <c r="N7554">
        <v>0</v>
      </c>
      <c r="O7554">
        <v>3.7984579999999997E-2</v>
      </c>
      <c r="P7554">
        <v>0.99487080000000006</v>
      </c>
      <c r="Q7554">
        <v>-2.389283E-2</v>
      </c>
      <c r="R7554">
        <v>-9.8291080000000003E-2</v>
      </c>
      <c r="S7554">
        <v>2.9737849999999999</v>
      </c>
      <c r="T7554">
        <v>-0.46999960000000002</v>
      </c>
      <c r="U7554">
        <v>-0.30162050000000001</v>
      </c>
      <c r="V7554">
        <v>0.13602030000000001</v>
      </c>
      <c r="W7554">
        <v>-7.636384E-4</v>
      </c>
      <c r="X7554">
        <v>0.99070579999999997</v>
      </c>
      <c r="Y7554">
        <v>0.1364911</v>
      </c>
      <c r="Z7554">
        <v>-1.6647329999999998E-2</v>
      </c>
      <c r="AA7554">
        <v>0.99050139999999998</v>
      </c>
      <c r="AB7554">
        <v>1</v>
      </c>
      <c r="AC7554">
        <v>0.71040000000002101</v>
      </c>
      <c r="AD7554">
        <v>-0.11300009999999901</v>
      </c>
      <c r="AE7554">
        <v>-7.29000000000041E-2</v>
      </c>
      <c r="AF7554">
        <v>9.7400245771757404E-2</v>
      </c>
      <c r="AG7554">
        <v>-0.11300009999999901</v>
      </c>
      <c r="AH7554">
        <v>0.68984477098113195</v>
      </c>
      <c r="AI7554">
        <v>99.212937573925899</v>
      </c>
      <c r="AJ7554">
        <v>81.963442733822404</v>
      </c>
      <c r="AK7554">
        <v>0.70579149791310203</v>
      </c>
      <c r="AL7554">
        <v>90.043753259736505</v>
      </c>
      <c r="AM7554">
        <v>82.182375027230194</v>
      </c>
      <c r="AN7554">
        <v>1.0000000436546601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TxtToExcel_Tem_Txt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吕泽众</dc:creator>
  <cp:lastModifiedBy>吕泽众</cp:lastModifiedBy>
  <dcterms:created xsi:type="dcterms:W3CDTF">2020-05-20T14:51:04Z</dcterms:created>
  <dcterms:modified xsi:type="dcterms:W3CDTF">2020-05-20T14:51:05Z</dcterms:modified>
</cp:coreProperties>
</file>